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9.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1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ctrlProps/ctrlProp102.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9"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hoebe/Desktop/Mortgage documents - Fan Jiang &amp; Sifei Liu/Calcs/"/>
    </mc:Choice>
  </mc:AlternateContent>
  <xr:revisionPtr revIDLastSave="0" documentId="13_ncr:1_{002E3B3A-2ED1-ED45-877B-963335BCB15E}" xr6:coauthVersionLast="47" xr6:coauthVersionMax="47" xr10:uidLastSave="{00000000-0000-0000-0000-000000000000}"/>
  <bookViews>
    <workbookView xWindow="0" yWindow="760" windowWidth="29400" windowHeight="16940" activeTab="6" xr2:uid="{8AB235D2-568B-450F-95FD-CF71F8DF764D}"/>
  </bookViews>
  <sheets>
    <sheet name="Base Income" sheetId="56" state="hidden" r:id="rId1"/>
    <sheet name="Salary Credits" sheetId="55" state="hidden" r:id="rId2"/>
    <sheet name="Multi Entity" sheetId="54" state="hidden" r:id="rId3"/>
    <sheet name="Securities" sheetId="48" state="hidden" r:id="rId4"/>
    <sheet name="Exp Breakdown" sheetId="3" state="hidden" r:id="rId5"/>
    <sheet name="Menu" sheetId="4" r:id="rId6"/>
    <sheet name="SoP 1" sheetId="6" r:id="rId7"/>
    <sheet name="SoP 2" sheetId="7" state="hidden" r:id="rId8"/>
    <sheet name="SoP 3" sheetId="8" state="hidden" r:id="rId9"/>
    <sheet name="SoP 4" sheetId="5" state="hidden" r:id="rId10"/>
    <sheet name="Internal Ref" sheetId="11" state="hidden" r:id="rId11"/>
    <sheet name="Configurable Items" sheetId="21" state="hidden" r:id="rId12"/>
    <sheet name="LMI Qualifier" sheetId="9" r:id="rId13"/>
    <sheet name="Fee Calculator" sheetId="12" r:id="rId14"/>
    <sheet name="Repayment" sheetId="14" r:id="rId15"/>
    <sheet name="Bridging Loan Calculator" sheetId="15" r:id="rId16"/>
    <sheet name="BRIDGING_PDF" sheetId="38" state="hidden" r:id="rId17"/>
    <sheet name="Lock Rate Calculator" sheetId="34" r:id="rId18"/>
    <sheet name="Construction Loan Calculator" sheetId="35" r:id="rId19"/>
    <sheet name="CNST_PDF" sheetId="36" state="hidden" r:id="rId20"/>
    <sheet name="Security Swap Calculator" sheetId="39" r:id="rId21"/>
    <sheet name="SWAP_PDF" sheetId="40" state="hidden" r:id="rId22"/>
    <sheet name="TAX TABLE" sheetId="26" state="hidden" r:id="rId23"/>
    <sheet name="eAdmin File" sheetId="27" state="hidden" r:id="rId24"/>
    <sheet name="reference-data" sheetId="52" state="hidden" r:id="rId25"/>
  </sheets>
  <functionGroups builtInGroupCount="19"/>
  <definedNames>
    <definedName name="_xlnm._FilterDatabase" localSheetId="11" hidden="1">'Configurable Items'!$A$1044:$BB$4976</definedName>
    <definedName name="_xlnm._FilterDatabase" localSheetId="13" hidden="1">'Fee Calculator'!$D$26:$T$27</definedName>
    <definedName name="_xlnm._FilterDatabase" localSheetId="12" hidden="1">'LMI Qualifier'!#REF!</definedName>
    <definedName name="_xlnm._FilterDatabase" localSheetId="5" hidden="1">Menu!#REF!</definedName>
    <definedName name="_xlnm._FilterDatabase" localSheetId="14" hidden="1">Repayment!#REF!</definedName>
    <definedName name="_xlnm._FilterDatabase" localSheetId="6" hidden="1">'SoP 1'!$H$108:$K$121</definedName>
    <definedName name="_xlnm._FilterDatabase" localSheetId="7" hidden="1">'SoP 2'!$D$49:$Z$50</definedName>
    <definedName name="_xlnm._FilterDatabase" localSheetId="8" hidden="1">'SoP 3'!$D$49:$Z$50</definedName>
    <definedName name="_xlnm._FilterDatabase" localSheetId="9" hidden="1">'SoP 4'!$D$49:$Z$50</definedName>
    <definedName name="_xleta.IFERROR" hidden="1" xlm="1">#NAME?</definedName>
    <definedName name="A_BP_BP">'Internal Ref'!$X$212</definedName>
    <definedName name="A_BP_INV">'Internal Ref'!$W$212</definedName>
    <definedName name="A_BP_Label">'Internal Ref'!$AA$212</definedName>
    <definedName name="A_BP_Rate">'Internal Ref'!$Z$212</definedName>
    <definedName name="A_BP_Term">'Internal Ref'!$Y$212</definedName>
    <definedName name="A_BP_UMI">'Internal Ref'!$V$212</definedName>
    <definedName name="AI_AS" localSheetId="15">'Bridging Loan Calculator'!$G$33</definedName>
    <definedName name="AI_Cus_Res">'Bridging Loan Calculator'!$G$37</definedName>
    <definedName name="AI_Period" localSheetId="15">'Bridging Loan Calculator'!$G$27</definedName>
    <definedName name="AI_Residual">'Bridging Loan Calculator'!$D$37</definedName>
    <definedName name="AI_ResidualMinMax">'Bridging Loan Calculator'!$G$38</definedName>
    <definedName name="AI_Retain">'Bridging Loan Calculator'!$D$39</definedName>
    <definedName name="AI_RetainAmount" localSheetId="15">'Bridging Loan Calculator'!$G$39</definedName>
    <definedName name="AI_RetainFunds">'Bridging Loan Calculator'!$G$36</definedName>
    <definedName name="AI_RetainMinMax">'Bridging Loan Calculator'!$G$40</definedName>
    <definedName name="AI_Structure" localSheetId="15">'Bridging Loan Calculator'!$F$35</definedName>
    <definedName name="ANZ_SENSITIVITY_FLOOR">'Configurable Items'!$E$85</definedName>
    <definedName name="ANZ_SENSITIVITY_RATE">'Configurable Items'!$E$44</definedName>
    <definedName name="AS_Available" localSheetId="15">'Bridging Loan Calculator'!$O$37</definedName>
    <definedName name="AS_LastRow" localSheetId="15">'Bridging Loan Calculator'!$Q$40</definedName>
    <definedName name="AS_MaxLVR" localSheetId="15">'Bridging Loan Calculator'!$O$29</definedName>
    <definedName name="AS_Number" localSheetId="15">'Bridging Loan Calculator'!$L$24</definedName>
    <definedName name="AS_NumberSecurity" localSheetId="15">'Bridging Loan Calculator'!$O$31</definedName>
    <definedName name="AS_StartRow" localSheetId="15">'Bridging Loan Calculator'!$L$26</definedName>
    <definedName name="AS_Title" localSheetId="15">'Bridging Loan Calculator'!$M$24</definedName>
    <definedName name="AS_TotalLoans" localSheetId="15">'Bridging Loan Calculator'!$O$35</definedName>
    <definedName name="AS_TotalSecurity" localSheetId="15">'Bridging Loan Calculator'!$O$33</definedName>
    <definedName name="B_BP_BP">'Internal Ref'!$X$213</definedName>
    <definedName name="B_BP_INV">'Internal Ref'!$W$213</definedName>
    <definedName name="B_BP_Label">'Internal Ref'!$AA$213</definedName>
    <definedName name="B_BP_Rate">'Internal Ref'!$Z$213</definedName>
    <definedName name="B_BP_Term">'Internal Ref'!$Y$213</definedName>
    <definedName name="B_BP_UMI">'Internal Ref'!$V$213</definedName>
    <definedName name="B_Current_loan" localSheetId="15">'Bridging Loan Calculator'!$G$54</definedName>
    <definedName name="B_Loan_Amount" localSheetId="15">'Bridging Loan Calculator'!$G$53</definedName>
    <definedName name="BAS_ACCOM">'Configurable Items'!$F$5148:$F$5161</definedName>
    <definedName name="BAS_AGRI">'Configurable Items'!$F$5162:$F$5207</definedName>
    <definedName name="BAS_COMMUNICATIONS">'Configurable Items'!$F$5208:$F$5210</definedName>
    <definedName name="BAS_CONSTRUCT">'Configurable Items'!$F$5211:$F$5231</definedName>
    <definedName name="BAS_CULTURAL">'Configurable Items'!$F$5232:$F$5257</definedName>
    <definedName name="BAS_EDUCATION">'Configurable Items'!$F$5258:$F$5268</definedName>
    <definedName name="BAS_FINANCE">'Configurable Items'!$F$5275:$F$5299</definedName>
    <definedName name="BAS_GOVERNMENT">'Configurable Items'!$F$5300:$F$5305</definedName>
    <definedName name="BAS_HEALTH">'Configurable Items'!$F$5306:$F$5332</definedName>
    <definedName name="BAS_INDUSTRIES">'Configurable Items'!$D$5119:$D$5144</definedName>
    <definedName name="BAS_MANU_EQUIPMENT">'Configurable Items'!$F$5356:$F$5383</definedName>
    <definedName name="BAS_MANU_FOOD">'Configurable Items'!$F$5333:$F$5355</definedName>
    <definedName name="BAS_MANU_METAL">'Configurable Items'!$F$5384:$F$5404</definedName>
    <definedName name="BAS_MANU_MINERAL">'Configurable Items'!$F$5405:$F$5415</definedName>
    <definedName name="BAS_MANU_OTHER">'Configurable Items'!$F$5416:$F$5424</definedName>
    <definedName name="BAS_MANU_PETROCHEM">'Configurable Items'!$F$5425:$F$5447</definedName>
    <definedName name="BAS_MANU_PRINTING">'Configurable Items'!$F$5448:$F$5454</definedName>
    <definedName name="BAS_MANU_TEXTILES">'Configurable Items'!$F$5455:$F$5473</definedName>
    <definedName name="BAS_MANU_WOOD">'Configurable Items'!$F$5474:$F$5485</definedName>
    <definedName name="BAS_MINING">'Configurable Items'!$F$5486:$F$5504</definedName>
    <definedName name="BAS_NA">'Configurable Items'!$F$5505:$F$5508</definedName>
    <definedName name="BAS_PERSONAL">'Configurable Items'!$F$5509:$F$5528</definedName>
    <definedName name="BAS_PROPERTY">'Configurable Items'!$F$5529:$F$5561</definedName>
    <definedName name="BAS_RETAIL">'Configurable Items'!$F$5562:$F$5599</definedName>
    <definedName name="BAS_TRANSPORT">'Configurable Items'!$F$5600:$F$5626</definedName>
    <definedName name="BAS_UTILITIES">'Configurable Items'!$F$5269:$F$5274</definedName>
    <definedName name="BAS_WHOLESALE">'Configurable Items'!$F$5627:$F$5667</definedName>
    <definedName name="BMI_INDEX_RATE">'Configurable Items'!$E$5113</definedName>
    <definedName name="BONUS_SENSITIVITY_MULTIPLIER">'Configurable Items'!$E$51</definedName>
    <definedName name="BUS_LOAN">'Configurable Items'!$P$4545</definedName>
    <definedName name="BUS_SEC">'Configurable Items'!$E$3853</definedName>
    <definedName name="BUS_UNSEC">'Configurable Items'!$E$3854</definedName>
    <definedName name="BusList">'Configurable Items'!$M$4523:$M$4533</definedName>
    <definedName name="C_BP_BP">'Internal Ref'!$X$214</definedName>
    <definedName name="C_BP_INV">'Internal Ref'!$W$214</definedName>
    <definedName name="C_BP_Label">'Internal Ref'!$AA$214</definedName>
    <definedName name="C_BP_Rate">'Internal Ref'!$Z$214</definedName>
    <definedName name="C_BP_Term">'Internal Ref'!$Y$214</definedName>
    <definedName name="C_BP_UMI">'Internal Ref'!$V$214</definedName>
    <definedName name="CAPPED_OTHER_LIABILITIES_TERM">'Configurable Items'!$E$60</definedName>
    <definedName name="CAPPED_PL_LIABILITIES_TERM">'Configurable Items'!$E$59</definedName>
    <definedName name="CCPL_CALC_VERSION">'Configurable Items'!$E$9</definedName>
    <definedName name="CCPL_Liabilities">'Configurable Items'!$D$4922:$D$4924</definedName>
    <definedName name="CCPL_SPOUSAL_BUFFER_SWITCH">'Configurable Items'!$E$4897</definedName>
    <definedName name="CEL">'Construction Loan Calculator'!$F$16</definedName>
    <definedName name="CL1_LMI">'Construction Loan Calculator'!$F$12</definedName>
    <definedName name="CL1_vAddBorrow">'Construction Loan Calculator'!$F$11</definedName>
    <definedName name="CL1_vContract">'Construction Loan Calculator'!$F$9</definedName>
    <definedName name="CL1_vCustCont">'Construction Loan Calculator'!$F$10</definedName>
    <definedName name="CL2_DRW">'Construction Loan Calculator'!$S$11</definedName>
    <definedName name="CL2_LBAL1">'Construction Loan Calculator'!$U$12</definedName>
    <definedName name="CL2_LBAL2">'Construction Loan Calculator'!$U$13</definedName>
    <definedName name="CL2_LBAL3">'Construction Loan Calculator'!$U$14</definedName>
    <definedName name="CL2_LBAL4">'Construction Loan Calculator'!$U$15</definedName>
    <definedName name="CL2_LBAL5">'Construction Loan Calculator'!$U$16</definedName>
    <definedName name="CL2_LBAL6">'Construction Loan Calculator'!$U$17</definedName>
    <definedName name="CL2_PP1">'Construction Loan Calculator'!$S$12</definedName>
    <definedName name="CL2_PP2">'Construction Loan Calculator'!$S$13</definedName>
    <definedName name="CL2_PP3">'Construction Loan Calculator'!$S$14</definedName>
    <definedName name="CL2_PP4">'Construction Loan Calculator'!$S$15</definedName>
    <definedName name="CL2_PP5">'Construction Loan Calculator'!$S$16</definedName>
    <definedName name="CL2_PP6">'Construction Loan Calculator'!$S$17</definedName>
    <definedName name="COMMISSION_SENSITIVITY_MULTIPLIER">'Configurable Items'!$E$99</definedName>
    <definedName name="CP_Address" localSheetId="15">'Bridging Loan Calculator'!$N$9</definedName>
    <definedName name="CP_COS" localSheetId="15">'Bridging Loan Calculator'!$O$15</definedName>
    <definedName name="CP_NetProceeds" localSheetId="15">'Bridging Loan Calculator'!$O$19</definedName>
    <definedName name="CP_Property_Type" localSheetId="15">'Bridging Loan Calculator'!$N$13</definedName>
    <definedName name="CP_Sale_Cost" localSheetId="15">'Bridging Loan Calculator'!$O$18</definedName>
    <definedName name="CP_Sale_Price" localSheetId="15">'Bridging Loan Calculator'!$O$17</definedName>
    <definedName name="CP_T_SalePrice" localSheetId="15">'Bridging Loan Calculator'!$M$17</definedName>
    <definedName name="CRE">'Salary Credits'!$F$9</definedName>
    <definedName name="Credit_1">'Salary Credits'!$E$13</definedName>
    <definedName name="Credit_10">'Salary Credits'!$E$16</definedName>
    <definedName name="Credit_11">'Salary Credits'!$G$16</definedName>
    <definedName name="Credit_12">'Salary Credits'!$I$16</definedName>
    <definedName name="Credit_13">'Salary Credits'!$E$17</definedName>
    <definedName name="Credit_14">'Salary Credits'!$G$17</definedName>
    <definedName name="Credit_15">'Salary Credits'!$I$17</definedName>
    <definedName name="Credit_16">'Salary Credits'!$E$18</definedName>
    <definedName name="Credit_17">'Salary Credits'!$G$18</definedName>
    <definedName name="Credit_18">'Salary Credits'!$I$18</definedName>
    <definedName name="Credit_19">'Salary Credits'!$E$19</definedName>
    <definedName name="Credit_2">'Salary Credits'!$G$13</definedName>
    <definedName name="Credit_20">'Salary Credits'!$G$19</definedName>
    <definedName name="Credit_21">'Salary Credits'!$I$19</definedName>
    <definedName name="Credit_22">'Salary Credits'!$E$20</definedName>
    <definedName name="Credit_23">'Salary Credits'!$G$20</definedName>
    <definedName name="Credit_24">'Salary Credits'!$I$20</definedName>
    <definedName name="Credit_25">'Salary Credits'!$E$21</definedName>
    <definedName name="Credit_3">'Salary Credits'!$I$13</definedName>
    <definedName name="Credit_4">'Salary Credits'!$E$14</definedName>
    <definedName name="Credit_5">'Salary Credits'!$G$14</definedName>
    <definedName name="Credit_6">'Salary Credits'!$I$14</definedName>
    <definedName name="Credit_7">'Salary Credits'!$E$15</definedName>
    <definedName name="Credit_8">'Salary Credits'!$G$15</definedName>
    <definedName name="Credit_9">'Salary Credits'!$I$15</definedName>
    <definedName name="CREDITCARD_EXPENSE_MULTIPLIER">'Configurable Items'!$E$53</definedName>
    <definedName name="CS_Number" localSheetId="15">'Bridging Loan Calculator'!$L$42</definedName>
    <definedName name="D_BP_BP">'Internal Ref'!$X$215</definedName>
    <definedName name="D_BP_INV">'Internal Ref'!$W$215</definedName>
    <definedName name="D_BP_Label">'Internal Ref'!$AA$215</definedName>
    <definedName name="D_BP_Rate">'Internal Ref'!$Z$215</definedName>
    <definedName name="D_BP_Term">'Internal Ref'!$Y$215</definedName>
    <definedName name="D_BP_UMI">'Internal Ref'!$V$215</definedName>
    <definedName name="DEFAULT_DIVIDEND_YIELD">'Configurable Items'!$E$54</definedName>
    <definedName name="DEFAULT_INTEREST_YIELD">'Configurable Items'!$E$55</definedName>
    <definedName name="DEFAULT_MAX_BORROW_TERM">'Configurable Items'!$E$56</definedName>
    <definedName name="DEFAULT_MORTGAGE_LINE_OF_CREDIT_TERM">'Configurable Items'!$E$57</definedName>
    <definedName name="DEFAULT_MORTGAGE_LOAN_TERM">'Configurable Items'!$E$58</definedName>
    <definedName name="DEFAULT_OTHER_LIABILITIES_TERM">'Configurable Items'!$E$61</definedName>
    <definedName name="DIVIDEND_SENSITIVITY_MULTIPLIER">'Configurable Items'!$E$63</definedName>
    <definedName name="DIVIDENDS_TAX_MULTIPLIER">'Configurable Items'!$E$62</definedName>
    <definedName name="Dollar_Value">'Construction Loan Calculator'!$P$13:$P$15</definedName>
    <definedName name="DTI_1">'Internal Ref'!$M$176:$M$178</definedName>
    <definedName name="DTI_2">'Internal Ref'!$N$176:$N$180</definedName>
    <definedName name="DTI_3">'Internal Ref'!$O$176:$O$181</definedName>
    <definedName name="DTI_4">'Internal Ref'!$P$176:$P$182</definedName>
    <definedName name="DTI_TO_USE">'Internal Ref'!$G$177</definedName>
    <definedName name="Dwelling" localSheetId="15">'Bridging Loan Calculator'!$F$15</definedName>
    <definedName name="ERMR_MULTIPLIER">'Configurable Items'!$E$64</definedName>
    <definedName name="ESTIMATED_CONVEYANCING_COSTS">'Configurable Items'!$E$52</definedName>
    <definedName name="EXPENSE_MULTIPLIER_HOME_LOANS">'Configurable Items'!$E$110</definedName>
    <definedName name="EXPENSE_MULTIPLIER_OTHER_LOANS">'Configurable Items'!$E$111</definedName>
    <definedName name="EXPENSE_MULTIPLIER_OTHER_LOANS_PL">'Configurable Items'!$E$112</definedName>
    <definedName name="ExternalData_1" localSheetId="23" hidden="1">'eAdmin File'!#REF!</definedName>
    <definedName name="ExternalData_1" localSheetId="24" hidden="1">'reference-data'!$A$1:$B$95</definedName>
    <definedName name="FC_APT">'Fee Calculator'!$D$28</definedName>
    <definedName name="FC_Breakfree">'Fee Calculator'!#REF!</definedName>
    <definedName name="FC_CapLMI">'Fee Calculator'!$D$26</definedName>
    <definedName name="FC_FHB">'Fee Calculator'!$D$15</definedName>
    <definedName name="FC_FHB_Income">'Fee Calculator'!$F$15</definedName>
    <definedName name="FC_Foreign">'Fee Calculator'!$F$9</definedName>
    <definedName name="FC_Guarantee">'Fee Calculator'!#REF!</definedName>
    <definedName name="FC_LockRate">'Fee Calculator'!$D$17</definedName>
    <definedName name="Fixed">'Configurable Items'!$E$4516:$E$4519</definedName>
    <definedName name="FXT">'Lock Rate Calculator'!$H$12</definedName>
    <definedName name="GC_ANZ_Lend">#REF!</definedName>
    <definedName name="GC_FHB">#REF!</definedName>
    <definedName name="GC_Foreign">#REF!</definedName>
    <definedName name="GEARING_COMM_RENT_SENSITISATION_VALUE">'Configurable Items'!$E$123</definedName>
    <definedName name="GEARING_RENT_SENSITISATION_VALUE">'Configurable Items'!$E$121</definedName>
    <definedName name="Government">'Configurable Items'!$F$4394:$F$4403</definedName>
    <definedName name="GUARANTEE_ADMINISTRATION_FEE">'Configurable Items'!$E$4410</definedName>
    <definedName name="HEM_COMM_RENT_SENSITISATION_VALUE">'Configurable Items'!$E$122</definedName>
    <definedName name="HEM_RENT_SENSITISATION_VALUE">'Configurable Items'!$E$120</definedName>
    <definedName name="HL_GT80_RATE">'Configurable Items'!$E$5065</definedName>
    <definedName name="HL_INDEX_RATE">'Configurable Items'!$E$5063</definedName>
    <definedName name="HousingDefault">'Configurable Items'!$D$4791:$F$4797</definedName>
    <definedName name="INTEREST_SENSITIVITY_MULTIPLIER">'Configurable Items'!$E$65</definedName>
    <definedName name="INTEREST_TAX_MULTIPLIER">'Configurable Items'!$E$66</definedName>
    <definedName name="INV">'Lock Rate Calculator'!$H$13</definedName>
    <definedName name="INVFIO1">'Configurable Items'!$G$4667:$G$4669</definedName>
    <definedName name="INVFIO10">'Configurable Items'!$G$4685:$G$4687</definedName>
    <definedName name="INVFIO2">'Configurable Items'!$G$4670:$G$4672</definedName>
    <definedName name="INVFIO3">'Configurable Items'!$G$4673:$G$4675</definedName>
    <definedName name="INVFIO4">'Configurable Items'!$G$4676:$G$4678</definedName>
    <definedName name="INVFIO5">'Configurable Items'!$G$4679:$G$4681</definedName>
    <definedName name="INVFIO7">'Configurable Items'!$G$4682:$G$4684</definedName>
    <definedName name="INVFPI">'Configurable Items'!$G$4652:$G$4666</definedName>
    <definedName name="INVFPI1">'Configurable Items'!$G$4652:$G$4653</definedName>
    <definedName name="INVFPI10">'Configurable Items'!$G$4664:$G$4666</definedName>
    <definedName name="INVFPI2">'Configurable Items'!$G$4654:$G$4655</definedName>
    <definedName name="INVFPI3">'Configurable Items'!$G$4656:$G$4657</definedName>
    <definedName name="INVFPI4">'Configurable Items'!$G$4658:$G$4659</definedName>
    <definedName name="INVFPI5">'Configurable Items'!$G$4660:$G$4661</definedName>
    <definedName name="INVFPI7">'Configurable Items'!$G$4662:$G$4663</definedName>
    <definedName name="INVList">'Configurable Items'!$J$4523:$J$4530</definedName>
    <definedName name="INVVIO1">'Configurable Items'!$G$4577:$G$4583</definedName>
    <definedName name="INVVIO10">'Configurable Items'!$G$4619:$G$4625</definedName>
    <definedName name="INVVIO2">'Configurable Items'!$G$4584:$G$4590</definedName>
    <definedName name="INVVIO3">'Configurable Items'!$G$4591:$G$4597</definedName>
    <definedName name="INVVIO4">'Configurable Items'!$G$4598:$G$4604</definedName>
    <definedName name="INVVIO5">'Configurable Items'!$G$4605:$G$4611</definedName>
    <definedName name="INVVIO7">'Configurable Items'!$G$4612:$G$4618</definedName>
    <definedName name="INVVPI">'Configurable Items'!$G$4570:$G$4576</definedName>
    <definedName name="Irregular_Types">'Configurable Items'!$E$4950:$E$4952</definedName>
    <definedName name="JOINT_LIVING_EXPENSE">'Configurable Items'!#REF!</definedName>
    <definedName name="LblCredit_1">'Salary Credits'!$D$13</definedName>
    <definedName name="LblCredit_10">'Salary Credits'!$D$16</definedName>
    <definedName name="LblCredit_11">'Salary Credits'!$F$16</definedName>
    <definedName name="LblCredit_12">'Salary Credits'!$H$16</definedName>
    <definedName name="LblCredit_13">'Salary Credits'!$D$17</definedName>
    <definedName name="LblCredit_14">'Salary Credits'!$F$17</definedName>
    <definedName name="LblCredit_15">'Salary Credits'!$H$17</definedName>
    <definedName name="LblCredit_16">'Salary Credits'!$D$18</definedName>
    <definedName name="LblCredit_17">'Salary Credits'!$F$18</definedName>
    <definedName name="LblCredit_18">'Salary Credits'!$H$18</definedName>
    <definedName name="LblCredit_19">'Salary Credits'!$D$19</definedName>
    <definedName name="LblCredit_2">'Salary Credits'!$F$13</definedName>
    <definedName name="LblCredit_20">'Salary Credits'!$F$19</definedName>
    <definedName name="LblCredit_21">'Salary Credits'!$H$19</definedName>
    <definedName name="LblCredit_22">'Salary Credits'!$D$20</definedName>
    <definedName name="LblCredit_23">'Salary Credits'!$F$20</definedName>
    <definedName name="LblCredit_24">'Salary Credits'!$H$20</definedName>
    <definedName name="LblCredit_25">'Salary Credits'!$D$21</definedName>
    <definedName name="LblCredit_3">'Salary Credits'!$H$13</definedName>
    <definedName name="LblCredit_4">'Salary Credits'!$D$14</definedName>
    <definedName name="LblCredit_5">'Salary Credits'!$F$14</definedName>
    <definedName name="LblCredit_6">'Salary Credits'!$H$14</definedName>
    <definedName name="LblCredit_7">'Salary Credits'!$D$15</definedName>
    <definedName name="LblCredit_8">'Salary Credits'!$F$15</definedName>
    <definedName name="LblCredit_9">'Salary Credits'!$H$15</definedName>
    <definedName name="Liabilities_List">'Configurable Items'!$D$4778:$D$4787</definedName>
    <definedName name="LMI_ExistingLend">'LMI Qualifier'!$D$9</definedName>
    <definedName name="LMI_MASTER_TCL_LIMIT">'Configurable Items'!$E$140</definedName>
    <definedName name="LMI_MODIFIER_MAX">'Configurable Items'!$E$103</definedName>
    <definedName name="LMI_MODIFIER_MIN">'Configurable Items'!$E$104</definedName>
    <definedName name="LMI_ONAPP_TCL_LIMIT">'Configurable Items'!$E$141</definedName>
    <definedName name="LMI_PMT_RATE">'Configurable Items'!$E$67</definedName>
    <definedName name="lmiStampDutyRate">'Configurable Items'!$D$965:$F$974</definedName>
    <definedName name="LMR">'Lock Rate Calculator'!$I$10</definedName>
    <definedName name="LND">'Construction Loan Calculator'!$F$15</definedName>
    <definedName name="LOAN_APPROVAL_FEE">'Configurable Items'!$E$50</definedName>
    <definedName name="LOCK_RATE_FEE">'Configurable Items'!$E$127</definedName>
    <definedName name="LoDoc_Evidence">'Configurable Items'!$D$4819:$D$4824</definedName>
    <definedName name="LS_Number" localSheetId="15">'Bridging Loan Calculator'!$C$42</definedName>
    <definedName name="LVR">'Lock Rate Calculator'!$H$15</definedName>
    <definedName name="LVR_GUAR_APP">'Configurable Items'!$E$4409</definedName>
    <definedName name="LVR_GUAR_GUAR">'Configurable Items'!$E$4408</definedName>
    <definedName name="LVR_GUAR_SEC">'Configurable Items'!$E$4407</definedName>
    <definedName name="mandatorySuperannuationContributions">'Configurable Items'!$E$78</definedName>
    <definedName name="Max_Bridging" localSheetId="15">'Bridging Loan Calculator'!$G$56</definedName>
    <definedName name="MAX_CC">'Configurable Items'!$E$129</definedName>
    <definedName name="MAX_PL">'Configurable Items'!$E$128</definedName>
    <definedName name="MAX_Residual" localSheetId="15">'Bridging Loan Calculator'!$G$64</definedName>
    <definedName name="MDF">'Configurable Items'!$D$878:$E$885</definedName>
    <definedName name="MINIMUM_LMI_PREMIUM">'Configurable Items'!$E$101</definedName>
    <definedName name="ML_CALC_VERSION">'Configurable Items'!$E$8</definedName>
    <definedName name="NHC_Agent_Percent">'Configurable Items'!#REF!</definedName>
    <definedName name="NP_Address" localSheetId="15">'Bridging Loan Calculator'!$E$9</definedName>
    <definedName name="NP_Investment" localSheetId="15">'Bridging Loan Calculator'!$G$16</definedName>
    <definedName name="NP_LandPrice" localSheetId="15">'Bridging Loan Calculator'!$G$18</definedName>
    <definedName name="NP_MaxLVR" localSheetId="15">'Bridging Loan Calculator'!$G$14</definedName>
    <definedName name="NP_Property_Type" localSheetId="15">'Bridging Loan Calculator'!$F$13</definedName>
    <definedName name="NP_Purchase_Costs" localSheetId="15">'Bridging Loan Calculator'!$G$19</definedName>
    <definedName name="NP_Purchase_Price" localSheetId="15">'Bridging Loan Calculator'!$G$17</definedName>
    <definedName name="NP_State" localSheetId="15">'Bridging Loan Calculator'!$G$11</definedName>
    <definedName name="NP_T_LandPrice" localSheetId="15">'Bridging Loan Calculator'!$D$17</definedName>
    <definedName name="NP_T_Price" localSheetId="15">'Bridging Loan Calculator'!$D$18</definedName>
    <definedName name="NUMBER_SOPs">'Internal Ref'!$G$176</definedName>
    <definedName name="OFI_LIST">'Configurable Items'!$D$4843:$D$4859</definedName>
    <definedName name="OFI_SENSITIVITY_RATE">'Configurable Items'!$E$45</definedName>
    <definedName name="OOFIO1">'Configurable Items'!$G$4637:$G$4639</definedName>
    <definedName name="OOFIO2">'Configurable Items'!$G$4640:$G$4642</definedName>
    <definedName name="OOFIO3">'Configurable Items'!$G$4643:$G$4645</definedName>
    <definedName name="OOFIO4">'Configurable Items'!$G$4646:$G$4648</definedName>
    <definedName name="OOFIO5">'Configurable Items'!$G$4649:$G$4651</definedName>
    <definedName name="OOFPI">'Configurable Items'!$G$4626:$G$4636</definedName>
    <definedName name="OOFPI1">'Configurable Items'!$G$4626:$G$4627</definedName>
    <definedName name="OOFPI2">'Configurable Items'!$G$4628:$G$4629</definedName>
    <definedName name="OOFPI3">'Configurable Items'!$G$4630:$G$4631</definedName>
    <definedName name="OOFPI4">'Configurable Items'!$G$4632:$G$4633</definedName>
    <definedName name="OOFPI5">'Configurable Items'!$G$4634:$G$4636</definedName>
    <definedName name="OOList">'Configurable Items'!$G$4523:$G$4528</definedName>
    <definedName name="OOVIO1">'Configurable Items'!$G$4555:$G$4557</definedName>
    <definedName name="OOVIO2">'Configurable Items'!$G$4558:$G$4560</definedName>
    <definedName name="OOVIO3">'Configurable Items'!$G$4561:$G$4563</definedName>
    <definedName name="OOVIO4">'Configurable Items'!$G$4564:$G$4566</definedName>
    <definedName name="OOVIO5">'Configurable Items'!$G$4567:$G$4569</definedName>
    <definedName name="OOVPI">'Configurable Items'!$G$4548:$G$4554</definedName>
    <definedName name="Other">'Configurable Items'!$F$4390:$F$4393</definedName>
    <definedName name="OTHER_INCOME_SENSITIVITY_MULTIPLIER">'Configurable Items'!$E$113</definedName>
    <definedName name="OTHER_INCOMES">'Configurable Items'!$D$4692:$D$4700</definedName>
    <definedName name="Overseas">'Configurable Items'!$E$4720:$E$4730</definedName>
    <definedName name="OVERTIME_SENSITIVITY_MULTIPLIER">'Configurable Items'!$E$100</definedName>
    <definedName name="P_A3">'Construction Loan Calculator'!$F$18</definedName>
    <definedName name="P_Bool1">'Construction Loan Calculator'!$F$15</definedName>
    <definedName name="P_Bool2">'Construction Loan Calculator'!$F$16</definedName>
    <definedName name="P_Q2">'Construction Loan Calculator'!$D$16</definedName>
    <definedName name="P_Q3">'Construction Loan Calculator'!$D$18</definedName>
    <definedName name="PAYG_Types">'Configurable Items'!$D$4734:$D$4741</definedName>
    <definedName name="PAYGAdd">'Configurable Items'!$D$4756:$D$4758</definedName>
    <definedName name="Peak_Debt" localSheetId="15">'Bridging Loan Calculator'!$G$48</definedName>
    <definedName name="PER">'Construction Loan Calculator'!$N$11</definedName>
    <definedName name="PER_CHILD_LIVING_EXPENSE">'Configurable Items'!#REF!</definedName>
    <definedName name="Percent_Dollar">'Construction Loan Calculator'!#REF!</definedName>
    <definedName name="Percent_Value">'Construction Loan Calculator'!$O$13:$O$16</definedName>
    <definedName name="PL_FIX_ONLINE_SENSITIVITY_RATE">'Configurable Items'!$E$49</definedName>
    <definedName name="PL_Fix_Rates">'Configurable Items'!$E$3931:$M$3936</definedName>
    <definedName name="PL_FIX_SENSITIVITY_RATE">'Configurable Items'!$E$47</definedName>
    <definedName name="PL_INDEX_RATE">'Configurable Items'!$E$5111</definedName>
    <definedName name="PL_OTHER_INCOME_SENSITIVITY_MULTIPLIER">'Configurable Items'!$E$114</definedName>
    <definedName name="PL_VAR_ONLINE_SENSITIVITY_RATE">'Configurable Items'!$E$48</definedName>
    <definedName name="PL_Var_Rates">'Configurable Items'!$E$3925:$M$3930</definedName>
    <definedName name="PL_VAR_SENSITIVITY_RATE">'Configurable Items'!$E$46</definedName>
    <definedName name="POST2360">'Configurable Items'!$F$1359:$F$1378</definedName>
    <definedName name="POST4671">'Configurable Items'!$F$2755:$F$2789</definedName>
    <definedName name="POST4702">'Configurable Items'!$F$2802:$F$2889</definedName>
    <definedName name="PP_Add_Funds">'Construction Loan Calculator'!$Q$13:$Q$16</definedName>
    <definedName name="PP_Borrow_Funds">'Construction Loan Calculator'!$R$13:$R$16</definedName>
    <definedName name="PP_CC1">'Construction Loan Calculator'!$Q$12</definedName>
    <definedName name="PP_CC2">'Construction Loan Calculator'!$Q$13</definedName>
    <definedName name="PP_CC3">'Construction Loan Calculator'!$Q$14</definedName>
    <definedName name="PP_CC4">'Construction Loan Calculator'!$Q$15</definedName>
    <definedName name="PP_CC5">'Construction Loan Calculator'!$Q$16</definedName>
    <definedName name="PP_CC6">'Construction Loan Calculator'!$Q$17</definedName>
    <definedName name="PP_D1">'Construction Loan Calculator'!$P$12</definedName>
    <definedName name="PP_D2">'Construction Loan Calculator'!$P$13</definedName>
    <definedName name="PP_D3">'Construction Loan Calculator'!$P$14</definedName>
    <definedName name="PP_D4">'Construction Loan Calculator'!$P$15</definedName>
    <definedName name="PP_D5">'Construction Loan Calculator'!$P$16</definedName>
    <definedName name="PP_D6">'Construction Loan Calculator'!$P$17</definedName>
    <definedName name="PP_FB1">'Construction Loan Calculator'!$R$12</definedName>
    <definedName name="PP_FB2">'Construction Loan Calculator'!$R$13</definedName>
    <definedName name="PP_FB3">'Construction Loan Calculator'!$R$14</definedName>
    <definedName name="PP_FB4">'Construction Loan Calculator'!$R$15</definedName>
    <definedName name="PP_FB5">'Construction Loan Calculator'!$R$16</definedName>
    <definedName name="PP_FB6">'Construction Loan Calculator'!$R$17</definedName>
    <definedName name="PP_P1">'Construction Loan Calculator'!$O$12</definedName>
    <definedName name="PP_P2">'Construction Loan Calculator'!$O$13</definedName>
    <definedName name="PP_P3">'Construction Loan Calculator'!$O$14</definedName>
    <definedName name="PP_P4">'Construction Loan Calculator'!$O$15</definedName>
    <definedName name="PP_P5">'Construction Loan Calculator'!$O$16</definedName>
    <definedName name="PP_P6">'Construction Loan Calculator'!$O$17</definedName>
    <definedName name="PRICING_REASONS">'Configurable Items'!$D$4836:$D$4839</definedName>
    <definedName name="_xlnm.Print_Area" localSheetId="15">'Bridging Loan Calculator'!$A$1:$S$91</definedName>
    <definedName name="_xlnm.Print_Area" localSheetId="16">BRIDGING_PDF!$B$1:$AF$34</definedName>
    <definedName name="_xlnm.Print_Area" localSheetId="19">CNST_PDF!$A$1:$AS$40</definedName>
    <definedName name="_xlnm.Print_Area" localSheetId="18">'Construction Loan Calculator'!$A$1:$X$32</definedName>
    <definedName name="_xlnm.Print_Area" localSheetId="12">'LMI Qualifier'!$A$1:$Q$52</definedName>
    <definedName name="_xlnm.Print_Area" localSheetId="20">'Security Swap Calculator'!$A$1:$Q$38</definedName>
    <definedName name="_xlnm.Print_Area" localSheetId="6">'SoP 1'!$A$1:$U$182</definedName>
    <definedName name="_xlnm.Print_Area" localSheetId="7">'SoP 2'!$A$1:$U$146</definedName>
    <definedName name="_xlnm.Print_Area" localSheetId="8">'SoP 3'!$A$1:$U$146</definedName>
    <definedName name="_xlnm.Print_Area" localSheetId="9">'SoP 4'!$A$1:$U$146</definedName>
    <definedName name="_xlnm.Print_Area" localSheetId="21">SWAP_PDF!$B$1:$Y$36</definedName>
    <definedName name="PropertyTypeValues">'Configurable Items'!$D$352:$D$363</definedName>
    <definedName name="PURPOSES">'Configurable Items'!$D$986:$I$1011</definedName>
    <definedName name="R_Current_loan" localSheetId="15">'Bridging Loan Calculator'!$G$62</definedName>
    <definedName name="R_Loan_Amount" localSheetId="15">'Bridging Loan Calculator'!$G$61</definedName>
    <definedName name="RENTAL_SENSITIVITY_MULTIPLIER">'Configurable Items'!$E$71</definedName>
    <definedName name="RENTAL_SENSITIVITY_MULTIPLIER_CCARDS">'Configurable Items'!$E$70</definedName>
    <definedName name="RENTAL_SENSITIVITY_MULTIPLIER_OLD">'Configurable Items'!$E$70</definedName>
    <definedName name="RENTAL_YIELD_CAP">'Configurable Items'!$E$91</definedName>
    <definedName name="RESI_INVESTMENT_EXPENSE_SENSITIVITY_MULTIPLIER">'Configurable Items'!$E$73</definedName>
    <definedName name="RI_INDEX_RATE">'Configurable Items'!$E$5112</definedName>
    <definedName name="RIL_GT80_RATE">'Configurable Items'!$E$5086</definedName>
    <definedName name="RIL_INDEX_RATE">'Configurable Items'!$E$5084</definedName>
    <definedName name="ROM">'Configurable Items'!$D$865:$E$872</definedName>
    <definedName name="RTP">'Lock Rate Calculator'!$H$14</definedName>
    <definedName name="S1_DTI">'SoP 4'!$H$132</definedName>
    <definedName name="SAL_CREDIT_OPTIONS">'Configurable Items'!$E$4938:$E$4941</definedName>
    <definedName name="SE_SHADING_THRESHOLD">'Configurable Items'!$E$126</definedName>
    <definedName name="SEAdd">'Configurable Items'!$D$4752:$D$4755</definedName>
    <definedName name="SINGLE_LIVING_EXPENSE">'Configurable Items'!#REF!</definedName>
    <definedName name="SoP1_PropList">'Internal Ref'!$AX$460:$AX$462</definedName>
    <definedName name="SP_UNDER80">'Configurable Items'!$E$5062</definedName>
    <definedName name="SPI_UNDER80">'Configurable Items'!$E$5083</definedName>
    <definedName name="SS_CC_Prch_Costs" localSheetId="20">'Security Swap Calculator'!$M$16</definedName>
    <definedName name="SS_CC_Prch_Price" localSheetId="20">'Security Swap Calculator'!$M$15</definedName>
    <definedName name="SS_CC_Sale_Costs" localSheetId="20">'Security Swap Calculator'!$F$16</definedName>
    <definedName name="SS_CC_Sale_Price" localSheetId="20">'Security Swap Calculator'!$F$15</definedName>
    <definedName name="SS_CUR_LVR" localSheetId="20">'Security Swap Calculator'!$F$20</definedName>
    <definedName name="SS_LD_Loan_Amount" localSheetId="20">'Security Swap Calculator'!$F$9</definedName>
    <definedName name="SS_NEW_LVR" localSheetId="20">'Security Swap Calculator'!$M$20</definedName>
    <definedName name="SuperAnnuities">'Configurable Items'!$E$4718:$E$4719</definedName>
    <definedName name="Tax_Status">'Configurable Items'!$E$4945:$E$4946</definedName>
    <definedName name="TOC_LAND_Value">'Construction Loan Calculator'!#REF!</definedName>
    <definedName name="Total_Bridging_Component" localSheetId="15">'Bridging Loan Calculator'!$G$55</definedName>
    <definedName name="TOTAL_DTI">'SoP 4'!$Q$139</definedName>
    <definedName name="TotalResidual" localSheetId="15">'Bridging Loan Calculator'!$G$63</definedName>
    <definedName name="TSF">'Configurable Items'!$D$890:$E$897</definedName>
    <definedName name="USABLE_EQUITY_LVR">'Configurable Items'!$E$4001</definedName>
    <definedName name="Variable">'Configurable Items'!$D$4516</definedName>
  </definedNames>
  <calcPr calcId="191029"/>
  <pivotCaches>
    <pivotCache cacheId="2" r:id="rId26"/>
    <pivotCache cacheId="3" r:id="rId2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09" i="11" l="1"/>
  <c r="C209" i="11"/>
  <c r="D209" i="11"/>
  <c r="E209" i="11"/>
  <c r="F210" i="11"/>
  <c r="F211" i="11"/>
  <c r="B212" i="11"/>
  <c r="C212" i="11"/>
  <c r="D212" i="11"/>
  <c r="E212" i="11"/>
  <c r="F212" i="11"/>
  <c r="I212" i="11"/>
  <c r="G215" i="11" a="1"/>
  <c r="G212" i="11" a="1"/>
  <c r="G213" i="11" a="1"/>
  <c r="G214" i="11" a="1"/>
  <c r="G213" i="11" l="1"/>
  <c r="G212" i="11"/>
  <c r="G214" i="11"/>
  <c r="G219" i="11" s="1"/>
  <c r="G224" i="11" s="1"/>
  <c r="G229" i="11" s="1"/>
  <c r="G215" i="11"/>
  <c r="F213" i="11"/>
  <c r="I213" i="11"/>
  <c r="F214" i="11"/>
  <c r="I214" i="11"/>
  <c r="F215" i="11"/>
  <c r="I215" i="11"/>
  <c r="F216" i="11"/>
  <c r="F218" i="11"/>
  <c r="F217" i="11" s="1"/>
  <c r="G217" i="11"/>
  <c r="G222" i="11" s="1"/>
  <c r="G227" i="11" s="1"/>
  <c r="I217" i="11"/>
  <c r="J217" i="11" s="1"/>
  <c r="G218" i="11"/>
  <c r="G223" i="11" s="1"/>
  <c r="G228" i="11" s="1"/>
  <c r="I218" i="11"/>
  <c r="J218" i="11" s="1"/>
  <c r="F219" i="11"/>
  <c r="I219" i="11"/>
  <c r="J219" i="11" s="1"/>
  <c r="F220" i="11"/>
  <c r="G220" i="11"/>
  <c r="G225" i="11" s="1"/>
  <c r="G230" i="11" s="1"/>
  <c r="I220" i="11"/>
  <c r="J220" i="11" s="1"/>
  <c r="F223" i="11"/>
  <c r="F221" i="11" s="1"/>
  <c r="I222" i="11"/>
  <c r="I223" i="11"/>
  <c r="F224" i="11"/>
  <c r="I224" i="11"/>
  <c r="F225" i="11"/>
  <c r="I225" i="11"/>
  <c r="I227" i="11"/>
  <c r="F228" i="11"/>
  <c r="I228" i="11"/>
  <c r="I229" i="11"/>
  <c r="I230" i="11"/>
  <c r="AE70" i="6"/>
  <c r="Z70" i="6"/>
  <c r="Q70" i="6"/>
  <c r="C70" i="6"/>
  <c r="Z69" i="6"/>
  <c r="Q69" i="6"/>
  <c r="C69" i="6"/>
  <c r="Z68" i="6"/>
  <c r="Q68" i="6"/>
  <c r="S68" i="6" s="1"/>
  <c r="C68" i="6"/>
  <c r="Z67" i="6"/>
  <c r="C67" i="6"/>
  <c r="Z66" i="6"/>
  <c r="C66" i="6"/>
  <c r="E65" i="6"/>
  <c r="C65" i="6"/>
  <c r="E64" i="6"/>
  <c r="C64" i="6"/>
  <c r="X63" i="6"/>
  <c r="E63" i="6"/>
  <c r="S63" i="6" s="1"/>
  <c r="C63" i="6"/>
  <c r="AA62" i="6"/>
  <c r="X62" i="6"/>
  <c r="E62" i="6"/>
  <c r="Y62" i="6" s="1"/>
  <c r="C62" i="6"/>
  <c r="E61" i="6"/>
  <c r="D61" i="6"/>
  <c r="E60" i="6"/>
  <c r="D60" i="6"/>
  <c r="E59" i="6"/>
  <c r="E58" i="6"/>
  <c r="E57" i="6"/>
  <c r="E56" i="6"/>
  <c r="E55" i="6"/>
  <c r="E54" i="6"/>
  <c r="AE52" i="6"/>
  <c r="Z52" i="6"/>
  <c r="Q52" i="6"/>
  <c r="S52" i="6" s="1"/>
  <c r="AC52" i="6" s="1"/>
  <c r="C52" i="6"/>
  <c r="Z51" i="6"/>
  <c r="Q51" i="6"/>
  <c r="S51" i="6" s="1"/>
  <c r="AC51" i="6" s="1"/>
  <c r="C51" i="6"/>
  <c r="Z50" i="6"/>
  <c r="Q50" i="6"/>
  <c r="C50" i="6"/>
  <c r="Z49" i="6"/>
  <c r="C49" i="6"/>
  <c r="Z48" i="6"/>
  <c r="C48" i="6"/>
  <c r="E47" i="6"/>
  <c r="C47" i="6"/>
  <c r="E46" i="6"/>
  <c r="S46" i="6" s="1"/>
  <c r="C46" i="6"/>
  <c r="X45" i="6"/>
  <c r="E45" i="6"/>
  <c r="S45" i="6" s="1"/>
  <c r="C45" i="6"/>
  <c r="AA44" i="6"/>
  <c r="E44" i="6"/>
  <c r="Y44" i="6" s="1"/>
  <c r="C44" i="6"/>
  <c r="E43" i="6"/>
  <c r="D43" i="6"/>
  <c r="E42" i="6"/>
  <c r="D42" i="6"/>
  <c r="E41" i="6"/>
  <c r="E40" i="6"/>
  <c r="E39" i="6"/>
  <c r="E38" i="6"/>
  <c r="E37" i="6"/>
  <c r="E36" i="6"/>
  <c r="AE49" i="6" a="1"/>
  <c r="Q67" i="6"/>
  <c r="Q66" i="6"/>
  <c r="Q48" i="6"/>
  <c r="AE44" i="6" a="1"/>
  <c r="Q65" i="6"/>
  <c r="F71" i="6" a="1"/>
  <c r="AE62" i="6" a="1"/>
  <c r="Q49" i="6"/>
  <c r="F53" i="6" a="1"/>
  <c r="Q47" i="6"/>
  <c r="AE67" i="6" a="1"/>
  <c r="Q62" i="6"/>
  <c r="AE63" i="6" a="1"/>
  <c r="AE45" i="6" a="1"/>
  <c r="Q45" i="6" l="1"/>
  <c r="Y45" i="6"/>
  <c r="G210" i="11"/>
  <c r="Y63" i="6"/>
  <c r="AB63" i="6" s="1"/>
  <c r="Y64" i="6"/>
  <c r="W65" i="6"/>
  <c r="AC63" i="6"/>
  <c r="W66" i="6"/>
  <c r="S66" i="6"/>
  <c r="AC66" i="6" s="1"/>
  <c r="AE67" i="6"/>
  <c r="S67" i="6" s="1"/>
  <c r="AE62" i="6"/>
  <c r="S62" i="6" s="1"/>
  <c r="AE63" i="6"/>
  <c r="F71" i="6"/>
  <c r="W62" i="6"/>
  <c r="S65" i="6"/>
  <c r="AC65" i="6" s="1"/>
  <c r="S69" i="6"/>
  <c r="AC69" i="6" s="1"/>
  <c r="X44" i="6"/>
  <c r="AD64" i="6" a="1"/>
  <c r="AD64" i="6" s="1"/>
  <c r="L64" i="6" s="1"/>
  <c r="S70" i="6"/>
  <c r="AC70" i="6" s="1"/>
  <c r="AO62" i="6"/>
  <c r="Y65" i="6"/>
  <c r="AB65" i="6" s="1"/>
  <c r="AC68" i="6"/>
  <c r="Y46" i="6"/>
  <c r="W45" i="6"/>
  <c r="AC45" i="6"/>
  <c r="W47" i="6"/>
  <c r="F53" i="6"/>
  <c r="W48" i="6"/>
  <c r="S48" i="6"/>
  <c r="AC48" i="6"/>
  <c r="AE49" i="6"/>
  <c r="S49" i="6" s="1"/>
  <c r="AE44" i="6"/>
  <c r="AE45" i="6"/>
  <c r="AB45" i="6"/>
  <c r="S50" i="6"/>
  <c r="AC50" i="6" s="1"/>
  <c r="S47" i="6"/>
  <c r="AC47" i="6" s="1"/>
  <c r="AO44" i="6"/>
  <c r="Y47" i="6"/>
  <c r="AB47" i="6" s="1"/>
  <c r="BB722" i="21"/>
  <c r="N727" i="21"/>
  <c r="N728" i="21"/>
  <c r="N731" i="21"/>
  <c r="N732" i="21"/>
  <c r="N733" i="21"/>
  <c r="N734" i="21"/>
  <c r="N735" i="21"/>
  <c r="N736" i="21"/>
  <c r="N739" i="21"/>
  <c r="N740" i="21"/>
  <c r="N741" i="21"/>
  <c r="N742" i="21"/>
  <c r="AC112" i="8"/>
  <c r="AC112" i="5"/>
  <c r="AC112" i="7"/>
  <c r="Q46" i="6"/>
  <c r="Q63" i="6"/>
  <c r="Q64" i="6"/>
  <c r="AD46" i="6" a="1"/>
  <c r="Q44" i="6"/>
  <c r="W63" i="6" l="1"/>
  <c r="S64" i="6"/>
  <c r="AC64" i="6" s="1"/>
  <c r="AB62" i="6"/>
  <c r="AC62" i="6"/>
  <c r="AC67" i="6"/>
  <c r="L46" i="6"/>
  <c r="W44" i="6"/>
  <c r="W64" i="6"/>
  <c r="AB64" i="6"/>
  <c r="S44" i="6"/>
  <c r="AC44" i="6" s="1"/>
  <c r="AE71" i="6"/>
  <c r="AD46" i="6"/>
  <c r="AC49" i="6"/>
  <c r="W46" i="6"/>
  <c r="AC46" i="6"/>
  <c r="AB46" i="6"/>
  <c r="AE53" i="6"/>
  <c r="AC148" i="6"/>
  <c r="AN62" i="6"/>
  <c r="AN44" i="6"/>
  <c r="AB44" i="6" l="1"/>
  <c r="AL62" i="6"/>
  <c r="AL44" i="6"/>
  <c r="M9" i="9"/>
  <c r="K9" i="9"/>
  <c r="J9" i="9"/>
  <c r="BB592" i="21"/>
  <c r="BB593" i="21" s="1"/>
  <c r="BB594" i="21" s="1"/>
  <c r="BB595" i="21" s="1"/>
  <c r="BB673" i="21" s="1"/>
  <c r="BB674" i="21" s="1"/>
  <c r="BB675" i="21" s="1"/>
  <c r="BB676" i="21" s="1"/>
  <c r="BB677" i="21" s="1"/>
  <c r="BB678" i="21" s="1"/>
  <c r="BB679" i="21" s="1"/>
  <c r="BB680" i="21" s="1"/>
  <c r="BB681" i="21" s="1"/>
  <c r="BB682" i="21" s="1"/>
  <c r="BB683" i="21" s="1"/>
  <c r="BB721" i="21" s="1"/>
  <c r="AK65" i="6" l="1" a="1"/>
  <c r="AK65" i="6" s="1"/>
  <c r="AK66" i="6"/>
  <c r="AK64" i="6" a="1"/>
  <c r="AK64" i="6" s="1"/>
  <c r="AK63" i="6" a="1"/>
  <c r="AK63" i="6" s="1"/>
  <c r="AK62" i="6" a="1"/>
  <c r="AK62" i="6" s="1"/>
  <c r="AK47" i="6" a="1"/>
  <c r="AK47" i="6" s="1"/>
  <c r="AK44" i="6" a="1"/>
  <c r="AK44" i="6" s="1"/>
  <c r="AK46" i="6" a="1"/>
  <c r="AK46" i="6" s="1"/>
  <c r="AK48" i="6"/>
  <c r="AK45" i="6" a="1"/>
  <c r="AK45" i="6" s="1"/>
  <c r="AJ84" i="6"/>
  <c r="AC84" i="6"/>
  <c r="AB84" i="6"/>
  <c r="Q84" i="6"/>
  <c r="AF84" i="6" l="1"/>
  <c r="AL84" i="6" s="1"/>
  <c r="AE84" i="6"/>
  <c r="AD84" i="6"/>
  <c r="Z84" i="6"/>
  <c r="AI84" i="6" l="1"/>
  <c r="AK84" i="6"/>
  <c r="P16" i="35"/>
  <c r="P15" i="35"/>
  <c r="P14" i="35"/>
  <c r="P13" i="35"/>
  <c r="P12" i="35"/>
  <c r="AG84" i="6" l="1"/>
  <c r="AH84" i="6"/>
  <c r="D33" i="9"/>
  <c r="R252" i="11" l="1"/>
  <c r="U252" i="11"/>
  <c r="H197" i="11"/>
  <c r="AG67" i="7" l="1"/>
  <c r="AC67" i="7"/>
  <c r="AB67" i="7"/>
  <c r="Q67" i="7" l="1"/>
  <c r="AF67" i="7"/>
  <c r="AA67" i="7"/>
  <c r="S67" i="7" s="1"/>
  <c r="AD67" i="7"/>
  <c r="AE67" i="7"/>
  <c r="AG103" i="6" l="1"/>
  <c r="AC103" i="6"/>
  <c r="AB103" i="6"/>
  <c r="AA103" i="6" l="1"/>
  <c r="AE103" i="6"/>
  <c r="AF103" i="6"/>
  <c r="AD103" i="6"/>
  <c r="I6" i="56" a="1"/>
  <c r="I6" i="56" l="1"/>
  <c r="I12" i="56" s="1"/>
  <c r="E29" i="6"/>
  <c r="E28" i="6"/>
  <c r="E27" i="6"/>
  <c r="E26" i="6"/>
  <c r="H16" i="56" l="1"/>
  <c r="A1" i="56" l="1"/>
  <c r="G16" i="56" a="1"/>
  <c r="G16" i="56" l="1"/>
  <c r="G197" i="11" l="1"/>
  <c r="AE34" i="6" l="1"/>
  <c r="Z34" i="6"/>
  <c r="C34" i="6"/>
  <c r="Z33" i="6"/>
  <c r="C33" i="6"/>
  <c r="Z32" i="6"/>
  <c r="C32" i="6"/>
  <c r="Z31" i="6"/>
  <c r="C31" i="6"/>
  <c r="Z30" i="6"/>
  <c r="C30" i="6"/>
  <c r="C29" i="6"/>
  <c r="C28" i="6"/>
  <c r="X27" i="6"/>
  <c r="Y27" i="6"/>
  <c r="C27" i="6"/>
  <c r="AA26" i="6"/>
  <c r="Y26" i="6"/>
  <c r="C26" i="6"/>
  <c r="E25" i="6"/>
  <c r="D25" i="6"/>
  <c r="E24" i="6"/>
  <c r="D24" i="6"/>
  <c r="E23" i="6"/>
  <c r="E22" i="6"/>
  <c r="E21" i="6"/>
  <c r="E20" i="6"/>
  <c r="E19" i="6"/>
  <c r="E18" i="6"/>
  <c r="Q33" i="6"/>
  <c r="Q32" i="6"/>
  <c r="Q34" i="6"/>
  <c r="Q31" i="6"/>
  <c r="AD28" i="6" a="1"/>
  <c r="Q30" i="6"/>
  <c r="D213" i="11" l="1"/>
  <c r="AD28" i="6"/>
  <c r="S33" i="6"/>
  <c r="AC33" i="6" s="1"/>
  <c r="X26" i="6"/>
  <c r="S34" i="6"/>
  <c r="AC34" i="6" s="1"/>
  <c r="Y28" i="6"/>
  <c r="Y29" i="6"/>
  <c r="W30" i="6"/>
  <c r="S30" i="6"/>
  <c r="AC30" i="6" s="1"/>
  <c r="S32" i="6"/>
  <c r="AC32" i="6" s="1"/>
  <c r="E26" i="54"/>
  <c r="E27" i="54"/>
  <c r="E28" i="54"/>
  <c r="E29" i="54"/>
  <c r="E30" i="54"/>
  <c r="E31" i="54"/>
  <c r="E32" i="54"/>
  <c r="E25" i="54"/>
  <c r="Q26" i="6"/>
  <c r="O188" i="11" a="1"/>
  <c r="O189" i="11" a="1"/>
  <c r="O187" i="11" a="1"/>
  <c r="K217" i="11" l="1"/>
  <c r="J222" i="11"/>
  <c r="AL87" i="6"/>
  <c r="E136" i="6" s="1"/>
  <c r="O188" i="11"/>
  <c r="O187" i="11"/>
  <c r="O189" i="11"/>
  <c r="Q136" i="6"/>
  <c r="O190" i="11" a="1"/>
  <c r="L217" i="11" l="1" a="1"/>
  <c r="L217" i="11" s="1"/>
  <c r="O217" i="11"/>
  <c r="AK87" i="6"/>
  <c r="S136" i="6" s="1"/>
  <c r="O190" i="11"/>
  <c r="O191" i="11" a="1"/>
  <c r="N217" i="11" l="1"/>
  <c r="M218" i="11"/>
  <c r="O191" i="11"/>
  <c r="O192" i="11" a="1"/>
  <c r="O194" i="11" a="1"/>
  <c r="O193" i="11" a="1"/>
  <c r="O194" i="11" l="1"/>
  <c r="O193" i="11"/>
  <c r="O192" i="11"/>
  <c r="G10" i="54" l="1"/>
  <c r="G11" i="54" s="1"/>
  <c r="G12" i="54" s="1"/>
  <c r="H10" i="54"/>
  <c r="H11" i="54" s="1"/>
  <c r="H12" i="54" s="1"/>
  <c r="H13" i="54" s="1"/>
  <c r="I10" i="54"/>
  <c r="I11" i="54" s="1"/>
  <c r="F10" i="54"/>
  <c r="F11" i="54" s="1"/>
  <c r="G9" i="54"/>
  <c r="H9" i="54"/>
  <c r="I9" i="54"/>
  <c r="F9" i="54"/>
  <c r="A1" i="54"/>
  <c r="H32" i="54" l="1"/>
  <c r="H30" i="54"/>
  <c r="H29" i="54"/>
  <c r="H31" i="54"/>
  <c r="I12" i="54"/>
  <c r="I13" i="54" s="1"/>
  <c r="H25" i="54"/>
  <c r="H28" i="54"/>
  <c r="H26" i="54"/>
  <c r="H27" i="54"/>
  <c r="G13" i="54"/>
  <c r="H14" i="54"/>
  <c r="F12" i="54"/>
  <c r="F13" i="54" s="1"/>
  <c r="I26" i="54" l="1"/>
  <c r="I32" i="54"/>
  <c r="I30" i="54"/>
  <c r="I29" i="54"/>
  <c r="I31" i="54"/>
  <c r="F31" i="54"/>
  <c r="F32" i="54"/>
  <c r="F30" i="54"/>
  <c r="F29" i="54"/>
  <c r="G14" i="54"/>
  <c r="G32" i="54"/>
  <c r="G30" i="54"/>
  <c r="G31" i="54"/>
  <c r="G29" i="54"/>
  <c r="F14" i="54"/>
  <c r="I25" i="54"/>
  <c r="I28" i="54"/>
  <c r="I27" i="54"/>
  <c r="I14" i="54"/>
  <c r="G27" i="54"/>
  <c r="G26" i="54"/>
  <c r="G25" i="54"/>
  <c r="G28" i="54"/>
  <c r="F27" i="54"/>
  <c r="F25" i="54"/>
  <c r="F28" i="54"/>
  <c r="F26" i="54"/>
  <c r="Q34" i="5" l="1"/>
  <c r="Q34" i="8"/>
  <c r="AE34" i="5"/>
  <c r="AE34" i="8"/>
  <c r="AE34" i="7"/>
  <c r="Q34" i="7"/>
  <c r="E158" i="11" l="1"/>
  <c r="E157" i="11"/>
  <c r="AE31" i="7" a="1"/>
  <c r="AE27" i="5" a="1"/>
  <c r="AE26" i="8" a="1"/>
  <c r="AE26" i="6" a="1"/>
  <c r="AE31" i="8" a="1"/>
  <c r="AE26" i="5" a="1"/>
  <c r="F35" i="8" a="1"/>
  <c r="AE31" i="6" a="1"/>
  <c r="AE31" i="5" a="1"/>
  <c r="F35" i="5" a="1"/>
  <c r="AE26" i="7" a="1"/>
  <c r="AE27" i="7" a="1"/>
  <c r="AE27" i="6" a="1"/>
  <c r="AE27" i="8" a="1"/>
  <c r="AE27" i="6" l="1"/>
  <c r="AE26" i="6"/>
  <c r="AE31" i="6"/>
  <c r="S31" i="6" s="1"/>
  <c r="AE26" i="8"/>
  <c r="AE27" i="7"/>
  <c r="AE31" i="8"/>
  <c r="AE26" i="7"/>
  <c r="AE27" i="8"/>
  <c r="AE31" i="7"/>
  <c r="AE31" i="5"/>
  <c r="AE27" i="5"/>
  <c r="AE26" i="5"/>
  <c r="F35" i="5"/>
  <c r="F35" i="8"/>
  <c r="AE35" i="5" l="1"/>
  <c r="AC31" i="6"/>
  <c r="AE35" i="6"/>
  <c r="AE35" i="7"/>
  <c r="AE35" i="8"/>
  <c r="F35" i="7" a="1"/>
  <c r="F35" i="6" a="1"/>
  <c r="F35" i="6" l="1"/>
  <c r="F35" i="7"/>
  <c r="J237" i="11"/>
  <c r="G19" i="15"/>
  <c r="E27" i="7" l="1"/>
  <c r="S27" i="7" s="1"/>
  <c r="E27" i="5"/>
  <c r="S27" i="5" s="1"/>
  <c r="E27" i="8"/>
  <c r="S27" i="8" s="1"/>
  <c r="K10" i="34"/>
  <c r="Q33" i="7" l="1"/>
  <c r="Q32" i="7"/>
  <c r="Q31" i="7"/>
  <c r="S31" i="7" s="1"/>
  <c r="Q33" i="8"/>
  <c r="Q32" i="8"/>
  <c r="Q31" i="8"/>
  <c r="S31" i="8" s="1"/>
  <c r="Q33" i="5"/>
  <c r="Q32" i="5"/>
  <c r="Q31" i="5"/>
  <c r="S31" i="5" s="1"/>
  <c r="Q30" i="8"/>
  <c r="Q30" i="5"/>
  <c r="Q30" i="7"/>
  <c r="F4756" i="21" l="1"/>
  <c r="H51" i="6" l="1"/>
  <c r="Y51" i="6" s="1"/>
  <c r="H69" i="6"/>
  <c r="Y69" i="6" s="1"/>
  <c r="H50" i="6"/>
  <c r="Y50" i="6" s="1"/>
  <c r="H52" i="6"/>
  <c r="Y52" i="6" s="1"/>
  <c r="H70" i="6"/>
  <c r="Y70" i="6" s="1"/>
  <c r="H68" i="6"/>
  <c r="Y68" i="6" s="1"/>
  <c r="H33" i="6"/>
  <c r="Y33" i="6" s="1"/>
  <c r="AB33" i="6" s="1"/>
  <c r="H32" i="6"/>
  <c r="Y32" i="6" s="1"/>
  <c r="AB32" i="6" s="1"/>
  <c r="E29" i="5"/>
  <c r="E28" i="5"/>
  <c r="E26" i="5"/>
  <c r="Q26" i="5" s="1"/>
  <c r="E29" i="8"/>
  <c r="E28" i="8"/>
  <c r="E26" i="8"/>
  <c r="Q26" i="8" s="1"/>
  <c r="C34" i="5"/>
  <c r="C33" i="5"/>
  <c r="C32" i="5"/>
  <c r="C31" i="5"/>
  <c r="C30" i="5"/>
  <c r="C29" i="5"/>
  <c r="C28" i="5"/>
  <c r="C34" i="8"/>
  <c r="C33" i="8"/>
  <c r="C32" i="8"/>
  <c r="C31" i="8"/>
  <c r="C30" i="8"/>
  <c r="C29" i="8"/>
  <c r="C28" i="8"/>
  <c r="Z34" i="5"/>
  <c r="S34" i="5"/>
  <c r="AC34" i="5" s="1"/>
  <c r="Z33" i="5"/>
  <c r="Z32" i="5"/>
  <c r="Z31" i="5"/>
  <c r="Z30" i="5"/>
  <c r="Z34" i="8"/>
  <c r="S34" i="8"/>
  <c r="AC34" i="8" s="1"/>
  <c r="Z33" i="8"/>
  <c r="Z32" i="8"/>
  <c r="Z31" i="8"/>
  <c r="Z30" i="8"/>
  <c r="E25" i="5"/>
  <c r="E24" i="5"/>
  <c r="E23" i="5"/>
  <c r="E22" i="5"/>
  <c r="E21" i="5"/>
  <c r="E20" i="5"/>
  <c r="E19" i="5"/>
  <c r="E18" i="5"/>
  <c r="E25" i="8"/>
  <c r="E24" i="8"/>
  <c r="E23" i="8"/>
  <c r="E22" i="8"/>
  <c r="E21" i="8"/>
  <c r="E20" i="8"/>
  <c r="E19" i="8"/>
  <c r="E18" i="8"/>
  <c r="D25" i="5"/>
  <c r="D24" i="5"/>
  <c r="D25" i="8"/>
  <c r="D24" i="8"/>
  <c r="AB52" i="6" l="1"/>
  <c r="W52" i="6"/>
  <c r="AB70" i="6"/>
  <c r="W70" i="6"/>
  <c r="AB50" i="6"/>
  <c r="W50" i="6"/>
  <c r="AB69" i="6"/>
  <c r="W69" i="6"/>
  <c r="AB68" i="6"/>
  <c r="W68" i="6"/>
  <c r="E213" i="11"/>
  <c r="B213" i="11"/>
  <c r="AB51" i="6"/>
  <c r="W51" i="6"/>
  <c r="W33" i="6"/>
  <c r="W32" i="6"/>
  <c r="S30" i="5"/>
  <c r="AC30" i="5" s="1"/>
  <c r="W30" i="5"/>
  <c r="W30" i="8"/>
  <c r="S33" i="5"/>
  <c r="AC33" i="5" s="1"/>
  <c r="S32" i="5"/>
  <c r="AC32" i="5" s="1"/>
  <c r="AC31" i="5"/>
  <c r="S30" i="8"/>
  <c r="AC30" i="8" s="1"/>
  <c r="J224" i="11" l="1"/>
  <c r="K219" i="11"/>
  <c r="K220" i="11"/>
  <c r="J225" i="11"/>
  <c r="E18" i="7"/>
  <c r="E19" i="7"/>
  <c r="E20" i="7"/>
  <c r="E21" i="7"/>
  <c r="E22" i="7"/>
  <c r="E23" i="7"/>
  <c r="E24" i="7"/>
  <c r="E25" i="7"/>
  <c r="L220" i="11" l="1" a="1"/>
  <c r="L220" i="11" s="1"/>
  <c r="O220" i="11"/>
  <c r="L219" i="11" a="1"/>
  <c r="L219" i="11" s="1"/>
  <c r="O219" i="11"/>
  <c r="E28" i="7"/>
  <c r="E26" i="7"/>
  <c r="Q26" i="7" s="1"/>
  <c r="F4755" i="21"/>
  <c r="F4754" i="21"/>
  <c r="F4753" i="21"/>
  <c r="F4751" i="21"/>
  <c r="F4750" i="21"/>
  <c r="F4749" i="21"/>
  <c r="F4748" i="21"/>
  <c r="F4747" i="21"/>
  <c r="F4746" i="21"/>
  <c r="F4745" i="21"/>
  <c r="F4744" i="21"/>
  <c r="F4741" i="21"/>
  <c r="F4740" i="21"/>
  <c r="F4739" i="21"/>
  <c r="F4738" i="21"/>
  <c r="F4737" i="21"/>
  <c r="F4736" i="21"/>
  <c r="F4735" i="21"/>
  <c r="F4734" i="21"/>
  <c r="F4752" i="21"/>
  <c r="C34" i="7"/>
  <c r="C33" i="7"/>
  <c r="C32" i="7"/>
  <c r="C31" i="7"/>
  <c r="H67" i="6" l="1"/>
  <c r="Y67" i="6" s="1"/>
  <c r="H49" i="6"/>
  <c r="Y49" i="6" s="1"/>
  <c r="H66" i="6"/>
  <c r="Y66" i="6" s="1"/>
  <c r="AB66" i="6" s="1"/>
  <c r="H48" i="6"/>
  <c r="Y48" i="6" s="1"/>
  <c r="AB48" i="6" s="1"/>
  <c r="H31" i="6"/>
  <c r="Y31" i="6" s="1"/>
  <c r="H34" i="6"/>
  <c r="Y34" i="6" s="1"/>
  <c r="H30" i="6"/>
  <c r="H30" i="5"/>
  <c r="Y30" i="5" s="1"/>
  <c r="AB30" i="5" s="1"/>
  <c r="H33" i="5"/>
  <c r="Y33" i="5" s="1"/>
  <c r="AB33" i="5" s="1"/>
  <c r="H31" i="7"/>
  <c r="Y31" i="7" s="1"/>
  <c r="AB31" i="7" s="1"/>
  <c r="H34" i="5"/>
  <c r="Y34" i="5" s="1"/>
  <c r="AB34" i="5" s="1"/>
  <c r="H32" i="7"/>
  <c r="Y32" i="7" s="1"/>
  <c r="AB32" i="7" s="1"/>
  <c r="H33" i="7"/>
  <c r="Y33" i="7" s="1"/>
  <c r="AB33" i="7" s="1"/>
  <c r="H34" i="8"/>
  <c r="Y34" i="8" s="1"/>
  <c r="AB34" i="8" s="1"/>
  <c r="H31" i="8"/>
  <c r="Y31" i="8" s="1"/>
  <c r="AB31" i="8" s="1"/>
  <c r="H34" i="7"/>
  <c r="Y34" i="7" s="1"/>
  <c r="H32" i="8"/>
  <c r="Y32" i="8" s="1"/>
  <c r="AB32" i="8" s="1"/>
  <c r="H30" i="7"/>
  <c r="Y30" i="7" s="1"/>
  <c r="H33" i="8"/>
  <c r="Y33" i="8" s="1"/>
  <c r="AB33" i="8" s="1"/>
  <c r="H32" i="5"/>
  <c r="Y32" i="5" s="1"/>
  <c r="AB32" i="5" s="1"/>
  <c r="H30" i="8"/>
  <c r="Y30" i="8" s="1"/>
  <c r="AB30" i="8" s="1"/>
  <c r="H31" i="5"/>
  <c r="Y31" i="5" s="1"/>
  <c r="AB31" i="5" s="1"/>
  <c r="Z31" i="7"/>
  <c r="Z32" i="7"/>
  <c r="Z33" i="7"/>
  <c r="Z34" i="7"/>
  <c r="W49" i="6" l="1"/>
  <c r="AB49" i="6"/>
  <c r="W67" i="6"/>
  <c r="AB67" i="6"/>
  <c r="AB31" i="6"/>
  <c r="W31" i="6"/>
  <c r="AB34" i="6"/>
  <c r="W34" i="6"/>
  <c r="Y30" i="6"/>
  <c r="AB30" i="6" s="1"/>
  <c r="AO26" i="6"/>
  <c r="W34" i="8"/>
  <c r="W33" i="5"/>
  <c r="W31" i="5"/>
  <c r="W34" i="5"/>
  <c r="W32" i="5"/>
  <c r="W34" i="7"/>
  <c r="S34" i="7"/>
  <c r="AC34" i="7" s="1"/>
  <c r="AB34" i="7" l="1"/>
  <c r="W32" i="7"/>
  <c r="W33" i="7"/>
  <c r="S33" i="7"/>
  <c r="AC33" i="7" s="1"/>
  <c r="S32" i="7"/>
  <c r="AC32" i="7" s="1"/>
  <c r="AC31" i="7"/>
  <c r="W31" i="7"/>
  <c r="E154" i="11" l="1"/>
  <c r="E155" i="11"/>
  <c r="E156" i="11"/>
  <c r="I23" i="55" a="1"/>
  <c r="D25" i="55" a="1"/>
  <c r="I23" i="55" l="1"/>
  <c r="A1" i="55" s="1"/>
  <c r="D25" i="55"/>
  <c r="M784" i="21"/>
  <c r="M771" i="21"/>
  <c r="L786" i="21"/>
  <c r="M785" i="21" s="1"/>
  <c r="M773" i="21"/>
  <c r="M774" i="21"/>
  <c r="M775" i="21"/>
  <c r="M776" i="21"/>
  <c r="M777" i="21"/>
  <c r="M778" i="21"/>
  <c r="M779" i="21"/>
  <c r="M780" i="21"/>
  <c r="M781" i="21"/>
  <c r="M772" i="21"/>
  <c r="L787" i="21" l="1"/>
  <c r="L788" i="21" l="1"/>
  <c r="M786" i="21"/>
  <c r="L789" i="21" l="1"/>
  <c r="M787" i="21"/>
  <c r="L790" i="21" l="1"/>
  <c r="M788" i="21"/>
  <c r="L791" i="21" l="1"/>
  <c r="M789" i="21"/>
  <c r="L792" i="21" l="1"/>
  <c r="M790" i="21"/>
  <c r="L793" i="21" l="1"/>
  <c r="M791" i="21"/>
  <c r="Z30" i="7"/>
  <c r="C30" i="7"/>
  <c r="E29" i="7"/>
  <c r="C29" i="7"/>
  <c r="Y28" i="7"/>
  <c r="C28" i="7"/>
  <c r="X27" i="7"/>
  <c r="C27" i="7"/>
  <c r="AA26" i="7"/>
  <c r="Y26" i="7"/>
  <c r="C26" i="7"/>
  <c r="D25" i="7"/>
  <c r="D24" i="7"/>
  <c r="C213" i="11" l="1"/>
  <c r="Y27" i="7"/>
  <c r="Y29" i="7"/>
  <c r="X26" i="7"/>
  <c r="L794" i="21"/>
  <c r="M792" i="21"/>
  <c r="AD28" i="7" a="1"/>
  <c r="K218" i="11" l="1"/>
  <c r="J223" i="11"/>
  <c r="L795" i="21"/>
  <c r="M793" i="21"/>
  <c r="AD28" i="7"/>
  <c r="AO26" i="7"/>
  <c r="W30" i="7"/>
  <c r="S30" i="7"/>
  <c r="AB30" i="7" s="1"/>
  <c r="O218" i="11" l="1"/>
  <c r="L218" i="11" a="1"/>
  <c r="L218" i="11" s="1"/>
  <c r="AC30" i="7"/>
  <c r="L796" i="21"/>
  <c r="M794" i="21"/>
  <c r="Y29" i="5"/>
  <c r="X27" i="5"/>
  <c r="Y27" i="5"/>
  <c r="C27" i="5"/>
  <c r="AQ26" i="5"/>
  <c r="AA26" i="5"/>
  <c r="X26" i="5"/>
  <c r="Y26" i="5"/>
  <c r="C26" i="5"/>
  <c r="M220" i="11" l="1"/>
  <c r="M219" i="11"/>
  <c r="N218" i="11"/>
  <c r="N219" i="11" s="1"/>
  <c r="N220" i="11" s="1"/>
  <c r="L797" i="21"/>
  <c r="M795" i="21"/>
  <c r="AO26" i="5"/>
  <c r="Y28" i="5"/>
  <c r="AD28" i="5" a="1"/>
  <c r="AD28" i="5" s="1"/>
  <c r="L798" i="21" l="1"/>
  <c r="M796" i="21"/>
  <c r="AO4" i="11"/>
  <c r="AO5" i="11"/>
  <c r="AO6" i="11"/>
  <c r="AO3" i="11"/>
  <c r="AB48" i="5"/>
  <c r="L799" i="21" l="1"/>
  <c r="M798" i="21" s="1"/>
  <c r="M797" i="21"/>
  <c r="K203" i="11"/>
  <c r="AJ48" i="5" l="1"/>
  <c r="AC48" i="5"/>
  <c r="Q48" i="5"/>
  <c r="Y48" i="5" l="1"/>
  <c r="AF48" i="5"/>
  <c r="AL48" i="5" s="1"/>
  <c r="AL51" i="5" s="1"/>
  <c r="E100" i="5" s="1"/>
  <c r="AE48" i="5"/>
  <c r="AD48" i="5"/>
  <c r="Z48" i="5"/>
  <c r="AK48" i="5" l="1"/>
  <c r="AK51" i="5" s="1"/>
  <c r="S100" i="5" s="1"/>
  <c r="AI48" i="5"/>
  <c r="AH48" i="5" s="1"/>
  <c r="AG48" i="5" l="1"/>
  <c r="E13" i="11"/>
  <c r="E14" i="11"/>
  <c r="E15" i="11"/>
  <c r="E20" i="11"/>
  <c r="E21" i="11"/>
  <c r="E22" i="11"/>
  <c r="E24" i="11"/>
  <c r="Q29" i="5"/>
  <c r="Q29" i="7"/>
  <c r="Q28" i="5"/>
  <c r="Q28" i="8"/>
  <c r="Q29" i="8"/>
  <c r="Q27" i="7"/>
  <c r="Q28" i="7"/>
  <c r="L28" i="7" l="1"/>
  <c r="AB29" i="7"/>
  <c r="AB28" i="7"/>
  <c r="S26" i="7"/>
  <c r="Q37" i="7" a="1"/>
  <c r="Q37" i="7" s="1"/>
  <c r="L52" i="34"/>
  <c r="K18" i="9" l="1"/>
  <c r="D118" i="8"/>
  <c r="W12" i="6"/>
  <c r="AD12" i="6"/>
  <c r="W13" i="6"/>
  <c r="M140" i="26" l="1"/>
  <c r="M144" i="26"/>
  <c r="M148" i="26"/>
  <c r="AC149" i="26"/>
  <c r="I160" i="26"/>
  <c r="AB160" i="26" s="1"/>
  <c r="AB164" i="26"/>
  <c r="G3" i="11"/>
  <c r="H3" i="11"/>
  <c r="G4" i="11"/>
  <c r="H4" i="11"/>
  <c r="G5" i="11"/>
  <c r="H5" i="11"/>
  <c r="G6" i="11"/>
  <c r="H6" i="11"/>
  <c r="H2" i="11"/>
  <c r="G2" i="11"/>
  <c r="G8" i="11"/>
  <c r="G7" i="11"/>
  <c r="I6" i="11" l="1"/>
  <c r="I3" i="11"/>
  <c r="I2" i="11"/>
  <c r="I5" i="11"/>
  <c r="I4" i="11"/>
  <c r="I9" i="11" l="1"/>
  <c r="Q27" i="5"/>
  <c r="S26" i="5" l="1"/>
  <c r="Q37" i="5" a="1"/>
  <c r="Q37" i="5" s="1"/>
  <c r="S28" i="5"/>
  <c r="AC28" i="5" s="1"/>
  <c r="AB27" i="5"/>
  <c r="W26" i="5"/>
  <c r="AC26" i="5"/>
  <c r="L28" i="5"/>
  <c r="W27" i="5"/>
  <c r="W28" i="5"/>
  <c r="AB28" i="5"/>
  <c r="AB29" i="5"/>
  <c r="W29" i="5"/>
  <c r="AB26" i="5" l="1"/>
  <c r="AC27" i="5"/>
  <c r="Y166" i="26"/>
  <c r="K13" i="26"/>
  <c r="I13" i="26"/>
  <c r="K17" i="26"/>
  <c r="I17" i="26"/>
  <c r="H82" i="26"/>
  <c r="H78" i="26" s="1"/>
  <c r="H74" i="26" s="1"/>
  <c r="H70" i="26" s="1"/>
  <c r="H66" i="26" s="1"/>
  <c r="H62" i="26" s="1"/>
  <c r="H58" i="26" s="1"/>
  <c r="H54" i="26" s="1"/>
  <c r="H50" i="26" s="1"/>
  <c r="H122" i="26"/>
  <c r="AJ17" i="26" l="1"/>
  <c r="AD17" i="26"/>
  <c r="AM13" i="26"/>
  <c r="AE13" i="26"/>
  <c r="AL13" i="26"/>
  <c r="AD13" i="26"/>
  <c r="AK13" i="26"/>
  <c r="AC13" i="26"/>
  <c r="AJ13" i="26"/>
  <c r="AB13" i="26"/>
  <c r="AI13" i="26"/>
  <c r="AH13" i="26"/>
  <c r="AG13" i="26"/>
  <c r="AF13" i="26"/>
  <c r="AL17" i="26"/>
  <c r="AC17" i="26"/>
  <c r="AE17" i="26"/>
  <c r="AM17" i="26"/>
  <c r="AF17" i="26"/>
  <c r="AK17" i="26"/>
  <c r="AG17" i="26"/>
  <c r="AH17" i="26"/>
  <c r="AI17" i="26"/>
  <c r="AB17" i="26"/>
  <c r="AA17" i="26" s="1"/>
  <c r="AA13" i="26" l="1"/>
  <c r="E153" i="11"/>
  <c r="J18" i="9"/>
  <c r="I18" i="9"/>
  <c r="C18" i="9"/>
  <c r="I206" i="11" s="1"/>
  <c r="E151" i="11" l="1"/>
  <c r="E150" i="11"/>
  <c r="P26" i="9" l="1"/>
  <c r="E148" i="11" l="1"/>
  <c r="L752" i="21" l="1"/>
  <c r="L749" i="21"/>
  <c r="L748" i="21"/>
  <c r="L754" i="21"/>
  <c r="L753" i="21"/>
  <c r="L762" i="21"/>
  <c r="L761" i="21"/>
  <c r="L760" i="21"/>
  <c r="L759" i="21"/>
  <c r="L758" i="21"/>
  <c r="L757" i="21"/>
  <c r="BB3946" i="21"/>
  <c r="BB3939" i="21"/>
  <c r="BB3940" i="21" s="1"/>
  <c r="BB3952" i="21" l="1"/>
  <c r="BB3941" i="21"/>
  <c r="BB3942" i="21" s="1"/>
  <c r="BB3944" i="21" l="1"/>
  <c r="BB3950" i="21"/>
  <c r="BB3945" i="21"/>
  <c r="BB3951" i="21" l="1"/>
  <c r="BB3947" i="21"/>
  <c r="BB3948" i="21"/>
  <c r="BB3949" i="21" s="1"/>
  <c r="B50" i="11" l="1"/>
  <c r="B49" i="11"/>
  <c r="F3929" i="21"/>
  <c r="F3928" i="21"/>
  <c r="F3927" i="21"/>
  <c r="F3926" i="21"/>
  <c r="F3925" i="21"/>
  <c r="L3931" i="21"/>
  <c r="L3935" i="21"/>
  <c r="J3935" i="21"/>
  <c r="L3929" i="21"/>
  <c r="J3929" i="21"/>
  <c r="J3926" i="21"/>
  <c r="J3927" i="21"/>
  <c r="J3928" i="21"/>
  <c r="J3930" i="21"/>
  <c r="J3931" i="21"/>
  <c r="J3932" i="21"/>
  <c r="J3933" i="21"/>
  <c r="J3934" i="21"/>
  <c r="J3936" i="21"/>
  <c r="L3926" i="21"/>
  <c r="L3927" i="21"/>
  <c r="L3928" i="21"/>
  <c r="L3930" i="21"/>
  <c r="L3932" i="21"/>
  <c r="L3933" i="21"/>
  <c r="L3934" i="21"/>
  <c r="L3936" i="21"/>
  <c r="L3925" i="21"/>
  <c r="J3925" i="21"/>
  <c r="E5107" i="21"/>
  <c r="H5107" i="21" s="1"/>
  <c r="J5107" i="21"/>
  <c r="O4190" i="21" l="1"/>
  <c r="O4034" i="21"/>
  <c r="O4035" i="21"/>
  <c r="O4036" i="21"/>
  <c r="O4037" i="21"/>
  <c r="O4038" i="21"/>
  <c r="O4039" i="21"/>
  <c r="O4040" i="21"/>
  <c r="O4041" i="21"/>
  <c r="O4042" i="21"/>
  <c r="O4043" i="21"/>
  <c r="O4044" i="21"/>
  <c r="O4045" i="21"/>
  <c r="O4046" i="21"/>
  <c r="O4047" i="21"/>
  <c r="O4048" i="21"/>
  <c r="O4049" i="21"/>
  <c r="O4050" i="21"/>
  <c r="O4051" i="21"/>
  <c r="O4052" i="21"/>
  <c r="O4053" i="21"/>
  <c r="O4054" i="21"/>
  <c r="O4055" i="21"/>
  <c r="O4056" i="21"/>
  <c r="O4057" i="21"/>
  <c r="O4058" i="21"/>
  <c r="O4059" i="21"/>
  <c r="O4060" i="21"/>
  <c r="O4061" i="21"/>
  <c r="O4062" i="21"/>
  <c r="O4063" i="21"/>
  <c r="O4064" i="21"/>
  <c r="O4065" i="21"/>
  <c r="O4066" i="21"/>
  <c r="O4067" i="21"/>
  <c r="O4068" i="21"/>
  <c r="O4069" i="21"/>
  <c r="O4070" i="21"/>
  <c r="O4071" i="21"/>
  <c r="O4072" i="21"/>
  <c r="O4073" i="21"/>
  <c r="O4074" i="21"/>
  <c r="O4075" i="21"/>
  <c r="O4076" i="21"/>
  <c r="O4077" i="21"/>
  <c r="O4078" i="21"/>
  <c r="O4079" i="21"/>
  <c r="O4080" i="21"/>
  <c r="O4081" i="21"/>
  <c r="O4082" i="21"/>
  <c r="O4083" i="21"/>
  <c r="O4084" i="21"/>
  <c r="O4085" i="21"/>
  <c r="O4086" i="21"/>
  <c r="O4087" i="21"/>
  <c r="O4088" i="21"/>
  <c r="O4089" i="21"/>
  <c r="O4090" i="21"/>
  <c r="O4091" i="21"/>
  <c r="O4092" i="21"/>
  <c r="O4093" i="21"/>
  <c r="O4094" i="21"/>
  <c r="O4095" i="21"/>
  <c r="O4096" i="21"/>
  <c r="O4097" i="21"/>
  <c r="O4098" i="21"/>
  <c r="O4099" i="21"/>
  <c r="O4100" i="21"/>
  <c r="O4101" i="21"/>
  <c r="O4102" i="21"/>
  <c r="O4103" i="21"/>
  <c r="O4104" i="21"/>
  <c r="O4105" i="21"/>
  <c r="O4106" i="21"/>
  <c r="O4107" i="21"/>
  <c r="O4108" i="21"/>
  <c r="O4109" i="21"/>
  <c r="O4110" i="21"/>
  <c r="O4111" i="21"/>
  <c r="O4112" i="21"/>
  <c r="O4113" i="21"/>
  <c r="O4114" i="21"/>
  <c r="O4115" i="21"/>
  <c r="O4116" i="21"/>
  <c r="O4117" i="21"/>
  <c r="O4118" i="21"/>
  <c r="O4119" i="21"/>
  <c r="O4120" i="21"/>
  <c r="O4121" i="21"/>
  <c r="O4122" i="21"/>
  <c r="O4123" i="21"/>
  <c r="O4124" i="21"/>
  <c r="O4125" i="21"/>
  <c r="O4126" i="21"/>
  <c r="O4127" i="21"/>
  <c r="O4128" i="21"/>
  <c r="O4129" i="21"/>
  <c r="O4130" i="21"/>
  <c r="O4131" i="21"/>
  <c r="O4132" i="21"/>
  <c r="O4133" i="21"/>
  <c r="O4134" i="21"/>
  <c r="O4135" i="21"/>
  <c r="O4136" i="21"/>
  <c r="O4137" i="21"/>
  <c r="O4138" i="21"/>
  <c r="O4139" i="21"/>
  <c r="O4140" i="21"/>
  <c r="O4141" i="21"/>
  <c r="O4142" i="21"/>
  <c r="O4143" i="21"/>
  <c r="O4144" i="21"/>
  <c r="O4145" i="21"/>
  <c r="O4146" i="21"/>
  <c r="O4147" i="21"/>
  <c r="O4148" i="21"/>
  <c r="O4149" i="21"/>
  <c r="O4150" i="21"/>
  <c r="O4151" i="21"/>
  <c r="O4152" i="21"/>
  <c r="O4153" i="21"/>
  <c r="O4154" i="21"/>
  <c r="O4155" i="21"/>
  <c r="O4156" i="21"/>
  <c r="O4157" i="21"/>
  <c r="O4158" i="21"/>
  <c r="O4159" i="21"/>
  <c r="O4160" i="21"/>
  <c r="O4161" i="21"/>
  <c r="O4162" i="21"/>
  <c r="O4163" i="21"/>
  <c r="O4164" i="21"/>
  <c r="O4165" i="21"/>
  <c r="O4166" i="21"/>
  <c r="O4167" i="21"/>
  <c r="O4168" i="21"/>
  <c r="O4169" i="21"/>
  <c r="O4170" i="21"/>
  <c r="O4171" i="21"/>
  <c r="O4172" i="21"/>
  <c r="O4173" i="21"/>
  <c r="O4174" i="21"/>
  <c r="O4175" i="21"/>
  <c r="O4176" i="21"/>
  <c r="O4177" i="21"/>
  <c r="O4178" i="21"/>
  <c r="O4179" i="21"/>
  <c r="O4180" i="21"/>
  <c r="O4181" i="21"/>
  <c r="O4182" i="21"/>
  <c r="O4183" i="21"/>
  <c r="O4184" i="21"/>
  <c r="O4185" i="21"/>
  <c r="O4186" i="21"/>
  <c r="O4187" i="21"/>
  <c r="O4188" i="21"/>
  <c r="O4189" i="21"/>
  <c r="O4033" i="21"/>
  <c r="L860" i="21"/>
  <c r="L859" i="21"/>
  <c r="L858" i="21"/>
  <c r="L857" i="21"/>
  <c r="L855" i="21"/>
  <c r="L854" i="21"/>
  <c r="L853" i="21"/>
  <c r="L851" i="21"/>
  <c r="L850" i="21"/>
  <c r="L849" i="21"/>
  <c r="L847" i="21"/>
  <c r="L846" i="21"/>
  <c r="L845" i="21"/>
  <c r="L844" i="21"/>
  <c r="N842" i="21"/>
  <c r="N841" i="21"/>
  <c r="N840" i="21"/>
  <c r="N839" i="21"/>
  <c r="N837" i="21"/>
  <c r="L837" i="21"/>
  <c r="N836" i="21"/>
  <c r="N832" i="21"/>
  <c r="L832" i="21"/>
  <c r="N831" i="21"/>
  <c r="N830" i="21"/>
  <c r="L829" i="21"/>
  <c r="L828" i="21"/>
  <c r="L827" i="21"/>
  <c r="N825" i="21"/>
  <c r="AA825" i="21" s="1"/>
  <c r="AB825" i="21" s="1"/>
  <c r="AC825" i="21" s="1"/>
  <c r="N824" i="21"/>
  <c r="N823" i="21"/>
  <c r="N822" i="21"/>
  <c r="N821" i="21"/>
  <c r="N820" i="21"/>
  <c r="L816" i="21"/>
  <c r="L815" i="21"/>
  <c r="L814" i="21"/>
  <c r="L813" i="21"/>
  <c r="L812" i="21"/>
  <c r="L811" i="21"/>
  <c r="L810" i="21"/>
  <c r="L809" i="21"/>
  <c r="L806" i="21"/>
  <c r="L805" i="21"/>
  <c r="L804" i="21"/>
  <c r="L803" i="21"/>
  <c r="L801" i="21"/>
  <c r="L783" i="21"/>
  <c r="L770" i="21"/>
  <c r="L769" i="21"/>
  <c r="L768" i="21"/>
  <c r="L764" i="21"/>
  <c r="N744" i="21"/>
  <c r="N743" i="21"/>
  <c r="BB861" i="21"/>
  <c r="BB862" i="21" s="1"/>
  <c r="B32" i="11" l="1"/>
  <c r="R213" i="11" l="1"/>
  <c r="E146" i="11" l="1"/>
  <c r="BB4898" i="21"/>
  <c r="B28" i="11" l="1"/>
  <c r="B29" i="11"/>
  <c r="B30" i="11"/>
  <c r="B31" i="11"/>
  <c r="B27" i="11"/>
  <c r="B238" i="11"/>
  <c r="B237" i="11"/>
  <c r="S251" i="11"/>
  <c r="S252" i="11" s="1"/>
  <c r="S253" i="11" l="1"/>
  <c r="BB4897" i="21" l="1"/>
  <c r="BB4899" i="21" s="1"/>
  <c r="I197" i="11"/>
  <c r="S214" i="11" l="1"/>
  <c r="S212" i="11"/>
  <c r="R212" i="11"/>
  <c r="R215" i="11"/>
  <c r="G268" i="21"/>
  <c r="G267" i="21"/>
  <c r="G266" i="21"/>
  <c r="G265" i="21"/>
  <c r="G252" i="21"/>
  <c r="G251" i="21"/>
  <c r="G250" i="21"/>
  <c r="G249" i="21"/>
  <c r="G248" i="21"/>
  <c r="G247" i="21"/>
  <c r="G246" i="21"/>
  <c r="G245" i="21"/>
  <c r="G222" i="21"/>
  <c r="G221" i="21"/>
  <c r="G220" i="21"/>
  <c r="G219" i="21"/>
  <c r="G205" i="21"/>
  <c r="G203" i="21"/>
  <c r="G202" i="21"/>
  <c r="G196" i="21"/>
  <c r="G195" i="21"/>
  <c r="G187" i="21"/>
  <c r="P212" i="11" l="1"/>
  <c r="S215" i="11"/>
  <c r="S213" i="11"/>
  <c r="P217" i="11" s="1"/>
  <c r="R214" i="11"/>
  <c r="P222" i="11" s="1"/>
  <c r="T212" i="11" a="1"/>
  <c r="T212" i="11" l="1"/>
  <c r="P227" i="11"/>
  <c r="T213" i="11" a="1"/>
  <c r="T213" i="11" s="1"/>
  <c r="E124" i="11"/>
  <c r="E333" i="21"/>
  <c r="E332" i="21"/>
  <c r="E331" i="21"/>
  <c r="E330" i="21"/>
  <c r="E329" i="21"/>
  <c r="E328" i="21"/>
  <c r="E327" i="21"/>
  <c r="E326" i="21"/>
  <c r="E325" i="21"/>
  <c r="E324" i="21"/>
  <c r="E323" i="21"/>
  <c r="E322" i="21"/>
  <c r="G264" i="21"/>
  <c r="G263" i="21"/>
  <c r="G262" i="21"/>
  <c r="G261" i="21"/>
  <c r="G260" i="21"/>
  <c r="G259" i="21"/>
  <c r="G258" i="21"/>
  <c r="G257" i="21"/>
  <c r="G256" i="21"/>
  <c r="G255" i="21"/>
  <c r="G254" i="21"/>
  <c r="G253" i="21"/>
  <c r="G244" i="21"/>
  <c r="G243" i="21"/>
  <c r="G242" i="21"/>
  <c r="G241" i="21"/>
  <c r="G240" i="21"/>
  <c r="G239" i="21"/>
  <c r="G238" i="21"/>
  <c r="G237" i="21"/>
  <c r="G236" i="21"/>
  <c r="G235" i="21"/>
  <c r="G234" i="21"/>
  <c r="G233" i="21"/>
  <c r="G232" i="21"/>
  <c r="G231" i="21"/>
  <c r="G230" i="21"/>
  <c r="G229" i="21"/>
  <c r="G228" i="21"/>
  <c r="G227" i="21"/>
  <c r="G226" i="21"/>
  <c r="G225" i="21"/>
  <c r="G224" i="21"/>
  <c r="G223" i="21"/>
  <c r="G218" i="21"/>
  <c r="G217" i="21"/>
  <c r="G216" i="21"/>
  <c r="G215" i="21"/>
  <c r="G214" i="21"/>
  <c r="G213" i="21"/>
  <c r="G212" i="21"/>
  <c r="G211" i="21"/>
  <c r="G210" i="21"/>
  <c r="G209" i="21"/>
  <c r="G208" i="21"/>
  <c r="G207" i="21"/>
  <c r="G206" i="21"/>
  <c r="G204" i="21"/>
  <c r="G201" i="21"/>
  <c r="G200" i="21"/>
  <c r="G199" i="21"/>
  <c r="G198" i="21"/>
  <c r="G194" i="21"/>
  <c r="G193" i="21"/>
  <c r="G192" i="21"/>
  <c r="G190" i="21"/>
  <c r="G189" i="21"/>
  <c r="G188" i="21"/>
  <c r="G186" i="21"/>
  <c r="G185" i="21"/>
  <c r="G184" i="21"/>
  <c r="G183" i="21"/>
  <c r="G182" i="21"/>
  <c r="G181" i="21"/>
  <c r="G180" i="21"/>
  <c r="G179" i="21"/>
  <c r="G178" i="21"/>
  <c r="G177" i="21"/>
  <c r="G176" i="21"/>
  <c r="G175" i="21"/>
  <c r="G174" i="21"/>
  <c r="G173" i="21"/>
  <c r="G172" i="21"/>
  <c r="G171" i="21"/>
  <c r="G170" i="21"/>
  <c r="G169" i="21"/>
  <c r="G168" i="21"/>
  <c r="G167" i="21"/>
  <c r="G166" i="21"/>
  <c r="G165" i="21"/>
  <c r="T215" i="11" a="1"/>
  <c r="T214" i="11" a="1"/>
  <c r="T215" i="11" l="1"/>
  <c r="T214" i="11"/>
  <c r="E122" i="11"/>
  <c r="J35" i="9"/>
  <c r="E121" i="11"/>
  <c r="O18" i="15" l="1"/>
  <c r="X84" i="5"/>
  <c r="X83" i="5"/>
  <c r="W81" i="5"/>
  <c r="W84" i="5"/>
  <c r="X96" i="5"/>
  <c r="W83" i="5"/>
  <c r="W82" i="5"/>
  <c r="X82" i="5"/>
  <c r="W85" i="5"/>
  <c r="W96" i="5"/>
  <c r="W99" i="5"/>
  <c r="X97" i="5"/>
  <c r="Q98" i="5"/>
  <c r="X85" i="5"/>
  <c r="X98" i="5"/>
  <c r="Q97" i="5"/>
  <c r="W97" i="5"/>
  <c r="X81" i="5"/>
  <c r="W80" i="5"/>
  <c r="Q99" i="5"/>
  <c r="W98" i="5"/>
  <c r="X99" i="5"/>
  <c r="Q96" i="5"/>
  <c r="I204" i="11" l="1"/>
  <c r="AG112" i="5" l="1"/>
  <c r="X80" i="5"/>
  <c r="Q80" i="5" l="1"/>
  <c r="X27" i="8"/>
  <c r="X26" i="8"/>
  <c r="W10" i="5" l="1"/>
  <c r="I205" i="11" l="1"/>
  <c r="O172" i="11"/>
  <c r="S96" i="5" l="1"/>
  <c r="AG148" i="6" l="1"/>
  <c r="AG112" i="7"/>
  <c r="AG112" i="8"/>
  <c r="AY462" i="11" l="1" a="1"/>
  <c r="AY462" i="11" s="1"/>
  <c r="AY463" i="11" a="1"/>
  <c r="AY463" i="11" s="1"/>
  <c r="AZ463" i="11" s="1" a="1"/>
  <c r="AZ463" i="11" s="1"/>
  <c r="AY464" i="11" a="1"/>
  <c r="AY464" i="11" s="1"/>
  <c r="AY465" i="11" a="1"/>
  <c r="AY465" i="11" s="1"/>
  <c r="AY466" i="11" a="1"/>
  <c r="AY466" i="11" s="1"/>
  <c r="AY467" i="11" a="1"/>
  <c r="AY467" i="11" s="1"/>
  <c r="AY468" i="11" a="1"/>
  <c r="AY468" i="11" s="1"/>
  <c r="AY469" i="11" a="1"/>
  <c r="AY469" i="11" s="1"/>
  <c r="BA469" i="11" s="1" a="1"/>
  <c r="BA469" i="11" s="1"/>
  <c r="AY470" i="11" a="1"/>
  <c r="AY470" i="11" s="1"/>
  <c r="AY471" i="11" a="1"/>
  <c r="AY471" i="11" s="1"/>
  <c r="AZ471" i="11" s="1" a="1"/>
  <c r="AZ471" i="11" s="1"/>
  <c r="AY472" i="11" a="1"/>
  <c r="AY472" i="11" s="1"/>
  <c r="BA472" i="11" s="1" a="1"/>
  <c r="BA472" i="11" s="1"/>
  <c r="AY473" i="11" a="1"/>
  <c r="AY473" i="11" s="1"/>
  <c r="AY474" i="11" a="1"/>
  <c r="AY474" i="11" s="1"/>
  <c r="AZ474" i="11" s="1" a="1"/>
  <c r="AZ474" i="11" s="1"/>
  <c r="AY475" i="11" a="1"/>
  <c r="AY475" i="11" s="1"/>
  <c r="AY476" i="11" a="1"/>
  <c r="AY476" i="11" s="1"/>
  <c r="BC476" i="11" s="1" a="1"/>
  <c r="BC476" i="11" s="1"/>
  <c r="AY477" i="11" a="1"/>
  <c r="AY477" i="11" s="1"/>
  <c r="AY478" i="11" a="1"/>
  <c r="AY478" i="11" s="1"/>
  <c r="BB478" i="11" s="1" a="1"/>
  <c r="BB478" i="11" s="1"/>
  <c r="AY479" i="11" a="1"/>
  <c r="AY479" i="11" s="1"/>
  <c r="AY480" i="11" a="1"/>
  <c r="AY480" i="11" s="1"/>
  <c r="AY481" i="11" a="1"/>
  <c r="AY481" i="11" s="1"/>
  <c r="AY482" i="11" a="1"/>
  <c r="AY482" i="11" s="1"/>
  <c r="AZ482" i="11" s="1" a="1"/>
  <c r="AZ482" i="11" s="1"/>
  <c r="AY483" i="11" a="1"/>
  <c r="AY483" i="11" s="1"/>
  <c r="AY484" i="11" a="1"/>
  <c r="AY484" i="11" s="1"/>
  <c r="AY485" i="11" a="1"/>
  <c r="AY485" i="11" s="1"/>
  <c r="BE485" i="11" s="1" a="1"/>
  <c r="BE485" i="11" s="1"/>
  <c r="AY461" i="11" a="1"/>
  <c r="AY461" i="11" s="1"/>
  <c r="BC461" i="11" s="1" a="1"/>
  <c r="BC461" i="11" s="1"/>
  <c r="BC473" i="11" l="1" a="1"/>
  <c r="BC473" i="11" s="1"/>
  <c r="BG473" i="11" a="1"/>
  <c r="BG473" i="11" s="1"/>
  <c r="BE461" i="11" a="1"/>
  <c r="BE461" i="11" s="1"/>
  <c r="BB473" i="11" a="1"/>
  <c r="BB473" i="11" s="1"/>
  <c r="AZ461" i="11" a="1"/>
  <c r="AZ461" i="11" s="1"/>
  <c r="BA461" i="11" a="1"/>
  <c r="BA461" i="11" s="1"/>
  <c r="BG461" i="11" a="1"/>
  <c r="BG461" i="11" s="1"/>
  <c r="BH461" i="11" a="1"/>
  <c r="BH461" i="11" s="1"/>
  <c r="BE469" i="11" a="1"/>
  <c r="BE469" i="11" s="1"/>
  <c r="BC465" i="11" a="1"/>
  <c r="BC465" i="11" s="1"/>
  <c r="BG465" i="11" a="1"/>
  <c r="BG465" i="11" s="1"/>
  <c r="BB475" i="11" a="1"/>
  <c r="BB475" i="11" s="1"/>
  <c r="BA475" i="11" a="1"/>
  <c r="BA475" i="11" s="1"/>
  <c r="BE475" i="11" a="1"/>
  <c r="BE475" i="11" s="1"/>
  <c r="BA477" i="11" a="1"/>
  <c r="BA477" i="11" s="1"/>
  <c r="BE477" i="11" a="1"/>
  <c r="BE477" i="11" s="1"/>
  <c r="BB467" i="11" a="1"/>
  <c r="BB467" i="11" s="1"/>
  <c r="BE467" i="11" a="1"/>
  <c r="BE467" i="11" s="1"/>
  <c r="BA467" i="11" a="1"/>
  <c r="BA467" i="11" s="1"/>
  <c r="BI461" i="11" a="1"/>
  <c r="BI461" i="11" s="1"/>
  <c r="BB461" i="11" a="1"/>
  <c r="BB461" i="11" s="1"/>
  <c r="AZ468" i="11" a="1"/>
  <c r="AZ468" i="11" s="1"/>
  <c r="BI468" i="11" a="1"/>
  <c r="BI468" i="11" s="1"/>
  <c r="BE468" i="11" a="1"/>
  <c r="BE468" i="11" s="1"/>
  <c r="BB468" i="11" a="1"/>
  <c r="BB468" i="11" s="1"/>
  <c r="BG468" i="11" a="1"/>
  <c r="BG468" i="11" s="1"/>
  <c r="BA468" i="11" a="1"/>
  <c r="BA468" i="11" s="1"/>
  <c r="BC468" i="11" a="1"/>
  <c r="BC468" i="11" s="1"/>
  <c r="BH468" i="11" a="1"/>
  <c r="BH468" i="11" s="1"/>
  <c r="BI480" i="11" a="1"/>
  <c r="BI480" i="11" s="1"/>
  <c r="BB480" i="11" a="1"/>
  <c r="BB480" i="11" s="1"/>
  <c r="BG480" i="11" a="1"/>
  <c r="BG480" i="11" s="1"/>
  <c r="AZ480" i="11" a="1"/>
  <c r="AZ480" i="11" s="1"/>
  <c r="BC480" i="11" a="1"/>
  <c r="BC480" i="11" s="1"/>
  <c r="BH480" i="11" a="1"/>
  <c r="BH480" i="11" s="1"/>
  <c r="BE480" i="11" a="1"/>
  <c r="BE480" i="11" s="1"/>
  <c r="AZ479" i="11" a="1"/>
  <c r="AZ479" i="11" s="1"/>
  <c r="BI479" i="11" a="1"/>
  <c r="BI479" i="11" s="1"/>
  <c r="BE479" i="11" a="1"/>
  <c r="BE479" i="11" s="1"/>
  <c r="BA479" i="11" a="1"/>
  <c r="BA479" i="11" s="1"/>
  <c r="BB479" i="11" a="1"/>
  <c r="BB479" i="11" s="1"/>
  <c r="BG479" i="11" a="1"/>
  <c r="BG479" i="11" s="1"/>
  <c r="BC479" i="11" a="1"/>
  <c r="BC479" i="11" s="1"/>
  <c r="BH479" i="11" a="1"/>
  <c r="BH479" i="11" s="1"/>
  <c r="BB484" i="11" a="1"/>
  <c r="BB484" i="11" s="1"/>
  <c r="AZ484" i="11" a="1"/>
  <c r="AZ484" i="11" s="1"/>
  <c r="BI484" i="11" a="1"/>
  <c r="BI484" i="11" s="1"/>
  <c r="BG484" i="11" a="1"/>
  <c r="BG484" i="11" s="1"/>
  <c r="BE484" i="11" a="1"/>
  <c r="BE484" i="11" s="1"/>
  <c r="BA484" i="11" a="1"/>
  <c r="BA484" i="11" s="1"/>
  <c r="BI472" i="11" a="1"/>
  <c r="BI472" i="11" s="1"/>
  <c r="BB472" i="11" a="1"/>
  <c r="BB472" i="11" s="1"/>
  <c r="BG472" i="11" a="1"/>
  <c r="BG472" i="11" s="1"/>
  <c r="BC472" i="11" a="1"/>
  <c r="BC472" i="11" s="1"/>
  <c r="BH472" i="11" a="1"/>
  <c r="BH472" i="11" s="1"/>
  <c r="AZ472" i="11" a="1"/>
  <c r="AZ472" i="11" s="1"/>
  <c r="BE472" i="11" a="1"/>
  <c r="BE472" i="11" s="1"/>
  <c r="BC481" i="11" a="1"/>
  <c r="BC481" i="11" s="1"/>
  <c r="BH481" i="11" a="1"/>
  <c r="BH481" i="11" s="1"/>
  <c r="AZ481" i="11" a="1"/>
  <c r="AZ481" i="11" s="1"/>
  <c r="BI481" i="11" a="1"/>
  <c r="BI481" i="11" s="1"/>
  <c r="BE481" i="11" a="1"/>
  <c r="BE481" i="11" s="1"/>
  <c r="BA481" i="11" a="1"/>
  <c r="BA481" i="11" s="1"/>
  <c r="BB481" i="11" a="1"/>
  <c r="BB481" i="11" s="1"/>
  <c r="BG481" i="11" a="1"/>
  <c r="BG481" i="11" s="1"/>
  <c r="BB464" i="11" a="1"/>
  <c r="BB464" i="11" s="1"/>
  <c r="BG464" i="11" a="1"/>
  <c r="BG464" i="11" s="1"/>
  <c r="BI464" i="11" a="1"/>
  <c r="BI464" i="11" s="1"/>
  <c r="AZ464" i="11" a="1"/>
  <c r="AZ464" i="11" s="1"/>
  <c r="BC464" i="11" a="1"/>
  <c r="BC464" i="11" s="1"/>
  <c r="BH464" i="11" a="1"/>
  <c r="BH464" i="11" s="1"/>
  <c r="BE464" i="11" a="1"/>
  <c r="BE464" i="11" s="1"/>
  <c r="BA464" i="11" a="1"/>
  <c r="BA464" i="11" s="1"/>
  <c r="BH484" i="11" a="1"/>
  <c r="BH484" i="11" s="1"/>
  <c r="BB483" i="11" a="1"/>
  <c r="BB483" i="11" s="1"/>
  <c r="BG483" i="11" a="1"/>
  <c r="BG483" i="11" s="1"/>
  <c r="BE483" i="11" a="1"/>
  <c r="BE483" i="11" s="1"/>
  <c r="BC483" i="11" a="1"/>
  <c r="BC483" i="11" s="1"/>
  <c r="BH483" i="11" a="1"/>
  <c r="BH483" i="11" s="1"/>
  <c r="AZ483" i="11" a="1"/>
  <c r="AZ483" i="11" s="1"/>
  <c r="BI483" i="11" a="1"/>
  <c r="BI483" i="11" s="1"/>
  <c r="BA483" i="11" a="1"/>
  <c r="BA483" i="11" s="1"/>
  <c r="BC484" i="11" a="1"/>
  <c r="BC484" i="11" s="1"/>
  <c r="BE482" i="11" a="1"/>
  <c r="BE482" i="11" s="1"/>
  <c r="BC482" i="11" a="1"/>
  <c r="BC482" i="11" s="1"/>
  <c r="BH482" i="11" a="1"/>
  <c r="BH482" i="11" s="1"/>
  <c r="BA482" i="11" a="1"/>
  <c r="BA482" i="11" s="1"/>
  <c r="BB482" i="11" a="1"/>
  <c r="BB482" i="11" s="1"/>
  <c r="BD482" i="11" s="1"/>
  <c r="BF482" i="11" s="1"/>
  <c r="AX482" i="11" s="1"/>
  <c r="BG482" i="11" a="1"/>
  <c r="BG482" i="11" s="1"/>
  <c r="BE474" i="11" a="1"/>
  <c r="BE474" i="11" s="1"/>
  <c r="BH474" i="11" a="1"/>
  <c r="BH474" i="11" s="1"/>
  <c r="BA474" i="11" a="1"/>
  <c r="BA474" i="11" s="1"/>
  <c r="BC474" i="11" a="1"/>
  <c r="BC474" i="11" s="1"/>
  <c r="BB474" i="11" a="1"/>
  <c r="BB474" i="11" s="1"/>
  <c r="BD474" i="11" s="1"/>
  <c r="BF474" i="11" s="1"/>
  <c r="AX474" i="11" s="1"/>
  <c r="BG474" i="11" a="1"/>
  <c r="BG474" i="11" s="1"/>
  <c r="BG478" i="11" a="1"/>
  <c r="BG478" i="11" s="1"/>
  <c r="BH476" i="11" a="1"/>
  <c r="BH476" i="11" s="1"/>
  <c r="BC470" i="11" a="1"/>
  <c r="BC470" i="11" s="1"/>
  <c r="BH470" i="11" a="1"/>
  <c r="BH470" i="11" s="1"/>
  <c r="BB470" i="11" a="1"/>
  <c r="BB470" i="11" s="1"/>
  <c r="BA470" i="11" a="1"/>
  <c r="BA470" i="11" s="1"/>
  <c r="AZ470" i="11" a="1"/>
  <c r="AZ470" i="11" s="1"/>
  <c r="BI470" i="11" a="1"/>
  <c r="BI470" i="11" s="1"/>
  <c r="BE470" i="11" a="1"/>
  <c r="BE470" i="11" s="1"/>
  <c r="BG470" i="11" a="1"/>
  <c r="BG470" i="11" s="1"/>
  <c r="BI482" i="11" a="1"/>
  <c r="BI482" i="11" s="1"/>
  <c r="BI474" i="11" a="1"/>
  <c r="BI474" i="11" s="1"/>
  <c r="BA485" i="11" a="1"/>
  <c r="BA485" i="11" s="1"/>
  <c r="BH485" i="11" a="1"/>
  <c r="BH485" i="11" s="1"/>
  <c r="BC485" i="11" a="1"/>
  <c r="BC485" i="11" s="1"/>
  <c r="BB485" i="11" a="1"/>
  <c r="BB485" i="11" s="1"/>
  <c r="BG485" i="11" a="1"/>
  <c r="BG485" i="11" s="1"/>
  <c r="AZ485" i="11" a="1"/>
  <c r="AZ485" i="11" s="1"/>
  <c r="BI485" i="11" a="1"/>
  <c r="BI485" i="11" s="1"/>
  <c r="BA480" i="11" a="1"/>
  <c r="BA480" i="11" s="1"/>
  <c r="BA478" i="11" a="1"/>
  <c r="BA478" i="11" s="1"/>
  <c r="BC478" i="11" a="1"/>
  <c r="BC478" i="11" s="1"/>
  <c r="BH478" i="11" a="1"/>
  <c r="BH478" i="11" s="1"/>
  <c r="AZ478" i="11" a="1"/>
  <c r="AZ478" i="11" s="1"/>
  <c r="BD478" i="11" s="1"/>
  <c r="BF478" i="11" s="1"/>
  <c r="AX478" i="11" s="1"/>
  <c r="BI478" i="11" a="1"/>
  <c r="BI478" i="11" s="1"/>
  <c r="BE478" i="11" a="1"/>
  <c r="BE478" i="11" s="1"/>
  <c r="BB476" i="11" a="1"/>
  <c r="BB476" i="11" s="1"/>
  <c r="BG476" i="11" a="1"/>
  <c r="BG476" i="11" s="1"/>
  <c r="AZ476" i="11" a="1"/>
  <c r="AZ476" i="11" s="1"/>
  <c r="BI476" i="11" a="1"/>
  <c r="BI476" i="11" s="1"/>
  <c r="BE476" i="11" a="1"/>
  <c r="BE476" i="11" s="1"/>
  <c r="BA476" i="11" a="1"/>
  <c r="BA476" i="11" s="1"/>
  <c r="BE466" i="11" a="1"/>
  <c r="BE466" i="11" s="1"/>
  <c r="BC466" i="11" a="1"/>
  <c r="BC466" i="11" s="1"/>
  <c r="BA466" i="11" a="1"/>
  <c r="BA466" i="11" s="1"/>
  <c r="BB466" i="11" a="1"/>
  <c r="BB466" i="11" s="1"/>
  <c r="BG466" i="11" a="1"/>
  <c r="BG466" i="11" s="1"/>
  <c r="BH466" i="11" a="1"/>
  <c r="BH466" i="11" s="1"/>
  <c r="AZ466" i="11" a="1"/>
  <c r="AZ466" i="11" s="1"/>
  <c r="BI466" i="11" a="1"/>
  <c r="BI466" i="11" s="1"/>
  <c r="BC462" i="11" a="1"/>
  <c r="BC462" i="11" s="1"/>
  <c r="BH462" i="11" a="1"/>
  <c r="BH462" i="11" s="1"/>
  <c r="AZ462" i="11" a="1"/>
  <c r="AZ462" i="11" s="1"/>
  <c r="BI462" i="11" a="1"/>
  <c r="BI462" i="11" s="1"/>
  <c r="BA462" i="11" a="1"/>
  <c r="BA462" i="11" s="1"/>
  <c r="BE462" i="11" a="1"/>
  <c r="BE462" i="11" s="1"/>
  <c r="BB462" i="11" a="1"/>
  <c r="BB462" i="11" s="1"/>
  <c r="BG462" i="11" a="1"/>
  <c r="BG462" i="11" s="1"/>
  <c r="BI477" i="11" a="1"/>
  <c r="BI477" i="11" s="1"/>
  <c r="AZ477" i="11" a="1"/>
  <c r="AZ477" i="11" s="1"/>
  <c r="BH471" i="11" a="1"/>
  <c r="BH471" i="11" s="1"/>
  <c r="BC471" i="11" a="1"/>
  <c r="BC471" i="11" s="1"/>
  <c r="BI469" i="11" a="1"/>
  <c r="BI469" i="11" s="1"/>
  <c r="AZ469" i="11" a="1"/>
  <c r="AZ469" i="11" s="1"/>
  <c r="BB465" i="11" a="1"/>
  <c r="BB465" i="11" s="1"/>
  <c r="BH463" i="11" a="1"/>
  <c r="BH463" i="11" s="1"/>
  <c r="BC463" i="11" a="1"/>
  <c r="BC463" i="11" s="1"/>
  <c r="BH477" i="11" a="1"/>
  <c r="BH477" i="11" s="1"/>
  <c r="BC477" i="11" a="1"/>
  <c r="BC477" i="11" s="1"/>
  <c r="BI475" i="11" a="1"/>
  <c r="BI475" i="11" s="1"/>
  <c r="AZ475" i="11" a="1"/>
  <c r="AZ475" i="11" s="1"/>
  <c r="BA473" i="11" a="1"/>
  <c r="BA473" i="11" s="1"/>
  <c r="BG471" i="11" a="1"/>
  <c r="BG471" i="11" s="1"/>
  <c r="BB471" i="11" a="1"/>
  <c r="BB471" i="11" s="1"/>
  <c r="BD471" i="11" s="1"/>
  <c r="BF471" i="11" s="1"/>
  <c r="AX471" i="11" s="1"/>
  <c r="BH469" i="11" a="1"/>
  <c r="BH469" i="11" s="1"/>
  <c r="BC469" i="11" a="1"/>
  <c r="BC469" i="11" s="1"/>
  <c r="BI467" i="11" a="1"/>
  <c r="BI467" i="11" s="1"/>
  <c r="AZ467" i="11" a="1"/>
  <c r="AZ467" i="11" s="1"/>
  <c r="BA465" i="11" a="1"/>
  <c r="BA465" i="11" s="1"/>
  <c r="BG463" i="11" a="1"/>
  <c r="BG463" i="11" s="1"/>
  <c r="BB463" i="11" a="1"/>
  <c r="BB463" i="11" s="1"/>
  <c r="BE473" i="11" a="1"/>
  <c r="BE473" i="11" s="1"/>
  <c r="BE465" i="11" a="1"/>
  <c r="BE465" i="11" s="1"/>
  <c r="BG477" i="11" a="1"/>
  <c r="BG477" i="11" s="1"/>
  <c r="BB477" i="11" a="1"/>
  <c r="BB477" i="11" s="1"/>
  <c r="BH475" i="11" a="1"/>
  <c r="BH475" i="11" s="1"/>
  <c r="BC475" i="11" a="1"/>
  <c r="BC475" i="11" s="1"/>
  <c r="BI473" i="11" a="1"/>
  <c r="BI473" i="11" s="1"/>
  <c r="AZ473" i="11" a="1"/>
  <c r="AZ473" i="11" s="1"/>
  <c r="BA471" i="11" a="1"/>
  <c r="BA471" i="11" s="1"/>
  <c r="BG469" i="11" a="1"/>
  <c r="BG469" i="11" s="1"/>
  <c r="BB469" i="11" a="1"/>
  <c r="BB469" i="11" s="1"/>
  <c r="BH467" i="11" a="1"/>
  <c r="BH467" i="11" s="1"/>
  <c r="BC467" i="11" a="1"/>
  <c r="BC467" i="11" s="1"/>
  <c r="BI465" i="11" a="1"/>
  <c r="BI465" i="11" s="1"/>
  <c r="AZ465" i="11" a="1"/>
  <c r="AZ465" i="11" s="1"/>
  <c r="BA463" i="11" a="1"/>
  <c r="BA463" i="11" s="1"/>
  <c r="BE471" i="11" a="1"/>
  <c r="BE471" i="11" s="1"/>
  <c r="BE463" i="11" a="1"/>
  <c r="BE463" i="11" s="1"/>
  <c r="BG475" i="11" a="1"/>
  <c r="BG475" i="11" s="1"/>
  <c r="BH473" i="11" a="1"/>
  <c r="BH473" i="11" s="1"/>
  <c r="BI471" i="11" a="1"/>
  <c r="BI471" i="11" s="1"/>
  <c r="BG467" i="11" a="1"/>
  <c r="BG467" i="11" s="1"/>
  <c r="BH465" i="11" a="1"/>
  <c r="BH465" i="11" s="1"/>
  <c r="BI463" i="11" a="1"/>
  <c r="BI463" i="11" s="1"/>
  <c r="BD475" i="11" l="1"/>
  <c r="BF475" i="11" s="1"/>
  <c r="AX475" i="11" s="1"/>
  <c r="BD463" i="11"/>
  <c r="BF463" i="11" s="1"/>
  <c r="AX463" i="11" s="1"/>
  <c r="BD467" i="11"/>
  <c r="BF467" i="11" s="1"/>
  <c r="AX467" i="11" s="1"/>
  <c r="BD477" i="11"/>
  <c r="BF477" i="11" s="1"/>
  <c r="AX477" i="11" s="1"/>
  <c r="BD476" i="11"/>
  <c r="BF476" i="11" s="1"/>
  <c r="AX476" i="11" s="1"/>
  <c r="BD464" i="11"/>
  <c r="BF464" i="11" s="1"/>
  <c r="AX464" i="11" s="1"/>
  <c r="BD469" i="11"/>
  <c r="BF469" i="11" s="1"/>
  <c r="AX469" i="11" s="1"/>
  <c r="BD473" i="11"/>
  <c r="BF473" i="11" s="1"/>
  <c r="AX473" i="11" s="1"/>
  <c r="BD480" i="11"/>
  <c r="BF480" i="11" s="1"/>
  <c r="AX480" i="11" s="1"/>
  <c r="BD465" i="11"/>
  <c r="BF465" i="11" s="1"/>
  <c r="AX465" i="11" s="1"/>
  <c r="BD472" i="11"/>
  <c r="BF472" i="11" s="1"/>
  <c r="AX472" i="11" s="1"/>
  <c r="BD483" i="11"/>
  <c r="BF483" i="11" s="1"/>
  <c r="AX483" i="11" s="1"/>
  <c r="BD468" i="11"/>
  <c r="BF468" i="11" s="1"/>
  <c r="AX468" i="11" s="1"/>
  <c r="BD470" i="11"/>
  <c r="BF470" i="11" s="1"/>
  <c r="AX470" i="11" s="1"/>
  <c r="BD484" i="11"/>
  <c r="BF484" i="11" s="1"/>
  <c r="AX484" i="11" s="1"/>
  <c r="BD485" i="11"/>
  <c r="BF485" i="11" s="1"/>
  <c r="AX485" i="11" s="1"/>
  <c r="BD462" i="11"/>
  <c r="BF462" i="11" s="1"/>
  <c r="AX462" i="11" s="1"/>
  <c r="BD479" i="11"/>
  <c r="BF479" i="11" s="1"/>
  <c r="AX479" i="11" s="1"/>
  <c r="BD481" i="11"/>
  <c r="BF481" i="11" s="1"/>
  <c r="AX481" i="11" s="1"/>
  <c r="BD466" i="11"/>
  <c r="BF466" i="11" s="1"/>
  <c r="AX466" i="11" s="1"/>
  <c r="AD12" i="8" l="1"/>
  <c r="BD461" i="11" l="1"/>
  <c r="I173" i="11" a="1"/>
  <c r="I173" i="11" l="1"/>
  <c r="AG67" i="5" l="1"/>
  <c r="AI462" i="11" a="1"/>
  <c r="AI462" i="11" s="1"/>
  <c r="AJ462" i="11" s="1" a="1"/>
  <c r="AJ462" i="11" s="1"/>
  <c r="AI463" i="11" a="1"/>
  <c r="AI463" i="11" s="1"/>
  <c r="AJ463" i="11" s="1" a="1"/>
  <c r="AJ463" i="11" s="1"/>
  <c r="AI464" i="11" a="1"/>
  <c r="AI464" i="11" s="1"/>
  <c r="AJ464" i="11" s="1" a="1"/>
  <c r="AJ464" i="11" s="1"/>
  <c r="AI465" i="11" a="1"/>
  <c r="AI465" i="11" s="1"/>
  <c r="AJ465" i="11" s="1" a="1"/>
  <c r="AJ465" i="11" s="1"/>
  <c r="AI466" i="11" a="1"/>
  <c r="AI466" i="11" s="1"/>
  <c r="AJ466" i="11" s="1" a="1"/>
  <c r="AJ466" i="11" s="1"/>
  <c r="AI467" i="11" a="1"/>
  <c r="AI467" i="11" s="1"/>
  <c r="AJ467" i="11" s="1" a="1"/>
  <c r="AJ467" i="11" s="1"/>
  <c r="AI468" i="11" a="1"/>
  <c r="AI468" i="11" s="1"/>
  <c r="AJ468" i="11" s="1" a="1"/>
  <c r="AJ468" i="11" s="1"/>
  <c r="AI469" i="11" a="1"/>
  <c r="AI469" i="11" s="1"/>
  <c r="AJ469" i="11" s="1" a="1"/>
  <c r="AJ469" i="11" s="1"/>
  <c r="AI470" i="11" a="1"/>
  <c r="AI470" i="11" s="1"/>
  <c r="AJ470" i="11" s="1" a="1"/>
  <c r="AJ470" i="11" s="1"/>
  <c r="AI471" i="11" a="1"/>
  <c r="AI471" i="11" s="1"/>
  <c r="AJ471" i="11" s="1" a="1"/>
  <c r="AJ471" i="11" s="1"/>
  <c r="AI472" i="11" a="1"/>
  <c r="AI472" i="11" s="1"/>
  <c r="AJ472" i="11" s="1" a="1"/>
  <c r="AJ472" i="11" s="1"/>
  <c r="AI473" i="11" a="1"/>
  <c r="AI473" i="11" s="1"/>
  <c r="AJ473" i="11" s="1" a="1"/>
  <c r="AJ473" i="11" s="1"/>
  <c r="AI474" i="11" a="1"/>
  <c r="AI474" i="11" s="1"/>
  <c r="AJ474" i="11" s="1" a="1"/>
  <c r="AJ474" i="11" s="1"/>
  <c r="AI475" i="11" a="1"/>
  <c r="AI475" i="11" s="1"/>
  <c r="AJ475" i="11" s="1" a="1"/>
  <c r="AJ475" i="11" s="1"/>
  <c r="AI476" i="11" a="1"/>
  <c r="AI476" i="11" s="1"/>
  <c r="AJ476" i="11" s="1" a="1"/>
  <c r="AJ476" i="11" s="1"/>
  <c r="AI477" i="11" a="1"/>
  <c r="AI477" i="11" s="1"/>
  <c r="AJ477" i="11" s="1" a="1"/>
  <c r="AJ477" i="11" s="1"/>
  <c r="AI478" i="11" a="1"/>
  <c r="AI478" i="11" s="1"/>
  <c r="AJ478" i="11" s="1" a="1"/>
  <c r="AJ478" i="11" s="1"/>
  <c r="AI479" i="11" a="1"/>
  <c r="AI479" i="11" s="1"/>
  <c r="AJ479" i="11" s="1" a="1"/>
  <c r="AJ479" i="11" s="1"/>
  <c r="AI480" i="11" a="1"/>
  <c r="AI480" i="11" s="1"/>
  <c r="AJ480" i="11" s="1" a="1"/>
  <c r="AJ480" i="11" s="1"/>
  <c r="AI481" i="11" a="1"/>
  <c r="AI481" i="11" s="1"/>
  <c r="AJ481" i="11" s="1" a="1"/>
  <c r="AJ481" i="11" s="1"/>
  <c r="AI482" i="11" a="1"/>
  <c r="AI482" i="11" s="1"/>
  <c r="AJ482" i="11" s="1" a="1"/>
  <c r="AJ482" i="11" s="1"/>
  <c r="AI483" i="11" a="1"/>
  <c r="AI483" i="11" s="1"/>
  <c r="AJ483" i="11" s="1" a="1"/>
  <c r="AJ483" i="11" s="1"/>
  <c r="AI484" i="11" a="1"/>
  <c r="AI484" i="11" s="1"/>
  <c r="AJ484" i="11" s="1" a="1"/>
  <c r="AJ484" i="11" s="1"/>
  <c r="AI485" i="11" a="1"/>
  <c r="AI485" i="11" s="1"/>
  <c r="AJ485" i="11" s="1" a="1"/>
  <c r="AJ485" i="11" s="1"/>
  <c r="AI461" i="11" a="1"/>
  <c r="AI461" i="11" s="1"/>
  <c r="AJ461" i="11" s="1" a="1"/>
  <c r="AJ461" i="11" s="1"/>
  <c r="S462" i="11" a="1"/>
  <c r="S462" i="11" s="1"/>
  <c r="T462" i="11" s="1" a="1"/>
  <c r="T462" i="11" s="1"/>
  <c r="S463" i="11" a="1"/>
  <c r="S463" i="11" s="1"/>
  <c r="T463" i="11" s="1" a="1"/>
  <c r="T463" i="11" s="1"/>
  <c r="S464" i="11" a="1"/>
  <c r="S464" i="11" s="1"/>
  <c r="T464" i="11" s="1" a="1"/>
  <c r="T464" i="11" s="1"/>
  <c r="S465" i="11" a="1"/>
  <c r="S465" i="11" s="1"/>
  <c r="T465" i="11" s="1" a="1"/>
  <c r="T465" i="11" s="1"/>
  <c r="S466" i="11" a="1"/>
  <c r="S466" i="11" s="1"/>
  <c r="T466" i="11" s="1" a="1"/>
  <c r="T466" i="11" s="1"/>
  <c r="S467" i="11" a="1"/>
  <c r="S467" i="11" s="1"/>
  <c r="T467" i="11" s="1" a="1"/>
  <c r="T467" i="11" s="1"/>
  <c r="S468" i="11" a="1"/>
  <c r="S468" i="11" s="1"/>
  <c r="T468" i="11" s="1" a="1"/>
  <c r="T468" i="11" s="1"/>
  <c r="S469" i="11" a="1"/>
  <c r="S469" i="11" s="1"/>
  <c r="T469" i="11" s="1" a="1"/>
  <c r="T469" i="11" s="1"/>
  <c r="S470" i="11" a="1"/>
  <c r="S470" i="11" s="1"/>
  <c r="T470" i="11" s="1" a="1"/>
  <c r="T470" i="11" s="1"/>
  <c r="S471" i="11" a="1"/>
  <c r="S471" i="11" s="1"/>
  <c r="T471" i="11" s="1" a="1"/>
  <c r="T471" i="11" s="1"/>
  <c r="S472" i="11" a="1"/>
  <c r="S472" i="11" s="1"/>
  <c r="T472" i="11" s="1" a="1"/>
  <c r="T472" i="11" s="1"/>
  <c r="S473" i="11" a="1"/>
  <c r="S473" i="11" s="1"/>
  <c r="T473" i="11" s="1" a="1"/>
  <c r="T473" i="11" s="1"/>
  <c r="S474" i="11" a="1"/>
  <c r="S474" i="11" s="1"/>
  <c r="T474" i="11" s="1" a="1"/>
  <c r="T474" i="11" s="1"/>
  <c r="S475" i="11" a="1"/>
  <c r="S475" i="11" s="1"/>
  <c r="T475" i="11" s="1" a="1"/>
  <c r="T475" i="11" s="1"/>
  <c r="S476" i="11" a="1"/>
  <c r="S476" i="11" s="1"/>
  <c r="T476" i="11" s="1" a="1"/>
  <c r="T476" i="11" s="1"/>
  <c r="S477" i="11" a="1"/>
  <c r="S477" i="11" s="1"/>
  <c r="T477" i="11" s="1" a="1"/>
  <c r="T477" i="11" s="1"/>
  <c r="S478" i="11" a="1"/>
  <c r="S478" i="11" s="1"/>
  <c r="T478" i="11" s="1" a="1"/>
  <c r="T478" i="11" s="1"/>
  <c r="S479" i="11" a="1"/>
  <c r="S479" i="11" s="1"/>
  <c r="T479" i="11" s="1" a="1"/>
  <c r="T479" i="11" s="1"/>
  <c r="S480" i="11" a="1"/>
  <c r="S480" i="11" s="1"/>
  <c r="T480" i="11" s="1" a="1"/>
  <c r="T480" i="11" s="1"/>
  <c r="S481" i="11" a="1"/>
  <c r="S481" i="11" s="1"/>
  <c r="T481" i="11" s="1" a="1"/>
  <c r="T481" i="11" s="1"/>
  <c r="S482" i="11" a="1"/>
  <c r="S482" i="11" s="1"/>
  <c r="T482" i="11" s="1" a="1"/>
  <c r="T482" i="11" s="1"/>
  <c r="S483" i="11" a="1"/>
  <c r="S483" i="11" s="1"/>
  <c r="T483" i="11" s="1" a="1"/>
  <c r="T483" i="11" s="1"/>
  <c r="S484" i="11" a="1"/>
  <c r="S484" i="11" s="1"/>
  <c r="T484" i="11" s="1" a="1"/>
  <c r="T484" i="11" s="1"/>
  <c r="S485" i="11" a="1"/>
  <c r="S485" i="11" s="1"/>
  <c r="T485" i="11" s="1" a="1"/>
  <c r="T485" i="11" s="1"/>
  <c r="S461" i="11" a="1"/>
  <c r="S461" i="11" s="1"/>
  <c r="T461" i="11" s="1" a="1"/>
  <c r="T461" i="11" s="1"/>
  <c r="C462" i="11" l="1" a="1"/>
  <c r="C462" i="11" s="1"/>
  <c r="D462" i="11" s="1" a="1"/>
  <c r="D462" i="11" s="1"/>
  <c r="C463" i="11" a="1"/>
  <c r="C463" i="11" s="1"/>
  <c r="D463" i="11" s="1" a="1"/>
  <c r="D463" i="11" s="1"/>
  <c r="C464" i="11" a="1"/>
  <c r="C464" i="11" s="1"/>
  <c r="D464" i="11" s="1" a="1"/>
  <c r="D464" i="11" s="1"/>
  <c r="C465" i="11" a="1"/>
  <c r="C465" i="11" s="1"/>
  <c r="D465" i="11" s="1" a="1"/>
  <c r="D465" i="11" s="1"/>
  <c r="C466" i="11" a="1"/>
  <c r="C466" i="11" s="1"/>
  <c r="D466" i="11" s="1" a="1"/>
  <c r="D466" i="11" s="1"/>
  <c r="C467" i="11" a="1"/>
  <c r="C467" i="11" s="1"/>
  <c r="D467" i="11" s="1" a="1"/>
  <c r="D467" i="11" s="1"/>
  <c r="C468" i="11" a="1"/>
  <c r="C468" i="11" s="1"/>
  <c r="D468" i="11" s="1" a="1"/>
  <c r="D468" i="11" s="1"/>
  <c r="C469" i="11" a="1"/>
  <c r="C469" i="11" s="1"/>
  <c r="D469" i="11" s="1" a="1"/>
  <c r="D469" i="11" s="1"/>
  <c r="C470" i="11" a="1"/>
  <c r="C470" i="11" s="1"/>
  <c r="D470" i="11" s="1" a="1"/>
  <c r="D470" i="11" s="1"/>
  <c r="C471" i="11" a="1"/>
  <c r="C471" i="11" s="1"/>
  <c r="D471" i="11" s="1" a="1"/>
  <c r="D471" i="11" s="1"/>
  <c r="C472" i="11" a="1"/>
  <c r="C472" i="11" s="1"/>
  <c r="D472" i="11" s="1" a="1"/>
  <c r="D472" i="11" s="1"/>
  <c r="C473" i="11" a="1"/>
  <c r="C473" i="11" s="1"/>
  <c r="D473" i="11" s="1" a="1"/>
  <c r="D473" i="11" s="1"/>
  <c r="C474" i="11" a="1"/>
  <c r="C474" i="11" s="1"/>
  <c r="D474" i="11" s="1" a="1"/>
  <c r="D474" i="11" s="1"/>
  <c r="C475" i="11" a="1"/>
  <c r="C475" i="11" s="1"/>
  <c r="D475" i="11" s="1" a="1"/>
  <c r="D475" i="11" s="1"/>
  <c r="C476" i="11" a="1"/>
  <c r="C476" i="11" s="1"/>
  <c r="D476" i="11" s="1" a="1"/>
  <c r="D476" i="11" s="1"/>
  <c r="C477" i="11" a="1"/>
  <c r="C477" i="11" s="1"/>
  <c r="D477" i="11" s="1" a="1"/>
  <c r="D477" i="11" s="1"/>
  <c r="C478" i="11" a="1"/>
  <c r="C478" i="11" s="1"/>
  <c r="D478" i="11" s="1" a="1"/>
  <c r="D478" i="11" s="1"/>
  <c r="C479" i="11" a="1"/>
  <c r="C479" i="11" s="1"/>
  <c r="D479" i="11" s="1" a="1"/>
  <c r="D479" i="11" s="1"/>
  <c r="C480" i="11" a="1"/>
  <c r="C480" i="11" s="1"/>
  <c r="D480" i="11" s="1" a="1"/>
  <c r="D480" i="11" s="1"/>
  <c r="C481" i="11" a="1"/>
  <c r="C481" i="11" s="1"/>
  <c r="D481" i="11" s="1" a="1"/>
  <c r="D481" i="11" s="1"/>
  <c r="C482" i="11" a="1"/>
  <c r="C482" i="11" s="1"/>
  <c r="D482" i="11" s="1" a="1"/>
  <c r="D482" i="11" s="1"/>
  <c r="C483" i="11" a="1"/>
  <c r="C483" i="11" s="1"/>
  <c r="D483" i="11" s="1" a="1"/>
  <c r="D483" i="11" s="1"/>
  <c r="C484" i="11" a="1"/>
  <c r="C484" i="11" s="1"/>
  <c r="D484" i="11" s="1" a="1"/>
  <c r="D484" i="11" s="1"/>
  <c r="C485" i="11" a="1"/>
  <c r="C485" i="11" s="1"/>
  <c r="D485" i="11" s="1" a="1"/>
  <c r="D485" i="11" s="1"/>
  <c r="C461" i="11" a="1"/>
  <c r="C461" i="11" s="1"/>
  <c r="D461" i="11" s="1" a="1"/>
  <c r="D461" i="11" s="1"/>
  <c r="E5062" i="21" l="1"/>
  <c r="E5083" i="21"/>
  <c r="Q5" i="48" l="1"/>
  <c r="U46" i="48"/>
  <c r="C46" i="48"/>
  <c r="U45" i="48"/>
  <c r="C45" i="48"/>
  <c r="U44" i="48"/>
  <c r="C44" i="48"/>
  <c r="U43" i="48"/>
  <c r="C43" i="48"/>
  <c r="U42" i="48"/>
  <c r="C42" i="48"/>
  <c r="U41" i="48"/>
  <c r="C41" i="48"/>
  <c r="U40" i="48"/>
  <c r="C40" i="48"/>
  <c r="U39" i="48"/>
  <c r="C39" i="48"/>
  <c r="U38" i="48"/>
  <c r="C38" i="48"/>
  <c r="U37" i="48"/>
  <c r="C37" i="48"/>
  <c r="U36" i="48"/>
  <c r="C36" i="48"/>
  <c r="U35" i="48"/>
  <c r="C35" i="48"/>
  <c r="U34" i="48"/>
  <c r="C34" i="48"/>
  <c r="U33" i="48"/>
  <c r="C33" i="48"/>
  <c r="U32" i="48"/>
  <c r="C32" i="48"/>
  <c r="U31" i="48"/>
  <c r="C31" i="48"/>
  <c r="U30" i="48"/>
  <c r="C30" i="48"/>
  <c r="U29" i="48"/>
  <c r="C29" i="48"/>
  <c r="U28" i="48"/>
  <c r="C28" i="48"/>
  <c r="U27" i="48"/>
  <c r="C27" i="48"/>
  <c r="U26" i="48"/>
  <c r="C26" i="48"/>
  <c r="U25" i="48"/>
  <c r="C25" i="48"/>
  <c r="U24" i="48"/>
  <c r="C24" i="48"/>
  <c r="U23" i="48"/>
  <c r="C23" i="48"/>
  <c r="U22" i="48"/>
  <c r="C22" i="48"/>
  <c r="U21" i="48"/>
  <c r="C21" i="48"/>
  <c r="U20" i="48"/>
  <c r="C20" i="48"/>
  <c r="U19" i="48"/>
  <c r="C19" i="48"/>
  <c r="U18" i="48"/>
  <c r="C18" i="48"/>
  <c r="H460" i="11"/>
  <c r="U17" i="48" l="1"/>
  <c r="U47" i="48" s="1"/>
  <c r="C17" i="48"/>
  <c r="AC67" i="5"/>
  <c r="AC67" i="8"/>
  <c r="AK464" i="11" l="1" a="1"/>
  <c r="AK464" i="11" s="1"/>
  <c r="AR468" i="11" a="1"/>
  <c r="AR468" i="11" s="1"/>
  <c r="AO469" i="11" a="1"/>
  <c r="AO469" i="11" s="1"/>
  <c r="AM472" i="11" a="1"/>
  <c r="AM472" i="11" s="1"/>
  <c r="AK475" i="11" a="1"/>
  <c r="AK475" i="11" s="1"/>
  <c r="AL476" i="11" a="1"/>
  <c r="AL476" i="11" s="1"/>
  <c r="AS478" i="11" a="1"/>
  <c r="AS478" i="11" s="1"/>
  <c r="AK483" i="11" a="1"/>
  <c r="AK483" i="11" s="1"/>
  <c r="AL484" i="11" a="1"/>
  <c r="AL484" i="11" s="1"/>
  <c r="AO485" i="11" a="1"/>
  <c r="AO485" i="11" s="1"/>
  <c r="AK461" i="11" a="1"/>
  <c r="AK461" i="11" s="1"/>
  <c r="BD460" i="11"/>
  <c r="AN460" i="11"/>
  <c r="V467" i="11" a="1"/>
  <c r="V467" i="11" s="1"/>
  <c r="V472" i="11" a="1"/>
  <c r="V472" i="11" s="1"/>
  <c r="W473" i="11" a="1"/>
  <c r="W473" i="11" s="1"/>
  <c r="Y474" i="11" a="1"/>
  <c r="Y474" i="11" s="1"/>
  <c r="AA475" i="11" a="1"/>
  <c r="AA475" i="11" s="1"/>
  <c r="V480" i="11" a="1"/>
  <c r="V480" i="11" s="1"/>
  <c r="X460" i="11"/>
  <c r="AK472" i="11" l="1" a="1"/>
  <c r="AK472" i="11" s="1"/>
  <c r="AM465" i="11" a="1"/>
  <c r="AM465" i="11" s="1"/>
  <c r="AL465" i="11" a="1"/>
  <c r="AL465" i="11" s="1"/>
  <c r="AO464" i="11" a="1"/>
  <c r="AO464" i="11" s="1"/>
  <c r="AL461" i="11" a="1"/>
  <c r="AL461" i="11" s="1"/>
  <c r="AR472" i="11" a="1"/>
  <c r="AR472" i="11" s="1"/>
  <c r="AQ465" i="11" a="1"/>
  <c r="AQ465" i="11" s="1"/>
  <c r="W475" i="11" a="1"/>
  <c r="W475" i="11" s="1"/>
  <c r="V475" i="11" a="1"/>
  <c r="V475" i="11" s="1"/>
  <c r="AS466" i="11" a="1"/>
  <c r="AS466" i="11" s="1"/>
  <c r="AC461" i="11" a="1"/>
  <c r="AC461" i="11" s="1"/>
  <c r="V461" i="11" a="1"/>
  <c r="V461" i="11" s="1"/>
  <c r="U461" i="11" a="1"/>
  <c r="U461" i="11" s="1"/>
  <c r="AM481" i="11" a="1"/>
  <c r="AM481" i="11" s="1"/>
  <c r="AL481" i="11" a="1"/>
  <c r="AL481" i="11" s="1"/>
  <c r="AO481" i="11" a="1"/>
  <c r="AO481" i="11" s="1"/>
  <c r="AQ481" i="11" a="1"/>
  <c r="AQ481" i="11" s="1"/>
  <c r="AS481" i="11" a="1"/>
  <c r="AS481" i="11" s="1"/>
  <c r="AM462" i="11" a="1"/>
  <c r="AM462" i="11" s="1"/>
  <c r="AK462" i="11" a="1"/>
  <c r="AK462" i="11" s="1"/>
  <c r="AL462" i="11" a="1"/>
  <c r="AL462" i="11" s="1"/>
  <c r="AQ462" i="11" a="1"/>
  <c r="AQ462" i="11" s="1"/>
  <c r="AS462" i="11" a="1"/>
  <c r="AS462" i="11" s="1"/>
  <c r="W461" i="11" a="1"/>
  <c r="W461" i="11" s="1"/>
  <c r="AM470" i="11" a="1"/>
  <c r="AM470" i="11" s="1"/>
  <c r="AQ470" i="11" a="1"/>
  <c r="AQ470" i="11" s="1"/>
  <c r="AS470" i="11" a="1"/>
  <c r="AS470" i="11" s="1"/>
  <c r="AK470" i="11" a="1"/>
  <c r="AK470" i="11" s="1"/>
  <c r="AL470" i="11" a="1"/>
  <c r="AL470" i="11" s="1"/>
  <c r="AO477" i="11" a="1"/>
  <c r="AO477" i="11" s="1"/>
  <c r="Y461" i="11" a="1"/>
  <c r="Y461" i="11" s="1"/>
  <c r="AM473" i="11" a="1"/>
  <c r="AM473" i="11" s="1"/>
  <c r="AL473" i="11" a="1"/>
  <c r="AL473" i="11" s="1"/>
  <c r="AO473" i="11" a="1"/>
  <c r="AO473" i="11" s="1"/>
  <c r="AQ473" i="11" a="1"/>
  <c r="AQ473" i="11" s="1"/>
  <c r="AS473" i="11" a="1"/>
  <c r="AS473" i="11" s="1"/>
  <c r="AK469" i="11" a="1"/>
  <c r="AK469" i="11" s="1"/>
  <c r="AS469" i="11" a="1"/>
  <c r="AS469" i="11" s="1"/>
  <c r="AM478" i="11" a="1"/>
  <c r="AM478" i="11" s="1"/>
  <c r="AK478" i="11" a="1"/>
  <c r="AK478" i="11" s="1"/>
  <c r="AL478" i="11" a="1"/>
  <c r="AL478" i="11" s="1"/>
  <c r="AQ478" i="11" a="1"/>
  <c r="AQ478" i="11" s="1"/>
  <c r="AM461" i="11" a="1"/>
  <c r="AM461" i="11" s="1"/>
  <c r="AR484" i="11" a="1"/>
  <c r="AR484" i="11" s="1"/>
  <c r="AS480" i="11" a="1"/>
  <c r="AS480" i="11" s="1"/>
  <c r="AO461" i="11" a="1"/>
  <c r="AO461" i="11" s="1"/>
  <c r="AQ484" i="11" a="1"/>
  <c r="AQ484" i="11" s="1"/>
  <c r="AR480" i="11" a="1"/>
  <c r="AR480" i="11" s="1"/>
  <c r="AR476" i="11" a="1"/>
  <c r="AR476" i="11" s="1"/>
  <c r="AO472" i="11" a="1"/>
  <c r="AO472" i="11" s="1"/>
  <c r="AQ461" i="11" a="1"/>
  <c r="AQ461" i="11" s="1"/>
  <c r="AK484" i="11" a="1"/>
  <c r="AK484" i="11" s="1"/>
  <c r="AO480" i="11" a="1"/>
  <c r="AO480" i="11" s="1"/>
  <c r="AK476" i="11" a="1"/>
  <c r="AK476" i="11" s="1"/>
  <c r="AR461" i="11" a="1"/>
  <c r="AR461" i="11" s="1"/>
  <c r="AK480" i="11" a="1"/>
  <c r="AK480" i="11" s="1"/>
  <c r="AS461" i="11" a="1"/>
  <c r="AS461" i="11" s="1"/>
  <c r="AS465" i="11" a="1"/>
  <c r="AS465" i="11" s="1"/>
  <c r="AO465" i="11" a="1"/>
  <c r="AO465" i="11" s="1"/>
  <c r="AS471" i="11" a="1"/>
  <c r="AS471" i="11" s="1"/>
  <c r="AO471" i="11" a="1"/>
  <c r="AO471" i="11" s="1"/>
  <c r="AK471" i="11" a="1"/>
  <c r="AK471" i="11" s="1"/>
  <c r="AL471" i="11" a="1"/>
  <c r="AL471" i="11" s="1"/>
  <c r="AQ471" i="11" a="1"/>
  <c r="AQ471" i="11" s="1"/>
  <c r="AR471" i="11" a="1"/>
  <c r="AR471" i="11" s="1"/>
  <c r="AM471" i="11" a="1"/>
  <c r="AM471" i="11" s="1"/>
  <c r="AO482" i="11" a="1"/>
  <c r="AO482" i="11" s="1"/>
  <c r="AK482" i="11" a="1"/>
  <c r="AK482" i="11" s="1"/>
  <c r="AL482" i="11" a="1"/>
  <c r="AL482" i="11" s="1"/>
  <c r="AM482" i="11" a="1"/>
  <c r="AM482" i="11" s="1"/>
  <c r="AQ482" i="11" a="1"/>
  <c r="AQ482" i="11" s="1"/>
  <c r="AS482" i="11" a="1"/>
  <c r="AS482" i="11" s="1"/>
  <c r="AR482" i="11" a="1"/>
  <c r="AR482" i="11" s="1"/>
  <c r="AS479" i="11" a="1"/>
  <c r="AS479" i="11" s="1"/>
  <c r="AO479" i="11" a="1"/>
  <c r="AO479" i="11" s="1"/>
  <c r="AK479" i="11" a="1"/>
  <c r="AK479" i="11" s="1"/>
  <c r="AL479" i="11" a="1"/>
  <c r="AL479" i="11" s="1"/>
  <c r="AQ479" i="11" a="1"/>
  <c r="AQ479" i="11" s="1"/>
  <c r="AR479" i="11" a="1"/>
  <c r="AR479" i="11" s="1"/>
  <c r="AM479" i="11" a="1"/>
  <c r="AM479" i="11" s="1"/>
  <c r="AO474" i="11" a="1"/>
  <c r="AO474" i="11" s="1"/>
  <c r="AK474" i="11" a="1"/>
  <c r="AK474" i="11" s="1"/>
  <c r="AQ474" i="11" a="1"/>
  <c r="AQ474" i="11" s="1"/>
  <c r="AM474" i="11" a="1"/>
  <c r="AM474" i="11" s="1"/>
  <c r="AR474" i="11" a="1"/>
  <c r="AR474" i="11" s="1"/>
  <c r="AS474" i="11" a="1"/>
  <c r="AS474" i="11" s="1"/>
  <c r="AL474" i="11" a="1"/>
  <c r="AL474" i="11" s="1"/>
  <c r="AS463" i="11" a="1"/>
  <c r="AS463" i="11" s="1"/>
  <c r="AO463" i="11" a="1"/>
  <c r="AO463" i="11" s="1"/>
  <c r="AK463" i="11" a="1"/>
  <c r="AK463" i="11" s="1"/>
  <c r="AL463" i="11" a="1"/>
  <c r="AL463" i="11" s="1"/>
  <c r="AQ463" i="11" a="1"/>
  <c r="AQ463" i="11" s="1"/>
  <c r="AM463" i="11" a="1"/>
  <c r="AM463" i="11" s="1"/>
  <c r="AR463" i="11" a="1"/>
  <c r="AR463" i="11" s="1"/>
  <c r="AS468" i="11" a="1"/>
  <c r="AS468" i="11" s="1"/>
  <c r="AO468" i="11" a="1"/>
  <c r="AO468" i="11" s="1"/>
  <c r="AL468" i="11" a="1"/>
  <c r="AL468" i="11" s="1"/>
  <c r="AQ468" i="11" a="1"/>
  <c r="AQ468" i="11" s="1"/>
  <c r="AL467" i="11" a="1"/>
  <c r="AL467" i="11" s="1"/>
  <c r="AQ467" i="11" a="1"/>
  <c r="AQ467" i="11" s="1"/>
  <c r="AM467" i="11" a="1"/>
  <c r="AM467" i="11" s="1"/>
  <c r="AR467" i="11" a="1"/>
  <c r="AR467" i="11" s="1"/>
  <c r="AS467" i="11" a="1"/>
  <c r="AS467" i="11" s="1"/>
  <c r="AO467" i="11" a="1"/>
  <c r="AO467" i="11" s="1"/>
  <c r="AR464" i="11" a="1"/>
  <c r="AR464" i="11" s="1"/>
  <c r="AK485" i="11" a="1"/>
  <c r="AK485" i="11" s="1"/>
  <c r="AL485" i="11" a="1"/>
  <c r="AL485" i="11" s="1"/>
  <c r="AQ485" i="11" a="1"/>
  <c r="AQ485" i="11" s="1"/>
  <c r="AM485" i="11" a="1"/>
  <c r="AM485" i="11" s="1"/>
  <c r="AR485" i="11" a="1"/>
  <c r="AR485" i="11" s="1"/>
  <c r="AO483" i="11" a="1"/>
  <c r="AO483" i="11" s="1"/>
  <c r="AQ476" i="11" a="1"/>
  <c r="AQ476" i="11" s="1"/>
  <c r="AO466" i="11" a="1"/>
  <c r="AO466" i="11" s="1"/>
  <c r="AK466" i="11" a="1"/>
  <c r="AK466" i="11" s="1"/>
  <c r="AM466" i="11" a="1"/>
  <c r="AM466" i="11" s="1"/>
  <c r="AR466" i="11" a="1"/>
  <c r="AR466" i="11" s="1"/>
  <c r="AN484" i="11"/>
  <c r="AP484" i="11" s="1"/>
  <c r="AH484" i="11" s="1"/>
  <c r="AS484" i="11" a="1"/>
  <c r="AS484" i="11" s="1"/>
  <c r="AO484" i="11" a="1"/>
  <c r="AO484" i="11" s="1"/>
  <c r="AL480" i="11" a="1"/>
  <c r="AL480" i="11" s="1"/>
  <c r="AN480" i="11" s="1"/>
  <c r="AP480" i="11" s="1"/>
  <c r="AH480" i="11" s="1"/>
  <c r="AQ480" i="11" a="1"/>
  <c r="AQ480" i="11" s="1"/>
  <c r="AS477" i="11" a="1"/>
  <c r="AS477" i="11" s="1"/>
  <c r="AM476" i="11" a="1"/>
  <c r="AM476" i="11" s="1"/>
  <c r="AM464" i="11" a="1"/>
  <c r="AM464" i="11" s="1"/>
  <c r="AL475" i="11" a="1"/>
  <c r="AL475" i="11" s="1"/>
  <c r="AQ475" i="11" a="1"/>
  <c r="AQ475" i="11" s="1"/>
  <c r="AR475" i="11" a="1"/>
  <c r="AR475" i="11" s="1"/>
  <c r="AM475" i="11" a="1"/>
  <c r="AM475" i="11" s="1"/>
  <c r="AS475" i="11" a="1"/>
  <c r="AS475" i="11" s="1"/>
  <c r="AK477" i="11" a="1"/>
  <c r="AK477" i="11" s="1"/>
  <c r="AL477" i="11" a="1"/>
  <c r="AL477" i="11" s="1"/>
  <c r="AQ477" i="11" a="1"/>
  <c r="AQ477" i="11" s="1"/>
  <c r="AM477" i="11" a="1"/>
  <c r="AM477" i="11" s="1"/>
  <c r="AR477" i="11" a="1"/>
  <c r="AR477" i="11" s="1"/>
  <c r="AL472" i="11" a="1"/>
  <c r="AL472" i="11" s="1"/>
  <c r="AQ472" i="11" a="1"/>
  <c r="AQ472" i="11" s="1"/>
  <c r="AS472" i="11" a="1"/>
  <c r="AS472" i="11" s="1"/>
  <c r="AQ466" i="11" a="1"/>
  <c r="AQ466" i="11" s="1"/>
  <c r="AO475" i="11" a="1"/>
  <c r="AO475" i="11" s="1"/>
  <c r="AM468" i="11" a="1"/>
  <c r="AM468" i="11" s="1"/>
  <c r="AL464" i="11" a="1"/>
  <c r="AL464" i="11" s="1"/>
  <c r="AQ464" i="11" a="1"/>
  <c r="AQ464" i="11" s="1"/>
  <c r="AS464" i="11" a="1"/>
  <c r="AS464" i="11" s="1"/>
  <c r="AL483" i="11" a="1"/>
  <c r="AL483" i="11" s="1"/>
  <c r="AQ483" i="11" a="1"/>
  <c r="AQ483" i="11" s="1"/>
  <c r="AM483" i="11" a="1"/>
  <c r="AM483" i="11" s="1"/>
  <c r="AR483" i="11" a="1"/>
  <c r="AR483" i="11" s="1"/>
  <c r="AS483" i="11" a="1"/>
  <c r="AS483" i="11" s="1"/>
  <c r="AS485" i="11" a="1"/>
  <c r="AS485" i="11" s="1"/>
  <c r="AM484" i="11" a="1"/>
  <c r="AM484" i="11" s="1"/>
  <c r="AM480" i="11" a="1"/>
  <c r="AM480" i="11" s="1"/>
  <c r="AO476" i="11" a="1"/>
  <c r="AO476" i="11" s="1"/>
  <c r="AN476" i="11"/>
  <c r="AP476" i="11" s="1"/>
  <c r="AH476" i="11" s="1"/>
  <c r="AS476" i="11" a="1"/>
  <c r="AS476" i="11" s="1"/>
  <c r="AK468" i="11" a="1"/>
  <c r="AK468" i="11" s="1"/>
  <c r="AK467" i="11" a="1"/>
  <c r="AK467" i="11" s="1"/>
  <c r="AL466" i="11" a="1"/>
  <c r="AL466" i="11" s="1"/>
  <c r="AN466" i="11" s="1"/>
  <c r="AP466" i="11" s="1"/>
  <c r="AH466" i="11" s="1"/>
  <c r="AK481" i="11" a="1"/>
  <c r="AK481" i="11" s="1"/>
  <c r="AO478" i="11" a="1"/>
  <c r="AO478" i="11" s="1"/>
  <c r="AK473" i="11" a="1"/>
  <c r="AK473" i="11" s="1"/>
  <c r="AO470" i="11" a="1"/>
  <c r="AO470" i="11" s="1"/>
  <c r="AR469" i="11" a="1"/>
  <c r="AR469" i="11" s="1"/>
  <c r="AM469" i="11" a="1"/>
  <c r="AM469" i="11" s="1"/>
  <c r="AK465" i="11" a="1"/>
  <c r="AK465" i="11" s="1"/>
  <c r="AO462" i="11" a="1"/>
  <c r="AO462" i="11" s="1"/>
  <c r="AQ469" i="11" a="1"/>
  <c r="AQ469" i="11" s="1"/>
  <c r="AL469" i="11" a="1"/>
  <c r="AL469" i="11" s="1"/>
  <c r="AR478" i="11" a="1"/>
  <c r="AR478" i="11" s="1"/>
  <c r="AR470" i="11" a="1"/>
  <c r="AR470" i="11" s="1"/>
  <c r="AR462" i="11" a="1"/>
  <c r="AR462" i="11" s="1"/>
  <c r="AR481" i="11" a="1"/>
  <c r="AR481" i="11" s="1"/>
  <c r="AR473" i="11" a="1"/>
  <c r="AR473" i="11" s="1"/>
  <c r="AR465" i="11" a="1"/>
  <c r="AR465" i="11" s="1"/>
  <c r="Y466" i="11" a="1"/>
  <c r="Y466" i="11" s="1"/>
  <c r="AC466" i="11" a="1"/>
  <c r="AC466" i="11" s="1"/>
  <c r="Y482" i="11" a="1"/>
  <c r="Y482" i="11" s="1"/>
  <c r="AC482" i="11" a="1"/>
  <c r="AC482" i="11" s="1"/>
  <c r="W465" i="11" a="1"/>
  <c r="W465" i="11" s="1"/>
  <c r="AA465" i="11" a="1"/>
  <c r="AA465" i="11" s="1"/>
  <c r="V465" i="11" a="1"/>
  <c r="V465" i="11" s="1"/>
  <c r="AA461" i="11" a="1"/>
  <c r="AA461" i="11" s="1"/>
  <c r="AB461" i="11" a="1"/>
  <c r="AB461" i="11" s="1"/>
  <c r="U475" i="11" a="1"/>
  <c r="U475" i="11" s="1"/>
  <c r="Y472" i="11" a="1"/>
  <c r="Y472" i="11" s="1"/>
  <c r="AA473" i="11" a="1"/>
  <c r="AA473" i="11" s="1"/>
  <c r="U472" i="11" a="1"/>
  <c r="U472" i="11" s="1"/>
  <c r="AC467" i="11" a="1"/>
  <c r="AC467" i="11" s="1"/>
  <c r="Y480" i="11" a="1"/>
  <c r="Y480" i="11" s="1"/>
  <c r="V473" i="11" a="1"/>
  <c r="V473" i="11" s="1"/>
  <c r="U467" i="11" a="1"/>
  <c r="U467" i="11" s="1"/>
  <c r="U480" i="11" a="1"/>
  <c r="U480" i="11" s="1"/>
  <c r="AC475" i="11" a="1"/>
  <c r="AC475" i="11" s="1"/>
  <c r="AC474" i="11" a="1"/>
  <c r="AC474" i="11" s="1"/>
  <c r="U473" i="11" a="1"/>
  <c r="U473" i="11" s="1"/>
  <c r="X467" i="11"/>
  <c r="Z467" i="11" s="1"/>
  <c r="R467" i="11" s="1"/>
  <c r="U469" i="11" a="1"/>
  <c r="U469" i="11" s="1"/>
  <c r="AC469" i="11" a="1"/>
  <c r="AC469" i="11" s="1"/>
  <c r="V469" i="11" a="1"/>
  <c r="V469" i="11" s="1"/>
  <c r="AA469" i="11" a="1"/>
  <c r="AA469" i="11" s="1"/>
  <c r="Y469" i="11" a="1"/>
  <c r="Y469" i="11" s="1"/>
  <c r="W469" i="11" a="1"/>
  <c r="W469" i="11" s="1"/>
  <c r="AB469" i="11" a="1"/>
  <c r="AB469" i="11" s="1"/>
  <c r="W470" i="11" a="1"/>
  <c r="W470" i="11" s="1"/>
  <c r="AB470" i="11" a="1"/>
  <c r="AB470" i="11" s="1"/>
  <c r="AC470" i="11" a="1"/>
  <c r="AC470" i="11" s="1"/>
  <c r="AA470" i="11" a="1"/>
  <c r="AA470" i="11" s="1"/>
  <c r="Y470" i="11" a="1"/>
  <c r="Y470" i="11" s="1"/>
  <c r="V470" i="11" a="1"/>
  <c r="V470" i="11" s="1"/>
  <c r="U470" i="11" a="1"/>
  <c r="U470" i="11" s="1"/>
  <c r="AC468" i="11" a="1"/>
  <c r="AC468" i="11" s="1"/>
  <c r="Y468" i="11" a="1"/>
  <c r="Y468" i="11" s="1"/>
  <c r="U468" i="11" a="1"/>
  <c r="U468" i="11" s="1"/>
  <c r="AB468" i="11" a="1"/>
  <c r="AB468" i="11" s="1"/>
  <c r="W468" i="11" a="1"/>
  <c r="W468" i="11" s="1"/>
  <c r="V468" i="11" a="1"/>
  <c r="V468" i="11" s="1"/>
  <c r="AA468" i="11" a="1"/>
  <c r="AA468" i="11" s="1"/>
  <c r="W462" i="11" a="1"/>
  <c r="W462" i="11" s="1"/>
  <c r="AB462" i="11" a="1"/>
  <c r="AB462" i="11" s="1"/>
  <c r="V462" i="11" a="1"/>
  <c r="V462" i="11" s="1"/>
  <c r="AC462" i="11" a="1"/>
  <c r="AC462" i="11" s="1"/>
  <c r="AA462" i="11" a="1"/>
  <c r="AA462" i="11" s="1"/>
  <c r="Y462" i="11" a="1"/>
  <c r="Y462" i="11" s="1"/>
  <c r="U462" i="11" a="1"/>
  <c r="U462" i="11" s="1"/>
  <c r="W478" i="11" a="1"/>
  <c r="W478" i="11" s="1"/>
  <c r="AB478" i="11" a="1"/>
  <c r="AB478" i="11" s="1"/>
  <c r="AC478" i="11" a="1"/>
  <c r="AC478" i="11" s="1"/>
  <c r="Y478" i="11" a="1"/>
  <c r="Y478" i="11" s="1"/>
  <c r="V478" i="11" a="1"/>
  <c r="V478" i="11" s="1"/>
  <c r="U478" i="11" a="1"/>
  <c r="U478" i="11" s="1"/>
  <c r="AA478" i="11" a="1"/>
  <c r="AA478" i="11" s="1"/>
  <c r="V464" i="11" a="1"/>
  <c r="V464" i="11" s="1"/>
  <c r="AA464" i="11" a="1"/>
  <c r="AA464" i="11" s="1"/>
  <c r="W464" i="11" a="1"/>
  <c r="W464" i="11" s="1"/>
  <c r="AB464" i="11" a="1"/>
  <c r="AB464" i="11" s="1"/>
  <c r="Y464" i="11" a="1"/>
  <c r="Y464" i="11" s="1"/>
  <c r="U464" i="11" a="1"/>
  <c r="U464" i="11" s="1"/>
  <c r="AC464" i="11" a="1"/>
  <c r="AC464" i="11" s="1"/>
  <c r="V483" i="11" a="1"/>
  <c r="V483" i="11" s="1"/>
  <c r="AA483" i="11" a="1"/>
  <c r="AA483" i="11" s="1"/>
  <c r="W483" i="11" a="1"/>
  <c r="W483" i="11" s="1"/>
  <c r="AB483" i="11" a="1"/>
  <c r="AB483" i="11" s="1"/>
  <c r="AC483" i="11" a="1"/>
  <c r="AC483" i="11" s="1"/>
  <c r="U483" i="11" a="1"/>
  <c r="U483" i="11" s="1"/>
  <c r="Y483" i="11" a="1"/>
  <c r="Y483" i="11" s="1"/>
  <c r="W481" i="11" a="1"/>
  <c r="W481" i="11" s="1"/>
  <c r="AB481" i="11" a="1"/>
  <c r="AB481" i="11" s="1"/>
  <c r="V481" i="11" a="1"/>
  <c r="V481" i="11" s="1"/>
  <c r="AC481" i="11" a="1"/>
  <c r="AC481" i="11" s="1"/>
  <c r="AA481" i="11" a="1"/>
  <c r="AA481" i="11" s="1"/>
  <c r="Y481" i="11" a="1"/>
  <c r="Y481" i="11" s="1"/>
  <c r="U481" i="11" a="1"/>
  <c r="U481" i="11" s="1"/>
  <c r="U485" i="11" a="1"/>
  <c r="U485" i="11" s="1"/>
  <c r="W485" i="11" a="1"/>
  <c r="W485" i="11" s="1"/>
  <c r="V485" i="11" a="1"/>
  <c r="V485" i="11" s="1"/>
  <c r="AA485" i="11" a="1"/>
  <c r="AA485" i="11" s="1"/>
  <c r="AB485" i="11" a="1"/>
  <c r="AB485" i="11" s="1"/>
  <c r="AC485" i="11" a="1"/>
  <c r="AC485" i="11" s="1"/>
  <c r="Y485" i="11" a="1"/>
  <c r="Y485" i="11" s="1"/>
  <c r="U477" i="11" a="1"/>
  <c r="U477" i="11" s="1"/>
  <c r="V477" i="11" a="1"/>
  <c r="V477" i="11" s="1"/>
  <c r="AA477" i="11" a="1"/>
  <c r="AA477" i="11" s="1"/>
  <c r="AB477" i="11" a="1"/>
  <c r="AB477" i="11" s="1"/>
  <c r="W477" i="11" a="1"/>
  <c r="W477" i="11" s="1"/>
  <c r="AC477" i="11" a="1"/>
  <c r="AC477" i="11" s="1"/>
  <c r="Y477" i="11" a="1"/>
  <c r="Y477" i="11" s="1"/>
  <c r="AC484" i="11" a="1"/>
  <c r="AC484" i="11" s="1"/>
  <c r="Y484" i="11" a="1"/>
  <c r="Y484" i="11" s="1"/>
  <c r="AB484" i="11" a="1"/>
  <c r="AB484" i="11" s="1"/>
  <c r="U484" i="11" a="1"/>
  <c r="U484" i="11" s="1"/>
  <c r="W484" i="11" a="1"/>
  <c r="W484" i="11" s="1"/>
  <c r="V484" i="11" a="1"/>
  <c r="V484" i="11" s="1"/>
  <c r="AA484" i="11" a="1"/>
  <c r="AA484" i="11" s="1"/>
  <c r="AC476" i="11" a="1"/>
  <c r="AC476" i="11" s="1"/>
  <c r="Y476" i="11" a="1"/>
  <c r="Y476" i="11" s="1"/>
  <c r="W476" i="11" a="1"/>
  <c r="W476" i="11" s="1"/>
  <c r="U476" i="11" a="1"/>
  <c r="U476" i="11" s="1"/>
  <c r="V476" i="11" a="1"/>
  <c r="V476" i="11" s="1"/>
  <c r="AA476" i="11" a="1"/>
  <c r="AA476" i="11" s="1"/>
  <c r="AB476" i="11" a="1"/>
  <c r="AB476" i="11" s="1"/>
  <c r="AB482" i="11" a="1"/>
  <c r="AB482" i="11" s="1"/>
  <c r="W482" i="11" a="1"/>
  <c r="W482" i="11" s="1"/>
  <c r="AC480" i="11" a="1"/>
  <c r="AC480" i="11" s="1"/>
  <c r="X480" i="11"/>
  <c r="Z480" i="11" s="1"/>
  <c r="R480" i="11" s="1"/>
  <c r="Y475" i="11" a="1"/>
  <c r="Y475" i="11" s="1"/>
  <c r="AB474" i="11" a="1"/>
  <c r="AB474" i="11" s="1"/>
  <c r="W474" i="11" a="1"/>
  <c r="W474" i="11" s="1"/>
  <c r="AC472" i="11" a="1"/>
  <c r="AC472" i="11" s="1"/>
  <c r="X472" i="11"/>
  <c r="Z472" i="11" s="1"/>
  <c r="R472" i="11" s="1"/>
  <c r="Y467" i="11" a="1"/>
  <c r="Y467" i="11" s="1"/>
  <c r="AB466" i="11" a="1"/>
  <c r="AB466" i="11" s="1"/>
  <c r="W466" i="11" a="1"/>
  <c r="W466" i="11" s="1"/>
  <c r="AB479" i="11" a="1"/>
  <c r="AB479" i="11" s="1"/>
  <c r="AB471" i="11" a="1"/>
  <c r="AB471" i="11" s="1"/>
  <c r="V479" i="11" a="1"/>
  <c r="V479" i="11" s="1"/>
  <c r="X479" i="11" s="1"/>
  <c r="Z479" i="11" s="1"/>
  <c r="R479" i="11" s="1"/>
  <c r="AA471" i="11" a="1"/>
  <c r="AA471" i="11" s="1"/>
  <c r="V471" i="11" a="1"/>
  <c r="V471" i="11" s="1"/>
  <c r="X471" i="11" s="1"/>
  <c r="Z471" i="11" s="1"/>
  <c r="R471" i="11" s="1"/>
  <c r="U465" i="11" a="1"/>
  <c r="U465" i="11" s="1"/>
  <c r="AA463" i="11" a="1"/>
  <c r="AA463" i="11" s="1"/>
  <c r="V463" i="11" a="1"/>
  <c r="V463" i="11" s="1"/>
  <c r="X463" i="11" s="1"/>
  <c r="Z463" i="11" s="1"/>
  <c r="R463" i="11" s="1"/>
  <c r="AA482" i="11" a="1"/>
  <c r="AA482" i="11" s="1"/>
  <c r="V482" i="11" a="1"/>
  <c r="V482" i="11" s="1"/>
  <c r="AB480" i="11" a="1"/>
  <c r="AB480" i="11" s="1"/>
  <c r="W480" i="11" a="1"/>
  <c r="W480" i="11" s="1"/>
  <c r="AA474" i="11" a="1"/>
  <c r="AA474" i="11" s="1"/>
  <c r="V474" i="11" a="1"/>
  <c r="V474" i="11" s="1"/>
  <c r="X474" i="11" s="1"/>
  <c r="Z474" i="11" s="1"/>
  <c r="R474" i="11" s="1"/>
  <c r="Y473" i="11" a="1"/>
  <c r="Y473" i="11" s="1"/>
  <c r="AB472" i="11" a="1"/>
  <c r="AB472" i="11" s="1"/>
  <c r="W472" i="11" a="1"/>
  <c r="W472" i="11" s="1"/>
  <c r="AA466" i="11" a="1"/>
  <c r="AA466" i="11" s="1"/>
  <c r="V466" i="11" a="1"/>
  <c r="V466" i="11" s="1"/>
  <c r="Y465" i="11" a="1"/>
  <c r="Y465" i="11" s="1"/>
  <c r="AA479" i="11" a="1"/>
  <c r="AA479" i="11" s="1"/>
  <c r="U479" i="11" a="1"/>
  <c r="U479" i="11" s="1"/>
  <c r="AB475" i="11" a="1"/>
  <c r="AB475" i="11" s="1"/>
  <c r="AC473" i="11" a="1"/>
  <c r="AC473" i="11" s="1"/>
  <c r="U471" i="11" a="1"/>
  <c r="U471" i="11" s="1"/>
  <c r="AB467" i="11" a="1"/>
  <c r="AB467" i="11" s="1"/>
  <c r="W467" i="11" a="1"/>
  <c r="W467" i="11" s="1"/>
  <c r="AC465" i="11" a="1"/>
  <c r="AC465" i="11" s="1"/>
  <c r="U463" i="11" a="1"/>
  <c r="U463" i="11" s="1"/>
  <c r="AB463" i="11" a="1"/>
  <c r="AB463" i="11" s="1"/>
  <c r="U482" i="11" a="1"/>
  <c r="U482" i="11" s="1"/>
  <c r="AA480" i="11" a="1"/>
  <c r="AA480" i="11" s="1"/>
  <c r="Y479" i="11" a="1"/>
  <c r="Y479" i="11" s="1"/>
  <c r="U474" i="11" a="1"/>
  <c r="U474" i="11" s="1"/>
  <c r="AA472" i="11" a="1"/>
  <c r="AA472" i="11" s="1"/>
  <c r="Y471" i="11" a="1"/>
  <c r="Y471" i="11" s="1"/>
  <c r="U466" i="11" a="1"/>
  <c r="U466" i="11" s="1"/>
  <c r="Y463" i="11" a="1"/>
  <c r="Y463" i="11" s="1"/>
  <c r="W479" i="11" a="1"/>
  <c r="W479" i="11" s="1"/>
  <c r="W471" i="11" a="1"/>
  <c r="W471" i="11" s="1"/>
  <c r="W463" i="11" a="1"/>
  <c r="W463" i="11" s="1"/>
  <c r="AC479" i="11" a="1"/>
  <c r="AC479" i="11" s="1"/>
  <c r="AB473" i="11" a="1"/>
  <c r="AB473" i="11" s="1"/>
  <c r="AC471" i="11" a="1"/>
  <c r="AC471" i="11" s="1"/>
  <c r="AA467" i="11" a="1"/>
  <c r="AA467" i="11" s="1"/>
  <c r="AB465" i="11" a="1"/>
  <c r="AB465" i="11" s="1"/>
  <c r="AC463" i="11" a="1"/>
  <c r="AC463" i="11" s="1"/>
  <c r="X465" i="11" l="1"/>
  <c r="Z465" i="11" s="1"/>
  <c r="R465" i="11" s="1"/>
  <c r="X466" i="11"/>
  <c r="Z466" i="11" s="1"/>
  <c r="R466" i="11" s="1"/>
  <c r="X475" i="11"/>
  <c r="Z475" i="11" s="1"/>
  <c r="R475" i="11" s="1"/>
  <c r="AN465" i="11"/>
  <c r="AP465" i="11" s="1"/>
  <c r="AH465" i="11" s="1"/>
  <c r="X482" i="11"/>
  <c r="Z482" i="11" s="1"/>
  <c r="R482" i="11" s="1"/>
  <c r="AN477" i="11"/>
  <c r="AP477" i="11" s="1"/>
  <c r="AH477" i="11" s="1"/>
  <c r="AN461" i="11"/>
  <c r="AP461" i="11" s="1"/>
  <c r="X473" i="11"/>
  <c r="Z473" i="11" s="1"/>
  <c r="R473" i="11" s="1"/>
  <c r="AN467" i="11"/>
  <c r="AP467" i="11" s="1"/>
  <c r="AH467" i="11" s="1"/>
  <c r="X461" i="11"/>
  <c r="Z461" i="11" s="1"/>
  <c r="AN478" i="11"/>
  <c r="AP478" i="11" s="1"/>
  <c r="AH478" i="11" s="1"/>
  <c r="AN463" i="11"/>
  <c r="AP463" i="11" s="1"/>
  <c r="AH463" i="11" s="1"/>
  <c r="AN479" i="11"/>
  <c r="AP479" i="11" s="1"/>
  <c r="AH479" i="11" s="1"/>
  <c r="AN471" i="11"/>
  <c r="AP471" i="11" s="1"/>
  <c r="AH471" i="11" s="1"/>
  <c r="AN468" i="11"/>
  <c r="AP468" i="11" s="1"/>
  <c r="AH468" i="11" s="1"/>
  <c r="X468" i="11"/>
  <c r="Z468" i="11" s="1"/>
  <c r="R468" i="11" s="1"/>
  <c r="AN462" i="11"/>
  <c r="AP462" i="11" s="1"/>
  <c r="AH462" i="11" s="1"/>
  <c r="AN472" i="11"/>
  <c r="AP472" i="11" s="1"/>
  <c r="AH472" i="11" s="1"/>
  <c r="AN469" i="11"/>
  <c r="AP469" i="11" s="1"/>
  <c r="AH469" i="11" s="1"/>
  <c r="AN473" i="11"/>
  <c r="AP473" i="11" s="1"/>
  <c r="AH473" i="11" s="1"/>
  <c r="AN470" i="11"/>
  <c r="AP470" i="11" s="1"/>
  <c r="AH470" i="11" s="1"/>
  <c r="AN481" i="11"/>
  <c r="AP481" i="11" s="1"/>
  <c r="AH481" i="11" s="1"/>
  <c r="BF461" i="11"/>
  <c r="AN475" i="11"/>
  <c r="AP475" i="11" s="1"/>
  <c r="AH475" i="11" s="1"/>
  <c r="AN464" i="11"/>
  <c r="AP464" i="11" s="1"/>
  <c r="AH464" i="11" s="1"/>
  <c r="AN483" i="11"/>
  <c r="AP483" i="11" s="1"/>
  <c r="AH483" i="11" s="1"/>
  <c r="AN485" i="11"/>
  <c r="AP485" i="11" s="1"/>
  <c r="AH485" i="11" s="1"/>
  <c r="AN474" i="11"/>
  <c r="AP474" i="11" s="1"/>
  <c r="AH474" i="11" s="1"/>
  <c r="AN482" i="11"/>
  <c r="AP482" i="11" s="1"/>
  <c r="AH482" i="11" s="1"/>
  <c r="X477" i="11"/>
  <c r="Z477" i="11" s="1"/>
  <c r="R477" i="11" s="1"/>
  <c r="X484" i="11"/>
  <c r="Z484" i="11" s="1"/>
  <c r="R484" i="11" s="1"/>
  <c r="X476" i="11"/>
  <c r="Z476" i="11" s="1"/>
  <c r="R476" i="11" s="1"/>
  <c r="X478" i="11"/>
  <c r="Z478" i="11" s="1"/>
  <c r="R478" i="11" s="1"/>
  <c r="X485" i="11"/>
  <c r="Z485" i="11" s="1"/>
  <c r="R485" i="11" s="1"/>
  <c r="X481" i="11"/>
  <c r="Z481" i="11" s="1"/>
  <c r="R481" i="11" s="1"/>
  <c r="X462" i="11"/>
  <c r="Z462" i="11" s="1"/>
  <c r="R462" i="11" s="1"/>
  <c r="X469" i="11"/>
  <c r="Z469" i="11" s="1"/>
  <c r="R469" i="11" s="1"/>
  <c r="X483" i="11"/>
  <c r="Z483" i="11" s="1"/>
  <c r="R483" i="11" s="1"/>
  <c r="X464" i="11"/>
  <c r="Z464" i="11" s="1"/>
  <c r="R464" i="11" s="1"/>
  <c r="X470" i="11"/>
  <c r="Z470" i="11" s="1"/>
  <c r="R470" i="11" s="1"/>
  <c r="AH461" i="11" l="1"/>
  <c r="R461" i="11"/>
  <c r="AX461" i="11"/>
  <c r="R460" i="11"/>
  <c r="AX460" i="11"/>
  <c r="AH460" i="11"/>
  <c r="AC279" i="11" l="1"/>
  <c r="AA281" i="11"/>
  <c r="AA283" i="11"/>
  <c r="AA285" i="11"/>
  <c r="AA287" i="11"/>
  <c r="AA289" i="11"/>
  <c r="AA291" i="11"/>
  <c r="AA293" i="11"/>
  <c r="AA295" i="11"/>
  <c r="AA297" i="11"/>
  <c r="AA299" i="11"/>
  <c r="AA301" i="11"/>
  <c r="AA303" i="11"/>
  <c r="AA305" i="11"/>
  <c r="AA307" i="11"/>
  <c r="AA309" i="11"/>
  <c r="AA311" i="11"/>
  <c r="AA313" i="11"/>
  <c r="AA315" i="11"/>
  <c r="AA317" i="11"/>
  <c r="AB281" i="11"/>
  <c r="AB283" i="11"/>
  <c r="AB285" i="11"/>
  <c r="AB287" i="11"/>
  <c r="AB289" i="11"/>
  <c r="AB291" i="11"/>
  <c r="AB293" i="11"/>
  <c r="AB295" i="11"/>
  <c r="AB297" i="11"/>
  <c r="AB299" i="11"/>
  <c r="AB301" i="11"/>
  <c r="AB303" i="11"/>
  <c r="AB305" i="11"/>
  <c r="AB307" i="11"/>
  <c r="AB309" i="11"/>
  <c r="AB311" i="11"/>
  <c r="AB313" i="11"/>
  <c r="AB315" i="11"/>
  <c r="AB317" i="11"/>
  <c r="AC281" i="11"/>
  <c r="AC283" i="11"/>
  <c r="AC285" i="11"/>
  <c r="AC287" i="11"/>
  <c r="AC289" i="11"/>
  <c r="AC291" i="11"/>
  <c r="AC293" i="11"/>
  <c r="AC295" i="11"/>
  <c r="AC297" i="11"/>
  <c r="AC299" i="11"/>
  <c r="AC301" i="11"/>
  <c r="AC303" i="11"/>
  <c r="AC305" i="11"/>
  <c r="AC307" i="11"/>
  <c r="AC309" i="11"/>
  <c r="AC311" i="11"/>
  <c r="AC313" i="11"/>
  <c r="AC315" i="11"/>
  <c r="AC317" i="11"/>
  <c r="Z280" i="11"/>
  <c r="Z282" i="11"/>
  <c r="Z284" i="11"/>
  <c r="Z286" i="11"/>
  <c r="Z288" i="11"/>
  <c r="Z290" i="11"/>
  <c r="Z292" i="11"/>
  <c r="Z294" i="11"/>
  <c r="Z296" i="11"/>
  <c r="Z298" i="11"/>
  <c r="Z300" i="11"/>
  <c r="Z302" i="11"/>
  <c r="Z304" i="11"/>
  <c r="Z306" i="11"/>
  <c r="Z308" i="11"/>
  <c r="Z310" i="11"/>
  <c r="Z312" i="11"/>
  <c r="Z314" i="11"/>
  <c r="Z316" i="11"/>
  <c r="Z318" i="11"/>
  <c r="AA280" i="11"/>
  <c r="AA282" i="11"/>
  <c r="AA284" i="11"/>
  <c r="AA286" i="11"/>
  <c r="AA288" i="11"/>
  <c r="AA290" i="11"/>
  <c r="AA292" i="11"/>
  <c r="AA294" i="11"/>
  <c r="AA296" i="11"/>
  <c r="AA298" i="11"/>
  <c r="AA300" i="11"/>
  <c r="AA302" i="11"/>
  <c r="AA304" i="11"/>
  <c r="AA306" i="11"/>
  <c r="AA308" i="11"/>
  <c r="AA310" i="11"/>
  <c r="AA312" i="11"/>
  <c r="AA314" i="11"/>
  <c r="AA316" i="11"/>
  <c r="AA318" i="11"/>
  <c r="AB279" i="11"/>
  <c r="AB280" i="11"/>
  <c r="AB282" i="11"/>
  <c r="AB284" i="11"/>
  <c r="AB286" i="11"/>
  <c r="AB288" i="11"/>
  <c r="AB290" i="11"/>
  <c r="AB292" i="11"/>
  <c r="AB294" i="11"/>
  <c r="AB296" i="11"/>
  <c r="AB298" i="11"/>
  <c r="AB300" i="11"/>
  <c r="AB302" i="11"/>
  <c r="AB304" i="11"/>
  <c r="AB306" i="11"/>
  <c r="AB308" i="11"/>
  <c r="AB310" i="11"/>
  <c r="AB312" i="11"/>
  <c r="AB314" i="11"/>
  <c r="AB316" i="11"/>
  <c r="AB318" i="11"/>
  <c r="AA279" i="11"/>
  <c r="AC280" i="11"/>
  <c r="AC282" i="11"/>
  <c r="AC284" i="11"/>
  <c r="AC286" i="11"/>
  <c r="AC288" i="11"/>
  <c r="AC290" i="11"/>
  <c r="AC292" i="11"/>
  <c r="AC294" i="11"/>
  <c r="AC296" i="11"/>
  <c r="AC298" i="11"/>
  <c r="AC300" i="11"/>
  <c r="AC302" i="11"/>
  <c r="AC304" i="11"/>
  <c r="AC306" i="11"/>
  <c r="AC308" i="11"/>
  <c r="AC310" i="11"/>
  <c r="AC312" i="11"/>
  <c r="AC314" i="11"/>
  <c r="AC316" i="11"/>
  <c r="AC318" i="11"/>
  <c r="Z279" i="11"/>
  <c r="Z291" i="11"/>
  <c r="Z307" i="11"/>
  <c r="Z293" i="11"/>
  <c r="Z309" i="11"/>
  <c r="Z295" i="11"/>
  <c r="Z311" i="11"/>
  <c r="Z289" i="11"/>
  <c r="Z281" i="11"/>
  <c r="Z297" i="11"/>
  <c r="Z313" i="11"/>
  <c r="Z283" i="11"/>
  <c r="Z299" i="11"/>
  <c r="Z315" i="11"/>
  <c r="Z305" i="11"/>
  <c r="Z285" i="11"/>
  <c r="Z301" i="11"/>
  <c r="Z317" i="11"/>
  <c r="Z287" i="11"/>
  <c r="Z303" i="11"/>
  <c r="P281" i="11"/>
  <c r="P283" i="11"/>
  <c r="P285" i="11"/>
  <c r="P287" i="11"/>
  <c r="P289" i="11"/>
  <c r="P291" i="11"/>
  <c r="P293" i="11"/>
  <c r="P295" i="11"/>
  <c r="P297" i="11"/>
  <c r="P299" i="11"/>
  <c r="P301" i="11"/>
  <c r="P303" i="11"/>
  <c r="P305" i="11"/>
  <c r="P307" i="11"/>
  <c r="P309" i="11"/>
  <c r="P311" i="11"/>
  <c r="P313" i="11"/>
  <c r="P315" i="11"/>
  <c r="P317" i="11"/>
  <c r="S279" i="11"/>
  <c r="Q281" i="11"/>
  <c r="Q283" i="11"/>
  <c r="Q285" i="11"/>
  <c r="Q287" i="11"/>
  <c r="Q289" i="11"/>
  <c r="Q291" i="11"/>
  <c r="Q293" i="11"/>
  <c r="Q295" i="11"/>
  <c r="Q297" i="11"/>
  <c r="Q299" i="11"/>
  <c r="Q301" i="11"/>
  <c r="Q303" i="11"/>
  <c r="Q305" i="11"/>
  <c r="Q307" i="11"/>
  <c r="Q309" i="11"/>
  <c r="Q311" i="11"/>
  <c r="Q313" i="11"/>
  <c r="Q315" i="11"/>
  <c r="Q317" i="11"/>
  <c r="Q279" i="11"/>
  <c r="R281" i="11"/>
  <c r="R283" i="11"/>
  <c r="R285" i="11"/>
  <c r="R287" i="11"/>
  <c r="R289" i="11"/>
  <c r="R291" i="11"/>
  <c r="R293" i="11"/>
  <c r="R295" i="11"/>
  <c r="R297" i="11"/>
  <c r="R299" i="11"/>
  <c r="R301" i="11"/>
  <c r="R303" i="11"/>
  <c r="R305" i="11"/>
  <c r="R307" i="11"/>
  <c r="R309" i="11"/>
  <c r="R311" i="11"/>
  <c r="R313" i="11"/>
  <c r="R315" i="11"/>
  <c r="R317" i="11"/>
  <c r="P279" i="11"/>
  <c r="S281" i="11"/>
  <c r="S283" i="11"/>
  <c r="S285" i="11"/>
  <c r="S287" i="11"/>
  <c r="S289" i="11"/>
  <c r="S291" i="11"/>
  <c r="S293" i="11"/>
  <c r="S295" i="11"/>
  <c r="S297" i="11"/>
  <c r="S299" i="11"/>
  <c r="S301" i="11"/>
  <c r="S303" i="11"/>
  <c r="S305" i="11"/>
  <c r="S307" i="11"/>
  <c r="S309" i="11"/>
  <c r="S311" i="11"/>
  <c r="S313" i="11"/>
  <c r="S315" i="11"/>
  <c r="S317" i="11"/>
  <c r="R279" i="11"/>
  <c r="P280" i="11"/>
  <c r="P282" i="11"/>
  <c r="P284" i="11"/>
  <c r="P286" i="11"/>
  <c r="P288" i="11"/>
  <c r="P290" i="11"/>
  <c r="P292" i="11"/>
  <c r="P294" i="11"/>
  <c r="P296" i="11"/>
  <c r="P298" i="11"/>
  <c r="P300" i="11"/>
  <c r="P302" i="11"/>
  <c r="P304" i="11"/>
  <c r="P306" i="11"/>
  <c r="P308" i="11"/>
  <c r="P310" i="11"/>
  <c r="P312" i="11"/>
  <c r="P314" i="11"/>
  <c r="P316" i="11"/>
  <c r="P318" i="11"/>
  <c r="Q280" i="11"/>
  <c r="Q282" i="11"/>
  <c r="Q284" i="11"/>
  <c r="Q286" i="11"/>
  <c r="Q288" i="11"/>
  <c r="Q290" i="11"/>
  <c r="Q292" i="11"/>
  <c r="Q294" i="11"/>
  <c r="Q296" i="11"/>
  <c r="Q298" i="11"/>
  <c r="Q300" i="11"/>
  <c r="Q302" i="11"/>
  <c r="Q304" i="11"/>
  <c r="Q306" i="11"/>
  <c r="Q308" i="11"/>
  <c r="Q310" i="11"/>
  <c r="Q312" i="11"/>
  <c r="Q314" i="11"/>
  <c r="Q316" i="11"/>
  <c r="Q318" i="11"/>
  <c r="S280" i="11"/>
  <c r="S284" i="11"/>
  <c r="S286" i="11"/>
  <c r="R280" i="11"/>
  <c r="R282" i="11"/>
  <c r="R284" i="11"/>
  <c r="R286" i="11"/>
  <c r="R288" i="11"/>
  <c r="R290" i="11"/>
  <c r="R292" i="11"/>
  <c r="R294" i="11"/>
  <c r="R296" i="11"/>
  <c r="R298" i="11"/>
  <c r="R300" i="11"/>
  <c r="R302" i="11"/>
  <c r="R304" i="11"/>
  <c r="R306" i="11"/>
  <c r="R308" i="11"/>
  <c r="R310" i="11"/>
  <c r="R312" i="11"/>
  <c r="R314" i="11"/>
  <c r="R316" i="11"/>
  <c r="R318" i="11"/>
  <c r="S282" i="11"/>
  <c r="S288" i="11"/>
  <c r="S300" i="11"/>
  <c r="S316" i="11"/>
  <c r="S298" i="11"/>
  <c r="S302" i="11"/>
  <c r="S318" i="11"/>
  <c r="S304" i="11"/>
  <c r="S290" i="11"/>
  <c r="S306" i="11"/>
  <c r="S314" i="11"/>
  <c r="S292" i="11"/>
  <c r="S308" i="11"/>
  <c r="S294" i="11"/>
  <c r="S310" i="11"/>
  <c r="S296" i="11"/>
  <c r="S312" i="11"/>
  <c r="V280" i="11"/>
  <c r="V282" i="11"/>
  <c r="V284" i="11"/>
  <c r="V286" i="11"/>
  <c r="V288" i="11"/>
  <c r="V290" i="11"/>
  <c r="V292" i="11"/>
  <c r="V294" i="11"/>
  <c r="V296" i="11"/>
  <c r="V298" i="11"/>
  <c r="V300" i="11"/>
  <c r="V302" i="11"/>
  <c r="V304" i="11"/>
  <c r="V306" i="11"/>
  <c r="V308" i="11"/>
  <c r="V310" i="11"/>
  <c r="V312" i="11"/>
  <c r="V314" i="11"/>
  <c r="V316" i="11"/>
  <c r="V318" i="11"/>
  <c r="W279" i="11"/>
  <c r="W280" i="11"/>
  <c r="W282" i="11"/>
  <c r="W284" i="11"/>
  <c r="W286" i="11"/>
  <c r="W288" i="11"/>
  <c r="W290" i="11"/>
  <c r="W292" i="11"/>
  <c r="W294" i="11"/>
  <c r="W296" i="11"/>
  <c r="W298" i="11"/>
  <c r="W300" i="11"/>
  <c r="W302" i="11"/>
  <c r="W304" i="11"/>
  <c r="W306" i="11"/>
  <c r="W308" i="11"/>
  <c r="W310" i="11"/>
  <c r="W312" i="11"/>
  <c r="W314" i="11"/>
  <c r="W316" i="11"/>
  <c r="W318" i="11"/>
  <c r="V279" i="11"/>
  <c r="X280" i="11"/>
  <c r="X282" i="11"/>
  <c r="X284" i="11"/>
  <c r="X286" i="11"/>
  <c r="X288" i="11"/>
  <c r="X290" i="11"/>
  <c r="X292" i="11"/>
  <c r="X294" i="11"/>
  <c r="X296" i="11"/>
  <c r="X298" i="11"/>
  <c r="X300" i="11"/>
  <c r="X302" i="11"/>
  <c r="X304" i="11"/>
  <c r="X306" i="11"/>
  <c r="X308" i="11"/>
  <c r="X310" i="11"/>
  <c r="X312" i="11"/>
  <c r="X314" i="11"/>
  <c r="X316" i="11"/>
  <c r="X318" i="11"/>
  <c r="U279" i="11"/>
  <c r="U281" i="11"/>
  <c r="U283" i="11"/>
  <c r="U285" i="11"/>
  <c r="U287" i="11"/>
  <c r="U289" i="11"/>
  <c r="U291" i="11"/>
  <c r="U293" i="11"/>
  <c r="U295" i="11"/>
  <c r="U297" i="11"/>
  <c r="U299" i="11"/>
  <c r="U301" i="11"/>
  <c r="U303" i="11"/>
  <c r="U305" i="11"/>
  <c r="U307" i="11"/>
  <c r="U309" i="11"/>
  <c r="U311" i="11"/>
  <c r="U313" i="11"/>
  <c r="U315" i="11"/>
  <c r="U317" i="11"/>
  <c r="V281" i="11"/>
  <c r="V283" i="11"/>
  <c r="V285" i="11"/>
  <c r="V287" i="11"/>
  <c r="V289" i="11"/>
  <c r="V291" i="11"/>
  <c r="V293" i="11"/>
  <c r="V295" i="11"/>
  <c r="V297" i="11"/>
  <c r="V299" i="11"/>
  <c r="V301" i="11"/>
  <c r="V303" i="11"/>
  <c r="V305" i="11"/>
  <c r="V307" i="11"/>
  <c r="V309" i="11"/>
  <c r="V311" i="11"/>
  <c r="V313" i="11"/>
  <c r="V315" i="11"/>
  <c r="V317" i="11"/>
  <c r="W281" i="11"/>
  <c r="W283" i="11"/>
  <c r="W285" i="11"/>
  <c r="W287" i="11"/>
  <c r="W289" i="11"/>
  <c r="W291" i="11"/>
  <c r="W293" i="11"/>
  <c r="W295" i="11"/>
  <c r="W297" i="11"/>
  <c r="W299" i="11"/>
  <c r="W301" i="11"/>
  <c r="W303" i="11"/>
  <c r="W305" i="11"/>
  <c r="W307" i="11"/>
  <c r="W309" i="11"/>
  <c r="W311" i="11"/>
  <c r="W313" i="11"/>
  <c r="W315" i="11"/>
  <c r="W317" i="11"/>
  <c r="X281" i="11"/>
  <c r="X283" i="11"/>
  <c r="X285" i="11"/>
  <c r="X287" i="11"/>
  <c r="X289" i="11"/>
  <c r="X291" i="11"/>
  <c r="X293" i="11"/>
  <c r="X295" i="11"/>
  <c r="X297" i="11"/>
  <c r="X299" i="11"/>
  <c r="X301" i="11"/>
  <c r="X303" i="11"/>
  <c r="X305" i="11"/>
  <c r="X307" i="11"/>
  <c r="X309" i="11"/>
  <c r="X311" i="11"/>
  <c r="X313" i="11"/>
  <c r="X315" i="11"/>
  <c r="X317" i="11"/>
  <c r="U284" i="11"/>
  <c r="U300" i="11"/>
  <c r="U316" i="11"/>
  <c r="U286" i="11"/>
  <c r="U302" i="11"/>
  <c r="U318" i="11"/>
  <c r="U314" i="11"/>
  <c r="U288" i="11"/>
  <c r="U304" i="11"/>
  <c r="X279" i="11"/>
  <c r="U290" i="11"/>
  <c r="U306" i="11"/>
  <c r="U292" i="11"/>
  <c r="U308" i="11"/>
  <c r="U294" i="11"/>
  <c r="U310" i="11"/>
  <c r="U282" i="11"/>
  <c r="U280" i="11"/>
  <c r="U296" i="11"/>
  <c r="U312" i="11"/>
  <c r="U298" i="11"/>
  <c r="I245" i="11" l="1"/>
  <c r="U277" i="11"/>
  <c r="I243" i="11"/>
  <c r="H243" i="11"/>
  <c r="Z277" i="11"/>
  <c r="P277" i="11"/>
  <c r="I244" i="11"/>
  <c r="H244" i="11"/>
  <c r="H245" i="11"/>
  <c r="M461" i="11" l="1" a="1"/>
  <c r="M461" i="11" s="1"/>
  <c r="K463" i="11" a="1"/>
  <c r="K463" i="11" s="1"/>
  <c r="E464" i="11" a="1"/>
  <c r="E464" i="11" s="1"/>
  <c r="E465" i="11" a="1"/>
  <c r="E465" i="11" s="1"/>
  <c r="K466" i="11" a="1"/>
  <c r="K466" i="11" s="1"/>
  <c r="K467" i="11" a="1"/>
  <c r="K467" i="11" s="1"/>
  <c r="L468" i="11" a="1"/>
  <c r="L468" i="11" s="1"/>
  <c r="E471" i="11" a="1"/>
  <c r="E471" i="11" s="1"/>
  <c r="M472" i="11" a="1"/>
  <c r="M472" i="11" s="1"/>
  <c r="K473" i="11" a="1"/>
  <c r="K473" i="11" s="1"/>
  <c r="M474" i="11" a="1"/>
  <c r="M474" i="11" s="1"/>
  <c r="K475" i="11" a="1"/>
  <c r="K475" i="11" s="1"/>
  <c r="E476" i="11" a="1"/>
  <c r="E476" i="11" s="1"/>
  <c r="G478" i="11" a="1"/>
  <c r="G478" i="11" s="1"/>
  <c r="G479" i="11" a="1"/>
  <c r="G479" i="11" s="1"/>
  <c r="K480" i="11" a="1"/>
  <c r="K480" i="11" s="1"/>
  <c r="K481" i="11" a="1"/>
  <c r="K481" i="11" s="1"/>
  <c r="E482" i="11" a="1"/>
  <c r="E482" i="11" s="1"/>
  <c r="F483" i="11" a="1"/>
  <c r="F483" i="11" s="1"/>
  <c r="E484" i="11" a="1"/>
  <c r="E484" i="11" s="1"/>
  <c r="K462" i="11" a="1"/>
  <c r="K462" i="11" s="1"/>
  <c r="L485" i="11" l="1" a="1"/>
  <c r="L485" i="11" s="1"/>
  <c r="M485" i="11" a="1"/>
  <c r="M485" i="11" s="1"/>
  <c r="E485" i="11" a="1"/>
  <c r="E485" i="11" s="1"/>
  <c r="K485" i="11" a="1"/>
  <c r="K485" i="11" s="1"/>
  <c r="F470" i="11" a="1"/>
  <c r="F470" i="11" s="1"/>
  <c r="E470" i="11" a="1"/>
  <c r="E470" i="11" s="1"/>
  <c r="L470" i="11" a="1"/>
  <c r="L470" i="11" s="1"/>
  <c r="M470" i="11" a="1"/>
  <c r="M470" i="11" s="1"/>
  <c r="K470" i="11" a="1"/>
  <c r="K470" i="11" s="1"/>
  <c r="K483" i="11" a="1"/>
  <c r="K483" i="11" s="1"/>
  <c r="M480" i="11" a="1"/>
  <c r="M480" i="11" s="1"/>
  <c r="M478" i="11" a="1"/>
  <c r="M478" i="11" s="1"/>
  <c r="L474" i="11" a="1"/>
  <c r="L474" i="11" s="1"/>
  <c r="L472" i="11" a="1"/>
  <c r="L472" i="11" s="1"/>
  <c r="K468" i="11" a="1"/>
  <c r="K468" i="11" s="1"/>
  <c r="M463" i="11" a="1"/>
  <c r="M463" i="11" s="1"/>
  <c r="E475" i="11" a="1"/>
  <c r="E475" i="11" s="1"/>
  <c r="M484" i="11" a="1"/>
  <c r="M484" i="11" s="1"/>
  <c r="M482" i="11" a="1"/>
  <c r="M482" i="11" s="1"/>
  <c r="L478" i="11" a="1"/>
  <c r="L478" i="11" s="1"/>
  <c r="L476" i="11" a="1"/>
  <c r="L476" i="11" s="1"/>
  <c r="K474" i="11" a="1"/>
  <c r="K474" i="11" s="1"/>
  <c r="K472" i="11" a="1"/>
  <c r="K472" i="11" s="1"/>
  <c r="M467" i="11" a="1"/>
  <c r="M467" i="11" s="1"/>
  <c r="M465" i="11" a="1"/>
  <c r="M465" i="11" s="1"/>
  <c r="L463" i="11" a="1"/>
  <c r="L463" i="11" s="1"/>
  <c r="E461" i="11" a="1"/>
  <c r="E461" i="11" s="1"/>
  <c r="E481" i="11" a="1"/>
  <c r="E481" i="11" s="1"/>
  <c r="E474" i="11" a="1"/>
  <c r="E474" i="11" s="1"/>
  <c r="E469" i="11" a="1"/>
  <c r="E469" i="11" s="1"/>
  <c r="E463" i="11" a="1"/>
  <c r="E463" i="11" s="1"/>
  <c r="K461" i="11" a="1"/>
  <c r="K461" i="11" s="1"/>
  <c r="L482" i="11" a="1"/>
  <c r="L482" i="11" s="1"/>
  <c r="L480" i="11" a="1"/>
  <c r="L480" i="11" s="1"/>
  <c r="K478" i="11" a="1"/>
  <c r="K478" i="11" s="1"/>
  <c r="K476" i="11" a="1"/>
  <c r="K476" i="11" s="1"/>
  <c r="M471" i="11" a="1"/>
  <c r="M471" i="11" s="1"/>
  <c r="M469" i="11" a="1"/>
  <c r="M469" i="11" s="1"/>
  <c r="L467" i="11" a="1"/>
  <c r="L467" i="11" s="1"/>
  <c r="L465" i="11" a="1"/>
  <c r="L465" i="11" s="1"/>
  <c r="E480" i="11" a="1"/>
  <c r="E480" i="11" s="1"/>
  <c r="E468" i="11" a="1"/>
  <c r="E468" i="11" s="1"/>
  <c r="E462" i="11" a="1"/>
  <c r="E462" i="11" s="1"/>
  <c r="L461" i="11" a="1"/>
  <c r="L461" i="11" s="1"/>
  <c r="L484" i="11" a="1"/>
  <c r="L484" i="11" s="1"/>
  <c r="K482" i="11" a="1"/>
  <c r="K482" i="11" s="1"/>
  <c r="M475" i="11" a="1"/>
  <c r="M475" i="11" s="1"/>
  <c r="M473" i="11" a="1"/>
  <c r="M473" i="11" s="1"/>
  <c r="L471" i="11" a="1"/>
  <c r="L471" i="11" s="1"/>
  <c r="L469" i="11" a="1"/>
  <c r="L469" i="11" s="1"/>
  <c r="K465" i="11" a="1"/>
  <c r="K465" i="11" s="1"/>
  <c r="E479" i="11" a="1"/>
  <c r="E479" i="11" s="1"/>
  <c r="E473" i="11" a="1"/>
  <c r="E473" i="11" s="1"/>
  <c r="E467" i="11" a="1"/>
  <c r="E467" i="11" s="1"/>
  <c r="K484" i="11" a="1"/>
  <c r="K484" i="11" s="1"/>
  <c r="M479" i="11" a="1"/>
  <c r="M479" i="11" s="1"/>
  <c r="M477" i="11" a="1"/>
  <c r="M477" i="11" s="1"/>
  <c r="L475" i="11" a="1"/>
  <c r="L475" i="11" s="1"/>
  <c r="L473" i="11" a="1"/>
  <c r="L473" i="11" s="1"/>
  <c r="K469" i="11" a="1"/>
  <c r="K469" i="11" s="1"/>
  <c r="M464" i="11" a="1"/>
  <c r="M464" i="11" s="1"/>
  <c r="M462" i="11" a="1"/>
  <c r="M462" i="11" s="1"/>
  <c r="E478" i="11" a="1"/>
  <c r="E478" i="11" s="1"/>
  <c r="E472" i="11" a="1"/>
  <c r="E472" i="11" s="1"/>
  <c r="E466" i="11" a="1"/>
  <c r="E466" i="11" s="1"/>
  <c r="M483" i="11" a="1"/>
  <c r="M483" i="11" s="1"/>
  <c r="M481" i="11" a="1"/>
  <c r="M481" i="11" s="1"/>
  <c r="L479" i="11" a="1"/>
  <c r="L479" i="11" s="1"/>
  <c r="L477" i="11" a="1"/>
  <c r="L477" i="11" s="1"/>
  <c r="K471" i="11" a="1"/>
  <c r="K471" i="11" s="1"/>
  <c r="M468" i="11" a="1"/>
  <c r="M468" i="11" s="1"/>
  <c r="M466" i="11" a="1"/>
  <c r="M466" i="11" s="1"/>
  <c r="L462" i="11" a="1"/>
  <c r="L462" i="11" s="1"/>
  <c r="L483" i="11" a="1"/>
  <c r="L483" i="11" s="1"/>
  <c r="L481" i="11" a="1"/>
  <c r="L481" i="11" s="1"/>
  <c r="K477" i="11" a="1"/>
  <c r="K477" i="11" s="1"/>
  <c r="L466" i="11" a="1"/>
  <c r="L466" i="11" s="1"/>
  <c r="L464" i="11" a="1"/>
  <c r="L464" i="11" s="1"/>
  <c r="E483" i="11" a="1"/>
  <c r="E483" i="11" s="1"/>
  <c r="E477" i="11" a="1"/>
  <c r="E477" i="11" s="1"/>
  <c r="K479" i="11" a="1"/>
  <c r="K479" i="11" s="1"/>
  <c r="M476" i="11" a="1"/>
  <c r="M476" i="11" s="1"/>
  <c r="K464" i="11" a="1"/>
  <c r="K464" i="11" s="1"/>
  <c r="F467" i="11" a="1"/>
  <c r="F467" i="11" s="1"/>
  <c r="G476" i="11" a="1"/>
  <c r="G476" i="11" s="1"/>
  <c r="F480" i="11" a="1"/>
  <c r="F480" i="11" s="1"/>
  <c r="I470" i="11" a="1"/>
  <c r="I470" i="11" s="1"/>
  <c r="H483" i="11"/>
  <c r="J483" i="11" s="1"/>
  <c r="B483" i="11" s="1"/>
  <c r="F475" i="11" a="1"/>
  <c r="F475" i="11" s="1"/>
  <c r="I475" i="11" a="1"/>
  <c r="I475" i="11" s="1"/>
  <c r="I464" i="11" a="1"/>
  <c r="I464" i="11" s="1"/>
  <c r="G468" i="11" a="1"/>
  <c r="G468" i="11" s="1"/>
  <c r="F468" i="11" a="1"/>
  <c r="F468" i="11" s="1"/>
  <c r="I472" i="11" a="1"/>
  <c r="I472" i="11" s="1"/>
  <c r="G462" i="11" a="1"/>
  <c r="G462" i="11" s="1"/>
  <c r="I483" i="11" a="1"/>
  <c r="I483" i="11" s="1"/>
  <c r="I467" i="11" a="1"/>
  <c r="I467" i="11" s="1"/>
  <c r="I478" i="11" a="1"/>
  <c r="I478" i="11" s="1"/>
  <c r="F462" i="11" a="1"/>
  <c r="F462" i="11" s="1"/>
  <c r="I480" i="11" a="1"/>
  <c r="I480" i="11" s="1"/>
  <c r="F478" i="11" a="1"/>
  <c r="F478" i="11" s="1"/>
  <c r="F476" i="11" a="1"/>
  <c r="F476" i="11" s="1"/>
  <c r="I462" i="11" a="1"/>
  <c r="I462" i="11" s="1"/>
  <c r="I461" i="11" a="1"/>
  <c r="I461" i="11" s="1"/>
  <c r="F461" i="11" a="1"/>
  <c r="F461" i="11" s="1"/>
  <c r="G461" i="11" a="1"/>
  <c r="G461" i="11" s="1"/>
  <c r="I466" i="11" a="1"/>
  <c r="I466" i="11" s="1"/>
  <c r="G466" i="11" a="1"/>
  <c r="G466" i="11" s="1"/>
  <c r="F466" i="11" a="1"/>
  <c r="F466" i="11" s="1"/>
  <c r="F465" i="11" a="1"/>
  <c r="F465" i="11" s="1"/>
  <c r="G465" i="11" a="1"/>
  <c r="G465" i="11" s="1"/>
  <c r="I465" i="11" a="1"/>
  <c r="I465" i="11" s="1"/>
  <c r="G471" i="11" a="1"/>
  <c r="G471" i="11" s="1"/>
  <c r="I471" i="11" a="1"/>
  <c r="I471" i="11" s="1"/>
  <c r="F471" i="11" a="1"/>
  <c r="F471" i="11" s="1"/>
  <c r="G484" i="11" a="1"/>
  <c r="G484" i="11" s="1"/>
  <c r="F484" i="11" a="1"/>
  <c r="F484" i="11" s="1"/>
  <c r="I484" i="11" a="1"/>
  <c r="I484" i="11" s="1"/>
  <c r="I474" i="11" a="1"/>
  <c r="I474" i="11" s="1"/>
  <c r="G474" i="11" a="1"/>
  <c r="G474" i="11" s="1"/>
  <c r="F474" i="11" a="1"/>
  <c r="F474" i="11" s="1"/>
  <c r="I482" i="11" a="1"/>
  <c r="I482" i="11" s="1"/>
  <c r="G482" i="11" a="1"/>
  <c r="G482" i="11" s="1"/>
  <c r="F482" i="11" a="1"/>
  <c r="F482" i="11" s="1"/>
  <c r="F473" i="11" a="1"/>
  <c r="F473" i="11" s="1"/>
  <c r="G473" i="11" a="1"/>
  <c r="G473" i="11" s="1"/>
  <c r="I473" i="11" a="1"/>
  <c r="I473" i="11" s="1"/>
  <c r="F481" i="11" a="1"/>
  <c r="F481" i="11" s="1"/>
  <c r="G481" i="11" a="1"/>
  <c r="G481" i="11" s="1"/>
  <c r="I481" i="11" a="1"/>
  <c r="I481" i="11" s="1"/>
  <c r="G463" i="11" a="1"/>
  <c r="G463" i="11" s="1"/>
  <c r="I463" i="11" a="1"/>
  <c r="I463" i="11" s="1"/>
  <c r="F463" i="11" a="1"/>
  <c r="F463" i="11" s="1"/>
  <c r="G472" i="11" a="1"/>
  <c r="G472" i="11" s="1"/>
  <c r="G464" i="11" a="1"/>
  <c r="G464" i="11" s="1"/>
  <c r="G469" i="11" a="1"/>
  <c r="G469" i="11" s="1"/>
  <c r="F477" i="11" a="1"/>
  <c r="F477" i="11" s="1"/>
  <c r="G475" i="11" a="1"/>
  <c r="G475" i="11" s="1"/>
  <c r="F469" i="11" a="1"/>
  <c r="F469" i="11" s="1"/>
  <c r="G467" i="11" a="1"/>
  <c r="G467" i="11" s="1"/>
  <c r="F479" i="11" a="1"/>
  <c r="F479" i="11" s="1"/>
  <c r="G477" i="11" a="1"/>
  <c r="G477" i="11" s="1"/>
  <c r="G480" i="11" a="1"/>
  <c r="G480" i="11" s="1"/>
  <c r="F485" i="11" a="1"/>
  <c r="F485" i="11" s="1"/>
  <c r="G483" i="11" a="1"/>
  <c r="G483" i="11" s="1"/>
  <c r="I476" i="11" a="1"/>
  <c r="I476" i="11" s="1"/>
  <c r="F472" i="11" a="1"/>
  <c r="F472" i="11" s="1"/>
  <c r="G470" i="11" a="1"/>
  <c r="G470" i="11" s="1"/>
  <c r="I468" i="11" a="1"/>
  <c r="I468" i="11" s="1"/>
  <c r="F464" i="11" a="1"/>
  <c r="F464" i="11" s="1"/>
  <c r="G485" i="11" a="1"/>
  <c r="G485" i="11" s="1"/>
  <c r="I479" i="11" a="1"/>
  <c r="I479" i="11" s="1"/>
  <c r="I485" i="11" a="1"/>
  <c r="I485" i="11" s="1"/>
  <c r="I477" i="11" a="1"/>
  <c r="I477" i="11" s="1"/>
  <c r="I469" i="11" a="1"/>
  <c r="I469" i="11" s="1"/>
  <c r="H480" i="11" l="1"/>
  <c r="J480" i="11" s="1"/>
  <c r="B480" i="11" s="1"/>
  <c r="H479" i="11"/>
  <c r="J479" i="11" s="1"/>
  <c r="B479" i="11" s="1"/>
  <c r="H463" i="11"/>
  <c r="J463" i="11" s="1"/>
  <c r="B463" i="11" s="1"/>
  <c r="H481" i="11"/>
  <c r="J481" i="11" s="1"/>
  <c r="B481" i="11" s="1"/>
  <c r="H465" i="11"/>
  <c r="J465" i="11" s="1"/>
  <c r="B465" i="11" s="1"/>
  <c r="H477" i="11"/>
  <c r="J477" i="11" s="1"/>
  <c r="B477" i="11" s="1"/>
  <c r="H482" i="11"/>
  <c r="J482" i="11" s="1"/>
  <c r="B482" i="11" s="1"/>
  <c r="H462" i="11"/>
  <c r="J462" i="11" s="1"/>
  <c r="H475" i="11"/>
  <c r="J475" i="11" s="1"/>
  <c r="B475" i="11" s="1"/>
  <c r="H467" i="11"/>
  <c r="J467" i="11" s="1"/>
  <c r="B467" i="11" s="1"/>
  <c r="H470" i="11"/>
  <c r="J470" i="11" s="1"/>
  <c r="B470" i="11" s="1"/>
  <c r="H473" i="11"/>
  <c r="J473" i="11" s="1"/>
  <c r="B473" i="11" s="1"/>
  <c r="H464" i="11"/>
  <c r="J464" i="11" s="1"/>
  <c r="B464" i="11" s="1"/>
  <c r="H485" i="11"/>
  <c r="J485" i="11" s="1"/>
  <c r="B485" i="11" s="1"/>
  <c r="H461" i="11"/>
  <c r="J461" i="11" s="1"/>
  <c r="H484" i="11"/>
  <c r="J484" i="11" s="1"/>
  <c r="B484" i="11" s="1"/>
  <c r="H468" i="11"/>
  <c r="J468" i="11" s="1"/>
  <c r="B468" i="11" s="1"/>
  <c r="H474" i="11"/>
  <c r="J474" i="11" s="1"/>
  <c r="B474" i="11" s="1"/>
  <c r="H471" i="11"/>
  <c r="J471" i="11" s="1"/>
  <c r="B471" i="11" s="1"/>
  <c r="H466" i="11"/>
  <c r="J466" i="11" s="1"/>
  <c r="B466" i="11" s="1"/>
  <c r="H472" i="11"/>
  <c r="J472" i="11" s="1"/>
  <c r="B472" i="11" s="1"/>
  <c r="H476" i="11"/>
  <c r="J476" i="11" s="1"/>
  <c r="B476" i="11" s="1"/>
  <c r="H469" i="11"/>
  <c r="J469" i="11" s="1"/>
  <c r="B469" i="11" s="1"/>
  <c r="H478" i="11"/>
  <c r="J478" i="11" s="1"/>
  <c r="B478" i="11" s="1"/>
  <c r="B460" i="11" l="1"/>
  <c r="B462" i="11"/>
  <c r="B461" i="11"/>
  <c r="N279" i="11" l="1"/>
  <c r="N280" i="11"/>
  <c r="M279" i="11"/>
  <c r="L279" i="11"/>
  <c r="K279" i="11"/>
  <c r="M285" i="11"/>
  <c r="M293" i="11"/>
  <c r="M301" i="11"/>
  <c r="M309" i="11"/>
  <c r="M317" i="11"/>
  <c r="L282" i="11"/>
  <c r="L286" i="11"/>
  <c r="L290" i="11"/>
  <c r="L294" i="11"/>
  <c r="L298" i="11"/>
  <c r="L302" i="11"/>
  <c r="L306" i="11"/>
  <c r="L310" i="11"/>
  <c r="L314" i="11"/>
  <c r="L318" i="11"/>
  <c r="K284" i="11"/>
  <c r="K292" i="11"/>
  <c r="K300" i="11"/>
  <c r="K308" i="11"/>
  <c r="K316" i="11"/>
  <c r="M282" i="11"/>
  <c r="M298" i="11"/>
  <c r="M314" i="11"/>
  <c r="N284" i="11"/>
  <c r="N296" i="11"/>
  <c r="N304" i="11"/>
  <c r="N316" i="11"/>
  <c r="K297" i="11"/>
  <c r="M286" i="11"/>
  <c r="M294" i="11"/>
  <c r="M302" i="11"/>
  <c r="M310" i="11"/>
  <c r="M318" i="11"/>
  <c r="N282" i="11"/>
  <c r="N286" i="11"/>
  <c r="N290" i="11"/>
  <c r="N294" i="11"/>
  <c r="N298" i="11"/>
  <c r="N302" i="11"/>
  <c r="N306" i="11"/>
  <c r="N310" i="11"/>
  <c r="N314" i="11"/>
  <c r="N318" i="11"/>
  <c r="K285" i="11"/>
  <c r="K293" i="11"/>
  <c r="K301" i="11"/>
  <c r="K309" i="11"/>
  <c r="K317" i="11"/>
  <c r="M290" i="11"/>
  <c r="N288" i="11"/>
  <c r="N300" i="11"/>
  <c r="N308" i="11"/>
  <c r="K281" i="11"/>
  <c r="K305" i="11"/>
  <c r="M287" i="11"/>
  <c r="M295" i="11"/>
  <c r="M303" i="11"/>
  <c r="M311" i="11"/>
  <c r="L283" i="11"/>
  <c r="L287" i="11"/>
  <c r="L291" i="11"/>
  <c r="L295" i="11"/>
  <c r="L299" i="11"/>
  <c r="L303" i="11"/>
  <c r="L307" i="11"/>
  <c r="L311" i="11"/>
  <c r="L315" i="11"/>
  <c r="K286" i="11"/>
  <c r="K294" i="11"/>
  <c r="K302" i="11"/>
  <c r="K310" i="11"/>
  <c r="K318" i="11"/>
  <c r="M306" i="11"/>
  <c r="N292" i="11"/>
  <c r="N312" i="11"/>
  <c r="K289" i="11"/>
  <c r="M280" i="11"/>
  <c r="M288" i="11"/>
  <c r="M296" i="11"/>
  <c r="M304" i="11"/>
  <c r="M312" i="11"/>
  <c r="N283" i="11"/>
  <c r="N287" i="11"/>
  <c r="N291" i="11"/>
  <c r="N295" i="11"/>
  <c r="N299" i="11"/>
  <c r="N303" i="11"/>
  <c r="N307" i="11"/>
  <c r="N311" i="11"/>
  <c r="N315" i="11"/>
  <c r="K287" i="11"/>
  <c r="K295" i="11"/>
  <c r="K303" i="11"/>
  <c r="K311" i="11"/>
  <c r="M281" i="11"/>
  <c r="M289" i="11"/>
  <c r="M297" i="11"/>
  <c r="M305" i="11"/>
  <c r="M313" i="11"/>
  <c r="L280" i="11"/>
  <c r="L284" i="11"/>
  <c r="L288" i="11"/>
  <c r="L292" i="11"/>
  <c r="L296" i="11"/>
  <c r="L300" i="11"/>
  <c r="L304" i="11"/>
  <c r="L308" i="11"/>
  <c r="L312" i="11"/>
  <c r="L316" i="11"/>
  <c r="K280" i="11"/>
  <c r="K288" i="11"/>
  <c r="K296" i="11"/>
  <c r="K304" i="11"/>
  <c r="K312" i="11"/>
  <c r="K313" i="11"/>
  <c r="M283" i="11"/>
  <c r="M291" i="11"/>
  <c r="M299" i="11"/>
  <c r="M307" i="11"/>
  <c r="M315" i="11"/>
  <c r="L281" i="11"/>
  <c r="L285" i="11"/>
  <c r="L289" i="11"/>
  <c r="L293" i="11"/>
  <c r="L297" i="11"/>
  <c r="L301" i="11"/>
  <c r="L305" i="11"/>
  <c r="L309" i="11"/>
  <c r="L313" i="11"/>
  <c r="L317" i="11"/>
  <c r="K282" i="11"/>
  <c r="K290" i="11"/>
  <c r="K298" i="11"/>
  <c r="K306" i="11"/>
  <c r="K314" i="11"/>
  <c r="M284" i="11"/>
  <c r="M292" i="11"/>
  <c r="M300" i="11"/>
  <c r="M308" i="11"/>
  <c r="M316" i="11"/>
  <c r="N281" i="11"/>
  <c r="N285" i="11"/>
  <c r="N289" i="11"/>
  <c r="N293" i="11"/>
  <c r="N297" i="11"/>
  <c r="N301" i="11"/>
  <c r="N305" i="11"/>
  <c r="N309" i="11"/>
  <c r="N313" i="11"/>
  <c r="N317" i="11"/>
  <c r="K283" i="11"/>
  <c r="K291" i="11"/>
  <c r="K299" i="11"/>
  <c r="K307" i="11"/>
  <c r="K315" i="11"/>
  <c r="K277" i="11" l="1"/>
  <c r="I242" i="11"/>
  <c r="H242" i="11"/>
  <c r="S176" i="11" l="1"/>
  <c r="S180" i="11" s="1"/>
  <c r="L9" i="9"/>
  <c r="S177" i="11" l="1"/>
  <c r="S179" i="11"/>
  <c r="S178" i="11"/>
  <c r="AD11" i="6" l="1"/>
  <c r="AD12" i="7"/>
  <c r="AD11" i="7"/>
  <c r="AD11" i="8"/>
  <c r="AD12" i="5"/>
  <c r="AD11" i="5"/>
  <c r="AK67" i="7" a="1"/>
  <c r="AK67" i="7" l="1"/>
  <c r="AG67" i="8"/>
  <c r="L245" i="11" l="1"/>
  <c r="L244" i="11"/>
  <c r="L243" i="11"/>
  <c r="L242" i="11"/>
  <c r="L246" i="11" l="1"/>
  <c r="M236" i="11" l="1"/>
  <c r="M235" i="11"/>
  <c r="M234" i="11"/>
  <c r="M237" i="11"/>
  <c r="AC48" i="8" l="1"/>
  <c r="AB48" i="8"/>
  <c r="AJ48" i="8"/>
  <c r="Q48" i="8"/>
  <c r="AE48" i="8" l="1"/>
  <c r="AF48" i="8"/>
  <c r="AL48" i="8" s="1"/>
  <c r="AL51" i="8" s="1"/>
  <c r="E100" i="8" s="1"/>
  <c r="AD48" i="8"/>
  <c r="AC48" i="7" l="1"/>
  <c r="AB48" i="7"/>
  <c r="AJ48" i="7"/>
  <c r="Q48" i="7"/>
  <c r="AE48" i="7" l="1"/>
  <c r="AF48" i="7"/>
  <c r="AL48" i="7" s="1"/>
  <c r="AL51" i="7" s="1"/>
  <c r="E100" i="7" s="1"/>
  <c r="AD48" i="7"/>
  <c r="J245" i="11" l="1"/>
  <c r="M245" i="11" s="1"/>
  <c r="J244" i="11"/>
  <c r="M244" i="11" s="1"/>
  <c r="F244" i="11"/>
  <c r="G244" i="11"/>
  <c r="F245" i="11"/>
  <c r="G245" i="11"/>
  <c r="AI112" i="8"/>
  <c r="U4034" i="21" l="1"/>
  <c r="U4035" i="21"/>
  <c r="U4036" i="21"/>
  <c r="U4037" i="21"/>
  <c r="U4038" i="21"/>
  <c r="U4039" i="21"/>
  <c r="U4040" i="21"/>
  <c r="U4041" i="21"/>
  <c r="U4042" i="21"/>
  <c r="U4043" i="21"/>
  <c r="U4044" i="21"/>
  <c r="U4045" i="21"/>
  <c r="U4046" i="21"/>
  <c r="U4047" i="21"/>
  <c r="U4048" i="21"/>
  <c r="U4049" i="21"/>
  <c r="U4050" i="21"/>
  <c r="U4051" i="21"/>
  <c r="U4052" i="21"/>
  <c r="U4053" i="21"/>
  <c r="U4054" i="21"/>
  <c r="U4055" i="21"/>
  <c r="U4056" i="21"/>
  <c r="U4057" i="21"/>
  <c r="U4058" i="21"/>
  <c r="U4059" i="21"/>
  <c r="U4060" i="21"/>
  <c r="U4061" i="21"/>
  <c r="U4062" i="21"/>
  <c r="U4063" i="21"/>
  <c r="U4064" i="21"/>
  <c r="U4065" i="21"/>
  <c r="U4066" i="21"/>
  <c r="U4067" i="21"/>
  <c r="U4068" i="21"/>
  <c r="U4069" i="21"/>
  <c r="U4070" i="21"/>
  <c r="U4071" i="21"/>
  <c r="U4072" i="21"/>
  <c r="U4073" i="21"/>
  <c r="U4074" i="21"/>
  <c r="U4075" i="21"/>
  <c r="U4076" i="21"/>
  <c r="U4077" i="21"/>
  <c r="U4078" i="21"/>
  <c r="U4079" i="21"/>
  <c r="U4080" i="21"/>
  <c r="U4081" i="21"/>
  <c r="U4082" i="21"/>
  <c r="U4083" i="21"/>
  <c r="U4084" i="21"/>
  <c r="U4085" i="21"/>
  <c r="U4086" i="21"/>
  <c r="U4087" i="21"/>
  <c r="U4088" i="21"/>
  <c r="U4089" i="21"/>
  <c r="U4090" i="21"/>
  <c r="U4091" i="21"/>
  <c r="U4092" i="21"/>
  <c r="U4093" i="21"/>
  <c r="U4094" i="21"/>
  <c r="U4095" i="21"/>
  <c r="U4096" i="21"/>
  <c r="U4097" i="21"/>
  <c r="U4098" i="21"/>
  <c r="U4099" i="21"/>
  <c r="U4100" i="21"/>
  <c r="U4101" i="21"/>
  <c r="U4102" i="21"/>
  <c r="U4103" i="21"/>
  <c r="U4104" i="21"/>
  <c r="U4105" i="21"/>
  <c r="U4106" i="21"/>
  <c r="U4107" i="21"/>
  <c r="U4108" i="21"/>
  <c r="U4109" i="21"/>
  <c r="U4110" i="21"/>
  <c r="U4111" i="21"/>
  <c r="U4112" i="21"/>
  <c r="U4113" i="21"/>
  <c r="U4114" i="21"/>
  <c r="U4115" i="21"/>
  <c r="U4116" i="21"/>
  <c r="U4117" i="21"/>
  <c r="U4118" i="21"/>
  <c r="U4119" i="21"/>
  <c r="U4120" i="21"/>
  <c r="U4121" i="21"/>
  <c r="U4122" i="21"/>
  <c r="U4123" i="21"/>
  <c r="U4124" i="21"/>
  <c r="U4125" i="21"/>
  <c r="U4126" i="21"/>
  <c r="U4127" i="21"/>
  <c r="U4128" i="21"/>
  <c r="U4129" i="21"/>
  <c r="U4130" i="21"/>
  <c r="U4131" i="21"/>
  <c r="U4132" i="21"/>
  <c r="U4133" i="21"/>
  <c r="U4134" i="21"/>
  <c r="U4135" i="21"/>
  <c r="U4136" i="21"/>
  <c r="U4137" i="21"/>
  <c r="U4138" i="21"/>
  <c r="U4139" i="21"/>
  <c r="U4140" i="21"/>
  <c r="U4141" i="21"/>
  <c r="U4142" i="21"/>
  <c r="U4143" i="21"/>
  <c r="U4144" i="21"/>
  <c r="U4145" i="21"/>
  <c r="U4146" i="21"/>
  <c r="U4147" i="21"/>
  <c r="U4148" i="21"/>
  <c r="U4149" i="21"/>
  <c r="U4150" i="21"/>
  <c r="U4151" i="21"/>
  <c r="U4152" i="21"/>
  <c r="U4153" i="21"/>
  <c r="U4154" i="21"/>
  <c r="U4155" i="21"/>
  <c r="U4156" i="21"/>
  <c r="U4157" i="21"/>
  <c r="U4158" i="21"/>
  <c r="U4159" i="21"/>
  <c r="U4160" i="21"/>
  <c r="U4161" i="21"/>
  <c r="U4162" i="21"/>
  <c r="U4163" i="21"/>
  <c r="U4164" i="21"/>
  <c r="U4165" i="21"/>
  <c r="U4166" i="21"/>
  <c r="U4167" i="21"/>
  <c r="U4168" i="21"/>
  <c r="U4169" i="21"/>
  <c r="U4170" i="21"/>
  <c r="U4171" i="21"/>
  <c r="U4172" i="21"/>
  <c r="U4173" i="21"/>
  <c r="U4174" i="21"/>
  <c r="U4175" i="21"/>
  <c r="U4176" i="21"/>
  <c r="U4177" i="21"/>
  <c r="U4178" i="21"/>
  <c r="U4179" i="21"/>
  <c r="U4180" i="21"/>
  <c r="U4181" i="21"/>
  <c r="U4182" i="21"/>
  <c r="U4183" i="21"/>
  <c r="U4184" i="21"/>
  <c r="U4185" i="21"/>
  <c r="U4186" i="21"/>
  <c r="U4187" i="21"/>
  <c r="U4188" i="21"/>
  <c r="U4189" i="21"/>
  <c r="U4190" i="21"/>
  <c r="U4033" i="21"/>
  <c r="Q4190" i="21"/>
  <c r="Q4189" i="21"/>
  <c r="Q4188" i="21"/>
  <c r="Q4187" i="21"/>
  <c r="Q4186" i="21"/>
  <c r="Q4185" i="21"/>
  <c r="Q4184" i="21"/>
  <c r="Q4183" i="21"/>
  <c r="Q4182" i="21"/>
  <c r="Q4181" i="21"/>
  <c r="Q4180" i="21"/>
  <c r="Q4179" i="21"/>
  <c r="Q4178" i="21"/>
  <c r="Q4177" i="21"/>
  <c r="Q4176" i="21"/>
  <c r="Q4175" i="21"/>
  <c r="Q4174" i="21"/>
  <c r="Q4173" i="21"/>
  <c r="Q4172" i="21"/>
  <c r="Q4171" i="21"/>
  <c r="Q4170" i="21"/>
  <c r="Q4169" i="21"/>
  <c r="Q4168" i="21"/>
  <c r="Q4167" i="21"/>
  <c r="Q4166" i="21"/>
  <c r="Q4165" i="21"/>
  <c r="Q4164" i="21"/>
  <c r="Q4163" i="21"/>
  <c r="Q4162" i="21"/>
  <c r="Q4161" i="21"/>
  <c r="Q4160" i="21"/>
  <c r="Q4159" i="21"/>
  <c r="Q4158" i="21"/>
  <c r="Q4157" i="21"/>
  <c r="Q4156" i="21"/>
  <c r="Q4155" i="21"/>
  <c r="Q4154" i="21"/>
  <c r="Q4153" i="21"/>
  <c r="Q4152" i="21"/>
  <c r="Q4151" i="21"/>
  <c r="Q4150" i="21"/>
  <c r="Q4149" i="21"/>
  <c r="Q4148" i="21"/>
  <c r="Q4147" i="21"/>
  <c r="Q4146" i="21"/>
  <c r="Q4145" i="21"/>
  <c r="Q4144" i="21"/>
  <c r="Q4143" i="21"/>
  <c r="Q4142" i="21"/>
  <c r="Q4141" i="21"/>
  <c r="Q4140" i="21"/>
  <c r="Q4139" i="21"/>
  <c r="Q4138" i="21"/>
  <c r="Q4137" i="21"/>
  <c r="Q4136" i="21"/>
  <c r="Q4135" i="21"/>
  <c r="Q4134" i="21"/>
  <c r="Q4133" i="21"/>
  <c r="Q4132" i="21"/>
  <c r="Q4131" i="21"/>
  <c r="Q4130" i="21"/>
  <c r="Q4129" i="21"/>
  <c r="Q4128" i="21"/>
  <c r="Q4127" i="21"/>
  <c r="Q4126" i="21"/>
  <c r="Q4125" i="21"/>
  <c r="Q4124" i="21"/>
  <c r="Q4123" i="21"/>
  <c r="Q4122" i="21"/>
  <c r="Q4121" i="21"/>
  <c r="Q4120" i="21"/>
  <c r="Q4119" i="21"/>
  <c r="Q4118" i="21"/>
  <c r="Q4117" i="21"/>
  <c r="Q4116" i="21"/>
  <c r="Q4115" i="21"/>
  <c r="Q4114" i="21"/>
  <c r="Q4113" i="21"/>
  <c r="Q4112" i="21"/>
  <c r="Q4111" i="21"/>
  <c r="Q4110" i="21"/>
  <c r="Q4109" i="21"/>
  <c r="Q4108" i="21"/>
  <c r="Q4107" i="21"/>
  <c r="Q4106" i="21"/>
  <c r="Q4105" i="21"/>
  <c r="Q4104" i="21"/>
  <c r="Q4103" i="21"/>
  <c r="Q4102" i="21"/>
  <c r="Q4101" i="21"/>
  <c r="Q4100" i="21"/>
  <c r="Q4099" i="21"/>
  <c r="Q4098" i="21"/>
  <c r="Q4097" i="21"/>
  <c r="Q4096" i="21"/>
  <c r="Q4095" i="21"/>
  <c r="Q4094" i="21"/>
  <c r="Q4093" i="21"/>
  <c r="Q4092" i="21"/>
  <c r="Q4091" i="21"/>
  <c r="Q4090" i="21"/>
  <c r="Q4089" i="21"/>
  <c r="Q4088" i="21"/>
  <c r="Q4087" i="21"/>
  <c r="Q4086" i="21"/>
  <c r="Q4085" i="21"/>
  <c r="Q4084" i="21"/>
  <c r="Q4083" i="21"/>
  <c r="Q4082" i="21"/>
  <c r="Q4081" i="21"/>
  <c r="Q4080" i="21"/>
  <c r="Q4079" i="21"/>
  <c r="Q4078" i="21"/>
  <c r="Q4077" i="21"/>
  <c r="Q4076" i="21"/>
  <c r="Q4075" i="21"/>
  <c r="Q4074" i="21"/>
  <c r="Q4073" i="21"/>
  <c r="Q4072" i="21"/>
  <c r="Q4071" i="21"/>
  <c r="Q4070" i="21"/>
  <c r="Q4069" i="21"/>
  <c r="Q4068" i="21"/>
  <c r="Q4067" i="21"/>
  <c r="Q4066" i="21"/>
  <c r="Q4065" i="21"/>
  <c r="Q4064" i="21"/>
  <c r="Q4063" i="21"/>
  <c r="Q4062" i="21"/>
  <c r="Q4061" i="21"/>
  <c r="Q4060" i="21"/>
  <c r="Q4059" i="21"/>
  <c r="Q4058" i="21"/>
  <c r="Q4057" i="21"/>
  <c r="Q4056" i="21"/>
  <c r="Q4055" i="21"/>
  <c r="Q4054" i="21"/>
  <c r="Q4053" i="21"/>
  <c r="Q4052" i="21"/>
  <c r="Q4051" i="21"/>
  <c r="Q4050" i="21"/>
  <c r="Q4049" i="21"/>
  <c r="Q4048" i="21"/>
  <c r="Q4047" i="21"/>
  <c r="Q4046" i="21"/>
  <c r="Q4045" i="21"/>
  <c r="Q4044" i="21"/>
  <c r="Q4043" i="21"/>
  <c r="Q4042" i="21"/>
  <c r="Q4041" i="21"/>
  <c r="Q4040" i="21"/>
  <c r="Q4039" i="21"/>
  <c r="Q4038" i="21"/>
  <c r="Q4037" i="21"/>
  <c r="Q4036" i="21"/>
  <c r="Q4035" i="21"/>
  <c r="Q4034" i="21"/>
  <c r="Q4033" i="21"/>
  <c r="Y103" i="6"/>
  <c r="Y112" i="8"/>
  <c r="Y67" i="8"/>
  <c r="AI67" i="8"/>
  <c r="AI148" i="6"/>
  <c r="Y148" i="6"/>
  <c r="O3" i="48" a="1"/>
  <c r="AI103" i="6"/>
  <c r="O3" i="48" l="1"/>
  <c r="W13" i="5" l="1"/>
  <c r="W12" i="5"/>
  <c r="W11" i="5"/>
  <c r="O4" i="48" a="1"/>
  <c r="O5" i="48" a="1"/>
  <c r="O6" i="48" a="1"/>
  <c r="O6" i="48" l="1"/>
  <c r="O5" i="48"/>
  <c r="O4" i="48"/>
  <c r="E5075" i="21" l="1"/>
  <c r="J5108" i="21" l="1"/>
  <c r="J5109" i="21"/>
  <c r="J5110" i="21"/>
  <c r="J5111" i="21"/>
  <c r="AF3" i="27" l="1"/>
  <c r="AG3" i="27"/>
  <c r="AF4" i="27"/>
  <c r="AG4" i="27"/>
  <c r="AF5" i="27"/>
  <c r="AG5" i="27"/>
  <c r="AF6" i="27"/>
  <c r="AG6" i="27"/>
  <c r="AF7" i="27"/>
  <c r="AG7" i="27"/>
  <c r="AF8" i="27"/>
  <c r="AG8" i="27"/>
  <c r="AF9" i="27"/>
  <c r="AG9" i="27"/>
  <c r="AF10" i="27"/>
  <c r="AG10" i="27"/>
  <c r="AF11" i="27"/>
  <c r="AG11" i="27"/>
  <c r="AF12" i="27"/>
  <c r="AG12" i="27"/>
  <c r="AF13" i="27"/>
  <c r="AG13" i="27"/>
  <c r="AF14" i="27"/>
  <c r="AG14" i="27"/>
  <c r="AF15" i="27"/>
  <c r="AG15" i="27"/>
  <c r="AF16" i="27"/>
  <c r="AG16" i="27"/>
  <c r="AF17" i="27"/>
  <c r="AG17" i="27"/>
  <c r="AF18" i="27"/>
  <c r="AG18" i="27"/>
  <c r="AF19" i="27"/>
  <c r="AG19" i="27"/>
  <c r="AF20" i="27"/>
  <c r="AG20" i="27"/>
  <c r="AF21" i="27"/>
  <c r="AG21" i="27"/>
  <c r="AF22" i="27"/>
  <c r="AG22" i="27"/>
  <c r="AF23" i="27"/>
  <c r="AG23" i="27"/>
  <c r="AF24" i="27"/>
  <c r="AG24" i="27"/>
  <c r="AF25" i="27"/>
  <c r="AG25" i="27"/>
  <c r="AF26" i="27"/>
  <c r="AG26" i="27"/>
  <c r="AF27" i="27"/>
  <c r="AG27" i="27"/>
  <c r="AF28" i="27"/>
  <c r="AG28" i="27"/>
  <c r="AF29" i="27"/>
  <c r="AG29" i="27"/>
  <c r="AF30" i="27"/>
  <c r="AG30" i="27"/>
  <c r="AF31" i="27"/>
  <c r="AG31" i="27"/>
  <c r="AF32" i="27"/>
  <c r="AG32" i="27"/>
  <c r="AF33" i="27"/>
  <c r="AG33" i="27"/>
  <c r="AF34" i="27"/>
  <c r="AG34" i="27"/>
  <c r="AF35" i="27"/>
  <c r="AG35" i="27"/>
  <c r="AF36" i="27"/>
  <c r="AG36" i="27"/>
  <c r="AF37" i="27"/>
  <c r="AG37" i="27"/>
  <c r="AF38" i="27"/>
  <c r="AG38" i="27"/>
  <c r="AF39" i="27"/>
  <c r="AG39" i="27"/>
  <c r="AF40" i="27"/>
  <c r="AG40" i="27"/>
  <c r="AF41" i="27"/>
  <c r="AG41" i="27"/>
  <c r="AF42" i="27"/>
  <c r="AG42" i="27"/>
  <c r="AF43" i="27"/>
  <c r="AG43" i="27"/>
  <c r="AF44" i="27"/>
  <c r="AG44" i="27"/>
  <c r="AF45" i="27"/>
  <c r="AG45" i="27"/>
  <c r="AF46" i="27"/>
  <c r="AG46" i="27"/>
  <c r="AF47" i="27"/>
  <c r="AG47" i="27"/>
  <c r="AF48" i="27"/>
  <c r="AG48" i="27"/>
  <c r="AF49" i="27"/>
  <c r="AG49" i="27"/>
  <c r="AF50" i="27"/>
  <c r="AG50" i="27"/>
  <c r="AF51" i="27"/>
  <c r="AG51" i="27"/>
  <c r="AF52" i="27"/>
  <c r="AG52" i="27"/>
  <c r="AF53" i="27"/>
  <c r="AG53" i="27"/>
  <c r="AF54" i="27"/>
  <c r="AG54" i="27"/>
  <c r="AF55" i="27"/>
  <c r="AG55" i="27"/>
  <c r="AF56" i="27"/>
  <c r="AG56" i="27"/>
  <c r="AF57" i="27"/>
  <c r="AG57" i="27"/>
  <c r="AF58" i="27"/>
  <c r="AG58" i="27"/>
  <c r="AF59" i="27"/>
  <c r="AG59" i="27"/>
  <c r="AF60" i="27"/>
  <c r="AG60" i="27"/>
  <c r="AF61" i="27"/>
  <c r="AG61" i="27"/>
  <c r="AF62" i="27"/>
  <c r="AG62" i="27"/>
  <c r="AF63" i="27"/>
  <c r="AG63" i="27"/>
  <c r="AF64" i="27"/>
  <c r="AG64" i="27"/>
  <c r="AF65" i="27"/>
  <c r="AG65" i="27"/>
  <c r="AF66" i="27"/>
  <c r="AG66" i="27"/>
  <c r="AF67" i="27"/>
  <c r="AG67" i="27"/>
  <c r="AF68" i="27"/>
  <c r="AG68" i="27"/>
  <c r="AF69" i="27"/>
  <c r="AG69" i="27"/>
  <c r="AF70" i="27"/>
  <c r="AG70" i="27"/>
  <c r="AF71" i="27"/>
  <c r="AG71" i="27"/>
  <c r="AF72" i="27"/>
  <c r="AG72" i="27"/>
  <c r="AF73" i="27"/>
  <c r="AG73" i="27"/>
  <c r="AF74" i="27"/>
  <c r="AG74" i="27"/>
  <c r="AF75" i="27"/>
  <c r="AG75" i="27"/>
  <c r="AF76" i="27"/>
  <c r="AG76" i="27"/>
  <c r="AF77" i="27"/>
  <c r="AG77" i="27"/>
  <c r="AF78" i="27"/>
  <c r="AG78" i="27"/>
  <c r="AF79" i="27"/>
  <c r="AG79" i="27"/>
  <c r="AF80" i="27"/>
  <c r="AG80" i="27"/>
  <c r="AF81" i="27"/>
  <c r="AG81" i="27"/>
  <c r="AF82" i="27"/>
  <c r="AG82" i="27"/>
  <c r="AF83" i="27"/>
  <c r="AG83" i="27"/>
  <c r="AF84" i="27"/>
  <c r="AG84" i="27"/>
  <c r="AF85" i="27"/>
  <c r="AG85" i="27"/>
  <c r="AF86" i="27"/>
  <c r="AG86" i="27"/>
  <c r="AF87" i="27"/>
  <c r="AG87" i="27"/>
  <c r="AF88" i="27"/>
  <c r="AG88" i="27"/>
  <c r="AF89" i="27"/>
  <c r="AG89" i="27"/>
  <c r="AF90" i="27"/>
  <c r="AG90" i="27"/>
  <c r="AF91" i="27"/>
  <c r="AG91" i="27"/>
  <c r="AF92" i="27"/>
  <c r="AG92" i="27"/>
  <c r="AF93" i="27"/>
  <c r="AG93" i="27"/>
  <c r="AF94" i="27"/>
  <c r="AG94" i="27"/>
  <c r="AF95" i="27"/>
  <c r="AG95" i="27"/>
  <c r="AF96" i="27"/>
  <c r="AG96" i="27"/>
  <c r="AF97" i="27"/>
  <c r="AG97" i="27"/>
  <c r="AF98" i="27"/>
  <c r="AG98" i="27"/>
  <c r="AF99" i="27"/>
  <c r="AG99" i="27"/>
  <c r="AF100" i="27"/>
  <c r="AG100" i="27"/>
  <c r="AF101" i="27"/>
  <c r="AG101" i="27"/>
  <c r="AF102" i="27"/>
  <c r="AG102" i="27"/>
  <c r="AF103" i="27"/>
  <c r="AG103" i="27"/>
  <c r="AF104" i="27"/>
  <c r="AG104" i="27"/>
  <c r="AF105" i="27"/>
  <c r="AG105" i="27"/>
  <c r="AF106" i="27"/>
  <c r="AG106" i="27"/>
  <c r="AF107" i="27"/>
  <c r="AG107" i="27"/>
  <c r="AF108" i="27"/>
  <c r="AG108" i="27"/>
  <c r="AF109" i="27"/>
  <c r="AG109" i="27"/>
  <c r="AF110" i="27"/>
  <c r="AG110" i="27"/>
  <c r="AF111" i="27"/>
  <c r="AG111" i="27"/>
  <c r="AF112" i="27"/>
  <c r="AG112" i="27"/>
  <c r="AF113" i="27"/>
  <c r="AG113" i="27"/>
  <c r="AF114" i="27"/>
  <c r="AG114" i="27"/>
  <c r="AF115" i="27"/>
  <c r="AG115" i="27"/>
  <c r="AF116" i="27"/>
  <c r="AG116" i="27"/>
  <c r="AF117" i="27"/>
  <c r="AG117" i="27"/>
  <c r="AF118" i="27"/>
  <c r="AG118" i="27"/>
  <c r="AF119" i="27"/>
  <c r="AG119" i="27"/>
  <c r="AF120" i="27"/>
  <c r="AG120" i="27"/>
  <c r="AF121" i="27"/>
  <c r="AG121" i="27"/>
  <c r="AF122" i="27"/>
  <c r="AG122" i="27"/>
  <c r="AF123" i="27"/>
  <c r="AG123" i="27"/>
  <c r="AF124" i="27"/>
  <c r="AG124" i="27"/>
  <c r="AF125" i="27"/>
  <c r="AG125" i="27"/>
  <c r="AF126" i="27"/>
  <c r="AG126" i="27"/>
  <c r="AF127" i="27"/>
  <c r="AG127" i="27"/>
  <c r="AF128" i="27"/>
  <c r="AG128" i="27"/>
  <c r="AF129" i="27"/>
  <c r="AG129" i="27"/>
  <c r="AF130" i="27"/>
  <c r="AG130" i="27"/>
  <c r="AF131" i="27"/>
  <c r="AG131" i="27"/>
  <c r="AF132" i="27"/>
  <c r="AG132" i="27"/>
  <c r="AF133" i="27"/>
  <c r="AG133" i="27"/>
  <c r="AF134" i="27"/>
  <c r="AG134" i="27"/>
  <c r="AF135" i="27"/>
  <c r="AG135" i="27"/>
  <c r="AF136" i="27"/>
  <c r="AG136" i="27"/>
  <c r="AF137" i="27"/>
  <c r="AG137" i="27"/>
  <c r="AF138" i="27"/>
  <c r="AG138" i="27"/>
  <c r="AF139" i="27"/>
  <c r="AG139" i="27"/>
  <c r="AF140" i="27"/>
  <c r="AG140" i="27"/>
  <c r="AF141" i="27"/>
  <c r="AG141" i="27"/>
  <c r="AF142" i="27"/>
  <c r="AG142" i="27"/>
  <c r="AF143" i="27"/>
  <c r="AG143" i="27"/>
  <c r="AF144" i="27"/>
  <c r="AG144" i="27"/>
  <c r="AF145" i="27"/>
  <c r="AG145" i="27"/>
  <c r="AF146" i="27"/>
  <c r="AG146" i="27"/>
  <c r="AF147" i="27"/>
  <c r="AG147" i="27"/>
  <c r="AF148" i="27"/>
  <c r="AG148" i="27"/>
  <c r="AF149" i="27"/>
  <c r="AG149" i="27"/>
  <c r="AF150" i="27"/>
  <c r="AG150" i="27"/>
  <c r="AF151" i="27"/>
  <c r="AG151" i="27"/>
  <c r="AF152" i="27"/>
  <c r="AG152" i="27"/>
  <c r="AF153" i="27"/>
  <c r="AG153" i="27"/>
  <c r="AF154" i="27"/>
  <c r="AG154" i="27"/>
  <c r="AF155" i="27"/>
  <c r="AG155" i="27"/>
  <c r="AF156" i="27"/>
  <c r="AG156" i="27"/>
  <c r="AF157" i="27"/>
  <c r="AG157" i="27"/>
  <c r="AF158" i="27"/>
  <c r="AG158" i="27"/>
  <c r="AF159" i="27"/>
  <c r="AG159" i="27"/>
  <c r="AF160" i="27"/>
  <c r="AG160" i="27"/>
  <c r="AF161" i="27"/>
  <c r="AG161" i="27"/>
  <c r="AF162" i="27"/>
  <c r="AG162" i="27"/>
  <c r="AF163" i="27"/>
  <c r="AG163" i="27"/>
  <c r="AF164" i="27"/>
  <c r="AG164" i="27"/>
  <c r="AF165" i="27"/>
  <c r="AG165" i="27"/>
  <c r="AF166" i="27"/>
  <c r="AG166" i="27"/>
  <c r="AF167" i="27"/>
  <c r="AG167" i="27"/>
  <c r="AF168" i="27"/>
  <c r="AG168" i="27"/>
  <c r="AF169" i="27"/>
  <c r="AG169" i="27"/>
  <c r="AF170" i="27"/>
  <c r="AG170" i="27"/>
  <c r="AF171" i="27"/>
  <c r="AG171" i="27"/>
  <c r="AF172" i="27"/>
  <c r="AG172" i="27"/>
  <c r="AF173" i="27"/>
  <c r="AG173" i="27"/>
  <c r="AF174" i="27"/>
  <c r="AG174" i="27"/>
  <c r="AF175" i="27"/>
  <c r="AG175" i="27"/>
  <c r="AF176" i="27"/>
  <c r="AG176" i="27"/>
  <c r="AF177" i="27"/>
  <c r="AG177" i="27"/>
  <c r="AF178" i="27"/>
  <c r="AG178" i="27"/>
  <c r="AF179" i="27"/>
  <c r="AG179" i="27"/>
  <c r="AF180" i="27"/>
  <c r="AG180" i="27"/>
  <c r="AF181" i="27"/>
  <c r="AG181" i="27"/>
  <c r="AF182" i="27"/>
  <c r="AG182" i="27"/>
  <c r="AF183" i="27"/>
  <c r="AG183" i="27"/>
  <c r="AF184" i="27"/>
  <c r="AG184" i="27"/>
  <c r="AF185" i="27"/>
  <c r="AG185" i="27"/>
  <c r="AF186" i="27"/>
  <c r="AG186" i="27"/>
  <c r="AF187" i="27"/>
  <c r="AG187" i="27"/>
  <c r="AF188" i="27"/>
  <c r="AG188" i="27"/>
  <c r="AF189" i="27"/>
  <c r="AG189" i="27"/>
  <c r="AF190" i="27"/>
  <c r="AG190" i="27"/>
  <c r="AF191" i="27"/>
  <c r="AG191" i="27"/>
  <c r="AF192" i="27"/>
  <c r="AG192" i="27"/>
  <c r="AF193" i="27"/>
  <c r="AG193" i="27"/>
  <c r="AF194" i="27"/>
  <c r="AG194" i="27"/>
  <c r="AF195" i="27"/>
  <c r="AG195" i="27"/>
  <c r="AF196" i="27"/>
  <c r="AG196" i="27"/>
  <c r="AF197" i="27"/>
  <c r="AG197" i="27"/>
  <c r="AF198" i="27"/>
  <c r="AG198" i="27"/>
  <c r="AF199" i="27"/>
  <c r="AG199" i="27"/>
  <c r="AF200" i="27"/>
  <c r="AG200" i="27"/>
  <c r="AF201" i="27"/>
  <c r="AG201" i="27"/>
  <c r="AF202" i="27"/>
  <c r="AG202" i="27"/>
  <c r="AF203" i="27"/>
  <c r="AG203" i="27"/>
  <c r="AF204" i="27"/>
  <c r="AG204" i="27"/>
  <c r="AF205" i="27"/>
  <c r="AG205" i="27"/>
  <c r="AF206" i="27"/>
  <c r="AG206" i="27"/>
  <c r="AF207" i="27"/>
  <c r="AG207" i="27"/>
  <c r="AF208" i="27"/>
  <c r="AG208" i="27"/>
  <c r="AF209" i="27"/>
  <c r="AG209" i="27"/>
  <c r="AF210" i="27"/>
  <c r="AG210" i="27"/>
  <c r="AF211" i="27"/>
  <c r="AG211" i="27"/>
  <c r="AF212" i="27"/>
  <c r="AG212" i="27"/>
  <c r="AF213" i="27"/>
  <c r="AG213" i="27"/>
  <c r="AF214" i="27"/>
  <c r="AG214" i="27"/>
  <c r="AF215" i="27"/>
  <c r="AG215" i="27"/>
  <c r="AF216" i="27"/>
  <c r="AG216" i="27"/>
  <c r="AF217" i="27"/>
  <c r="AG217" i="27"/>
  <c r="AF218" i="27"/>
  <c r="AG218" i="27"/>
  <c r="AF219" i="27"/>
  <c r="AG219" i="27"/>
  <c r="AF220" i="27"/>
  <c r="AG220" i="27"/>
  <c r="AF221" i="27"/>
  <c r="AG221" i="27"/>
  <c r="AF222" i="27"/>
  <c r="AG222" i="27"/>
  <c r="AF223" i="27"/>
  <c r="AG223" i="27"/>
  <c r="AF224" i="27"/>
  <c r="AG224" i="27"/>
  <c r="AF225" i="27"/>
  <c r="AG225" i="27"/>
  <c r="AF226" i="27"/>
  <c r="AG226" i="27"/>
  <c r="AF227" i="27"/>
  <c r="AG227" i="27"/>
  <c r="AF228" i="27"/>
  <c r="AG228" i="27"/>
  <c r="AF229" i="27"/>
  <c r="AG229" i="27"/>
  <c r="AF230" i="27"/>
  <c r="AG230" i="27"/>
  <c r="AF231" i="27"/>
  <c r="AG231" i="27"/>
  <c r="AF232" i="27"/>
  <c r="AG232" i="27"/>
  <c r="AF233" i="27"/>
  <c r="AG233" i="27"/>
  <c r="AF234" i="27"/>
  <c r="AG234" i="27"/>
  <c r="AF235" i="27"/>
  <c r="AG235" i="27"/>
  <c r="AF236" i="27"/>
  <c r="AG236" i="27"/>
  <c r="AF237" i="27"/>
  <c r="AG237" i="27"/>
  <c r="AF238" i="27"/>
  <c r="AG238" i="27"/>
  <c r="AF239" i="27"/>
  <c r="AG239" i="27"/>
  <c r="AF240" i="27"/>
  <c r="AG240" i="27"/>
  <c r="AF241" i="27"/>
  <c r="AG241" i="27"/>
  <c r="AF242" i="27"/>
  <c r="AG242" i="27"/>
  <c r="AF243" i="27"/>
  <c r="AG243" i="27"/>
  <c r="AF244" i="27"/>
  <c r="AG244" i="27"/>
  <c r="AF245" i="27"/>
  <c r="AG245" i="27"/>
  <c r="AF246" i="27"/>
  <c r="AG246" i="27"/>
  <c r="AF247" i="27"/>
  <c r="AG247" i="27"/>
  <c r="AF248" i="27"/>
  <c r="AG248" i="27"/>
  <c r="AF249" i="27"/>
  <c r="AG249" i="27"/>
  <c r="AF250" i="27"/>
  <c r="AG250" i="27"/>
  <c r="AF251" i="27"/>
  <c r="AG251" i="27"/>
  <c r="AF252" i="27"/>
  <c r="AG252" i="27"/>
  <c r="AF253" i="27"/>
  <c r="AG253" i="27"/>
  <c r="AF254" i="27"/>
  <c r="AG254" i="27"/>
  <c r="AF255" i="27"/>
  <c r="AG255" i="27"/>
  <c r="AF256" i="27"/>
  <c r="AG256" i="27"/>
  <c r="AF257" i="27"/>
  <c r="AG257" i="27"/>
  <c r="AF258" i="27"/>
  <c r="AG258" i="27"/>
  <c r="AF259" i="27"/>
  <c r="AG259" i="27"/>
  <c r="AF260" i="27"/>
  <c r="AG260" i="27"/>
  <c r="AF261" i="27"/>
  <c r="AG261" i="27"/>
  <c r="AF262" i="27"/>
  <c r="AG262" i="27"/>
  <c r="AF263" i="27"/>
  <c r="AG263" i="27"/>
  <c r="AF264" i="27"/>
  <c r="AG264" i="27"/>
  <c r="AF265" i="27"/>
  <c r="AG265" i="27"/>
  <c r="AF266" i="27"/>
  <c r="AG266" i="27"/>
  <c r="AF267" i="27"/>
  <c r="AG267" i="27"/>
  <c r="AF268" i="27"/>
  <c r="AG268" i="27"/>
  <c r="AF269" i="27"/>
  <c r="AG269" i="27"/>
  <c r="AF270" i="27"/>
  <c r="AG270" i="27"/>
  <c r="AF271" i="27"/>
  <c r="AG271" i="27"/>
  <c r="AF272" i="27"/>
  <c r="AG272" i="27"/>
  <c r="AF273" i="27"/>
  <c r="AG273" i="27"/>
  <c r="AF274" i="27"/>
  <c r="AG274" i="27"/>
  <c r="AF275" i="27"/>
  <c r="AG275" i="27"/>
  <c r="AF276" i="27"/>
  <c r="AG276" i="27"/>
  <c r="AF277" i="27"/>
  <c r="AG277" i="27"/>
  <c r="AF278" i="27"/>
  <c r="AG278" i="27"/>
  <c r="AF279" i="27"/>
  <c r="AG279" i="27"/>
  <c r="AF280" i="27"/>
  <c r="AG280" i="27"/>
  <c r="AF281" i="27"/>
  <c r="AG281" i="27"/>
  <c r="AF282" i="27"/>
  <c r="AG282" i="27"/>
  <c r="AF283" i="27"/>
  <c r="AG283" i="27"/>
  <c r="AF284" i="27"/>
  <c r="AG284" i="27"/>
  <c r="AF285" i="27"/>
  <c r="AG285" i="27"/>
  <c r="AF286" i="27"/>
  <c r="AG286" i="27"/>
  <c r="AF287" i="27"/>
  <c r="AG287" i="27"/>
  <c r="AF288" i="27"/>
  <c r="AG288" i="27"/>
  <c r="AF289" i="27"/>
  <c r="AG289" i="27"/>
  <c r="AF290" i="27"/>
  <c r="AG290" i="27"/>
  <c r="AF291" i="27"/>
  <c r="AG291" i="27"/>
  <c r="AF292" i="27"/>
  <c r="AG292" i="27"/>
  <c r="AF293" i="27"/>
  <c r="AG293" i="27"/>
  <c r="AF294" i="27"/>
  <c r="AG294" i="27"/>
  <c r="AF295" i="27"/>
  <c r="AG295" i="27"/>
  <c r="AF296" i="27"/>
  <c r="AG296" i="27"/>
  <c r="AF297" i="27"/>
  <c r="AG297" i="27"/>
  <c r="AF298" i="27"/>
  <c r="AG298" i="27"/>
  <c r="AF299" i="27"/>
  <c r="AG299" i="27"/>
  <c r="AF300" i="27"/>
  <c r="AG300" i="27"/>
  <c r="AF301" i="27"/>
  <c r="AG301" i="27"/>
  <c r="AF302" i="27"/>
  <c r="AG302" i="27"/>
  <c r="AF303" i="27"/>
  <c r="AG303" i="27"/>
  <c r="AF304" i="27"/>
  <c r="AG304" i="27"/>
  <c r="AF305" i="27"/>
  <c r="AG305" i="27"/>
  <c r="AF306" i="27"/>
  <c r="AG306" i="27"/>
  <c r="AF307" i="27"/>
  <c r="AG307" i="27"/>
  <c r="AF308" i="27"/>
  <c r="AG308" i="27"/>
  <c r="AF309" i="27"/>
  <c r="AG309" i="27"/>
  <c r="AF310" i="27"/>
  <c r="AG310" i="27"/>
  <c r="AF311" i="27"/>
  <c r="AG311" i="27"/>
  <c r="AF312" i="27"/>
  <c r="AG312" i="27"/>
  <c r="AF313" i="27"/>
  <c r="AG313" i="27"/>
  <c r="AF314" i="27"/>
  <c r="AG314" i="27"/>
  <c r="AF315" i="27"/>
  <c r="AG315" i="27"/>
  <c r="AF316" i="27"/>
  <c r="AG316" i="27"/>
  <c r="AF317" i="27"/>
  <c r="AG317" i="27"/>
  <c r="AF318" i="27"/>
  <c r="AG318" i="27"/>
  <c r="AF319" i="27"/>
  <c r="AG319" i="27"/>
  <c r="AF320" i="27"/>
  <c r="AG320" i="27"/>
  <c r="AF321" i="27"/>
  <c r="AG321" i="27"/>
  <c r="AF322" i="27"/>
  <c r="AG322" i="27"/>
  <c r="AF323" i="27"/>
  <c r="AG323" i="27"/>
  <c r="AF324" i="27"/>
  <c r="AG324" i="27"/>
  <c r="AF325" i="27"/>
  <c r="AG325" i="27"/>
  <c r="AF326" i="27"/>
  <c r="AG326" i="27"/>
  <c r="AF327" i="27"/>
  <c r="AG327" i="27"/>
  <c r="AF328" i="27"/>
  <c r="AG328" i="27"/>
  <c r="AF329" i="27"/>
  <c r="AG329" i="27"/>
  <c r="AF330" i="27"/>
  <c r="AG330" i="27"/>
  <c r="AF331" i="27"/>
  <c r="AG331" i="27"/>
  <c r="AF332" i="27"/>
  <c r="AG332" i="27"/>
  <c r="AF333" i="27"/>
  <c r="AG333" i="27"/>
  <c r="AF334" i="27"/>
  <c r="AG334" i="27"/>
  <c r="AF335" i="27"/>
  <c r="AG335" i="27"/>
  <c r="AF336" i="27"/>
  <c r="AG336" i="27"/>
  <c r="AF337" i="27"/>
  <c r="AG337" i="27"/>
  <c r="AF338" i="27"/>
  <c r="AG338" i="27"/>
  <c r="AF339" i="27"/>
  <c r="AG339" i="27"/>
  <c r="AF340" i="27"/>
  <c r="AG340" i="27"/>
  <c r="AF341" i="27"/>
  <c r="AG341" i="27"/>
  <c r="AF342" i="27"/>
  <c r="AG342" i="27"/>
  <c r="AF343" i="27"/>
  <c r="AG343" i="27"/>
  <c r="AF344" i="27"/>
  <c r="AG344" i="27"/>
  <c r="AF345" i="27"/>
  <c r="AG345" i="27"/>
  <c r="AF346" i="27"/>
  <c r="AG346" i="27"/>
  <c r="AF347" i="27"/>
  <c r="AG347" i="27"/>
  <c r="AF348" i="27"/>
  <c r="AG348" i="27"/>
  <c r="AF349" i="27"/>
  <c r="AG349" i="27"/>
  <c r="AF350" i="27"/>
  <c r="AG350" i="27"/>
  <c r="AF351" i="27"/>
  <c r="AG351" i="27"/>
  <c r="AF352" i="27"/>
  <c r="AG352" i="27"/>
  <c r="AF353" i="27"/>
  <c r="AG353" i="27"/>
  <c r="AF354" i="27"/>
  <c r="AG354" i="27"/>
  <c r="AF355" i="27"/>
  <c r="AG355" i="27"/>
  <c r="AF356" i="27"/>
  <c r="AG356" i="27"/>
  <c r="AF357" i="27"/>
  <c r="AG357" i="27"/>
  <c r="AF358" i="27"/>
  <c r="AG358" i="27"/>
  <c r="AF359" i="27"/>
  <c r="AG359" i="27"/>
  <c r="AF360" i="27"/>
  <c r="AG360" i="27"/>
  <c r="AF361" i="27"/>
  <c r="AG361" i="27"/>
  <c r="AF362" i="27"/>
  <c r="AG362" i="27"/>
  <c r="AF363" i="27"/>
  <c r="AG363" i="27"/>
  <c r="AF364" i="27"/>
  <c r="AG364" i="27"/>
  <c r="AF365" i="27"/>
  <c r="AG365" i="27"/>
  <c r="AF366" i="27"/>
  <c r="AG366" i="27"/>
  <c r="AF367" i="27"/>
  <c r="AG367" i="27"/>
  <c r="AF368" i="27"/>
  <c r="AG368" i="27"/>
  <c r="AF369" i="27"/>
  <c r="AG369" i="27"/>
  <c r="AF370" i="27"/>
  <c r="AG370" i="27"/>
  <c r="AF371" i="27"/>
  <c r="AG371" i="27"/>
  <c r="AF372" i="27"/>
  <c r="AG372" i="27"/>
  <c r="AF373" i="27"/>
  <c r="AG373" i="27"/>
  <c r="AF374" i="27"/>
  <c r="AG374" i="27"/>
  <c r="AF375" i="27"/>
  <c r="AG375" i="27"/>
  <c r="AF376" i="27"/>
  <c r="AG376" i="27"/>
  <c r="AF377" i="27"/>
  <c r="AG377" i="27"/>
  <c r="AF378" i="27"/>
  <c r="AG378" i="27"/>
  <c r="AF379" i="27"/>
  <c r="AG379" i="27"/>
  <c r="AF380" i="27"/>
  <c r="AG380" i="27"/>
  <c r="AF381" i="27"/>
  <c r="AG381" i="27"/>
  <c r="AF382" i="27"/>
  <c r="AG382" i="27"/>
  <c r="AF383" i="27"/>
  <c r="AG383" i="27"/>
  <c r="AF384" i="27"/>
  <c r="AG384" i="27"/>
  <c r="AF385" i="27"/>
  <c r="AG385" i="27"/>
  <c r="AF386" i="27"/>
  <c r="AG386" i="27"/>
  <c r="AF387" i="27"/>
  <c r="AG387" i="27"/>
  <c r="AF388" i="27"/>
  <c r="AG388" i="27"/>
  <c r="AF389" i="27"/>
  <c r="AG389" i="27"/>
  <c r="AF390" i="27"/>
  <c r="AG390" i="27"/>
  <c r="AF391" i="27"/>
  <c r="AG391" i="27"/>
  <c r="AF392" i="27"/>
  <c r="AG392" i="27"/>
  <c r="AF393" i="27"/>
  <c r="AG393" i="27"/>
  <c r="AF394" i="27"/>
  <c r="AG394" i="27"/>
  <c r="AF395" i="27"/>
  <c r="AG395" i="27"/>
  <c r="AF396" i="27"/>
  <c r="AG396" i="27"/>
  <c r="AF397" i="27"/>
  <c r="AG397" i="27"/>
  <c r="AF398" i="27"/>
  <c r="AG398" i="27"/>
  <c r="AF399" i="27"/>
  <c r="AG399" i="27"/>
  <c r="AF400" i="27"/>
  <c r="AG400" i="27"/>
  <c r="AF401" i="27"/>
  <c r="AG401" i="27"/>
  <c r="AF402" i="27"/>
  <c r="AG402" i="27"/>
  <c r="AF403" i="27"/>
  <c r="AG403" i="27"/>
  <c r="AF404" i="27"/>
  <c r="AG404" i="27"/>
  <c r="AF405" i="27"/>
  <c r="AG405" i="27"/>
  <c r="AF406" i="27"/>
  <c r="AG406" i="27"/>
  <c r="AF407" i="27"/>
  <c r="AG407" i="27"/>
  <c r="AF408" i="27"/>
  <c r="AG408" i="27"/>
  <c r="AF409" i="27"/>
  <c r="AG409" i="27"/>
  <c r="AF410" i="27"/>
  <c r="AG410" i="27"/>
  <c r="AF411" i="27"/>
  <c r="AG411" i="27"/>
  <c r="AF412" i="27"/>
  <c r="AG412" i="27"/>
  <c r="AF413" i="27"/>
  <c r="AG413" i="27"/>
  <c r="AF414" i="27"/>
  <c r="AG414" i="27"/>
  <c r="AF415" i="27"/>
  <c r="AG415" i="27"/>
  <c r="AF416" i="27"/>
  <c r="AG416" i="27"/>
  <c r="AF417" i="27"/>
  <c r="AG417" i="27"/>
  <c r="AF418" i="27"/>
  <c r="AG418" i="27"/>
  <c r="AF419" i="27"/>
  <c r="AG419" i="27"/>
  <c r="AF420" i="27"/>
  <c r="AG420" i="27"/>
  <c r="AF421" i="27"/>
  <c r="AG421" i="27"/>
  <c r="AF422" i="27"/>
  <c r="AG422" i="27"/>
  <c r="AF423" i="27"/>
  <c r="AG423" i="27"/>
  <c r="AF424" i="27"/>
  <c r="AG424" i="27"/>
  <c r="AF425" i="27"/>
  <c r="AG425" i="27"/>
  <c r="AF426" i="27"/>
  <c r="AG426" i="27"/>
  <c r="AF427" i="27"/>
  <c r="AG427" i="27"/>
  <c r="AF428" i="27"/>
  <c r="AG428" i="27"/>
  <c r="AF429" i="27"/>
  <c r="AG429" i="27"/>
  <c r="AF430" i="27"/>
  <c r="AG430" i="27"/>
  <c r="AF431" i="27"/>
  <c r="AG431" i="27"/>
  <c r="AF432" i="27"/>
  <c r="AG432" i="27"/>
  <c r="AF433" i="27"/>
  <c r="AG433" i="27"/>
  <c r="AF434" i="27"/>
  <c r="AG434" i="27"/>
  <c r="AF435" i="27"/>
  <c r="AG435" i="27"/>
  <c r="AF436" i="27"/>
  <c r="AG436" i="27"/>
  <c r="AF437" i="27"/>
  <c r="AG437" i="27"/>
  <c r="AF438" i="27"/>
  <c r="AG438" i="27"/>
  <c r="AF439" i="27"/>
  <c r="AG439" i="27"/>
  <c r="AF440" i="27"/>
  <c r="AG440" i="27"/>
  <c r="AF441" i="27"/>
  <c r="AG441" i="27"/>
  <c r="AF442" i="27"/>
  <c r="AG442" i="27"/>
  <c r="AF443" i="27"/>
  <c r="AG443" i="27"/>
  <c r="AF444" i="27"/>
  <c r="AG444" i="27"/>
  <c r="AF445" i="27"/>
  <c r="AG445" i="27"/>
  <c r="AF446" i="27"/>
  <c r="AG446" i="27"/>
  <c r="AF447" i="27"/>
  <c r="AG447" i="27"/>
  <c r="AF448" i="27"/>
  <c r="AG448" i="27"/>
  <c r="AF449" i="27"/>
  <c r="AG449" i="27"/>
  <c r="AF450" i="27"/>
  <c r="AG450" i="27"/>
  <c r="AF451" i="27"/>
  <c r="AG451" i="27"/>
  <c r="AF452" i="27"/>
  <c r="AG452" i="27"/>
  <c r="AF453" i="27"/>
  <c r="AG453" i="27"/>
  <c r="AF454" i="27"/>
  <c r="AG454" i="27"/>
  <c r="AF455" i="27"/>
  <c r="AG455" i="27"/>
  <c r="AF456" i="27"/>
  <c r="AG456" i="27"/>
  <c r="AF457" i="27"/>
  <c r="AG457" i="27"/>
  <c r="AF458" i="27"/>
  <c r="AG458" i="27"/>
  <c r="AF459" i="27"/>
  <c r="AG459" i="27"/>
  <c r="AF460" i="27"/>
  <c r="AG460" i="27"/>
  <c r="AF461" i="27"/>
  <c r="AG461" i="27"/>
  <c r="AF462" i="27"/>
  <c r="AG462" i="27"/>
  <c r="AF463" i="27"/>
  <c r="AG463" i="27"/>
  <c r="AF464" i="27"/>
  <c r="AG464" i="27"/>
  <c r="AF465" i="27"/>
  <c r="AG465" i="27"/>
  <c r="AF466" i="27"/>
  <c r="AG466" i="27"/>
  <c r="AF467" i="27"/>
  <c r="AG467" i="27"/>
  <c r="AF468" i="27"/>
  <c r="AG468" i="27"/>
  <c r="AF469" i="27"/>
  <c r="AG469" i="27"/>
  <c r="AF470" i="27"/>
  <c r="AG470" i="27"/>
  <c r="AF471" i="27"/>
  <c r="AG471" i="27"/>
  <c r="AF472" i="27"/>
  <c r="AG472" i="27"/>
  <c r="AF473" i="27"/>
  <c r="AG473" i="27"/>
  <c r="AF474" i="27"/>
  <c r="AG474" i="27"/>
  <c r="AF475" i="27"/>
  <c r="AG475" i="27"/>
  <c r="AF476" i="27"/>
  <c r="AG476" i="27"/>
  <c r="AF477" i="27"/>
  <c r="AG477" i="27"/>
  <c r="AF478" i="27"/>
  <c r="AG478" i="27"/>
  <c r="AF479" i="27"/>
  <c r="AG479" i="27"/>
  <c r="AF480" i="27"/>
  <c r="AG480" i="27"/>
  <c r="AF481" i="27"/>
  <c r="AG481" i="27"/>
  <c r="AF482" i="27"/>
  <c r="AG482" i="27"/>
  <c r="AF483" i="27"/>
  <c r="AG483" i="27"/>
  <c r="AF484" i="27"/>
  <c r="AG484" i="27"/>
  <c r="AF485" i="27"/>
  <c r="AG485" i="27"/>
  <c r="AF486" i="27"/>
  <c r="AG486" i="27"/>
  <c r="AF487" i="27"/>
  <c r="AG487" i="27"/>
  <c r="AF488" i="27"/>
  <c r="AG488" i="27"/>
  <c r="AF489" i="27"/>
  <c r="AG489" i="27"/>
  <c r="AF490" i="27"/>
  <c r="AG490" i="27"/>
  <c r="AF491" i="27"/>
  <c r="AG491" i="27"/>
  <c r="AF492" i="27"/>
  <c r="AG492" i="27"/>
  <c r="AF493" i="27"/>
  <c r="AG493" i="27"/>
  <c r="AF494" i="27"/>
  <c r="AG494" i="27"/>
  <c r="AF495" i="27"/>
  <c r="AG495" i="27"/>
  <c r="AF496" i="27"/>
  <c r="AG496" i="27"/>
  <c r="AF497" i="27"/>
  <c r="AG497" i="27"/>
  <c r="AF498" i="27"/>
  <c r="AG498" i="27"/>
  <c r="AF499" i="27"/>
  <c r="AG499" i="27"/>
  <c r="AF500" i="27"/>
  <c r="AG500" i="27"/>
  <c r="AF501" i="27"/>
  <c r="AG501" i="27"/>
  <c r="AF502" i="27"/>
  <c r="AG502" i="27"/>
  <c r="AF503" i="27"/>
  <c r="AG503" i="27"/>
  <c r="AF504" i="27"/>
  <c r="AG504" i="27"/>
  <c r="AF505" i="27"/>
  <c r="AG505" i="27"/>
  <c r="AF506" i="27"/>
  <c r="AG506" i="27"/>
  <c r="AF507" i="27"/>
  <c r="AG507" i="27"/>
  <c r="AF508" i="27"/>
  <c r="AG508" i="27"/>
  <c r="AF509" i="27"/>
  <c r="AG509" i="27"/>
  <c r="AF510" i="27"/>
  <c r="AG510" i="27"/>
  <c r="AF511" i="27"/>
  <c r="AG511" i="27"/>
  <c r="AF512" i="27"/>
  <c r="AG512" i="27"/>
  <c r="AF513" i="27"/>
  <c r="AG513" i="27"/>
  <c r="AF514" i="27"/>
  <c r="AG514" i="27"/>
  <c r="AF515" i="27"/>
  <c r="AG515" i="27"/>
  <c r="AF516" i="27"/>
  <c r="AG516" i="27"/>
  <c r="AF517" i="27"/>
  <c r="AG517" i="27"/>
  <c r="AF518" i="27"/>
  <c r="AG518" i="27"/>
  <c r="AF519" i="27"/>
  <c r="AG519" i="27"/>
  <c r="AF520" i="27"/>
  <c r="AG520" i="27"/>
  <c r="AF521" i="27"/>
  <c r="AG521" i="27"/>
  <c r="AF522" i="27"/>
  <c r="AG522" i="27"/>
  <c r="AF523" i="27"/>
  <c r="AG523" i="27"/>
  <c r="AF524" i="27"/>
  <c r="AG524" i="27"/>
  <c r="AF525" i="27"/>
  <c r="AG525" i="27"/>
  <c r="AF526" i="27"/>
  <c r="AG526" i="27"/>
  <c r="AF527" i="27"/>
  <c r="AG527" i="27"/>
  <c r="AF528" i="27"/>
  <c r="AG528" i="27"/>
  <c r="AF529" i="27"/>
  <c r="AG529" i="27"/>
  <c r="AF530" i="27"/>
  <c r="AG530" i="27"/>
  <c r="AF531" i="27"/>
  <c r="AG531" i="27"/>
  <c r="AF532" i="27"/>
  <c r="AG532" i="27"/>
  <c r="AF533" i="27"/>
  <c r="AG533" i="27"/>
  <c r="AF534" i="27"/>
  <c r="AG534" i="27"/>
  <c r="AF535" i="27"/>
  <c r="AG535" i="27"/>
  <c r="AF536" i="27"/>
  <c r="AG536" i="27"/>
  <c r="AF537" i="27"/>
  <c r="AG537" i="27"/>
  <c r="AF538" i="27"/>
  <c r="AG538" i="27"/>
  <c r="AF539" i="27"/>
  <c r="AG539" i="27"/>
  <c r="AF540" i="27"/>
  <c r="AG540" i="27"/>
  <c r="AF541" i="27"/>
  <c r="AG541" i="27"/>
  <c r="AF542" i="27"/>
  <c r="AG542" i="27"/>
  <c r="AF543" i="27"/>
  <c r="AG543" i="27"/>
  <c r="AF544" i="27"/>
  <c r="AG544" i="27"/>
  <c r="AF545" i="27"/>
  <c r="AG545" i="27"/>
  <c r="AF546" i="27"/>
  <c r="AG546" i="27"/>
  <c r="AF547" i="27"/>
  <c r="AG547" i="27"/>
  <c r="AF548" i="27"/>
  <c r="AG548" i="27"/>
  <c r="AF549" i="27"/>
  <c r="AG549" i="27"/>
  <c r="AF550" i="27"/>
  <c r="AG550" i="27"/>
  <c r="AF551" i="27"/>
  <c r="AG551" i="27"/>
  <c r="AF552" i="27"/>
  <c r="AG552" i="27"/>
  <c r="AF553" i="27"/>
  <c r="AG553" i="27"/>
  <c r="AF554" i="27"/>
  <c r="AG554" i="27"/>
  <c r="AF555" i="27"/>
  <c r="AG555" i="27"/>
  <c r="AF556" i="27"/>
  <c r="AG556" i="27"/>
  <c r="AF557" i="27"/>
  <c r="AG557" i="27"/>
  <c r="AF558" i="27"/>
  <c r="AG558" i="27"/>
  <c r="AF559" i="27"/>
  <c r="AG559" i="27"/>
  <c r="AF560" i="27"/>
  <c r="AG560" i="27"/>
  <c r="AF561" i="27"/>
  <c r="AG561" i="27"/>
  <c r="AF562" i="27"/>
  <c r="AG562" i="27"/>
  <c r="AF563" i="27"/>
  <c r="AG563" i="27"/>
  <c r="AF564" i="27"/>
  <c r="AG564" i="27"/>
  <c r="AF565" i="27"/>
  <c r="AG565" i="27"/>
  <c r="AF566" i="27"/>
  <c r="AG566" i="27"/>
  <c r="AF567" i="27"/>
  <c r="AG567" i="27"/>
  <c r="AF568" i="27"/>
  <c r="AG568" i="27"/>
  <c r="AF569" i="27"/>
  <c r="AG569" i="27"/>
  <c r="AF570" i="27"/>
  <c r="AG570" i="27"/>
  <c r="AF571" i="27"/>
  <c r="AG571" i="27"/>
  <c r="AF572" i="27"/>
  <c r="AG572" i="27"/>
  <c r="AF573" i="27"/>
  <c r="AG573" i="27"/>
  <c r="AF574" i="27"/>
  <c r="AG574" i="27"/>
  <c r="AF575" i="27"/>
  <c r="AG575" i="27"/>
  <c r="AF576" i="27"/>
  <c r="AG576" i="27"/>
  <c r="AF577" i="27"/>
  <c r="AG577" i="27"/>
  <c r="AF578" i="27"/>
  <c r="AG578" i="27"/>
  <c r="AF579" i="27"/>
  <c r="AG579" i="27"/>
  <c r="AF580" i="27"/>
  <c r="AG580" i="27"/>
  <c r="AF581" i="27"/>
  <c r="AG581" i="27"/>
  <c r="AF582" i="27"/>
  <c r="AG582" i="27"/>
  <c r="AF583" i="27"/>
  <c r="AG583" i="27"/>
  <c r="AF584" i="27"/>
  <c r="AG584" i="27"/>
  <c r="AF585" i="27"/>
  <c r="AG585" i="27"/>
  <c r="AF586" i="27"/>
  <c r="AG586" i="27"/>
  <c r="AF587" i="27"/>
  <c r="AG587" i="27"/>
  <c r="AF588" i="27"/>
  <c r="AG588" i="27"/>
  <c r="AF589" i="27"/>
  <c r="AG589" i="27"/>
  <c r="AF590" i="27"/>
  <c r="AG590" i="27"/>
  <c r="AF591" i="27"/>
  <c r="AG591" i="27"/>
  <c r="AF592" i="27"/>
  <c r="AG592" i="27"/>
  <c r="AF593" i="27"/>
  <c r="AG593" i="27"/>
  <c r="AF594" i="27"/>
  <c r="AG594" i="27"/>
  <c r="AF595" i="27"/>
  <c r="AG595" i="27"/>
  <c r="AF596" i="27"/>
  <c r="AG596" i="27"/>
  <c r="AF597" i="27"/>
  <c r="AG597" i="27"/>
  <c r="AF598" i="27"/>
  <c r="AG598" i="27"/>
  <c r="AF599" i="27"/>
  <c r="AG599" i="27"/>
  <c r="AF600" i="27"/>
  <c r="AG600" i="27"/>
  <c r="AF601" i="27"/>
  <c r="AG601" i="27"/>
  <c r="AF602" i="27"/>
  <c r="AG602" i="27"/>
  <c r="AF603" i="27"/>
  <c r="AG603" i="27"/>
  <c r="AF604" i="27"/>
  <c r="AG604" i="27"/>
  <c r="AF605" i="27"/>
  <c r="AG605" i="27"/>
  <c r="AF606" i="27"/>
  <c r="AG606" i="27"/>
  <c r="AF607" i="27"/>
  <c r="AG607" i="27"/>
  <c r="AF608" i="27"/>
  <c r="AG608" i="27"/>
  <c r="AF609" i="27"/>
  <c r="AG609" i="27"/>
  <c r="AF610" i="27"/>
  <c r="AG610" i="27"/>
  <c r="AF611" i="27"/>
  <c r="AG611" i="27"/>
  <c r="AF612" i="27"/>
  <c r="AG612" i="27"/>
  <c r="AF613" i="27"/>
  <c r="AG613" i="27"/>
  <c r="AF614" i="27"/>
  <c r="AG614" i="27"/>
  <c r="AF615" i="27"/>
  <c r="AG615" i="27"/>
  <c r="AF616" i="27"/>
  <c r="AG616" i="27"/>
  <c r="AF617" i="27"/>
  <c r="AG617" i="27"/>
  <c r="AF618" i="27"/>
  <c r="AG618" i="27"/>
  <c r="AF619" i="27"/>
  <c r="AG619" i="27"/>
  <c r="AF620" i="27"/>
  <c r="AG620" i="27"/>
  <c r="AF621" i="27"/>
  <c r="AG621" i="27"/>
  <c r="AF622" i="27"/>
  <c r="AG622" i="27"/>
  <c r="AF623" i="27"/>
  <c r="AG623" i="27"/>
  <c r="AF624" i="27"/>
  <c r="AG624" i="27"/>
  <c r="AF625" i="27"/>
  <c r="AG625" i="27"/>
  <c r="AF626" i="27"/>
  <c r="AG626" i="27"/>
  <c r="AF627" i="27"/>
  <c r="AG627" i="27"/>
  <c r="AF628" i="27"/>
  <c r="AG628" i="27"/>
  <c r="AF629" i="27"/>
  <c r="AG629" i="27"/>
  <c r="AF630" i="27"/>
  <c r="AG630" i="27"/>
  <c r="AF631" i="27"/>
  <c r="AG631" i="27"/>
  <c r="AF632" i="27"/>
  <c r="AG632" i="27"/>
  <c r="AF633" i="27"/>
  <c r="AG633" i="27"/>
  <c r="AF634" i="27"/>
  <c r="AG634" i="27"/>
  <c r="AF635" i="27"/>
  <c r="AG635" i="27"/>
  <c r="AF636" i="27"/>
  <c r="AG636" i="27"/>
  <c r="AF637" i="27"/>
  <c r="AG637" i="27"/>
  <c r="AF638" i="27"/>
  <c r="AG638" i="27"/>
  <c r="AF639" i="27"/>
  <c r="AG639" i="27"/>
  <c r="AF640" i="27"/>
  <c r="AG640" i="27"/>
  <c r="AF641" i="27"/>
  <c r="AG641" i="27"/>
  <c r="AF642" i="27"/>
  <c r="AG642" i="27"/>
  <c r="AF643" i="27"/>
  <c r="AG643" i="27"/>
  <c r="AF644" i="27"/>
  <c r="AG644" i="27"/>
  <c r="AF645" i="27"/>
  <c r="AG645" i="27"/>
  <c r="AF646" i="27"/>
  <c r="AG646" i="27"/>
  <c r="AF647" i="27"/>
  <c r="AG647" i="27"/>
  <c r="AF648" i="27"/>
  <c r="AG648" i="27"/>
  <c r="AF649" i="27"/>
  <c r="AG649" i="27"/>
  <c r="AF650" i="27"/>
  <c r="AG650" i="27"/>
  <c r="AF651" i="27"/>
  <c r="AG651" i="27"/>
  <c r="AF652" i="27"/>
  <c r="AG652" i="27"/>
  <c r="AF653" i="27"/>
  <c r="AG653" i="27"/>
  <c r="AF654" i="27"/>
  <c r="AG654" i="27"/>
  <c r="AF655" i="27"/>
  <c r="AG655" i="27"/>
  <c r="AF656" i="27"/>
  <c r="AG656" i="27"/>
  <c r="AF657" i="27"/>
  <c r="AG657" i="27"/>
  <c r="AF658" i="27"/>
  <c r="AG658" i="27"/>
  <c r="AF659" i="27"/>
  <c r="AG659" i="27"/>
  <c r="AF660" i="27"/>
  <c r="AG660" i="27"/>
  <c r="AF661" i="27"/>
  <c r="AG661" i="27"/>
  <c r="AF662" i="27"/>
  <c r="AG662" i="27"/>
  <c r="AF663" i="27"/>
  <c r="AG663" i="27"/>
  <c r="AF664" i="27"/>
  <c r="AG664" i="27"/>
  <c r="AF665" i="27"/>
  <c r="AG665" i="27"/>
  <c r="AF666" i="27"/>
  <c r="AG666" i="27"/>
  <c r="AF667" i="27"/>
  <c r="AG667" i="27"/>
  <c r="AF668" i="27"/>
  <c r="AG668" i="27"/>
  <c r="AF669" i="27"/>
  <c r="AG669" i="27"/>
  <c r="AF670" i="27"/>
  <c r="AG670" i="27"/>
  <c r="AF671" i="27"/>
  <c r="AG671" i="27"/>
  <c r="AF672" i="27"/>
  <c r="AG672" i="27"/>
  <c r="AF673" i="27"/>
  <c r="AG673" i="27"/>
  <c r="AF674" i="27"/>
  <c r="AG674" i="27"/>
  <c r="AF675" i="27"/>
  <c r="AG675" i="27"/>
  <c r="AF676" i="27"/>
  <c r="AG676" i="27"/>
  <c r="AF677" i="27"/>
  <c r="AG677" i="27"/>
  <c r="AF678" i="27"/>
  <c r="AG678" i="27"/>
  <c r="AF679" i="27"/>
  <c r="AG679" i="27"/>
  <c r="AF680" i="27"/>
  <c r="AG680" i="27"/>
  <c r="AF681" i="27"/>
  <c r="AG681" i="27"/>
  <c r="AF682" i="27"/>
  <c r="AG682" i="27"/>
  <c r="AF683" i="27"/>
  <c r="AG683" i="27"/>
  <c r="AF684" i="27"/>
  <c r="AG684" i="27"/>
  <c r="AF685" i="27"/>
  <c r="AG685" i="27"/>
  <c r="AF686" i="27"/>
  <c r="AG686" i="27"/>
  <c r="AF687" i="27"/>
  <c r="AG687" i="27"/>
  <c r="AF688" i="27"/>
  <c r="AG688" i="27"/>
  <c r="AF689" i="27"/>
  <c r="AG689" i="27"/>
  <c r="AF690" i="27"/>
  <c r="AG690" i="27"/>
  <c r="AF691" i="27"/>
  <c r="AG691" i="27"/>
  <c r="AF692" i="27"/>
  <c r="AG692" i="27"/>
  <c r="AF693" i="27"/>
  <c r="AG693" i="27"/>
  <c r="AF694" i="27"/>
  <c r="AG694" i="27"/>
  <c r="AF695" i="27"/>
  <c r="AG695" i="27"/>
  <c r="AF696" i="27"/>
  <c r="AG696" i="27"/>
  <c r="AF697" i="27"/>
  <c r="AG697" i="27"/>
  <c r="AF698" i="27"/>
  <c r="AG698" i="27"/>
  <c r="AF699" i="27"/>
  <c r="AG699" i="27"/>
  <c r="AF700" i="27"/>
  <c r="AG700" i="27"/>
  <c r="AF701" i="27"/>
  <c r="AG701" i="27"/>
  <c r="AF702" i="27"/>
  <c r="AG702" i="27"/>
  <c r="AF703" i="27"/>
  <c r="AG703" i="27"/>
  <c r="AF704" i="27"/>
  <c r="AG704" i="27"/>
  <c r="AF705" i="27"/>
  <c r="AG705" i="27"/>
  <c r="AF706" i="27"/>
  <c r="AG706" i="27"/>
  <c r="AF707" i="27"/>
  <c r="AG707" i="27"/>
  <c r="AF708" i="27"/>
  <c r="AG708" i="27"/>
  <c r="AF709" i="27"/>
  <c r="AG709" i="27"/>
  <c r="AF710" i="27"/>
  <c r="AG710" i="27"/>
  <c r="AF711" i="27"/>
  <c r="AG711" i="27"/>
  <c r="AF712" i="27"/>
  <c r="AG712" i="27"/>
  <c r="AF713" i="27"/>
  <c r="AG713" i="27"/>
  <c r="AF714" i="27"/>
  <c r="AG714" i="27"/>
  <c r="AF715" i="27"/>
  <c r="AG715" i="27"/>
  <c r="AF716" i="27"/>
  <c r="AG716" i="27"/>
  <c r="AF717" i="27"/>
  <c r="AG717" i="27"/>
  <c r="AF718" i="27"/>
  <c r="AG718" i="27"/>
  <c r="AF719" i="27"/>
  <c r="AG719" i="27"/>
  <c r="AF720" i="27"/>
  <c r="AG720" i="27"/>
  <c r="AF721" i="27"/>
  <c r="AG721" i="27"/>
  <c r="AF722" i="27"/>
  <c r="AG722" i="27"/>
  <c r="AF723" i="27"/>
  <c r="AG723" i="27"/>
  <c r="AF724" i="27"/>
  <c r="AG724" i="27"/>
  <c r="AF725" i="27"/>
  <c r="AG725" i="27"/>
  <c r="AF726" i="27"/>
  <c r="AG726" i="27"/>
  <c r="AF727" i="27"/>
  <c r="AG727" i="27"/>
  <c r="AF728" i="27"/>
  <c r="AG728" i="27"/>
  <c r="AF729" i="27"/>
  <c r="AG729" i="27"/>
  <c r="AF730" i="27"/>
  <c r="AG730" i="27"/>
  <c r="AF731" i="27"/>
  <c r="AG731" i="27"/>
  <c r="AF732" i="27"/>
  <c r="AG732" i="27"/>
  <c r="AF733" i="27"/>
  <c r="AG733" i="27"/>
  <c r="AF734" i="27"/>
  <c r="AG734" i="27"/>
  <c r="AF735" i="27"/>
  <c r="AG735" i="27"/>
  <c r="AF736" i="27"/>
  <c r="AG736" i="27"/>
  <c r="AF737" i="27"/>
  <c r="AG737" i="27"/>
  <c r="AF738" i="27"/>
  <c r="AG738" i="27"/>
  <c r="AF739" i="27"/>
  <c r="AG739" i="27"/>
  <c r="AF740" i="27"/>
  <c r="AG740" i="27"/>
  <c r="AF741" i="27"/>
  <c r="AG741" i="27"/>
  <c r="AF742" i="27"/>
  <c r="AG742" i="27"/>
  <c r="AF743" i="27"/>
  <c r="AG743" i="27"/>
  <c r="AF744" i="27"/>
  <c r="AG744" i="27"/>
  <c r="AF745" i="27"/>
  <c r="AG745" i="27"/>
  <c r="AF746" i="27"/>
  <c r="AG746" i="27"/>
  <c r="AF747" i="27"/>
  <c r="AG747" i="27"/>
  <c r="AF748" i="27"/>
  <c r="AG748" i="27"/>
  <c r="AF749" i="27"/>
  <c r="AG749" i="27"/>
  <c r="AF750" i="27"/>
  <c r="AG750" i="27"/>
  <c r="AF751" i="27"/>
  <c r="AG751" i="27"/>
  <c r="AF752" i="27"/>
  <c r="AG752" i="27"/>
  <c r="AF753" i="27"/>
  <c r="AG753" i="27"/>
  <c r="AF754" i="27"/>
  <c r="AG754" i="27"/>
  <c r="AF755" i="27"/>
  <c r="AG755" i="27"/>
  <c r="AF756" i="27"/>
  <c r="AG756" i="27"/>
  <c r="AF757" i="27"/>
  <c r="AG757" i="27"/>
  <c r="AF758" i="27"/>
  <c r="AG758" i="27"/>
  <c r="AF759" i="27"/>
  <c r="AG759" i="27"/>
  <c r="AF760" i="27"/>
  <c r="AG760" i="27"/>
  <c r="AF761" i="27"/>
  <c r="AG761" i="27"/>
  <c r="AF762" i="27"/>
  <c r="AG762" i="27"/>
  <c r="AF763" i="27"/>
  <c r="AG763" i="27"/>
  <c r="AF764" i="27"/>
  <c r="AG764" i="27"/>
  <c r="AF765" i="27"/>
  <c r="AG765" i="27"/>
  <c r="AF766" i="27"/>
  <c r="AG766" i="27"/>
  <c r="AF767" i="27"/>
  <c r="AG767" i="27"/>
  <c r="AF768" i="27"/>
  <c r="AG768" i="27"/>
  <c r="AF769" i="27"/>
  <c r="AG769" i="27"/>
  <c r="AF770" i="27"/>
  <c r="AG770" i="27"/>
  <c r="AF771" i="27"/>
  <c r="AG771" i="27"/>
  <c r="AF772" i="27"/>
  <c r="AG772" i="27"/>
  <c r="AF773" i="27"/>
  <c r="AG773" i="27"/>
  <c r="AF774" i="27"/>
  <c r="AG774" i="27"/>
  <c r="AF775" i="27"/>
  <c r="AG775" i="27"/>
  <c r="AF776" i="27"/>
  <c r="AG776" i="27"/>
  <c r="AF777" i="27"/>
  <c r="AG777" i="27"/>
  <c r="AF778" i="27"/>
  <c r="AG778" i="27"/>
  <c r="AF779" i="27"/>
  <c r="AG779" i="27"/>
  <c r="AF780" i="27"/>
  <c r="AG780" i="27"/>
  <c r="AF781" i="27"/>
  <c r="AG781" i="27"/>
  <c r="AF782" i="27"/>
  <c r="AG782" i="27"/>
  <c r="AF783" i="27"/>
  <c r="AG783" i="27"/>
  <c r="AF784" i="27"/>
  <c r="AG784" i="27"/>
  <c r="AF785" i="27"/>
  <c r="AG785" i="27"/>
  <c r="AF786" i="27"/>
  <c r="AG786" i="27"/>
  <c r="AF787" i="27"/>
  <c r="AG787" i="27"/>
  <c r="AF788" i="27"/>
  <c r="AG788" i="27"/>
  <c r="AF789" i="27"/>
  <c r="AG789" i="27"/>
  <c r="AF790" i="27"/>
  <c r="AG790" i="27"/>
  <c r="AF791" i="27"/>
  <c r="AG791" i="27"/>
  <c r="AF792" i="27"/>
  <c r="AG792" i="27"/>
  <c r="AF793" i="27"/>
  <c r="AG793" i="27"/>
  <c r="AF794" i="27"/>
  <c r="AG794" i="27"/>
  <c r="AF795" i="27"/>
  <c r="AG795" i="27"/>
  <c r="AF796" i="27"/>
  <c r="AG796" i="27"/>
  <c r="AF797" i="27"/>
  <c r="AG797" i="27"/>
  <c r="AF798" i="27"/>
  <c r="AG798" i="27"/>
  <c r="AF799" i="27"/>
  <c r="AG799" i="27"/>
  <c r="AF800" i="27"/>
  <c r="AG800" i="27"/>
  <c r="AF801" i="27"/>
  <c r="AG801" i="27"/>
  <c r="AF802" i="27"/>
  <c r="AG802" i="27"/>
  <c r="AF803" i="27"/>
  <c r="AG803" i="27"/>
  <c r="AF804" i="27"/>
  <c r="AG804" i="27"/>
  <c r="AF805" i="27"/>
  <c r="AG805" i="27"/>
  <c r="AF806" i="27"/>
  <c r="AG806" i="27"/>
  <c r="AF807" i="27"/>
  <c r="AG807" i="27"/>
  <c r="AF808" i="27"/>
  <c r="AG808" i="27"/>
  <c r="AF809" i="27"/>
  <c r="AG809" i="27"/>
  <c r="AF810" i="27"/>
  <c r="AG810" i="27"/>
  <c r="AF811" i="27"/>
  <c r="AG811" i="27"/>
  <c r="AF812" i="27"/>
  <c r="AG812" i="27"/>
  <c r="AF813" i="27"/>
  <c r="AG813" i="27"/>
  <c r="AF814" i="27"/>
  <c r="AG814" i="27"/>
  <c r="AF815" i="27"/>
  <c r="AG815" i="27"/>
  <c r="AF816" i="27"/>
  <c r="AG816" i="27"/>
  <c r="AF817" i="27"/>
  <c r="AG817" i="27"/>
  <c r="AF818" i="27"/>
  <c r="AG818" i="27"/>
  <c r="AF819" i="27"/>
  <c r="AG819" i="27"/>
  <c r="AF820" i="27"/>
  <c r="AG820" i="27"/>
  <c r="AF821" i="27"/>
  <c r="AG821" i="27"/>
  <c r="AF822" i="27"/>
  <c r="AG822" i="27"/>
  <c r="AF823" i="27"/>
  <c r="AG823" i="27"/>
  <c r="AF824" i="27"/>
  <c r="AG824" i="27"/>
  <c r="AF825" i="27"/>
  <c r="AG825" i="27"/>
  <c r="AF826" i="27"/>
  <c r="AG826" i="27"/>
  <c r="AF827" i="27"/>
  <c r="AG827" i="27"/>
  <c r="AF828" i="27"/>
  <c r="AG828" i="27"/>
  <c r="AF829" i="27"/>
  <c r="AG829" i="27"/>
  <c r="AF830" i="27"/>
  <c r="AG830" i="27"/>
  <c r="AF831" i="27"/>
  <c r="AG831" i="27"/>
  <c r="AF832" i="27"/>
  <c r="AG832" i="27"/>
  <c r="AF833" i="27"/>
  <c r="AG833" i="27"/>
  <c r="AF834" i="27"/>
  <c r="AG834" i="27"/>
  <c r="AF835" i="27"/>
  <c r="AG835" i="27"/>
  <c r="AF836" i="27"/>
  <c r="AG836" i="27"/>
  <c r="AF837" i="27"/>
  <c r="AG837" i="27"/>
  <c r="AF838" i="27"/>
  <c r="AG838" i="27"/>
  <c r="AF839" i="27"/>
  <c r="AG839" i="27"/>
  <c r="AF840" i="27"/>
  <c r="AG840" i="27"/>
  <c r="AF841" i="27"/>
  <c r="AG841" i="27"/>
  <c r="AF842" i="27"/>
  <c r="AG842" i="27"/>
  <c r="AF843" i="27"/>
  <c r="AG843" i="27"/>
  <c r="AF844" i="27"/>
  <c r="AG844" i="27"/>
  <c r="AF845" i="27"/>
  <c r="AG845" i="27"/>
  <c r="AF846" i="27"/>
  <c r="AG846" i="27"/>
  <c r="AF847" i="27"/>
  <c r="AG847" i="27"/>
  <c r="AF848" i="27"/>
  <c r="AG848" i="27"/>
  <c r="AF849" i="27"/>
  <c r="AG849" i="27"/>
  <c r="AF850" i="27"/>
  <c r="AG850" i="27"/>
  <c r="AF851" i="27"/>
  <c r="AG851" i="27"/>
  <c r="AF852" i="27"/>
  <c r="AG852" i="27"/>
  <c r="AF853" i="27"/>
  <c r="AG853" i="27"/>
  <c r="AF854" i="27"/>
  <c r="AG854" i="27"/>
  <c r="AF855" i="27"/>
  <c r="AG855" i="27"/>
  <c r="AF856" i="27"/>
  <c r="AG856" i="27"/>
  <c r="AF857" i="27"/>
  <c r="AG857" i="27"/>
  <c r="AF858" i="27"/>
  <c r="AG858" i="27"/>
  <c r="AF859" i="27"/>
  <c r="AG859" i="27"/>
  <c r="AF860" i="27"/>
  <c r="AG860" i="27"/>
  <c r="AF861" i="27"/>
  <c r="AG861" i="27"/>
  <c r="AF862" i="27"/>
  <c r="AG862" i="27"/>
  <c r="AF863" i="27"/>
  <c r="AG863" i="27"/>
  <c r="AF864" i="27"/>
  <c r="AG864" i="27"/>
  <c r="AF865" i="27"/>
  <c r="AG865" i="27"/>
  <c r="AF866" i="27"/>
  <c r="AG866" i="27"/>
  <c r="AF867" i="27"/>
  <c r="AG867" i="27"/>
  <c r="AF868" i="27"/>
  <c r="AG868" i="27"/>
  <c r="AF869" i="27"/>
  <c r="AG869" i="27"/>
  <c r="AF870" i="27"/>
  <c r="AG870" i="27"/>
  <c r="AF871" i="27"/>
  <c r="AG871" i="27"/>
  <c r="AF872" i="27"/>
  <c r="AG872" i="27"/>
  <c r="AF873" i="27"/>
  <c r="AG873" i="27"/>
  <c r="AF874" i="27"/>
  <c r="AG874" i="27"/>
  <c r="AF875" i="27"/>
  <c r="AG875" i="27"/>
  <c r="AF876" i="27"/>
  <c r="AG876" i="27"/>
  <c r="AF877" i="27"/>
  <c r="AG877" i="27"/>
  <c r="AF878" i="27"/>
  <c r="AG878" i="27"/>
  <c r="AF879" i="27"/>
  <c r="AG879" i="27"/>
  <c r="AF880" i="27"/>
  <c r="AG880" i="27"/>
  <c r="AF881" i="27"/>
  <c r="AG881" i="27"/>
  <c r="AF882" i="27"/>
  <c r="AG882" i="27"/>
  <c r="AF883" i="27"/>
  <c r="AG883" i="27"/>
  <c r="AF884" i="27"/>
  <c r="AG884" i="27"/>
  <c r="AF885" i="27"/>
  <c r="AG885" i="27"/>
  <c r="AF886" i="27"/>
  <c r="AG886" i="27"/>
  <c r="AF887" i="27"/>
  <c r="AG887" i="27"/>
  <c r="AF888" i="27"/>
  <c r="AG888" i="27"/>
  <c r="AF889" i="27"/>
  <c r="AG889" i="27"/>
  <c r="AF890" i="27"/>
  <c r="AG890" i="27"/>
  <c r="AF891" i="27"/>
  <c r="AG891" i="27"/>
  <c r="AF892" i="27"/>
  <c r="AG892" i="27"/>
  <c r="AF893" i="27"/>
  <c r="AG893" i="27"/>
  <c r="AF894" i="27"/>
  <c r="AG894" i="27"/>
  <c r="AF895" i="27"/>
  <c r="AG895" i="27"/>
  <c r="AF896" i="27"/>
  <c r="AG896" i="27"/>
  <c r="AF897" i="27"/>
  <c r="AG897" i="27"/>
  <c r="AF898" i="27"/>
  <c r="AG898" i="27"/>
  <c r="AF899" i="27"/>
  <c r="AG899" i="27"/>
  <c r="AF900" i="27"/>
  <c r="AG900" i="27"/>
  <c r="AF901" i="27"/>
  <c r="AG901" i="27"/>
  <c r="AF902" i="27"/>
  <c r="AG902" i="27"/>
  <c r="AF903" i="27"/>
  <c r="AG903" i="27"/>
  <c r="AF904" i="27"/>
  <c r="AG904" i="27"/>
  <c r="AF905" i="27"/>
  <c r="AG905" i="27"/>
  <c r="AF906" i="27"/>
  <c r="AG906" i="27"/>
  <c r="AF907" i="27"/>
  <c r="AG907" i="27"/>
  <c r="AF908" i="27"/>
  <c r="AG908" i="27"/>
  <c r="AF909" i="27"/>
  <c r="AG909" i="27"/>
  <c r="AF910" i="27"/>
  <c r="AG910" i="27"/>
  <c r="AF911" i="27"/>
  <c r="AG911" i="27"/>
  <c r="AF912" i="27"/>
  <c r="AG912" i="27"/>
  <c r="AF913" i="27"/>
  <c r="AG913" i="27"/>
  <c r="AF914" i="27"/>
  <c r="AG914" i="27"/>
  <c r="AF915" i="27"/>
  <c r="AG915" i="27"/>
  <c r="AF916" i="27"/>
  <c r="AG916" i="27"/>
  <c r="AF917" i="27"/>
  <c r="AG917" i="27"/>
  <c r="AF918" i="27"/>
  <c r="AG918" i="27"/>
  <c r="AF919" i="27"/>
  <c r="AG919" i="27"/>
  <c r="AF920" i="27"/>
  <c r="AG920" i="27"/>
  <c r="AF921" i="27"/>
  <c r="AG921" i="27"/>
  <c r="AF922" i="27"/>
  <c r="AG922" i="27"/>
  <c r="AF923" i="27"/>
  <c r="AG923" i="27"/>
  <c r="AF924" i="27"/>
  <c r="AG924" i="27"/>
  <c r="AF925" i="27"/>
  <c r="AG925" i="27"/>
  <c r="AF926" i="27"/>
  <c r="AG926" i="27"/>
  <c r="AF927" i="27"/>
  <c r="AG927" i="27"/>
  <c r="AF928" i="27"/>
  <c r="AG928" i="27"/>
  <c r="AF929" i="27"/>
  <c r="AG929" i="27"/>
  <c r="AF930" i="27"/>
  <c r="AG930" i="27"/>
  <c r="AF931" i="27"/>
  <c r="AG931" i="27"/>
  <c r="AF932" i="27"/>
  <c r="AG932" i="27"/>
  <c r="AF933" i="27"/>
  <c r="AG933" i="27"/>
  <c r="AF934" i="27"/>
  <c r="AG934" i="27"/>
  <c r="AF935" i="27"/>
  <c r="AG935" i="27"/>
  <c r="AF936" i="27"/>
  <c r="AG936" i="27"/>
  <c r="AF937" i="27"/>
  <c r="AG937" i="27"/>
  <c r="AF938" i="27"/>
  <c r="AG938" i="27"/>
  <c r="AF939" i="27"/>
  <c r="AG939" i="27"/>
  <c r="AF940" i="27"/>
  <c r="AG940" i="27"/>
  <c r="AF941" i="27"/>
  <c r="AG941" i="27"/>
  <c r="AF942" i="27"/>
  <c r="AG942" i="27"/>
  <c r="AF943" i="27"/>
  <c r="AG943" i="27"/>
  <c r="AF944" i="27"/>
  <c r="AG944" i="27"/>
  <c r="AF945" i="27"/>
  <c r="AG945" i="27"/>
  <c r="AF946" i="27"/>
  <c r="AG946" i="27"/>
  <c r="AF947" i="27"/>
  <c r="AG947" i="27"/>
  <c r="AF948" i="27"/>
  <c r="AG948" i="27"/>
  <c r="AF949" i="27"/>
  <c r="AG949" i="27"/>
  <c r="AF950" i="27"/>
  <c r="AG950" i="27"/>
  <c r="AF951" i="27"/>
  <c r="AG951" i="27"/>
  <c r="AF952" i="27"/>
  <c r="AG952" i="27"/>
  <c r="AF953" i="27"/>
  <c r="AG953" i="27"/>
  <c r="AF954" i="27"/>
  <c r="AG954" i="27"/>
  <c r="AF955" i="27"/>
  <c r="AG955" i="27"/>
  <c r="AF956" i="27"/>
  <c r="AG956" i="27"/>
  <c r="AF957" i="27"/>
  <c r="AG957" i="27"/>
  <c r="AF958" i="27"/>
  <c r="AG958" i="27"/>
  <c r="AF959" i="27"/>
  <c r="AG959" i="27"/>
  <c r="AF960" i="27"/>
  <c r="AG960" i="27"/>
  <c r="AF961" i="27"/>
  <c r="AG961" i="27"/>
  <c r="AF962" i="27"/>
  <c r="AG962" i="27"/>
  <c r="AF963" i="27"/>
  <c r="AG963" i="27"/>
  <c r="AF964" i="27"/>
  <c r="AG964" i="27"/>
  <c r="AF965" i="27"/>
  <c r="AG965" i="27"/>
  <c r="AF966" i="27"/>
  <c r="AG966" i="27"/>
  <c r="AF967" i="27"/>
  <c r="AG967" i="27"/>
  <c r="AF968" i="27"/>
  <c r="AG968" i="27"/>
  <c r="AF969" i="27"/>
  <c r="AG969" i="27"/>
  <c r="AF970" i="27"/>
  <c r="AG970" i="27"/>
  <c r="AF971" i="27"/>
  <c r="AG971" i="27"/>
  <c r="AF972" i="27"/>
  <c r="AG972" i="27"/>
  <c r="AF973" i="27"/>
  <c r="AG973" i="27"/>
  <c r="AF974" i="27"/>
  <c r="AG974" i="27"/>
  <c r="AF975" i="27"/>
  <c r="AG975" i="27"/>
  <c r="AF976" i="27"/>
  <c r="AG976" i="27"/>
  <c r="AF977" i="27"/>
  <c r="AG977" i="27"/>
  <c r="AF978" i="27"/>
  <c r="AG978" i="27"/>
  <c r="AF979" i="27"/>
  <c r="AG979" i="27"/>
  <c r="AF980" i="27"/>
  <c r="AG980" i="27"/>
  <c r="AF981" i="27"/>
  <c r="AG981" i="27"/>
  <c r="AF982" i="27"/>
  <c r="AG982" i="27"/>
  <c r="AF983" i="27"/>
  <c r="AG983" i="27"/>
  <c r="AF984" i="27"/>
  <c r="AG984" i="27"/>
  <c r="AF985" i="27"/>
  <c r="AG985" i="27"/>
  <c r="AF986" i="27"/>
  <c r="AG986" i="27"/>
  <c r="AF987" i="27"/>
  <c r="AG987" i="27"/>
  <c r="AF988" i="27"/>
  <c r="AG988" i="27"/>
  <c r="AF989" i="27"/>
  <c r="AG989" i="27"/>
  <c r="AF990" i="27"/>
  <c r="AG990" i="27"/>
  <c r="AF991" i="27"/>
  <c r="AG991" i="27"/>
  <c r="AF992" i="27"/>
  <c r="AG992" i="27"/>
  <c r="AF993" i="27"/>
  <c r="AG993" i="27"/>
  <c r="AF994" i="27"/>
  <c r="AG994" i="27"/>
  <c r="AF995" i="27"/>
  <c r="AG995" i="27"/>
  <c r="AF996" i="27"/>
  <c r="AG996" i="27"/>
  <c r="AF997" i="27"/>
  <c r="AG997" i="27"/>
  <c r="AF998" i="27"/>
  <c r="AG998" i="27"/>
  <c r="AF999" i="27"/>
  <c r="AG999" i="27"/>
  <c r="AF1000" i="27"/>
  <c r="AG1000" i="27"/>
  <c r="AF1001" i="27"/>
  <c r="AG1001" i="27"/>
  <c r="AF1002" i="27"/>
  <c r="AG1002" i="27"/>
  <c r="AF1003" i="27"/>
  <c r="AG1003" i="27"/>
  <c r="AF1004" i="27"/>
  <c r="AG1004" i="27"/>
  <c r="AF1005" i="27"/>
  <c r="AG1005" i="27"/>
  <c r="AF1006" i="27"/>
  <c r="AG1006" i="27"/>
  <c r="AF1007" i="27"/>
  <c r="AG1007" i="27"/>
  <c r="AF1008" i="27"/>
  <c r="AG1008" i="27"/>
  <c r="AF1009" i="27"/>
  <c r="AG1009" i="27"/>
  <c r="AF1010" i="27"/>
  <c r="AG1010" i="27"/>
  <c r="AF1011" i="27"/>
  <c r="AG1011" i="27"/>
  <c r="AF1012" i="27"/>
  <c r="AG1012" i="27"/>
  <c r="AF1013" i="27"/>
  <c r="AG1013" i="27"/>
  <c r="AF1014" i="27"/>
  <c r="AG1014" i="27"/>
  <c r="AF1015" i="27"/>
  <c r="AG1015" i="27"/>
  <c r="AF1016" i="27"/>
  <c r="AG1016" i="27"/>
  <c r="AF1017" i="27"/>
  <c r="AG1017" i="27"/>
  <c r="AF1018" i="27"/>
  <c r="AG1018" i="27"/>
  <c r="AF1019" i="27"/>
  <c r="AG1019" i="27"/>
  <c r="AF1020" i="27"/>
  <c r="AG1020" i="27"/>
  <c r="AF1021" i="27"/>
  <c r="AG1021" i="27"/>
  <c r="AF1022" i="27"/>
  <c r="AG1022" i="27"/>
  <c r="AF1023" i="27"/>
  <c r="AG1023" i="27"/>
  <c r="AF1024" i="27"/>
  <c r="AG1024" i="27"/>
  <c r="AF1025" i="27"/>
  <c r="AG1025" i="27"/>
  <c r="AF1026" i="27"/>
  <c r="AG1026" i="27"/>
  <c r="AF1027" i="27"/>
  <c r="AG1027" i="27"/>
  <c r="AF1028" i="27"/>
  <c r="AG1028" i="27"/>
  <c r="AF1029" i="27"/>
  <c r="AG1029" i="27"/>
  <c r="AF1030" i="27"/>
  <c r="AG1030" i="27"/>
  <c r="AF1031" i="27"/>
  <c r="AG1031" i="27"/>
  <c r="AF1032" i="27"/>
  <c r="AG1032" i="27"/>
  <c r="AF1033" i="27"/>
  <c r="AG1033" i="27"/>
  <c r="AF1034" i="27"/>
  <c r="AG1034" i="27"/>
  <c r="AF1035" i="27"/>
  <c r="AG1035" i="27"/>
  <c r="AF1036" i="27"/>
  <c r="AG1036" i="27"/>
  <c r="AF1037" i="27"/>
  <c r="AG1037" i="27"/>
  <c r="AF1038" i="27"/>
  <c r="AG1038" i="27"/>
  <c r="AF1039" i="27"/>
  <c r="AG1039" i="27"/>
  <c r="AF1040" i="27"/>
  <c r="AG1040" i="27"/>
  <c r="AF1041" i="27"/>
  <c r="AG1041" i="27"/>
  <c r="AF1042" i="27"/>
  <c r="AG1042" i="27"/>
  <c r="AF1043" i="27"/>
  <c r="AG1043" i="27"/>
  <c r="AF1044" i="27"/>
  <c r="AG1044" i="27"/>
  <c r="AF1045" i="27"/>
  <c r="AG1045" i="27"/>
  <c r="AF1046" i="27"/>
  <c r="AG1046" i="27"/>
  <c r="AF1047" i="27"/>
  <c r="AG1047" i="27"/>
  <c r="AF1048" i="27"/>
  <c r="AG1048" i="27"/>
  <c r="AF1049" i="27"/>
  <c r="AG1049" i="27"/>
  <c r="AF1050" i="27"/>
  <c r="AG1050" i="27"/>
  <c r="AF1051" i="27"/>
  <c r="AG1051" i="27"/>
  <c r="AF1052" i="27"/>
  <c r="AG1052" i="27"/>
  <c r="AF1053" i="27"/>
  <c r="AG1053" i="27"/>
  <c r="AF1054" i="27"/>
  <c r="AG1054" i="27"/>
  <c r="AF1055" i="27"/>
  <c r="AG1055" i="27"/>
  <c r="AF1056" i="27"/>
  <c r="AG1056" i="27"/>
  <c r="AF1057" i="27"/>
  <c r="AG1057" i="27"/>
  <c r="AF1058" i="27"/>
  <c r="AG1058" i="27"/>
  <c r="AF1059" i="27"/>
  <c r="AG1059" i="27"/>
  <c r="AF1060" i="27"/>
  <c r="AG1060" i="27"/>
  <c r="AF1061" i="27"/>
  <c r="AG1061" i="27"/>
  <c r="AF1062" i="27"/>
  <c r="AG1062" i="27"/>
  <c r="AF1063" i="27"/>
  <c r="AG1063" i="27"/>
  <c r="AF1064" i="27"/>
  <c r="AG1064" i="27"/>
  <c r="AF1065" i="27"/>
  <c r="AG1065" i="27"/>
  <c r="AF1066" i="27"/>
  <c r="AG1066" i="27"/>
  <c r="AF1067" i="27"/>
  <c r="AG1067" i="27"/>
  <c r="AF1068" i="27"/>
  <c r="AG1068" i="27"/>
  <c r="AF1069" i="27"/>
  <c r="AG1069" i="27"/>
  <c r="AF1070" i="27"/>
  <c r="AG1070" i="27"/>
  <c r="AF1071" i="27"/>
  <c r="AG1071" i="27"/>
  <c r="AF1072" i="27"/>
  <c r="AG1072" i="27"/>
  <c r="AF1073" i="27"/>
  <c r="AG1073" i="27"/>
  <c r="AF1074" i="27"/>
  <c r="AG1074" i="27"/>
  <c r="AF1075" i="27"/>
  <c r="AG1075" i="27"/>
  <c r="AF1076" i="27"/>
  <c r="AG1076" i="27"/>
  <c r="AF1077" i="27"/>
  <c r="AG1077" i="27"/>
  <c r="AF1078" i="27"/>
  <c r="AG1078" i="27"/>
  <c r="AF1079" i="27"/>
  <c r="AG1079" i="27"/>
  <c r="AF1080" i="27"/>
  <c r="AG1080" i="27"/>
  <c r="AF1081" i="27"/>
  <c r="AG1081" i="27"/>
  <c r="AF1082" i="27"/>
  <c r="AG1082" i="27"/>
  <c r="AF1083" i="27"/>
  <c r="AG1083" i="27"/>
  <c r="AF1084" i="27"/>
  <c r="AG1084" i="27"/>
  <c r="AF1085" i="27"/>
  <c r="AG1085" i="27"/>
  <c r="AF1086" i="27"/>
  <c r="AG1086" i="27"/>
  <c r="AF1087" i="27"/>
  <c r="AG1087" i="27"/>
  <c r="AF1088" i="27"/>
  <c r="AG1088" i="27"/>
  <c r="AF1089" i="27"/>
  <c r="AG1089" i="27"/>
  <c r="AF1090" i="27"/>
  <c r="AG1090" i="27"/>
  <c r="AF1091" i="27"/>
  <c r="AG1091" i="27"/>
  <c r="AF1092" i="27"/>
  <c r="AG1092" i="27"/>
  <c r="AF1093" i="27"/>
  <c r="AG1093" i="27"/>
  <c r="AF1094" i="27"/>
  <c r="AG1094" i="27"/>
  <c r="AF1095" i="27"/>
  <c r="AG1095" i="27"/>
  <c r="AF1096" i="27"/>
  <c r="AG1096" i="27"/>
  <c r="AF1097" i="27"/>
  <c r="AG1097" i="27"/>
  <c r="AF1098" i="27"/>
  <c r="AG1098" i="27"/>
  <c r="AF1099" i="27"/>
  <c r="AG1099" i="27"/>
  <c r="AF1100" i="27"/>
  <c r="AG1100" i="27"/>
  <c r="AF1101" i="27"/>
  <c r="AG1101" i="27"/>
  <c r="AF1102" i="27"/>
  <c r="AG1102" i="27"/>
  <c r="AF1103" i="27"/>
  <c r="AG1103" i="27"/>
  <c r="AF1104" i="27"/>
  <c r="AG1104" i="27"/>
  <c r="AF1105" i="27"/>
  <c r="AG1105" i="27"/>
  <c r="AF1106" i="27"/>
  <c r="AG1106" i="27"/>
  <c r="AF1107" i="27"/>
  <c r="AG1107" i="27"/>
  <c r="AF1108" i="27"/>
  <c r="AG1108" i="27"/>
  <c r="AF1109" i="27"/>
  <c r="AG1109" i="27"/>
  <c r="AF1110" i="27"/>
  <c r="AG1110" i="27"/>
  <c r="AF1111" i="27"/>
  <c r="AG1111" i="27"/>
  <c r="AF1112" i="27"/>
  <c r="AG1112" i="27"/>
  <c r="AF1113" i="27"/>
  <c r="AG1113" i="27"/>
  <c r="AF1114" i="27"/>
  <c r="AG1114" i="27"/>
  <c r="AF1115" i="27"/>
  <c r="AG1115" i="27"/>
  <c r="AF1116" i="27"/>
  <c r="AG1116" i="27"/>
  <c r="AF1117" i="27"/>
  <c r="AG1117" i="27"/>
  <c r="AF1118" i="27"/>
  <c r="AG1118" i="27"/>
  <c r="AF1119" i="27"/>
  <c r="AG1119" i="27"/>
  <c r="AF1120" i="27"/>
  <c r="AG1120" i="27"/>
  <c r="AF1121" i="27"/>
  <c r="AG1121" i="27"/>
  <c r="AF1122" i="27"/>
  <c r="AG1122" i="27"/>
  <c r="AF1123" i="27"/>
  <c r="AG1123" i="27"/>
  <c r="AF1124" i="27"/>
  <c r="AG1124" i="27"/>
  <c r="AF1125" i="27"/>
  <c r="AG1125" i="27"/>
  <c r="AF1126" i="27"/>
  <c r="AG1126" i="27"/>
  <c r="AF1127" i="27"/>
  <c r="AG1127" i="27"/>
  <c r="AF1128" i="27"/>
  <c r="AG1128" i="27"/>
  <c r="AF1129" i="27"/>
  <c r="AG1129" i="27"/>
  <c r="AF1130" i="27"/>
  <c r="AG1130" i="27"/>
  <c r="AF1131" i="27"/>
  <c r="AG1131" i="27"/>
  <c r="AF1132" i="27"/>
  <c r="AG1132" i="27"/>
  <c r="AF1133" i="27"/>
  <c r="AG1133" i="27"/>
  <c r="AF1134" i="27"/>
  <c r="AG1134" i="27"/>
  <c r="AF1135" i="27"/>
  <c r="AG1135" i="27"/>
  <c r="AF1136" i="27"/>
  <c r="AG1136" i="27"/>
  <c r="AF1137" i="27"/>
  <c r="AG1137" i="27"/>
  <c r="AF1138" i="27"/>
  <c r="AG1138" i="27"/>
  <c r="AF1139" i="27"/>
  <c r="AG1139" i="27"/>
  <c r="AF1140" i="27"/>
  <c r="AG1140" i="27"/>
  <c r="AF1141" i="27"/>
  <c r="AG1141" i="27"/>
  <c r="AF1142" i="27"/>
  <c r="AG1142" i="27"/>
  <c r="AF1143" i="27"/>
  <c r="AG1143" i="27"/>
  <c r="AF1144" i="27"/>
  <c r="AG1144" i="27"/>
  <c r="AF1145" i="27"/>
  <c r="AG1145" i="27"/>
  <c r="AF1146" i="27"/>
  <c r="AG1146" i="27"/>
  <c r="AF1147" i="27"/>
  <c r="AG1147" i="27"/>
  <c r="AF1148" i="27"/>
  <c r="AG1148" i="27"/>
  <c r="AF1149" i="27"/>
  <c r="AG1149" i="27"/>
  <c r="AF1150" i="27"/>
  <c r="AG1150" i="27"/>
  <c r="AF1151" i="27"/>
  <c r="AG1151" i="27"/>
  <c r="AF1152" i="27"/>
  <c r="AG1152" i="27"/>
  <c r="AF1153" i="27"/>
  <c r="AG1153" i="27"/>
  <c r="AF1154" i="27"/>
  <c r="AG1154" i="27"/>
  <c r="AF1155" i="27"/>
  <c r="AG1155" i="27"/>
  <c r="AF1156" i="27"/>
  <c r="AG1156" i="27"/>
  <c r="AF1157" i="27"/>
  <c r="AG1157" i="27"/>
  <c r="AF1158" i="27"/>
  <c r="AG1158" i="27"/>
  <c r="AF1159" i="27"/>
  <c r="AG1159" i="27"/>
  <c r="AF1160" i="27"/>
  <c r="AG1160" i="27"/>
  <c r="AF1161" i="27"/>
  <c r="AG1161" i="27"/>
  <c r="AF1162" i="27"/>
  <c r="AG1162" i="27"/>
  <c r="AF1163" i="27"/>
  <c r="AG1163" i="27"/>
  <c r="AF1164" i="27"/>
  <c r="AG1164" i="27"/>
  <c r="AF1165" i="27"/>
  <c r="AG1165" i="27"/>
  <c r="AF1166" i="27"/>
  <c r="AG1166" i="27"/>
  <c r="AF1167" i="27"/>
  <c r="AG1167" i="27"/>
  <c r="AF1168" i="27"/>
  <c r="AG1168" i="27"/>
  <c r="AF1169" i="27"/>
  <c r="AG1169" i="27"/>
  <c r="AF1170" i="27"/>
  <c r="AG1170" i="27"/>
  <c r="AF1171" i="27"/>
  <c r="AG1171" i="27"/>
  <c r="AF1172" i="27"/>
  <c r="AG1172" i="27"/>
  <c r="AF1173" i="27"/>
  <c r="AG1173" i="27"/>
  <c r="AF1174" i="27"/>
  <c r="AG1174" i="27"/>
  <c r="AF1175" i="27"/>
  <c r="AG1175" i="27"/>
  <c r="AF1176" i="27"/>
  <c r="AG1176" i="27"/>
  <c r="AF1177" i="27"/>
  <c r="AG1177" i="27"/>
  <c r="AF1178" i="27"/>
  <c r="AG1178" i="27"/>
  <c r="AF1179" i="27"/>
  <c r="AG1179" i="27"/>
  <c r="AF1180" i="27"/>
  <c r="AG1180" i="27"/>
  <c r="AF1181" i="27"/>
  <c r="AG1181" i="27"/>
  <c r="AF1182" i="27"/>
  <c r="AG1182" i="27"/>
  <c r="AF1183" i="27"/>
  <c r="AG1183" i="27"/>
  <c r="AF1184" i="27"/>
  <c r="AG1184" i="27"/>
  <c r="AF1185" i="27"/>
  <c r="AG1185" i="27"/>
  <c r="AF1186" i="27"/>
  <c r="AG1186" i="27"/>
  <c r="AF1187" i="27"/>
  <c r="AG1187" i="27"/>
  <c r="AF1188" i="27"/>
  <c r="AG1188" i="27"/>
  <c r="AF1189" i="27"/>
  <c r="AG1189" i="27"/>
  <c r="AF1190" i="27"/>
  <c r="AG1190" i="27"/>
  <c r="AF1191" i="27"/>
  <c r="AG1191" i="27"/>
  <c r="AF1192" i="27"/>
  <c r="AG1192" i="27"/>
  <c r="AF1193" i="27"/>
  <c r="AG1193" i="27"/>
  <c r="AF1194" i="27"/>
  <c r="AG1194" i="27"/>
  <c r="AF1195" i="27"/>
  <c r="AG1195" i="27"/>
  <c r="AF1196" i="27"/>
  <c r="AG1196" i="27"/>
  <c r="AF1197" i="27"/>
  <c r="AG1197" i="27"/>
  <c r="AF1198" i="27"/>
  <c r="AG1198" i="27"/>
  <c r="AF1199" i="27"/>
  <c r="AG1199" i="27"/>
  <c r="AF1200" i="27"/>
  <c r="AG1200" i="27"/>
  <c r="AF1201" i="27"/>
  <c r="AG1201" i="27"/>
  <c r="AF1202" i="27"/>
  <c r="AG1202" i="27"/>
  <c r="AF1203" i="27"/>
  <c r="AG1203" i="27"/>
  <c r="AF1204" i="27"/>
  <c r="AG1204" i="27"/>
  <c r="AF1205" i="27"/>
  <c r="AG1205" i="27"/>
  <c r="AF1206" i="27"/>
  <c r="AG1206" i="27"/>
  <c r="AF1207" i="27"/>
  <c r="AG1207" i="27"/>
  <c r="AF1208" i="27"/>
  <c r="AG1208" i="27"/>
  <c r="AF1209" i="27"/>
  <c r="AG1209" i="27"/>
  <c r="AF1210" i="27"/>
  <c r="AG1210" i="27"/>
  <c r="AF1211" i="27"/>
  <c r="AG1211" i="27"/>
  <c r="AF1212" i="27"/>
  <c r="AG1212" i="27"/>
  <c r="AF1213" i="27"/>
  <c r="AG1213" i="27"/>
  <c r="AF1214" i="27"/>
  <c r="AG1214" i="27"/>
  <c r="AF1215" i="27"/>
  <c r="AG1215" i="27"/>
  <c r="AF1216" i="27"/>
  <c r="AG1216" i="27"/>
  <c r="AF1217" i="27"/>
  <c r="AG1217" i="27"/>
  <c r="AF1218" i="27"/>
  <c r="AG1218" i="27"/>
  <c r="AF1219" i="27"/>
  <c r="AG1219" i="27"/>
  <c r="AF1220" i="27"/>
  <c r="AG1220" i="27"/>
  <c r="AF1221" i="27"/>
  <c r="AG1221" i="27"/>
  <c r="AF1222" i="27"/>
  <c r="AG1222" i="27"/>
  <c r="AF1223" i="27"/>
  <c r="AG1223" i="27"/>
  <c r="AF1224" i="27"/>
  <c r="AG1224" i="27"/>
  <c r="AF1225" i="27"/>
  <c r="AG1225" i="27"/>
  <c r="AF1226" i="27"/>
  <c r="AG1226" i="27"/>
  <c r="AF1227" i="27"/>
  <c r="AG1227" i="27"/>
  <c r="AF1228" i="27"/>
  <c r="AG1228" i="27"/>
  <c r="AF1229" i="27"/>
  <c r="AG1229" i="27"/>
  <c r="AF1230" i="27"/>
  <c r="AG1230" i="27"/>
  <c r="AF1231" i="27"/>
  <c r="AG1231" i="27"/>
  <c r="AF1232" i="27"/>
  <c r="AG1232" i="27"/>
  <c r="AF1233" i="27"/>
  <c r="AG1233" i="27"/>
  <c r="AF1234" i="27"/>
  <c r="AG1234" i="27"/>
  <c r="AF1235" i="27"/>
  <c r="AG1235" i="27"/>
  <c r="AF1236" i="27"/>
  <c r="AG1236" i="27"/>
  <c r="AF1237" i="27"/>
  <c r="AG1237" i="27"/>
  <c r="AF1238" i="27"/>
  <c r="AG1238" i="27"/>
  <c r="AF1239" i="27"/>
  <c r="AG1239" i="27"/>
  <c r="AF1240" i="27"/>
  <c r="AG1240" i="27"/>
  <c r="AF1241" i="27"/>
  <c r="AG1241" i="27"/>
  <c r="AF1242" i="27"/>
  <c r="AG1242" i="27"/>
  <c r="AF1243" i="27"/>
  <c r="AG1243" i="27"/>
  <c r="AF1244" i="27"/>
  <c r="AG1244" i="27"/>
  <c r="AF1245" i="27"/>
  <c r="AG1245" i="27"/>
  <c r="AF1246" i="27"/>
  <c r="AG1246" i="27"/>
  <c r="AF1247" i="27"/>
  <c r="AG1247" i="27"/>
  <c r="AF1248" i="27"/>
  <c r="AG1248" i="27"/>
  <c r="AF1249" i="27"/>
  <c r="AG1249" i="27"/>
  <c r="AF1250" i="27"/>
  <c r="AG1250" i="27"/>
  <c r="AF1251" i="27"/>
  <c r="AG1251" i="27"/>
  <c r="AF1252" i="27"/>
  <c r="AG1252" i="27"/>
  <c r="AF1253" i="27"/>
  <c r="AG1253" i="27"/>
  <c r="AF1254" i="27"/>
  <c r="AG1254" i="27"/>
  <c r="AF1255" i="27"/>
  <c r="AG1255" i="27"/>
  <c r="AF1256" i="27"/>
  <c r="AG1256" i="27"/>
  <c r="AF1257" i="27"/>
  <c r="AG1257" i="27"/>
  <c r="AF1258" i="27"/>
  <c r="AG1258" i="27"/>
  <c r="AF1259" i="27"/>
  <c r="AG1259" i="27"/>
  <c r="AF1260" i="27"/>
  <c r="AG1260" i="27"/>
  <c r="AF1261" i="27"/>
  <c r="AG1261" i="27"/>
  <c r="AF1262" i="27"/>
  <c r="AG1262" i="27"/>
  <c r="AF1263" i="27"/>
  <c r="AG1263" i="27"/>
  <c r="AF1264" i="27"/>
  <c r="AG1264" i="27"/>
  <c r="AF1265" i="27"/>
  <c r="AG1265" i="27"/>
  <c r="AF1266" i="27"/>
  <c r="AG1266" i="27"/>
  <c r="AF1267" i="27"/>
  <c r="AG1267" i="27"/>
  <c r="AF1268" i="27"/>
  <c r="AG1268" i="27"/>
  <c r="AF1269" i="27"/>
  <c r="AG1269" i="27"/>
  <c r="AF1270" i="27"/>
  <c r="AG1270" i="27"/>
  <c r="AF1271" i="27"/>
  <c r="AG1271" i="27"/>
  <c r="AF1272" i="27"/>
  <c r="AG1272" i="27"/>
  <c r="AF1273" i="27"/>
  <c r="AG1273" i="27"/>
  <c r="AF1274" i="27"/>
  <c r="AG1274" i="27"/>
  <c r="AF1275" i="27"/>
  <c r="AG1275" i="27"/>
  <c r="AF1276" i="27"/>
  <c r="AG1276" i="27"/>
  <c r="AF1277" i="27"/>
  <c r="AG1277" i="27"/>
  <c r="AF1278" i="27"/>
  <c r="AG1278" i="27"/>
  <c r="AF1279" i="27"/>
  <c r="AG1279" i="27"/>
  <c r="AF1280" i="27"/>
  <c r="AG1280" i="27"/>
  <c r="AF1281" i="27"/>
  <c r="AG1281" i="27"/>
  <c r="AF1282" i="27"/>
  <c r="AG1282" i="27"/>
  <c r="AF1283" i="27"/>
  <c r="AG1283" i="27"/>
  <c r="AF1284" i="27"/>
  <c r="AG1284" i="27"/>
  <c r="AF1285" i="27"/>
  <c r="AG1285" i="27"/>
  <c r="AF1286" i="27"/>
  <c r="AG1286" i="27"/>
  <c r="AF1287" i="27"/>
  <c r="AG1287" i="27"/>
  <c r="AF1288" i="27"/>
  <c r="AG1288" i="27"/>
  <c r="AF1289" i="27"/>
  <c r="AG1289" i="27"/>
  <c r="AF1290" i="27"/>
  <c r="AG1290" i="27"/>
  <c r="AF1291" i="27"/>
  <c r="AG1291" i="27"/>
  <c r="AF1292" i="27"/>
  <c r="AG1292" i="27"/>
  <c r="AF1293" i="27"/>
  <c r="AG1293" i="27"/>
  <c r="AF1294" i="27"/>
  <c r="AG1294" i="27"/>
  <c r="AF1295" i="27"/>
  <c r="AG1295" i="27"/>
  <c r="AF1296" i="27"/>
  <c r="AG1296" i="27"/>
  <c r="AF1297" i="27"/>
  <c r="AG1297" i="27"/>
  <c r="AF1298" i="27"/>
  <c r="AG1298" i="27"/>
  <c r="AF1299" i="27"/>
  <c r="AG1299" i="27"/>
  <c r="AF1300" i="27"/>
  <c r="AG1300" i="27"/>
  <c r="AF1301" i="27"/>
  <c r="AG1301" i="27"/>
  <c r="AF1302" i="27"/>
  <c r="AG1302" i="27"/>
  <c r="AF1303" i="27"/>
  <c r="AG1303" i="27"/>
  <c r="AF1304" i="27"/>
  <c r="AG1304" i="27"/>
  <c r="AF1305" i="27"/>
  <c r="AG1305" i="27"/>
  <c r="AF1306" i="27"/>
  <c r="AG1306" i="27"/>
  <c r="AF1307" i="27"/>
  <c r="AG1307" i="27"/>
  <c r="AF1308" i="27"/>
  <c r="AG1308" i="27"/>
  <c r="AF1309" i="27"/>
  <c r="AG1309" i="27"/>
  <c r="AF1310" i="27"/>
  <c r="AG1310" i="27"/>
  <c r="AF1311" i="27"/>
  <c r="AG1311" i="27"/>
  <c r="AF1312" i="27"/>
  <c r="AG1312" i="27"/>
  <c r="AF1313" i="27"/>
  <c r="AG1313" i="27"/>
  <c r="AF1314" i="27"/>
  <c r="AG1314" i="27"/>
  <c r="AF1315" i="27"/>
  <c r="AG1315" i="27"/>
  <c r="AF1316" i="27"/>
  <c r="AG1316" i="27"/>
  <c r="AF1317" i="27"/>
  <c r="AG1317" i="27"/>
  <c r="AF1318" i="27"/>
  <c r="AG1318" i="27"/>
  <c r="AF1319" i="27"/>
  <c r="AG1319" i="27"/>
  <c r="AF1320" i="27"/>
  <c r="AG1320" i="27"/>
  <c r="AF1321" i="27"/>
  <c r="AG1321" i="27"/>
  <c r="AF1322" i="27"/>
  <c r="AG1322" i="27"/>
  <c r="AF1323" i="27"/>
  <c r="AG1323" i="27"/>
  <c r="AF1324" i="27"/>
  <c r="AG1324" i="27"/>
  <c r="AF1325" i="27"/>
  <c r="AG1325" i="27"/>
  <c r="AF1326" i="27"/>
  <c r="AG1326" i="27"/>
  <c r="AF1327" i="27"/>
  <c r="AG1327" i="27"/>
  <c r="AF1328" i="27"/>
  <c r="AG1328" i="27"/>
  <c r="AF1329" i="27"/>
  <c r="AG1329" i="27"/>
  <c r="AF2" i="27"/>
  <c r="AG2" i="27"/>
  <c r="J234" i="11" l="1"/>
  <c r="J236" i="11" l="1"/>
  <c r="W103" i="6" l="1"/>
  <c r="X103" i="6"/>
  <c r="C4030" i="21"/>
  <c r="Z103" i="6" l="1"/>
  <c r="B24" i="11"/>
  <c r="E25" i="11"/>
  <c r="B23" i="11"/>
  <c r="B22" i="11"/>
  <c r="BB3852" i="21"/>
  <c r="BB3853" i="21" s="1"/>
  <c r="BB3855" i="21" s="1"/>
  <c r="E119" i="11"/>
  <c r="BB3854" i="21" l="1"/>
  <c r="E3" i="11" l="1"/>
  <c r="F10" i="12" l="1"/>
  <c r="K237" i="11"/>
  <c r="K236" i="11"/>
  <c r="N236" i="11" s="1"/>
  <c r="I157" i="6" s="1"/>
  <c r="K235" i="11"/>
  <c r="N235" i="11" s="1"/>
  <c r="K234" i="11"/>
  <c r="N234" i="11" s="1"/>
  <c r="J235" i="11"/>
  <c r="E116" i="11"/>
  <c r="E115" i="11"/>
  <c r="E114" i="11"/>
  <c r="P172" i="11"/>
  <c r="N173" i="11"/>
  <c r="L173" i="11"/>
  <c r="U175" i="11"/>
  <c r="M14" i="12" a="1"/>
  <c r="X67" i="7" l="1"/>
  <c r="W67" i="7"/>
  <c r="I122" i="5"/>
  <c r="I121" i="7"/>
  <c r="N237" i="11"/>
  <c r="I121" i="8" s="1"/>
  <c r="L234" i="11"/>
  <c r="L237" i="11"/>
  <c r="L235" i="11"/>
  <c r="L236" i="11"/>
  <c r="M14" i="12"/>
  <c r="Z67" i="7" l="1"/>
  <c r="L238" i="11"/>
  <c r="O37" i="39" l="1"/>
  <c r="A1" i="39" l="1"/>
  <c r="AH139" i="21" l="1"/>
  <c r="AG139" i="21"/>
  <c r="AF139" i="21"/>
  <c r="AE139" i="21"/>
  <c r="AD139" i="21"/>
  <c r="AC139" i="21"/>
  <c r="G15" i="40" l="1"/>
  <c r="T15" i="40"/>
  <c r="T13" i="40"/>
  <c r="G13" i="40"/>
  <c r="G8" i="40"/>
  <c r="R3" i="40"/>
  <c r="J3" i="40"/>
  <c r="D3" i="40"/>
  <c r="V3" i="40" l="1"/>
  <c r="F29" i="39"/>
  <c r="I26" i="40" s="1"/>
  <c r="M20" i="39"/>
  <c r="T22" i="40" s="1"/>
  <c r="F20" i="39"/>
  <c r="F17" i="39"/>
  <c r="G17" i="40" s="1"/>
  <c r="K22" i="39" l="1"/>
  <c r="G22" i="40"/>
  <c r="F18" i="39"/>
  <c r="M17" i="39" l="1"/>
  <c r="G19" i="40"/>
  <c r="G20" i="38"/>
  <c r="M18" i="39" l="1"/>
  <c r="T17" i="40"/>
  <c r="Z13" i="38"/>
  <c r="F30" i="39" l="1"/>
  <c r="T19" i="40"/>
  <c r="I9" i="38"/>
  <c r="I11" i="38"/>
  <c r="Z9" i="38"/>
  <c r="F31" i="39" l="1"/>
  <c r="D32" i="39" s="1"/>
  <c r="Q26" i="40"/>
  <c r="E3" i="38"/>
  <c r="M3" i="38"/>
  <c r="W3" i="38"/>
  <c r="AC3" i="38"/>
  <c r="N31" i="40" l="1"/>
  <c r="N29" i="40"/>
  <c r="B203" i="11" l="1"/>
  <c r="Q12" i="35" l="1"/>
  <c r="Q13" i="35" l="1"/>
  <c r="Q14" i="35" s="1"/>
  <c r="Q15" i="35" l="1"/>
  <c r="Q16" i="35" s="1"/>
  <c r="A243" i="11" l="1"/>
  <c r="Q458" i="11" s="1"/>
  <c r="D251" i="11"/>
  <c r="F179" i="11"/>
  <c r="A235" i="11"/>
  <c r="A245" i="11"/>
  <c r="AW458" i="11" s="1"/>
  <c r="F181" i="11"/>
  <c r="H251" i="11"/>
  <c r="A237" i="11"/>
  <c r="B251" i="11"/>
  <c r="AB10" i="5" s="1"/>
  <c r="A242" i="11"/>
  <c r="F178" i="11"/>
  <c r="A234" i="11"/>
  <c r="A244" i="11"/>
  <c r="AG458" i="11" s="1"/>
  <c r="F251" i="11"/>
  <c r="A236" i="11"/>
  <c r="F180" i="11"/>
  <c r="B205" i="11"/>
  <c r="Z275" i="11" l="1"/>
  <c r="AG457" i="11"/>
  <c r="K275" i="11"/>
  <c r="A458" i="11"/>
  <c r="A457" i="11"/>
  <c r="P275" i="11"/>
  <c r="AW457" i="11"/>
  <c r="U275" i="11"/>
  <c r="Q457" i="11"/>
  <c r="K139" i="7"/>
  <c r="K138" i="7"/>
  <c r="V179" i="11"/>
  <c r="K140" i="8"/>
  <c r="K139" i="8"/>
  <c r="K138" i="8"/>
  <c r="K140" i="7"/>
  <c r="V180" i="11"/>
  <c r="V178" i="11"/>
  <c r="K141" i="8"/>
  <c r="V177" i="11"/>
  <c r="K174" i="6"/>
  <c r="K141" i="7"/>
  <c r="K175" i="6"/>
  <c r="K177" i="6"/>
  <c r="K176" i="6"/>
  <c r="AB10" i="8"/>
  <c r="AB10" i="6"/>
  <c r="AB148" i="6"/>
  <c r="AB112" i="5"/>
  <c r="AA148" i="6" l="1"/>
  <c r="AA112" i="5"/>
  <c r="S112" i="5" s="1"/>
  <c r="V176" i="11"/>
  <c r="AA10" i="6"/>
  <c r="AF112" i="5"/>
  <c r="AF148" i="6"/>
  <c r="AD148" i="6"/>
  <c r="AE148" i="6"/>
  <c r="AD112" i="5"/>
  <c r="AE112" i="5"/>
  <c r="W135" i="6"/>
  <c r="W120" i="6"/>
  <c r="Q134" i="6"/>
  <c r="X121" i="6"/>
  <c r="X132" i="6"/>
  <c r="X134" i="6"/>
  <c r="W134" i="6"/>
  <c r="Q133" i="6"/>
  <c r="Q135" i="6"/>
  <c r="W116" i="6"/>
  <c r="X116" i="6"/>
  <c r="W117" i="6"/>
  <c r="X118" i="6"/>
  <c r="X135" i="6"/>
  <c r="X117" i="6"/>
  <c r="X133" i="6"/>
  <c r="W121" i="6"/>
  <c r="Q132" i="6"/>
  <c r="X119" i="6"/>
  <c r="W119" i="6"/>
  <c r="W118" i="6"/>
  <c r="X120" i="6"/>
  <c r="W132" i="6"/>
  <c r="W133" i="6"/>
  <c r="S133" i="6" l="1"/>
  <c r="S132" i="6"/>
  <c r="Q116" i="6"/>
  <c r="E13" i="36" l="1"/>
  <c r="G242" i="11" l="1"/>
  <c r="AB67" i="5"/>
  <c r="AI112" i="5"/>
  <c r="J242" i="11" l="1"/>
  <c r="M242" i="11" s="1"/>
  <c r="F242" i="11"/>
  <c r="AF67" i="5"/>
  <c r="AA67" i="5"/>
  <c r="AD67" i="5"/>
  <c r="AE67" i="5"/>
  <c r="Y67" i="5"/>
  <c r="AI67" i="5"/>
  <c r="Y112" i="5"/>
  <c r="E5063" i="21" l="1"/>
  <c r="E5057" i="21" l="1"/>
  <c r="AB19" i="36"/>
  <c r="E5078" i="21"/>
  <c r="E5068" i="21"/>
  <c r="B21" i="11"/>
  <c r="J4007" i="21" l="1"/>
  <c r="J4008" i="21"/>
  <c r="J4009" i="21"/>
  <c r="J4010" i="21"/>
  <c r="J4011" i="21"/>
  <c r="J4012" i="21"/>
  <c r="J4013" i="21"/>
  <c r="J4014" i="21"/>
  <c r="B19" i="11"/>
  <c r="B20" i="11"/>
  <c r="AB24" i="36" l="1"/>
  <c r="E5053" i="21" l="1"/>
  <c r="E5054" i="21"/>
  <c r="E5055" i="21"/>
  <c r="E5056" i="21"/>
  <c r="E5058" i="21"/>
  <c r="E5059" i="21"/>
  <c r="E5060" i="21"/>
  <c r="E5061" i="21"/>
  <c r="E5080" i="21"/>
  <c r="E5081" i="21"/>
  <c r="E5082" i="21"/>
  <c r="E5084" i="21"/>
  <c r="E5085" i="21"/>
  <c r="E5086" i="21"/>
  <c r="E5087" i="21"/>
  <c r="E5088" i="21"/>
  <c r="E5089" i="21"/>
  <c r="E5090" i="21"/>
  <c r="E5091" i="21"/>
  <c r="E5092" i="21"/>
  <c r="E5093" i="21"/>
  <c r="E5094" i="21"/>
  <c r="E5095" i="21"/>
  <c r="E5096" i="21"/>
  <c r="E5097" i="21"/>
  <c r="E5098" i="21"/>
  <c r="E5099" i="21"/>
  <c r="E5100" i="21"/>
  <c r="E5101" i="21"/>
  <c r="E5102" i="21"/>
  <c r="E5103" i="21"/>
  <c r="E5104" i="21"/>
  <c r="E5105" i="21"/>
  <c r="E5106" i="21"/>
  <c r="E5108" i="21"/>
  <c r="E5109" i="21"/>
  <c r="H5109" i="21" s="1"/>
  <c r="E5110" i="21"/>
  <c r="H5110" i="21" s="1"/>
  <c r="E5111" i="21"/>
  <c r="H5111" i="21" s="1"/>
  <c r="E5112" i="21"/>
  <c r="E5113" i="21"/>
  <c r="E5064" i="21"/>
  <c r="E5065" i="21"/>
  <c r="E5066" i="21"/>
  <c r="E5067" i="21"/>
  <c r="E5069" i="21"/>
  <c r="E5070" i="21"/>
  <c r="E5071" i="21"/>
  <c r="E5072" i="21"/>
  <c r="E5073" i="21"/>
  <c r="E5074" i="21"/>
  <c r="E5076" i="21"/>
  <c r="E5077" i="21"/>
  <c r="E5079" i="21"/>
  <c r="H5108" i="21" l="1"/>
  <c r="W67" i="5"/>
  <c r="X67" i="5"/>
  <c r="L19" i="36"/>
  <c r="R5" i="36"/>
  <c r="AD5" i="36"/>
  <c r="AN5" i="36"/>
  <c r="E5" i="36"/>
  <c r="S19" i="36"/>
  <c r="V19" i="36"/>
  <c r="AH19" i="36"/>
  <c r="AG10" i="36"/>
  <c r="Y10" i="36"/>
  <c r="T10" i="36"/>
  <c r="K10" i="36"/>
  <c r="E10" i="36"/>
  <c r="W31" i="35"/>
  <c r="N20" i="35"/>
  <c r="G19" i="35"/>
  <c r="R17" i="35"/>
  <c r="F13" i="35"/>
  <c r="U18" i="35" s="1"/>
  <c r="X36" i="36" a="1"/>
  <c r="J26" i="35" a="1"/>
  <c r="AP10" i="36" l="1"/>
  <c r="Z67" i="5"/>
  <c r="J27" i="35"/>
  <c r="AJ36" i="36"/>
  <c r="R18" i="35"/>
  <c r="R19" i="35" s="1"/>
  <c r="X36" i="36"/>
  <c r="O17" i="35"/>
  <c r="J26" i="35"/>
  <c r="P17" i="35"/>
  <c r="Q17" i="35" s="1"/>
  <c r="H19" i="34"/>
  <c r="D50" i="34"/>
  <c r="I33" i="34"/>
  <c r="H33" i="34"/>
  <c r="D27" i="34"/>
  <c r="D26" i="35" a="1"/>
  <c r="D26" i="35" l="1"/>
  <c r="P18" i="35"/>
  <c r="O18" i="35"/>
  <c r="AO19" i="36"/>
  <c r="S12" i="35"/>
  <c r="U12" i="35" s="1"/>
  <c r="L24" i="36"/>
  <c r="K44" i="34"/>
  <c r="T12" i="35" l="1"/>
  <c r="S13" i="35"/>
  <c r="U13" i="35" s="1"/>
  <c r="S24" i="36"/>
  <c r="L22" i="36"/>
  <c r="V24" i="36"/>
  <c r="J4979" i="21"/>
  <c r="J4980" i="21"/>
  <c r="J4981" i="21"/>
  <c r="J4982" i="21"/>
  <c r="J4983" i="21"/>
  <c r="J4984" i="21"/>
  <c r="J4985" i="21"/>
  <c r="J4986" i="21"/>
  <c r="J4987" i="21"/>
  <c r="J4988" i="21"/>
  <c r="J4989" i="21"/>
  <c r="J4990" i="21"/>
  <c r="J4991" i="21"/>
  <c r="J4992" i="21"/>
  <c r="J4993" i="21"/>
  <c r="J4994" i="21"/>
  <c r="J4995" i="21"/>
  <c r="J4996" i="21"/>
  <c r="J4997" i="21"/>
  <c r="J4998" i="21"/>
  <c r="J4999" i="21"/>
  <c r="J5000" i="21"/>
  <c r="J5001" i="21"/>
  <c r="J5002" i="21"/>
  <c r="J5003" i="21"/>
  <c r="J5004" i="21"/>
  <c r="J5005" i="21"/>
  <c r="J5006" i="21"/>
  <c r="J5007" i="21"/>
  <c r="J5008" i="21"/>
  <c r="J5009" i="21"/>
  <c r="J5010" i="21"/>
  <c r="J5011" i="21"/>
  <c r="J5012" i="21"/>
  <c r="J5013" i="21"/>
  <c r="J5014" i="21"/>
  <c r="J5015" i="21"/>
  <c r="J5016" i="21"/>
  <c r="J5017" i="21"/>
  <c r="J5018" i="21"/>
  <c r="J5019" i="21"/>
  <c r="J5020" i="21"/>
  <c r="J5021" i="21"/>
  <c r="J5022" i="21"/>
  <c r="J5023" i="21"/>
  <c r="J5024" i="21"/>
  <c r="J5025" i="21"/>
  <c r="J5026" i="21"/>
  <c r="J5027" i="21"/>
  <c r="J5028" i="21"/>
  <c r="J5029" i="21"/>
  <c r="J5030" i="21"/>
  <c r="J5031" i="21"/>
  <c r="J5032" i="21"/>
  <c r="J4978" i="21"/>
  <c r="P4980" i="21"/>
  <c r="G9" i="8"/>
  <c r="G9" i="7"/>
  <c r="G9" i="6"/>
  <c r="G9" i="5"/>
  <c r="E106" i="11"/>
  <c r="S26" i="36" l="1"/>
  <c r="T13" i="35"/>
  <c r="L26" i="36"/>
  <c r="V12" i="35"/>
  <c r="L29" i="36" s="1"/>
  <c r="S22" i="36"/>
  <c r="S14" i="35"/>
  <c r="U14" i="35" s="1"/>
  <c r="H17" i="34" a="1"/>
  <c r="H17" i="34" s="1"/>
  <c r="V26" i="36" l="1"/>
  <c r="G38" i="34"/>
  <c r="H38" i="34" s="1"/>
  <c r="H26" i="34"/>
  <c r="V22" i="36"/>
  <c r="S15" i="35"/>
  <c r="AB22" i="36" s="1"/>
  <c r="V13" i="35"/>
  <c r="S29" i="36" s="1"/>
  <c r="T14" i="35"/>
  <c r="G35" i="34"/>
  <c r="H35" i="34" s="1"/>
  <c r="G36" i="34"/>
  <c r="H36" i="34" s="1"/>
  <c r="G34" i="34"/>
  <c r="H34" i="34" s="1"/>
  <c r="H27" i="34"/>
  <c r="H25" i="34"/>
  <c r="G37" i="34"/>
  <c r="H37" i="34" s="1"/>
  <c r="U15" i="35" l="1"/>
  <c r="T15" i="35"/>
  <c r="S16" i="35"/>
  <c r="AH24" i="36"/>
  <c r="V14" i="35"/>
  <c r="V29" i="36" s="1"/>
  <c r="I36" i="34"/>
  <c r="J36" i="34" s="1"/>
  <c r="I37" i="34"/>
  <c r="J37" i="34" s="1"/>
  <c r="I34" i="34"/>
  <c r="J34" i="34" s="1"/>
  <c r="I38" i="34"/>
  <c r="K38" i="34" s="1"/>
  <c r="I35" i="34"/>
  <c r="J35" i="34" s="1"/>
  <c r="U16" i="35" l="1"/>
  <c r="AB26" i="36"/>
  <c r="T16" i="35"/>
  <c r="S17" i="35"/>
  <c r="AO24" i="36"/>
  <c r="S11" i="35"/>
  <c r="AH22" i="36"/>
  <c r="V15" i="35"/>
  <c r="AB29" i="36" s="1"/>
  <c r="J38" i="34"/>
  <c r="K36" i="34"/>
  <c r="K34" i="34"/>
  <c r="K37" i="34"/>
  <c r="K35" i="34"/>
  <c r="D114" i="5" a="1"/>
  <c r="D114" i="5" s="1"/>
  <c r="D150" i="6" a="1"/>
  <c r="D150" i="6" s="1"/>
  <c r="U17" i="35" l="1"/>
  <c r="AO26" i="36" s="1"/>
  <c r="T17" i="35"/>
  <c r="T18" i="35" s="1"/>
  <c r="AH26" i="36"/>
  <c r="S18" i="35"/>
  <c r="AO22" i="36"/>
  <c r="V16" i="35"/>
  <c r="AH29" i="36" s="1"/>
  <c r="C5088" i="21"/>
  <c r="C5087" i="21"/>
  <c r="C5086" i="21"/>
  <c r="C5085" i="21"/>
  <c r="C5067" i="21"/>
  <c r="C5066" i="21"/>
  <c r="C5065" i="21"/>
  <c r="E17" i="11" l="1"/>
  <c r="E18" i="11"/>
  <c r="E19" i="11"/>
  <c r="E23" i="11"/>
  <c r="E16" i="11"/>
  <c r="M3900" i="21"/>
  <c r="E118" i="11"/>
  <c r="V17" i="35"/>
  <c r="AO29" i="36" s="1"/>
  <c r="H34" i="36"/>
  <c r="M11" i="12"/>
  <c r="C145" i="5" l="1"/>
  <c r="C181" i="6"/>
  <c r="C145" i="7"/>
  <c r="C145" i="8"/>
  <c r="C33" i="12"/>
  <c r="C51" i="9"/>
  <c r="AD28" i="8" l="1" a="1"/>
  <c r="AD28" i="8" s="1"/>
  <c r="Y28" i="8"/>
  <c r="P3" i="4"/>
  <c r="B41" i="11" l="1"/>
  <c r="B42" i="11"/>
  <c r="B43" i="11"/>
  <c r="B44" i="11"/>
  <c r="B40" i="11"/>
  <c r="B45" i="11"/>
  <c r="B46" i="11"/>
  <c r="AM169" i="26" l="1"/>
  <c r="AL169" i="26"/>
  <c r="AK169" i="26"/>
  <c r="AJ169" i="26"/>
  <c r="AI169" i="26"/>
  <c r="AH169" i="26"/>
  <c r="AG169" i="26"/>
  <c r="AF169" i="26"/>
  <c r="AE169" i="26"/>
  <c r="AD169" i="26"/>
  <c r="AC169" i="26"/>
  <c r="AB169" i="26"/>
  <c r="AA169" i="26" s="1"/>
  <c r="AM168" i="26"/>
  <c r="AM167" i="26" s="1"/>
  <c r="AL168" i="26"/>
  <c r="AK168" i="26"/>
  <c r="AK167" i="26" s="1"/>
  <c r="AJ168" i="26"/>
  <c r="AI168" i="26"/>
  <c r="AI167" i="26" s="1"/>
  <c r="AH168" i="26"/>
  <c r="AH167" i="26" s="1"/>
  <c r="AG168" i="26"/>
  <c r="AG167" i="26" s="1"/>
  <c r="AF168" i="26"/>
  <c r="AF167" i="26" s="1"/>
  <c r="AE168" i="26"/>
  <c r="AE167" i="26" s="1"/>
  <c r="AD168" i="26"/>
  <c r="AC168" i="26"/>
  <c r="AC167" i="26" s="1"/>
  <c r="AB168" i="26"/>
  <c r="AA168" i="26" s="1"/>
  <c r="AA166" i="26"/>
  <c r="AM165" i="26"/>
  <c r="AL165" i="26"/>
  <c r="AK165" i="26"/>
  <c r="AJ165" i="26"/>
  <c r="AI165" i="26"/>
  <c r="AH165" i="26"/>
  <c r="AG165" i="26"/>
  <c r="AF165" i="26"/>
  <c r="AE165" i="26"/>
  <c r="AD165" i="26"/>
  <c r="AC165" i="26"/>
  <c r="AB165" i="26"/>
  <c r="AA165" i="26" s="1"/>
  <c r="AM164" i="26"/>
  <c r="AL164" i="26"/>
  <c r="AK164" i="26"/>
  <c r="AJ164" i="26"/>
  <c r="AI164" i="26"/>
  <c r="AH164" i="26"/>
  <c r="AG164" i="26"/>
  <c r="AF164" i="26"/>
  <c r="AE164" i="26"/>
  <c r="AD164" i="26"/>
  <c r="AC164" i="26"/>
  <c r="AA164" i="26"/>
  <c r="AM162" i="26"/>
  <c r="AL162" i="26"/>
  <c r="AK162" i="26"/>
  <c r="AJ162" i="26"/>
  <c r="AI162" i="26"/>
  <c r="AH162" i="26"/>
  <c r="AG162" i="26"/>
  <c r="AF162" i="26"/>
  <c r="AE162" i="26"/>
  <c r="AD162" i="26"/>
  <c r="AC162" i="26"/>
  <c r="AB162" i="26"/>
  <c r="AM161" i="26"/>
  <c r="AL161" i="26"/>
  <c r="AK161" i="26"/>
  <c r="AJ161" i="26"/>
  <c r="AI161" i="26"/>
  <c r="AH161" i="26"/>
  <c r="AG161" i="26"/>
  <c r="AF161" i="26"/>
  <c r="AE161" i="26"/>
  <c r="AD161" i="26"/>
  <c r="AC161" i="26"/>
  <c r="AB161" i="26"/>
  <c r="AA161" i="26" s="1"/>
  <c r="AM158" i="26"/>
  <c r="AL158" i="26"/>
  <c r="AK158" i="26"/>
  <c r="AJ158" i="26"/>
  <c r="AI158" i="26"/>
  <c r="AH158" i="26"/>
  <c r="AG158" i="26"/>
  <c r="AF158" i="26"/>
  <c r="AE158" i="26"/>
  <c r="AD158" i="26"/>
  <c r="AC158" i="26"/>
  <c r="AB158" i="26"/>
  <c r="AM157" i="26"/>
  <c r="AL157" i="26"/>
  <c r="AK157" i="26"/>
  <c r="AJ157" i="26"/>
  <c r="AI157" i="26"/>
  <c r="AH157" i="26"/>
  <c r="AG157" i="26"/>
  <c r="AF157" i="26"/>
  <c r="AE157" i="26"/>
  <c r="AD157" i="26"/>
  <c r="AC157" i="26"/>
  <c r="AB157" i="26"/>
  <c r="AA157" i="26" s="1"/>
  <c r="J156" i="26"/>
  <c r="J152" i="26" s="1"/>
  <c r="J148" i="26" s="1"/>
  <c r="J144" i="26" s="1"/>
  <c r="J140" i="26" s="1"/>
  <c r="J136" i="26" s="1"/>
  <c r="J132" i="26" s="1"/>
  <c r="AM154" i="26"/>
  <c r="AL154" i="26"/>
  <c r="AK154" i="26"/>
  <c r="AJ154" i="26"/>
  <c r="AI154" i="26"/>
  <c r="AH154" i="26"/>
  <c r="AG154" i="26"/>
  <c r="AF154" i="26"/>
  <c r="AE154" i="26"/>
  <c r="AD154" i="26"/>
  <c r="AC154" i="26"/>
  <c r="AB154" i="26"/>
  <c r="AM153" i="26"/>
  <c r="AL153" i="26"/>
  <c r="AK153" i="26"/>
  <c r="AJ153" i="26"/>
  <c r="AI153" i="26"/>
  <c r="AH153" i="26"/>
  <c r="AG153" i="26"/>
  <c r="AF153" i="26"/>
  <c r="AE153" i="26"/>
  <c r="AD153" i="26"/>
  <c r="AC153" i="26"/>
  <c r="AB153" i="26"/>
  <c r="AA153" i="26" s="1"/>
  <c r="AM150" i="26"/>
  <c r="AL150" i="26"/>
  <c r="AK150" i="26"/>
  <c r="AJ150" i="26"/>
  <c r="AI150" i="26"/>
  <c r="AH150" i="26"/>
  <c r="AG150" i="26"/>
  <c r="AF150" i="26"/>
  <c r="AE150" i="26"/>
  <c r="AD150" i="26"/>
  <c r="AC150" i="26"/>
  <c r="AB150" i="26"/>
  <c r="Y150" i="26" s="1"/>
  <c r="AM149" i="26"/>
  <c r="AL149" i="26"/>
  <c r="AK149" i="26"/>
  <c r="AJ149" i="26"/>
  <c r="AI149" i="26"/>
  <c r="AH149" i="26"/>
  <c r="AG149" i="26"/>
  <c r="AF149" i="26"/>
  <c r="AE149" i="26"/>
  <c r="AD149" i="26"/>
  <c r="AB149" i="26"/>
  <c r="AA149" i="26" s="1"/>
  <c r="AM146" i="26"/>
  <c r="AL146" i="26"/>
  <c r="AK146" i="26"/>
  <c r="AJ146" i="26"/>
  <c r="AI146" i="26"/>
  <c r="AH146" i="26"/>
  <c r="AG146" i="26"/>
  <c r="AF146" i="26"/>
  <c r="AE146" i="26"/>
  <c r="AD146" i="26"/>
  <c r="AC146" i="26"/>
  <c r="AB146" i="26"/>
  <c r="AA146" i="26" s="1"/>
  <c r="AM145" i="26"/>
  <c r="AL145" i="26"/>
  <c r="AK145" i="26"/>
  <c r="AJ145" i="26"/>
  <c r="AI145" i="26"/>
  <c r="AH145" i="26"/>
  <c r="AG145" i="26"/>
  <c r="AF145" i="26"/>
  <c r="AE145" i="26"/>
  <c r="AD145" i="26"/>
  <c r="AC145" i="26"/>
  <c r="AB145" i="26"/>
  <c r="AA145" i="26" s="1"/>
  <c r="AM142" i="26"/>
  <c r="AL142" i="26"/>
  <c r="AK142" i="26"/>
  <c r="AJ142" i="26"/>
  <c r="AI142" i="26"/>
  <c r="AH142" i="26"/>
  <c r="AG142" i="26"/>
  <c r="AF142" i="26"/>
  <c r="AE142" i="26"/>
  <c r="AD142" i="26"/>
  <c r="AC142" i="26"/>
  <c r="AB142" i="26"/>
  <c r="AA142" i="26" s="1"/>
  <c r="AM141" i="26"/>
  <c r="AL141" i="26"/>
  <c r="AK141" i="26"/>
  <c r="AJ141" i="26"/>
  <c r="AI141" i="26"/>
  <c r="AH141" i="26"/>
  <c r="AG141" i="26"/>
  <c r="AF141" i="26"/>
  <c r="AE141" i="26"/>
  <c r="AD141" i="26"/>
  <c r="AC141" i="26"/>
  <c r="AB141" i="26"/>
  <c r="AA141" i="26" s="1"/>
  <c r="AM138" i="26"/>
  <c r="AL138" i="26"/>
  <c r="AK138" i="26"/>
  <c r="AJ138" i="26"/>
  <c r="AI138" i="26"/>
  <c r="AH138" i="26"/>
  <c r="AG138" i="26"/>
  <c r="AF138" i="26"/>
  <c r="AE138" i="26"/>
  <c r="AD138" i="26"/>
  <c r="AC138" i="26"/>
  <c r="AB138" i="26"/>
  <c r="AA138" i="26" s="1"/>
  <c r="K137" i="26"/>
  <c r="M136" i="26"/>
  <c r="M132" i="26" s="1"/>
  <c r="AM134" i="26"/>
  <c r="AL134" i="26"/>
  <c r="AK134" i="26"/>
  <c r="AJ134" i="26"/>
  <c r="AI134" i="26"/>
  <c r="AH134" i="26"/>
  <c r="AG134" i="26"/>
  <c r="AF134" i="26"/>
  <c r="AE134" i="26"/>
  <c r="AD134" i="26"/>
  <c r="AC134" i="26"/>
  <c r="AB134" i="26"/>
  <c r="K133" i="26"/>
  <c r="I133" i="26"/>
  <c r="AM130" i="26"/>
  <c r="AL130" i="26"/>
  <c r="AK130" i="26"/>
  <c r="AJ130" i="26"/>
  <c r="AI130" i="26"/>
  <c r="AH130" i="26"/>
  <c r="AG130" i="26"/>
  <c r="AF130" i="26"/>
  <c r="AE130" i="26"/>
  <c r="AD130" i="26"/>
  <c r="AC130" i="26"/>
  <c r="AB130" i="26"/>
  <c r="AA130" i="26" s="1"/>
  <c r="K129" i="26"/>
  <c r="I129" i="26"/>
  <c r="AL126" i="26"/>
  <c r="K125" i="26"/>
  <c r="I125" i="26"/>
  <c r="K121" i="26"/>
  <c r="I121" i="26"/>
  <c r="K117" i="26"/>
  <c r="I117" i="26"/>
  <c r="K113" i="26"/>
  <c r="I113" i="26"/>
  <c r="K109" i="26"/>
  <c r="I109" i="26"/>
  <c r="K105" i="26"/>
  <c r="I105" i="26"/>
  <c r="K101" i="26"/>
  <c r="I101" i="26"/>
  <c r="K97" i="26"/>
  <c r="I97" i="26"/>
  <c r="K93" i="26"/>
  <c r="I93" i="26"/>
  <c r="K89" i="26"/>
  <c r="I89" i="26"/>
  <c r="W88" i="26"/>
  <c r="V88" i="26"/>
  <c r="U88" i="26"/>
  <c r="T88" i="26"/>
  <c r="S88" i="26"/>
  <c r="R88" i="26"/>
  <c r="Q88" i="26"/>
  <c r="P88" i="26"/>
  <c r="O88" i="26"/>
  <c r="N88" i="26"/>
  <c r="AM86" i="26"/>
  <c r="AL86" i="26"/>
  <c r="AK86" i="26"/>
  <c r="AJ86" i="26"/>
  <c r="AI86" i="26"/>
  <c r="AH86" i="26"/>
  <c r="AG86" i="26"/>
  <c r="AF86" i="26"/>
  <c r="AE86" i="26"/>
  <c r="AD86" i="26"/>
  <c r="AC86" i="26"/>
  <c r="AB86" i="26"/>
  <c r="K85" i="26"/>
  <c r="I85" i="26"/>
  <c r="W84" i="26"/>
  <c r="V84" i="26"/>
  <c r="U84" i="26"/>
  <c r="T84" i="26"/>
  <c r="S84" i="26"/>
  <c r="R84" i="26"/>
  <c r="Q84" i="26"/>
  <c r="P84" i="26"/>
  <c r="O84" i="26"/>
  <c r="N84" i="26"/>
  <c r="AM82" i="26"/>
  <c r="AL82" i="26"/>
  <c r="AK82" i="26"/>
  <c r="AJ82" i="26"/>
  <c r="AI82" i="26"/>
  <c r="AH82" i="26"/>
  <c r="AG82" i="26"/>
  <c r="AF82" i="26"/>
  <c r="AE82" i="26"/>
  <c r="AD82" i="26"/>
  <c r="AC82" i="26"/>
  <c r="AB82" i="26"/>
  <c r="AA82" i="26" s="1"/>
  <c r="K81" i="26"/>
  <c r="I81" i="26"/>
  <c r="W80" i="26"/>
  <c r="V80" i="26"/>
  <c r="U80" i="26"/>
  <c r="T80" i="26"/>
  <c r="S80" i="26"/>
  <c r="R80" i="26"/>
  <c r="Q80" i="26"/>
  <c r="P80" i="26"/>
  <c r="O80" i="26"/>
  <c r="N80" i="26"/>
  <c r="AM78" i="26"/>
  <c r="AL78" i="26"/>
  <c r="AK78" i="26"/>
  <c r="AJ78" i="26"/>
  <c r="AI78" i="26"/>
  <c r="AH78" i="26"/>
  <c r="AG78" i="26"/>
  <c r="AF78" i="26"/>
  <c r="AE78" i="26"/>
  <c r="AD78" i="26"/>
  <c r="AC78" i="26"/>
  <c r="AB78" i="26"/>
  <c r="AA78" i="26" s="1"/>
  <c r="K77" i="26"/>
  <c r="I77" i="26"/>
  <c r="W76" i="26"/>
  <c r="V76" i="26"/>
  <c r="U76" i="26"/>
  <c r="T76" i="26"/>
  <c r="S76" i="26"/>
  <c r="R76" i="26"/>
  <c r="Q76" i="26"/>
  <c r="P76" i="26"/>
  <c r="O76" i="26"/>
  <c r="N76" i="26"/>
  <c r="AM74" i="26"/>
  <c r="AL74" i="26"/>
  <c r="AK74" i="26"/>
  <c r="AJ74" i="26"/>
  <c r="AI74" i="26"/>
  <c r="AH74" i="26"/>
  <c r="AG74" i="26"/>
  <c r="AF74" i="26"/>
  <c r="AE74" i="26"/>
  <c r="AD74" i="26"/>
  <c r="AC74" i="26"/>
  <c r="AB74" i="26"/>
  <c r="AA74" i="26" s="1"/>
  <c r="K73" i="26"/>
  <c r="I73" i="26"/>
  <c r="W72" i="26"/>
  <c r="V72" i="26"/>
  <c r="U72" i="26"/>
  <c r="T72" i="26"/>
  <c r="S72" i="26"/>
  <c r="R72" i="26"/>
  <c r="Q72" i="26"/>
  <c r="P72" i="26"/>
  <c r="O72" i="26"/>
  <c r="N72" i="26"/>
  <c r="AM70" i="26"/>
  <c r="AL70" i="26"/>
  <c r="AK70" i="26"/>
  <c r="AJ70" i="26"/>
  <c r="AI70" i="26"/>
  <c r="AH70" i="26"/>
  <c r="AG70" i="26"/>
  <c r="AF70" i="26"/>
  <c r="AE70" i="26"/>
  <c r="AD70" i="26"/>
  <c r="AC70" i="26"/>
  <c r="AB70" i="26"/>
  <c r="K69" i="26"/>
  <c r="I69" i="26"/>
  <c r="W68" i="26"/>
  <c r="V68" i="26"/>
  <c r="U68" i="26"/>
  <c r="T68" i="26"/>
  <c r="S68" i="26"/>
  <c r="R68" i="26"/>
  <c r="Q68" i="26"/>
  <c r="P68" i="26"/>
  <c r="O68" i="26"/>
  <c r="N68" i="26"/>
  <c r="AM66" i="26"/>
  <c r="AL66" i="26"/>
  <c r="AK66" i="26"/>
  <c r="AJ66" i="26"/>
  <c r="AI66" i="26"/>
  <c r="AH66" i="26"/>
  <c r="AG66" i="26"/>
  <c r="AF66" i="26"/>
  <c r="AE66" i="26"/>
  <c r="AD66" i="26"/>
  <c r="AC66" i="26"/>
  <c r="AB66" i="26"/>
  <c r="AA66" i="26" s="1"/>
  <c r="K65" i="26"/>
  <c r="I65" i="26"/>
  <c r="W64" i="26"/>
  <c r="V64" i="26"/>
  <c r="U64" i="26"/>
  <c r="T64" i="26"/>
  <c r="S64" i="26"/>
  <c r="R64" i="26"/>
  <c r="Q64" i="26"/>
  <c r="P64" i="26"/>
  <c r="O64" i="26"/>
  <c r="N64" i="26"/>
  <c r="AM62" i="26"/>
  <c r="AL62" i="26"/>
  <c r="AK62" i="26"/>
  <c r="AJ62" i="26"/>
  <c r="AI62" i="26"/>
  <c r="AH62" i="26"/>
  <c r="AG62" i="26"/>
  <c r="AF62" i="26"/>
  <c r="AE62" i="26"/>
  <c r="AD62" i="26"/>
  <c r="AC62" i="26"/>
  <c r="AB62" i="26"/>
  <c r="Y62" i="26" s="1"/>
  <c r="K61" i="26"/>
  <c r="I61" i="26"/>
  <c r="W60" i="26"/>
  <c r="V60" i="26"/>
  <c r="U60" i="26"/>
  <c r="T60" i="26"/>
  <c r="S60" i="26"/>
  <c r="R60" i="26"/>
  <c r="Q60" i="26"/>
  <c r="P60" i="26"/>
  <c r="O60" i="26"/>
  <c r="N60" i="26"/>
  <c r="AM58" i="26"/>
  <c r="AL58" i="26"/>
  <c r="AK58" i="26"/>
  <c r="AJ58" i="26"/>
  <c r="AI58" i="26"/>
  <c r="AH58" i="26"/>
  <c r="AG58" i="26"/>
  <c r="AF58" i="26"/>
  <c r="AE58" i="26"/>
  <c r="AD58" i="26"/>
  <c r="AC58" i="26"/>
  <c r="AB58" i="26"/>
  <c r="AA58" i="26" s="1"/>
  <c r="K57" i="26"/>
  <c r="I57" i="26"/>
  <c r="W56" i="26"/>
  <c r="V56" i="26"/>
  <c r="U56" i="26"/>
  <c r="T56" i="26"/>
  <c r="S56" i="26"/>
  <c r="R56" i="26"/>
  <c r="Q56" i="26"/>
  <c r="P56" i="26"/>
  <c r="O56" i="26"/>
  <c r="N56" i="26"/>
  <c r="AM54" i="26"/>
  <c r="AL54" i="26"/>
  <c r="AK54" i="26"/>
  <c r="AJ54" i="26"/>
  <c r="AI54" i="26"/>
  <c r="AH54" i="26"/>
  <c r="AG54" i="26"/>
  <c r="AF54" i="26"/>
  <c r="AE54" i="26"/>
  <c r="AD54" i="26"/>
  <c r="AC54" i="26"/>
  <c r="AB54" i="26"/>
  <c r="AA54" i="26" s="1"/>
  <c r="K53" i="26"/>
  <c r="I53" i="26"/>
  <c r="AK50" i="26"/>
  <c r="K49" i="26"/>
  <c r="I49" i="26"/>
  <c r="K45" i="26"/>
  <c r="I45" i="26"/>
  <c r="K41" i="26"/>
  <c r="I41" i="26"/>
  <c r="K37" i="26"/>
  <c r="I37" i="26"/>
  <c r="K33" i="26"/>
  <c r="I33" i="26"/>
  <c r="K29" i="26"/>
  <c r="I29" i="26"/>
  <c r="K25" i="26"/>
  <c r="I25" i="26"/>
  <c r="K21" i="26"/>
  <c r="I21" i="26"/>
  <c r="F5910" i="21"/>
  <c r="F5909" i="21"/>
  <c r="F5908" i="21"/>
  <c r="F5907" i="21"/>
  <c r="F5906" i="21"/>
  <c r="F5905" i="21"/>
  <c r="F5904" i="21"/>
  <c r="F5903" i="21"/>
  <c r="F5902" i="21"/>
  <c r="F5901" i="21"/>
  <c r="F5900" i="21"/>
  <c r="F5899" i="21"/>
  <c r="F5898" i="21"/>
  <c r="F5897" i="21"/>
  <c r="F5896" i="21"/>
  <c r="F5895" i="21"/>
  <c r="M3894" i="21"/>
  <c r="M3874" i="21"/>
  <c r="M3873" i="21"/>
  <c r="M3904" i="21"/>
  <c r="M3903" i="21"/>
  <c r="M3902" i="21"/>
  <c r="M3884" i="21"/>
  <c r="M3883" i="21"/>
  <c r="M3882" i="21"/>
  <c r="M3881" i="21"/>
  <c r="M3864" i="21"/>
  <c r="M3863" i="21"/>
  <c r="Z4294" i="21"/>
  <c r="AB4294" i="21" s="1"/>
  <c r="Z4293" i="21"/>
  <c r="T4293" i="21"/>
  <c r="V4293" i="21" s="1"/>
  <c r="R4293" i="21"/>
  <c r="P4293" i="21"/>
  <c r="N3918" i="21"/>
  <c r="M3918" i="21"/>
  <c r="N3917" i="21"/>
  <c r="M3917" i="21"/>
  <c r="N3916" i="21"/>
  <c r="M3916" i="21"/>
  <c r="N3915" i="21"/>
  <c r="M3915" i="21"/>
  <c r="N3914" i="21"/>
  <c r="M3914" i="21"/>
  <c r="N3913" i="21"/>
  <c r="M3913" i="21"/>
  <c r="N3912" i="21"/>
  <c r="M3912" i="21"/>
  <c r="N3911" i="21"/>
  <c r="M3911" i="21"/>
  <c r="N3910" i="21"/>
  <c r="M3910" i="21"/>
  <c r="T3909" i="21"/>
  <c r="N3909" i="21"/>
  <c r="M3909" i="21"/>
  <c r="T3908" i="21"/>
  <c r="N3908" i="21"/>
  <c r="M3908" i="21"/>
  <c r="T3907" i="21"/>
  <c r="N3907" i="21"/>
  <c r="M3907" i="21"/>
  <c r="T3906" i="21"/>
  <c r="N3906" i="21"/>
  <c r="T3905" i="21"/>
  <c r="N3905" i="21"/>
  <c r="T3904" i="21"/>
  <c r="N3904" i="21"/>
  <c r="T3903" i="21"/>
  <c r="N3903" i="21"/>
  <c r="T3902" i="21"/>
  <c r="N3902" i="21"/>
  <c r="T3901" i="21"/>
  <c r="N3901" i="21"/>
  <c r="M3901" i="21"/>
  <c r="T3900" i="21"/>
  <c r="N3900" i="21"/>
  <c r="T3899" i="21"/>
  <c r="N3899" i="21"/>
  <c r="M3899" i="21"/>
  <c r="T3898" i="21"/>
  <c r="N3898" i="21"/>
  <c r="M3898" i="21"/>
  <c r="T3897" i="21"/>
  <c r="N3897" i="21"/>
  <c r="M3897" i="21"/>
  <c r="T3896" i="21"/>
  <c r="N3896" i="21"/>
  <c r="T3895" i="21"/>
  <c r="N3895" i="21"/>
  <c r="T3894" i="21"/>
  <c r="N3894" i="21"/>
  <c r="T3893" i="21"/>
  <c r="N3893" i="21"/>
  <c r="M3893" i="21"/>
  <c r="T3892" i="21"/>
  <c r="N3892" i="21"/>
  <c r="M3892" i="21"/>
  <c r="T3891" i="21"/>
  <c r="N3891" i="21"/>
  <c r="M3891" i="21"/>
  <c r="T3890" i="21"/>
  <c r="N3890" i="21"/>
  <c r="M3890" i="21"/>
  <c r="T3889" i="21"/>
  <c r="N3889" i="21"/>
  <c r="M3889" i="21"/>
  <c r="T3888" i="21"/>
  <c r="N3888" i="21"/>
  <c r="M3888" i="21"/>
  <c r="T3887" i="21"/>
  <c r="N3887" i="21"/>
  <c r="M3887" i="21"/>
  <c r="T3886" i="21"/>
  <c r="N3886" i="21"/>
  <c r="M3886" i="21"/>
  <c r="T3885" i="21"/>
  <c r="N3885" i="21"/>
  <c r="M3885" i="21"/>
  <c r="T3884" i="21"/>
  <c r="N3884" i="21"/>
  <c r="T3883" i="21"/>
  <c r="N3883" i="21"/>
  <c r="T3882" i="21"/>
  <c r="N3882" i="21"/>
  <c r="T3881" i="21"/>
  <c r="N3881" i="21"/>
  <c r="T3880" i="21"/>
  <c r="N3880" i="21"/>
  <c r="M3880" i="21"/>
  <c r="T3879" i="21"/>
  <c r="N3879" i="21"/>
  <c r="M3879" i="21"/>
  <c r="T3878" i="21"/>
  <c r="N3878" i="21"/>
  <c r="M3878" i="21"/>
  <c r="T3877" i="21"/>
  <c r="N3877" i="21"/>
  <c r="M3877" i="21"/>
  <c r="T3876" i="21"/>
  <c r="N3876" i="21"/>
  <c r="M3876" i="21"/>
  <c r="T3875" i="21"/>
  <c r="N3875" i="21"/>
  <c r="M3875" i="21"/>
  <c r="T3874" i="21"/>
  <c r="N3874" i="21"/>
  <c r="T3873" i="21"/>
  <c r="N3873" i="21"/>
  <c r="T3872" i="21"/>
  <c r="N3872" i="21"/>
  <c r="M3872" i="21"/>
  <c r="T3871" i="21"/>
  <c r="N3871" i="21"/>
  <c r="M3871" i="21"/>
  <c r="T3870" i="21"/>
  <c r="N3870" i="21"/>
  <c r="M3870" i="21"/>
  <c r="T3869" i="21"/>
  <c r="N3869" i="21"/>
  <c r="M3869" i="21"/>
  <c r="T3868" i="21"/>
  <c r="N3868" i="21"/>
  <c r="M3868" i="21"/>
  <c r="T3867" i="21"/>
  <c r="N3867" i="21"/>
  <c r="M3867" i="21"/>
  <c r="T3866" i="21"/>
  <c r="N3866" i="21"/>
  <c r="T3865" i="21"/>
  <c r="N3865" i="21"/>
  <c r="T3864" i="21"/>
  <c r="N3864" i="21"/>
  <c r="T3863" i="21"/>
  <c r="N3863" i="21"/>
  <c r="T3862" i="21"/>
  <c r="N3862" i="21"/>
  <c r="M3862" i="21"/>
  <c r="T3861" i="21"/>
  <c r="N3861" i="21"/>
  <c r="M3861" i="21"/>
  <c r="T3860" i="21"/>
  <c r="N3860" i="21"/>
  <c r="M3860" i="21"/>
  <c r="E15" i="21"/>
  <c r="Q91" i="15"/>
  <c r="O62" i="15"/>
  <c r="O30" i="38" s="1"/>
  <c r="G62" i="15"/>
  <c r="O61" i="15"/>
  <c r="M57" i="15"/>
  <c r="G54" i="15"/>
  <c r="M51" i="15"/>
  <c r="G46" i="15"/>
  <c r="O37" i="15"/>
  <c r="O19" i="15"/>
  <c r="I13" i="38" s="1"/>
  <c r="M18" i="15"/>
  <c r="W17" i="14"/>
  <c r="N34" i="12"/>
  <c r="M22" i="12"/>
  <c r="M21" i="12"/>
  <c r="L21" i="12"/>
  <c r="M18" i="12"/>
  <c r="F18" i="12"/>
  <c r="D18" i="12"/>
  <c r="G201" i="11" s="1"/>
  <c r="M17" i="12"/>
  <c r="M16" i="12"/>
  <c r="M13" i="12"/>
  <c r="M12" i="12"/>
  <c r="CF429" i="11"/>
  <c r="CE429" i="11"/>
  <c r="CD429" i="11"/>
  <c r="CC429" i="11"/>
  <c r="CB429" i="11"/>
  <c r="CA429" i="11"/>
  <c r="BZ429" i="11"/>
  <c r="BY429" i="11"/>
  <c r="BX429" i="11"/>
  <c r="BW429" i="11"/>
  <c r="BV429" i="11"/>
  <c r="BU429" i="11"/>
  <c r="BT429" i="11"/>
  <c r="BS429" i="11"/>
  <c r="BR429" i="11"/>
  <c r="BQ429" i="11"/>
  <c r="BP429" i="11"/>
  <c r="BO429" i="11"/>
  <c r="BN429" i="11"/>
  <c r="BM429" i="11"/>
  <c r="BL429" i="11"/>
  <c r="BK429" i="11"/>
  <c r="BJ429" i="11"/>
  <c r="BI429" i="11"/>
  <c r="BH429" i="11"/>
  <c r="BG429" i="11"/>
  <c r="BF429" i="11"/>
  <c r="BE429" i="11"/>
  <c r="BD429" i="11"/>
  <c r="BC429" i="11"/>
  <c r="BB429" i="11"/>
  <c r="BA429" i="11"/>
  <c r="AZ429" i="11"/>
  <c r="AY429" i="11"/>
  <c r="AX429" i="11"/>
  <c r="AW429" i="11"/>
  <c r="AV429" i="11"/>
  <c r="AU429" i="11"/>
  <c r="AT429" i="11"/>
  <c r="AS429" i="11"/>
  <c r="AR429" i="11"/>
  <c r="AQ429" i="11"/>
  <c r="AP429" i="11"/>
  <c r="AO429" i="11"/>
  <c r="AN429" i="11"/>
  <c r="AM429" i="11"/>
  <c r="AL429" i="11"/>
  <c r="AK429" i="11"/>
  <c r="AJ429" i="11"/>
  <c r="AI429" i="11"/>
  <c r="AH429" i="11"/>
  <c r="AG429" i="11"/>
  <c r="AF429" i="11"/>
  <c r="AE429" i="11"/>
  <c r="AD429" i="11"/>
  <c r="AC429" i="11"/>
  <c r="AB429" i="11"/>
  <c r="AA429" i="11"/>
  <c r="Z429" i="11"/>
  <c r="Y429" i="11"/>
  <c r="X429" i="11"/>
  <c r="W429" i="11"/>
  <c r="V429" i="11"/>
  <c r="U429" i="11"/>
  <c r="T429" i="11"/>
  <c r="S429" i="11"/>
  <c r="R429" i="11"/>
  <c r="Q429" i="11"/>
  <c r="P429" i="11"/>
  <c r="O429" i="11"/>
  <c r="N429" i="11"/>
  <c r="M429" i="11"/>
  <c r="L429" i="11"/>
  <c r="K429" i="11"/>
  <c r="J429" i="11"/>
  <c r="I429" i="11"/>
  <c r="H429" i="11"/>
  <c r="G429" i="11"/>
  <c r="F429" i="11"/>
  <c r="E429" i="11"/>
  <c r="D429" i="11"/>
  <c r="C429" i="11"/>
  <c r="B429" i="11"/>
  <c r="A248" i="11"/>
  <c r="B236" i="11"/>
  <c r="B235" i="11"/>
  <c r="B234" i="11"/>
  <c r="I203" i="11"/>
  <c r="K202" i="11"/>
  <c r="G195" i="11"/>
  <c r="H175" i="11"/>
  <c r="E172" i="11"/>
  <c r="E144" i="11"/>
  <c r="E143" i="11"/>
  <c r="E142" i="11"/>
  <c r="E141" i="11"/>
  <c r="E140" i="11"/>
  <c r="E129" i="11"/>
  <c r="E128" i="11"/>
  <c r="E127" i="11"/>
  <c r="E126" i="11"/>
  <c r="E112" i="11"/>
  <c r="E111" i="11"/>
  <c r="E110" i="11"/>
  <c r="E109" i="11"/>
  <c r="E105" i="11"/>
  <c r="E104" i="11"/>
  <c r="E103" i="11"/>
  <c r="E102" i="11"/>
  <c r="E101" i="11"/>
  <c r="E100" i="11"/>
  <c r="E99" i="11"/>
  <c r="E98" i="11"/>
  <c r="E97" i="11"/>
  <c r="E96" i="11"/>
  <c r="G94" i="11"/>
  <c r="G93" i="11"/>
  <c r="G92" i="11"/>
  <c r="G91" i="11"/>
  <c r="G90" i="11"/>
  <c r="G89" i="11"/>
  <c r="G88" i="11"/>
  <c r="G87" i="11"/>
  <c r="E85" i="11"/>
  <c r="G84" i="11"/>
  <c r="E84" i="11"/>
  <c r="G83" i="11"/>
  <c r="E83" i="11"/>
  <c r="E82" i="11"/>
  <c r="E81" i="11"/>
  <c r="E80" i="11"/>
  <c r="E79" i="11"/>
  <c r="E78" i="11"/>
  <c r="E77" i="11"/>
  <c r="E76" i="11"/>
  <c r="E75" i="11"/>
  <c r="E74" i="11"/>
  <c r="E73" i="11"/>
  <c r="I72" i="11"/>
  <c r="E72" i="11"/>
  <c r="I71" i="11"/>
  <c r="E71" i="11"/>
  <c r="I70" i="11"/>
  <c r="E70" i="11"/>
  <c r="I69" i="11"/>
  <c r="E69" i="11"/>
  <c r="I68" i="11"/>
  <c r="E68" i="11"/>
  <c r="I67" i="11"/>
  <c r="E67" i="11"/>
  <c r="I66" i="11"/>
  <c r="E66" i="11"/>
  <c r="I65" i="11"/>
  <c r="E65" i="11"/>
  <c r="I64" i="11"/>
  <c r="E64" i="11"/>
  <c r="I63" i="11"/>
  <c r="E63" i="11"/>
  <c r="E62" i="11"/>
  <c r="E61" i="11"/>
  <c r="E60" i="11"/>
  <c r="E59" i="11"/>
  <c r="O58" i="11"/>
  <c r="E58" i="11"/>
  <c r="O57" i="11"/>
  <c r="E57" i="11"/>
  <c r="O56" i="11"/>
  <c r="E56" i="11"/>
  <c r="O55" i="11"/>
  <c r="E55" i="11"/>
  <c r="E54" i="11"/>
  <c r="E53" i="11"/>
  <c r="O49" i="11"/>
  <c r="O43" i="11"/>
  <c r="M43" i="11"/>
  <c r="M40" i="11"/>
  <c r="L40" i="11"/>
  <c r="J41" i="11" s="1"/>
  <c r="H40" i="11"/>
  <c r="O40" i="11" s="1"/>
  <c r="E33" i="11"/>
  <c r="E32" i="11"/>
  <c r="E31" i="11"/>
  <c r="E30" i="11"/>
  <c r="E29" i="11"/>
  <c r="E28" i="11"/>
  <c r="E27" i="11"/>
  <c r="AE26" i="11"/>
  <c r="E26" i="11"/>
  <c r="AE25" i="11"/>
  <c r="AE24" i="11"/>
  <c r="Y24" i="11"/>
  <c r="W24" i="11"/>
  <c r="U24" i="11"/>
  <c r="S24" i="11"/>
  <c r="AE23" i="11"/>
  <c r="Y23" i="11"/>
  <c r="W23" i="11"/>
  <c r="U23" i="11"/>
  <c r="S23" i="11"/>
  <c r="AE22" i="11"/>
  <c r="Y22" i="11"/>
  <c r="W22" i="11"/>
  <c r="U22" i="11"/>
  <c r="S22" i="11"/>
  <c r="AE21" i="11"/>
  <c r="Y21" i="11"/>
  <c r="W21" i="11"/>
  <c r="U21" i="11"/>
  <c r="S21" i="11"/>
  <c r="AE20" i="11"/>
  <c r="Y20" i="11"/>
  <c r="W20" i="11"/>
  <c r="U20" i="11"/>
  <c r="S20" i="11"/>
  <c r="AE19" i="11"/>
  <c r="Y19" i="11"/>
  <c r="W19" i="11"/>
  <c r="U19" i="11"/>
  <c r="S19" i="11"/>
  <c r="AE18" i="11"/>
  <c r="AE17" i="11"/>
  <c r="W17" i="11"/>
  <c r="W25" i="11" s="1"/>
  <c r="AE16" i="11"/>
  <c r="Y16" i="11"/>
  <c r="Y25" i="11" s="1"/>
  <c r="W16" i="11"/>
  <c r="U16" i="11"/>
  <c r="U25" i="11" s="1"/>
  <c r="S16" i="11"/>
  <c r="S25" i="11" s="1"/>
  <c r="AE15" i="11"/>
  <c r="Y15" i="11"/>
  <c r="W15" i="11"/>
  <c r="U15" i="11"/>
  <c r="S15" i="11"/>
  <c r="AE14" i="11"/>
  <c r="W14" i="11"/>
  <c r="AE13" i="11"/>
  <c r="Y13" i="11"/>
  <c r="W13" i="11"/>
  <c r="U13" i="11"/>
  <c r="S13" i="11"/>
  <c r="AE12" i="11"/>
  <c r="Y12" i="11"/>
  <c r="W12" i="11"/>
  <c r="U12" i="11"/>
  <c r="S12" i="11"/>
  <c r="E12" i="11"/>
  <c r="AE11" i="11"/>
  <c r="W11" i="11"/>
  <c r="E11" i="11"/>
  <c r="AE10" i="11"/>
  <c r="Y10" i="11"/>
  <c r="W10" i="11"/>
  <c r="U10" i="11"/>
  <c r="S10" i="11"/>
  <c r="E10" i="11"/>
  <c r="AE9" i="11"/>
  <c r="Y9" i="11"/>
  <c r="W9" i="11"/>
  <c r="U9" i="11"/>
  <c r="S9" i="11"/>
  <c r="E9" i="11"/>
  <c r="AE8" i="11"/>
  <c r="W8" i="11"/>
  <c r="E8" i="11"/>
  <c r="AE7" i="11"/>
  <c r="Y7" i="11"/>
  <c r="W7" i="11"/>
  <c r="U7" i="11"/>
  <c r="S7" i="11"/>
  <c r="E7" i="11"/>
  <c r="AE6" i="11"/>
  <c r="Y6" i="11"/>
  <c r="W6" i="11"/>
  <c r="U6" i="11"/>
  <c r="S6" i="11"/>
  <c r="B6" i="11"/>
  <c r="C5" i="11" s="1"/>
  <c r="AE5" i="11"/>
  <c r="Y5" i="11"/>
  <c r="W5" i="11"/>
  <c r="U5" i="11"/>
  <c r="S5" i="11"/>
  <c r="E5" i="11"/>
  <c r="B5" i="11"/>
  <c r="AE4" i="11"/>
  <c r="Y4" i="11"/>
  <c r="W4" i="11"/>
  <c r="U4" i="11"/>
  <c r="S4" i="11"/>
  <c r="E4" i="11"/>
  <c r="AE3" i="11"/>
  <c r="Y3" i="11"/>
  <c r="W3" i="11"/>
  <c r="U3" i="11"/>
  <c r="S3" i="11"/>
  <c r="AE2" i="11"/>
  <c r="E2" i="11"/>
  <c r="E1" i="11"/>
  <c r="N52" i="9"/>
  <c r="T146" i="8"/>
  <c r="D123" i="8"/>
  <c r="D122" i="8"/>
  <c r="Q119" i="8"/>
  <c r="D119" i="8"/>
  <c r="D117" i="8"/>
  <c r="D114" i="8" a="1"/>
  <c r="D114" i="8" s="1"/>
  <c r="AB112" i="8"/>
  <c r="G111" i="8"/>
  <c r="G110" i="8"/>
  <c r="AE103" i="8"/>
  <c r="AD103" i="8"/>
  <c r="AC103" i="8"/>
  <c r="AB103" i="8"/>
  <c r="X103" i="8"/>
  <c r="W103" i="8"/>
  <c r="X67" i="8"/>
  <c r="AB67" i="8"/>
  <c r="G66" i="8"/>
  <c r="G65" i="8"/>
  <c r="AE57" i="8"/>
  <c r="AD57" i="8"/>
  <c r="AC57" i="8"/>
  <c r="AB57" i="8"/>
  <c r="X57" i="8"/>
  <c r="W57" i="8"/>
  <c r="D47" i="8"/>
  <c r="D46" i="8"/>
  <c r="AH39" i="8"/>
  <c r="AG39" i="8"/>
  <c r="AE39" i="8"/>
  <c r="AD39" i="8"/>
  <c r="AC39" i="8"/>
  <c r="AB39" i="8"/>
  <c r="C27" i="8"/>
  <c r="AA26" i="8"/>
  <c r="Y26" i="8"/>
  <c r="C26" i="8"/>
  <c r="W13" i="8"/>
  <c r="W12" i="8"/>
  <c r="D124" i="8" s="1"/>
  <c r="X11" i="8"/>
  <c r="W11" i="8"/>
  <c r="X10" i="8"/>
  <c r="W10" i="8"/>
  <c r="C5" i="8"/>
  <c r="T146" i="7"/>
  <c r="D123" i="7"/>
  <c r="D122" i="7"/>
  <c r="Q119" i="7"/>
  <c r="D119" i="7"/>
  <c r="D118" i="7"/>
  <c r="D117" i="7"/>
  <c r="D114" i="7" a="1"/>
  <c r="D114" i="7" s="1"/>
  <c r="AB112" i="7"/>
  <c r="G111" i="7"/>
  <c r="G110" i="7"/>
  <c r="AE103" i="7"/>
  <c r="AD103" i="7"/>
  <c r="AC103" i="7"/>
  <c r="AB103" i="7"/>
  <c r="X103" i="7"/>
  <c r="W103" i="7"/>
  <c r="G66" i="7"/>
  <c r="G65" i="7"/>
  <c r="AE57" i="7"/>
  <c r="AD57" i="7"/>
  <c r="AC57" i="7"/>
  <c r="AB57" i="7"/>
  <c r="X57" i="7"/>
  <c r="W57" i="7"/>
  <c r="D47" i="7"/>
  <c r="D46" i="7"/>
  <c r="AH39" i="7"/>
  <c r="AG39" i="7"/>
  <c r="AE39" i="7"/>
  <c r="AD39" i="7"/>
  <c r="AC39" i="7"/>
  <c r="AB39" i="7"/>
  <c r="X14" i="7"/>
  <c r="W13" i="7"/>
  <c r="X12" i="7"/>
  <c r="W12" i="7"/>
  <c r="D124" i="7" s="1"/>
  <c r="X11" i="7"/>
  <c r="W11" i="7"/>
  <c r="X10" i="7"/>
  <c r="W10" i="7"/>
  <c r="C5" i="7"/>
  <c r="T182" i="6"/>
  <c r="D159" i="6"/>
  <c r="D158" i="6"/>
  <c r="Q155" i="6"/>
  <c r="D155" i="6"/>
  <c r="D154" i="6"/>
  <c r="D153" i="6"/>
  <c r="G147" i="6"/>
  <c r="G146" i="6"/>
  <c r="AE139" i="6"/>
  <c r="AD139" i="6"/>
  <c r="AC139" i="6"/>
  <c r="AB139" i="6"/>
  <c r="X139" i="6"/>
  <c r="W139" i="6"/>
  <c r="G102" i="6"/>
  <c r="G101" i="6"/>
  <c r="AE93" i="6"/>
  <c r="AD93" i="6"/>
  <c r="AC93" i="6"/>
  <c r="AB93" i="6"/>
  <c r="X93" i="6"/>
  <c r="W93" i="6"/>
  <c r="D83" i="6"/>
  <c r="D82" i="6"/>
  <c r="AH75" i="6"/>
  <c r="AG75" i="6"/>
  <c r="AE75" i="6"/>
  <c r="AD75" i="6"/>
  <c r="AC75" i="6"/>
  <c r="AB75" i="6"/>
  <c r="D160" i="6"/>
  <c r="X11" i="6"/>
  <c r="Z11" i="6" s="1"/>
  <c r="W11" i="6"/>
  <c r="X10" i="6"/>
  <c r="Z10" i="6" s="1"/>
  <c r="W10" i="6"/>
  <c r="C5" i="6"/>
  <c r="T146" i="5"/>
  <c r="R124" i="5" a="1"/>
  <c r="R124" i="5" s="1"/>
  <c r="D123" i="5"/>
  <c r="D122" i="5"/>
  <c r="Q119" i="5"/>
  <c r="D119" i="5"/>
  <c r="D118" i="5"/>
  <c r="D117" i="5"/>
  <c r="G110" i="5"/>
  <c r="AE103" i="5"/>
  <c r="AD103" i="5"/>
  <c r="AC103" i="5"/>
  <c r="AB103" i="5"/>
  <c r="X103" i="5"/>
  <c r="W103" i="5"/>
  <c r="G66" i="5"/>
  <c r="G65" i="5"/>
  <c r="AE57" i="5"/>
  <c r="AD57" i="5"/>
  <c r="AC57" i="5"/>
  <c r="AB57" i="5"/>
  <c r="X57" i="5"/>
  <c r="W57" i="5"/>
  <c r="AE47" i="5"/>
  <c r="AD47" i="5"/>
  <c r="AC47" i="5"/>
  <c r="AB47" i="5"/>
  <c r="D47" i="5"/>
  <c r="D46" i="5"/>
  <c r="AH39" i="5"/>
  <c r="AG39" i="5"/>
  <c r="D124" i="5"/>
  <c r="X11" i="5"/>
  <c r="Z11" i="5" s="1"/>
  <c r="X10" i="5"/>
  <c r="Z10" i="5" s="1"/>
  <c r="C5" i="5"/>
  <c r="U5" i="4"/>
  <c r="U4" i="4"/>
  <c r="U3" i="4"/>
  <c r="O112" i="8"/>
  <c r="M112" i="8"/>
  <c r="O11" i="15"/>
  <c r="O112" i="5"/>
  <c r="S67" i="5"/>
  <c r="Q67" i="5"/>
  <c r="M112" i="5"/>
  <c r="Q112" i="5"/>
  <c r="M112" i="7"/>
  <c r="O112" i="7"/>
  <c r="O148" i="6"/>
  <c r="Q103" i="6"/>
  <c r="M148" i="6"/>
  <c r="X84" i="6"/>
  <c r="S103" i="6"/>
  <c r="J174" i="11" a="1"/>
  <c r="P9" i="48" a="1"/>
  <c r="O9" i="48" a="1"/>
  <c r="G16" i="48" a="1"/>
  <c r="I174" i="11" a="1"/>
  <c r="G15" i="48" a="1"/>
  <c r="C219" i="11" l="1"/>
  <c r="C224" i="11"/>
  <c r="C221" i="11"/>
  <c r="K228" i="11" s="1"/>
  <c r="C222" i="11"/>
  <c r="C223" i="11"/>
  <c r="C218" i="11"/>
  <c r="C217" i="11" s="1"/>
  <c r="K213" i="11" s="1"/>
  <c r="C226" i="11"/>
  <c r="C214" i="11"/>
  <c r="K223" i="11" s="1"/>
  <c r="C216" i="11"/>
  <c r="J213" i="11" s="1"/>
  <c r="C220" i="11"/>
  <c r="J228" i="11" s="1"/>
  <c r="C225" i="11"/>
  <c r="B211" i="11"/>
  <c r="B210" i="11"/>
  <c r="B215" i="11"/>
  <c r="B227" i="11"/>
  <c r="C211" i="11"/>
  <c r="C210" i="11"/>
  <c r="C215" i="11"/>
  <c r="C227" i="11"/>
  <c r="E226" i="11"/>
  <c r="E216" i="11"/>
  <c r="J214" i="11" s="1"/>
  <c r="E214" i="11"/>
  <c r="K224" i="11" s="1"/>
  <c r="E221" i="11"/>
  <c r="K229" i="11" s="1"/>
  <c r="E219" i="11"/>
  <c r="E218" i="11"/>
  <c r="E217" i="11" s="1"/>
  <c r="K214" i="11" s="1"/>
  <c r="E222" i="11"/>
  <c r="E220" i="11"/>
  <c r="J229" i="11" s="1"/>
  <c r="E224" i="11"/>
  <c r="E223" i="11"/>
  <c r="E225" i="11"/>
  <c r="B226" i="11"/>
  <c r="B219" i="11"/>
  <c r="B225" i="11"/>
  <c r="B220" i="11"/>
  <c r="J230" i="11" s="1"/>
  <c r="B216" i="11"/>
  <c r="J215" i="11" s="1"/>
  <c r="B214" i="11"/>
  <c r="K225" i="11" s="1"/>
  <c r="B223" i="11"/>
  <c r="B222" i="11"/>
  <c r="B218" i="11"/>
  <c r="B217" i="11" s="1"/>
  <c r="K215" i="11" s="1"/>
  <c r="B224" i="11"/>
  <c r="B221" i="11"/>
  <c r="K230" i="11" s="1"/>
  <c r="E211" i="11"/>
  <c r="E210" i="11"/>
  <c r="E215" i="11"/>
  <c r="E227" i="11"/>
  <c r="D210" i="11"/>
  <c r="D211" i="11"/>
  <c r="D215" i="11"/>
  <c r="D227" i="11"/>
  <c r="D218" i="11"/>
  <c r="D217" i="11" s="1"/>
  <c r="K212" i="11" s="1"/>
  <c r="D219" i="11"/>
  <c r="D220" i="11"/>
  <c r="J227" i="11" s="1"/>
  <c r="D216" i="11"/>
  <c r="J212" i="11" s="1"/>
  <c r="D222" i="11"/>
  <c r="D214" i="11"/>
  <c r="K222" i="11" s="1"/>
  <c r="D226" i="11"/>
  <c r="D224" i="11"/>
  <c r="D221" i="11"/>
  <c r="K227" i="11" s="1"/>
  <c r="D223" i="11"/>
  <c r="D225" i="11"/>
  <c r="Y84" i="6"/>
  <c r="AB159" i="26"/>
  <c r="AA112" i="7"/>
  <c r="S112" i="7" s="1"/>
  <c r="M23" i="12"/>
  <c r="AA112" i="8"/>
  <c r="S112" i="8" s="1"/>
  <c r="Q112" i="8"/>
  <c r="I174" i="11"/>
  <c r="H181" i="11"/>
  <c r="H180" i="11"/>
  <c r="H178" i="11"/>
  <c r="H179" i="11"/>
  <c r="E204" i="11"/>
  <c r="E205" i="11"/>
  <c r="P9" i="48"/>
  <c r="Z10" i="7"/>
  <c r="Z10" i="8"/>
  <c r="AA162" i="26"/>
  <c r="AB163" i="26"/>
  <c r="Z163" i="26" s="1"/>
  <c r="Z11" i="8"/>
  <c r="Z11" i="7"/>
  <c r="W67" i="8"/>
  <c r="Z67" i="8" s="1"/>
  <c r="W112" i="5"/>
  <c r="W114" i="5" s="1" a="1"/>
  <c r="X148" i="6"/>
  <c r="W148" i="6"/>
  <c r="W150" i="6" s="1" a="1"/>
  <c r="W112" i="7"/>
  <c r="W114" i="7" s="1" a="1"/>
  <c r="X112" i="7"/>
  <c r="X114" i="7" s="1" a="1"/>
  <c r="X112" i="8"/>
  <c r="X114" i="8" s="1" a="1"/>
  <c r="W112" i="8"/>
  <c r="W114" i="8" s="1" a="1"/>
  <c r="X112" i="5"/>
  <c r="X114" i="5" s="1" a="1"/>
  <c r="O9" i="48"/>
  <c r="J178" i="11"/>
  <c r="J174" i="11"/>
  <c r="O46" i="48"/>
  <c r="G16" i="48"/>
  <c r="P46" i="48"/>
  <c r="G15" i="48"/>
  <c r="S255" i="11"/>
  <c r="R255" i="11" s="1"/>
  <c r="D4" i="3"/>
  <c r="Y158" i="26"/>
  <c r="AA10" i="5"/>
  <c r="AK53" i="26"/>
  <c r="AC137" i="26"/>
  <c r="G56" i="15"/>
  <c r="O63" i="15"/>
  <c r="Z30" i="38" s="1"/>
  <c r="AA10" i="8"/>
  <c r="AA10" i="7"/>
  <c r="AJ61" i="26"/>
  <c r="AE163" i="26"/>
  <c r="AM163" i="26"/>
  <c r="Y74" i="26"/>
  <c r="AJ109" i="26"/>
  <c r="AI129" i="26"/>
  <c r="Y162" i="26"/>
  <c r="AH73" i="26"/>
  <c r="K132" i="26"/>
  <c r="K128" i="26" s="1"/>
  <c r="AF29" i="26"/>
  <c r="AF45" i="26"/>
  <c r="AH163" i="26"/>
  <c r="AJ49" i="26"/>
  <c r="AE101" i="26"/>
  <c r="AI85" i="26"/>
  <c r="AG21" i="26"/>
  <c r="AM93" i="26"/>
  <c r="AE61" i="26"/>
  <c r="AL121" i="26"/>
  <c r="AJ33" i="26"/>
  <c r="AM129" i="26"/>
  <c r="Y130" i="26"/>
  <c r="AD133" i="26"/>
  <c r="AJ159" i="26"/>
  <c r="AH105" i="26"/>
  <c r="B11" i="11"/>
  <c r="C10" i="11" s="1"/>
  <c r="AH57" i="26"/>
  <c r="AD85" i="26"/>
  <c r="AJ89" i="26"/>
  <c r="AL159" i="26"/>
  <c r="AA62" i="26"/>
  <c r="AI69" i="26"/>
  <c r="AE89" i="26"/>
  <c r="AC113" i="26"/>
  <c r="AH69" i="26"/>
  <c r="AB126" i="26"/>
  <c r="Y138" i="26"/>
  <c r="AE29" i="26"/>
  <c r="AC53" i="26"/>
  <c r="AI57" i="26"/>
  <c r="AK105" i="26"/>
  <c r="AK117" i="26"/>
  <c r="AC126" i="26"/>
  <c r="AJ129" i="26"/>
  <c r="AD159" i="26"/>
  <c r="AI29" i="26"/>
  <c r="AE126" i="26"/>
  <c r="J128" i="26"/>
  <c r="AD122" i="26"/>
  <c r="AG33" i="26"/>
  <c r="AF57" i="26"/>
  <c r="AM89" i="26"/>
  <c r="AC105" i="26"/>
  <c r="AC117" i="26"/>
  <c r="AI126" i="26"/>
  <c r="N128" i="26"/>
  <c r="AD61" i="26"/>
  <c r="AG97" i="26"/>
  <c r="AG109" i="26"/>
  <c r="AL117" i="26"/>
  <c r="AL133" i="26"/>
  <c r="AH159" i="26"/>
  <c r="AF65" i="26"/>
  <c r="AH101" i="26"/>
  <c r="AJ73" i="26"/>
  <c r="AM121" i="26"/>
  <c r="AM160" i="26"/>
  <c r="AM155" i="26" s="1"/>
  <c r="AA160" i="26"/>
  <c r="AL29" i="26"/>
  <c r="AM33" i="26"/>
  <c r="AG53" i="26"/>
  <c r="AL61" i="26"/>
  <c r="AK73" i="26"/>
  <c r="AG89" i="26"/>
  <c r="AF101" i="26"/>
  <c r="AL129" i="26"/>
  <c r="AK129" i="26"/>
  <c r="AH133" i="26"/>
  <c r="AK137" i="26"/>
  <c r="AA150" i="26"/>
  <c r="AJ25" i="26"/>
  <c r="AM29" i="26"/>
  <c r="AH37" i="26"/>
  <c r="AB45" i="26"/>
  <c r="AA45" i="26" s="1"/>
  <c r="AB49" i="26"/>
  <c r="AA49" i="26" s="1"/>
  <c r="AG57" i="26"/>
  <c r="AJ57" i="26"/>
  <c r="AM61" i="26"/>
  <c r="AB73" i="26"/>
  <c r="AA73" i="26" s="1"/>
  <c r="AL73" i="26"/>
  <c r="Y82" i="26"/>
  <c r="AH97" i="26"/>
  <c r="AI101" i="26"/>
  <c r="AB121" i="26"/>
  <c r="AA121" i="26" s="1"/>
  <c r="AJ133" i="26"/>
  <c r="AD160" i="26"/>
  <c r="AD155" i="26" s="1"/>
  <c r="AG45" i="26"/>
  <c r="AK57" i="26"/>
  <c r="AC73" i="26"/>
  <c r="AM73" i="26"/>
  <c r="AJ101" i="26"/>
  <c r="AC121" i="26"/>
  <c r="AF160" i="26"/>
  <c r="AF155" i="26" s="1"/>
  <c r="B16" i="11"/>
  <c r="C15" i="11" s="1"/>
  <c r="AC37" i="26"/>
  <c r="AH45" i="26"/>
  <c r="AC50" i="26"/>
  <c r="AB57" i="26"/>
  <c r="AA57" i="26" s="1"/>
  <c r="AL57" i="26"/>
  <c r="AD73" i="26"/>
  <c r="AG85" i="26"/>
  <c r="AH93" i="26"/>
  <c r="AK101" i="26"/>
  <c r="AD109" i="26"/>
  <c r="AD117" i="26"/>
  <c r="AE121" i="26"/>
  <c r="AJ126" i="26"/>
  <c r="AB129" i="26"/>
  <c r="AA129" i="26" s="1"/>
  <c r="AE137" i="26"/>
  <c r="AJ160" i="26"/>
  <c r="AJ155" i="26" s="1"/>
  <c r="AB33" i="26"/>
  <c r="AA33" i="26" s="1"/>
  <c r="AK37" i="26"/>
  <c r="AE46" i="26"/>
  <c r="Q52" i="26"/>
  <c r="AC57" i="26"/>
  <c r="AM57" i="26"/>
  <c r="AE73" i="26"/>
  <c r="AH85" i="26"/>
  <c r="AC93" i="26"/>
  <c r="AM101" i="26"/>
  <c r="AG117" i="26"/>
  <c r="AI121" i="26"/>
  <c r="AK126" i="26"/>
  <c r="AC129" i="26"/>
  <c r="AG137" i="26"/>
  <c r="AE159" i="26"/>
  <c r="AM159" i="26"/>
  <c r="AL160" i="26"/>
  <c r="AL155" i="26" s="1"/>
  <c r="AD29" i="26"/>
  <c r="AE33" i="26"/>
  <c r="AI53" i="26"/>
  <c r="AD57" i="26"/>
  <c r="Y58" i="26"/>
  <c r="Y66" i="26"/>
  <c r="AF69" i="26"/>
  <c r="AF73" i="26"/>
  <c r="AF93" i="26"/>
  <c r="AB101" i="26"/>
  <c r="AA101" i="26" s="1"/>
  <c r="AJ105" i="26"/>
  <c r="AH113" i="26"/>
  <c r="AJ121" i="26"/>
  <c r="AM126" i="26"/>
  <c r="AE129" i="26"/>
  <c r="AK133" i="26"/>
  <c r="AM137" i="26"/>
  <c r="AF159" i="26"/>
  <c r="AC163" i="26"/>
  <c r="AK163" i="26"/>
  <c r="AJ163" i="26"/>
  <c r="B14" i="11"/>
  <c r="C13" i="11" s="1"/>
  <c r="AF33" i="26"/>
  <c r="AE57" i="26"/>
  <c r="AI73" i="26"/>
  <c r="AK93" i="26"/>
  <c r="AC101" i="26"/>
  <c r="AK121" i="26"/>
  <c r="I156" i="26"/>
  <c r="AB156" i="26" s="1"/>
  <c r="AA156" i="26" s="1"/>
  <c r="M25" i="12"/>
  <c r="Y29" i="8"/>
  <c r="K180" i="11"/>
  <c r="K179" i="11"/>
  <c r="AE112" i="8"/>
  <c r="AA67" i="8"/>
  <c r="S67" i="8" s="1"/>
  <c r="AF112" i="8"/>
  <c r="AB10" i="7"/>
  <c r="L41" i="11"/>
  <c r="J42" i="11" s="1"/>
  <c r="H42" i="11" s="1"/>
  <c r="O42" i="11" s="1"/>
  <c r="H41" i="11"/>
  <c r="O41" i="11" s="1"/>
  <c r="M41" i="11"/>
  <c r="J43" i="11" s="1"/>
  <c r="K173" i="11"/>
  <c r="E206" i="11"/>
  <c r="E203" i="11"/>
  <c r="AD112" i="7"/>
  <c r="Y27" i="8"/>
  <c r="AD67" i="8"/>
  <c r="E207" i="11"/>
  <c r="I207" i="11"/>
  <c r="M3866" i="21"/>
  <c r="M3865" i="21"/>
  <c r="M3906" i="21"/>
  <c r="M3905" i="21"/>
  <c r="M3896" i="21"/>
  <c r="M3895" i="21"/>
  <c r="AF112" i="7"/>
  <c r="AF67" i="8"/>
  <c r="K181" i="11" s="1"/>
  <c r="B8" i="11"/>
  <c r="C7" i="11" s="1"/>
  <c r="E201" i="11"/>
  <c r="AE112" i="7"/>
  <c r="AE67" i="8"/>
  <c r="AD112" i="8"/>
  <c r="E202" i="11"/>
  <c r="AM25" i="26"/>
  <c r="AE25" i="26"/>
  <c r="AL25" i="26"/>
  <c r="AD25" i="26"/>
  <c r="AK25" i="26"/>
  <c r="AC25" i="26"/>
  <c r="AF25" i="26"/>
  <c r="AK41" i="26"/>
  <c r="AC41" i="26"/>
  <c r="AJ41" i="26"/>
  <c r="AB41" i="26"/>
  <c r="AA41" i="26" s="1"/>
  <c r="AF41" i="26"/>
  <c r="AE41" i="26"/>
  <c r="AD41" i="26"/>
  <c r="AM41" i="26"/>
  <c r="AL41" i="26"/>
  <c r="AH41" i="26"/>
  <c r="AG41" i="26"/>
  <c r="AH25" i="26"/>
  <c r="AM77" i="26"/>
  <c r="AE77" i="26"/>
  <c r="AL77" i="26"/>
  <c r="AD77" i="26"/>
  <c r="AK77" i="26"/>
  <c r="AC77" i="26"/>
  <c r="AJ77" i="26"/>
  <c r="AB77" i="26"/>
  <c r="AA77" i="26" s="1"/>
  <c r="AI77" i="26"/>
  <c r="AF77" i="26"/>
  <c r="AH77" i="26"/>
  <c r="AG77" i="26"/>
  <c r="AI41" i="26"/>
  <c r="AL21" i="26"/>
  <c r="AD21" i="26"/>
  <c r="AK21" i="26"/>
  <c r="AC21" i="26"/>
  <c r="AJ21" i="26"/>
  <c r="AB21" i="26"/>
  <c r="AI21" i="26"/>
  <c r="AH21" i="26"/>
  <c r="AF21" i="26"/>
  <c r="AM21" i="26"/>
  <c r="AE21" i="26"/>
  <c r="AG29" i="26"/>
  <c r="AH33" i="26"/>
  <c r="AI37" i="26"/>
  <c r="AJ45" i="26"/>
  <c r="N52" i="26"/>
  <c r="AH53" i="26"/>
  <c r="Y70" i="26"/>
  <c r="AA70" i="26"/>
  <c r="AG25" i="26"/>
  <c r="AH29" i="26"/>
  <c r="AI33" i="26"/>
  <c r="AB37" i="26"/>
  <c r="AA37" i="26" s="1"/>
  <c r="AJ37" i="26"/>
  <c r="AM45" i="26"/>
  <c r="O52" i="26"/>
  <c r="AL65" i="26"/>
  <c r="AD65" i="26"/>
  <c r="AK65" i="26"/>
  <c r="AC65" i="26"/>
  <c r="AJ65" i="26"/>
  <c r="AB65" i="26"/>
  <c r="AA65" i="26" s="1"/>
  <c r="AI65" i="26"/>
  <c r="AH65" i="26"/>
  <c r="AM65" i="26"/>
  <c r="AE65" i="26"/>
  <c r="Y86" i="26"/>
  <c r="AA86" i="26"/>
  <c r="AI25" i="26"/>
  <c r="AB29" i="26"/>
  <c r="AA29" i="26" s="1"/>
  <c r="AJ29" i="26"/>
  <c r="AC33" i="26"/>
  <c r="AK33" i="26"/>
  <c r="AD37" i="26"/>
  <c r="AL37" i="26"/>
  <c r="AE45" i="26"/>
  <c r="AF49" i="26"/>
  <c r="AG50" i="26"/>
  <c r="U52" i="26"/>
  <c r="AF53" i="26"/>
  <c r="AM53" i="26"/>
  <c r="AE53" i="26"/>
  <c r="AL53" i="26"/>
  <c r="AD53" i="26"/>
  <c r="AJ53" i="26"/>
  <c r="AB53" i="26"/>
  <c r="AA53" i="26" s="1"/>
  <c r="AM81" i="26"/>
  <c r="AE81" i="26"/>
  <c r="AL81" i="26"/>
  <c r="AD81" i="26"/>
  <c r="AI81" i="26"/>
  <c r="AH81" i="26"/>
  <c r="AG81" i="26"/>
  <c r="AF81" i="26"/>
  <c r="AC81" i="26"/>
  <c r="AB81" i="26"/>
  <c r="AA81" i="26" s="1"/>
  <c r="AJ81" i="26"/>
  <c r="AB25" i="26"/>
  <c r="AA25" i="26" s="1"/>
  <c r="AC29" i="26"/>
  <c r="AK29" i="26"/>
  <c r="AD33" i="26"/>
  <c r="AL33" i="26"/>
  <c r="AE37" i="26"/>
  <c r="AM37" i="26"/>
  <c r="AG49" i="26"/>
  <c r="AH50" i="26"/>
  <c r="V52" i="26"/>
  <c r="Y54" i="26"/>
  <c r="AG65" i="26"/>
  <c r="AF37" i="26"/>
  <c r="AH49" i="26"/>
  <c r="AI50" i="26"/>
  <c r="W52" i="26"/>
  <c r="AK81" i="26"/>
  <c r="AG37" i="26"/>
  <c r="AL45" i="26"/>
  <c r="AD45" i="26"/>
  <c r="AK45" i="26"/>
  <c r="AC45" i="26"/>
  <c r="AI45" i="26"/>
  <c r="AM49" i="26"/>
  <c r="AE49" i="26"/>
  <c r="AL49" i="26"/>
  <c r="AD49" i="26"/>
  <c r="AK49" i="26"/>
  <c r="AC49" i="26"/>
  <c r="AI49" i="26"/>
  <c r="T52" i="26"/>
  <c r="AF50" i="26"/>
  <c r="S52" i="26"/>
  <c r="AM50" i="26"/>
  <c r="AE50" i="26"/>
  <c r="R52" i="26"/>
  <c r="AL50" i="26"/>
  <c r="AD50" i="26"/>
  <c r="P52" i="26"/>
  <c r="AJ50" i="26"/>
  <c r="AB50" i="26"/>
  <c r="Y78" i="26"/>
  <c r="AC61" i="26"/>
  <c r="AK61" i="26"/>
  <c r="AG69" i="26"/>
  <c r="AA154" i="26"/>
  <c r="Y154" i="26"/>
  <c r="AD163" i="26"/>
  <c r="AD167" i="26"/>
  <c r="AL163" i="26"/>
  <c r="AL167" i="26"/>
  <c r="AF61" i="26"/>
  <c r="AB69" i="26"/>
  <c r="AA69" i="26" s="1"/>
  <c r="AJ69" i="26"/>
  <c r="AG61" i="26"/>
  <c r="AC69" i="26"/>
  <c r="AK69" i="26"/>
  <c r="AF85" i="26"/>
  <c r="AM85" i="26"/>
  <c r="AE85" i="26"/>
  <c r="AJ85" i="26"/>
  <c r="AB85" i="26"/>
  <c r="AA85" i="26" s="1"/>
  <c r="AK85" i="26"/>
  <c r="AI125" i="26"/>
  <c r="AF125" i="26"/>
  <c r="AM125" i="26"/>
  <c r="AE125" i="26"/>
  <c r="AL125" i="26"/>
  <c r="AJ125" i="26"/>
  <c r="AH125" i="26"/>
  <c r="AD125" i="26"/>
  <c r="AB125" i="26"/>
  <c r="AA125" i="26" s="1"/>
  <c r="AH61" i="26"/>
  <c r="AD69" i="26"/>
  <c r="AL69" i="26"/>
  <c r="AL85" i="26"/>
  <c r="AL89" i="26"/>
  <c r="AD89" i="26"/>
  <c r="AK89" i="26"/>
  <c r="AC89" i="26"/>
  <c r="AI89" i="26"/>
  <c r="AH89" i="26"/>
  <c r="AF89" i="26"/>
  <c r="AI61" i="26"/>
  <c r="AE69" i="26"/>
  <c r="AM69" i="26"/>
  <c r="AG73" i="26"/>
  <c r="AF97" i="26"/>
  <c r="AM97" i="26"/>
  <c r="AE97" i="26"/>
  <c r="AL97" i="26"/>
  <c r="AD97" i="26"/>
  <c r="AJ97" i="26"/>
  <c r="AB97" i="26"/>
  <c r="AA97" i="26" s="1"/>
  <c r="AI97" i="26"/>
  <c r="AB61" i="26"/>
  <c r="AA61" i="26" s="1"/>
  <c r="AC85" i="26"/>
  <c r="AB89" i="26"/>
  <c r="AA89" i="26" s="1"/>
  <c r="AG93" i="26"/>
  <c r="AD105" i="26"/>
  <c r="AL105" i="26"/>
  <c r="AM109" i="26"/>
  <c r="AI109" i="26"/>
  <c r="AH109" i="26"/>
  <c r="AD113" i="26"/>
  <c r="Y146" i="26"/>
  <c r="AG163" i="26"/>
  <c r="AE105" i="26"/>
  <c r="AM105" i="26"/>
  <c r="AF113" i="26"/>
  <c r="AI93" i="26"/>
  <c r="AC97" i="26"/>
  <c r="AK97" i="26"/>
  <c r="AD101" i="26"/>
  <c r="AL101" i="26"/>
  <c r="AF105" i="26"/>
  <c r="AB109" i="26"/>
  <c r="AA109" i="26" s="1"/>
  <c r="AK109" i="26"/>
  <c r="AG113" i="26"/>
  <c r="AF117" i="26"/>
  <c r="AJ117" i="26"/>
  <c r="AB117" i="26"/>
  <c r="AA117" i="26" s="1"/>
  <c r="AI117" i="26"/>
  <c r="AH117" i="26"/>
  <c r="AM117" i="26"/>
  <c r="AI159" i="26"/>
  <c r="AB93" i="26"/>
  <c r="AA93" i="26" s="1"/>
  <c r="AJ93" i="26"/>
  <c r="AG105" i="26"/>
  <c r="AC109" i="26"/>
  <c r="AL109" i="26"/>
  <c r="AA134" i="26"/>
  <c r="Y134" i="26"/>
  <c r="AG159" i="26"/>
  <c r="AI113" i="26"/>
  <c r="AM113" i="26"/>
  <c r="AE113" i="26"/>
  <c r="AJ113" i="26"/>
  <c r="AC159" i="26"/>
  <c r="AK159" i="26"/>
  <c r="AD93" i="26"/>
  <c r="AL93" i="26"/>
  <c r="AG101" i="26"/>
  <c r="AI105" i="26"/>
  <c r="AE109" i="26"/>
  <c r="AK113" i="26"/>
  <c r="AI133" i="26"/>
  <c r="AF133" i="26"/>
  <c r="AM133" i="26"/>
  <c r="AE133" i="26"/>
  <c r="AF137" i="26"/>
  <c r="AL137" i="26"/>
  <c r="AD137" i="26"/>
  <c r="AJ137" i="26"/>
  <c r="AB137" i="26"/>
  <c r="AA137" i="26" s="1"/>
  <c r="AI137" i="26"/>
  <c r="AH137" i="26"/>
  <c r="AE93" i="26"/>
  <c r="AB105" i="26"/>
  <c r="AA105" i="26" s="1"/>
  <c r="AF109" i="26"/>
  <c r="AB113" i="26"/>
  <c r="AA113" i="26" s="1"/>
  <c r="AL113" i="26"/>
  <c r="AE117" i="26"/>
  <c r="AK125" i="26"/>
  <c r="AB133" i="26"/>
  <c r="AA133" i="26" s="1"/>
  <c r="AA158" i="26"/>
  <c r="AF121" i="26"/>
  <c r="AF126" i="26"/>
  <c r="AF129" i="26"/>
  <c r="AG160" i="26"/>
  <c r="AG155" i="26" s="1"/>
  <c r="AF163" i="26"/>
  <c r="AB167" i="26"/>
  <c r="AJ167" i="26"/>
  <c r="AG121" i="26"/>
  <c r="AG126" i="26"/>
  <c r="M128" i="26"/>
  <c r="AG129" i="26"/>
  <c r="AH160" i="26"/>
  <c r="AH155" i="26" s="1"/>
  <c r="AH121" i="26"/>
  <c r="AG125" i="26"/>
  <c r="AH126" i="26"/>
  <c r="AH129" i="26"/>
  <c r="AG133" i="26"/>
  <c r="Y142" i="26"/>
  <c r="AI160" i="26"/>
  <c r="AI155" i="26" s="1"/>
  <c r="AI163" i="26"/>
  <c r="AC160" i="26"/>
  <c r="AC155" i="26" s="1"/>
  <c r="AK160" i="26"/>
  <c r="AK155" i="26" s="1"/>
  <c r="AD121" i="26"/>
  <c r="AC125" i="26"/>
  <c r="AD126" i="26"/>
  <c r="AD129" i="26"/>
  <c r="AC133" i="26"/>
  <c r="AE160" i="26"/>
  <c r="AE155" i="26" s="1"/>
  <c r="Q67" i="8"/>
  <c r="Q112" i="7"/>
  <c r="Q148" i="6"/>
  <c r="S148" i="6"/>
  <c r="G11" i="15"/>
  <c r="L212" i="11" a="1"/>
  <c r="L230" i="11" l="1" a="1"/>
  <c r="L230" i="11" s="1"/>
  <c r="O223" i="11"/>
  <c r="L223" i="11" a="1"/>
  <c r="L223" i="11" s="1"/>
  <c r="O215" i="11"/>
  <c r="O229" i="11"/>
  <c r="L229" i="11" a="1"/>
  <c r="L229" i="11" s="1"/>
  <c r="O224" i="11"/>
  <c r="L224" i="11" a="1"/>
  <c r="L224" i="11" s="1"/>
  <c r="O213" i="11"/>
  <c r="O225" i="11"/>
  <c r="L225" i="11" a="1"/>
  <c r="L225" i="11" s="1"/>
  <c r="O228" i="11"/>
  <c r="L228" i="11" a="1"/>
  <c r="L228" i="11" s="1"/>
  <c r="O230" i="11"/>
  <c r="O214" i="11"/>
  <c r="L212" i="11"/>
  <c r="L227" i="11" a="1"/>
  <c r="L227" i="11" s="1"/>
  <c r="O227" i="11"/>
  <c r="O212" i="11"/>
  <c r="L222" i="11" a="1"/>
  <c r="L222" i="11" s="1"/>
  <c r="O222" i="11"/>
  <c r="X150" i="6" a="1"/>
  <c r="X150" i="6" s="1"/>
  <c r="Q150" i="6" a="1"/>
  <c r="Q150" i="6" s="1"/>
  <c r="S150" i="6" a="1"/>
  <c r="S150" i="6" s="1"/>
  <c r="E236" i="11" s="1"/>
  <c r="X114" i="7"/>
  <c r="W114" i="7"/>
  <c r="W150" i="6"/>
  <c r="S69" i="5" a="1"/>
  <c r="S69" i="5" s="1"/>
  <c r="Q69" i="5" a="1"/>
  <c r="Q69" i="5" s="1"/>
  <c r="AA126" i="26"/>
  <c r="Q46" i="48"/>
  <c r="O44" i="48"/>
  <c r="O45" i="48"/>
  <c r="P44" i="48"/>
  <c r="P45" i="48"/>
  <c r="O42" i="48"/>
  <c r="O43" i="48"/>
  <c r="P42" i="48"/>
  <c r="P43" i="48"/>
  <c r="O40" i="48"/>
  <c r="O41" i="48"/>
  <c r="P40" i="48"/>
  <c r="P41" i="48"/>
  <c r="O38" i="48"/>
  <c r="O39" i="48"/>
  <c r="P38" i="48"/>
  <c r="P39" i="48"/>
  <c r="O36" i="48"/>
  <c r="O37" i="48"/>
  <c r="P36" i="48"/>
  <c r="P37" i="48"/>
  <c r="O34" i="48"/>
  <c r="O35" i="48"/>
  <c r="P34" i="48"/>
  <c r="P35" i="48"/>
  <c r="O32" i="48"/>
  <c r="O33" i="48"/>
  <c r="P32" i="48"/>
  <c r="P33" i="48"/>
  <c r="O30" i="48"/>
  <c r="O31" i="48"/>
  <c r="P30" i="48"/>
  <c r="P31" i="48"/>
  <c r="O28" i="48"/>
  <c r="O29" i="48"/>
  <c r="P28" i="48"/>
  <c r="P29" i="48"/>
  <c r="O26" i="48"/>
  <c r="O27" i="48"/>
  <c r="P26" i="48"/>
  <c r="P27" i="48"/>
  <c r="O24" i="48"/>
  <c r="O25" i="48"/>
  <c r="P24" i="48"/>
  <c r="P25" i="48"/>
  <c r="O22" i="48"/>
  <c r="O23" i="48"/>
  <c r="P22" i="48"/>
  <c r="P23" i="48"/>
  <c r="O20" i="48"/>
  <c r="O21" i="48"/>
  <c r="P20" i="48"/>
  <c r="P21" i="48"/>
  <c r="O18" i="48"/>
  <c r="O19" i="48"/>
  <c r="P18" i="48"/>
  <c r="P19" i="48"/>
  <c r="O17" i="48"/>
  <c r="P17" i="48"/>
  <c r="S266" i="11"/>
  <c r="R266" i="11" s="1"/>
  <c r="X114" i="8"/>
  <c r="S263" i="11"/>
  <c r="R263" i="11" s="1"/>
  <c r="S264" i="11"/>
  <c r="R264" i="11" s="1"/>
  <c r="S261" i="11"/>
  <c r="R261" i="11" s="1"/>
  <c r="S265" i="11"/>
  <c r="R265" i="11" s="1"/>
  <c r="S262" i="11"/>
  <c r="R262" i="11" s="1"/>
  <c r="S259" i="11"/>
  <c r="R259" i="11" s="1"/>
  <c r="S256" i="11"/>
  <c r="R256" i="11" s="1"/>
  <c r="S257" i="11"/>
  <c r="R257" i="11" s="1"/>
  <c r="S258" i="11"/>
  <c r="R258" i="11" s="1"/>
  <c r="W114" i="5"/>
  <c r="Q114" i="8" a="1"/>
  <c r="Q114" i="8" s="1"/>
  <c r="S114" i="8" a="1"/>
  <c r="S114" i="8" s="1"/>
  <c r="E237" i="11" s="1"/>
  <c r="W114" i="8"/>
  <c r="Q69" i="7" a="1"/>
  <c r="Q69" i="7" s="1"/>
  <c r="S69" i="7" a="1"/>
  <c r="S69" i="7" s="1"/>
  <c r="S114" i="7" a="1"/>
  <c r="S114" i="7" s="1"/>
  <c r="E235" i="11" s="1"/>
  <c r="Q114" i="7" a="1"/>
  <c r="Q114" i="7" s="1"/>
  <c r="S254" i="11"/>
  <c r="R254" i="11" s="1"/>
  <c r="S260" i="11"/>
  <c r="R260" i="11" s="1"/>
  <c r="Z159" i="26"/>
  <c r="AA159" i="26"/>
  <c r="G21" i="15"/>
  <c r="G47" i="15" s="1"/>
  <c r="G48" i="15" s="1"/>
  <c r="Z20" i="38" s="1"/>
  <c r="Z11" i="38"/>
  <c r="AA21" i="26"/>
  <c r="Y126" i="26"/>
  <c r="K178" i="11"/>
  <c r="R179" i="11" s="1"/>
  <c r="B244" i="11"/>
  <c r="B243" i="11"/>
  <c r="B242" i="11"/>
  <c r="N124" i="26"/>
  <c r="H42" i="26"/>
  <c r="AD46" i="26"/>
  <c r="AH156" i="26"/>
  <c r="AH151" i="26" s="1"/>
  <c r="AG156" i="26"/>
  <c r="AG151" i="26" s="1"/>
  <c r="AF156" i="26"/>
  <c r="AF151" i="26" s="1"/>
  <c r="AD156" i="26"/>
  <c r="AD151" i="26" s="1"/>
  <c r="AJ156" i="26"/>
  <c r="AJ151" i="26" s="1"/>
  <c r="AI122" i="26"/>
  <c r="J124" i="26"/>
  <c r="H118" i="26"/>
  <c r="AE118" i="26" s="1"/>
  <c r="AF122" i="26"/>
  <c r="AL122" i="26"/>
  <c r="AG122" i="26"/>
  <c r="K124" i="26"/>
  <c r="AB155" i="26"/>
  <c r="AA155" i="26" s="1"/>
  <c r="AM122" i="26"/>
  <c r="AM123" i="26" s="1"/>
  <c r="AK122" i="26"/>
  <c r="AJ122" i="26"/>
  <c r="AC122" i="26"/>
  <c r="AB122" i="26"/>
  <c r="AE122" i="26"/>
  <c r="M124" i="26"/>
  <c r="AH122" i="26"/>
  <c r="O124" i="26"/>
  <c r="J179" i="11"/>
  <c r="J180" i="11"/>
  <c r="AK46" i="26"/>
  <c r="W48" i="26"/>
  <c r="T48" i="26"/>
  <c r="Q48" i="26"/>
  <c r="AG46" i="26"/>
  <c r="AB46" i="26"/>
  <c r="AA46" i="26" s="1"/>
  <c r="AL46" i="26"/>
  <c r="AL156" i="26"/>
  <c r="AL151" i="26" s="1"/>
  <c r="I152" i="26"/>
  <c r="AM156" i="26"/>
  <c r="AM151" i="26" s="1"/>
  <c r="AK156" i="26"/>
  <c r="AK151" i="26" s="1"/>
  <c r="AI156" i="26"/>
  <c r="AI151" i="26" s="1"/>
  <c r="AE156" i="26"/>
  <c r="AE151" i="26" s="1"/>
  <c r="AC156" i="26"/>
  <c r="AC151" i="26" s="1"/>
  <c r="AB151" i="26"/>
  <c r="AA151" i="26" s="1"/>
  <c r="AH46" i="26"/>
  <c r="U48" i="26"/>
  <c r="R48" i="26"/>
  <c r="N48" i="26"/>
  <c r="AC46" i="26"/>
  <c r="O48" i="26"/>
  <c r="AI46" i="26"/>
  <c r="AJ46" i="26"/>
  <c r="V48" i="26"/>
  <c r="AM46" i="26"/>
  <c r="P48" i="26"/>
  <c r="AF46" i="26"/>
  <c r="S48" i="26"/>
  <c r="X114" i="5"/>
  <c r="J181" i="11"/>
  <c r="S69" i="8" a="1"/>
  <c r="S69" i="8" s="1"/>
  <c r="Q69" i="8" a="1"/>
  <c r="Q69" i="8" s="1"/>
  <c r="D244" i="11"/>
  <c r="D243" i="11"/>
  <c r="E244" i="11"/>
  <c r="C242" i="11"/>
  <c r="E242" i="11"/>
  <c r="C244" i="11"/>
  <c r="E243" i="11"/>
  <c r="C243" i="11"/>
  <c r="D242" i="11"/>
  <c r="D15" i="3"/>
  <c r="AA163" i="26"/>
  <c r="Z167" i="26"/>
  <c r="AA167" i="26"/>
  <c r="AA50" i="26"/>
  <c r="Y50" i="26"/>
  <c r="L43" i="11"/>
  <c r="K44" i="11" s="1"/>
  <c r="J44" i="11"/>
  <c r="R253" i="11"/>
  <c r="G14" i="15" a="1"/>
  <c r="D14" i="15" a="1"/>
  <c r="L213" i="11" a="1"/>
  <c r="L215" i="11" a="1"/>
  <c r="L214" i="11" a="1"/>
  <c r="L214" i="11" l="1"/>
  <c r="L215" i="11"/>
  <c r="L213" i="11"/>
  <c r="M214" i="11" s="1"/>
  <c r="M223" i="11"/>
  <c r="M224" i="11"/>
  <c r="N222" i="11"/>
  <c r="N223" i="11" s="1"/>
  <c r="N224" i="11" s="1"/>
  <c r="N225" i="11" s="1"/>
  <c r="M225" i="11"/>
  <c r="M230" i="11"/>
  <c r="N227" i="11"/>
  <c r="N228" i="11" s="1"/>
  <c r="N229" i="11" s="1"/>
  <c r="N230" i="11" s="1"/>
  <c r="M228" i="11"/>
  <c r="M229" i="11"/>
  <c r="N212" i="11"/>
  <c r="M213" i="11"/>
  <c r="M215" i="11"/>
  <c r="D14" i="15"/>
  <c r="G14" i="15"/>
  <c r="R180" i="11"/>
  <c r="R178" i="11"/>
  <c r="R44" i="26"/>
  <c r="H38" i="26"/>
  <c r="H34" i="26" s="1"/>
  <c r="H30" i="26" s="1"/>
  <c r="H26" i="26" s="1"/>
  <c r="H22" i="26" s="1"/>
  <c r="H18" i="26" s="1"/>
  <c r="H14" i="26" s="1"/>
  <c r="AB14" i="26" s="1"/>
  <c r="Y14" i="26" s="1"/>
  <c r="O47" i="48"/>
  <c r="P47" i="48"/>
  <c r="Q45" i="48"/>
  <c r="Q44" i="48"/>
  <c r="Q43" i="48"/>
  <c r="Q42" i="48"/>
  <c r="Q41" i="48"/>
  <c r="Q40" i="48"/>
  <c r="Q38" i="48"/>
  <c r="Q39" i="48"/>
  <c r="Q36" i="48"/>
  <c r="Q37" i="48"/>
  <c r="Q35" i="48"/>
  <c r="Q34" i="48"/>
  <c r="Q32" i="48"/>
  <c r="Q33" i="48"/>
  <c r="Q30" i="48"/>
  <c r="Q31" i="48"/>
  <c r="Q28" i="48"/>
  <c r="Q29" i="48"/>
  <c r="Q27" i="48"/>
  <c r="Q26" i="48"/>
  <c r="Q25" i="48"/>
  <c r="Q24" i="48"/>
  <c r="Q23" i="48"/>
  <c r="Q22" i="48"/>
  <c r="Q21" i="48"/>
  <c r="Q20" i="48"/>
  <c r="Q19" i="48"/>
  <c r="Q18" i="48"/>
  <c r="Q17" i="48"/>
  <c r="D26" i="3"/>
  <c r="D22" i="3"/>
  <c r="D25" i="3"/>
  <c r="D21" i="3"/>
  <c r="D24" i="3"/>
  <c r="D23" i="3"/>
  <c r="D19" i="3"/>
  <c r="J243" i="11"/>
  <c r="M243" i="11" s="1"/>
  <c r="F243" i="11"/>
  <c r="D18" i="3"/>
  <c r="D17" i="3"/>
  <c r="D16" i="3"/>
  <c r="D14" i="3"/>
  <c r="D13" i="3"/>
  <c r="D20" i="3"/>
  <c r="K182" i="11"/>
  <c r="R176" i="11" s="1"/>
  <c r="R177" i="11"/>
  <c r="O20" i="38"/>
  <c r="Z15" i="38"/>
  <c r="AM118" i="26"/>
  <c r="H48" i="15"/>
  <c r="T44" i="26"/>
  <c r="AI42" i="26"/>
  <c r="AM42" i="26"/>
  <c r="AF42" i="26"/>
  <c r="AF118" i="26"/>
  <c r="AB42" i="26"/>
  <c r="Y42" i="26" s="1"/>
  <c r="O44" i="26"/>
  <c r="AI118" i="26"/>
  <c r="P44" i="26"/>
  <c r="AK42" i="26"/>
  <c r="AJ118" i="26"/>
  <c r="U44" i="26"/>
  <c r="Q44" i="26"/>
  <c r="AC118" i="26"/>
  <c r="N120" i="26"/>
  <c r="AH42" i="26"/>
  <c r="H114" i="26"/>
  <c r="AL114" i="26" s="1"/>
  <c r="V44" i="26"/>
  <c r="AH118" i="26"/>
  <c r="AC42" i="26"/>
  <c r="AD42" i="26"/>
  <c r="AE42" i="26"/>
  <c r="W44" i="26"/>
  <c r="S44" i="26"/>
  <c r="AJ42" i="26"/>
  <c r="AL42" i="26"/>
  <c r="AG42" i="26"/>
  <c r="N44" i="26"/>
  <c r="AL118" i="26"/>
  <c r="AB118" i="26"/>
  <c r="AD118" i="26"/>
  <c r="AK118" i="26"/>
  <c r="AG118" i="26"/>
  <c r="K120" i="26"/>
  <c r="M120" i="26"/>
  <c r="J120" i="26"/>
  <c r="P120" i="26"/>
  <c r="Y46" i="26"/>
  <c r="Z155" i="26"/>
  <c r="Y122" i="26"/>
  <c r="AA122" i="26"/>
  <c r="O120" i="26"/>
  <c r="S114" i="5" a="1"/>
  <c r="S114" i="5" s="1"/>
  <c r="Q114" i="5" a="1"/>
  <c r="Q114" i="5" s="1"/>
  <c r="Z151" i="26"/>
  <c r="AL152" i="26"/>
  <c r="AL147" i="26" s="1"/>
  <c r="AM152" i="26"/>
  <c r="AM147" i="26" s="1"/>
  <c r="I148" i="26"/>
  <c r="AC148" i="26" s="1"/>
  <c r="AK152" i="26"/>
  <c r="AK147" i="26" s="1"/>
  <c r="AI152" i="26"/>
  <c r="AI147" i="26" s="1"/>
  <c r="AE152" i="26"/>
  <c r="AE147" i="26" s="1"/>
  <c r="AC152" i="26"/>
  <c r="AH152" i="26"/>
  <c r="AH147" i="26" s="1"/>
  <c r="AG152" i="26"/>
  <c r="AG147" i="26" s="1"/>
  <c r="AD152" i="26"/>
  <c r="AD147" i="26" s="1"/>
  <c r="AF152" i="26"/>
  <c r="AF147" i="26" s="1"/>
  <c r="AB152" i="26"/>
  <c r="AJ152" i="26"/>
  <c r="AJ147" i="26" s="1"/>
  <c r="J182" i="11"/>
  <c r="I34" i="11"/>
  <c r="M44" i="11"/>
  <c r="K46" i="11" s="1"/>
  <c r="L44" i="11"/>
  <c r="K45" i="11" s="1"/>
  <c r="H44" i="11"/>
  <c r="O44" i="11" s="1"/>
  <c r="N213" i="11" l="1"/>
  <c r="N214" i="11" s="1"/>
  <c r="N215" i="11" s="1"/>
  <c r="E234" i="11"/>
  <c r="AH38" i="26"/>
  <c r="AC147" i="26"/>
  <c r="H10" i="26"/>
  <c r="S12" i="26" s="1"/>
  <c r="AG14" i="26"/>
  <c r="AF14" i="26"/>
  <c r="AK14" i="26"/>
  <c r="AJ14" i="26"/>
  <c r="AC14" i="26"/>
  <c r="AM14" i="26"/>
  <c r="AE14" i="26"/>
  <c r="AI14" i="26"/>
  <c r="AH14" i="26"/>
  <c r="AL14" i="26"/>
  <c r="AD14" i="26"/>
  <c r="Q16" i="26"/>
  <c r="P16" i="26"/>
  <c r="N16" i="26"/>
  <c r="O16" i="26"/>
  <c r="W16" i="26"/>
  <c r="T16" i="26"/>
  <c r="U16" i="26"/>
  <c r="V16" i="26"/>
  <c r="R16" i="26"/>
  <c r="S16" i="26"/>
  <c r="A1" i="48"/>
  <c r="Q47" i="48"/>
  <c r="G243" i="11"/>
  <c r="AA118" i="26"/>
  <c r="AA42" i="26"/>
  <c r="AE114" i="26"/>
  <c r="AC114" i="26"/>
  <c r="AG114" i="26"/>
  <c r="AM114" i="26"/>
  <c r="H110" i="26"/>
  <c r="AG110" i="26" s="1"/>
  <c r="AH114" i="26"/>
  <c r="K116" i="26"/>
  <c r="AF114" i="26"/>
  <c r="AD38" i="26"/>
  <c r="R40" i="26"/>
  <c r="Q40" i="26"/>
  <c r="AM38" i="26"/>
  <c r="T36" i="26"/>
  <c r="N40" i="26"/>
  <c r="V40" i="26"/>
  <c r="AJ38" i="26"/>
  <c r="AF38" i="26"/>
  <c r="AI38" i="26"/>
  <c r="AB38" i="26"/>
  <c r="AA38" i="26" s="1"/>
  <c r="S40" i="26"/>
  <c r="P40" i="26"/>
  <c r="T40" i="26"/>
  <c r="O40" i="26"/>
  <c r="AC38" i="26"/>
  <c r="AG38" i="26"/>
  <c r="W40" i="26"/>
  <c r="Y118" i="26"/>
  <c r="AK38" i="26"/>
  <c r="U40" i="26"/>
  <c r="AL38" i="26"/>
  <c r="AE38" i="26"/>
  <c r="J116" i="26"/>
  <c r="O116" i="26"/>
  <c r="M116" i="26"/>
  <c r="AI114" i="26"/>
  <c r="AK114" i="26"/>
  <c r="AJ114" i="26"/>
  <c r="AB114" i="26"/>
  <c r="Q116" i="26"/>
  <c r="AD114" i="26"/>
  <c r="N116" i="26"/>
  <c r="P116" i="26"/>
  <c r="AD148" i="26"/>
  <c r="AD143" i="26" s="1"/>
  <c r="AL148" i="26"/>
  <c r="AL143" i="26" s="1"/>
  <c r="AJ148" i="26"/>
  <c r="AJ143" i="26" s="1"/>
  <c r="AF148" i="26"/>
  <c r="AF143" i="26" s="1"/>
  <c r="AC143" i="26"/>
  <c r="AI148" i="26"/>
  <c r="AI143" i="26" s="1"/>
  <c r="AB148" i="26"/>
  <c r="AH148" i="26"/>
  <c r="AH143" i="26" s="1"/>
  <c r="AE148" i="26"/>
  <c r="AE143" i="26" s="1"/>
  <c r="AG148" i="26"/>
  <c r="AG143" i="26" s="1"/>
  <c r="AM148" i="26"/>
  <c r="AM143" i="26" s="1"/>
  <c r="I144" i="26"/>
  <c r="AK148" i="26"/>
  <c r="AK143" i="26" s="1"/>
  <c r="AA152" i="26"/>
  <c r="AB147" i="26"/>
  <c r="H45" i="11"/>
  <c r="O45" i="11" s="1"/>
  <c r="J46" i="11"/>
  <c r="L46" i="11" s="1"/>
  <c r="K47" i="11"/>
  <c r="I35" i="11"/>
  <c r="U12" i="26" l="1"/>
  <c r="W12" i="26"/>
  <c r="V12" i="26"/>
  <c r="Q12" i="26"/>
  <c r="N12" i="26"/>
  <c r="R12" i="26"/>
  <c r="AL10" i="26"/>
  <c r="AD10" i="26"/>
  <c r="AK10" i="26"/>
  <c r="AC10" i="26"/>
  <c r="AJ10" i="26"/>
  <c r="AB10" i="26"/>
  <c r="AI10" i="26"/>
  <c r="AH10" i="26"/>
  <c r="AG10" i="26"/>
  <c r="AF10" i="26"/>
  <c r="AM10" i="26"/>
  <c r="AE10" i="26"/>
  <c r="T12" i="26"/>
  <c r="P12" i="26"/>
  <c r="O12" i="26"/>
  <c r="AA14" i="26"/>
  <c r="AA114" i="26"/>
  <c r="Y38" i="26"/>
  <c r="R36" i="26"/>
  <c r="U36" i="26"/>
  <c r="AC110" i="26"/>
  <c r="AD110" i="26"/>
  <c r="AL34" i="26"/>
  <c r="AE110" i="26"/>
  <c r="AG34" i="26"/>
  <c r="K112" i="26"/>
  <c r="R112" i="26"/>
  <c r="AK34" i="26"/>
  <c r="AL110" i="26"/>
  <c r="AI34" i="26"/>
  <c r="AB110" i="26"/>
  <c r="N112" i="26"/>
  <c r="M112" i="26"/>
  <c r="U32" i="26"/>
  <c r="AK110" i="26"/>
  <c r="Q36" i="26"/>
  <c r="AD34" i="26"/>
  <c r="AM110" i="26"/>
  <c r="AJ110" i="26"/>
  <c r="O36" i="26"/>
  <c r="W36" i="26"/>
  <c r="AM34" i="26"/>
  <c r="N36" i="26"/>
  <c r="H106" i="26"/>
  <c r="AC106" i="26" s="1"/>
  <c r="AF110" i="26"/>
  <c r="S36" i="26"/>
  <c r="AJ34" i="26"/>
  <c r="AH110" i="26"/>
  <c r="P112" i="26"/>
  <c r="O112" i="26"/>
  <c r="AE34" i="26"/>
  <c r="AH34" i="26"/>
  <c r="AB34" i="26"/>
  <c r="AA34" i="26" s="1"/>
  <c r="V36" i="26"/>
  <c r="AF34" i="26"/>
  <c r="AC34" i="26"/>
  <c r="P36" i="26"/>
  <c r="AI110" i="26"/>
  <c r="Q112" i="26"/>
  <c r="J112" i="26"/>
  <c r="Y114" i="26"/>
  <c r="Z147" i="26"/>
  <c r="AA147" i="26"/>
  <c r="AA148" i="26"/>
  <c r="AB143" i="26"/>
  <c r="AI144" i="26"/>
  <c r="AI139" i="26" s="1"/>
  <c r="AH144" i="26"/>
  <c r="AH139" i="26" s="1"/>
  <c r="AF144" i="26"/>
  <c r="AF139" i="26" s="1"/>
  <c r="AM144" i="26"/>
  <c r="AM139" i="26" s="1"/>
  <c r="AJ144" i="26"/>
  <c r="AJ139" i="26" s="1"/>
  <c r="AB144" i="26"/>
  <c r="AL144" i="26"/>
  <c r="AL139" i="26" s="1"/>
  <c r="AK144" i="26"/>
  <c r="AK139" i="26" s="1"/>
  <c r="AD144" i="26"/>
  <c r="AD139" i="26" s="1"/>
  <c r="AG144" i="26"/>
  <c r="AG139" i="26" s="1"/>
  <c r="I140" i="26"/>
  <c r="AE144" i="26"/>
  <c r="AE139" i="26" s="1"/>
  <c r="AC144" i="26"/>
  <c r="AC139" i="26" s="1"/>
  <c r="I36" i="11"/>
  <c r="K49" i="11"/>
  <c r="M46" i="11"/>
  <c r="H46" i="11"/>
  <c r="O46" i="11" s="1"/>
  <c r="J47" i="11"/>
  <c r="L47" i="11" s="1"/>
  <c r="Y67" i="7"/>
  <c r="Y112" i="7"/>
  <c r="AI67" i="7"/>
  <c r="AI112" i="7"/>
  <c r="Y34" i="26" l="1"/>
  <c r="AA10" i="26"/>
  <c r="Y10" i="26"/>
  <c r="AA110" i="26"/>
  <c r="AM30" i="26"/>
  <c r="R32" i="26"/>
  <c r="J108" i="26"/>
  <c r="AL106" i="26"/>
  <c r="O108" i="26"/>
  <c r="AB106" i="26"/>
  <c r="AK106" i="26"/>
  <c r="AJ30" i="26"/>
  <c r="AH106" i="26"/>
  <c r="AI30" i="26"/>
  <c r="H102" i="26"/>
  <c r="O32" i="26"/>
  <c r="AM106" i="26"/>
  <c r="AD106" i="26"/>
  <c r="AI106" i="26"/>
  <c r="W32" i="26"/>
  <c r="AE106" i="26"/>
  <c r="AJ106" i="26"/>
  <c r="AE30" i="26"/>
  <c r="Q108" i="26"/>
  <c r="AG106" i="26"/>
  <c r="AB30" i="26"/>
  <c r="AA30" i="26" s="1"/>
  <c r="S108" i="26"/>
  <c r="R108" i="26"/>
  <c r="K108" i="26"/>
  <c r="S32" i="26"/>
  <c r="P108" i="26"/>
  <c r="M108" i="26"/>
  <c r="P32" i="26"/>
  <c r="R28" i="26"/>
  <c r="AK30" i="26"/>
  <c r="AF30" i="26"/>
  <c r="N108" i="26"/>
  <c r="AD30" i="26"/>
  <c r="AC30" i="26"/>
  <c r="AH30" i="26"/>
  <c r="Q32" i="26"/>
  <c r="T32" i="26"/>
  <c r="N32" i="26"/>
  <c r="AG30" i="26"/>
  <c r="AF106" i="26"/>
  <c r="V32" i="26"/>
  <c r="AL30" i="26"/>
  <c r="Y110" i="26"/>
  <c r="I136" i="26"/>
  <c r="AM140" i="26"/>
  <c r="AM135" i="26" s="1"/>
  <c r="AF140" i="26"/>
  <c r="AF135" i="26" s="1"/>
  <c r="AI140" i="26"/>
  <c r="AI135" i="26" s="1"/>
  <c r="AL140" i="26"/>
  <c r="AL135" i="26" s="1"/>
  <c r="AG140" i="26"/>
  <c r="AG135" i="26" s="1"/>
  <c r="AH140" i="26"/>
  <c r="AH135" i="26" s="1"/>
  <c r="AD140" i="26"/>
  <c r="AD135" i="26" s="1"/>
  <c r="AE140" i="26"/>
  <c r="AE135" i="26" s="1"/>
  <c r="AK140" i="26"/>
  <c r="AK135" i="26" s="1"/>
  <c r="AJ140" i="26"/>
  <c r="AJ135" i="26" s="1"/>
  <c r="AB140" i="26"/>
  <c r="AC140" i="26"/>
  <c r="AC135" i="26" s="1"/>
  <c r="AA143" i="26"/>
  <c r="Z143" i="26"/>
  <c r="AB139" i="26"/>
  <c r="AA144" i="26"/>
  <c r="J48" i="11"/>
  <c r="H48" i="11" s="1"/>
  <c r="O48" i="11" s="1"/>
  <c r="M47" i="11"/>
  <c r="J49" i="11" s="1"/>
  <c r="J50" i="11" s="1"/>
  <c r="H47" i="11"/>
  <c r="O47" i="11" s="1"/>
  <c r="M49" i="11"/>
  <c r="I132" i="26" l="1"/>
  <c r="AC136" i="26"/>
  <c r="AC131" i="26" s="1"/>
  <c r="AM102" i="26"/>
  <c r="H98" i="26"/>
  <c r="H94" i="26" s="1"/>
  <c r="P104" i="26"/>
  <c r="AA106" i="26"/>
  <c r="AC102" i="26"/>
  <c r="AF102" i="26"/>
  <c r="AJ102" i="26"/>
  <c r="S104" i="26"/>
  <c r="AK102" i="26"/>
  <c r="AD102" i="26"/>
  <c r="Q104" i="26"/>
  <c r="Y106" i="26"/>
  <c r="AG102" i="26"/>
  <c r="AB102" i="26"/>
  <c r="AH102" i="26"/>
  <c r="N104" i="26"/>
  <c r="U28" i="26"/>
  <c r="AL22" i="26"/>
  <c r="Q28" i="26"/>
  <c r="AE26" i="26"/>
  <c r="AB26" i="26"/>
  <c r="Y26" i="26" s="1"/>
  <c r="S28" i="26"/>
  <c r="M104" i="26"/>
  <c r="AL102" i="26"/>
  <c r="AH26" i="26"/>
  <c r="AJ26" i="26"/>
  <c r="P28" i="26"/>
  <c r="O28" i="26"/>
  <c r="AC26" i="26"/>
  <c r="Y30" i="26"/>
  <c r="AE102" i="26"/>
  <c r="AI102" i="26"/>
  <c r="K104" i="26"/>
  <c r="AM26" i="26"/>
  <c r="AF26" i="26"/>
  <c r="AI26" i="26"/>
  <c r="T28" i="26"/>
  <c r="AG26" i="26"/>
  <c r="AK26" i="26"/>
  <c r="R104" i="26"/>
  <c r="N28" i="26"/>
  <c r="AD26" i="26"/>
  <c r="J104" i="26"/>
  <c r="W28" i="26"/>
  <c r="V28" i="26"/>
  <c r="AL26" i="26"/>
  <c r="T104" i="26"/>
  <c r="O104" i="26"/>
  <c r="AA140" i="26"/>
  <c r="AB135" i="26"/>
  <c r="AD136" i="26"/>
  <c r="AD131" i="26" s="1"/>
  <c r="AI136" i="26"/>
  <c r="AI131" i="26" s="1"/>
  <c r="AM136" i="26"/>
  <c r="AM131" i="26" s="1"/>
  <c r="AH136" i="26"/>
  <c r="AH131" i="26" s="1"/>
  <c r="AB136" i="26"/>
  <c r="AG136" i="26"/>
  <c r="AG131" i="26" s="1"/>
  <c r="AL136" i="26"/>
  <c r="AL131" i="26" s="1"/>
  <c r="AE136" i="26"/>
  <c r="AE131" i="26" s="1"/>
  <c r="AJ136" i="26"/>
  <c r="AJ131" i="26" s="1"/>
  <c r="AK136" i="26"/>
  <c r="AK131" i="26" s="1"/>
  <c r="AF136" i="26"/>
  <c r="AF131" i="26" s="1"/>
  <c r="Z139" i="26"/>
  <c r="AA139" i="26"/>
  <c r="L49" i="11"/>
  <c r="K50" i="11" s="1"/>
  <c r="H50" i="11" s="1"/>
  <c r="O50" i="11" s="1"/>
  <c r="AM98" i="26" l="1"/>
  <c r="J100" i="26"/>
  <c r="J96" i="26" s="1"/>
  <c r="AF98" i="26"/>
  <c r="AH98" i="26"/>
  <c r="AD98" i="26"/>
  <c r="H90" i="26"/>
  <c r="AH94" i="26"/>
  <c r="O96" i="26"/>
  <c r="AG94" i="26"/>
  <c r="N96" i="26"/>
  <c r="AF94" i="26"/>
  <c r="AM94" i="26"/>
  <c r="AE94" i="26"/>
  <c r="AL94" i="26"/>
  <c r="AD94" i="26"/>
  <c r="AK94" i="26"/>
  <c r="AC94" i="26"/>
  <c r="AJ94" i="26"/>
  <c r="AB94" i="26"/>
  <c r="AI94" i="26"/>
  <c r="AG98" i="26"/>
  <c r="P100" i="26"/>
  <c r="P96" i="26" s="1"/>
  <c r="AB98" i="26"/>
  <c r="AC98" i="26"/>
  <c r="AA102" i="26"/>
  <c r="AJ98" i="26"/>
  <c r="AA26" i="26"/>
  <c r="U100" i="26"/>
  <c r="U96" i="26" s="1"/>
  <c r="AB22" i="26"/>
  <c r="Q24" i="26"/>
  <c r="AH22" i="26"/>
  <c r="R24" i="26"/>
  <c r="V20" i="26"/>
  <c r="AD22" i="26"/>
  <c r="V24" i="26"/>
  <c r="AI22" i="26"/>
  <c r="O24" i="26"/>
  <c r="AF22" i="26"/>
  <c r="AJ22" i="26"/>
  <c r="AE22" i="26"/>
  <c r="T24" i="26"/>
  <c r="P24" i="26"/>
  <c r="AM22" i="26"/>
  <c r="AG22" i="26"/>
  <c r="AC22" i="26"/>
  <c r="S24" i="26"/>
  <c r="U24" i="26"/>
  <c r="AK22" i="26"/>
  <c r="S100" i="26"/>
  <c r="S96" i="26" s="1"/>
  <c r="N24" i="26"/>
  <c r="W24" i="26"/>
  <c r="Y102" i="26"/>
  <c r="R100" i="26"/>
  <c r="R96" i="26" s="1"/>
  <c r="Q100" i="26"/>
  <c r="Q96" i="26" s="1"/>
  <c r="V96" i="26"/>
  <c r="T100" i="26"/>
  <c r="T96" i="26" s="1"/>
  <c r="M100" i="26"/>
  <c r="M96" i="26" s="1"/>
  <c r="AK98" i="26"/>
  <c r="N100" i="26"/>
  <c r="AI98" i="26"/>
  <c r="AL98" i="26"/>
  <c r="K100" i="26"/>
  <c r="K96" i="26" s="1"/>
  <c r="O100" i="26"/>
  <c r="AE98" i="26"/>
  <c r="L50" i="11"/>
  <c r="K51" i="11" s="1"/>
  <c r="H51" i="11" s="1"/>
  <c r="O51" i="11" s="1"/>
  <c r="M50" i="11"/>
  <c r="K52" i="11" s="1"/>
  <c r="K53" i="11" s="1"/>
  <c r="AB131" i="26"/>
  <c r="AA136" i="26"/>
  <c r="AA135" i="26"/>
  <c r="Z135" i="26"/>
  <c r="I128" i="26"/>
  <c r="AI132" i="26"/>
  <c r="AI127" i="26" s="1"/>
  <c r="AJ132" i="26"/>
  <c r="AJ127" i="26" s="1"/>
  <c r="AE132" i="26"/>
  <c r="AE127" i="26" s="1"/>
  <c r="AB132" i="26"/>
  <c r="AC132" i="26"/>
  <c r="AC127" i="26" s="1"/>
  <c r="AH132" i="26"/>
  <c r="AH127" i="26" s="1"/>
  <c r="AG132" i="26"/>
  <c r="AG127" i="26" s="1"/>
  <c r="AF132" i="26"/>
  <c r="AF127" i="26" s="1"/>
  <c r="AL132" i="26"/>
  <c r="AL127" i="26" s="1"/>
  <c r="AM132" i="26"/>
  <c r="AM127" i="26" s="1"/>
  <c r="AD132" i="26"/>
  <c r="AD127" i="26" s="1"/>
  <c r="AK132" i="26"/>
  <c r="AK127" i="26" s="1"/>
  <c r="K92" i="26" l="1"/>
  <c r="K88" i="26" s="1"/>
  <c r="K84" i="26" s="1"/>
  <c r="K80" i="26" s="1"/>
  <c r="K76" i="26" s="1"/>
  <c r="K72" i="26" s="1"/>
  <c r="K68" i="26" s="1"/>
  <c r="K64" i="26" s="1"/>
  <c r="K60" i="26" s="1"/>
  <c r="K56" i="26" s="1"/>
  <c r="K52" i="26" s="1"/>
  <c r="K48" i="26" s="1"/>
  <c r="K44" i="26" s="1"/>
  <c r="K40" i="26" s="1"/>
  <c r="K36" i="26" s="1"/>
  <c r="K32" i="26" s="1"/>
  <c r="K28" i="26" s="1"/>
  <c r="K24" i="26" s="1"/>
  <c r="K20" i="26" s="1"/>
  <c r="K16" i="26" s="1"/>
  <c r="K12" i="26" s="1"/>
  <c r="M92" i="26"/>
  <c r="M88" i="26" s="1"/>
  <c r="M84" i="26" s="1"/>
  <c r="M80" i="26" s="1"/>
  <c r="M76" i="26" s="1"/>
  <c r="M72" i="26" s="1"/>
  <c r="M68" i="26" s="1"/>
  <c r="M64" i="26" s="1"/>
  <c r="M60" i="26" s="1"/>
  <c r="M56" i="26" s="1"/>
  <c r="M52" i="26" s="1"/>
  <c r="M48" i="26" s="1"/>
  <c r="M44" i="26" s="1"/>
  <c r="M40" i="26" s="1"/>
  <c r="M36" i="26" s="1"/>
  <c r="M32" i="26" s="1"/>
  <c r="M28" i="26" s="1"/>
  <c r="M24" i="26" s="1"/>
  <c r="M20" i="26" s="1"/>
  <c r="M16" i="26" s="1"/>
  <c r="M12" i="26" s="1"/>
  <c r="AA94" i="26"/>
  <c r="Y94" i="26"/>
  <c r="P92" i="26"/>
  <c r="AH90" i="26"/>
  <c r="W92" i="26"/>
  <c r="O92" i="26"/>
  <c r="AG90" i="26"/>
  <c r="V92" i="26"/>
  <c r="N92" i="26"/>
  <c r="AF90" i="26"/>
  <c r="U92" i="26"/>
  <c r="AM90" i="26"/>
  <c r="AE90" i="26"/>
  <c r="T92" i="26"/>
  <c r="AL90" i="26"/>
  <c r="AD90" i="26"/>
  <c r="S92" i="26"/>
  <c r="AK90" i="26"/>
  <c r="AC90" i="26"/>
  <c r="AI90" i="26"/>
  <c r="R92" i="26"/>
  <c r="AJ90" i="26"/>
  <c r="AB90" i="26"/>
  <c r="Q92" i="26"/>
  <c r="J92" i="26"/>
  <c r="J88" i="26" s="1"/>
  <c r="J84" i="26" s="1"/>
  <c r="J80" i="26" s="1"/>
  <c r="J76" i="26" s="1"/>
  <c r="J72" i="26" s="1"/>
  <c r="J68" i="26" s="1"/>
  <c r="J64" i="26" s="1"/>
  <c r="J60" i="26" s="1"/>
  <c r="J56" i="26" s="1"/>
  <c r="J52" i="26" s="1"/>
  <c r="J48" i="26" s="1"/>
  <c r="J44" i="26" s="1"/>
  <c r="J40" i="26" s="1"/>
  <c r="J36" i="26" s="1"/>
  <c r="J32" i="26" s="1"/>
  <c r="J28" i="26" s="1"/>
  <c r="J24" i="26" s="1"/>
  <c r="J20" i="26" s="1"/>
  <c r="J16" i="26" s="1"/>
  <c r="J12" i="26" s="1"/>
  <c r="Y98" i="26"/>
  <c r="AA98" i="26"/>
  <c r="Y22" i="26"/>
  <c r="AC18" i="26"/>
  <c r="T20" i="26"/>
  <c r="S20" i="26"/>
  <c r="O20" i="26"/>
  <c r="W20" i="26"/>
  <c r="AD18" i="26"/>
  <c r="AE18" i="26"/>
  <c r="AA22" i="26"/>
  <c r="AK18" i="26"/>
  <c r="AJ18" i="26"/>
  <c r="P20" i="26"/>
  <c r="R20" i="26"/>
  <c r="AB18" i="26"/>
  <c r="AG18" i="26"/>
  <c r="AF18" i="26"/>
  <c r="Q20" i="26"/>
  <c r="AH18" i="26"/>
  <c r="AL18" i="26"/>
  <c r="N20" i="26"/>
  <c r="U20" i="26"/>
  <c r="AI18" i="26"/>
  <c r="AM18" i="26"/>
  <c r="J52" i="11"/>
  <c r="L52" i="11" s="1"/>
  <c r="AJ128" i="26"/>
  <c r="AJ123" i="26" s="1"/>
  <c r="AK128" i="26"/>
  <c r="AK123" i="26" s="1"/>
  <c r="AF128" i="26"/>
  <c r="AF123" i="26" s="1"/>
  <c r="AC128" i="26"/>
  <c r="AC123" i="26" s="1"/>
  <c r="I124" i="26"/>
  <c r="AB128" i="26"/>
  <c r="AI128" i="26"/>
  <c r="AI123" i="26" s="1"/>
  <c r="AH128" i="26"/>
  <c r="AH123" i="26" s="1"/>
  <c r="AG128" i="26"/>
  <c r="AG123" i="26" s="1"/>
  <c r="AE128" i="26"/>
  <c r="AE123" i="26" s="1"/>
  <c r="AL128" i="26"/>
  <c r="AL123" i="26" s="1"/>
  <c r="AD128" i="26"/>
  <c r="AD123" i="26" s="1"/>
  <c r="AA132" i="26"/>
  <c r="AB127" i="26"/>
  <c r="Z131" i="26"/>
  <c r="AA131" i="26"/>
  <c r="AA90" i="26" l="1"/>
  <c r="Y90" i="26"/>
  <c r="AA18" i="26"/>
  <c r="Y18" i="26"/>
  <c r="J53" i="11"/>
  <c r="L53" i="11" s="1"/>
  <c r="M52" i="11"/>
  <c r="H52" i="11"/>
  <c r="O52" i="11" s="1"/>
  <c r="AF124" i="26"/>
  <c r="AF119" i="26" s="1"/>
  <c r="AC124" i="26"/>
  <c r="AC119" i="26" s="1"/>
  <c r="AM124" i="26"/>
  <c r="AM119" i="26" s="1"/>
  <c r="I120" i="26"/>
  <c r="AE124" i="26"/>
  <c r="AE119" i="26" s="1"/>
  <c r="AK124" i="26"/>
  <c r="AK119" i="26" s="1"/>
  <c r="AG124" i="26"/>
  <c r="AG119" i="26" s="1"/>
  <c r="AL124" i="26"/>
  <c r="AL119" i="26" s="1"/>
  <c r="AB124" i="26"/>
  <c r="AH124" i="26"/>
  <c r="AH119" i="26" s="1"/>
  <c r="AD124" i="26"/>
  <c r="AD119" i="26" s="1"/>
  <c r="AJ124" i="26"/>
  <c r="AJ119" i="26" s="1"/>
  <c r="AI124" i="26"/>
  <c r="AI119" i="26" s="1"/>
  <c r="AA128" i="26"/>
  <c r="AB123" i="26"/>
  <c r="AA127" i="26"/>
  <c r="Z127" i="26"/>
  <c r="M53" i="11" l="1"/>
  <c r="K55" i="11" s="1"/>
  <c r="H53" i="11"/>
  <c r="O53" i="11" s="1"/>
  <c r="J54" i="11"/>
  <c r="K54" i="11" s="1"/>
  <c r="AA123" i="26"/>
  <c r="Z123" i="26"/>
  <c r="AB120" i="26"/>
  <c r="AK120" i="26"/>
  <c r="AK115" i="26" s="1"/>
  <c r="AL120" i="26"/>
  <c r="AL115" i="26" s="1"/>
  <c r="AC120" i="26"/>
  <c r="AC115" i="26" s="1"/>
  <c r="AJ120" i="26"/>
  <c r="AJ115" i="26" s="1"/>
  <c r="AG120" i="26"/>
  <c r="AG115" i="26" s="1"/>
  <c r="AI120" i="26"/>
  <c r="AI115" i="26" s="1"/>
  <c r="AF120" i="26"/>
  <c r="AF115" i="26" s="1"/>
  <c r="AH120" i="26"/>
  <c r="AH115" i="26" s="1"/>
  <c r="AM120" i="26"/>
  <c r="AM115" i="26" s="1"/>
  <c r="AE120" i="26"/>
  <c r="AE115" i="26" s="1"/>
  <c r="AD120" i="26"/>
  <c r="AD115" i="26" s="1"/>
  <c r="I116" i="26"/>
  <c r="AA124" i="26"/>
  <c r="AB119" i="26"/>
  <c r="J55" i="11" l="1"/>
  <c r="L55" i="11" s="1"/>
  <c r="H54" i="11"/>
  <c r="O54" i="11" s="1"/>
  <c r="AE116" i="26"/>
  <c r="AE111" i="26" s="1"/>
  <c r="I112" i="26"/>
  <c r="AI116" i="26"/>
  <c r="AI111" i="26" s="1"/>
  <c r="AH116" i="26"/>
  <c r="AH111" i="26" s="1"/>
  <c r="AG116" i="26"/>
  <c r="AG111" i="26" s="1"/>
  <c r="AJ116" i="26"/>
  <c r="AJ111" i="26" s="1"/>
  <c r="AD116" i="26"/>
  <c r="AD111" i="26" s="1"/>
  <c r="AB116" i="26"/>
  <c r="AL116" i="26"/>
  <c r="AL111" i="26" s="1"/>
  <c r="AM116" i="26"/>
  <c r="AM111" i="26" s="1"/>
  <c r="AK116" i="26"/>
  <c r="AK111" i="26" s="1"/>
  <c r="AF116" i="26"/>
  <c r="AF111" i="26" s="1"/>
  <c r="AC116" i="26"/>
  <c r="AC111" i="26" s="1"/>
  <c r="AB115" i="26"/>
  <c r="AA120" i="26"/>
  <c r="Z119" i="26"/>
  <c r="AA119" i="26"/>
  <c r="AA116" i="26" l="1"/>
  <c r="AB111" i="26"/>
  <c r="AM112" i="26"/>
  <c r="AM107" i="26" s="1"/>
  <c r="AB112" i="26"/>
  <c r="AH112" i="26"/>
  <c r="AH107" i="26" s="1"/>
  <c r="AK112" i="26"/>
  <c r="AK107" i="26" s="1"/>
  <c r="AL112" i="26"/>
  <c r="AL107" i="26" s="1"/>
  <c r="AJ112" i="26"/>
  <c r="AJ107" i="26" s="1"/>
  <c r="AD112" i="26"/>
  <c r="AD107" i="26" s="1"/>
  <c r="AI112" i="26"/>
  <c r="AI107" i="26" s="1"/>
  <c r="AF112" i="26"/>
  <c r="AF107" i="26" s="1"/>
  <c r="AG112" i="26"/>
  <c r="AG107" i="26" s="1"/>
  <c r="AE112" i="26"/>
  <c r="AE107" i="26" s="1"/>
  <c r="I108" i="26"/>
  <c r="AC112" i="26"/>
  <c r="AC107" i="26" s="1"/>
  <c r="Z115" i="26"/>
  <c r="AA115" i="26"/>
  <c r="AA112" i="26" l="1"/>
  <c r="AB107" i="26"/>
  <c r="AB108" i="26"/>
  <c r="AH108" i="26"/>
  <c r="AH103" i="26" s="1"/>
  <c r="AD108" i="26"/>
  <c r="AD103" i="26" s="1"/>
  <c r="AJ108" i="26"/>
  <c r="AJ103" i="26" s="1"/>
  <c r="AE108" i="26"/>
  <c r="AE103" i="26" s="1"/>
  <c r="AI108" i="26"/>
  <c r="AI103" i="26" s="1"/>
  <c r="AL108" i="26"/>
  <c r="AL103" i="26" s="1"/>
  <c r="AG108" i="26"/>
  <c r="AG103" i="26" s="1"/>
  <c r="AK108" i="26"/>
  <c r="AK103" i="26" s="1"/>
  <c r="AF108" i="26"/>
  <c r="AF103" i="26" s="1"/>
  <c r="AM108" i="26"/>
  <c r="AM103" i="26" s="1"/>
  <c r="I104" i="26"/>
  <c r="AC108" i="26"/>
  <c r="AC103" i="26" s="1"/>
  <c r="AA111" i="26"/>
  <c r="Z111" i="26"/>
  <c r="AA108" i="26" l="1"/>
  <c r="AB103" i="26"/>
  <c r="AF104" i="26"/>
  <c r="AF99" i="26" s="1"/>
  <c r="AB104" i="26"/>
  <c r="AL104" i="26"/>
  <c r="AL99" i="26" s="1"/>
  <c r="AK104" i="26"/>
  <c r="AK99" i="26" s="1"/>
  <c r="AG104" i="26"/>
  <c r="AG99" i="26" s="1"/>
  <c r="AC104" i="26"/>
  <c r="AC99" i="26" s="1"/>
  <c r="AM104" i="26"/>
  <c r="AM99" i="26" s="1"/>
  <c r="AJ104" i="26"/>
  <c r="AJ99" i="26" s="1"/>
  <c r="AD104" i="26"/>
  <c r="AD99" i="26" s="1"/>
  <c r="AE104" i="26"/>
  <c r="AE99" i="26" s="1"/>
  <c r="I100" i="26"/>
  <c r="AI104" i="26"/>
  <c r="AI99" i="26" s="1"/>
  <c r="AH104" i="26"/>
  <c r="AH99" i="26" s="1"/>
  <c r="Z107" i="26"/>
  <c r="AA107" i="26"/>
  <c r="AA104" i="26" l="1"/>
  <c r="AB99" i="26"/>
  <c r="AF100" i="26"/>
  <c r="AF95" i="26" s="1"/>
  <c r="AJ100" i="26"/>
  <c r="AJ95" i="26" s="1"/>
  <c r="AG100" i="26"/>
  <c r="AG95" i="26" s="1"/>
  <c r="AC100" i="26"/>
  <c r="AC95" i="26" s="1"/>
  <c r="AM100" i="26"/>
  <c r="AM95" i="26" s="1"/>
  <c r="AB100" i="26"/>
  <c r="AE100" i="26"/>
  <c r="AE95" i="26" s="1"/>
  <c r="AI100" i="26"/>
  <c r="AI95" i="26" s="1"/>
  <c r="AL100" i="26"/>
  <c r="AL95" i="26" s="1"/>
  <c r="AD100" i="26"/>
  <c r="AD95" i="26" s="1"/>
  <c r="AK100" i="26"/>
  <c r="AK95" i="26" s="1"/>
  <c r="AH100" i="26"/>
  <c r="AH95" i="26" s="1"/>
  <c r="I96" i="26"/>
  <c r="AA103" i="26"/>
  <c r="Z103" i="26"/>
  <c r="AB95" i="26" l="1"/>
  <c r="AA100" i="26"/>
  <c r="I92" i="26"/>
  <c r="AG96" i="26"/>
  <c r="AG91" i="26" s="1"/>
  <c r="AK96" i="26"/>
  <c r="AK91" i="26" s="1"/>
  <c r="AD96" i="26"/>
  <c r="AD91" i="26" s="1"/>
  <c r="AC96" i="26"/>
  <c r="AC91" i="26" s="1"/>
  <c r="AJ96" i="26"/>
  <c r="AJ91" i="26" s="1"/>
  <c r="AB96" i="26"/>
  <c r="AH96" i="26"/>
  <c r="AH91" i="26" s="1"/>
  <c r="AL96" i="26"/>
  <c r="AL91" i="26" s="1"/>
  <c r="AF96" i="26"/>
  <c r="AF91" i="26" s="1"/>
  <c r="AI96" i="26"/>
  <c r="AI91" i="26" s="1"/>
  <c r="AM96" i="26"/>
  <c r="AM91" i="26" s="1"/>
  <c r="AE96" i="26"/>
  <c r="AE91" i="26" s="1"/>
  <c r="Z99" i="26"/>
  <c r="AA99" i="26"/>
  <c r="AI92" i="26" l="1"/>
  <c r="AI87" i="26" s="1"/>
  <c r="AH92" i="26"/>
  <c r="AH87" i="26" s="1"/>
  <c r="AJ92" i="26"/>
  <c r="AJ87" i="26" s="1"/>
  <c r="I88" i="26"/>
  <c r="AD92" i="26"/>
  <c r="AD87" i="26" s="1"/>
  <c r="AB92" i="26"/>
  <c r="AF92" i="26"/>
  <c r="AF87" i="26" s="1"/>
  <c r="AL92" i="26"/>
  <c r="AL87" i="26" s="1"/>
  <c r="AM92" i="26"/>
  <c r="AM87" i="26" s="1"/>
  <c r="AK92" i="26"/>
  <c r="AK87" i="26" s="1"/>
  <c r="AG92" i="26"/>
  <c r="AG87" i="26" s="1"/>
  <c r="AC92" i="26"/>
  <c r="AC87" i="26" s="1"/>
  <c r="AE92" i="26"/>
  <c r="AE87" i="26" s="1"/>
  <c r="AA96" i="26"/>
  <c r="AB91" i="26"/>
  <c r="AA95" i="26"/>
  <c r="Z95" i="26"/>
  <c r="AA91" i="26" l="1"/>
  <c r="Z91" i="26"/>
  <c r="AH88" i="26"/>
  <c r="AH83" i="26" s="1"/>
  <c r="AI88" i="26"/>
  <c r="AI83" i="26" s="1"/>
  <c r="AF88" i="26"/>
  <c r="AF83" i="26" s="1"/>
  <c r="I84" i="26"/>
  <c r="AC88" i="26"/>
  <c r="AC83" i="26" s="1"/>
  <c r="AG88" i="26"/>
  <c r="AG83" i="26" s="1"/>
  <c r="AM88" i="26"/>
  <c r="AM83" i="26" s="1"/>
  <c r="AL88" i="26"/>
  <c r="AL83" i="26" s="1"/>
  <c r="AK88" i="26"/>
  <c r="AK83" i="26" s="1"/>
  <c r="AJ88" i="26"/>
  <c r="AJ83" i="26" s="1"/>
  <c r="AD88" i="26"/>
  <c r="AD83" i="26" s="1"/>
  <c r="AB88" i="26"/>
  <c r="AE88" i="26"/>
  <c r="AE83" i="26" s="1"/>
  <c r="AA92" i="26"/>
  <c r="AB87" i="26"/>
  <c r="AF84" i="26" l="1"/>
  <c r="AF79" i="26" s="1"/>
  <c r="AC84" i="26"/>
  <c r="AC79" i="26" s="1"/>
  <c r="AG84" i="26"/>
  <c r="AG79" i="26" s="1"/>
  <c r="AE84" i="26"/>
  <c r="AE79" i="26" s="1"/>
  <c r="AL84" i="26"/>
  <c r="AL79" i="26" s="1"/>
  <c r="I80" i="26"/>
  <c r="AD84" i="26"/>
  <c r="AD79" i="26" s="1"/>
  <c r="AH84" i="26"/>
  <c r="AH79" i="26" s="1"/>
  <c r="AB84" i="26"/>
  <c r="AM84" i="26"/>
  <c r="AM79" i="26" s="1"/>
  <c r="AK84" i="26"/>
  <c r="AK79" i="26" s="1"/>
  <c r="AI84" i="26"/>
  <c r="AI79" i="26" s="1"/>
  <c r="AJ84" i="26"/>
  <c r="AJ79" i="26" s="1"/>
  <c r="AA88" i="26"/>
  <c r="AB83" i="26"/>
  <c r="AA87" i="26"/>
  <c r="Z87" i="26"/>
  <c r="AA83" i="26" l="1"/>
  <c r="Z83" i="26"/>
  <c r="AK80" i="26"/>
  <c r="AK75" i="26" s="1"/>
  <c r="AC80" i="26"/>
  <c r="AC75" i="26" s="1"/>
  <c r="AE80" i="26"/>
  <c r="AE75" i="26" s="1"/>
  <c r="AI80" i="26"/>
  <c r="AI75" i="26" s="1"/>
  <c r="AL80" i="26"/>
  <c r="AL75" i="26" s="1"/>
  <c r="AM80" i="26"/>
  <c r="AM75" i="26" s="1"/>
  <c r="AJ80" i="26"/>
  <c r="AJ75" i="26" s="1"/>
  <c r="AG80" i="26"/>
  <c r="AG75" i="26" s="1"/>
  <c r="AH80" i="26"/>
  <c r="AH75" i="26" s="1"/>
  <c r="I76" i="26"/>
  <c r="AF80" i="26"/>
  <c r="AF75" i="26" s="1"/>
  <c r="AD80" i="26"/>
  <c r="AD75" i="26" s="1"/>
  <c r="AB80" i="26"/>
  <c r="AA84" i="26"/>
  <c r="AB79" i="26"/>
  <c r="AA80" i="26" l="1"/>
  <c r="AB75" i="26"/>
  <c r="AE76" i="26"/>
  <c r="AE71" i="26" s="1"/>
  <c r="I72" i="26"/>
  <c r="AL76" i="26"/>
  <c r="AL71" i="26" s="1"/>
  <c r="AF76" i="26"/>
  <c r="AF71" i="26" s="1"/>
  <c r="AD76" i="26"/>
  <c r="AD71" i="26" s="1"/>
  <c r="AH76" i="26"/>
  <c r="AH71" i="26" s="1"/>
  <c r="AG76" i="26"/>
  <c r="AG71" i="26" s="1"/>
  <c r="AC76" i="26"/>
  <c r="AC71" i="26" s="1"/>
  <c r="AK76" i="26"/>
  <c r="AK71" i="26" s="1"/>
  <c r="AJ76" i="26"/>
  <c r="AJ71" i="26" s="1"/>
  <c r="AB76" i="26"/>
  <c r="AM76" i="26"/>
  <c r="AM71" i="26" s="1"/>
  <c r="AI76" i="26"/>
  <c r="AI71" i="26" s="1"/>
  <c r="AA79" i="26"/>
  <c r="Z79" i="26"/>
  <c r="AA76" i="26" l="1"/>
  <c r="AB71" i="26"/>
  <c r="AM72" i="26"/>
  <c r="AM67" i="26" s="1"/>
  <c r="AJ72" i="26"/>
  <c r="AJ67" i="26" s="1"/>
  <c r="AG72" i="26"/>
  <c r="AG67" i="26" s="1"/>
  <c r="AF72" i="26"/>
  <c r="AF67" i="26" s="1"/>
  <c r="AH72" i="26"/>
  <c r="AH67" i="26" s="1"/>
  <c r="AE72" i="26"/>
  <c r="AE67" i="26" s="1"/>
  <c r="AI72" i="26"/>
  <c r="AI67" i="26" s="1"/>
  <c r="I68" i="26"/>
  <c r="AB72" i="26"/>
  <c r="AL72" i="26"/>
  <c r="AL67" i="26" s="1"/>
  <c r="AD72" i="26"/>
  <c r="AD67" i="26" s="1"/>
  <c r="AK72" i="26"/>
  <c r="AK67" i="26" s="1"/>
  <c r="AC72" i="26"/>
  <c r="AC67" i="26" s="1"/>
  <c r="AA75" i="26"/>
  <c r="Z75" i="26"/>
  <c r="AB67" i="26" l="1"/>
  <c r="AA72" i="26"/>
  <c r="AL68" i="26"/>
  <c r="AL63" i="26" s="1"/>
  <c r="AG68" i="26"/>
  <c r="AG63" i="26" s="1"/>
  <c r="AK68" i="26"/>
  <c r="AK63" i="26" s="1"/>
  <c r="AD68" i="26"/>
  <c r="AD63" i="26" s="1"/>
  <c r="AH68" i="26"/>
  <c r="AH63" i="26" s="1"/>
  <c r="AF68" i="26"/>
  <c r="AF63" i="26" s="1"/>
  <c r="AM68" i="26"/>
  <c r="AM63" i="26" s="1"/>
  <c r="AC68" i="26"/>
  <c r="AC63" i="26" s="1"/>
  <c r="AJ68" i="26"/>
  <c r="AJ63" i="26" s="1"/>
  <c r="I64" i="26"/>
  <c r="AB68" i="26"/>
  <c r="AE68" i="26"/>
  <c r="AE63" i="26" s="1"/>
  <c r="AI68" i="26"/>
  <c r="AI63" i="26" s="1"/>
  <c r="AA71" i="26"/>
  <c r="Z71" i="26"/>
  <c r="AH64" i="26" l="1"/>
  <c r="AH59" i="26" s="1"/>
  <c r="AG64" i="26"/>
  <c r="AG59" i="26" s="1"/>
  <c r="AI64" i="26"/>
  <c r="AI59" i="26" s="1"/>
  <c r="I60" i="26"/>
  <c r="AL64" i="26"/>
  <c r="AL59" i="26" s="1"/>
  <c r="AE64" i="26"/>
  <c r="AE59" i="26" s="1"/>
  <c r="AK64" i="26"/>
  <c r="AK59" i="26" s="1"/>
  <c r="AD64" i="26"/>
  <c r="AD59" i="26" s="1"/>
  <c r="AJ64" i="26"/>
  <c r="AJ59" i="26" s="1"/>
  <c r="AM64" i="26"/>
  <c r="AM59" i="26" s="1"/>
  <c r="AC64" i="26"/>
  <c r="AC59" i="26" s="1"/>
  <c r="AF64" i="26"/>
  <c r="AF59" i="26" s="1"/>
  <c r="AB64" i="26"/>
  <c r="AA68" i="26"/>
  <c r="AB63" i="26"/>
  <c r="Z67" i="26"/>
  <c r="AA67" i="26"/>
  <c r="AA63" i="26" l="1"/>
  <c r="Z63" i="26"/>
  <c r="AJ60" i="26"/>
  <c r="AJ55" i="26" s="1"/>
  <c r="AM60" i="26"/>
  <c r="AM55" i="26" s="1"/>
  <c r="AI60" i="26"/>
  <c r="AI55" i="26" s="1"/>
  <c r="AB60" i="26"/>
  <c r="AH60" i="26"/>
  <c r="AH55" i="26" s="1"/>
  <c r="AD60" i="26"/>
  <c r="AD55" i="26" s="1"/>
  <c r="AC60" i="26"/>
  <c r="AC55" i="26" s="1"/>
  <c r="AG60" i="26"/>
  <c r="AG55" i="26" s="1"/>
  <c r="AL60" i="26"/>
  <c r="AL55" i="26" s="1"/>
  <c r="AK60" i="26"/>
  <c r="AK55" i="26" s="1"/>
  <c r="AE60" i="26"/>
  <c r="AE55" i="26" s="1"/>
  <c r="AF60" i="26"/>
  <c r="AF55" i="26" s="1"/>
  <c r="I56" i="26"/>
  <c r="AB59" i="26"/>
  <c r="AA64" i="26"/>
  <c r="AA59" i="26" l="1"/>
  <c r="Z59" i="26"/>
  <c r="AE56" i="26"/>
  <c r="AE51" i="26" s="1"/>
  <c r="AD56" i="26"/>
  <c r="AD51" i="26" s="1"/>
  <c r="I52" i="26"/>
  <c r="AB56" i="26"/>
  <c r="AC56" i="26"/>
  <c r="AC51" i="26" s="1"/>
  <c r="AF56" i="26"/>
  <c r="AF51" i="26" s="1"/>
  <c r="AM56" i="26"/>
  <c r="AM51" i="26" s="1"/>
  <c r="AI56" i="26"/>
  <c r="AI51" i="26" s="1"/>
  <c r="AL56" i="26"/>
  <c r="AL51" i="26" s="1"/>
  <c r="AK56" i="26"/>
  <c r="AK51" i="26" s="1"/>
  <c r="AH56" i="26"/>
  <c r="AH51" i="26" s="1"/>
  <c r="AG56" i="26"/>
  <c r="AG51" i="26" s="1"/>
  <c r="AJ56" i="26"/>
  <c r="AJ51" i="26" s="1"/>
  <c r="AA60" i="26"/>
  <c r="AB55" i="26"/>
  <c r="AD52" i="26" l="1"/>
  <c r="AD47" i="26" s="1"/>
  <c r="AG52" i="26"/>
  <c r="AG47" i="26" s="1"/>
  <c r="AJ52" i="26"/>
  <c r="AJ47" i="26" s="1"/>
  <c r="AH52" i="26"/>
  <c r="AH47" i="26" s="1"/>
  <c r="I48" i="26"/>
  <c r="AF52" i="26"/>
  <c r="AF47" i="26" s="1"/>
  <c r="AK52" i="26"/>
  <c r="AK47" i="26" s="1"/>
  <c r="AC52" i="26"/>
  <c r="AC47" i="26" s="1"/>
  <c r="AI52" i="26"/>
  <c r="AI47" i="26" s="1"/>
  <c r="AM52" i="26"/>
  <c r="AM47" i="26" s="1"/>
  <c r="AE52" i="26"/>
  <c r="AE47" i="26" s="1"/>
  <c r="AB52" i="26"/>
  <c r="AL52" i="26"/>
  <c r="AL47" i="26" s="1"/>
  <c r="AB51" i="26"/>
  <c r="AA56" i="26"/>
  <c r="Z55" i="26"/>
  <c r="AA55" i="26"/>
  <c r="AA52" i="26" l="1"/>
  <c r="AB47" i="26"/>
  <c r="AA51" i="26"/>
  <c r="Z51" i="26"/>
  <c r="AK48" i="26"/>
  <c r="AK43" i="26" s="1"/>
  <c r="AE48" i="26"/>
  <c r="AE43" i="26" s="1"/>
  <c r="AF48" i="26"/>
  <c r="AF43" i="26" s="1"/>
  <c r="AD48" i="26"/>
  <c r="AD43" i="26" s="1"/>
  <c r="AH48" i="26"/>
  <c r="AH43" i="26" s="1"/>
  <c r="I44" i="26"/>
  <c r="AC48" i="26"/>
  <c r="AC43" i="26" s="1"/>
  <c r="AJ48" i="26"/>
  <c r="AJ43" i="26" s="1"/>
  <c r="AB48" i="26"/>
  <c r="AL48" i="26"/>
  <c r="AL43" i="26" s="1"/>
  <c r="AM48" i="26"/>
  <c r="AM43" i="26" s="1"/>
  <c r="AI48" i="26"/>
  <c r="AI43" i="26" s="1"/>
  <c r="AG48" i="26"/>
  <c r="AG43" i="26" s="1"/>
  <c r="AB44" i="26" l="1"/>
  <c r="I40" i="26"/>
  <c r="AD44" i="26"/>
  <c r="AD39" i="26" s="1"/>
  <c r="AG44" i="26"/>
  <c r="AG39" i="26" s="1"/>
  <c r="AL44" i="26"/>
  <c r="AL39" i="26" s="1"/>
  <c r="AK44" i="26"/>
  <c r="AK39" i="26" s="1"/>
  <c r="AH44" i="26"/>
  <c r="AH39" i="26" s="1"/>
  <c r="AF44" i="26"/>
  <c r="AF39" i="26" s="1"/>
  <c r="AM44" i="26"/>
  <c r="AM39" i="26" s="1"/>
  <c r="AI44" i="26"/>
  <c r="AI39" i="26" s="1"/>
  <c r="AJ44" i="26"/>
  <c r="AJ39" i="26" s="1"/>
  <c r="AE44" i="26"/>
  <c r="AE39" i="26" s="1"/>
  <c r="AC44" i="26"/>
  <c r="AC39" i="26" s="1"/>
  <c r="AA47" i="26"/>
  <c r="Z47" i="26"/>
  <c r="AB43" i="26"/>
  <c r="AA48" i="26"/>
  <c r="AK40" i="26" l="1"/>
  <c r="AK35" i="26" s="1"/>
  <c r="AL40" i="26"/>
  <c r="AL35" i="26" s="1"/>
  <c r="AH40" i="26"/>
  <c r="AH35" i="26" s="1"/>
  <c r="AD40" i="26"/>
  <c r="AD35" i="26" s="1"/>
  <c r="AG40" i="26"/>
  <c r="AG35" i="26" s="1"/>
  <c r="AF40" i="26"/>
  <c r="AF35" i="26" s="1"/>
  <c r="AI40" i="26"/>
  <c r="AI35" i="26" s="1"/>
  <c r="AJ40" i="26"/>
  <c r="AJ35" i="26" s="1"/>
  <c r="I36" i="26"/>
  <c r="AB40" i="26"/>
  <c r="AM40" i="26"/>
  <c r="AM35" i="26" s="1"/>
  <c r="AE40" i="26"/>
  <c r="AE35" i="26" s="1"/>
  <c r="AC40" i="26"/>
  <c r="AC35" i="26" s="1"/>
  <c r="Z43" i="26"/>
  <c r="AA43" i="26"/>
  <c r="AA44" i="26"/>
  <c r="AB39" i="26"/>
  <c r="AA40" i="26" l="1"/>
  <c r="AB35" i="26"/>
  <c r="Z39" i="26"/>
  <c r="AA39" i="26"/>
  <c r="AE36" i="26"/>
  <c r="AE31" i="26" s="1"/>
  <c r="AJ36" i="26"/>
  <c r="AJ31" i="26" s="1"/>
  <c r="AL36" i="26"/>
  <c r="AL31" i="26" s="1"/>
  <c r="AB36" i="26"/>
  <c r="AH36" i="26"/>
  <c r="AH31" i="26" s="1"/>
  <c r="AD36" i="26"/>
  <c r="AD31" i="26" s="1"/>
  <c r="AG36" i="26"/>
  <c r="AG31" i="26" s="1"/>
  <c r="AK36" i="26"/>
  <c r="AK31" i="26" s="1"/>
  <c r="I32" i="26"/>
  <c r="AC36" i="26"/>
  <c r="AC31" i="26" s="1"/>
  <c r="AF36" i="26"/>
  <c r="AF31" i="26" s="1"/>
  <c r="AI36" i="26"/>
  <c r="AI31" i="26" s="1"/>
  <c r="AM36" i="26"/>
  <c r="AM31" i="26" s="1"/>
  <c r="AB31" i="26" l="1"/>
  <c r="AA36" i="26"/>
  <c r="AL32" i="26"/>
  <c r="AL27" i="26" s="1"/>
  <c r="AG32" i="26"/>
  <c r="AG27" i="26" s="1"/>
  <c r="AI32" i="26"/>
  <c r="AI27" i="26" s="1"/>
  <c r="I28" i="26"/>
  <c r="AK32" i="26"/>
  <c r="AK27" i="26" s="1"/>
  <c r="AD32" i="26"/>
  <c r="AD27" i="26" s="1"/>
  <c r="AC32" i="26"/>
  <c r="AC27" i="26" s="1"/>
  <c r="AF32" i="26"/>
  <c r="AF27" i="26" s="1"/>
  <c r="AH32" i="26"/>
  <c r="AH27" i="26" s="1"/>
  <c r="AB32" i="26"/>
  <c r="AE32" i="26"/>
  <c r="AE27" i="26" s="1"/>
  <c r="AJ32" i="26"/>
  <c r="AJ27" i="26" s="1"/>
  <c r="AM32" i="26"/>
  <c r="AM27" i="26" s="1"/>
  <c r="Z35" i="26"/>
  <c r="AA35" i="26"/>
  <c r="AD28" i="26" l="1"/>
  <c r="AD23" i="26" s="1"/>
  <c r="AF28" i="26"/>
  <c r="AF23" i="26" s="1"/>
  <c r="AH28" i="26"/>
  <c r="AH23" i="26" s="1"/>
  <c r="AK28" i="26"/>
  <c r="AK23" i="26" s="1"/>
  <c r="AC28" i="26"/>
  <c r="AC23" i="26" s="1"/>
  <c r="AM28" i="26"/>
  <c r="AM23" i="26" s="1"/>
  <c r="AB28" i="26"/>
  <c r="I24" i="26"/>
  <c r="AI28" i="26"/>
  <c r="AI23" i="26" s="1"/>
  <c r="AL28" i="26"/>
  <c r="AL23" i="26" s="1"/>
  <c r="AJ28" i="26"/>
  <c r="AJ23" i="26" s="1"/>
  <c r="AE28" i="26"/>
  <c r="AE23" i="26" s="1"/>
  <c r="AG28" i="26"/>
  <c r="AG23" i="26" s="1"/>
  <c r="AA32" i="26"/>
  <c r="AB27" i="26"/>
  <c r="Z31" i="26"/>
  <c r="AA31" i="26"/>
  <c r="AA28" i="26" l="1"/>
  <c r="AB23" i="26"/>
  <c r="AA27" i="26"/>
  <c r="Z27" i="26"/>
  <c r="AK24" i="26"/>
  <c r="AK19" i="26" s="1"/>
  <c r="AE24" i="26"/>
  <c r="AE19" i="26" s="1"/>
  <c r="I20" i="26"/>
  <c r="I16" i="26" s="1"/>
  <c r="AC24" i="26"/>
  <c r="AC19" i="26" s="1"/>
  <c r="AG24" i="26"/>
  <c r="AG19" i="26" s="1"/>
  <c r="AJ24" i="26"/>
  <c r="AJ19" i="26" s="1"/>
  <c r="AB24" i="26"/>
  <c r="AH24" i="26"/>
  <c r="AH19" i="26" s="1"/>
  <c r="AD24" i="26"/>
  <c r="AD19" i="26" s="1"/>
  <c r="AI24" i="26"/>
  <c r="AI19" i="26" s="1"/>
  <c r="AL24" i="26"/>
  <c r="AL19" i="26" s="1"/>
  <c r="AM24" i="26"/>
  <c r="AM19" i="26" s="1"/>
  <c r="AF24" i="26"/>
  <c r="AF19" i="26" s="1"/>
  <c r="I12" i="26" l="1"/>
  <c r="AG16" i="26"/>
  <c r="AG11" i="26" s="1"/>
  <c r="AF16" i="26"/>
  <c r="AF11" i="26" s="1"/>
  <c r="AK16" i="26"/>
  <c r="AK11" i="26" s="1"/>
  <c r="AJ16" i="26"/>
  <c r="AJ11" i="26" s="1"/>
  <c r="AI16" i="26"/>
  <c r="AI11" i="26" s="1"/>
  <c r="AC16" i="26"/>
  <c r="AC11" i="26" s="1"/>
  <c r="AM16" i="26"/>
  <c r="AM11" i="26" s="1"/>
  <c r="AE16" i="26"/>
  <c r="AE11" i="26" s="1"/>
  <c r="AH16" i="26"/>
  <c r="AH11" i="26" s="1"/>
  <c r="AL16" i="26"/>
  <c r="AL11" i="26" s="1"/>
  <c r="AD16" i="26"/>
  <c r="AD11" i="26" s="1"/>
  <c r="AB16" i="26"/>
  <c r="AB20" i="26"/>
  <c r="AB15" i="26" s="1"/>
  <c r="AF20" i="26"/>
  <c r="AF15" i="26" s="1"/>
  <c r="AI20" i="26"/>
  <c r="AI15" i="26" s="1"/>
  <c r="AM20" i="26"/>
  <c r="AM15" i="26" s="1"/>
  <c r="AK20" i="26"/>
  <c r="AK15" i="26" s="1"/>
  <c r="AJ20" i="26"/>
  <c r="AJ15" i="26" s="1"/>
  <c r="AH20" i="26"/>
  <c r="AH15" i="26" s="1"/>
  <c r="AG20" i="26"/>
  <c r="AG15" i="26" s="1"/>
  <c r="AL20" i="26"/>
  <c r="AL15" i="26" s="1"/>
  <c r="AE20" i="26"/>
  <c r="AE15" i="26" s="1"/>
  <c r="AC20" i="26"/>
  <c r="AC15" i="26" s="1"/>
  <c r="AD20" i="26"/>
  <c r="AD15" i="26" s="1"/>
  <c r="AA24" i="26"/>
  <c r="AB19" i="26"/>
  <c r="Z23" i="26"/>
  <c r="AA23" i="26"/>
  <c r="AA16" i="26" l="1"/>
  <c r="AB11" i="26"/>
  <c r="AI12" i="26"/>
  <c r="AH12" i="26"/>
  <c r="AG12" i="26"/>
  <c r="AF12" i="26"/>
  <c r="AM12" i="26"/>
  <c r="AE12" i="26"/>
  <c r="AL12" i="26"/>
  <c r="AD12" i="26"/>
  <c r="AK12" i="26"/>
  <c r="AC12" i="26"/>
  <c r="AJ12" i="26"/>
  <c r="AB12" i="26"/>
  <c r="Z15" i="26"/>
  <c r="AA15" i="26"/>
  <c r="AA20" i="26"/>
  <c r="Z19" i="26"/>
  <c r="AA19" i="26"/>
  <c r="Q27" i="6"/>
  <c r="Q28" i="6"/>
  <c r="Q29" i="6"/>
  <c r="AN26" i="5"/>
  <c r="L28" i="6" l="1"/>
  <c r="S26" i="6"/>
  <c r="AB26" i="6" s="1"/>
  <c r="Q73" i="6" a="1"/>
  <c r="Q73" i="6" s="1"/>
  <c r="W27" i="6"/>
  <c r="W28" i="6"/>
  <c r="AB28" i="6"/>
  <c r="W26" i="6"/>
  <c r="W29" i="6"/>
  <c r="AB29" i="6"/>
  <c r="AL26" i="5"/>
  <c r="AK30" i="5" s="1"/>
  <c r="W28" i="7"/>
  <c r="W29" i="7"/>
  <c r="AA12" i="26"/>
  <c r="Z11" i="26"/>
  <c r="AA11" i="26"/>
  <c r="AN26" i="6"/>
  <c r="AC26" i="6" l="1"/>
  <c r="AL26" i="6"/>
  <c r="D141" i="5"/>
  <c r="AK28" i="5" a="1"/>
  <c r="AK26" i="5" a="1"/>
  <c r="AK29" i="5" a="1"/>
  <c r="AK27" i="5" a="1"/>
  <c r="AK27" i="5" l="1"/>
  <c r="AK29" i="5"/>
  <c r="AK26" i="5"/>
  <c r="AK28" i="5"/>
  <c r="D176" i="6"/>
  <c r="D140" i="7"/>
  <c r="D175" i="6"/>
  <c r="D138" i="5"/>
  <c r="D138" i="8"/>
  <c r="D140" i="5"/>
  <c r="D139" i="7"/>
  <c r="D174" i="6"/>
  <c r="D140" i="8"/>
  <c r="D139" i="5"/>
  <c r="D138" i="7"/>
  <c r="D139" i="8"/>
  <c r="G139" i="8"/>
  <c r="G139" i="5"/>
  <c r="G140" i="5"/>
  <c r="G140" i="7"/>
  <c r="G176" i="6"/>
  <c r="G140" i="8"/>
  <c r="G175" i="6"/>
  <c r="G139" i="7"/>
  <c r="G138" i="8"/>
  <c r="G138" i="7"/>
  <c r="G174" i="6"/>
  <c r="G138" i="5"/>
  <c r="D141" i="8"/>
  <c r="G141" i="7"/>
  <c r="G177" i="6"/>
  <c r="D141" i="7"/>
  <c r="G141" i="8"/>
  <c r="G141" i="5"/>
  <c r="D177" i="6"/>
  <c r="AK26" i="6" a="1"/>
  <c r="AK27" i="6" a="1"/>
  <c r="AK28" i="6" a="1"/>
  <c r="AK29" i="6" a="1"/>
  <c r="AC11" i="5" l="1"/>
  <c r="N17" i="5" s="1"/>
  <c r="AK28" i="6"/>
  <c r="AK27" i="6"/>
  <c r="AK29" i="6"/>
  <c r="AK26" i="6"/>
  <c r="AK30" i="6" s="1"/>
  <c r="AC11" i="6"/>
  <c r="O17" i="6" s="1"/>
  <c r="AC11" i="7"/>
  <c r="O17" i="7" s="1"/>
  <c r="AC11" i="8"/>
  <c r="G172" i="11"/>
  <c r="B204" i="11"/>
  <c r="AB11" i="7" s="1"/>
  <c r="D245" i="11"/>
  <c r="C245" i="11"/>
  <c r="B245" i="11"/>
  <c r="E245" i="11"/>
  <c r="B206" i="11"/>
  <c r="O17" i="5" l="1"/>
  <c r="N17" i="6"/>
  <c r="N17" i="7"/>
  <c r="O17" i="8"/>
  <c r="N17" i="8"/>
  <c r="AB11" i="5"/>
  <c r="AB11" i="8"/>
  <c r="AB11" i="6"/>
  <c r="K174" i="11"/>
  <c r="R172" i="11"/>
  <c r="AK103" i="6" a="1"/>
  <c r="H6" i="48" a="1"/>
  <c r="AK103" i="6" l="1"/>
  <c r="H6" i="48"/>
  <c r="S105" i="6" a="1"/>
  <c r="S105" i="6" s="1"/>
  <c r="I6" i="48" a="1"/>
  <c r="F6" i="48" a="1"/>
  <c r="D6" i="48" a="1"/>
  <c r="D6" i="48" l="1"/>
  <c r="F6" i="48"/>
  <c r="I6" i="48"/>
  <c r="Q105" i="6" l="1" a="1"/>
  <c r="Q105" i="6" s="1"/>
  <c r="BB366" i="21" l="1"/>
  <c r="BB367" i="21" s="1"/>
  <c r="BB368" i="21" s="1"/>
  <c r="BB369" i="21" s="1"/>
  <c r="BB370" i="21" s="1"/>
  <c r="BB371" i="21" s="1"/>
  <c r="BB372" i="21" s="1"/>
  <c r="BB373" i="21" s="1"/>
  <c r="BB374" i="21" s="1"/>
  <c r="BB375" i="21" s="1"/>
  <c r="BB376" i="21" s="1"/>
  <c r="BB377" i="21" s="1"/>
  <c r="BB378" i="21" s="1"/>
  <c r="BB379" i="21" s="1"/>
  <c r="BB380" i="21" s="1"/>
  <c r="BB381" i="21" s="1"/>
  <c r="BB382" i="21" s="1"/>
  <c r="BB383" i="21" s="1"/>
  <c r="BB384" i="21" s="1"/>
  <c r="BB385" i="21" s="1"/>
  <c r="BB386" i="21" s="1"/>
  <c r="BB387" i="21" s="1"/>
  <c r="BB388" i="21" s="1"/>
  <c r="BB389" i="21" s="1"/>
  <c r="BB390" i="21" s="1"/>
  <c r="BB391" i="21" s="1"/>
  <c r="BB392" i="21" s="1"/>
  <c r="BB393" i="21" s="1"/>
  <c r="BB394" i="21" s="1"/>
  <c r="BB395" i="21" s="1"/>
  <c r="BB396" i="21" s="1"/>
  <c r="BB397" i="21" s="1"/>
  <c r="BB398" i="21" s="1"/>
  <c r="BB399" i="21" s="1"/>
  <c r="BB400" i="21" s="1"/>
  <c r="BB401" i="21" s="1"/>
  <c r="BB402" i="21" s="1"/>
  <c r="BB403" i="21" s="1"/>
  <c r="BB404" i="21" s="1"/>
  <c r="BB405" i="21" s="1"/>
  <c r="BB406" i="21" s="1"/>
  <c r="BB407" i="21" s="1"/>
  <c r="BB408" i="21" s="1"/>
  <c r="BB409" i="21" s="1"/>
  <c r="BB410" i="21" s="1"/>
  <c r="BB411" i="21" s="1"/>
  <c r="BB412" i="21" s="1"/>
  <c r="BB413" i="21" s="1"/>
  <c r="BB414" i="21" s="1"/>
  <c r="BB415" i="21" s="1"/>
  <c r="BB416" i="21" s="1"/>
  <c r="BB417" i="21" s="1"/>
  <c r="BB418" i="21" s="1"/>
  <c r="BB419" i="21" s="1"/>
  <c r="BB420" i="21" s="1"/>
  <c r="BB421" i="21" s="1"/>
  <c r="BB422" i="21" s="1"/>
  <c r="BB423" i="21" s="1"/>
  <c r="BB424" i="21" s="1"/>
  <c r="BB425" i="21" s="1"/>
  <c r="BB426" i="21" s="1"/>
  <c r="BB427" i="21" s="1"/>
  <c r="BB428" i="21" s="1"/>
  <c r="BB429" i="21" s="1"/>
  <c r="BB430" i="21" s="1"/>
  <c r="BB431" i="21" s="1"/>
  <c r="BB432" i="21" s="1"/>
  <c r="BB433" i="21" s="1"/>
  <c r="BB434" i="21" s="1"/>
  <c r="BB435" i="21" s="1"/>
  <c r="BB436" i="21" s="1"/>
  <c r="BB437" i="21" s="1"/>
  <c r="BB438" i="21" s="1"/>
  <c r="BB439" i="21" s="1"/>
  <c r="BB440" i="21" s="1"/>
  <c r="BB441" i="21" s="1"/>
  <c r="BB442" i="21" s="1"/>
  <c r="BB443" i="21" s="1"/>
  <c r="BB444" i="21" s="1"/>
  <c r="BB445" i="21" s="1"/>
  <c r="BB446" i="21" s="1"/>
  <c r="BB447" i="21" s="1"/>
  <c r="BB448" i="21" s="1"/>
  <c r="BB449" i="21" s="1"/>
  <c r="BB450" i="21" s="1"/>
  <c r="BB451" i="21" s="1"/>
  <c r="BB452" i="21" s="1"/>
  <c r="BB454" i="21" s="1"/>
  <c r="BB455" i="21" s="1"/>
  <c r="BB456" i="21" s="1"/>
  <c r="BB457" i="21" s="1"/>
  <c r="BB458" i="21" s="1"/>
  <c r="BB459" i="21" s="1"/>
  <c r="BB460" i="21" s="1"/>
  <c r="BB461" i="21" s="1"/>
  <c r="BB462" i="21" s="1"/>
  <c r="BB463" i="21" s="1"/>
  <c r="BB464" i="21" s="1"/>
  <c r="BB465" i="21" s="1"/>
  <c r="BB466" i="21" s="1"/>
  <c r="BB467" i="21" s="1"/>
  <c r="BB468" i="21" s="1"/>
  <c r="BB469" i="21" s="1"/>
  <c r="BB470" i="21" s="1"/>
  <c r="BB471" i="21" s="1"/>
  <c r="BB472" i="21" s="1"/>
  <c r="BB473" i="21" s="1"/>
  <c r="BB474" i="21" s="1"/>
  <c r="BB475" i="21" s="1"/>
  <c r="BB476" i="21" s="1"/>
  <c r="BB477" i="21" s="1"/>
  <c r="BB479" i="21" s="1"/>
  <c r="BB480" i="21" s="1"/>
  <c r="BB481" i="21" s="1"/>
  <c r="BB482" i="21" s="1"/>
  <c r="BB483" i="21" s="1"/>
  <c r="BB484" i="21" s="1"/>
  <c r="BB485" i="21" s="1"/>
  <c r="BB486" i="21" s="1"/>
  <c r="BB487" i="21" s="1"/>
  <c r="BB488" i="21" s="1"/>
  <c r="BB489" i="21" s="1"/>
  <c r="BB490" i="21" s="1"/>
  <c r="BB491" i="21" s="1"/>
  <c r="BB492" i="21" s="1"/>
  <c r="BB493" i="21" s="1"/>
  <c r="BB494" i="21" s="1"/>
  <c r="BB495" i="21" s="1"/>
  <c r="BB496" i="21" s="1"/>
  <c r="BB497" i="21" s="1"/>
  <c r="BB498" i="21" s="1"/>
  <c r="BB499" i="21" s="1"/>
  <c r="BB500" i="21" s="1"/>
  <c r="BB501" i="21" s="1"/>
  <c r="BB502" i="21" s="1"/>
  <c r="BB503" i="21" s="1"/>
  <c r="BB504" i="21" s="1"/>
  <c r="BB505" i="21" s="1"/>
  <c r="BB506" i="21" s="1"/>
  <c r="BB507" i="21" s="1"/>
  <c r="BB508" i="21" s="1"/>
  <c r="BB509" i="21" s="1"/>
  <c r="BB510" i="21" s="1"/>
  <c r="BB511" i="21" s="1"/>
  <c r="BB512" i="21" s="1"/>
  <c r="BB513" i="21" s="1"/>
  <c r="BB514" i="21" s="1"/>
  <c r="BB515" i="21" s="1"/>
  <c r="BB516" i="21" s="1"/>
  <c r="BB517" i="21" s="1"/>
  <c r="BB518" i="21" s="1"/>
  <c r="BB519" i="21" s="1"/>
  <c r="BB520" i="21" s="1"/>
  <c r="BB521" i="21" s="1"/>
  <c r="BB522" i="21" s="1"/>
  <c r="BB523" i="21" s="1"/>
  <c r="BB524" i="21" s="1"/>
  <c r="BB525" i="21" s="1"/>
  <c r="BB526" i="21" s="1"/>
  <c r="BB527" i="21" s="1"/>
  <c r="BB528" i="21" s="1"/>
  <c r="BB529" i="21" s="1"/>
  <c r="BB530" i="21" s="1"/>
  <c r="BB531" i="21" s="1"/>
  <c r="BB533" i="21" s="1"/>
  <c r="BB539" i="21" s="1"/>
  <c r="BB540" i="21" s="1"/>
  <c r="BB541" i="21" s="1"/>
  <c r="BB542" i="21" s="1"/>
  <c r="BB543" i="21" s="1"/>
  <c r="BB544" i="21" s="1"/>
  <c r="BB545" i="21" s="1"/>
  <c r="BB546" i="21" s="1"/>
  <c r="BB547" i="21" s="1"/>
  <c r="BB548" i="21" s="1"/>
  <c r="BB549" i="21" s="1"/>
  <c r="BB550" i="21" s="1"/>
  <c r="BB551" i="21" s="1"/>
  <c r="BB552" i="21" s="1"/>
  <c r="BB553" i="21" s="1"/>
  <c r="BB554" i="21" s="1"/>
  <c r="BB555" i="21" s="1"/>
  <c r="BB557" i="21" s="1"/>
  <c r="BB558" i="21" s="1"/>
  <c r="BB559" i="21" s="1"/>
  <c r="BB560" i="21" s="1"/>
  <c r="BB561" i="21" s="1"/>
  <c r="BB562" i="21" s="1"/>
  <c r="BB563" i="21" s="1"/>
  <c r="BB564" i="21" s="1"/>
  <c r="BB565" i="21" s="1"/>
  <c r="BB566" i="21" s="1"/>
  <c r="BB567" i="21" s="1"/>
  <c r="BB568" i="21" s="1"/>
  <c r="BB569" i="21" s="1"/>
  <c r="BB570" i="21" s="1"/>
  <c r="BB571" i="21" s="1"/>
  <c r="BB572" i="21" s="1"/>
  <c r="BB573" i="21" s="1"/>
  <c r="BB574" i="21" s="1"/>
  <c r="BB575" i="21" s="1"/>
  <c r="BB576" i="21" s="1"/>
  <c r="BB577" i="21" s="1"/>
  <c r="BB578" i="21" s="1"/>
  <c r="BB579" i="21" s="1"/>
  <c r="BB580" i="21" s="1"/>
  <c r="BB581" i="21" s="1"/>
  <c r="BB582" i="21" s="1"/>
  <c r="BB583" i="21" s="1"/>
  <c r="BB584" i="21" s="1"/>
  <c r="BB585" i="21" s="1"/>
  <c r="BB586" i="21" s="1"/>
  <c r="BB587" i="21" s="1"/>
  <c r="BB588" i="21" s="1"/>
  <c r="BB589" i="21" s="1"/>
  <c r="BB590" i="21" s="1"/>
  <c r="BB863" i="21" l="1"/>
  <c r="BB864" i="21" s="1"/>
  <c r="BB865" i="21" s="1"/>
  <c r="BB866" i="21" s="1"/>
  <c r="BB867" i="21" s="1"/>
  <c r="BB868" i="21" s="1"/>
  <c r="BB869" i="21" s="1"/>
  <c r="BB870" i="21" s="1"/>
  <c r="BB871" i="21" s="1"/>
  <c r="BB872" i="21" s="1"/>
  <c r="BB873" i="21" s="1"/>
  <c r="BB874" i="21" s="1"/>
  <c r="BB875" i="21" s="1"/>
  <c r="BB876" i="21" s="1"/>
  <c r="BB877" i="21" s="1"/>
  <c r="BB878" i="21" s="1"/>
  <c r="BB879" i="21" s="1"/>
  <c r="BB880" i="21" s="1"/>
  <c r="BB881" i="21" s="1"/>
  <c r="BB882" i="21" s="1"/>
  <c r="BB883" i="21" s="1"/>
  <c r="BB884" i="21" s="1"/>
  <c r="BB885" i="21" s="1"/>
  <c r="BB886" i="21" s="1"/>
  <c r="BB887" i="21" s="1"/>
  <c r="BB888" i="21" s="1"/>
  <c r="BB889" i="21" s="1"/>
  <c r="BB890" i="21" s="1"/>
  <c r="BB891" i="21" s="1"/>
  <c r="BB892" i="21" s="1"/>
  <c r="BB893" i="21" s="1"/>
  <c r="BB894" i="21" s="1"/>
  <c r="BB895" i="21" s="1"/>
  <c r="BB896" i="21" s="1"/>
  <c r="BB897" i="21" s="1"/>
  <c r="BB898" i="21" s="1"/>
  <c r="BB899" i="21" s="1"/>
  <c r="BB900" i="21" s="1"/>
  <c r="BB901" i="21" s="1"/>
  <c r="BB902" i="21" s="1"/>
  <c r="BB903" i="21" s="1"/>
  <c r="BB904" i="21" s="1"/>
  <c r="BB905" i="21" s="1"/>
  <c r="BB906" i="21" s="1"/>
  <c r="BB907" i="21" s="1"/>
  <c r="BB908" i="21" s="1"/>
  <c r="BB909" i="21" s="1"/>
  <c r="BB910" i="21" s="1"/>
  <c r="BB911" i="21" s="1"/>
  <c r="BB912" i="21" s="1"/>
  <c r="BB913" i="21" s="1"/>
  <c r="BB914" i="21" s="1"/>
  <c r="BB915" i="21" s="1"/>
  <c r="BB916" i="21" s="1"/>
  <c r="BB917" i="21" s="1"/>
  <c r="BB918" i="21" s="1"/>
  <c r="BB919" i="21" s="1"/>
  <c r="BB920" i="21" s="1"/>
  <c r="BB921" i="21" s="1"/>
  <c r="BB922" i="21" s="1"/>
  <c r="BB923" i="21" s="1"/>
  <c r="BB924" i="21" s="1"/>
  <c r="BB926" i="21" s="1"/>
  <c r="BB927" i="21" s="1"/>
  <c r="BB929" i="21" s="1"/>
  <c r="BB930" i="21" s="1"/>
  <c r="BB931" i="21" s="1"/>
  <c r="BB932" i="21" s="1"/>
  <c r="BB933" i="21" s="1"/>
  <c r="BB934" i="21" s="1"/>
  <c r="BB935" i="21" s="1"/>
  <c r="BB936" i="21" s="1"/>
  <c r="BB937" i="21" s="1"/>
  <c r="BB938" i="21" s="1"/>
  <c r="BB939" i="21" s="1"/>
  <c r="BB940" i="21" s="1"/>
  <c r="BB941" i="21" s="1"/>
  <c r="BB942" i="21" s="1"/>
  <c r="BB943" i="21" s="1"/>
  <c r="BB944" i="21" s="1"/>
  <c r="BB945" i="21" s="1"/>
  <c r="BB946" i="21" s="1"/>
  <c r="BB947" i="21" s="1"/>
  <c r="BB948" i="21" s="1"/>
  <c r="BB949" i="21" s="1"/>
  <c r="BB950" i="21" s="1"/>
  <c r="BB951" i="21" s="1"/>
  <c r="BB952" i="21" s="1"/>
  <c r="BB953" i="21" s="1"/>
  <c r="BB954" i="21" s="1"/>
  <c r="BB955" i="21" s="1"/>
  <c r="BB956" i="21" s="1"/>
  <c r="BB957" i="21" s="1"/>
  <c r="BB958" i="21" s="1"/>
  <c r="BB959" i="21" l="1"/>
  <c r="BB960" i="21" s="1"/>
  <c r="BB962" i="21" s="1"/>
  <c r="BB963" i="21" s="1"/>
  <c r="BB964" i="21" s="1"/>
  <c r="BB965" i="21" s="1"/>
  <c r="BB966" i="21" s="1"/>
  <c r="BB967" i="21" s="1"/>
  <c r="BB968" i="21" s="1"/>
  <c r="BB969" i="21" s="1"/>
  <c r="BB970" i="21" s="1"/>
  <c r="BB971" i="21" s="1"/>
  <c r="BB972" i="21" s="1"/>
  <c r="BB973" i="21" s="1"/>
  <c r="BB974" i="21" s="1"/>
  <c r="BB975" i="21" s="1"/>
  <c r="BB976" i="21" s="1"/>
  <c r="BB977" i="21" s="1"/>
  <c r="BB978" i="21" s="1"/>
  <c r="BB979" i="21" s="1"/>
  <c r="BB980" i="21" s="1"/>
  <c r="BB981" i="21" s="1"/>
  <c r="BB982" i="21" s="1"/>
  <c r="BB983" i="21" s="1"/>
  <c r="BB984" i="21" s="1"/>
  <c r="BB985" i="21" s="1"/>
  <c r="BB986" i="21" s="1"/>
  <c r="BB987" i="21" s="1"/>
  <c r="BB988" i="21" s="1"/>
  <c r="BB989" i="21" s="1"/>
  <c r="BB990" i="21" s="1"/>
  <c r="BB991" i="21" s="1"/>
  <c r="BB992" i="21" s="1"/>
  <c r="BB993" i="21" s="1"/>
  <c r="BB994" i="21" s="1"/>
  <c r="BB995" i="21" s="1"/>
  <c r="BB996" i="21" s="1"/>
  <c r="BB997" i="21" s="1"/>
  <c r="BB998" i="21" s="1"/>
  <c r="BB999" i="21" s="1"/>
  <c r="BB1000" i="21" s="1"/>
  <c r="BB1001" i="21" s="1"/>
  <c r="BB1002" i="21" s="1"/>
  <c r="BB1003" i="21" s="1"/>
  <c r="BB1004" i="21" s="1"/>
  <c r="BB1005" i="21" s="1"/>
  <c r="BB1006" i="21" s="1"/>
  <c r="BB1007" i="21" s="1"/>
  <c r="BB1008" i="21" s="1"/>
  <c r="BB1009" i="21" s="1"/>
  <c r="BB1010" i="21" s="1"/>
  <c r="BB1011" i="21" s="1"/>
  <c r="BB1012" i="21" s="1"/>
  <c r="BB1013" i="21" s="1"/>
  <c r="BB1014" i="21" s="1"/>
  <c r="BB1015" i="21" s="1"/>
  <c r="BB1016" i="21" s="1"/>
  <c r="BB1017" i="21" s="1"/>
  <c r="BB1018" i="21" s="1"/>
  <c r="BB1019" i="21" s="1"/>
  <c r="BB1020" i="21" s="1"/>
  <c r="BB1021" i="21" s="1"/>
  <c r="BB1022" i="21" s="1"/>
  <c r="BB1023" i="21" s="1"/>
  <c r="BB1024" i="21" s="1"/>
  <c r="BB1025" i="21" s="1"/>
  <c r="BB1026" i="21" s="1"/>
  <c r="BB1027" i="21" s="1"/>
  <c r="BB1028" i="21" s="1"/>
  <c r="BB1029" i="21" s="1"/>
  <c r="BB1030" i="21" s="1"/>
  <c r="BB1031" i="21" s="1"/>
  <c r="BB1032" i="21" s="1"/>
  <c r="BB1033" i="21" s="1"/>
  <c r="BB1034" i="21" s="1"/>
  <c r="BB1035" i="21" s="1"/>
  <c r="BB1036" i="21" s="1"/>
  <c r="BB1037" i="21" s="1"/>
  <c r="BB1038" i="21" s="1"/>
  <c r="S135" i="6" l="1"/>
  <c r="S134" i="6"/>
  <c r="S97" i="5"/>
  <c r="S98" i="5"/>
  <c r="S99" i="5"/>
  <c r="Q172" i="11" l="1"/>
  <c r="G53" i="15" l="1"/>
  <c r="G61" i="15" s="1"/>
  <c r="Z23" i="38" s="1"/>
  <c r="G63" i="15" l="1"/>
  <c r="H63" i="15" s="1"/>
  <c r="G55" i="15"/>
  <c r="O23" i="38"/>
  <c r="G58" i="15" l="1"/>
  <c r="D58" i="15"/>
  <c r="B1" i="48" l="1"/>
  <c r="O173" i="11" l="1"/>
  <c r="P173" i="11"/>
  <c r="Q173" i="11" l="1"/>
  <c r="G24" i="9" s="1"/>
  <c r="S18" i="9" s="1"/>
  <c r="T170" i="11" l="1"/>
  <c r="Y48" i="8" l="1"/>
  <c r="Y48" i="7"/>
  <c r="S117" i="5"/>
  <c r="Q50" i="7" a="1"/>
  <c r="Q50" i="5" a="1"/>
  <c r="Q50" i="5" s="1"/>
  <c r="AC50" i="5" s="1"/>
  <c r="Z48" i="7"/>
  <c r="AK48" i="7" l="1"/>
  <c r="AK51" i="7" s="1"/>
  <c r="S100" i="7" s="1"/>
  <c r="AI48" i="7"/>
  <c r="S118" i="8"/>
  <c r="S117" i="8"/>
  <c r="S117" i="7"/>
  <c r="S118" i="7"/>
  <c r="Q51" i="5"/>
  <c r="S119" i="7" l="1"/>
  <c r="S119" i="8"/>
  <c r="S28" i="7"/>
  <c r="AC28" i="7" s="1"/>
  <c r="AO26" i="8" l="1"/>
  <c r="AB26" i="7"/>
  <c r="W26" i="7"/>
  <c r="AC26" i="7"/>
  <c r="W27" i="7" l="1"/>
  <c r="AB27" i="7"/>
  <c r="AC27" i="7"/>
  <c r="AG48" i="7" l="1"/>
  <c r="AH48" i="7"/>
  <c r="Q50" i="7" l="1"/>
  <c r="Q51" i="7" s="1"/>
  <c r="AC50" i="7" l="1"/>
  <c r="Q137" i="6" l="1" a="1"/>
  <c r="Q137" i="6" s="1"/>
  <c r="L10" i="12"/>
  <c r="J10" i="14"/>
  <c r="L10" i="14" l="1"/>
  <c r="G64" i="15"/>
  <c r="G49" i="15"/>
  <c r="S29" i="5"/>
  <c r="S29" i="7"/>
  <c r="R10" i="14"/>
  <c r="AC26" i="8" l="1"/>
  <c r="S26" i="8"/>
  <c r="S10" i="14"/>
  <c r="G66" i="15"/>
  <c r="D66" i="15"/>
  <c r="D68" i="15"/>
  <c r="AC29" i="5"/>
  <c r="AC29" i="7"/>
  <c r="S37" i="7" a="1"/>
  <c r="S37" i="7" s="1"/>
  <c r="S37" i="5" a="1"/>
  <c r="S37" i="5" s="1"/>
  <c r="W100" i="8"/>
  <c r="X97" i="7"/>
  <c r="W48" i="7"/>
  <c r="Q96" i="7"/>
  <c r="O14" i="15" a="1"/>
  <c r="Q100" i="5"/>
  <c r="M9" i="12"/>
  <c r="X48" i="7"/>
  <c r="X48" i="5"/>
  <c r="G122" i="7" l="1"/>
  <c r="G123" i="7"/>
  <c r="Q101" i="5" a="1"/>
  <c r="Q101" i="5" s="1"/>
  <c r="G122" i="5"/>
  <c r="H122" i="5" s="1"/>
  <c r="G123" i="5"/>
  <c r="H123" i="5" s="1"/>
  <c r="O14" i="15"/>
  <c r="Q100" i="8"/>
  <c r="F123" i="7"/>
  <c r="F122" i="7"/>
  <c r="AC37" i="7" a="1"/>
  <c r="AC37" i="7" s="1"/>
  <c r="AC37" i="5" a="1"/>
  <c r="AC37" i="5" s="1"/>
  <c r="AB26" i="8"/>
  <c r="W26" i="8"/>
  <c r="L28" i="8"/>
  <c r="S48" i="5"/>
  <c r="S50" i="5" s="1" a="1"/>
  <c r="S48" i="7"/>
  <c r="S50" i="7" s="1" a="1"/>
  <c r="H132" i="7" a="1"/>
  <c r="Q122" i="7"/>
  <c r="Q123" i="5"/>
  <c r="I179" i="11" a="1"/>
  <c r="I178" i="11" a="1"/>
  <c r="Q122" i="5"/>
  <c r="Q123" i="7"/>
  <c r="S122" i="5" l="1"/>
  <c r="Q124" i="5" a="1"/>
  <c r="Q124" i="5" s="1"/>
  <c r="Q125" i="5" s="1"/>
  <c r="Q129" i="5" s="1"/>
  <c r="Q124" i="7" a="1"/>
  <c r="Q124" i="7" s="1"/>
  <c r="S122" i="7"/>
  <c r="S123" i="7"/>
  <c r="S123" i="5"/>
  <c r="S124" i="5" s="1" a="1"/>
  <c r="H123" i="7"/>
  <c r="H122" i="7"/>
  <c r="AA48" i="5"/>
  <c r="H124" i="5"/>
  <c r="S50" i="5"/>
  <c r="S51" i="5" s="1"/>
  <c r="C234" i="11" s="1"/>
  <c r="E141" i="7" s="1"/>
  <c r="S50" i="7"/>
  <c r="S51" i="7" s="1"/>
  <c r="C235" i="11" s="1"/>
  <c r="E139" i="5" s="1"/>
  <c r="I179" i="11"/>
  <c r="L179" i="11" s="1"/>
  <c r="H132" i="7"/>
  <c r="AC51" i="7"/>
  <c r="I178" i="11"/>
  <c r="Q180" i="11" s="1"/>
  <c r="T180" i="11" s="1"/>
  <c r="AC51" i="5"/>
  <c r="H133" i="7" a="1"/>
  <c r="F234" i="11" l="1"/>
  <c r="H141" i="7" s="1"/>
  <c r="S124" i="5"/>
  <c r="S124" i="7" a="1"/>
  <c r="S124" i="7" s="1"/>
  <c r="F235" i="11"/>
  <c r="AA48" i="7"/>
  <c r="H124" i="7"/>
  <c r="E141" i="8"/>
  <c r="E177" i="6"/>
  <c r="E141" i="5"/>
  <c r="E139" i="7"/>
  <c r="E139" i="8"/>
  <c r="E175" i="6"/>
  <c r="S118" i="5"/>
  <c r="S119" i="5" s="1"/>
  <c r="H133" i="7"/>
  <c r="L178" i="11"/>
  <c r="W180" i="11" s="1"/>
  <c r="H141" i="5" l="1"/>
  <c r="H141" i="8"/>
  <c r="H177" i="6"/>
  <c r="S28" i="8" l="1"/>
  <c r="AC28" i="8" s="1"/>
  <c r="AB28" i="8"/>
  <c r="W28" i="8"/>
  <c r="S33" i="8" l="1"/>
  <c r="W33" i="8"/>
  <c r="AC33" i="8"/>
  <c r="W31" i="8" l="1"/>
  <c r="AC31" i="8"/>
  <c r="S32" i="8" l="1"/>
  <c r="AC32" i="8" s="1"/>
  <c r="W32" i="8"/>
  <c r="H139" i="8" l="1"/>
  <c r="H139" i="5"/>
  <c r="H175" i="6"/>
  <c r="H139" i="7"/>
  <c r="S153" i="6" l="1"/>
  <c r="Q86" i="6" l="1" a="1"/>
  <c r="Q86" i="6" s="1"/>
  <c r="AC86" i="6" s="1"/>
  <c r="S154" i="6" s="1"/>
  <c r="S155" i="6" s="1"/>
  <c r="W29" i="8" l="1"/>
  <c r="AB29" i="8"/>
  <c r="F18" i="9"/>
  <c r="Q87" i="6" l="1"/>
  <c r="H35" i="9"/>
  <c r="M29" i="12" l="1"/>
  <c r="Z48" i="8"/>
  <c r="AK48" i="8" l="1"/>
  <c r="AK51" i="8" s="1"/>
  <c r="S100" i="8" s="1"/>
  <c r="AI48" i="8"/>
  <c r="AG48" i="8" s="1"/>
  <c r="Q50" i="8" a="1"/>
  <c r="Q50" i="8" s="1"/>
  <c r="AH48" i="8" l="1"/>
  <c r="AC50" i="8"/>
  <c r="S29" i="8"/>
  <c r="AC29" i="8" l="1"/>
  <c r="S37" i="8" l="1" a="1"/>
  <c r="S37" i="8" s="1"/>
  <c r="U180" i="11" l="1"/>
  <c r="Q178" i="11" l="1"/>
  <c r="W178" i="11" l="1"/>
  <c r="U178" i="11"/>
  <c r="T178" i="11"/>
  <c r="F35" i="9" l="1"/>
  <c r="M10" i="14"/>
  <c r="M19" i="12" l="1"/>
  <c r="M24" i="12" s="1"/>
  <c r="M26" i="12" s="1"/>
  <c r="V10" i="14"/>
  <c r="O10" i="14"/>
  <c r="D36" i="9"/>
  <c r="M173" i="11"/>
  <c r="E36" i="9"/>
  <c r="D35" i="9"/>
  <c r="F33" i="9"/>
  <c r="L33" i="9" s="1"/>
  <c r="A1" i="9"/>
  <c r="U10" i="14"/>
  <c r="S80" i="8"/>
  <c r="A1" i="12" l="1"/>
  <c r="L35" i="9"/>
  <c r="S80" i="5"/>
  <c r="S80" i="7"/>
  <c r="W100" i="5"/>
  <c r="X82" i="7"/>
  <c r="X99" i="7"/>
  <c r="W48" i="8"/>
  <c r="W80" i="7"/>
  <c r="X85" i="7"/>
  <c r="X81" i="7"/>
  <c r="X84" i="8"/>
  <c r="W85" i="8"/>
  <c r="W97" i="8"/>
  <c r="AK112" i="5" a="1"/>
  <c r="W85" i="7"/>
  <c r="X83" i="7"/>
  <c r="W98" i="8"/>
  <c r="X98" i="8"/>
  <c r="AK67" i="5" a="1"/>
  <c r="Q27" i="8"/>
  <c r="W96" i="8"/>
  <c r="W48" i="5"/>
  <c r="X96" i="8"/>
  <c r="AK112" i="7" a="1"/>
  <c r="E41" i="9" a="1"/>
  <c r="W81" i="8"/>
  <c r="W84" i="7"/>
  <c r="H132" i="5" a="1"/>
  <c r="AK148" i="6" a="1"/>
  <c r="E27" i="3"/>
  <c r="X82" i="8"/>
  <c r="Q99" i="7"/>
  <c r="W83" i="8"/>
  <c r="J10" i="9" a="1"/>
  <c r="E45" i="9" a="1"/>
  <c r="H33" i="9"/>
  <c r="AK112" i="8" a="1"/>
  <c r="X96" i="7"/>
  <c r="X83" i="8"/>
  <c r="W81" i="7"/>
  <c r="W82" i="8"/>
  <c r="X80" i="7"/>
  <c r="I33" i="9"/>
  <c r="W80" i="8"/>
  <c r="M18" i="9"/>
  <c r="AK67" i="8" a="1"/>
  <c r="X98" i="7"/>
  <c r="W82" i="7"/>
  <c r="W83" i="7"/>
  <c r="X85" i="8"/>
  <c r="W100" i="7"/>
  <c r="W96" i="7"/>
  <c r="X97" i="8"/>
  <c r="W98" i="7"/>
  <c r="X80" i="8"/>
  <c r="M14" i="15" a="1"/>
  <c r="Q98" i="7"/>
  <c r="X48" i="8"/>
  <c r="Q97" i="7"/>
  <c r="X99" i="8"/>
  <c r="W84" i="8"/>
  <c r="X84" i="7"/>
  <c r="W99" i="8"/>
  <c r="W136" i="6"/>
  <c r="W97" i="7"/>
  <c r="W99" i="7"/>
  <c r="AR67" i="5" a="1"/>
  <c r="X81" i="8"/>
  <c r="AN26" i="7"/>
  <c r="Q100" i="7"/>
  <c r="J33" i="9"/>
  <c r="B10" i="11" l="1"/>
  <c r="B9" i="11"/>
  <c r="B13" i="11"/>
  <c r="B15" i="11"/>
  <c r="B12" i="11"/>
  <c r="B7" i="11"/>
  <c r="Q97" i="8"/>
  <c r="S97" i="8" s="1"/>
  <c r="AK148" i="6"/>
  <c r="AK67" i="5"/>
  <c r="AL26" i="7"/>
  <c r="AK27" i="7" s="1" a="1"/>
  <c r="AK27" i="7" s="1"/>
  <c r="AK112" i="7"/>
  <c r="S96" i="7"/>
  <c r="H32" i="9"/>
  <c r="I32" i="9"/>
  <c r="Q96" i="8"/>
  <c r="A1" i="3"/>
  <c r="G123" i="8"/>
  <c r="G122" i="8"/>
  <c r="AK112" i="5"/>
  <c r="Q80" i="7"/>
  <c r="Q101" i="7" s="1" a="1"/>
  <c r="H132" i="5"/>
  <c r="Q80" i="8"/>
  <c r="AB27" i="8"/>
  <c r="Q37" i="8" a="1"/>
  <c r="Q37" i="8" s="1"/>
  <c r="Q51" i="8" s="1"/>
  <c r="W27" i="8"/>
  <c r="AC27" i="8"/>
  <c r="AC37" i="8" s="1" a="1"/>
  <c r="AC37" i="8" s="1"/>
  <c r="AK67" i="8"/>
  <c r="E45" i="9"/>
  <c r="S99" i="7"/>
  <c r="AR67" i="5"/>
  <c r="S97" i="7"/>
  <c r="M14" i="15"/>
  <c r="E41" i="9"/>
  <c r="D45" i="9" s="1"/>
  <c r="S96" i="8"/>
  <c r="E238" i="11"/>
  <c r="F123" i="8"/>
  <c r="F122" i="8"/>
  <c r="AK112" i="8"/>
  <c r="S98" i="7"/>
  <c r="J10" i="9"/>
  <c r="Q98" i="8"/>
  <c r="S98" i="8" s="1"/>
  <c r="F122" i="5"/>
  <c r="F123" i="5"/>
  <c r="Q99" i="8"/>
  <c r="S99" i="8" s="1"/>
  <c r="S101" i="5" a="1"/>
  <c r="S101" i="5" s="1"/>
  <c r="S48" i="8"/>
  <c r="S50" i="8" s="1" a="1"/>
  <c r="H133" i="5" a="1"/>
  <c r="Q122" i="8"/>
  <c r="I181" i="11" a="1"/>
  <c r="Q123" i="8"/>
  <c r="H132" i="8" a="1"/>
  <c r="AN26" i="8"/>
  <c r="S101" i="8" l="1" a="1"/>
  <c r="S101" i="8" s="1"/>
  <c r="D237" i="11" s="1"/>
  <c r="F176" i="6" s="1"/>
  <c r="AK26" i="7" a="1"/>
  <c r="AK26" i="7" s="1"/>
  <c r="Q101" i="7"/>
  <c r="Q125" i="7" s="1"/>
  <c r="Q129" i="7" s="1"/>
  <c r="AK28" i="7" a="1"/>
  <c r="AK28" i="7" s="1"/>
  <c r="AK29" i="7" a="1"/>
  <c r="AK29" i="7" s="1"/>
  <c r="AK30" i="7"/>
  <c r="E42" i="9"/>
  <c r="S101" i="7" a="1"/>
  <c r="S101" i="7" s="1"/>
  <c r="S125" i="7" s="1"/>
  <c r="S129" i="7" s="1"/>
  <c r="D41" i="9"/>
  <c r="AL26" i="8"/>
  <c r="AK27" i="8" s="1" a="1"/>
  <c r="AK27" i="8" s="1"/>
  <c r="I181" i="11"/>
  <c r="Q179" i="11" s="1"/>
  <c r="U179" i="11" s="1"/>
  <c r="H132" i="8"/>
  <c r="H133" i="5"/>
  <c r="Q124" i="8" a="1"/>
  <c r="Q124" i="8" s="1"/>
  <c r="S122" i="8"/>
  <c r="S123" i="8"/>
  <c r="Q101" i="8" a="1"/>
  <c r="Q101" i="8" s="1"/>
  <c r="AC51" i="8"/>
  <c r="H122" i="8"/>
  <c r="H123" i="8"/>
  <c r="S125" i="5"/>
  <c r="S129" i="5" s="1"/>
  <c r="D234" i="11"/>
  <c r="S50" i="8"/>
  <c r="S51" i="8" s="1"/>
  <c r="C237" i="11" s="1"/>
  <c r="H133" i="8" a="1"/>
  <c r="H130" i="5"/>
  <c r="G131" i="5"/>
  <c r="H130" i="7"/>
  <c r="G131" i="7"/>
  <c r="F140" i="7" l="1"/>
  <c r="F140" i="8"/>
  <c r="F140" i="5"/>
  <c r="D235" i="11"/>
  <c r="F139" i="7" s="1"/>
  <c r="AK28" i="8" a="1"/>
  <c r="AK28" i="8" s="1"/>
  <c r="Q125" i="8"/>
  <c r="Q129" i="8" s="1"/>
  <c r="L181" i="11"/>
  <c r="W179" i="11" s="1"/>
  <c r="F237" i="11"/>
  <c r="H140" i="5" s="1"/>
  <c r="S124" i="8" a="1"/>
  <c r="S124" i="8" s="1"/>
  <c r="S125" i="8" s="1"/>
  <c r="S129" i="8" s="1"/>
  <c r="AK26" i="8" a="1"/>
  <c r="AK26" i="8" s="1"/>
  <c r="AK29" i="8" a="1"/>
  <c r="AK29" i="8" s="1"/>
  <c r="AK30" i="8"/>
  <c r="G235" i="11"/>
  <c r="H133" i="8"/>
  <c r="H124" i="8"/>
  <c r="AA48" i="8"/>
  <c r="T179" i="11"/>
  <c r="F141" i="7"/>
  <c r="F141" i="8"/>
  <c r="F177" i="6"/>
  <c r="F141" i="5"/>
  <c r="G234" i="11"/>
  <c r="E140" i="8"/>
  <c r="E140" i="7"/>
  <c r="E176" i="6"/>
  <c r="E140" i="5"/>
  <c r="H130" i="8"/>
  <c r="F175" i="6" l="1"/>
  <c r="F139" i="5"/>
  <c r="F139" i="8"/>
  <c r="H140" i="7"/>
  <c r="H140" i="8"/>
  <c r="H176" i="6"/>
  <c r="I175" i="6"/>
  <c r="I139" i="8"/>
  <c r="I139" i="5"/>
  <c r="I139" i="7"/>
  <c r="C238" i="11"/>
  <c r="I141" i="7"/>
  <c r="I177" i="6"/>
  <c r="I141" i="8"/>
  <c r="I141" i="5"/>
  <c r="G237" i="11"/>
  <c r="S28" i="6"/>
  <c r="AC28" i="6" s="1"/>
  <c r="G131" i="8"/>
  <c r="I140" i="5" l="1"/>
  <c r="I140" i="7"/>
  <c r="I176" i="6"/>
  <c r="I140" i="8"/>
  <c r="D238" i="11" l="1"/>
  <c r="G238" i="11"/>
  <c r="S27" i="6" l="1"/>
  <c r="S29" i="6"/>
  <c r="AC29" i="6" s="1"/>
  <c r="AB27" i="6" l="1"/>
  <c r="G158" i="6" s="1"/>
  <c r="AC27" i="6"/>
  <c r="S73" i="6" a="1"/>
  <c r="S73" i="6" s="1"/>
  <c r="G159" i="6"/>
  <c r="Q158" i="6"/>
  <c r="Q159" i="6"/>
  <c r="S158" i="6" l="1"/>
  <c r="W161" i="6"/>
  <c r="H158" i="6"/>
  <c r="Q160" i="6" a="1"/>
  <c r="Q160" i="6" s="1"/>
  <c r="Q161" i="6" s="1"/>
  <c r="Q165" i="6" s="1"/>
  <c r="AC73" i="6" a="1"/>
  <c r="AC73" i="6" s="1"/>
  <c r="S159" i="6"/>
  <c r="H159" i="6"/>
  <c r="H168" i="6" a="1"/>
  <c r="I180" i="11" a="1"/>
  <c r="S160" i="6" l="1" a="1"/>
  <c r="S160" i="6" s="1"/>
  <c r="AA84" i="6"/>
  <c r="H168" i="6"/>
  <c r="I180" i="11"/>
  <c r="L180" i="11" s="1"/>
  <c r="W177" i="11" s="1"/>
  <c r="AC87" i="6"/>
  <c r="H160" i="6"/>
  <c r="F236" i="11"/>
  <c r="S84" i="6"/>
  <c r="W84" i="6"/>
  <c r="H169" i="6" a="1"/>
  <c r="Q175" i="6" l="1"/>
  <c r="Q139" i="5"/>
  <c r="Q139" i="8"/>
  <c r="Q177" i="11"/>
  <c r="T177" i="11" s="1"/>
  <c r="S86" i="6" a="1"/>
  <c r="S86" i="6" s="1"/>
  <c r="S87" i="6" s="1"/>
  <c r="C236" i="11" s="1"/>
  <c r="F159" i="6"/>
  <c r="F158" i="6"/>
  <c r="Q139" i="7"/>
  <c r="I182" i="11"/>
  <c r="L182" i="11" s="1"/>
  <c r="W176" i="11" s="1"/>
  <c r="H169" i="6"/>
  <c r="H138" i="5"/>
  <c r="H174" i="6"/>
  <c r="H138" i="7"/>
  <c r="H138" i="8"/>
  <c r="L142" i="8" a="1"/>
  <c r="L142" i="7" a="1"/>
  <c r="K142" i="5" a="1"/>
  <c r="L178" i="6" a="1"/>
  <c r="K142" i="5" l="1"/>
  <c r="L178" i="6"/>
  <c r="G177" i="11"/>
  <c r="L142" i="8"/>
  <c r="U177" i="11"/>
  <c r="E138" i="7"/>
  <c r="E138" i="5"/>
  <c r="E174" i="6"/>
  <c r="E138" i="8"/>
  <c r="L142" i="7"/>
  <c r="Q176" i="11"/>
  <c r="T176" i="11" s="1"/>
  <c r="S116" i="6"/>
  <c r="S137" i="6" l="1" a="1"/>
  <c r="S137" i="6" s="1"/>
  <c r="S161" i="6" s="1"/>
  <c r="S165" i="6" s="1"/>
  <c r="U176" i="11"/>
  <c r="H166" i="6"/>
  <c r="D236" i="11" l="1"/>
  <c r="F138" i="5" s="1"/>
  <c r="G236" i="11"/>
  <c r="G167" i="6"/>
  <c r="F138" i="7" l="1"/>
  <c r="F138" i="8"/>
  <c r="F174" i="6"/>
  <c r="Q138" i="7"/>
  <c r="Q174" i="6"/>
  <c r="Q138" i="5"/>
  <c r="Q138" i="8"/>
  <c r="I138" i="7"/>
  <c r="Q137" i="7" s="1"/>
  <c r="I138" i="5"/>
  <c r="Q137" i="5" s="1"/>
  <c r="I138" i="8"/>
  <c r="Q137" i="8" s="1"/>
  <c r="I174" i="6"/>
  <c r="Q173"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marvinison</author>
  </authors>
  <commentList>
    <comment ref="D111" authorId="0" shapeId="0" xr:uid="{7D6A0EB0-6959-4516-8E08-72A34D68EC96}">
      <text>
        <r>
          <rPr>
            <b/>
            <sz val="8"/>
            <color indexed="81"/>
            <rFont val="Tahoma"/>
            <family val="2"/>
          </rPr>
          <t xml:space="preserve">YTD Start and End Date Validation Rules
</t>
        </r>
        <r>
          <rPr>
            <sz val="8"/>
            <color indexed="81"/>
            <rFont val="Tahoma"/>
            <family val="2"/>
          </rPr>
          <t>This is to validate the start and end dates of a Year To Date (YTD) income.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marvinison</author>
    <author>Marvin Ison</author>
  </authors>
  <commentList>
    <comment ref="C5670" authorId="0" shapeId="0" xr:uid="{3E7C975E-2600-439B-B484-64EB16E9C320}">
      <text>
        <r>
          <rPr>
            <b/>
            <sz val="8"/>
            <color indexed="81"/>
            <rFont val="Tahoma"/>
            <family val="2"/>
          </rPr>
          <t xml:space="preserve">YTD Start and End Date Validation Rules
</t>
        </r>
        <r>
          <rPr>
            <sz val="8"/>
            <color indexed="81"/>
            <rFont val="Tahoma"/>
            <family val="2"/>
          </rPr>
          <t>This is to validate the start and end dates of a Year To Date (YTD) income.</t>
        </r>
      </text>
    </comment>
    <comment ref="D5680" authorId="1" shapeId="0" xr:uid="{C200F6C6-39DB-4584-B2B8-F0F8D13ED117}">
      <text>
        <r>
          <rPr>
            <b/>
            <sz val="9"/>
            <color indexed="81"/>
            <rFont val="Tahoma"/>
            <family val="2"/>
          </rPr>
          <t>Marvin Ison:</t>
        </r>
        <r>
          <rPr>
            <sz val="9"/>
            <color indexed="81"/>
            <rFont val="Tahoma"/>
            <family val="2"/>
          </rPr>
          <t xml:space="preserve">
Code and tier cannot be in different columns, hence this solution where it's displayed as "&lt;code&gt; :: &lt;tier&gt;". I believe Drools caches condition results and does not reevaluate a rule if the same parameter value has been evaluated before. But the way this Drools works, each row in this column needs to invoke setCodeTier().</t>
        </r>
      </text>
    </comment>
    <comment ref="D5762" authorId="1" shapeId="0" xr:uid="{40FFAE04-FA31-4CE2-B4E5-13EB54533381}">
      <text>
        <r>
          <rPr>
            <b/>
            <sz val="9"/>
            <color indexed="81"/>
            <rFont val="Tahoma"/>
            <family val="2"/>
          </rPr>
          <t>Marvin Ison:</t>
        </r>
        <r>
          <rPr>
            <sz val="9"/>
            <color indexed="81"/>
            <rFont val="Tahoma"/>
            <family val="2"/>
          </rPr>
          <t xml:space="preserve">
Code and tier cannot be in different columns, hence this solution where it's displayed as "&lt;code&gt; :: &lt;tier&gt;". I believe Drools caches condition results and does not reevaluate a rule if the same parameter value has been evaluated before. But the way this Drools works, each row in this column needs to invoke setCodeTier().</t>
        </r>
      </text>
    </comment>
    <comment ref="D5776" authorId="1" shapeId="0" xr:uid="{43E21E9E-91A4-46DB-8691-0A4C0F7E57BD}">
      <text>
        <r>
          <rPr>
            <b/>
            <sz val="9"/>
            <color indexed="81"/>
            <rFont val="Tahoma"/>
            <family val="2"/>
          </rPr>
          <t>Marvin Ison:</t>
        </r>
        <r>
          <rPr>
            <sz val="9"/>
            <color indexed="81"/>
            <rFont val="Tahoma"/>
            <family val="2"/>
          </rPr>
          <t xml:space="preserve">
Code and tier cannot be in different columns, hence this solution where it's displayed as "&lt;code&gt; :: &lt;tier&gt;". I believe Drools caches condition results and does not reevaluate a rule if the same parameter value has been evaluated before. But the way this Drools works, each row in this column needs to invoke setCodeTier().</t>
        </r>
      </text>
    </comment>
    <comment ref="C5871" authorId="0" shapeId="0" xr:uid="{CA227AC6-1F82-4A71-A335-2F9842271559}">
      <text>
        <r>
          <rPr>
            <b/>
            <sz val="8"/>
            <color indexed="81"/>
            <rFont val="Tahoma"/>
            <family val="2"/>
          </rPr>
          <t xml:space="preserve">YTD Start and End Date Validation Rules
</t>
        </r>
        <r>
          <rPr>
            <sz val="8"/>
            <color indexed="81"/>
            <rFont val="Tahoma"/>
            <family val="2"/>
          </rPr>
          <t>This is to validate the start and end dates of a Year To Date (YTD) income.</t>
        </r>
      </text>
    </comment>
    <comment ref="C5893" authorId="0" shapeId="0" xr:uid="{7FB1A25B-EE6D-47DA-82DD-4A714BB7F36F}">
      <text>
        <r>
          <rPr>
            <b/>
            <sz val="8"/>
            <color indexed="81"/>
            <rFont val="Tahoma"/>
            <family val="2"/>
          </rPr>
          <t xml:space="preserve">YTD Start and End Date Validation Rules
</t>
        </r>
        <r>
          <rPr>
            <sz val="8"/>
            <color indexed="81"/>
            <rFont val="Tahoma"/>
            <family val="2"/>
          </rPr>
          <t>This is to validate the start and end dates of a Year To Date (YTD) income.</t>
        </r>
      </text>
    </comment>
    <comment ref="C5912" authorId="0" shapeId="0" xr:uid="{D8AFBE26-9D79-4340-8D9C-289ED8911617}">
      <text>
        <r>
          <rPr>
            <b/>
            <sz val="8"/>
            <color indexed="81"/>
            <rFont val="Tahoma"/>
            <family val="2"/>
          </rPr>
          <t xml:space="preserve">YTD Start and End Date Validation Rules
</t>
        </r>
        <r>
          <rPr>
            <sz val="8"/>
            <color indexed="81"/>
            <rFont val="Tahoma"/>
            <family val="2"/>
          </rPr>
          <t>This is to validate the start and end dates of a Year To Date (YTD) income.</t>
        </r>
      </text>
    </comment>
    <comment ref="C5923" authorId="0" shapeId="0" xr:uid="{D92D2909-994C-4E2E-9D66-5AA42A625845}">
      <text>
        <r>
          <rPr>
            <b/>
            <sz val="8"/>
            <color indexed="81"/>
            <rFont val="Tahoma"/>
            <family val="2"/>
          </rPr>
          <t xml:space="preserve">YTD Start and End Date Validation Rules
</t>
        </r>
        <r>
          <rPr>
            <sz val="8"/>
            <color indexed="81"/>
            <rFont val="Tahoma"/>
            <family val="2"/>
          </rPr>
          <t>This is to validate the start and end dates of a Year To Date (YTD) income.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FFE542-55CA-451D-B27E-8F593DA1F324}" name="Connection" type="4" refreshedVersion="0" background="1">
    <webPr sourceData="1" parsePre="1" consecutive="1" url="https://www.anz.com/productdata/productdata.asp"/>
  </connection>
  <connection id="2" xr16:uid="{14B3C063-FCFA-4506-A3E2-A2B2499362BD}" keepAlive="1" name="Query - reference-data" description="Connection to the 'reference-data' query in the workbook." type="5" refreshedVersion="8" background="1" saveData="1">
    <dbPr connection="Provider=Microsoft.Mashup.OleDb.1;Data Source=$Workbook$;Location=reference-data;Extended Properties=&quot;&quot;" command="SELECT * FROM [reference-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<sst xmlns="http://schemas.openxmlformats.org/spreadsheetml/2006/main" count="62116" uniqueCount="9572">
  <si>
    <t>Application Submission Date</t>
  </si>
  <si>
    <t>Entities</t>
  </si>
  <si>
    <t>Quarterly</t>
  </si>
  <si>
    <t>Monthly</t>
  </si>
  <si>
    <t>Entity Name</t>
  </si>
  <si>
    <t>Customer Estimated Downturn (%)</t>
  </si>
  <si>
    <t>BAS Information</t>
  </si>
  <si>
    <t>BAS Frequency</t>
  </si>
  <si>
    <t>Most Recent BAS Reporting period</t>
  </si>
  <si>
    <t>BAS Sales</t>
  </si>
  <si>
    <t xml:space="preserve">Total BAS </t>
  </si>
  <si>
    <t>Tax Return Information</t>
  </si>
  <si>
    <t>Total Business Income</t>
  </si>
  <si>
    <t>Type</t>
  </si>
  <si>
    <t>Amount</t>
  </si>
  <si>
    <t>Frequency</t>
  </si>
  <si>
    <t>Weekly</t>
  </si>
  <si>
    <t>Fortnightly</t>
  </si>
  <si>
    <t>Four Weekly</t>
  </si>
  <si>
    <t>Bi Annually</t>
  </si>
  <si>
    <t>Annually</t>
  </si>
  <si>
    <t>Total</t>
  </si>
  <si>
    <t>Insurance</t>
  </si>
  <si>
    <t>Transport / Vehicles</t>
  </si>
  <si>
    <t>Select a calculator to get started</t>
  </si>
  <si>
    <t>Upload Previous Version</t>
  </si>
  <si>
    <t>Owner occupied property</t>
  </si>
  <si>
    <t>Deduction</t>
  </si>
  <si>
    <t>CUSTOMERS</t>
  </si>
  <si>
    <t>Name</t>
  </si>
  <si>
    <t>Dependants</t>
  </si>
  <si>
    <t>Owning Options</t>
  </si>
  <si>
    <t>Employment Owning Options</t>
  </si>
  <si>
    <t>Other Incomes Row</t>
  </si>
  <si>
    <t>After Tax</t>
  </si>
  <si>
    <t>Before Tax</t>
  </si>
  <si>
    <t>INCOMES</t>
  </si>
  <si>
    <t>CUSTOMER STATED</t>
  </si>
  <si>
    <t>BANK ASSESSED</t>
  </si>
  <si>
    <t>NET EQUIVALENT</t>
  </si>
  <si>
    <t>Employment</t>
  </si>
  <si>
    <t>Party</t>
  </si>
  <si>
    <t>Included</t>
  </si>
  <si>
    <t>Tax Status</t>
  </si>
  <si>
    <t>Inc Super?</t>
  </si>
  <si>
    <t>Start Date</t>
  </si>
  <si>
    <t>End Date</t>
  </si>
  <si>
    <t>Monthly Gross Inc.</t>
  </si>
  <si>
    <t>Mthly Sensitised Inc</t>
  </si>
  <si>
    <t>Monthly Income HEM</t>
  </si>
  <si>
    <t>Number of Days</t>
  </si>
  <si>
    <t>Taxable</t>
  </si>
  <si>
    <t>Deductions</t>
  </si>
  <si>
    <t>RM or DUAL</t>
  </si>
  <si>
    <t>Monthly Income Taxable</t>
  </si>
  <si>
    <t>DTI Income</t>
  </si>
  <si>
    <t>Components</t>
  </si>
  <si>
    <t>|*|</t>
  </si>
  <si>
    <t>Other</t>
  </si>
  <si>
    <t>Non-Taxable</t>
  </si>
  <si>
    <t>Year to Date</t>
  </si>
  <si>
    <t>Other Incomes</t>
  </si>
  <si>
    <t>TAX_VAL</t>
  </si>
  <si>
    <t>OWNERSHIP</t>
  </si>
  <si>
    <t>APPORTIONED VALUE</t>
  </si>
  <si>
    <t>TOTAL OWNED</t>
  </si>
  <si>
    <t>DEDUCTABLE EXPENSE</t>
  </si>
  <si>
    <t>Sub Type</t>
  </si>
  <si>
    <t>Amount (AUD)</t>
  </si>
  <si>
    <t>Asset Value</t>
  </si>
  <si>
    <t>Annual Inv Prop Expense</t>
  </si>
  <si>
    <t>Comments</t>
  </si>
  <si>
    <t>Overseas Income</t>
  </si>
  <si>
    <t>Rental Yield</t>
  </si>
  <si>
    <t>Sensitised Inv Exp</t>
  </si>
  <si>
    <t>Rent (Resi)</t>
  </si>
  <si>
    <t>Rent (Comm)</t>
  </si>
  <si>
    <t>Interest</t>
  </si>
  <si>
    <t>Dividends</t>
  </si>
  <si>
    <t>Government</t>
  </si>
  <si>
    <t>SuperAnnuities</t>
  </si>
  <si>
    <t>Overseas</t>
  </si>
  <si>
    <t>Monthly Gross Income</t>
  </si>
  <si>
    <t>Monthly Sensitised Inc</t>
  </si>
  <si>
    <t>TOTAL INCOMES</t>
  </si>
  <si>
    <t>EXPENSES</t>
  </si>
  <si>
    <t>Liabilities</t>
  </si>
  <si>
    <t>SENS OWNERSHIP</t>
  </si>
  <si>
    <t>With ANZ</t>
  </si>
  <si>
    <t>Deductible?</t>
  </si>
  <si>
    <t>Limit / Balance</t>
  </si>
  <si>
    <t>Repayment</t>
  </si>
  <si>
    <t>Rate</t>
  </si>
  <si>
    <t>Monthly Expense</t>
  </si>
  <si>
    <t>Mthly Sensitised Exp</t>
  </si>
  <si>
    <t>Total Deduction</t>
  </si>
  <si>
    <t>Home Loan</t>
  </si>
  <si>
    <t>Residential Inv Loan</t>
  </si>
  <si>
    <t>Property Line of Credit</t>
  </si>
  <si>
    <t>Credit Card</t>
  </si>
  <si>
    <t>Personal Loan</t>
  </si>
  <si>
    <t>Margin Loan</t>
  </si>
  <si>
    <t>Overdraft</t>
  </si>
  <si>
    <t>Other Term Loan</t>
  </si>
  <si>
    <t>Other Line of Credit</t>
  </si>
  <si>
    <t>Living / Other Expenses</t>
  </si>
  <si>
    <t>Living Expenses</t>
  </si>
  <si>
    <t>Transport</t>
  </si>
  <si>
    <t>Phone Internet TV Subs</t>
  </si>
  <si>
    <t>Childcare</t>
  </si>
  <si>
    <t>Groceries</t>
  </si>
  <si>
    <t>Public Education</t>
  </si>
  <si>
    <t>Clothing and Personal</t>
  </si>
  <si>
    <t>High Ed &amp; Prof Serv</t>
  </si>
  <si>
    <t>Rec &amp; Entertainment</t>
  </si>
  <si>
    <t>Medical and health</t>
  </si>
  <si>
    <t>Pet Care</t>
  </si>
  <si>
    <t>General Insurance</t>
  </si>
  <si>
    <t>Other Commitments</t>
  </si>
  <si>
    <t>Rent/Board</t>
  </si>
  <si>
    <t>Spousal / Child Maint.</t>
  </si>
  <si>
    <t>Private Education</t>
  </si>
  <si>
    <t>Health Insurance</t>
  </si>
  <si>
    <t>Life / S&amp;PA Insurance</t>
  </si>
  <si>
    <t>Secondary Residence</t>
  </si>
  <si>
    <t>Resi Inv Prop Run Cost</t>
  </si>
  <si>
    <t>New Lending</t>
  </si>
  <si>
    <t>Investment?</t>
  </si>
  <si>
    <t>Rate Type</t>
  </si>
  <si>
    <t>Fixed / IO Term Y</t>
  </si>
  <si>
    <t>Term (Y)</t>
  </si>
  <si>
    <t>Term (M)</t>
  </si>
  <si>
    <t>Init Discount</t>
  </si>
  <si>
    <t>Init Rate</t>
  </si>
  <si>
    <t>Subs. Discount</t>
  </si>
  <si>
    <t>Subs. Rate</t>
  </si>
  <si>
    <t>Fixed P&amp;I</t>
  </si>
  <si>
    <t>Fixed IO</t>
  </si>
  <si>
    <t>Fixed IIA</t>
  </si>
  <si>
    <t>Var P&amp;I</t>
  </si>
  <si>
    <t>Var IO</t>
  </si>
  <si>
    <t>S+ P&amp;I</t>
  </si>
  <si>
    <t>S+ IO</t>
  </si>
  <si>
    <t>David 50% Lauren 50%</t>
  </si>
  <si>
    <t>Exchange Rate Movement Risk</t>
  </si>
  <si>
    <t>Tax Expense</t>
  </si>
  <si>
    <t>HEM Gross Annual Inc</t>
  </si>
  <si>
    <t>Taxable Income</t>
  </si>
  <si>
    <t>Tax Factor</t>
  </si>
  <si>
    <t>Monthly Tax Expense</t>
  </si>
  <si>
    <t>TOTAL EXPENSES</t>
  </si>
  <si>
    <t>TOTAL UMI</t>
  </si>
  <si>
    <t>Maximum Potential Borrowing Power</t>
  </si>
  <si>
    <t>Debt to Income Ratio</t>
  </si>
  <si>
    <t>Results</t>
  </si>
  <si>
    <t>SoP</t>
  </si>
  <si>
    <t>Income</t>
  </si>
  <si>
    <t>Expenses</t>
  </si>
  <si>
    <t>Tax</t>
  </si>
  <si>
    <t>UMI</t>
  </si>
  <si>
    <t>Disclaimer</t>
  </si>
  <si>
    <t>EMA</t>
  </si>
  <si>
    <t>InteJosh</t>
  </si>
  <si>
    <t>Tax Options</t>
  </si>
  <si>
    <t xml:space="preserve"> </t>
  </si>
  <si>
    <t>Customer Details</t>
  </si>
  <si>
    <t>ANZ lending customer for &gt; 6 months?</t>
  </si>
  <si>
    <t>LMI Waiver Category</t>
  </si>
  <si>
    <t>Securities</t>
  </si>
  <si>
    <r>
      <rPr>
        <b/>
        <sz val="10"/>
        <color theme="1" tint="0.249977111117893"/>
        <rFont val="Arial"/>
        <family val="2"/>
      </rPr>
      <t xml:space="preserve">Please Note: </t>
    </r>
    <r>
      <rPr>
        <sz val="10"/>
        <color theme="1" tint="0.249977111117893"/>
        <rFont val="Arial"/>
        <family val="2"/>
      </rPr>
      <t>Only securities in an Acceptable location will be used in LVR calculation.</t>
    </r>
  </si>
  <si>
    <t>Postcode</t>
  </si>
  <si>
    <t>Location</t>
  </si>
  <si>
    <t>State</t>
  </si>
  <si>
    <t>Property Value</t>
  </si>
  <si>
    <t>Property Type</t>
  </si>
  <si>
    <t>Classification</t>
  </si>
  <si>
    <t>Mining Town</t>
  </si>
  <si>
    <t>Apartment Flag</t>
  </si>
  <si>
    <t>Vacant Land</t>
  </si>
  <si>
    <t>Adj Weighting</t>
  </si>
  <si>
    <t>TOTAL SECURITY</t>
  </si>
  <si>
    <t>Linked Liabilities</t>
  </si>
  <si>
    <t>Lending</t>
  </si>
  <si>
    <t>New?</t>
  </si>
  <si>
    <t>Investment</t>
  </si>
  <si>
    <t>Product</t>
  </si>
  <si>
    <t>Insured?</t>
  </si>
  <si>
    <t>LVR (Excluding LMI)</t>
  </si>
  <si>
    <t>Overall LVR</t>
  </si>
  <si>
    <t>Reduction for next LMI Tier</t>
  </si>
  <si>
    <t>Total Consumer Limit</t>
  </si>
  <si>
    <t>LMI Premium*</t>
  </si>
  <si>
    <t>Max LVR to avoid LMI</t>
  </si>
  <si>
    <t>Maximum TCL</t>
  </si>
  <si>
    <t>Saving in LMI</t>
  </si>
  <si>
    <t>Is the overall consumer position acceptable?</t>
  </si>
  <si>
    <t>Customer/s &lt; FHB Income thresholds?</t>
  </si>
  <si>
    <t>First home buyer?</t>
  </si>
  <si>
    <t>Does foreign purchaser surcharge apply?</t>
  </si>
  <si>
    <t>Purchase Type</t>
  </si>
  <si>
    <t>Rent</t>
  </si>
  <si>
    <t>Standard Residential</t>
  </si>
  <si>
    <t>Standard Residential Apartment</t>
  </si>
  <si>
    <t>Small Residential Property (=&gt;40m2 &amp; &lt;50m2)</t>
  </si>
  <si>
    <t>Small residential property (&lt; 40m2)</t>
  </si>
  <si>
    <t>ACT</t>
  </si>
  <si>
    <t>Leasehold</t>
  </si>
  <si>
    <t>Buy a newly constructed home</t>
  </si>
  <si>
    <t>NSW</t>
  </si>
  <si>
    <t>Buy an established home</t>
  </si>
  <si>
    <t>NT</t>
  </si>
  <si>
    <t>Buy off the Plan</t>
  </si>
  <si>
    <t>QLD</t>
  </si>
  <si>
    <t>Buy Land and Construct</t>
  </si>
  <si>
    <t>SA</t>
  </si>
  <si>
    <t>Company Title Units</t>
  </si>
  <si>
    <t>Construct on Existing Land</t>
  </si>
  <si>
    <t>TAS</t>
  </si>
  <si>
    <t>Duplex</t>
  </si>
  <si>
    <t>Buy Land Only</t>
  </si>
  <si>
    <t>VIC</t>
  </si>
  <si>
    <t>Multi Dwelling</t>
  </si>
  <si>
    <t>Existing Property Held</t>
  </si>
  <si>
    <t>WA</t>
  </si>
  <si>
    <t>Commercial Property</t>
  </si>
  <si>
    <t>Government and Security Fees</t>
  </si>
  <si>
    <t>Stamp Duty On Land Transfer</t>
  </si>
  <si>
    <t>Additional Funds</t>
  </si>
  <si>
    <t>Maximum Equity Available</t>
  </si>
  <si>
    <t>Funds</t>
  </si>
  <si>
    <t>Purpose</t>
  </si>
  <si>
    <t>Investment Property - Improvements</t>
  </si>
  <si>
    <t>Contributions</t>
  </si>
  <si>
    <t>Minimum Contributions</t>
  </si>
  <si>
    <t>LMI</t>
  </si>
  <si>
    <t>Savings</t>
  </si>
  <si>
    <t>Total Lending Required</t>
  </si>
  <si>
    <t>=</t>
  </si>
  <si>
    <t>Purchase Price</t>
  </si>
  <si>
    <t>+</t>
  </si>
  <si>
    <t>Refinance</t>
  </si>
  <si>
    <t>-</t>
  </si>
  <si>
    <t>SD_INCOME_THRESHOLD</t>
  </si>
  <si>
    <t>CURRENT ML_CALC_VERSION</t>
  </si>
  <si>
    <t>GOAL_SEEK_PARAMETER_REFERENCES</t>
  </si>
  <si>
    <t>OFFSET REFERENCE</t>
  </si>
  <si>
    <t>*Repayment_Type_Lookup</t>
  </si>
  <si>
    <t>PARAMETER</t>
  </si>
  <si>
    <t>CONTRIBUTIONS</t>
  </si>
  <si>
    <t>ADDITIONAL FUNDS</t>
  </si>
  <si>
    <t>BUYING POWER</t>
  </si>
  <si>
    <t>RELEASE EQUITY</t>
  </si>
  <si>
    <t>Loan amount ($)</t>
  </si>
  <si>
    <t>ADDRESS</t>
  </si>
  <si>
    <t>STATE</t>
  </si>
  <si>
    <t>LVR_EXCLUDING_LMI</t>
  </si>
  <si>
    <t>LVR_EXCLUDING_LMI_INCREASE</t>
  </si>
  <si>
    <t>Property you would like to buy</t>
  </si>
  <si>
    <r>
      <t>15 Smith Street, ARARAT VIC</t>
    </r>
    <r>
      <rPr>
        <sz val="12"/>
        <color theme="1"/>
        <rFont val="Times New Roman"/>
        <family val="1"/>
      </rPr>
      <t>,</t>
    </r>
  </si>
  <si>
    <t>GOAL CALC REFERENCES</t>
  </si>
  <si>
    <t>ROW</t>
  </si>
  <si>
    <t>END ROW</t>
  </si>
  <si>
    <t>*HOUSING_EXPENSE_SHADING_START</t>
  </si>
  <si>
    <t>LVR_INCLUDING_LMI</t>
  </si>
  <si>
    <t>LVR_INCLUDING_LMI_INCREASE</t>
  </si>
  <si>
    <t>Repayment type</t>
  </si>
  <si>
    <r>
      <t>15 Smith Street, FITZROY VIC</t>
    </r>
    <r>
      <rPr>
        <sz val="12"/>
        <color theme="1"/>
        <rFont val="Times New Roman"/>
        <family val="1"/>
      </rPr>
      <t>,</t>
    </r>
  </si>
  <si>
    <t>*HOUSING_EXPENSE_SHADING_END</t>
  </si>
  <si>
    <t>GOAL_SEEK_FIELD</t>
  </si>
  <si>
    <t>CONTRIBUTION_SCENARIO</t>
  </si>
  <si>
    <t>ADDITIONAL_FUNDS_SCENARIO</t>
  </si>
  <si>
    <t>PROPERTY_OR_LAND_VALUE_SCENARIO</t>
  </si>
  <si>
    <t>INCREASE_AMOUNT_SCENARIO</t>
  </si>
  <si>
    <t>Variable or fixed?</t>
  </si>
  <si>
    <r>
      <t>15 Smith Street, BELLINGHAM TAS</t>
    </r>
    <r>
      <rPr>
        <sz val="11"/>
        <color theme="1"/>
        <rFont val="Verdana"/>
        <family val="2"/>
      </rPr>
      <t>,</t>
    </r>
  </si>
  <si>
    <t>CONFIGURABLE ITEM REFERENCES</t>
  </si>
  <si>
    <t>LIMIT_1</t>
  </si>
  <si>
    <t>LIMIT_1_CONTRIBUTION</t>
  </si>
  <si>
    <t>LIMIT_1_EQUITY</t>
  </si>
  <si>
    <t>LIMIT_1_INCLUDING_LMI</t>
  </si>
  <si>
    <t>LIMIT_1_INCREASE</t>
  </si>
  <si>
    <t>Want to package your loan?</t>
  </si>
  <si>
    <r>
      <t>15 Smith Street, BEXLEY NSW</t>
    </r>
    <r>
      <rPr>
        <sz val="11"/>
        <color theme="1"/>
        <rFont val="Verdana"/>
        <family val="2"/>
      </rPr>
      <t>,</t>
    </r>
  </si>
  <si>
    <t>*LMI PREMIUM START REF</t>
  </si>
  <si>
    <t>AMOUNT_1</t>
  </si>
  <si>
    <t>CONTRIBUTION_AMOUNT_1</t>
  </si>
  <si>
    <t>EQUITY_AMOUNT_1</t>
  </si>
  <si>
    <t>BUYING_POWER_1</t>
  </si>
  <si>
    <t>INCREASE_AMOUNT_1</t>
  </si>
  <si>
    <t>Loan type</t>
  </si>
  <si>
    <r>
      <t>15 Smith Street, BUXTON QLD</t>
    </r>
    <r>
      <rPr>
        <sz val="11"/>
        <color theme="1"/>
        <rFont val="Verdana"/>
        <family val="2"/>
      </rPr>
      <t>,</t>
    </r>
  </si>
  <si>
    <t>*LMI PREMIUM END REF</t>
  </si>
  <si>
    <t>LOAN_1</t>
  </si>
  <si>
    <t>XXX</t>
  </si>
  <si>
    <t>LOAN_AMOUNT_1</t>
  </si>
  <si>
    <t>Fixed IO/Term</t>
  </si>
  <si>
    <t>15 Smith Street, DARWIN NT,</t>
  </si>
  <si>
    <t>*BREAKFREE SPECIAL OFFER START</t>
  </si>
  <si>
    <t>LIMIT_2</t>
  </si>
  <si>
    <t>LIMIT_2_CONTRIBUTION</t>
  </si>
  <si>
    <t>LIMIT_2_EQUITY</t>
  </si>
  <si>
    <t>LIMIT_2_INCLUDING_LMI</t>
  </si>
  <si>
    <t>LIMIT_2_INCREASE</t>
  </si>
  <si>
    <t>Initial Interest rate (%)</t>
  </si>
  <si>
    <r>
      <t>15 Smith Street, WEETANGERA ACT</t>
    </r>
    <r>
      <rPr>
        <sz val="11"/>
        <color theme="1"/>
        <rFont val="Verdana"/>
        <family val="2"/>
      </rPr>
      <t>,</t>
    </r>
  </si>
  <si>
    <t>*LVR_THRESHOLD_RULES_START</t>
  </si>
  <si>
    <t>AMOUNT_2</t>
  </si>
  <si>
    <t>CONTRIBUTION_AMOUNT_2</t>
  </si>
  <si>
    <t>EQUITY_AMOUNT_2</t>
  </si>
  <si>
    <t>BUYING_POWER_2</t>
  </si>
  <si>
    <t>INCREASE_AMOUNT_2</t>
  </si>
  <si>
    <t>Subsequent Interest rate (%)</t>
  </si>
  <si>
    <t>15 Smith Street, PERTH WA</t>
  </si>
  <si>
    <t>*HEM COUPLE START REF NET</t>
  </si>
  <si>
    <t>LOAN_2</t>
  </si>
  <si>
    <t>LOAN_AMOUNT_2</t>
  </si>
  <si>
    <t>Comparison rate (%)</t>
  </si>
  <si>
    <t>38 Hudson Rd, Albion, QLD 4010</t>
  </si>
  <si>
    <t>*HEM COUPLE END REF NET</t>
  </si>
  <si>
    <t>LIMIT_3</t>
  </si>
  <si>
    <t>LIMIT_3_CONTRIBUTION</t>
  </si>
  <si>
    <t>LIMIT_3_EQUITY</t>
  </si>
  <si>
    <t>LIMIT_3_INCLUDING_LMI</t>
  </si>
  <si>
    <t>LIMIT_3_INCREASE</t>
  </si>
  <si>
    <t>Loan term (years)</t>
  </si>
  <si>
    <t>ANGASTON, SA 5353</t>
  </si>
  <si>
    <t>*HEM SINGLE START REF NET</t>
  </si>
  <si>
    <t>AMOUNT_3</t>
  </si>
  <si>
    <t>CONTRIBUTION_AMOUNT_3</t>
  </si>
  <si>
    <t>EQUITY_AMOUNT_3</t>
  </si>
  <si>
    <t>BUYING_POWER_3</t>
  </si>
  <si>
    <t>INCREASE_AMOUNT_3</t>
  </si>
  <si>
    <t>Repayment frequency</t>
  </si>
  <si>
    <t>ARARAT, VIC 3377</t>
  </si>
  <si>
    <t>*HEM SINGLE END REF NET</t>
  </si>
  <si>
    <t>LOAN_3</t>
  </si>
  <si>
    <t>LOAN_AMOUNT_3</t>
  </si>
  <si>
    <t>INITIAL RPEAYMENT</t>
  </si>
  <si>
    <t>BELLINGHAM, TAS 7254</t>
  </si>
  <si>
    <t xml:space="preserve">BONUS_SENSITIVITY_MULTIPLIER </t>
  </si>
  <si>
    <t>LIMIT_4</t>
  </si>
  <si>
    <t>LIMIT_4_CONTRIBUTION</t>
  </si>
  <si>
    <t>LIMIT_4_EQUITY</t>
  </si>
  <si>
    <t>LIMIT_4_INCLUDING_LMI</t>
  </si>
  <si>
    <t>LIMIT_4_INCREASE</t>
  </si>
  <si>
    <t>SUBSEQUENT REPAYMENT</t>
  </si>
  <si>
    <t>BUXTON, QLD 4660</t>
  </si>
  <si>
    <t>SHERLOCK - STAMP DUTY (FULL LIST)</t>
  </si>
  <si>
    <t>AMOUNT_4</t>
  </si>
  <si>
    <t>CONTRIBUTION_AMOUNT_4</t>
  </si>
  <si>
    <t>EQUITY_AMOUNT_4</t>
  </si>
  <si>
    <t>BUYING_POWER_4</t>
  </si>
  <si>
    <t>INCREASE_AMOUNT_4</t>
  </si>
  <si>
    <t>Change</t>
  </si>
  <si>
    <t>WEETANGERA, ACT 2614</t>
  </si>
  <si>
    <t>LOAN_4</t>
  </si>
  <si>
    <t>LOAN_AMOUNT_4</t>
  </si>
  <si>
    <t>New Rate</t>
  </si>
  <si>
    <t>15 Smith Street, ANGASTON SA,</t>
  </si>
  <si>
    <t>LVRIMPACT</t>
  </si>
  <si>
    <t>DOWN</t>
  </si>
  <si>
    <t>UP</t>
  </si>
  <si>
    <t>Difference</t>
  </si>
  <si>
    <t>ROT</t>
  </si>
  <si>
    <t>BPLIMIT</t>
  </si>
  <si>
    <t>BORROWING_POWER_LIMIT_EQUITY</t>
  </si>
  <si>
    <t>BORROWING_POWER_LIMIT</t>
  </si>
  <si>
    <t>BORROWING_POWER_LIMIT_INCREASE</t>
  </si>
  <si>
    <t>New repayment</t>
  </si>
  <si>
    <t>BEXLEY, NSW 2207</t>
  </si>
  <si>
    <t xml:space="preserve">COMMISSION_SENSITIVITY_MULTIPLIER </t>
  </si>
  <si>
    <t>NEW_CUSTOMER_EXCLUDING_LMI</t>
  </si>
  <si>
    <t>TOTAL_NEW_CUSTOMER_EXCLUDING_LMI</t>
  </si>
  <si>
    <t>NEW_CUSTOMER_EXCLUDING_LMI_INCREASE</t>
  </si>
  <si>
    <t>Repayment Scenario</t>
  </si>
  <si>
    <t>DARWIN, NT 800</t>
  </si>
  <si>
    <t xml:space="preserve">OVERTIME_SENSITIVITY_MULTIPLIER </t>
  </si>
  <si>
    <t>NEW_CUSTOMER_INCLUDING_LMI</t>
  </si>
  <si>
    <t>TOTAL_NEW_CUSTOMER_INCLUDING_LMI</t>
  </si>
  <si>
    <t>NEW_CUSTOMER_INCLUDING_LMI_INCREASE</t>
  </si>
  <si>
    <t>PERTH, WA 6000</t>
  </si>
  <si>
    <t>*RATE_CODE_START</t>
  </si>
  <si>
    <t>EXISTING_CUSTOMER_EXCLUDING_LMI</t>
  </si>
  <si>
    <t>TOTAL_EXISTING_CUSTOMER_EXCLUDING_LMI</t>
  </si>
  <si>
    <t>EXISTING_CUSTOMER_EXCLUDING_LMI_INCREASE</t>
  </si>
  <si>
    <t>When</t>
  </si>
  <si>
    <t>*LMI LENDING THRESHOLD</t>
  </si>
  <si>
    <t>EXISTING_CUSTOMER_INCLUDING_LMI</t>
  </si>
  <si>
    <t>TOTAL_EXISTING_CUSTOMER_INCLUDING_LMI</t>
  </si>
  <si>
    <t>EXISTING_CUSTOMER_INCLUDING_LMI_INCREASE</t>
  </si>
  <si>
    <t>Time Saved</t>
  </si>
  <si>
    <t>FITZROY, VIC 3065</t>
  </si>
  <si>
    <t>*LMI_MODIFIERS_TOP_COVER</t>
  </si>
  <si>
    <t>MAX_LVR_WITHOUT_LMI</t>
  </si>
  <si>
    <t>TOTAL_WITHOUT_LMI</t>
  </si>
  <si>
    <t>WITHOUT_LMI_INCREASE</t>
  </si>
  <si>
    <t>Matching Balances Period</t>
  </si>
  <si>
    <t>99 Brisbane St, Bulimba, QLD 4171</t>
  </si>
  <si>
    <t>*HOLA PURPOSE START REF</t>
  </si>
  <si>
    <t>END_ARRAY</t>
  </si>
  <si>
    <t>Early Repayment Period</t>
  </si>
  <si>
    <t>44 Mcintyre, Hendra, QLD 4011</t>
  </si>
  <si>
    <t>*RATE_CODE_END</t>
  </si>
  <si>
    <t>Interest Saved</t>
  </si>
  <si>
    <t>Herston QLD 4006, Herston, QLD 4006</t>
  </si>
  <si>
    <t>*PURPOSES_START</t>
  </si>
  <si>
    <t>Banyo QLD 4014, Banyo, QLD 4014</t>
  </si>
  <si>
    <t>SHERLOCK_CODES</t>
  </si>
  <si>
    <t>BRISBANE CLUB TOWER 241 ADELAIDE STREET, BRISBANE CITY QLD 4000</t>
  </si>
  <si>
    <t>PHL.VR.VRI</t>
  </si>
  <si>
    <t>37 Kent Street,Woolloongabba QLD 4102,AUSTRALIA</t>
  </si>
  <si>
    <t>DEFAULT_MAX_BORROW_TERM</t>
  </si>
  <si>
    <t>MINIMUM_LMI_PREMIUM</t>
  </si>
  <si>
    <t>LMI_PMT_RATE</t>
  </si>
  <si>
    <t>*HOLA_PROPERTY_TYPE_START</t>
  </si>
  <si>
    <t>ADDITIONAL FUNDS ITEMS</t>
  </si>
  <si>
    <t>TRUE</t>
  </si>
  <si>
    <t>PRIVATE_HEALTH_INSURANCE_YN</t>
  </si>
  <si>
    <t>Row Labels</t>
  </si>
  <si>
    <t>NUMBER_OF_ADULTS</t>
  </si>
  <si>
    <t>Boats or Caravans</t>
  </si>
  <si>
    <t>NUMBER_OF_CHILDREN</t>
  </si>
  <si>
    <t>Household/Personal</t>
  </si>
  <si>
    <t>Investments</t>
  </si>
  <si>
    <t>a</t>
  </si>
  <si>
    <t>j</t>
  </si>
  <si>
    <t>i</t>
  </si>
  <si>
    <t>k</t>
  </si>
  <si>
    <t>l</t>
  </si>
  <si>
    <t>Motor Cycles</t>
  </si>
  <si>
    <t>New Motor Car</t>
  </si>
  <si>
    <t>Travel Holidays</t>
  </si>
  <si>
    <t>Used Motor Car</t>
  </si>
  <si>
    <t>Home - Improvements</t>
  </si>
  <si>
    <t>Grand Total</t>
  </si>
  <si>
    <t>Purch New Home-1st Home</t>
  </si>
  <si>
    <t>(Multiple Items)</t>
  </si>
  <si>
    <t>SENSITIVITY_RATE_FLOOR</t>
  </si>
  <si>
    <t>CREDITCARD_EXPENSE_MULTIPLIER</t>
  </si>
  <si>
    <t>OFI_SENSITIVITY_RATE</t>
  </si>
  <si>
    <t>ANZ_SENSITIVITY_RATE</t>
  </si>
  <si>
    <t>GOAL_SEEK_HIGH_EQUITY</t>
  </si>
  <si>
    <t>GOAL_SEEK_LOW_EQUITY</t>
  </si>
  <si>
    <t>DEFAULT_OTHER_LIABILITIES_TERM</t>
  </si>
  <si>
    <t>ERMR_MULTIPLIER</t>
  </si>
  <si>
    <t>DEFAULT_INTEREST_YIELD</t>
  </si>
  <si>
    <t>HOLA_TEST_REFERENCES</t>
  </si>
  <si>
    <t xml:space="preserve">DEFAULT_DIVIDEND_YIELD </t>
  </si>
  <si>
    <t>I would like to</t>
  </si>
  <si>
    <t xml:space="preserve">INTEREST_TAX_MULTIPLIER </t>
  </si>
  <si>
    <t>TOTAL GOVERNMENT FEES</t>
  </si>
  <si>
    <t>Parameter File Location</t>
  </si>
  <si>
    <t>\\svrau530csm00\Home Owners Tribe\5.  Portfolio\PRODUCT DESIGN\0. Portfolio Management\ANZ.com calculators\01. Shared Master Parameter File\JSONs\</t>
  </si>
  <si>
    <t xml:space="preserve">DIVIDENDS_TAX_MULTIPLIER </t>
  </si>
  <si>
    <t>Estimated purchase price</t>
  </si>
  <si>
    <t>Sherlock File Location</t>
  </si>
  <si>
    <t>\\svrau055csm00.oceania.corp.anz.com\woodsd1$\Desktop\</t>
  </si>
  <si>
    <t xml:space="preserve">INTEREST_SENSITIVITY_MULTIPLIER </t>
  </si>
  <si>
    <t>DIVIDEND_SENSITIVITY_MULTIPLIER</t>
  </si>
  <si>
    <t>TOTAL_LMI_PREMIUM</t>
  </si>
  <si>
    <t xml:space="preserve">RENTAL_SENSITIVITY_MULTIPLIER </t>
  </si>
  <si>
    <t>*CURRENTLY_OWNER_OCCUPIED_START</t>
  </si>
  <si>
    <t>MAX_LVR_INC</t>
  </si>
  <si>
    <t>*CURRENTLY_OWNER_OCCUPIED_END</t>
  </si>
  <si>
    <t>GOAL SEEK</t>
  </si>
  <si>
    <t>*BUYING_OCCUPIED_START</t>
  </si>
  <si>
    <t>MAX_LVR_EXC</t>
  </si>
  <si>
    <t>*BUYING_OCCUPIED_END</t>
  </si>
  <si>
    <t>MINIMUM_CONTRIBUTION</t>
  </si>
  <si>
    <t>*SENSITISE_HOUSING_EXPENSE_START</t>
  </si>
  <si>
    <t>*SENSITISE_HOUSING_EXPENSE_END</t>
  </si>
  <si>
    <t>*CATEGORY_HIERARCHY_START</t>
  </si>
  <si>
    <t>*POSTCODES_START</t>
  </si>
  <si>
    <t>*FHOG_START</t>
  </si>
  <si>
    <t>*FHOG_END</t>
  </si>
  <si>
    <t>*LMI_SD_START</t>
  </si>
  <si>
    <t>*FHOG_POSTCODE_TRANSFORM_START</t>
  </si>
  <si>
    <t>*DTI_POLICY_START</t>
  </si>
  <si>
    <t>CBBF.BVR.BVRIV</t>
  </si>
  <si>
    <t>DEFAULT_MORTGAGE_LINE_OF_CREDIT_TERM</t>
  </si>
  <si>
    <t>DEFAULT_MORTGAGE_LOAN_TERM</t>
  </si>
  <si>
    <t>PRL.IVR.IVRI</t>
  </si>
  <si>
    <t>RATE_TYPE</t>
  </si>
  <si>
    <t>VARIABLE NAME</t>
  </si>
  <si>
    <t>Fixed</t>
  </si>
  <si>
    <t>fixed</t>
  </si>
  <si>
    <t>Variable</t>
  </si>
  <si>
    <t>variable</t>
  </si>
  <si>
    <t>Simplicity PLUS</t>
  </si>
  <si>
    <t>simplicityPlus</t>
  </si>
  <si>
    <t>Line of Credit</t>
  </si>
  <si>
    <t>equityManager</t>
  </si>
  <si>
    <t>REPAYMENT_TYPE</t>
  </si>
  <si>
    <t>Interest Only</t>
  </si>
  <si>
    <t>interestOnly</t>
  </si>
  <si>
    <t>Interest in Advance</t>
  </si>
  <si>
    <t>interestInAdvance</t>
  </si>
  <si>
    <t>Principal and Interest</t>
  </si>
  <si>
    <t>principalAndInterest</t>
  </si>
  <si>
    <t>lineOfCredit</t>
  </si>
  <si>
    <t xml:space="preserve">COMM_RENTAL_SENSITIVITY_MULTIPLIER </t>
  </si>
  <si>
    <t>*HEM COUPLE START REF GROSS</t>
  </si>
  <si>
    <t>*HEM COUPLE END REF GROSS</t>
  </si>
  <si>
    <t>*HEM SINGLE START REF GROSS</t>
  </si>
  <si>
    <t>*HEM SINGLE END REF GROSS</t>
  </si>
  <si>
    <t>FOREIGN_PURCHASE</t>
  </si>
  <si>
    <t>PEL.EM.EMI</t>
  </si>
  <si>
    <t xml:space="preserve">SHORTSTAY_RENTAL_SENSITIVITY_MULTIPLIER </t>
  </si>
  <si>
    <t>EMPLOYMENT VERIFICATION OPTIONS</t>
  </si>
  <si>
    <t>CAPPED_PL_LIABILITIES_TERM</t>
  </si>
  <si>
    <t>Payslip &amp; 3 Months Statements (Weekly)</t>
  </si>
  <si>
    <t>CAPPED_OTHER_LIABILITIES_TERM</t>
  </si>
  <si>
    <t>Payslip &amp; 3 Months Statements (Fortnightly)</t>
  </si>
  <si>
    <t>Payslip &amp; 3 Months Statements (Monthly)</t>
  </si>
  <si>
    <t>6 Months Statements (Weekly)</t>
  </si>
  <si>
    <t>NCC RULESETS</t>
  </si>
  <si>
    <t>6 Months Statements (Fortnightly)</t>
  </si>
  <si>
    <t>RENEWAL PREDOMINANT PURPOSE RULE</t>
  </si>
  <si>
    <t>6 Months Statements (Monthly)</t>
  </si>
  <si>
    <t>RATE MARGIN RULES</t>
  </si>
  <si>
    <t>DISCOUNT_RATE_MARGIN_RETENTION_RULES</t>
  </si>
  <si>
    <t>CAMPAIGN RULES</t>
  </si>
  <si>
    <t>ESTIMATED_CONVEYANCING_COSTS</t>
  </si>
  <si>
    <t>CBBF.BVR.BVMIV</t>
  </si>
  <si>
    <t>RENTAL_YIELD_CAP</t>
  </si>
  <si>
    <t>LMI_WAIVER</t>
  </si>
  <si>
    <t>OPTION</t>
  </si>
  <si>
    <t>Conveyance</t>
  </si>
  <si>
    <t>LAF</t>
  </si>
  <si>
    <t>Land</t>
  </si>
  <si>
    <t>Construct</t>
  </si>
  <si>
    <t>Label</t>
  </si>
  <si>
    <t>New home (never been lived in)</t>
  </si>
  <si>
    <t>Buy new build</t>
  </si>
  <si>
    <t>Established home</t>
  </si>
  <si>
    <t>Buy established</t>
  </si>
  <si>
    <t>Dutiable Amount</t>
  </si>
  <si>
    <t>Remainder of contract</t>
  </si>
  <si>
    <t>Contract Price</t>
  </si>
  <si>
    <t>Land Amount</t>
  </si>
  <si>
    <t>Construction Amount</t>
  </si>
  <si>
    <t>Total Cost</t>
  </si>
  <si>
    <t>Land to construct</t>
  </si>
  <si>
    <t>MORTGAGE_REGISTRATION_FEE</t>
  </si>
  <si>
    <t>MORTGAGE_DISCHARGE_FEE</t>
  </si>
  <si>
    <t>SEARCH_FEE</t>
  </si>
  <si>
    <t>HEM_COMM_RENT_SENSITISATION_VALUE</t>
  </si>
  <si>
    <t>GEARING_RENT_SENSITISATION_VALUE</t>
  </si>
  <si>
    <t>OWNERSHIP RETURN CELL</t>
  </si>
  <si>
    <t>EMP_CUSTOMER_NUMBER</t>
  </si>
  <si>
    <t>RETURN TO CELL</t>
  </si>
  <si>
    <t>SoP 1</t>
  </si>
  <si>
    <t>GOTO SHEET</t>
  </si>
  <si>
    <t>SOP NUMBER</t>
  </si>
  <si>
    <t>ANNUAL GROSS INCOME</t>
  </si>
  <si>
    <t>TOTAL DEBTS</t>
  </si>
  <si>
    <t>RESULTS</t>
  </si>
  <si>
    <t>BUTTON</t>
  </si>
  <si>
    <t>CATEGORY</t>
  </si>
  <si>
    <t>NUMBER OF ITEMS</t>
  </si>
  <si>
    <t>TITLE LOCATION ON SHEET</t>
  </si>
  <si>
    <t>VALUE LOCATION ON SHEET</t>
  </si>
  <si>
    <t>D</t>
  </si>
  <si>
    <t>E</t>
  </si>
  <si>
    <t>Clothing</t>
  </si>
  <si>
    <t>Education</t>
  </si>
  <si>
    <t>Medical</t>
  </si>
  <si>
    <t>Medical and Health</t>
  </si>
  <si>
    <t>H</t>
  </si>
  <si>
    <t>I</t>
  </si>
  <si>
    <t>Owner</t>
  </si>
  <si>
    <t>Owner occ. Property</t>
  </si>
  <si>
    <t>Recreation</t>
  </si>
  <si>
    <t>Recreation and Entertainment</t>
  </si>
  <si>
    <t>Phone</t>
  </si>
  <si>
    <t>Phone Internet TV</t>
  </si>
  <si>
    <t>LMI Qualifier</t>
  </si>
  <si>
    <t>FROM SHEET</t>
  </si>
  <si>
    <t>RETURN TO COLUMN</t>
  </si>
  <si>
    <t>RETURN TO ROW</t>
  </si>
  <si>
    <t>HighEdu</t>
  </si>
  <si>
    <t>UMI CALC</t>
  </si>
  <si>
    <t>LMI OLD VERSION</t>
  </si>
  <si>
    <t>LMI QUALIFIER</t>
  </si>
  <si>
    <t>REPAYMENT CALC</t>
  </si>
  <si>
    <t>Enter the estimated lenders mortgage insurance (LMI) premium (if applicable)</t>
  </si>
  <si>
    <t>Loans</t>
  </si>
  <si>
    <t>SoP 2</t>
  </si>
  <si>
    <t>SoP 3</t>
  </si>
  <si>
    <t>SoP 4</t>
  </si>
  <si>
    <t>PARTIES</t>
  </si>
  <si>
    <t>PARTY A</t>
  </si>
  <si>
    <t>PARTY B</t>
  </si>
  <si>
    <t>EMPLOYMENT</t>
  </si>
  <si>
    <t>INCOME</t>
  </si>
  <si>
    <t>LIABILITY</t>
  </si>
  <si>
    <t>LOAN</t>
  </si>
  <si>
    <t>EXPENSE ITEM</t>
  </si>
  <si>
    <t>BUTTON LABEL</t>
  </si>
  <si>
    <t>TITLE LOCATION</t>
  </si>
  <si>
    <t xml:space="preserve">VALUE LOCATION </t>
  </si>
  <si>
    <t>CURRENT SHEET</t>
  </si>
  <si>
    <t>Phone, Internet, TV, Subscriptions</t>
  </si>
  <si>
    <t>Nannies</t>
  </si>
  <si>
    <t>Non-compulsory pre-school</t>
  </si>
  <si>
    <t>Clothing and Personal Care</t>
  </si>
  <si>
    <t>Pet</t>
  </si>
  <si>
    <t>Cosmetics &amp; toiletries</t>
  </si>
  <si>
    <t>Hair &amp; beauty</t>
  </si>
  <si>
    <t>Clothing &amp; shoes</t>
  </si>
  <si>
    <t>Baby products</t>
  </si>
  <si>
    <t>Higher Education &amp; Professional Fees</t>
  </si>
  <si>
    <t>General Basic Insurance</t>
  </si>
  <si>
    <t>Preschool / Kinder fees</t>
  </si>
  <si>
    <t>Private</t>
  </si>
  <si>
    <t>Primary School fees</t>
  </si>
  <si>
    <t>LifeSPA</t>
  </si>
  <si>
    <t>Secondary School fees</t>
  </si>
  <si>
    <t>OOBCSLT</t>
  </si>
  <si>
    <t>Uniforms</t>
  </si>
  <si>
    <t>Maintenance</t>
  </si>
  <si>
    <t xml:space="preserve">Child and Spousal Maintenance </t>
  </si>
  <si>
    <t>Extra-Curricular Activities / Sport</t>
  </si>
  <si>
    <t>HealthIns</t>
  </si>
  <si>
    <t>Other school needs</t>
  </si>
  <si>
    <t>SecResi</t>
  </si>
  <si>
    <t>Secondary Residence Running Costs</t>
  </si>
  <si>
    <t>OtherExp</t>
  </si>
  <si>
    <t>Other Expenses</t>
  </si>
  <si>
    <t>Supermarket</t>
  </si>
  <si>
    <t>InvProp</t>
  </si>
  <si>
    <t>Residential Investment Property Running Costs</t>
  </si>
  <si>
    <t>J</t>
  </si>
  <si>
    <t>Butcher</t>
  </si>
  <si>
    <t>Greengrocer, deli &amp; bakery</t>
  </si>
  <si>
    <t>Gp's and Specialists</t>
  </si>
  <si>
    <t>Physio &amp; Chiro</t>
  </si>
  <si>
    <t>Opticians and glasses</t>
  </si>
  <si>
    <t>Medicines and pharmaceuticals</t>
  </si>
  <si>
    <t>Hospital &amp; Nursing home charges</t>
  </si>
  <si>
    <t>Dental</t>
  </si>
  <si>
    <t>Ambulance</t>
  </si>
  <si>
    <t>Car (not recreation vehicles)</t>
  </si>
  <si>
    <t>Travel Insurance</t>
  </si>
  <si>
    <t>Personal belongings Insurance</t>
  </si>
  <si>
    <t>Rates</t>
  </si>
  <si>
    <t>Electricity</t>
  </si>
  <si>
    <t>Gas</t>
  </si>
  <si>
    <t>Water</t>
  </si>
  <si>
    <t>Repairs &amp; maintenance</t>
  </si>
  <si>
    <t>Furniture&amp; homewares</t>
  </si>
  <si>
    <t>Home &amp; contents insurance</t>
  </si>
  <si>
    <t>Toys &amp; Hobbies</t>
  </si>
  <si>
    <t>Gambling</t>
  </si>
  <si>
    <t>Computers &amp; gadgets</t>
  </si>
  <si>
    <t>Coffee &amp; tea</t>
  </si>
  <si>
    <t>Take-away &amp; eating out</t>
  </si>
  <si>
    <t>Cigarettes &amp; Tobacco</t>
  </si>
  <si>
    <t>Sports &amp; fitness</t>
  </si>
  <si>
    <t>Drinks &amp; alcohol</t>
  </si>
  <si>
    <t>Bars &amp; clubs</t>
  </si>
  <si>
    <t>Newspapers, books &amp; magazines</t>
  </si>
  <si>
    <t>Movies &amp; music</t>
  </si>
  <si>
    <t>Event tickets</t>
  </si>
  <si>
    <t>Domestic Travel</t>
  </si>
  <si>
    <t>Home phone &amp; Internet</t>
  </si>
  <si>
    <t>Pay TV</t>
  </si>
  <si>
    <t>Mobile</t>
  </si>
  <si>
    <t>Streaming subscriptions</t>
  </si>
  <si>
    <t>Public transport</t>
  </si>
  <si>
    <t>Taxis &amp; ride-sharing</t>
  </si>
  <si>
    <t>Petrol</t>
  </si>
  <si>
    <t>Road tolls &amp; parking</t>
  </si>
  <si>
    <t>Rego &amp; licence</t>
  </si>
  <si>
    <t>Pet food</t>
  </si>
  <si>
    <t>Grooming</t>
  </si>
  <si>
    <t>Minding services</t>
  </si>
  <si>
    <t>Care and health products</t>
  </si>
  <si>
    <t>Veterinarian fees</t>
  </si>
  <si>
    <t>TAFE/University fees (excluding HECS)</t>
  </si>
  <si>
    <t>Performing arts fees (excluding HECS)</t>
  </si>
  <si>
    <t>Union dues</t>
  </si>
  <si>
    <t>Professional association fees</t>
  </si>
  <si>
    <t>Legal fees</t>
  </si>
  <si>
    <t>Accountant fees</t>
  </si>
  <si>
    <t>Tax Agent fees</t>
  </si>
  <si>
    <t>Hospital Insurance</t>
  </si>
  <si>
    <t>Medical Insurance</t>
  </si>
  <si>
    <t>Dental Insurance</t>
  </si>
  <si>
    <t>Income/Sickness &amp; personal accident insurance</t>
  </si>
  <si>
    <t>Life insurance</t>
  </si>
  <si>
    <t>Private Preschool / Kinder fees</t>
  </si>
  <si>
    <t>Private Primary School</t>
  </si>
  <si>
    <t>Private Secondary School</t>
  </si>
  <si>
    <t>Private Tutors / Lessons</t>
  </si>
  <si>
    <t>Child support payment</t>
  </si>
  <si>
    <t>Spousal or de facto partner maintenance</t>
  </si>
  <si>
    <t>Insurance not classified elsewhere</t>
  </si>
  <si>
    <t>Registration and insurance of recreational vehicles</t>
  </si>
  <si>
    <t>Overseas holidays</t>
  </si>
  <si>
    <t>Gifts</t>
  </si>
  <si>
    <t>Jewellery</t>
  </si>
  <si>
    <t>Household services</t>
  </si>
  <si>
    <t>Body Corporate fees</t>
  </si>
  <si>
    <t>Strata fees</t>
  </si>
  <si>
    <t>Land Tax</t>
  </si>
  <si>
    <t>Furniture &amp; homewares</t>
  </si>
  <si>
    <t>ROW NUMBER</t>
  </si>
  <si>
    <t>Month 1 / Quarter 1</t>
  </si>
  <si>
    <t>Month 2 / Quarter 2</t>
  </si>
  <si>
    <t>Month 3 / Quarter 3</t>
  </si>
  <si>
    <t>Month 4 / Quarter 4</t>
  </si>
  <si>
    <t>Month 5</t>
  </si>
  <si>
    <t>Month 6</t>
  </si>
  <si>
    <t>Month 7</t>
  </si>
  <si>
    <t>Month 8</t>
  </si>
  <si>
    <t>Month 9</t>
  </si>
  <si>
    <t>Month 10</t>
  </si>
  <si>
    <t>Month 11</t>
  </si>
  <si>
    <t>Month 12</t>
  </si>
  <si>
    <t>NULL</t>
  </si>
  <si>
    <t>Property management fees</t>
  </si>
  <si>
    <t>Landlord Insurance</t>
  </si>
  <si>
    <t>Calculate Home Loan Fee</t>
  </si>
  <si>
    <t>What is the purpose of this loan?</t>
  </si>
  <si>
    <t>Government Charges</t>
  </si>
  <si>
    <t>Where is the property located?</t>
  </si>
  <si>
    <t>Registration Of Land Transfer</t>
  </si>
  <si>
    <t>What do you plan to use this property for?</t>
  </si>
  <si>
    <t>Estimated Conveyancing Cost</t>
  </si>
  <si>
    <t>Registration Of Mortgage Documents</t>
  </si>
  <si>
    <t>Search Of Certificate Of Title</t>
  </si>
  <si>
    <t>Other Charges</t>
  </si>
  <si>
    <t>Estimated Conveyancing Costs</t>
  </si>
  <si>
    <t>Lender's Mortgage Insurance</t>
  </si>
  <si>
    <t>Is the customer seeking a "Lock Rate"? (Fixed rate products only)</t>
  </si>
  <si>
    <t>Lock Rate Fee</t>
  </si>
  <si>
    <t>Total Estimated Charges</t>
  </si>
  <si>
    <t>Enter the amount you wish to borrow</t>
  </si>
  <si>
    <t>Summary</t>
  </si>
  <si>
    <t>Including any existing and ongoing mortgage lending attached to your properties</t>
  </si>
  <si>
    <t>Loan Amount</t>
  </si>
  <si>
    <t>Deposit Amount</t>
  </si>
  <si>
    <t>Capitalise lender's mortgage insurance?</t>
  </si>
  <si>
    <t>Loan To Value Ratio (LVR)</t>
  </si>
  <si>
    <t>To complete the transaction it is estimated you will need to contribute</t>
  </si>
  <si>
    <t>Available Government Grants</t>
  </si>
  <si>
    <t>First Home Owner's Grant (FHOG)</t>
  </si>
  <si>
    <t>INITIAL PERIOD</t>
  </si>
  <si>
    <t>SUBSEQUENT PERIOD</t>
  </si>
  <si>
    <t>Base Rate</t>
  </si>
  <si>
    <t>Discount</t>
  </si>
  <si>
    <t>Final Rate</t>
  </si>
  <si>
    <t>Repayment Freq</t>
  </si>
  <si>
    <t>Initial Repayment</t>
  </si>
  <si>
    <t>Subsequent Repayment</t>
  </si>
  <si>
    <t xml:space="preserve">               Bridging Loan Calculator</t>
  </si>
  <si>
    <t>New Property (to buy)</t>
  </si>
  <si>
    <t>Existing Property (to be sold)</t>
  </si>
  <si>
    <t>Property Address</t>
  </si>
  <si>
    <t xml:space="preserve">State </t>
  </si>
  <si>
    <t>Standard (RSTD)</t>
  </si>
  <si>
    <t>Unconditional Contract of Sale held?</t>
  </si>
  <si>
    <r>
      <rPr>
        <i/>
        <sz val="9"/>
        <color rgb="FF666666"/>
        <rFont val="Arial"/>
        <family val="2"/>
      </rPr>
      <t>plus</t>
    </r>
    <r>
      <rPr>
        <sz val="9"/>
        <color rgb="FF666666"/>
        <rFont val="Arial"/>
        <family val="2"/>
      </rPr>
      <t xml:space="preserve"> Purchase costs allowance</t>
    </r>
  </si>
  <si>
    <t xml:space="preserve">Net Sale Proceeds </t>
  </si>
  <si>
    <r>
      <rPr>
        <i/>
        <sz val="9"/>
        <color rgb="FF666666"/>
        <rFont val="Arial"/>
        <family val="2"/>
      </rPr>
      <t>less</t>
    </r>
    <r>
      <rPr>
        <sz val="9"/>
        <color rgb="FF666666"/>
        <rFont val="Arial"/>
        <family val="2"/>
      </rPr>
      <t xml:space="preserve"> Customer contribution/Deposit</t>
    </r>
  </si>
  <si>
    <t>Total loan needed to purchase new property</t>
  </si>
  <si>
    <t>Additional information</t>
  </si>
  <si>
    <t>Additional Security Property/s</t>
  </si>
  <si>
    <t>Bridging Period (months)</t>
  </si>
  <si>
    <t>- Please select -</t>
  </si>
  <si>
    <t>This section should only be completed where the customer needs additional equity to meet the LVR requirement based on the combined value of New &amp; Existing property</t>
  </si>
  <si>
    <t>Current Loan/s on existing property</t>
  </si>
  <si>
    <t>Max LVR without LMI</t>
  </si>
  <si>
    <t>How would customer like to treat the current loan/s</t>
  </si>
  <si>
    <t>Refinance into Bridging Loan</t>
  </si>
  <si>
    <t>No. of properties to be used as additional security</t>
  </si>
  <si>
    <t>Does customer need to use additional property as security</t>
  </si>
  <si>
    <t>Total value of property</t>
  </si>
  <si>
    <t>How does customer want to structure the loan</t>
  </si>
  <si>
    <t>less Total Existing Loans</t>
  </si>
  <si>
    <t>Additional equity available</t>
  </si>
  <si>
    <t>The additional equity available will be added to the Max Peak Bridging Debt to calculate Peak debt LVR.</t>
  </si>
  <si>
    <t>Loan Structure</t>
  </si>
  <si>
    <t>Servicing and Cash Savings Required</t>
  </si>
  <si>
    <t>Total Funds required  / Peak Bridging Debt</t>
  </si>
  <si>
    <t>Servicing</t>
  </si>
  <si>
    <t>Current Loan/s</t>
  </si>
  <si>
    <t>LVR</t>
  </si>
  <si>
    <t>Can the customer service total residual debt</t>
  </si>
  <si>
    <t xml:space="preserve">Maximum peak bridging debt </t>
  </si>
  <si>
    <t>The customer must be able to service all residual debt. In this UMI calculation, be sure to include all loans that will be ongoing after the bridging period (incl any OFI loans etc).</t>
  </si>
  <si>
    <t>Bridging Component</t>
  </si>
  <si>
    <t>New Bridging Loan</t>
  </si>
  <si>
    <t>UMI on Total Peak Debt</t>
  </si>
  <si>
    <t>Current Loan/s kept separate and paid out on sale</t>
  </si>
  <si>
    <t>(Enter negative symbol for shortfall)</t>
  </si>
  <si>
    <t>Total Bridging Component</t>
  </si>
  <si>
    <t>In this UMI calculation, include all loans payable during the bridging period (incl any OFI loans etc). Rent from the existing property cannot be included as income.</t>
  </si>
  <si>
    <t>Residual Component</t>
  </si>
  <si>
    <t>Cash Savings Required</t>
  </si>
  <si>
    <t>New Residual Loan</t>
  </si>
  <si>
    <t>UMI for Total Peak Debt</t>
  </si>
  <si>
    <t>Current Loan/s kept separate and retained as residual lending</t>
  </si>
  <si>
    <t>x Bridging Period (months)</t>
  </si>
  <si>
    <t xml:space="preserve">Total Residual Component  </t>
  </si>
  <si>
    <t>Total Cash Savings required</t>
  </si>
  <si>
    <t>Maximum residual component</t>
  </si>
  <si>
    <t>Ask the customer if they intend to access early release of deposit via a section 27 form (for VIC only). 
Advise the customer that the Total cash savings required is in addition to any amount that has been entered in the 'customer contribution/deposit' field in this calculator.</t>
  </si>
  <si>
    <t>Notes</t>
  </si>
  <si>
    <t>This calculator provides an estimate only and is based on the accuracy of the limited information provided. It does not constitute an offer of credit. To apply for an ANZ Home Loan, an application must be completed. Applications for credit are subject to ANZ’s credit approval criteria. Terms and conditions, and fees and charges apply.</t>
  </si>
  <si>
    <t>Salary</t>
  </si>
  <si>
    <t>Bonus</t>
  </si>
  <si>
    <t>Commission</t>
  </si>
  <si>
    <t>Overtime</t>
  </si>
  <si>
    <t>This will be</t>
  </si>
  <si>
    <t>Will this be your first home?</t>
  </si>
  <si>
    <t>PROPERTY TYPE</t>
  </si>
  <si>
    <t>LMI CLASSIFICATION</t>
  </si>
  <si>
    <t>MINING</t>
  </si>
  <si>
    <t>VACANT_LAND_YN</t>
  </si>
  <si>
    <t>FHOG</t>
  </si>
  <si>
    <t>ESTABLISHED_YN</t>
  </si>
  <si>
    <t>APPLY PURPOSE</t>
  </si>
  <si>
    <t>LOAN AMOUNT</t>
  </si>
  <si>
    <t>RLS PURPOSE</t>
  </si>
  <si>
    <t>BREAKFREE</t>
  </si>
  <si>
    <t>INITIAL_DISCOUNT</t>
  </si>
  <si>
    <t>SUBSEQUENT_DISCOUNT</t>
  </si>
  <si>
    <t>W</t>
  </si>
  <si>
    <t>0820</t>
  </si>
  <si>
    <t>X215</t>
  </si>
  <si>
    <t>&lt;START&gt;</t>
  </si>
  <si>
    <t>!</t>
  </si>
  <si>
    <t>PARAMETER NAME</t>
  </si>
  <si>
    <t>SYSTEM NAME</t>
  </si>
  <si>
    <t>VALUE</t>
  </si>
  <si>
    <t>#1</t>
  </si>
  <si>
    <t>Version</t>
  </si>
  <si>
    <t>version</t>
  </si>
  <si>
    <t>Last Modified Date</t>
  </si>
  <si>
    <t>lastModified</t>
  </si>
  <si>
    <t>YHL360 TERMS AND CONDITIONS</t>
  </si>
  <si>
    <t>YHL360</t>
  </si>
  <si>
    <t>Sherlock</t>
  </si>
  <si>
    <t>HOLA</t>
  </si>
  <si>
    <t>BPC</t>
  </si>
  <si>
    <t>DEPOSIT</t>
  </si>
  <si>
    <t>RLS</t>
  </si>
  <si>
    <t>ML Calc</t>
  </si>
  <si>
    <t>BRIDGING</t>
  </si>
  <si>
    <t>&lt;</t>
  </si>
  <si>
    <t>termsAndConditions</t>
  </si>
  <si>
    <t>#2</t>
  </si>
  <si>
    <t>T&amp;Cs Version</t>
  </si>
  <si>
    <t>T&amp;Cs URL</t>
  </si>
  <si>
    <t>url</t>
  </si>
  <si>
    <t>https://www.anz.com/mobile-au/en/holmes/content.html</t>
  </si>
  <si>
    <t>T&amp;Cs Validity Date</t>
  </si>
  <si>
    <t>applicableDate</t>
  </si>
  <si>
    <t>&gt;</t>
  </si>
  <si>
    <t>EMPLOYMENT LIMITS</t>
  </si>
  <si>
    <t>employmentIncludeBonus</t>
  </si>
  <si>
    <t>YTD End Date Limit</t>
  </si>
  <si>
    <t>endDateLimitInDays</t>
  </si>
  <si>
    <t>YTD Start Date Limit</t>
  </si>
  <si>
    <t>startDateLimitInMonths</t>
  </si>
  <si>
    <t>startDateRangeBegining</t>
  </si>
  <si>
    <t>startDateRangeEnd</t>
  </si>
  <si>
    <t xml:space="preserve">BROCHUREWARE </t>
  </si>
  <si>
    <t>[&lt;</t>
  </si>
  <si>
    <t>productBrouchers</t>
  </si>
  <si>
    <t>BROCHURE</t>
  </si>
  <si>
    <t>URL</t>
  </si>
  <si>
    <t>&amp;</t>
  </si>
  <si>
    <t>title</t>
  </si>
  <si>
    <t>^</t>
  </si>
  <si>
    <t>ANZ Personal Banking Account Fees and Charges booklet</t>
  </si>
  <si>
    <t>https://www.anz.com.au/content/dam/anzcomau/documents/pdf/personal-account-fees-charges.pdf</t>
  </si>
  <si>
    <t>ANZ Consumer Lending Terms and Conditions booklet</t>
  </si>
  <si>
    <t>https://www.anz.com.au/content/dam/anzcomau/documents/pdf/consumer-lending-tc.pdf</t>
  </si>
  <si>
    <t>Home &amp; Investment loan brochure</t>
  </si>
  <si>
    <t>https://www.anz.com.au/content/dam/anzcomau/documents/pdf/anz-mortgages-hero-brochure.pdf</t>
  </si>
  <si>
    <t>ANZ Fixed Rate loans brochure</t>
  </si>
  <si>
    <t>https://www.anz.com.au/content/dam/anzcomau/documents/pdf/fixed-rate-loans-what-happens-if-you-pay-early.pdf</t>
  </si>
  <si>
    <t>ANZ Breakfree Terms and Conditions</t>
  </si>
  <si>
    <t>https://www.anz.com.au/content/dam/anzcomau/documents/pdf/breakfree-tc.pdf</t>
  </si>
  <si>
    <t>Key Fact Sheet for Credit Cards</t>
  </si>
  <si>
    <t>https://www.anz.com.au/content/dam/anzcomau/documents/pdf/anz-credit-cards-key-facts-sheet.pdf</t>
  </si>
  <si>
    <t>&gt;]</t>
  </si>
  <si>
    <t>BASIC PARAMETERS</t>
  </si>
  <si>
    <t>parameters</t>
  </si>
  <si>
    <t>X001</t>
  </si>
  <si>
    <t>X002</t>
  </si>
  <si>
    <t xml:space="preserve">LOAN_APPROVAL_FEE </t>
  </si>
  <si>
    <t>X021</t>
  </si>
  <si>
    <t>X014</t>
  </si>
  <si>
    <t>X020</t>
  </si>
  <si>
    <t>X012</t>
  </si>
  <si>
    <t>X010</t>
  </si>
  <si>
    <t>X008</t>
  </si>
  <si>
    <t>X006</t>
  </si>
  <si>
    <t>X003</t>
  </si>
  <si>
    <t>X004</t>
  </si>
  <si>
    <t>X209</t>
  </si>
  <si>
    <t>X210</t>
  </si>
  <si>
    <t>X005</t>
  </si>
  <si>
    <t>X016</t>
  </si>
  <si>
    <t>X011</t>
  </si>
  <si>
    <t>X013</t>
  </si>
  <si>
    <t>X009</t>
  </si>
  <si>
    <t>X015</t>
  </si>
  <si>
    <t>X022</t>
  </si>
  <si>
    <t>Medicare Levy Surcharge Per Child Increase</t>
  </si>
  <si>
    <t>medicareLevySurchargeFamilyPerChildThresholdIncrease</t>
  </si>
  <si>
    <t>Medicare Levy Surcharge Family Child Without Charge</t>
  </si>
  <si>
    <t>medicareLevySurchargeFamilyChildrenCountWithoutThresholdIncrease</t>
  </si>
  <si>
    <t>X007</t>
  </si>
  <si>
    <t>X207</t>
  </si>
  <si>
    <t>X208</t>
  </si>
  <si>
    <t>RESI_INVESTMENT_EXPENSE_SENSITIVITY_MULTIPLIER</t>
  </si>
  <si>
    <t>X206</t>
  </si>
  <si>
    <t>SUBURB REPORT URL</t>
  </si>
  <si>
    <t>suburbSummaryBaseUrl</t>
  </si>
  <si>
    <t>https://www.realestate.com.au/neighbourhoods/</t>
  </si>
  <si>
    <t>SUBURB REPORT DISCLAIMER</t>
  </si>
  <si>
    <t>suburbSummaryDisclaimerText</t>
  </si>
  <si>
    <t>You have left 'Your Home Loan 360' and are on a third party website. ANZ takes no responsibility for this third party site.</t>
  </si>
  <si>
    <t>SUBURB REPORT ENABLED</t>
  </si>
  <si>
    <t>suburbSummaryEnabled</t>
  </si>
  <si>
    <t>PROPERTY PROFILE REPORT URL</t>
  </si>
  <si>
    <t>anzPropertyProfileUrl</t>
  </si>
  <si>
    <t>https://vis.rpdata.com/anz/uas/logon.xhtml</t>
  </si>
  <si>
    <t>DEFAULT SUPERANNUATION CONTRIBUTION</t>
  </si>
  <si>
    <t>mandatorySuperannuationContributions</t>
  </si>
  <si>
    <t>X024</t>
  </si>
  <si>
    <t>MAX_NEW_CUSTOMER_LVR_EXCLUDING LMI</t>
  </si>
  <si>
    <t>X025</t>
  </si>
  <si>
    <t>MAX_NEW_CUSTOMER_LVR_INCLUDING LMI</t>
  </si>
  <si>
    <t>X026</t>
  </si>
  <si>
    <t>MAX_EXISTING_CUSTOMER_LVR_EXCLUDING LMI</t>
  </si>
  <si>
    <t>X027</t>
  </si>
  <si>
    <t>MAX_EXISTING_CUSTOMER_LVR_INCLUDING LMI</t>
  </si>
  <si>
    <t>X028</t>
  </si>
  <si>
    <t>BREAKFREE PACKAGE FEE</t>
  </si>
  <si>
    <t>X035</t>
  </si>
  <si>
    <t>X036</t>
  </si>
  <si>
    <t>DEFAULT ANZ ASSURED LIMIT</t>
  </si>
  <si>
    <t>X040</t>
  </si>
  <si>
    <t>MAX FUNDS REMAINING - BUYING POWER</t>
  </si>
  <si>
    <t>maximumFundsRemainingBuyingPower</t>
  </si>
  <si>
    <t>maximumPossibleBuyingPowerLvrWithoutLmi</t>
  </si>
  <si>
    <t>maximumPossibleBuyingPowerLvrWithLmi</t>
  </si>
  <si>
    <t>DEFAULT RENTAIL YIELD</t>
  </si>
  <si>
    <t>defaultRentalYield</t>
  </si>
  <si>
    <t>X203</t>
  </si>
  <si>
    <t>DEFAULT DUTIABLE VALUE PERCENT</t>
  </si>
  <si>
    <t>defaultDutiableValuePercent</t>
  </si>
  <si>
    <t xml:space="preserve">MINIMUM BREAKFREE CREDIT CARD LIMIT </t>
  </si>
  <si>
    <t>minimumCreditCardLimitBreakfree</t>
  </si>
  <si>
    <t>defaultBuyingPowerNonAnzCustomer</t>
  </si>
  <si>
    <t>defaultBuyingPowerAnzCustomer</t>
  </si>
  <si>
    <t>BANK FEE REFINANCE - ADDITIONAL FUNDS</t>
  </si>
  <si>
    <t>defaultBankFeesRefinance</t>
  </si>
  <si>
    <t>BANK FEE REFINANCE - NO ADDITIONAL FUNDS</t>
  </si>
  <si>
    <t>defaultBankFeesRefinanceNoAdditionalFunds</t>
  </si>
  <si>
    <t>PROPERTY PROFILE REPORT CACHE DAYS</t>
  </si>
  <si>
    <t>propertyProfileReportCacheDuration</t>
  </si>
  <si>
    <t>X044</t>
  </si>
  <si>
    <t>X045</t>
  </si>
  <si>
    <t>X046</t>
  </si>
  <si>
    <t>MIG_LOCKOUT_DAYS</t>
  </si>
  <si>
    <t>migLockoutInDays</t>
  </si>
  <si>
    <t>LMI_MODIFIER_MAX</t>
  </si>
  <si>
    <t>X058</t>
  </si>
  <si>
    <t>LMI_MODIFIER_MIN</t>
  </si>
  <si>
    <t>X059</t>
  </si>
  <si>
    <t>FORCE_MIG_COMPLETION</t>
  </si>
  <si>
    <t>X076</t>
  </si>
  <si>
    <t>BACK_UP_GENERATION_ENABLED</t>
  </si>
  <si>
    <t>backupGenerationEnabled</t>
  </si>
  <si>
    <t>BACK_UP_GENERATION_TYPE</t>
  </si>
  <si>
    <t>backupWith</t>
  </si>
  <si>
    <t>email</t>
  </si>
  <si>
    <t>X108</t>
  </si>
  <si>
    <t>X109</t>
  </si>
  <si>
    <t>EXPENSE_MULTIPLIER_HOME_LOANS</t>
  </si>
  <si>
    <t>X110</t>
  </si>
  <si>
    <t>EXPENSE_MULTIPLIER_OTHER_LOANS</t>
  </si>
  <si>
    <t>X111</t>
  </si>
  <si>
    <t>EXPENSE_MULTIPLIER_OTHER_LOANS_PL</t>
  </si>
  <si>
    <t>X113</t>
  </si>
  <si>
    <t>OTHER_INCOME_SENSITIVITY_MULTIPLIER</t>
  </si>
  <si>
    <t>X112</t>
  </si>
  <si>
    <t>VOLITILITY</t>
  </si>
  <si>
    <t>X146</t>
  </si>
  <si>
    <t>INCOME VARIATION</t>
  </si>
  <si>
    <t>X160</t>
  </si>
  <si>
    <t>RLS_CALCULATIONS</t>
  </si>
  <si>
    <t>X117</t>
  </si>
  <si>
    <t>BACKUP_FILESIZE_MB</t>
  </si>
  <si>
    <t>X163</t>
  </si>
  <si>
    <t>RESIDENTIAL_ADDRESS_YEARS</t>
  </si>
  <si>
    <t>X118</t>
  </si>
  <si>
    <t>HEM_RENT_SENSITISATION_VALUE</t>
  </si>
  <si>
    <t>X119</t>
  </si>
  <si>
    <t>X197</t>
  </si>
  <si>
    <t>X199</t>
  </si>
  <si>
    <t>GEARING_COMM_RENT_SENSITISATION_VALUE</t>
  </si>
  <si>
    <t>X200</t>
  </si>
  <si>
    <t>X198</t>
  </si>
  <si>
    <t>SE_SHADING_THRESHOLD</t>
  </si>
  <si>
    <t>X205</t>
  </si>
  <si>
    <t>LVR THRESHOLD RULES</t>
  </si>
  <si>
    <t>Effective Date - LVR Thresholds</t>
  </si>
  <si>
    <t>effectiveDateLVRThreshold</t>
  </si>
  <si>
    <t>X037</t>
  </si>
  <si>
    <t>PROPERTY_TYPE_CODE</t>
  </si>
  <si>
    <t>POSTCODE</t>
  </si>
  <si>
    <t>MAX_PROPERTY_AMOUNT</t>
  </si>
  <si>
    <t>LMI_CLASSIFICATION</t>
  </si>
  <si>
    <t>HIGH RISK APARTMENTS</t>
  </si>
  <si>
    <t>VACANT LAND</t>
  </si>
  <si>
    <t>WAIVER_CODE</t>
  </si>
  <si>
    <t>WAIVER_CODE (OLD)</t>
  </si>
  <si>
    <t>PREDOMINANT_PURPOSE_INVESTMENT_YN</t>
  </si>
  <si>
    <t>REPAYMENT_TYPE (OLD)</t>
  </si>
  <si>
    <t>EXISTING_CUSTOMER_YN</t>
  </si>
  <si>
    <t>PURPOSE_DESCRIPTION</t>
  </si>
  <si>
    <t>WITHOUT_LMI</t>
  </si>
  <si>
    <t>MAX_LMI_LOAN_EXC</t>
  </si>
  <si>
    <t>MAX_LVR_EXC_LMI_PREMIUM</t>
  </si>
  <si>
    <t>MAX_LVR_INC_LMI_PREMIUM</t>
  </si>
  <si>
    <t>APPLICATION_ALLOWS_LMI</t>
  </si>
  <si>
    <t>MSG &lt;= WITHOUT</t>
  </si>
  <si>
    <t>MSG &gt; WITH</t>
  </si>
  <si>
    <t>MSG BF</t>
  </si>
  <si>
    <t>X089</t>
  </si>
  <si>
    <t>state</t>
  </si>
  <si>
    <t>X091</t>
  </si>
  <si>
    <t>X065</t>
  </si>
  <si>
    <t>X068</t>
  </si>
  <si>
    <t>X096</t>
  </si>
  <si>
    <t>X098</t>
  </si>
  <si>
    <t>typeCode</t>
  </si>
  <si>
    <t>code</t>
  </si>
  <si>
    <t>predominantPurposeInvestment</t>
  </si>
  <si>
    <t>repaymentTypes</t>
  </si>
  <si>
    <t>repaymentType</t>
  </si>
  <si>
    <t>existingCustomer</t>
  </si>
  <si>
    <t>predominantPurpose</t>
  </si>
  <si>
    <t>withoutLmi</t>
  </si>
  <si>
    <t>X099</t>
  </si>
  <si>
    <t>excludingLmi</t>
  </si>
  <si>
    <t>includingLmi</t>
  </si>
  <si>
    <t>X100</t>
  </si>
  <si>
    <t>X104</t>
  </si>
  <si>
    <t>X105</t>
  </si>
  <si>
    <t>X106</t>
  </si>
  <si>
    <t>for mining towns</t>
  </si>
  <si>
    <t>"N/A"</t>
  </si>
  <si>
    <t>"RSTD","RSTA","RLUO"</t>
  </si>
  <si>
    <t>"Line of Credit"</t>
  </si>
  <si>
    <t>"Interest Only", "Interest In Advance"</t>
  </si>
  <si>
    <t>"RSTD","RSTA"</t>
  </si>
  <si>
    <t>"Category 1"</t>
  </si>
  <si>
    <t>WITHOUT LMI</t>
  </si>
  <si>
    <t>INV WITH LMI</t>
  </si>
  <si>
    <t>INV FAIL</t>
  </si>
  <si>
    <t>"Category 2"</t>
  </si>
  <si>
    <t>"Category 3"</t>
  </si>
  <si>
    <t>OO WITH LMI EXISTING</t>
  </si>
  <si>
    <t>OO EX LVR FAIL</t>
  </si>
  <si>
    <t>OO EX LOAN FAIL</t>
  </si>
  <si>
    <t>OO WITH LMI NTB</t>
  </si>
  <si>
    <t>"On Application"</t>
  </si>
  <si>
    <t>"New Motor Car",
"Used Motor Car",
"Motor Cycles",
"Boats or Caravans",
"Residential Land",
"Household/Personal",
"Travel Holidays",
"Construction-Not 1st Home",
"Construction-1st Home",
"Purch New Home-Not 1st Home",
"Purch New Home-1st Home",
"Purch Estab Home-Not 1st Home",
"Purch Estab Home-1st Home",
"Home - Improvements"</t>
  </si>
  <si>
    <t>"RLUO"</t>
  </si>
  <si>
    <t>INV FAIL HIGH</t>
  </si>
  <si>
    <t>OO FAIL HIGH</t>
  </si>
  <si>
    <t>INV FAIL LUXURY</t>
  </si>
  <si>
    <t>for Luxury (RLUH)</t>
  </si>
  <si>
    <t>OO FAIL LUXURY</t>
  </si>
  <si>
    <t>"RSBR"</t>
  </si>
  <si>
    <t>"LHOR"</t>
  </si>
  <si>
    <t>"ACT"</t>
  </si>
  <si>
    <t>"RRUL"</t>
  </si>
  <si>
    <t>"RRU2"</t>
  </si>
  <si>
    <t>"RRU3"</t>
  </si>
  <si>
    <t>for Lo-Doc applications</t>
  </si>
  <si>
    <t>"LHOR", "RLUO", "RCOT", "RMDS"</t>
  </si>
  <si>
    <t>for Lo-Doc apps with this property type</t>
  </si>
  <si>
    <t>"RSTD","RSTA", "LHOR", "RLUO", "RCOT", "RMDS","RSBR","RRUL","RRU2","RRU3","RMD2","COMM"</t>
  </si>
  <si>
    <t>Unacceptable security</t>
  </si>
  <si>
    <t>X087</t>
  </si>
  <si>
    <t>PROPERTY_TYPE_HOLA</t>
  </si>
  <si>
    <t>FLOOR_AREA</t>
  </si>
  <si>
    <t>LAND_AREA</t>
  </si>
  <si>
    <t>X088</t>
  </si>
  <si>
    <t>X092</t>
  </si>
  <si>
    <t>X093</t>
  </si>
  <si>
    <t>"House", "Townhouse"</t>
  </si>
  <si>
    <t>RSTD</t>
  </si>
  <si>
    <t>"Rural House"</t>
  </si>
  <si>
    <t>RRUL</t>
  </si>
  <si>
    <t>"Apartment or Unit"</t>
  </si>
  <si>
    <t>"&gt;50"</t>
  </si>
  <si>
    <t>RSTA</t>
  </si>
  <si>
    <t>"&gt;40&lt;50"</t>
  </si>
  <si>
    <t>RLUO</t>
  </si>
  <si>
    <t>"&lt;40"</t>
  </si>
  <si>
    <t>RSBR</t>
  </si>
  <si>
    <t>X056</t>
  </si>
  <si>
    <t>PROPERTY_TYPE</t>
  </si>
  <si>
    <t>RENT_MULTIPLIER</t>
  </si>
  <si>
    <t>SECURITY</t>
  </si>
  <si>
    <t>eMOS PROPERTY TITLE</t>
  </si>
  <si>
    <t>eMOS PROPERTY TENURE</t>
  </si>
  <si>
    <t>eMOS PROPERTY ZONING</t>
  </si>
  <si>
    <t>X086</t>
  </si>
  <si>
    <t>X114</t>
  </si>
  <si>
    <t>X115</t>
  </si>
  <si>
    <t>X116</t>
  </si>
  <si>
    <t>X158</t>
  </si>
  <si>
    <t>X159</t>
  </si>
  <si>
    <t>Residential Standard</t>
  </si>
  <si>
    <t>Freehold Residential</t>
  </si>
  <si>
    <t>Residential</t>
  </si>
  <si>
    <t>Residential Single Bedroom &lt;50m2</t>
  </si>
  <si>
    <t>LHOR</t>
  </si>
  <si>
    <t>Leasehold Property - Residential</t>
  </si>
  <si>
    <t>Leasehold Residential</t>
  </si>
  <si>
    <t>Rural Residential</t>
  </si>
  <si>
    <t>RRU2</t>
  </si>
  <si>
    <t>RRU3</t>
  </si>
  <si>
    <t>Residential Vacant Ld-Not Fully Serviced</t>
  </si>
  <si>
    <t>RCOT</t>
  </si>
  <si>
    <t>Unit Title</t>
  </si>
  <si>
    <t>Residential Multi Dwell/ 1 Title</t>
  </si>
  <si>
    <t>RMDS</t>
  </si>
  <si>
    <t>COMM</t>
  </si>
  <si>
    <t>HEM VALUES</t>
  </si>
  <si>
    <t>HEM_COUPLE_NET</t>
  </si>
  <si>
    <t>X042</t>
  </si>
  <si>
    <t>includeThreshold</t>
  </si>
  <si>
    <t>[&lt;2</t>
  </si>
  <si>
    <t>entries</t>
  </si>
  <si>
    <t>CH</t>
  </si>
  <si>
    <t>dependents</t>
  </si>
  <si>
    <t>RH</t>
  </si>
  <si>
    <t>incomeThreshold</t>
  </si>
  <si>
    <t>&amp;includeThreshold</t>
  </si>
  <si>
    <t>^M</t>
  </si>
  <si>
    <t>false</t>
  </si>
  <si>
    <t>HEM_SINGLE_NET</t>
  </si>
  <si>
    <t>X043</t>
  </si>
  <si>
    <t>HEM_COUPLE_GROSS</t>
  </si>
  <si>
    <t>X192</t>
  </si>
  <si>
    <t>HEM_SINGLE_GROSS</t>
  </si>
  <si>
    <t>X193</t>
  </si>
  <si>
    <t>EXPENSE CATEGORIES</t>
  </si>
  <si>
    <t>LIVING EXPENSES</t>
  </si>
  <si>
    <t>X101</t>
  </si>
  <si>
    <t>ORDER ID</t>
  </si>
  <si>
    <t>LIVING EXPENSE ITEM</t>
  </si>
  <si>
    <t>LIVING  EXPENSE DESCRIPTION</t>
  </si>
  <si>
    <t>expenseId</t>
  </si>
  <si>
    <t>expenseName</t>
  </si>
  <si>
    <t>expenseDescription</t>
  </si>
  <si>
    <t>Childcare/ Public Education</t>
  </si>
  <si>
    <t>Childcare including nannies. Public education fees and associated costs (preschool, primary, secondary) including books and uniforms</t>
  </si>
  <si>
    <t>Clothing, footwear, cosmetics, personal care</t>
  </si>
  <si>
    <t>Typical supermarket shop for groceries including food and toiletries</t>
  </si>
  <si>
    <t>Medical and health costs including doctor, dental, optical and pharmaceutical</t>
  </si>
  <si>
    <t>Home utilities, rates &amp; costs</t>
  </si>
  <si>
    <t>Housing and property expenses on owner occupied property including rates, taxes, levies, body corporate and strata fees, repairs and maintenance, home and contents insurance, other household items and utilities</t>
  </si>
  <si>
    <t>Recreation and entertainment including alcohol, tobacco, gambling, restaurants, membership fees, pet care and holidays</t>
  </si>
  <si>
    <t>Phone, Internet &amp; Pay TV</t>
  </si>
  <si>
    <t>Telephone accounts (home and mobile), internet, pay TV and media streaming subscriptions (such as Netflix and Spotify)</t>
  </si>
  <si>
    <t>Public transport, motor vehicle running costs including fuel, motor vehicle insurance, servicing, parking and tolls</t>
  </si>
  <si>
    <t>OTHER EXPENSES</t>
  </si>
  <si>
    <t>X102</t>
  </si>
  <si>
    <t>OTHER EXPENSE ITEM</t>
  </si>
  <si>
    <t>OTHER EXPENSE DESCRIPTION</t>
  </si>
  <si>
    <t>Rent/Board (if continuing)</t>
  </si>
  <si>
    <t>Rent or board expense if continuing at drawdown of loan</t>
  </si>
  <si>
    <t>Child Maintainence</t>
  </si>
  <si>
    <t>Child Maintenance/Child Support payments</t>
  </si>
  <si>
    <t>Health Insurance payments</t>
  </si>
  <si>
    <t>Life Insurance</t>
  </si>
  <si>
    <t>Life Insurance payments</t>
  </si>
  <si>
    <t>Other Insurance</t>
  </si>
  <si>
    <t>Other Insurance payments</t>
  </si>
  <si>
    <t>Private education fees and associated costs (preschool, primary, secondary and tertiary) including books and uniforms etc.</t>
  </si>
  <si>
    <t>Unique items not covered in above categories (e.g Cleaner, Gardener, Gifts, Overseas Travel, Donations)</t>
  </si>
  <si>
    <t>HOUSING EXPENSE VALUES</t>
  </si>
  <si>
    <t>ARE YOU CURRENTLY OWNER OCCUPIED</t>
  </si>
  <si>
    <t>X060</t>
  </si>
  <si>
    <t>HOUSING_SITUATION_CUSTOMER_1</t>
  </si>
  <si>
    <t>HOUSING_SITUATION_CUSTOMER_2</t>
  </si>
  <si>
    <t>FINANCE PROPERTY WITHOUT RENT</t>
  </si>
  <si>
    <t>CURRENTLY_OWNER_OCCUPIED</t>
  </si>
  <si>
    <t>APP_HOUSING_EXPENSE_CATEGORY</t>
  </si>
  <si>
    <t>housingSituationCustomer1</t>
  </si>
  <si>
    <t>housingSituationCustomer2</t>
  </si>
  <si>
    <t>financePropertyWithoutRent</t>
  </si>
  <si>
    <t>currentlyOO</t>
  </si>
  <si>
    <t>applicationHousingExpenseCategory</t>
  </si>
  <si>
    <t>"Rent"</t>
  </si>
  <si>
    <t>"Board", "Living with parents", "Other"</t>
  </si>
  <si>
    <t>Board</t>
  </si>
  <si>
    <t>"Own outright", "Own with lending", "Caravan"</t>
  </si>
  <si>
    <t>Own</t>
  </si>
  <si>
    <t>ARE YOU BUYING OWNER OCCUPIED</t>
  </si>
  <si>
    <t>X061</t>
  </si>
  <si>
    <t>INVESTMENT_YN</t>
  </si>
  <si>
    <t>BUYING_OWNER_OCCUPIED</t>
  </si>
  <si>
    <t>DO WE SENSITISE HOUSING EXPENSE</t>
  </si>
  <si>
    <t>X062</t>
  </si>
  <si>
    <t>SENSITISE_HOUSING_EXPENSE</t>
  </si>
  <si>
    <t>sensitiseHE</t>
  </si>
  <si>
    <t>CATEGORY_HIERARCHY</t>
  </si>
  <si>
    <t>X063</t>
  </si>
  <si>
    <t>HOUSING_EXPENSE_CATEGORY</t>
  </si>
  <si>
    <t>PRIORITY</t>
  </si>
  <si>
    <t>X073</t>
  </si>
  <si>
    <t>priority</t>
  </si>
  <si>
    <t>Metropolitan</t>
  </si>
  <si>
    <t>Non-Metro</t>
  </si>
  <si>
    <t>HOUSING EXPENSE SHADING</t>
  </si>
  <si>
    <t>X064</t>
  </si>
  <si>
    <t>SOP_TYPE</t>
  </si>
  <si>
    <t>DEPENDANTS</t>
  </si>
  <si>
    <t>POSTCODE_CLASSIFICATION</t>
  </si>
  <si>
    <t>SHADED_EXPENSE</t>
  </si>
  <si>
    <t>sopType</t>
  </si>
  <si>
    <t>minDependants</t>
  </si>
  <si>
    <t>housingExpensePostcodeCategory</t>
  </si>
  <si>
    <t>value</t>
  </si>
  <si>
    <t>"Single"</t>
  </si>
  <si>
    <t>"Metropolitan"</t>
  </si>
  <si>
    <t>"Board"</t>
  </si>
  <si>
    <t>"Non-Metro"</t>
  </si>
  <si>
    <t>"Couple"</t>
  </si>
  <si>
    <t>DEBT TO INCOME RATIO</t>
  </si>
  <si>
    <t>DTI POLICY</t>
  </si>
  <si>
    <t>X127</t>
  </si>
  <si>
    <t>INCOME_BAND</t>
  </si>
  <si>
    <t>DTI_THRESHOLD</t>
  </si>
  <si>
    <t>REPAYMENT_TYPES</t>
  </si>
  <si>
    <t>UMI_BUFFER</t>
  </si>
  <si>
    <t>SAVINGS_BUFFER</t>
  </si>
  <si>
    <t>RESULT</t>
  </si>
  <si>
    <t>X128</t>
  </si>
  <si>
    <t>X129</t>
  </si>
  <si>
    <t>X130</t>
  </si>
  <si>
    <t>X131</t>
  </si>
  <si>
    <t>X132</t>
  </si>
  <si>
    <t>X133</t>
  </si>
  <si>
    <t>X134</t>
  </si>
  <si>
    <t>"Interest Only", "Interest In Advance", "Line of Credit"</t>
  </si>
  <si>
    <t>D1</t>
  </si>
  <si>
    <t>D2</t>
  </si>
  <si>
    <t>D3</t>
  </si>
  <si>
    <t>D4</t>
  </si>
  <si>
    <t>D5</t>
  </si>
  <si>
    <t>D6</t>
  </si>
  <si>
    <t>D7</t>
  </si>
  <si>
    <t>D8</t>
  </si>
  <si>
    <t>D9</t>
  </si>
  <si>
    <t>R1</t>
  </si>
  <si>
    <t>R2</t>
  </si>
  <si>
    <t>R3</t>
  </si>
  <si>
    <t>*DTI_POLICY_END</t>
  </si>
  <si>
    <t>A1</t>
  </si>
  <si>
    <t>TAX INFORMATION</t>
  </si>
  <si>
    <t>taxSchedule</t>
  </si>
  <si>
    <t>amountThreshold</t>
  </si>
  <si>
    <t>baseValue</t>
  </si>
  <si>
    <t>rate</t>
  </si>
  <si>
    <t>debtLevySchedule</t>
  </si>
  <si>
    <t>medicareLevySchedule</t>
  </si>
  <si>
    <t>medicareLevySurchargeScheduleSingle</t>
  </si>
  <si>
    <t>medicareLevySurchargeScheduleFamily</t>
  </si>
  <si>
    <t>effectiveDateGovFee</t>
  </si>
  <si>
    <t>registrationOfTransferOfLand</t>
  </si>
  <si>
    <t>MIN</t>
  </si>
  <si>
    <t>MAX</t>
  </si>
  <si>
    <t>DIVISOR</t>
  </si>
  <si>
    <t>BASE</t>
  </si>
  <si>
    <t>RATE</t>
  </si>
  <si>
    <t>amountThresholdMax</t>
  </si>
  <si>
    <t>amountRoundingGranularity</t>
  </si>
  <si>
    <t>amountRoundingDirection</t>
  </si>
  <si>
    <t>^1</t>
  </si>
  <si>
    <t>act</t>
  </si>
  <si>
    <t>nsw</t>
  </si>
  <si>
    <t>nt</t>
  </si>
  <si>
    <t>qld</t>
  </si>
  <si>
    <t>up</t>
  </si>
  <si>
    <t>sa</t>
  </si>
  <si>
    <t>tas</t>
  </si>
  <si>
    <t>vic</t>
  </si>
  <si>
    <t>wa</t>
  </si>
  <si>
    <t>ROUND DIVISOR ANSWER</t>
  </si>
  <si>
    <t>FORMULA</t>
  </si>
  <si>
    <t>formula</t>
  </si>
  <si>
    <t>LandTransferStampDutyNT1</t>
  </si>
  <si>
    <t>INVESTMENT</t>
  </si>
  <si>
    <t>landTransferStampDuty</t>
  </si>
  <si>
    <t>INDEX</t>
  </si>
  <si>
    <t>FULL CALCULATION</t>
  </si>
  <si>
    <t>FIRST_HOME_BUYER_YN</t>
  </si>
  <si>
    <t>INCOME THRESHOLD</t>
  </si>
  <si>
    <t>HOLA GROUP IDENTIFIER</t>
  </si>
  <si>
    <t>AMOUNT TO USE</t>
  </si>
  <si>
    <t>CONCESSION_APPLIED</t>
  </si>
  <si>
    <t>CHECKLIST_TYPE</t>
  </si>
  <si>
    <t>index</t>
  </si>
  <si>
    <t>fullStampDuty</t>
  </si>
  <si>
    <t>investment</t>
  </si>
  <si>
    <t>firstHomeBuyer</t>
  </si>
  <si>
    <t>buyingEstablishedHouse</t>
  </si>
  <si>
    <t>vacantLand</t>
  </si>
  <si>
    <t>contractAmountThreshold</t>
  </si>
  <si>
    <t>groupIdentifier</t>
  </si>
  <si>
    <t>amountToUse</t>
  </si>
  <si>
    <t>concession_applied</t>
  </si>
  <si>
    <t>ACT_GROUP_1</t>
  </si>
  <si>
    <t>contract</t>
  </si>
  <si>
    <t>First Home Buyer</t>
  </si>
  <si>
    <t>Submission</t>
  </si>
  <si>
    <t>ACT_GROUP_3</t>
  </si>
  <si>
    <t>NSW_GROUP_1</t>
  </si>
  <si>
    <t>dutiable</t>
  </si>
  <si>
    <t>NSW_GROUP_2</t>
  </si>
  <si>
    <t>NSW_GROUP_3</t>
  </si>
  <si>
    <t>NT_GROUP_3</t>
  </si>
  <si>
    <t>QLD_GROUP_1</t>
  </si>
  <si>
    <t>Home</t>
  </si>
  <si>
    <t>Full Approval</t>
  </si>
  <si>
    <t>QLD_GROUP_2</t>
  </si>
  <si>
    <t>QLD_GROUP_3</t>
  </si>
  <si>
    <t>QLD_GROUP_4</t>
  </si>
  <si>
    <t>SA_GROUP_1</t>
  </si>
  <si>
    <t>TAS_GROUP_1</t>
  </si>
  <si>
    <t>TAS_GROUP_2</t>
  </si>
  <si>
    <t>VIC_GROUP_1</t>
  </si>
  <si>
    <t>Principle Place of Residence</t>
  </si>
  <si>
    <t>VIC_GROUP_3</t>
  </si>
  <si>
    <t>LandTransferStampDutyVIC1</t>
  </si>
  <si>
    <t>VIC_GROUP_4</t>
  </si>
  <si>
    <t>WA_GROUP_1</t>
  </si>
  <si>
    <t>Concessional Rate</t>
  </si>
  <si>
    <t>WA_GROUP_2</t>
  </si>
  <si>
    <t>WA_GROUP_3</t>
  </si>
  <si>
    <t>WA_GROUP_4</t>
  </si>
  <si>
    <t>mortgageRegistrationFee</t>
  </si>
  <si>
    <t>AMOUNT</t>
  </si>
  <si>
    <t>mortgageDischargeFee</t>
  </si>
  <si>
    <t>X188</t>
  </si>
  <si>
    <t>landTitleSearchFee</t>
  </si>
  <si>
    <t>STAMP DUTY LABEL</t>
  </si>
  <si>
    <t>stampDutyOfLandLabel</t>
  </si>
  <si>
    <t>NAME</t>
  </si>
  <si>
    <t>Transfer of Land Duty</t>
  </si>
  <si>
    <t>Stamp Duty Transfer of Land</t>
  </si>
  <si>
    <t>Transfer Duty</t>
  </si>
  <si>
    <t>Property Transfer Duty</t>
  </si>
  <si>
    <t>Land Transfer Duty</t>
  </si>
  <si>
    <t>fhos</t>
  </si>
  <si>
    <t>X201</t>
  </si>
  <si>
    <t>X202</t>
  </si>
  <si>
    <t>X204</t>
  </si>
  <si>
    <t>LMI RATES</t>
  </si>
  <si>
    <t>Effective Date - LMI</t>
  </si>
  <si>
    <t>effectiveDateLMI</t>
  </si>
  <si>
    <t>LMI_BASE_PREMIUM_RATE_ARRAY</t>
  </si>
  <si>
    <t>X023</t>
  </si>
  <si>
    <t>threshold</t>
  </si>
  <si>
    <t>X055</t>
  </si>
  <si>
    <t>CODE</t>
  </si>
  <si>
    <t>DESCRIPTION</t>
  </si>
  <si>
    <t>OO IO LIMIT</t>
  </si>
  <si>
    <t>OO P&amp;I LIMIT</t>
  </si>
  <si>
    <t>INV IO LIMIT</t>
  </si>
  <si>
    <t>INV P&amp;I LIMIT</t>
  </si>
  <si>
    <t>X211</t>
  </si>
  <si>
    <t>Limit</t>
  </si>
  <si>
    <t>X212</t>
  </si>
  <si>
    <t>X213</t>
  </si>
  <si>
    <t>X214</t>
  </si>
  <si>
    <t>Medico 1</t>
  </si>
  <si>
    <t>Standard Medico</t>
  </si>
  <si>
    <t>Medico 2</t>
  </si>
  <si>
    <t>Medico Plus</t>
  </si>
  <si>
    <t>Professional</t>
  </si>
  <si>
    <t>Staff</t>
  </si>
  <si>
    <t>LMI_DUTY_AND_TAXES</t>
  </si>
  <si>
    <t>lmiStampDutyRate</t>
  </si>
  <si>
    <t>LMI_MODIFIERS_REPAYMENT_TYPE</t>
  </si>
  <si>
    <t>X050</t>
  </si>
  <si>
    <t>REPAYMENT_TYPE_CODE</t>
  </si>
  <si>
    <t>REPAYMENT_RATE</t>
  </si>
  <si>
    <t>repaymentTypeCode</t>
  </si>
  <si>
    <t>repaymentRate</t>
  </si>
  <si>
    <t>LMI_MODIFIERS_PURPOSES</t>
  </si>
  <si>
    <t>X051</t>
  </si>
  <si>
    <t>PURPOSE_CODE</t>
  </si>
  <si>
    <t>ADDITIONAL_FUND</t>
  </si>
  <si>
    <t>INVESTEMENT_RATE</t>
  </si>
  <si>
    <t>PURPOSE_RATE</t>
  </si>
  <si>
    <t>purposeCode</t>
  </si>
  <si>
    <t>additionalFund</t>
  </si>
  <si>
    <t>investmentRate</t>
  </si>
  <si>
    <t>purposeRate</t>
  </si>
  <si>
    <t>Residential Land</t>
  </si>
  <si>
    <t>Refinance Existing ANZ Loan</t>
  </si>
  <si>
    <t>Purch Estab - Investment Property</t>
  </si>
  <si>
    <t>Purch New - Investment Property</t>
  </si>
  <si>
    <t>Investment Land</t>
  </si>
  <si>
    <t>Construction Investment Property</t>
  </si>
  <si>
    <t>Refinance Investment Loan</t>
  </si>
  <si>
    <t>Refinance Non-ANZ investment loan</t>
  </si>
  <si>
    <r>
      <t>Construction-Not 1</t>
    </r>
    <r>
      <rPr>
        <vertAlign val="superscript"/>
        <sz val="10"/>
        <color theme="1" tint="0.249977111117893"/>
        <rFont val="Calibri"/>
        <family val="2"/>
      </rPr>
      <t>st</t>
    </r>
    <r>
      <rPr>
        <sz val="10"/>
        <color theme="1" tint="0.249977111117893"/>
        <rFont val="Calibri"/>
        <family val="2"/>
      </rPr>
      <t xml:space="preserve"> Home</t>
    </r>
  </si>
  <si>
    <r>
      <t>Construction-1</t>
    </r>
    <r>
      <rPr>
        <vertAlign val="superscript"/>
        <sz val="10"/>
        <color theme="1" tint="0.249977111117893"/>
        <rFont val="Calibri"/>
        <family val="2"/>
      </rPr>
      <t>st</t>
    </r>
    <r>
      <rPr>
        <sz val="10"/>
        <color theme="1" tint="0.249977111117893"/>
        <rFont val="Calibri"/>
        <family val="2"/>
      </rPr>
      <t xml:space="preserve"> Home</t>
    </r>
  </si>
  <si>
    <r>
      <t>Purch New Home-Not 1</t>
    </r>
    <r>
      <rPr>
        <vertAlign val="superscript"/>
        <sz val="10"/>
        <color theme="1" tint="0.249977111117893"/>
        <rFont val="Calibri"/>
        <family val="2"/>
      </rPr>
      <t>st</t>
    </r>
    <r>
      <rPr>
        <sz val="10"/>
        <color theme="1" tint="0.249977111117893"/>
        <rFont val="Calibri"/>
        <family val="2"/>
      </rPr>
      <t xml:space="preserve"> Home</t>
    </r>
  </si>
  <si>
    <r>
      <t>Purch New Home-1</t>
    </r>
    <r>
      <rPr>
        <vertAlign val="superscript"/>
        <sz val="10"/>
        <color theme="1" tint="0.249977111117893"/>
        <rFont val="Calibri"/>
        <family val="2"/>
      </rPr>
      <t>st</t>
    </r>
    <r>
      <rPr>
        <sz val="10"/>
        <color theme="1" tint="0.249977111117893"/>
        <rFont val="Calibri"/>
        <family val="2"/>
      </rPr>
      <t xml:space="preserve"> Home</t>
    </r>
  </si>
  <si>
    <r>
      <t>Purch Estab Home-Not 1</t>
    </r>
    <r>
      <rPr>
        <vertAlign val="superscript"/>
        <sz val="10"/>
        <color theme="1" tint="0.249977111117893"/>
        <rFont val="Calibri"/>
        <family val="2"/>
      </rPr>
      <t>st</t>
    </r>
    <r>
      <rPr>
        <sz val="10"/>
        <color theme="1" tint="0.249977111117893"/>
        <rFont val="Calibri"/>
        <family val="2"/>
      </rPr>
      <t xml:space="preserve"> Home</t>
    </r>
  </si>
  <si>
    <r>
      <t>Purch Estab Home-1</t>
    </r>
    <r>
      <rPr>
        <vertAlign val="superscript"/>
        <sz val="10"/>
        <color theme="1" tint="0.249977111117893"/>
        <rFont val="Calibri"/>
        <family val="2"/>
      </rPr>
      <t>st</t>
    </r>
    <r>
      <rPr>
        <sz val="10"/>
        <color theme="1" tint="0.249977111117893"/>
        <rFont val="Calibri"/>
        <family val="2"/>
      </rPr>
      <t xml:space="preserve"> Home</t>
    </r>
  </si>
  <si>
    <t>Refinance Non-ANZ Loan</t>
  </si>
  <si>
    <t>LMI_MODIFIERS_EMPLOYMENT_TYPE</t>
  </si>
  <si>
    <t>X052</t>
  </si>
  <si>
    <t>EMPLOYMENT_STATUS</t>
  </si>
  <si>
    <t>EMPLOYMENT_RATE</t>
  </si>
  <si>
    <t>employmentStatus</t>
  </si>
  <si>
    <t>employmentRate</t>
  </si>
  <si>
    <t>Full Time</t>
  </si>
  <si>
    <t>Part Time</t>
  </si>
  <si>
    <t>Temp</t>
  </si>
  <si>
    <t>Contractor</t>
  </si>
  <si>
    <t>Casual</t>
  </si>
  <si>
    <t>SE - Sole Trader</t>
  </si>
  <si>
    <t>SE - Partnership</t>
  </si>
  <si>
    <t>SE - Trust</t>
  </si>
  <si>
    <t>SE - Company</t>
  </si>
  <si>
    <t>SE - Multi Entity</t>
  </si>
  <si>
    <t>Not Employed</t>
  </si>
  <si>
    <t>LMI_MODIFIERS_TOP_COVER</t>
  </si>
  <si>
    <t>X057</t>
  </si>
  <si>
    <t>SYSTEM</t>
  </si>
  <si>
    <t>PREVIOUS COVER</t>
  </si>
  <si>
    <t>POSTCODE_MIN</t>
  </si>
  <si>
    <t>POSTCODE_MAX</t>
  </si>
  <si>
    <t>LVR_MAX</t>
  </si>
  <si>
    <t>LOCATION_RATE</t>
  </si>
  <si>
    <t>HOLMES</t>
  </si>
  <si>
    <t>FULL</t>
  </si>
  <si>
    <t>TOP</t>
  </si>
  <si>
    <t>NONE</t>
  </si>
  <si>
    <t>SHERLOCK</t>
  </si>
  <si>
    <t>POSTCODE TABLE</t>
  </si>
  <si>
    <t>Effective Date - Postcodes</t>
  </si>
  <si>
    <t>effectiveDatePostcodes</t>
  </si>
  <si>
    <t>POSTCODES</t>
  </si>
  <si>
    <t>X054</t>
  </si>
  <si>
    <t>LOCALITY</t>
  </si>
  <si>
    <t>LMI CATEGORY</t>
  </si>
  <si>
    <t>INNER CITY LMI</t>
  </si>
  <si>
    <t>MINING RISK</t>
  </si>
  <si>
    <t>HIGH RISK</t>
  </si>
  <si>
    <t>EXCLUSIVE POSTCODES</t>
  </si>
  <si>
    <t>FHOG_CATEOGRY</t>
  </si>
  <si>
    <t>postcode</t>
  </si>
  <si>
    <t>locality</t>
  </si>
  <si>
    <t>X066</t>
  </si>
  <si>
    <t>X067</t>
  </si>
  <si>
    <t>X069</t>
  </si>
  <si>
    <t>X070</t>
  </si>
  <si>
    <t>X071</t>
  </si>
  <si>
    <t>X074</t>
  </si>
  <si>
    <t>0800</t>
  </si>
  <si>
    <t>DARWIN</t>
  </si>
  <si>
    <t>Category 2</t>
  </si>
  <si>
    <t>Medium</t>
  </si>
  <si>
    <t/>
  </si>
  <si>
    <t>0810</t>
  </si>
  <si>
    <t>ALAWA</t>
  </si>
  <si>
    <t>0812</t>
  </si>
  <si>
    <t>ANULA</t>
  </si>
  <si>
    <t>BAYVIEW</t>
  </si>
  <si>
    <t>0822</t>
  </si>
  <si>
    <t>LAMBELLS LAGOON</t>
  </si>
  <si>
    <t>Category 3</t>
  </si>
  <si>
    <t>Regional</t>
  </si>
  <si>
    <t>0828</t>
  </si>
  <si>
    <t>BERRIMAH</t>
  </si>
  <si>
    <t>0829</t>
  </si>
  <si>
    <t>HOLTZE</t>
  </si>
  <si>
    <t>0830</t>
  </si>
  <si>
    <t>ARCHER</t>
  </si>
  <si>
    <t>0832</t>
  </si>
  <si>
    <t>BAKEWELL</t>
  </si>
  <si>
    <t>0834</t>
  </si>
  <si>
    <t>VIRGINIA</t>
  </si>
  <si>
    <t>Country</t>
  </si>
  <si>
    <t>0835</t>
  </si>
  <si>
    <t>HOWARD SPRINGS</t>
  </si>
  <si>
    <t>0836</t>
  </si>
  <si>
    <t>GIRRAWEEN</t>
  </si>
  <si>
    <t>0837</t>
  </si>
  <si>
    <t>MANTON</t>
  </si>
  <si>
    <t>On application</t>
  </si>
  <si>
    <t>0838</t>
  </si>
  <si>
    <t>BERRY SPRINGS</t>
  </si>
  <si>
    <t>0839</t>
  </si>
  <si>
    <t>COOLALINGA</t>
  </si>
  <si>
    <t>0840</t>
  </si>
  <si>
    <t>DUNDEE BEACH</t>
  </si>
  <si>
    <t>0841</t>
  </si>
  <si>
    <t>DARWIN RIVER</t>
  </si>
  <si>
    <t>0845</t>
  </si>
  <si>
    <t>BATCHELOR</t>
  </si>
  <si>
    <t>0846</t>
  </si>
  <si>
    <t>ADELAIDE RIVER</t>
  </si>
  <si>
    <t>0847</t>
  </si>
  <si>
    <t>PINE CREEK</t>
  </si>
  <si>
    <t>0850</t>
  </si>
  <si>
    <t>COSSACK</t>
  </si>
  <si>
    <t>0852</t>
  </si>
  <si>
    <t>KATHERINE</t>
  </si>
  <si>
    <t>0853</t>
  </si>
  <si>
    <t>TINDAL</t>
  </si>
  <si>
    <t>N/A</t>
  </si>
  <si>
    <t>0854</t>
  </si>
  <si>
    <t>BORROLOOLA</t>
  </si>
  <si>
    <t>0860</t>
  </si>
  <si>
    <t>TENNANT CREEK</t>
  </si>
  <si>
    <t>0862</t>
  </si>
  <si>
    <t>CALVERT</t>
  </si>
  <si>
    <t>0870</t>
  </si>
  <si>
    <t>ALICE SPRINGS</t>
  </si>
  <si>
    <t>0872</t>
  </si>
  <si>
    <t>YULARA</t>
  </si>
  <si>
    <t>0873</t>
  </si>
  <si>
    <t>ARUMBERA</t>
  </si>
  <si>
    <t>0874</t>
  </si>
  <si>
    <t>IRLPME</t>
  </si>
  <si>
    <t>0875</t>
  </si>
  <si>
    <t>FLYNN</t>
  </si>
  <si>
    <t>0880</t>
  </si>
  <si>
    <t>GAPUWIYAK</t>
  </si>
  <si>
    <t>High</t>
  </si>
  <si>
    <t>0885</t>
  </si>
  <si>
    <t>ALYANGULA</t>
  </si>
  <si>
    <t>0886</t>
  </si>
  <si>
    <t>JABIRU</t>
  </si>
  <si>
    <t>BARANGAROO</t>
  </si>
  <si>
    <t>SYDNEY UNIVERSITY</t>
  </si>
  <si>
    <t>BROADWAY</t>
  </si>
  <si>
    <t>CHIPPENDALE</t>
  </si>
  <si>
    <t>PYRMONT</t>
  </si>
  <si>
    <t>DARLINGHURST</t>
  </si>
  <si>
    <t>ELIZABETH BAY</t>
  </si>
  <si>
    <t>ALEXANDRIA</t>
  </si>
  <si>
    <t>REDFERN</t>
  </si>
  <si>
    <t>WATERLOO</t>
  </si>
  <si>
    <t>EASTLAKES</t>
  </si>
  <si>
    <t>BANKSMEADOW</t>
  </si>
  <si>
    <t>MASCOT</t>
  </si>
  <si>
    <t>CENTENNIAL PARK</t>
  </si>
  <si>
    <t>BONDI JUNCTION</t>
  </si>
  <si>
    <t>Category 1</t>
  </si>
  <si>
    <t>BELLEVUE HILL</t>
  </si>
  <si>
    <t>BRONTE</t>
  </si>
  <si>
    <t>WOOLLAHRA</t>
  </si>
  <si>
    <t>BONDI</t>
  </si>
  <si>
    <t>DARLING POINT</t>
  </si>
  <si>
    <t>DOUBLE BAY</t>
  </si>
  <si>
    <t>ROSE BAY</t>
  </si>
  <si>
    <t>DOVER HEIGHTS</t>
  </si>
  <si>
    <t>CLOVELLY</t>
  </si>
  <si>
    <t>DACEYVILLE</t>
  </si>
  <si>
    <t>KENSINGTON</t>
  </si>
  <si>
    <t>COOGEE</t>
  </si>
  <si>
    <t>MAROUBRA</t>
  </si>
  <si>
    <t>CHIFLEY</t>
  </si>
  <si>
    <t>FOREST LODGE</t>
  </si>
  <si>
    <t>ANNANDALE</t>
  </si>
  <si>
    <t>ROZELLE</t>
  </si>
  <si>
    <t>LEICHHARDT</t>
  </si>
  <si>
    <t>BALMAIN</t>
  </si>
  <si>
    <t>ENMORE</t>
  </si>
  <si>
    <t>ERSKINEVILLE</t>
  </si>
  <si>
    <t>ST PETERS</t>
  </si>
  <si>
    <t>HABERFIELD</t>
  </si>
  <si>
    <t>ABBOTSFORD</t>
  </si>
  <si>
    <t>DRUMMOYNE</t>
  </si>
  <si>
    <t>STANMORE</t>
  </si>
  <si>
    <t>LEWISHAM</t>
  </si>
  <si>
    <t>CAMPERDOWN</t>
  </si>
  <si>
    <t>HMAS PLATYPUS</t>
  </si>
  <si>
    <t>KIRRIBILLI</t>
  </si>
  <si>
    <t>CAMMERAY</t>
  </si>
  <si>
    <t>NORTHBRIDGE</t>
  </si>
  <si>
    <t>ARTARMON</t>
  </si>
  <si>
    <t>CROWS NEST</t>
  </si>
  <si>
    <t>LANE COVE</t>
  </si>
  <si>
    <t>CHATSWOOD</t>
  </si>
  <si>
    <t>CASTLECRAG</t>
  </si>
  <si>
    <t>CASTLE COVE</t>
  </si>
  <si>
    <t>EAST LINDFIELD</t>
  </si>
  <si>
    <t>EAST KILLARA</t>
  </si>
  <si>
    <t>GORDON</t>
  </si>
  <si>
    <t>PYMBLE</t>
  </si>
  <si>
    <t>NORTH TURRAMURRA</t>
  </si>
  <si>
    <t>ST IVES</t>
  </si>
  <si>
    <t>NORMANHURST</t>
  </si>
  <si>
    <t>ASQUITH</t>
  </si>
  <si>
    <t>MOUNT COLAH</t>
  </si>
  <si>
    <t>MOUNT KURING-GAI</t>
  </si>
  <si>
    <t>BEROWRA</t>
  </si>
  <si>
    <t>BEROWRA CREEK</t>
  </si>
  <si>
    <t>BAR POINT</t>
  </si>
  <si>
    <t>COTTAGE POINT</t>
  </si>
  <si>
    <t>BELROSE</t>
  </si>
  <si>
    <t>FRENCHS FOREST</t>
  </si>
  <si>
    <t>FORESTVILLE</t>
  </si>
  <si>
    <t>MOSMAN</t>
  </si>
  <si>
    <t>KURRABA POINT</t>
  </si>
  <si>
    <t>CREMORNE</t>
  </si>
  <si>
    <t>SEAFORTH</t>
  </si>
  <si>
    <t>BALGOWLAH</t>
  </si>
  <si>
    <t>FAIRLIGHT</t>
  </si>
  <si>
    <t>MANLY</t>
  </si>
  <si>
    <t>CURL CURL</t>
  </si>
  <si>
    <t>COLLAROY</t>
  </si>
  <si>
    <t>CROMER</t>
  </si>
  <si>
    <t>ALLAMBIE HEIGHTS</t>
  </si>
  <si>
    <t>ELANORA HEIGHTS</t>
  </si>
  <si>
    <t>WARRIEWOOD</t>
  </si>
  <si>
    <t>MONA VALE</t>
  </si>
  <si>
    <t>CHURCH POINT</t>
  </si>
  <si>
    <t>NEWPORT</t>
  </si>
  <si>
    <t>AVALON BEACH</t>
  </si>
  <si>
    <t>COASTERS RETREAT</t>
  </si>
  <si>
    <t>HUNTERS HILL</t>
  </si>
  <si>
    <t>BORONIA PARK</t>
  </si>
  <si>
    <t>DENISTONE EAST</t>
  </si>
  <si>
    <t>BLENHEIM ROAD</t>
  </si>
  <si>
    <t>DENISTONE</t>
  </si>
  <si>
    <t>ERMINGTON</t>
  </si>
  <si>
    <t>RYDALMERE</t>
  </si>
  <si>
    <t>DUNDAS</t>
  </si>
  <si>
    <t>CARLINGFORD</t>
  </si>
  <si>
    <t>BEECROFT</t>
  </si>
  <si>
    <t>PENNANT HILLS</t>
  </si>
  <si>
    <t>EPPING</t>
  </si>
  <si>
    <t>EASTWOOD</t>
  </si>
  <si>
    <t>WEST PENNANT HILLS</t>
  </si>
  <si>
    <t>CHERRYBROOK</t>
  </si>
  <si>
    <t>NEWINGTON</t>
  </si>
  <si>
    <t>SILVERWATER</t>
  </si>
  <si>
    <t>SUMMER HILL</t>
  </si>
  <si>
    <t>ASHFIELD</t>
  </si>
  <si>
    <t>CROYDON</t>
  </si>
  <si>
    <t>CROYDON PARK</t>
  </si>
  <si>
    <t>BURWOOD</t>
  </si>
  <si>
    <t>STRATHFIELD</t>
  </si>
  <si>
    <t>BURWOOD HEIGHTS</t>
  </si>
  <si>
    <t>BREAKFAST POINT</t>
  </si>
  <si>
    <t>CONCORD WEST</t>
  </si>
  <si>
    <t>HOMEBUSH</t>
  </si>
  <si>
    <t>BERALA</t>
  </si>
  <si>
    <t>BLAXCELL</t>
  </si>
  <si>
    <t>BIRRONG</t>
  </si>
  <si>
    <t>AUBURN</t>
  </si>
  <si>
    <t>CONSTITUTION HILL</t>
  </si>
  <si>
    <t>OLD TOONGABBIE</t>
  </si>
  <si>
    <t>KINGS LANGLEY</t>
  </si>
  <si>
    <t>ARNDELL PARK</t>
  </si>
  <si>
    <t>HARRIS PARK</t>
  </si>
  <si>
    <t>NORTH PARRAMATTA</t>
  </si>
  <si>
    <t>NORTHMEAD</t>
  </si>
  <si>
    <t>BAULKHAM HILLS</t>
  </si>
  <si>
    <t>CASTLE HILL</t>
  </si>
  <si>
    <t>BEAUMONT HILLS</t>
  </si>
  <si>
    <t>ANNANGROVE</t>
  </si>
  <si>
    <t>CANOELANDS</t>
  </si>
  <si>
    <t>DURAL</t>
  </si>
  <si>
    <t>ARCADIA</t>
  </si>
  <si>
    <t>MERRYLANDS</t>
  </si>
  <si>
    <t>GUILDFORD</t>
  </si>
  <si>
    <t>CHESTER HILL</t>
  </si>
  <si>
    <t>CARRAMAR</t>
  </si>
  <si>
    <t>SMITHFIELD</t>
  </si>
  <si>
    <t>FAIRFIELD</t>
  </si>
  <si>
    <t>CABRAMATTA</t>
  </si>
  <si>
    <t>GLENFIELD</t>
  </si>
  <si>
    <t>ASHCROFT</t>
  </si>
  <si>
    <t>CASULA</t>
  </si>
  <si>
    <t>CARNES HILL</t>
  </si>
  <si>
    <t>PLEASURE POINT</t>
  </si>
  <si>
    <t>HOLSWORTHY</t>
  </si>
  <si>
    <t>EDMONDSON PARK</t>
  </si>
  <si>
    <t>HORSLEY PARK</t>
  </si>
  <si>
    <t>ABBOTSBURY</t>
  </si>
  <si>
    <t>BONNYRIGG</t>
  </si>
  <si>
    <t>CECIL PARK</t>
  </si>
  <si>
    <t>AUSTRAL</t>
  </si>
  <si>
    <t>CHULLORA</t>
  </si>
  <si>
    <t>BELFIELD</t>
  </si>
  <si>
    <t>BELMORE</t>
  </si>
  <si>
    <t>ASHBURY</t>
  </si>
  <si>
    <t>CAMPSIE</t>
  </si>
  <si>
    <t>LAKEMBA</t>
  </si>
  <si>
    <t>PUNCHBOWL</t>
  </si>
  <si>
    <t>BASS HILL</t>
  </si>
  <si>
    <t>GEORGES HALL</t>
  </si>
  <si>
    <t>YAGOONA</t>
  </si>
  <si>
    <t>BANKSTOWN</t>
  </si>
  <si>
    <t>DULWICH HILL</t>
  </si>
  <si>
    <t>MARRICKVILLE</t>
  </si>
  <si>
    <t>ARNCLIFFE</t>
  </si>
  <si>
    <t>CLEMTON PARK</t>
  </si>
  <si>
    <t>BARDWELL PARK</t>
  </si>
  <si>
    <t>KINGSGROVE</t>
  </si>
  <si>
    <t>BEVERLY HILLS</t>
  </si>
  <si>
    <t>LUGARNO</t>
  </si>
  <si>
    <t>PADSTOW</t>
  </si>
  <si>
    <t>REVESBY</t>
  </si>
  <si>
    <t>EAST HILLS</t>
  </si>
  <si>
    <t>MILPERRA</t>
  </si>
  <si>
    <t>BANKSIA</t>
  </si>
  <si>
    <t>BEVERLEY PARK</t>
  </si>
  <si>
    <t>ALLAWAH</t>
  </si>
  <si>
    <t>DOLLS POINT</t>
  </si>
  <si>
    <t>HURSTVILLE</t>
  </si>
  <si>
    <t>BLAKEHURST</t>
  </si>
  <si>
    <t>PENSHURST</t>
  </si>
  <si>
    <t>MORTDALE</t>
  </si>
  <si>
    <t>KANGAROO POINT</t>
  </si>
  <si>
    <t>OYSTER BAY</t>
  </si>
  <si>
    <t>BONNET BAY</t>
  </si>
  <si>
    <t>GYMEA</t>
  </si>
  <si>
    <t>MIRANDA</t>
  </si>
  <si>
    <t>CARINGBAH</t>
  </si>
  <si>
    <t>BUNDEENA</t>
  </si>
  <si>
    <t>KURNELL</t>
  </si>
  <si>
    <t>GRAYS POINT</t>
  </si>
  <si>
    <t>ENGADINE</t>
  </si>
  <si>
    <t>ALFORDS POINT</t>
  </si>
  <si>
    <t>BUCKETTY</t>
  </si>
  <si>
    <t>AVOCA BEACH</t>
  </si>
  <si>
    <t>BLACKWALL</t>
  </si>
  <si>
    <t>BOOKER BAY</t>
  </si>
  <si>
    <t>FOUNTAINDALE</t>
  </si>
  <si>
    <t>ALISON</t>
  </si>
  <si>
    <t>Low</t>
  </si>
  <si>
    <t>ERINA HEIGHTS</t>
  </si>
  <si>
    <t>BATEAU BAY</t>
  </si>
  <si>
    <t>BLUE HAVEN</t>
  </si>
  <si>
    <t>CANTON BEACH</t>
  </si>
  <si>
    <t>BALCOLYN</t>
  </si>
  <si>
    <t>COORANBONG</t>
  </si>
  <si>
    <t>WANGI WANGI</t>
  </si>
  <si>
    <t>BARNSLEY</t>
  </si>
  <si>
    <t>BELMONT</t>
  </si>
  <si>
    <t>BLACKSMITHS</t>
  </si>
  <si>
    <t>ELEEBANA</t>
  </si>
  <si>
    <t>ARCADIA VALE</t>
  </si>
  <si>
    <t>ARGENTON</t>
  </si>
  <si>
    <t>CAMERON PARK</t>
  </si>
  <si>
    <t>HOLMESVILLE</t>
  </si>
  <si>
    <t>BIRMINGHAM GARDENS</t>
  </si>
  <si>
    <t>ADAMSTOWN</t>
  </si>
  <si>
    <t>BENNETTS GREEN</t>
  </si>
  <si>
    <t>MEREWETHER</t>
  </si>
  <si>
    <t>BROADMEADOW</t>
  </si>
  <si>
    <t>MARYVILLE</t>
  </si>
  <si>
    <t>CARRINGTON</t>
  </si>
  <si>
    <t>FERN BAY</t>
  </si>
  <si>
    <t>ISLINGTON</t>
  </si>
  <si>
    <t>TIGHES HILL</t>
  </si>
  <si>
    <t>GEORGETOWN</t>
  </si>
  <si>
    <t>JESMOND</t>
  </si>
  <si>
    <t>BAR BEACH</t>
  </si>
  <si>
    <t>NEWCASTLE WEST</t>
  </si>
  <si>
    <t>HAMILTON</t>
  </si>
  <si>
    <t>KOORAGANG</t>
  </si>
  <si>
    <t>KOTARA EAST</t>
  </si>
  <si>
    <t>WINDALE</t>
  </si>
  <si>
    <t>SHORTLAND</t>
  </si>
  <si>
    <t>UNIVERSITY OF NEWCASTLE</t>
  </si>
  <si>
    <t>DANGAR</t>
  </si>
  <si>
    <t>ALLYNBROOK</t>
  </si>
  <si>
    <t>MINIMBAH</t>
  </si>
  <si>
    <t>CORLETTE</t>
  </si>
  <si>
    <t>ANNA BAY</t>
  </si>
  <si>
    <t>SALAMANDER BAY</t>
  </si>
  <si>
    <t>CAMPVALE</t>
  </si>
  <si>
    <t>LEMON TREE PASSAGE</t>
  </si>
  <si>
    <t>ABERGLASSLYN</t>
  </si>
  <si>
    <t>BERRY PARK</t>
  </si>
  <si>
    <t>BERESFIELD</t>
  </si>
  <si>
    <t>ASHTONFIELD</t>
  </si>
  <si>
    <t>BALICKERA</t>
  </si>
  <si>
    <t>ABERDARE</t>
  </si>
  <si>
    <t>ABERMAIN</t>
  </si>
  <si>
    <t>KURRI KURRI</t>
  </si>
  <si>
    <t>BUREEN</t>
  </si>
  <si>
    <t>CASSILIS</t>
  </si>
  <si>
    <t>APPLETREE FLAT</t>
  </si>
  <si>
    <t>BAERAMI</t>
  </si>
  <si>
    <t>GRETA</t>
  </si>
  <si>
    <t>BELFORD</t>
  </si>
  <si>
    <t>ABERDEEN</t>
  </si>
  <si>
    <t>BELLTREES</t>
  </si>
  <si>
    <t>ARDGLEN</t>
  </si>
  <si>
    <t>BIG JACKS CREEK</t>
  </si>
  <si>
    <t>APPLEBY</t>
  </si>
  <si>
    <t>WERRIS CREEK</t>
  </si>
  <si>
    <t>CURRABUBULA</t>
  </si>
  <si>
    <t>BLACKVILLE</t>
  </si>
  <si>
    <t>DURI</t>
  </si>
  <si>
    <t>ATTUNGA</t>
  </si>
  <si>
    <t>BORAH CREEK</t>
  </si>
  <si>
    <t>BANOON</t>
  </si>
  <si>
    <t>ABERFOYLE</t>
  </si>
  <si>
    <t>KOOTINGAL</t>
  </si>
  <si>
    <t>MOONBI</t>
  </si>
  <si>
    <t>KENTUCKY</t>
  </si>
  <si>
    <t>BENDEMEER</t>
  </si>
  <si>
    <t>GWABEGAR</t>
  </si>
  <si>
    <t>BOMERA</t>
  </si>
  <si>
    <t>ARDING</t>
  </si>
  <si>
    <t>AUBURN VALE</t>
  </si>
  <si>
    <t>ASHFORD</t>
  </si>
  <si>
    <t>BACKWATER</t>
  </si>
  <si>
    <t>OLD MILL</t>
  </si>
  <si>
    <t>BALD NOB</t>
  </si>
  <si>
    <t>CAPOOMPETA</t>
  </si>
  <si>
    <t>BACK CREEK</t>
  </si>
  <si>
    <t>GOOLHI</t>
  </si>
  <si>
    <t>BLUE VALE</t>
  </si>
  <si>
    <t>BREEZA</t>
  </si>
  <si>
    <t>BOGGABRI</t>
  </si>
  <si>
    <t>BURREN JUNCTION</t>
  </si>
  <si>
    <t>BULYEROI</t>
  </si>
  <si>
    <t>BOOLCARROLL</t>
  </si>
  <si>
    <t>BAAN BAA</t>
  </si>
  <si>
    <t>BINNAWAY</t>
  </si>
  <si>
    <t>BARADINE</t>
  </si>
  <si>
    <t>BELLATA</t>
  </si>
  <si>
    <t>GURLEY</t>
  </si>
  <si>
    <t>BINIGUY</t>
  </si>
  <si>
    <t>ASHLEY</t>
  </si>
  <si>
    <t>GRAVESEND</t>
  </si>
  <si>
    <t>COOLATAI</t>
  </si>
  <si>
    <t>BALFOURS PEAK</t>
  </si>
  <si>
    <t>BANGHEET</t>
  </si>
  <si>
    <t>BOOMI</t>
  </si>
  <si>
    <t>MUNGINDI</t>
  </si>
  <si>
    <t>BLUE NOBBY</t>
  </si>
  <si>
    <t>BOGGABILLA</t>
  </si>
  <si>
    <t>TWIN RIVERS</t>
  </si>
  <si>
    <t>CROPPA CREEK</t>
  </si>
  <si>
    <t>MONKERAI</t>
  </si>
  <si>
    <t>FISHERS HILL</t>
  </si>
  <si>
    <t>BOMBAH POINT</t>
  </si>
  <si>
    <t>CAFFREYS FLAT</t>
  </si>
  <si>
    <t>ALLWORTH</t>
  </si>
  <si>
    <t>COOPERNOOK</t>
  </si>
  <si>
    <t>CROWDY HEAD</t>
  </si>
  <si>
    <t>BLUEYS BEACH</t>
  </si>
  <si>
    <t>BOBIN</t>
  </si>
  <si>
    <t>BLACK HEAD</t>
  </si>
  <si>
    <t>ARAKOON</t>
  </si>
  <si>
    <t>BATAR CREEK</t>
  </si>
  <si>
    <t>ALDAVILLA</t>
  </si>
  <si>
    <t>ALLGOMERA</t>
  </si>
  <si>
    <t>BOBS CREEK</t>
  </si>
  <si>
    <t>BLACKMANS POINT</t>
  </si>
  <si>
    <t>BONNY HILLS</t>
  </si>
  <si>
    <t>BAGNOO</t>
  </si>
  <si>
    <t>BAKERS CREEK</t>
  </si>
  <si>
    <t>HYLAND PARK</t>
  </si>
  <si>
    <t>ARGENTS HILL</t>
  </si>
  <si>
    <t>BOAMBEE</t>
  </si>
  <si>
    <t>BOAMBEE EAST</t>
  </si>
  <si>
    <t>BIELSDOWN HILLS</t>
  </si>
  <si>
    <t>BELLINGEN</t>
  </si>
  <si>
    <t>URUNGA</t>
  </si>
  <si>
    <t>ARRAWARRA</t>
  </si>
  <si>
    <t>ALUMY CREEK</t>
  </si>
  <si>
    <t>CALLIOPE</t>
  </si>
  <si>
    <t>ASHBY</t>
  </si>
  <si>
    <t>ANGOURIE</t>
  </si>
  <si>
    <t>HARWOOD</t>
  </si>
  <si>
    <t>ILUKA</t>
  </si>
  <si>
    <t>ALICE</t>
  </si>
  <si>
    <t>BABYL CREEK</t>
  </si>
  <si>
    <t>BORA RIDGE</t>
  </si>
  <si>
    <t>BROADWATER</t>
  </si>
  <si>
    <t>BUNDJALUNG</t>
  </si>
  <si>
    <t>AFTERLEE</t>
  </si>
  <si>
    <t>TOOLOOM</t>
  </si>
  <si>
    <t>ACACIA CREEK</t>
  </si>
  <si>
    <t>ALSTONVALE</t>
  </si>
  <si>
    <t>BALLINA</t>
  </si>
  <si>
    <t>BANGALOW</t>
  </si>
  <si>
    <t>BENTLEY</t>
  </si>
  <si>
    <t>BROKEN HEAD</t>
  </si>
  <si>
    <t>GOONENGERRY</t>
  </si>
  <si>
    <t>BILLINUDGEL</t>
  </si>
  <si>
    <t>TWEED HEADS</t>
  </si>
  <si>
    <t>BANORA POINT</t>
  </si>
  <si>
    <t>CASUARINA</t>
  </si>
  <si>
    <t>BOGANGAR</t>
  </si>
  <si>
    <t>HASTINGS POINT</t>
  </si>
  <si>
    <t>NORTH TUMBULGUM</t>
  </si>
  <si>
    <t>CONISTON</t>
  </si>
  <si>
    <t>CRINGILA</t>
  </si>
  <si>
    <t>PORT KEMBLA</t>
  </si>
  <si>
    <t>BERKELEY</t>
  </si>
  <si>
    <t>COALCLIFF</t>
  </si>
  <si>
    <t>AUSTINMER</t>
  </si>
  <si>
    <t>BULLI</t>
  </si>
  <si>
    <t>RUSSELL VALE</t>
  </si>
  <si>
    <t>BELLAMBI</t>
  </si>
  <si>
    <t>BALGOWNIE</t>
  </si>
  <si>
    <t>FIGTREE</t>
  </si>
  <si>
    <t>CORDEAUX</t>
  </si>
  <si>
    <t>ALBION PARK</t>
  </si>
  <si>
    <t>BARRACK HEIGHTS</t>
  </si>
  <si>
    <t>BLACKBUTT</t>
  </si>
  <si>
    <t>AVONDALE</t>
  </si>
  <si>
    <t>BOMBO</t>
  </si>
  <si>
    <t>BROUGHTON VILLAGE</t>
  </si>
  <si>
    <t>BACK FOREST</t>
  </si>
  <si>
    <t>BATEHAVEN</t>
  </si>
  <si>
    <t>BERGALIA</t>
  </si>
  <si>
    <t>BROOMAN</t>
  </si>
  <si>
    <t>BAWLEY POINT</t>
  </si>
  <si>
    <t>BAMARANG</t>
  </si>
  <si>
    <t>BANGALEE</t>
  </si>
  <si>
    <t>BELOWRA</t>
  </si>
  <si>
    <t>AKOLELE</t>
  </si>
  <si>
    <t>BERRAMBOOL</t>
  </si>
  <si>
    <t>BALD HILLS</t>
  </si>
  <si>
    <t>ANGLEDALE</t>
  </si>
  <si>
    <t>BOYDTOWN</t>
  </si>
  <si>
    <t>BADGERYS CREEK</t>
  </si>
  <si>
    <t>BRINGELLY</t>
  </si>
  <si>
    <t>CATHERINE FIELD</t>
  </si>
  <si>
    <t>EAGLE VALE</t>
  </si>
  <si>
    <t>BLAIRMOUNT</t>
  </si>
  <si>
    <t>AIRDS</t>
  </si>
  <si>
    <t>MENANGLE PARK</t>
  </si>
  <si>
    <t>GLENQUARIE</t>
  </si>
  <si>
    <t>BARDIA</t>
  </si>
  <si>
    <t>BOW BOWING</t>
  </si>
  <si>
    <t>CURRANS HILL</t>
  </si>
  <si>
    <t>MENANGLE</t>
  </si>
  <si>
    <t>DOUGLAS PARK</t>
  </si>
  <si>
    <t>BELIMBLA PARK</t>
  </si>
  <si>
    <t>BALMORAL</t>
  </si>
  <si>
    <t>LAKESLAND</t>
  </si>
  <si>
    <t>TAHMOOR</t>
  </si>
  <si>
    <t>AVON</t>
  </si>
  <si>
    <t>ALPINE</t>
  </si>
  <si>
    <t>BOWRAL</t>
  </si>
  <si>
    <t>AVOCA</t>
  </si>
  <si>
    <t>BUNDANOON</t>
  </si>
  <si>
    <t>BIG HILL</t>
  </si>
  <si>
    <t>BANNABY</t>
  </si>
  <si>
    <t>BELLMOUNT FOREST</t>
  </si>
  <si>
    <t>BANGO</t>
  </si>
  <si>
    <t>BIGGA</t>
  </si>
  <si>
    <t>BINALONG</t>
  </si>
  <si>
    <t>GALONG</t>
  </si>
  <si>
    <t>BOOROWA</t>
  </si>
  <si>
    <t>BEGGAN BEGGAN</t>
  </si>
  <si>
    <t>WALLENDBEEN</t>
  </si>
  <si>
    <t>BETHUNGRA</t>
  </si>
  <si>
    <t>BARWANG</t>
  </si>
  <si>
    <t>BARTON</t>
  </si>
  <si>
    <t>ACTON</t>
  </si>
  <si>
    <t>AINSLIE</t>
  </si>
  <si>
    <t>FORREST</t>
  </si>
  <si>
    <t>CAUSEWAY</t>
  </si>
  <si>
    <t>CURTIN</t>
  </si>
  <si>
    <t>FARRER</t>
  </si>
  <si>
    <t>CANBERRA AIRPORT</t>
  </si>
  <si>
    <t>BIMBERI</t>
  </si>
  <si>
    <t>BRADDON</t>
  </si>
  <si>
    <t>ARANDA</t>
  </si>
  <si>
    <t>CHARNWOOD</t>
  </si>
  <si>
    <t>BELCONNEN</t>
  </si>
  <si>
    <t>HALL</t>
  </si>
  <si>
    <t>JERRABOMBERRA</t>
  </si>
  <si>
    <t>BEARD</t>
  </si>
  <si>
    <t>ANEMBO</t>
  </si>
  <si>
    <t>ARALUEN</t>
  </si>
  <si>
    <t>CAPTAINS FLAT</t>
  </si>
  <si>
    <t>PERISHER VALLEY</t>
  </si>
  <si>
    <t>THREDBO</t>
  </si>
  <si>
    <t>BREDBO</t>
  </si>
  <si>
    <t>CRACKENBACK</t>
  </si>
  <si>
    <t>AVONSIDE</t>
  </si>
  <si>
    <t>ADAMINABY</t>
  </si>
  <si>
    <t>ARABLE</t>
  </si>
  <si>
    <t>ANDO</t>
  </si>
  <si>
    <t>BIBBENLUKE</t>
  </si>
  <si>
    <t>CORROWONG</t>
  </si>
  <si>
    <t>ALBURY</t>
  </si>
  <si>
    <t>HAMILTON VALLEY</t>
  </si>
  <si>
    <t>BIDGEEMIA</t>
  </si>
  <si>
    <t>HOWLONG</t>
  </si>
  <si>
    <t>BOWNA</t>
  </si>
  <si>
    <t>CULLIVEL</t>
  </si>
  <si>
    <t>BALLDALE</t>
  </si>
  <si>
    <t>MULWALA</t>
  </si>
  <si>
    <t>ANABRANCH NORTH</t>
  </si>
  <si>
    <t>LAUREL HILL</t>
  </si>
  <si>
    <t>ALFREDTOWN</t>
  </si>
  <si>
    <t>FOREST HILL</t>
  </si>
  <si>
    <t>BOORGA</t>
  </si>
  <si>
    <t>BURRA</t>
  </si>
  <si>
    <t>FRENCH PARK</t>
  </si>
  <si>
    <t>BROOKDALE</t>
  </si>
  <si>
    <t>HENTY</t>
  </si>
  <si>
    <t>ALMA PARK</t>
  </si>
  <si>
    <t>CULCAIRN</t>
  </si>
  <si>
    <t>KAPOOKA</t>
  </si>
  <si>
    <t>ERIN VALE</t>
  </si>
  <si>
    <t>ARDLETHAN</t>
  </si>
  <si>
    <t>COMBANING</t>
  </si>
  <si>
    <t>BARMEDMAN</t>
  </si>
  <si>
    <t>ERIGOLIA</t>
  </si>
  <si>
    <t>ALLEENA</t>
  </si>
  <si>
    <t>CURLEW WATERS</t>
  </si>
  <si>
    <t>HILLSTON</t>
  </si>
  <si>
    <t>2678</t>
  </si>
  <si>
    <t>CHARLES STURT UNIVERSITY</t>
  </si>
  <si>
    <t>NA</t>
  </si>
  <si>
    <t>BEELBANGERA</t>
  </si>
  <si>
    <t>MYALL PARK</t>
  </si>
  <si>
    <t>BUNDURE</t>
  </si>
  <si>
    <t>BERRY JERRY</t>
  </si>
  <si>
    <t>GANMAIN</t>
  </si>
  <si>
    <t>YANCO</t>
  </si>
  <si>
    <t>BROBENAH</t>
  </si>
  <si>
    <t>DARLINGTON POINT</t>
  </si>
  <si>
    <t>ARGOON</t>
  </si>
  <si>
    <t>BARRATTA</t>
  </si>
  <si>
    <t>BOOLIGAL</t>
  </si>
  <si>
    <t>BERRIGAN</t>
  </si>
  <si>
    <t>BLIGHTY</t>
  </si>
  <si>
    <t>ARATULA</t>
  </si>
  <si>
    <t>ARUMPO</t>
  </si>
  <si>
    <t>FOUR CORNERS</t>
  </si>
  <si>
    <t>COOMEALLA</t>
  </si>
  <si>
    <t>ARGALONG</t>
  </si>
  <si>
    <t>BLAND</t>
  </si>
  <si>
    <t>BRUNGLE</t>
  </si>
  <si>
    <t>STOCKINBINGAL</t>
  </si>
  <si>
    <t>COONEYS CREEK</t>
  </si>
  <si>
    <t>ADJUNGBILLY</t>
  </si>
  <si>
    <t>ADELONG</t>
  </si>
  <si>
    <t>BATLOW</t>
  </si>
  <si>
    <t>BUNNALOO</t>
  </si>
  <si>
    <t>BARHAM</t>
  </si>
  <si>
    <t>DHURAGOON</t>
  </si>
  <si>
    <t>CUNNINYEUK</t>
  </si>
  <si>
    <t>KORALEIGH</t>
  </si>
  <si>
    <t>GOODNIGHT</t>
  </si>
  <si>
    <t>EUSTON</t>
  </si>
  <si>
    <t>GOL GOL</t>
  </si>
  <si>
    <t>BOEILL CREEK</t>
  </si>
  <si>
    <t>GLENMORE PARK</t>
  </si>
  <si>
    <t>CADDENS</t>
  </si>
  <si>
    <t>ORCHARD HILLS</t>
  </si>
  <si>
    <t>CASTLEREAGH</t>
  </si>
  <si>
    <t>EMU HEIGHTS</t>
  </si>
  <si>
    <t>SILVERDALE</t>
  </si>
  <si>
    <t>AGNES BANKS</t>
  </si>
  <si>
    <t>NORTH RICHMOND</t>
  </si>
  <si>
    <t>BLIGH PARK</t>
  </si>
  <si>
    <t>KURMOND</t>
  </si>
  <si>
    <t>BERAMBING</t>
  </si>
  <si>
    <t>ERSKINE PARK</t>
  </si>
  <si>
    <t>COLYTON</t>
  </si>
  <si>
    <t>COLEBEE</t>
  </si>
  <si>
    <t>SCHOFIELDS</t>
  </si>
  <si>
    <t>ACACIA GARDENS</t>
  </si>
  <si>
    <t>BERKSHIRE PARK</t>
  </si>
  <si>
    <t>EASTERN CREEK</t>
  </si>
  <si>
    <t>BUNGARRIBEE</t>
  </si>
  <si>
    <t>GLENWOOD</t>
  </si>
  <si>
    <t>THE PONDS</t>
  </si>
  <si>
    <t>BIDWILL</t>
  </si>
  <si>
    <t>GLENBROOK</t>
  </si>
  <si>
    <t>BLAXLAND</t>
  </si>
  <si>
    <t>CENTRAL MACDONALD</t>
  </si>
  <si>
    <t>FAULCONBRIDGE</t>
  </si>
  <si>
    <t>HAWKESBURY HEIGHTS</t>
  </si>
  <si>
    <t>LINDEN</t>
  </si>
  <si>
    <t>HAZELBROOK</t>
  </si>
  <si>
    <t>KATOOMBA</t>
  </si>
  <si>
    <t>WENTWORTH FALLS</t>
  </si>
  <si>
    <t>LAWSON</t>
  </si>
  <si>
    <t>BULLABURRA</t>
  </si>
  <si>
    <t>BLACKHEATH</t>
  </si>
  <si>
    <t>BELL</t>
  </si>
  <si>
    <t>BLACK SPRINGS</t>
  </si>
  <si>
    <t>BEN BULLEN</t>
  </si>
  <si>
    <t>CARCOAR</t>
  </si>
  <si>
    <t>BURNT YARDS</t>
  </si>
  <si>
    <t>DARBYS FALLS</t>
  </si>
  <si>
    <t>BUMBALDRY</t>
  </si>
  <si>
    <t>ABERCROMBIE</t>
  </si>
  <si>
    <t>GARLAND</t>
  </si>
  <si>
    <t>FOREST REEFS</t>
  </si>
  <si>
    <t>BARRY</t>
  </si>
  <si>
    <t>BELGRAVIA</t>
  </si>
  <si>
    <t>BENDICK MURRELL</t>
  </si>
  <si>
    <t>BILLIMARI</t>
  </si>
  <si>
    <t>GOOLOOGONG</t>
  </si>
  <si>
    <t>EUGOWRA</t>
  </si>
  <si>
    <t>KOORAWATHA</t>
  </si>
  <si>
    <t>WYANGALA</t>
  </si>
  <si>
    <t>GREENETHORPE</t>
  </si>
  <si>
    <t>BIMBI</t>
  </si>
  <si>
    <t>TOORAWEENAH</t>
  </si>
  <si>
    <t>BENOLONG</t>
  </si>
  <si>
    <t>APSLEY</t>
  </si>
  <si>
    <t>BURROWAY</t>
  </si>
  <si>
    <t>2822</t>
  </si>
  <si>
    <t>BALLADORAN</t>
  </si>
  <si>
    <t>BUNDEMAR</t>
  </si>
  <si>
    <t>BEEMUNNEL</t>
  </si>
  <si>
    <t>BABINDA</t>
  </si>
  <si>
    <t>BOGAN</t>
  </si>
  <si>
    <t>BEARBONG</t>
  </si>
  <si>
    <t>ARMATREE</t>
  </si>
  <si>
    <t>BILLEROY</t>
  </si>
  <si>
    <t>BALLIMORE</t>
  </si>
  <si>
    <t>COME BY CHANCE</t>
  </si>
  <si>
    <t>COLLARENEBRI</t>
  </si>
  <si>
    <t>ANGLEDOOL</t>
  </si>
  <si>
    <t>BULLA</t>
  </si>
  <si>
    <t>WHITE CLIFFS</t>
  </si>
  <si>
    <t>GOODOOGA</t>
  </si>
  <si>
    <t>BREWARRINA</t>
  </si>
  <si>
    <t>BOURKE</t>
  </si>
  <si>
    <t>MENDOORAN</t>
  </si>
  <si>
    <t>COOLAH</t>
  </si>
  <si>
    <t>BIRRIWA</t>
  </si>
  <si>
    <t>WALLERAWANG</t>
  </si>
  <si>
    <t>CAPERTEE</t>
  </si>
  <si>
    <t>PORTLAND</t>
  </si>
  <si>
    <t>BROGANS CREEK</t>
  </si>
  <si>
    <t>BOGEE</t>
  </si>
  <si>
    <t>AARONS PASS</t>
  </si>
  <si>
    <t>BARNEYS REEF</t>
  </si>
  <si>
    <t>BOWAN PARK</t>
  </si>
  <si>
    <t>BOCOBRA</t>
  </si>
  <si>
    <t>AMAROO</t>
  </si>
  <si>
    <t>BALDRY</t>
  </si>
  <si>
    <t>BOURNEWOOD</t>
  </si>
  <si>
    <t>PEAK HILL</t>
  </si>
  <si>
    <t>ALECTOWN</t>
  </si>
  <si>
    <t>BEDGERABONG</t>
  </si>
  <si>
    <t>ALBERT</t>
  </si>
  <si>
    <t>TULLAMORE</t>
  </si>
  <si>
    <t>BRUIE PLAINS</t>
  </si>
  <si>
    <t>BOGAN GATE</t>
  </si>
  <si>
    <t>BOBADAH</t>
  </si>
  <si>
    <t>IVANHOE</t>
  </si>
  <si>
    <t>MENINDEE</t>
  </si>
  <si>
    <t>BROKEN HILL</t>
  </si>
  <si>
    <t>AUSTRALIAN DEFENCE FORCES</t>
  </si>
  <si>
    <t>LORD HOWE ISLAND</t>
  </si>
  <si>
    <t>NORFOLK ISLAND</t>
  </si>
  <si>
    <t>GREENWAY</t>
  </si>
  <si>
    <t>KAMBAH</t>
  </si>
  <si>
    <t>ERINDALE CENTRE</t>
  </si>
  <si>
    <t>FADDEN</t>
  </si>
  <si>
    <t>BONYTHON</t>
  </si>
  <si>
    <t>BANKS</t>
  </si>
  <si>
    <t>CRACE</t>
  </si>
  <si>
    <t>GUNGAHLIN</t>
  </si>
  <si>
    <t>CASEY</t>
  </si>
  <si>
    <t>MELBOURNE</t>
  </si>
  <si>
    <t>Y</t>
  </si>
  <si>
    <t>Metro</t>
  </si>
  <si>
    <t>EAST MELBOURNE</t>
  </si>
  <si>
    <t>WEST MELBOURNE</t>
  </si>
  <si>
    <t>WORLD TRADE CENTRE</t>
  </si>
  <si>
    <t>SOUTH WHARF</t>
  </si>
  <si>
    <t>DOCKLANDS</t>
  </si>
  <si>
    <t>UNIVERSITY OF MELBOURNE</t>
  </si>
  <si>
    <t>FOOTSCRAY</t>
  </si>
  <si>
    <t>BROOKLYN</t>
  </si>
  <si>
    <t>YARRAVILLE</t>
  </si>
  <si>
    <t>WILLIAMSTOWN</t>
  </si>
  <si>
    <t>ALTONA</t>
  </si>
  <si>
    <t>BRAYBROOK</t>
  </si>
  <si>
    <t>ALBION</t>
  </si>
  <si>
    <t>ALBANVALE</t>
  </si>
  <si>
    <t>ARDEER</t>
  </si>
  <si>
    <t>BURNSIDE</t>
  </si>
  <si>
    <t>MAMBOURIN</t>
  </si>
  <si>
    <t>ALTONA EAST</t>
  </si>
  <si>
    <t>LAVERTON NORTH</t>
  </si>
  <si>
    <t>WILLIAMS LANDING</t>
  </si>
  <si>
    <t>ALTONA MEADOWS</t>
  </si>
  <si>
    <t>HOPPERS CROSSING</t>
  </si>
  <si>
    <t>COCOROC</t>
  </si>
  <si>
    <t>FLEMINGTON</t>
  </si>
  <si>
    <t>ASCOT VALE</t>
  </si>
  <si>
    <t>KEILOR EAST</t>
  </si>
  <si>
    <t>AVONDALE HEIGHTS</t>
  </si>
  <si>
    <t>KEILOR</t>
  </si>
  <si>
    <t>CALDER PARK</t>
  </si>
  <si>
    <t>KEILOR DOWNS</t>
  </si>
  <si>
    <t>MOONEE PONDS</t>
  </si>
  <si>
    <t>ABERFELDIE</t>
  </si>
  <si>
    <t>CROSS KEYS</t>
  </si>
  <si>
    <t>AIRPORT WEST</t>
  </si>
  <si>
    <t>GLADSTONE PARK</t>
  </si>
  <si>
    <t>PASCOE VALE</t>
  </si>
  <si>
    <t>MELBOURNE AIRPORT</t>
  </si>
  <si>
    <t>GLENROY</t>
  </si>
  <si>
    <t>BROADMEADOWS</t>
  </si>
  <si>
    <t>COOLAROO</t>
  </si>
  <si>
    <t>ATTWOOD</t>
  </si>
  <si>
    <t>HOTHAM HILL</t>
  </si>
  <si>
    <t>MELBOURNE UNIVERSITY</t>
  </si>
  <si>
    <t>CARLTON</t>
  </si>
  <si>
    <t>CARLTON NORTH</t>
  </si>
  <si>
    <t>BRUNSWICK SOUTH</t>
  </si>
  <si>
    <t>BRUNSWICK</t>
  </si>
  <si>
    <t>BRUNSWICK EAST</t>
  </si>
  <si>
    <t>BATMAN</t>
  </si>
  <si>
    <t>GREENVALE</t>
  </si>
  <si>
    <t>FAWKNER</t>
  </si>
  <si>
    <t>CAMPBELLFIELD</t>
  </si>
  <si>
    <t>SOMERTON</t>
  </si>
  <si>
    <t>OAKLANDS JUNCTION</t>
  </si>
  <si>
    <t>CRAIGIEBURN</t>
  </si>
  <si>
    <t>FITZROY</t>
  </si>
  <si>
    <t>COLLINGWOOD</t>
  </si>
  <si>
    <t>CLIFTON HILL</t>
  </si>
  <si>
    <t>NORTHCOTE</t>
  </si>
  <si>
    <t>THORNBURY</t>
  </si>
  <si>
    <t>GILBERTON</t>
  </si>
  <si>
    <t>RESERVOIR</t>
  </si>
  <si>
    <t>THOMASTOWN</t>
  </si>
  <si>
    <t>LALOR</t>
  </si>
  <si>
    <t>ALPHINGTON</t>
  </si>
  <si>
    <t>BELLFIELD</t>
  </si>
  <si>
    <t>MILL PARK</t>
  </si>
  <si>
    <t>BUNDOORA</t>
  </si>
  <si>
    <t>BANYULE</t>
  </si>
  <si>
    <t>MACLEOD</t>
  </si>
  <si>
    <t>WATSONIA</t>
  </si>
  <si>
    <t>BRIAR HILL</t>
  </si>
  <si>
    <t>DIAMOND CREEK</t>
  </si>
  <si>
    <t>PLENTY</t>
  </si>
  <si>
    <t>YARRAMBAT</t>
  </si>
  <si>
    <t>LOWER PLENTY</t>
  </si>
  <si>
    <t>MONTMORENCY</t>
  </si>
  <si>
    <t>ELTHAM</t>
  </si>
  <si>
    <t>WATTLE GLEN</t>
  </si>
  <si>
    <t>BEND OF ISLANDS</t>
  </si>
  <si>
    <t>ARTHURS CREEK</t>
  </si>
  <si>
    <t>COTHAM</t>
  </si>
  <si>
    <t>KEW EAST</t>
  </si>
  <si>
    <t>BALWYN</t>
  </si>
  <si>
    <t>BALWYN NORTH</t>
  </si>
  <si>
    <t>BULLEEN</t>
  </si>
  <si>
    <t>TEMPLESTOWE</t>
  </si>
  <si>
    <t>TEMPLESTOWE LOWER</t>
  </si>
  <si>
    <t>DONCASTER</t>
  </si>
  <si>
    <t>DONCASTER EAST</t>
  </si>
  <si>
    <t>DONVALE</t>
  </si>
  <si>
    <t>NORTH WARRANDYTE</t>
  </si>
  <si>
    <t>PARK ORCHARDS</t>
  </si>
  <si>
    <t>WONGA PARK</t>
  </si>
  <si>
    <t>CHIRNSIDE PARK</t>
  </si>
  <si>
    <t>BURNLEY</t>
  </si>
  <si>
    <t>AUBURN SOUTH</t>
  </si>
  <si>
    <t>CAMBERWELL</t>
  </si>
  <si>
    <t>BENNETTSWOOD</t>
  </si>
  <si>
    <t>CAMBERWELL EAST</t>
  </si>
  <si>
    <t>MONT ALBERT</t>
  </si>
  <si>
    <t>BOX HILL</t>
  </si>
  <si>
    <t>BOX HILL NORTH</t>
  </si>
  <si>
    <t>BLACKBURN</t>
  </si>
  <si>
    <t>BRENTFORD SQUARE</t>
  </si>
  <si>
    <t>MITCHAM</t>
  </si>
  <si>
    <t>VERMONT</t>
  </si>
  <si>
    <t>HEATHWOOD</t>
  </si>
  <si>
    <t>BEDFORD ROAD</t>
  </si>
  <si>
    <t>KILSYTH</t>
  </si>
  <si>
    <t>MOOROOLBARK</t>
  </si>
  <si>
    <t>BEENAK</t>
  </si>
  <si>
    <t>LILYDALE</t>
  </si>
  <si>
    <t>SOUTH YARRA</t>
  </si>
  <si>
    <t>HAWKSBURN</t>
  </si>
  <si>
    <t>ARMADALE</t>
  </si>
  <si>
    <t>KOOYONG</t>
  </si>
  <si>
    <t>CAULFIELD EAST</t>
  </si>
  <si>
    <t>GLEN IRIS</t>
  </si>
  <si>
    <t>ASHBURTON</t>
  </si>
  <si>
    <t>CHADSTONE</t>
  </si>
  <si>
    <t>MOUNT WAVERLEY</t>
  </si>
  <si>
    <t>BRANDON PARK</t>
  </si>
  <si>
    <t>BURWOOD EAST</t>
  </si>
  <si>
    <t>KNOX CITY CENTRE</t>
  </si>
  <si>
    <t>BAYSWATER</t>
  </si>
  <si>
    <t>THE BASIN</t>
  </si>
  <si>
    <t>BORONIA</t>
  </si>
  <si>
    <t>FERNTREE GULLY</t>
  </si>
  <si>
    <t>UPWEY</t>
  </si>
  <si>
    <t>MENZIES CREEK</t>
  </si>
  <si>
    <t>BELGRAVE</t>
  </si>
  <si>
    <t>CAULFIELD JUNCTION</t>
  </si>
  <si>
    <t>CAULFIELD</t>
  </si>
  <si>
    <t>BOORAN ROAD PO</t>
  </si>
  <si>
    <t>BENTLEIGH EAST</t>
  </si>
  <si>
    <t>HUGHESDALE</t>
  </si>
  <si>
    <t>OAKLEIGH SOUTH</t>
  </si>
  <si>
    <t>CLAYTON</t>
  </si>
  <si>
    <t>CLARINDA</t>
  </si>
  <si>
    <t>MULGRAVE</t>
  </si>
  <si>
    <t>SANDOWN VILLAGE</t>
  </si>
  <si>
    <t>DINGLEY VILLAGE</t>
  </si>
  <si>
    <t>KEYSBOROUGH</t>
  </si>
  <si>
    <t>NOBLE PARK</t>
  </si>
  <si>
    <t>BANGHOLME</t>
  </si>
  <si>
    <t>DOVETON</t>
  </si>
  <si>
    <t>ROWVILLE</t>
  </si>
  <si>
    <t>SCORESBY</t>
  </si>
  <si>
    <t>KNOXFIELD</t>
  </si>
  <si>
    <t>PRAHRAN</t>
  </si>
  <si>
    <t>ST KILDA</t>
  </si>
  <si>
    <t>BALACLAVA</t>
  </si>
  <si>
    <t>BRIGHTON ROAD</t>
  </si>
  <si>
    <t>ELSTERNWICK</t>
  </si>
  <si>
    <t>BRIGHTON</t>
  </si>
  <si>
    <t>BRIGHTON EAST</t>
  </si>
  <si>
    <t>HAMPTON</t>
  </si>
  <si>
    <t>MOORABBIN</t>
  </si>
  <si>
    <t>HIGHETT</t>
  </si>
  <si>
    <t>SANDRINGHAM</t>
  </si>
  <si>
    <t>CHELTENHAM</t>
  </si>
  <si>
    <t>BEAUMARIS</t>
  </si>
  <si>
    <t>MENTONE</t>
  </si>
  <si>
    <t>ASPENDALE</t>
  </si>
  <si>
    <t>BONBEACH</t>
  </si>
  <si>
    <t>CARRUM</t>
  </si>
  <si>
    <t>SEAFORD</t>
  </si>
  <si>
    <t>FRANKSTON</t>
  </si>
  <si>
    <t>FRANKSTON NORTH</t>
  </si>
  <si>
    <t>CARRUM DOWNS</t>
  </si>
  <si>
    <t>HEATHERTON</t>
  </si>
  <si>
    <t>BENTLEIGH</t>
  </si>
  <si>
    <t>SOUTH MELBOURNE</t>
  </si>
  <si>
    <t>ALBERT PARK</t>
  </si>
  <si>
    <t>GARDEN CITY</t>
  </si>
  <si>
    <t>LITTLE RIVER</t>
  </si>
  <si>
    <t>MixVIC</t>
  </si>
  <si>
    <t>AVALON</t>
  </si>
  <si>
    <t>ANAKIE</t>
  </si>
  <si>
    <t>CORIO</t>
  </si>
  <si>
    <t>BELL PARK</t>
  </si>
  <si>
    <t>ARMSTRONG CREEK</t>
  </si>
  <si>
    <t>FYANSFORD</t>
  </si>
  <si>
    <t>BREAKWATER</t>
  </si>
  <si>
    <t>BAREENA</t>
  </si>
  <si>
    <t>BARRABOOL</t>
  </si>
  <si>
    <t>CLIFTON SPRINGS</t>
  </si>
  <si>
    <t>BELLARINE</t>
  </si>
  <si>
    <t>LEOPOLD</t>
  </si>
  <si>
    <t>POINT LONSDALE</t>
  </si>
  <si>
    <t>OCEAN GROVE</t>
  </si>
  <si>
    <t>BARWON HEADS</t>
  </si>
  <si>
    <t>BELLBRAE</t>
  </si>
  <si>
    <t>ANGLESEA</t>
  </si>
  <si>
    <t>AIREYS INLET</t>
  </si>
  <si>
    <t>LORNE</t>
  </si>
  <si>
    <t>APOLLO BAY</t>
  </si>
  <si>
    <t>GREY RIVER</t>
  </si>
  <si>
    <t>BENWERRIN</t>
  </si>
  <si>
    <t>AIRE VALLEY</t>
  </si>
  <si>
    <t>GLENAIRE</t>
  </si>
  <si>
    <t>CARLISLE RIVER</t>
  </si>
  <si>
    <t>BUCKLEY</t>
  </si>
  <si>
    <t>BAMBRA</t>
  </si>
  <si>
    <t>BIRREGURRA</t>
  </si>
  <si>
    <t>BARWON DOWNS</t>
  </si>
  <si>
    <t>ALVIE</t>
  </si>
  <si>
    <t>COLAC</t>
  </si>
  <si>
    <t>BEEAC</t>
  </si>
  <si>
    <t>COROROOKE</t>
  </si>
  <si>
    <t>BOOKAAR</t>
  </si>
  <si>
    <t>TERANG</t>
  </si>
  <si>
    <t>BOORCAN</t>
  </si>
  <si>
    <t>BULLAHARRE</t>
  </si>
  <si>
    <t>SCOTTS CREEK</t>
  </si>
  <si>
    <t>AYRFORD</t>
  </si>
  <si>
    <t>PORT CAMPBELL</t>
  </si>
  <si>
    <t>PETERBOROUGH</t>
  </si>
  <si>
    <t>DARLINGTON</t>
  </si>
  <si>
    <t>MORTLAKE</t>
  </si>
  <si>
    <t>HEXHAM</t>
  </si>
  <si>
    <t>CARAMUT</t>
  </si>
  <si>
    <t>MAILORS FLAT</t>
  </si>
  <si>
    <t>MINJAH</t>
  </si>
  <si>
    <t>ALLANSFORD</t>
  </si>
  <si>
    <t>PURNIM</t>
  </si>
  <si>
    <t>BALLANGEICH</t>
  </si>
  <si>
    <t>DENNINGTON</t>
  </si>
  <si>
    <t>BUSHFIELD</t>
  </si>
  <si>
    <t>ILLOWA</t>
  </si>
  <si>
    <t>CROSSLEY</t>
  </si>
  <si>
    <t>ORFORD</t>
  </si>
  <si>
    <t>CODRINGTON</t>
  </si>
  <si>
    <t>CONDAH SWAMP</t>
  </si>
  <si>
    <t>HAWKESDALE</t>
  </si>
  <si>
    <t>GAZETTE</t>
  </si>
  <si>
    <t>NELSON</t>
  </si>
  <si>
    <t>GLENTHOMPSON</t>
  </si>
  <si>
    <t>DUNKELD</t>
  </si>
  <si>
    <t>BYADUK NORTH</t>
  </si>
  <si>
    <t>BOCHARA</t>
  </si>
  <si>
    <t>BRANXHOLME</t>
  </si>
  <si>
    <t>BREAKAWAY CREEK</t>
  </si>
  <si>
    <t>BESSIEBELLE</t>
  </si>
  <si>
    <t>ALLESTREE</t>
  </si>
  <si>
    <t>DIGBY</t>
  </si>
  <si>
    <t>MERINO</t>
  </si>
  <si>
    <t>CASTERTON</t>
  </si>
  <si>
    <t>BAHGALLAH</t>
  </si>
  <si>
    <t>BULART</t>
  </si>
  <si>
    <t>BRIT BRIT</t>
  </si>
  <si>
    <t>HARROW</t>
  </si>
  <si>
    <t>CHARAM</t>
  </si>
  <si>
    <t>HESSE</t>
  </si>
  <si>
    <t>CRESSY</t>
  </si>
  <si>
    <t>BERRYBANK</t>
  </si>
  <si>
    <t>LISMORE</t>
  </si>
  <si>
    <t>DERRINALLUM</t>
  </si>
  <si>
    <t>TEESDALE</t>
  </si>
  <si>
    <t>BARUNAH PARK</t>
  </si>
  <si>
    <t>ROKEWOOD</t>
  </si>
  <si>
    <t>BANNOCKBURN</t>
  </si>
  <si>
    <t>LETHBRIDGE</t>
  </si>
  <si>
    <t>BAMGANIE</t>
  </si>
  <si>
    <t>BUNGAL</t>
  </si>
  <si>
    <t>PLUMPTON</t>
  </si>
  <si>
    <t>3336</t>
  </si>
  <si>
    <t>AINTREE</t>
  </si>
  <si>
    <t>KURUNJANG</t>
  </si>
  <si>
    <t>BROOKFIELD</t>
  </si>
  <si>
    <t>BACCHUS MARSH</t>
  </si>
  <si>
    <t>DALES CREEK</t>
  </si>
  <si>
    <t>BALLAN</t>
  </si>
  <si>
    <t>ALFREDTON</t>
  </si>
  <si>
    <t>BERRINGA</t>
  </si>
  <si>
    <t>ADDINGTON</t>
  </si>
  <si>
    <t>LAKE GARDENS</t>
  </si>
  <si>
    <t>DELACOMBE</t>
  </si>
  <si>
    <t>BUNINYONG</t>
  </si>
  <si>
    <t>WINTER VALLY</t>
  </si>
  <si>
    <t>HAPPY VALLEY</t>
  </si>
  <si>
    <t>BRADVALE</t>
  </si>
  <si>
    <t>CRESWICK</t>
  </si>
  <si>
    <t>ALLENDALE</t>
  </si>
  <si>
    <t>CLUNES</t>
  </si>
  <si>
    <t>AMHERST</t>
  </si>
  <si>
    <t>BEAUFORT</t>
  </si>
  <si>
    <t>GREAT WESTERN</t>
  </si>
  <si>
    <t>BALLYROGAN</t>
  </si>
  <si>
    <t>ARARAT</t>
  </si>
  <si>
    <t>TATYOON</t>
  </si>
  <si>
    <t>BORNES HILL</t>
  </si>
  <si>
    <t>STAWELL</t>
  </si>
  <si>
    <t>BELLELLEN</t>
  </si>
  <si>
    <t>BARKLY</t>
  </si>
  <si>
    <t>DADSWELLS BRIDGE</t>
  </si>
  <si>
    <t>BOLANGUM</t>
  </si>
  <si>
    <t>BANYENA</t>
  </si>
  <si>
    <t>KEWELL</t>
  </si>
  <si>
    <t>BRIM</t>
  </si>
  <si>
    <t>BOOLITE</t>
  </si>
  <si>
    <t>AUBREY</t>
  </si>
  <si>
    <t>BEULAH</t>
  </si>
  <si>
    <t>HOPETOUN</t>
  </si>
  <si>
    <t>HORSHAM</t>
  </si>
  <si>
    <t>ARAPILES</t>
  </si>
  <si>
    <t>GOROKE</t>
  </si>
  <si>
    <t>MINIMAY</t>
  </si>
  <si>
    <t>ANTWERP</t>
  </si>
  <si>
    <t>MIRAM</t>
  </si>
  <si>
    <t>BROUGHTON</t>
  </si>
  <si>
    <t>KANIVA</t>
  </si>
  <si>
    <t>LILLIMUR</t>
  </si>
  <si>
    <t>JEPARIT</t>
  </si>
  <si>
    <t>ALBACUTYA</t>
  </si>
  <si>
    <t>DIGGERS REST</t>
  </si>
  <si>
    <t>SUNBURY</t>
  </si>
  <si>
    <t>CLARKEFIELD</t>
  </si>
  <si>
    <t>RIDDELLS CREEK</t>
  </si>
  <si>
    <t>BOLINDA</t>
  </si>
  <si>
    <t>MONEGEETTA</t>
  </si>
  <si>
    <t>CHEROKEE</t>
  </si>
  <si>
    <t>BENLOCH</t>
  </si>
  <si>
    <t>BULLENGAROOK</t>
  </si>
  <si>
    <t>NEW GISBORNE</t>
  </si>
  <si>
    <t>MACEDON</t>
  </si>
  <si>
    <t>MOUNT MACEDON</t>
  </si>
  <si>
    <t>ASHBOURNE</t>
  </si>
  <si>
    <t>BARFOLD</t>
  </si>
  <si>
    <t>DRUMMOND NORTH</t>
  </si>
  <si>
    <t>TARADALE</t>
  </si>
  <si>
    <t>ELPHINSTONE</t>
  </si>
  <si>
    <t>CASTLEMAINE</t>
  </si>
  <si>
    <t>BARKERS CREEK</t>
  </si>
  <si>
    <t>HARCOURT</t>
  </si>
  <si>
    <t>BARRYS REEF</t>
  </si>
  <si>
    <t>BASALT</t>
  </si>
  <si>
    <t>BULLARTO</t>
  </si>
  <si>
    <t>GREEN GULLY</t>
  </si>
  <si>
    <t>BARINGHUP</t>
  </si>
  <si>
    <t>CARISBROOK</t>
  </si>
  <si>
    <t>ADELAIDE LEAD</t>
  </si>
  <si>
    <t>AMPHITHEATRE</t>
  </si>
  <si>
    <t>ELMHURST</t>
  </si>
  <si>
    <t>BET BET</t>
  </si>
  <si>
    <t>ARCHDALE</t>
  </si>
  <si>
    <t>AVON PLAINS</t>
  </si>
  <si>
    <t>DOOBOOBETIC</t>
  </si>
  <si>
    <t>AREEGRA</t>
  </si>
  <si>
    <t>MASSEY</t>
  </si>
  <si>
    <t>BALLAPUR</t>
  </si>
  <si>
    <t>BANYAN</t>
  </si>
  <si>
    <t>LASCELLES</t>
  </si>
  <si>
    <t>SPEED</t>
  </si>
  <si>
    <t>TEMPY</t>
  </si>
  <si>
    <t>BIG DESERT</t>
  </si>
  <si>
    <t>PATCHEWOLLOCK</t>
  </si>
  <si>
    <t>CARWARP</t>
  </si>
  <si>
    <t>CARDROSS</t>
  </si>
  <si>
    <t>IRYMPLE</t>
  </si>
  <si>
    <t>MILDURA</t>
  </si>
  <si>
    <t>HATTAH</t>
  </si>
  <si>
    <t>BIRDWOODTON</t>
  </si>
  <si>
    <t>COWANGIE</t>
  </si>
  <si>
    <t>WALPEUP</t>
  </si>
  <si>
    <t>LINGA</t>
  </si>
  <si>
    <t>CARINA</t>
  </si>
  <si>
    <t>MARONG</t>
  </si>
  <si>
    <t>BRIDGEWATER</t>
  </si>
  <si>
    <t>BEARS LAGOON</t>
  </si>
  <si>
    <t>BERRIMAL</t>
  </si>
  <si>
    <t>KINYPANIAL</t>
  </si>
  <si>
    <t>PYALONG</t>
  </si>
  <si>
    <t>GLENHOPE EAST</t>
  </si>
  <si>
    <t>ARGYLE</t>
  </si>
  <si>
    <t>BARRAKEE</t>
  </si>
  <si>
    <t>BUNGULUKE</t>
  </si>
  <si>
    <t>KALPIENUNG</t>
  </si>
  <si>
    <t>CULGOA</t>
  </si>
  <si>
    <t>BERRIWILLOCK</t>
  </si>
  <si>
    <t>BIMBOURIE</t>
  </si>
  <si>
    <t>BARRAPORT</t>
  </si>
  <si>
    <t>CANNIE</t>
  </si>
  <si>
    <t>LINDSAY POINT</t>
  </si>
  <si>
    <t>COKUM</t>
  </si>
  <si>
    <t>CHINANGIN</t>
  </si>
  <si>
    <t>BOLTON</t>
  </si>
  <si>
    <t>ANNUELLO</t>
  </si>
  <si>
    <t>BENDIGO</t>
  </si>
  <si>
    <t>ARNOLD</t>
  </si>
  <si>
    <t>CALIFORNIA GULLY</t>
  </si>
  <si>
    <t>BARNADOWN</t>
  </si>
  <si>
    <t>BURNEWANG</t>
  </si>
  <si>
    <t>AVONMORE</t>
  </si>
  <si>
    <t>BALLENDELLA</t>
  </si>
  <si>
    <t>TORRUMBARRY</t>
  </si>
  <si>
    <t>LOCKINGTON</t>
  </si>
  <si>
    <t>BAMAWM EXTENSION</t>
  </si>
  <si>
    <t>KOTTA</t>
  </si>
  <si>
    <t>GUNBOWER</t>
  </si>
  <si>
    <t>HORFIELD</t>
  </si>
  <si>
    <t>BURKES BRIDGE</t>
  </si>
  <si>
    <t>AUCHMORE</t>
  </si>
  <si>
    <t>DINGEE</t>
  </si>
  <si>
    <t>MILLOO</t>
  </si>
  <si>
    <t>CALIVIL</t>
  </si>
  <si>
    <t>GLADFIELD</t>
  </si>
  <si>
    <t>DURHAM OX</t>
  </si>
  <si>
    <t>APPIN</t>
  </si>
  <si>
    <t>KOONDROOK</t>
  </si>
  <si>
    <t>LAKE CHARM</t>
  </si>
  <si>
    <t>TRESCO</t>
  </si>
  <si>
    <t>LAKE BOGA</t>
  </si>
  <si>
    <t>CASTLE DONNINGTON</t>
  </si>
  <si>
    <t>BULGA</t>
  </si>
  <si>
    <t>WOORINEN SOUTH</t>
  </si>
  <si>
    <t>WOORINEN</t>
  </si>
  <si>
    <t>BEVERFORD</t>
  </si>
  <si>
    <t>VINIFERA</t>
  </si>
  <si>
    <t>NYAH</t>
  </si>
  <si>
    <t>NYAH WEST</t>
  </si>
  <si>
    <t>MIRALIE</t>
  </si>
  <si>
    <t>KENLEY</t>
  </si>
  <si>
    <t>BOUNDARY BEND</t>
  </si>
  <si>
    <t>TABILK</t>
  </si>
  <si>
    <t>BAILIESTON</t>
  </si>
  <si>
    <t>DHURRINGILE</t>
  </si>
  <si>
    <t>MOORA</t>
  </si>
  <si>
    <t>TOOLAMBA</t>
  </si>
  <si>
    <t>COOMA</t>
  </si>
  <si>
    <t>BYRNESIDE</t>
  </si>
  <si>
    <t>MERRIGUM</t>
  </si>
  <si>
    <t>KYABRAM</t>
  </si>
  <si>
    <t>KYVALLEY</t>
  </si>
  <si>
    <t>KOYUGA</t>
  </si>
  <si>
    <t>CARAG CARAG</t>
  </si>
  <si>
    <t>GIRGARRE</t>
  </si>
  <si>
    <t>ARDMONA</t>
  </si>
  <si>
    <t>BRANDITT</t>
  </si>
  <si>
    <t>CONGUPNA</t>
  </si>
  <si>
    <t>BUNBARTHA</t>
  </si>
  <si>
    <t>KAARIMBA</t>
  </si>
  <si>
    <t>DRUMANURE</t>
  </si>
  <si>
    <t>WAAIA</t>
  </si>
  <si>
    <t>KOTUPNA</t>
  </si>
  <si>
    <t>BARMAH</t>
  </si>
  <si>
    <t>KATUNGA</t>
  </si>
  <si>
    <t>BEARII</t>
  </si>
  <si>
    <t>BAROOGA</t>
  </si>
  <si>
    <t>DOOKIE</t>
  </si>
  <si>
    <t>DOOKIE COLLEGE</t>
  </si>
  <si>
    <t>KATAMATITE</t>
  </si>
  <si>
    <t>BROADFORD</t>
  </si>
  <si>
    <t>TALLAROOK</t>
  </si>
  <si>
    <t>CAVEAT</t>
  </si>
  <si>
    <t>PUCKAPUNYAL</t>
  </si>
  <si>
    <t>MANGALORE</t>
  </si>
  <si>
    <t>AVENEL</t>
  </si>
  <si>
    <t>LOCKSLEY</t>
  </si>
  <si>
    <t>BALMATTUM</t>
  </si>
  <si>
    <t>BOHO</t>
  </si>
  <si>
    <t>BADDAGINNIE</t>
  </si>
  <si>
    <t>BENALLA</t>
  </si>
  <si>
    <t>BROKEN CREEK</t>
  </si>
  <si>
    <t>BOWEYA</t>
  </si>
  <si>
    <t>WANGARATTA</t>
  </si>
  <si>
    <t>BOBINAWARRAH</t>
  </si>
  <si>
    <t>BORALMA</t>
  </si>
  <si>
    <t>CHILTERN</t>
  </si>
  <si>
    <t>BOORHAMAN NORTH</t>
  </si>
  <si>
    <t>WAHGUNYAH</t>
  </si>
  <si>
    <t>BARNAWARTHA</t>
  </si>
  <si>
    <t>WEST WODONGA</t>
  </si>
  <si>
    <t>ALLANS FLAT</t>
  </si>
  <si>
    <t>BANDIANA MILPO</t>
  </si>
  <si>
    <t>CHARLEROI</t>
  </si>
  <si>
    <t>TAWONGA</t>
  </si>
  <si>
    <t>TAWONGA SOUTH</t>
  </si>
  <si>
    <t>BOGONG</t>
  </si>
  <si>
    <t>BULLIOH</t>
  </si>
  <si>
    <t>DARTMOUTH</t>
  </si>
  <si>
    <t>KOETONG</t>
  </si>
  <si>
    <t>CUDGEWA</t>
  </si>
  <si>
    <t>BIGGARA</t>
  </si>
  <si>
    <t>TINTALDRA</t>
  </si>
  <si>
    <t>BURROWYE</t>
  </si>
  <si>
    <t>BUXTON</t>
  </si>
  <si>
    <t>RUBICON</t>
  </si>
  <si>
    <t>EILDON</t>
  </si>
  <si>
    <t>ACHERON</t>
  </si>
  <si>
    <t>ANCONA</t>
  </si>
  <si>
    <t>FLOWERDALE</t>
  </si>
  <si>
    <t>MOLESWORTH</t>
  </si>
  <si>
    <t>GOBUR</t>
  </si>
  <si>
    <t>BONNIE DOON</t>
  </si>
  <si>
    <t>BARWITE</t>
  </si>
  <si>
    <t>ARCHERTON</t>
  </si>
  <si>
    <t>BOXWOOD</t>
  </si>
  <si>
    <t>BUNGEET</t>
  </si>
  <si>
    <t>ALMONDS</t>
  </si>
  <si>
    <t>BOOMAHNOOMOONAH</t>
  </si>
  <si>
    <t>YARRAWONGA</t>
  </si>
  <si>
    <t>MOYHU</t>
  </si>
  <si>
    <t>WHITFIELD</t>
  </si>
  <si>
    <t>BOWMANS FOREST</t>
  </si>
  <si>
    <t>ABBEYARD</t>
  </si>
  <si>
    <t>OVENS</t>
  </si>
  <si>
    <t>EUROBIN</t>
  </si>
  <si>
    <t>BUCKLAND</t>
  </si>
  <si>
    <t>BRIGHT</t>
  </si>
  <si>
    <t>WANDILIGONG</t>
  </si>
  <si>
    <t>ELDORADO</t>
  </si>
  <si>
    <t>BEECHWORTH</t>
  </si>
  <si>
    <t>BRUARONG</t>
  </si>
  <si>
    <t>WOLLERT</t>
  </si>
  <si>
    <t>WOODSTOCK</t>
  </si>
  <si>
    <t>SOUTH MORANG</t>
  </si>
  <si>
    <t>BEVERIDGE</t>
  </si>
  <si>
    <t>DOREEN</t>
  </si>
  <si>
    <t>YAN YEAN</t>
  </si>
  <si>
    <t>CHINTIN</t>
  </si>
  <si>
    <t>EDEN PARK</t>
  </si>
  <si>
    <t>HEATHCOTE JUNCTION</t>
  </si>
  <si>
    <t>PANTON HILL</t>
  </si>
  <si>
    <t>SMITHS GULLY</t>
  </si>
  <si>
    <t>ST ANDREWS</t>
  </si>
  <si>
    <t>BYLANDS</t>
  </si>
  <si>
    <t>KINGLAKE</t>
  </si>
  <si>
    <t>FORBES</t>
  </si>
  <si>
    <t>MONTROSE</t>
  </si>
  <si>
    <t>KALORAMA</t>
  </si>
  <si>
    <t>MOUNT DANDENONG</t>
  </si>
  <si>
    <t>COLDSTREAM</t>
  </si>
  <si>
    <t>YARRA GLEN</t>
  </si>
  <si>
    <t>BADGER CREEK</t>
  </si>
  <si>
    <t>FERNSHAW</t>
  </si>
  <si>
    <t>CAMBARVILLE</t>
  </si>
  <si>
    <t>COCKATOO</t>
  </si>
  <si>
    <t>AVONSLEIGH</t>
  </si>
  <si>
    <t>GEMBROOK</t>
  </si>
  <si>
    <t>TREMONT</t>
  </si>
  <si>
    <t>FERNY CREEK</t>
  </si>
  <si>
    <t>SASSAFRAS</t>
  </si>
  <si>
    <t>OLINDA</t>
  </si>
  <si>
    <t>SHERBROOKE</t>
  </si>
  <si>
    <t>KALLISTA</t>
  </si>
  <si>
    <t>THE PATCH</t>
  </si>
  <si>
    <t>MONBULK</t>
  </si>
  <si>
    <t>SILVAN</t>
  </si>
  <si>
    <t>MOUNT EVELYN</t>
  </si>
  <si>
    <t>GILDEROY</t>
  </si>
  <si>
    <t>BIG PATS CREEK</t>
  </si>
  <si>
    <t>ENDEAVOUR HILLS</t>
  </si>
  <si>
    <t>HALLAM</t>
  </si>
  <si>
    <t>NARRE WARREN EAST</t>
  </si>
  <si>
    <t>FOUNTAIN GATE</t>
  </si>
  <si>
    <t>BERWICK</t>
  </si>
  <si>
    <t>BEACONSFIELD</t>
  </si>
  <si>
    <t>BEACONSFIELD UPPER</t>
  </si>
  <si>
    <t>OFFICER</t>
  </si>
  <si>
    <t>PAKENHAM</t>
  </si>
  <si>
    <t>MARYKNOLL</t>
  </si>
  <si>
    <t>TYNONG</t>
  </si>
  <si>
    <t>CORA LYNN</t>
  </si>
  <si>
    <t>BUNYIP</t>
  </si>
  <si>
    <t>LABERTOUCHE</t>
  </si>
  <si>
    <t>ATHLONE</t>
  </si>
  <si>
    <t>BONA VISTA</t>
  </si>
  <si>
    <t>BRANDY CREEK</t>
  </si>
  <si>
    <t>CLOVERLEA</t>
  </si>
  <si>
    <t>ALLAMBEE</t>
  </si>
  <si>
    <t>CHILDERS</t>
  </si>
  <si>
    <t>ABERFELDY</t>
  </si>
  <si>
    <t>NEERIM</t>
  </si>
  <si>
    <t>NAYOOK</t>
  </si>
  <si>
    <t>ADA</t>
  </si>
  <si>
    <t>THORPDALE</t>
  </si>
  <si>
    <t>DRIFFIELD</t>
  </si>
  <si>
    <t>CHURCHILL</t>
  </si>
  <si>
    <t>BLACKWARRY</t>
  </si>
  <si>
    <t>HIAMDALE</t>
  </si>
  <si>
    <t>SALE</t>
  </si>
  <si>
    <t>AIRLY</t>
  </si>
  <si>
    <t>EAST SALE</t>
  </si>
  <si>
    <t>GLENGARRY</t>
  </si>
  <si>
    <t>TOONGABBIE</t>
  </si>
  <si>
    <t>COWWARR</t>
  </si>
  <si>
    <t>ARBUCKLE</t>
  </si>
  <si>
    <t>MAFFRA WEST UPPER</t>
  </si>
  <si>
    <t>BOISDALE</t>
  </si>
  <si>
    <t>BUDGEE BUDGEE</t>
  </si>
  <si>
    <t>FERNBANK</t>
  </si>
  <si>
    <t>LINDENOW</t>
  </si>
  <si>
    <t>JUMBUK</t>
  </si>
  <si>
    <t>BOOLARRA</t>
  </si>
  <si>
    <t>ALLAMBEE RESERVE</t>
  </si>
  <si>
    <t>GORMANDALE</t>
  </si>
  <si>
    <t>MCLOUGHLINS BEACH</t>
  </si>
  <si>
    <t>BAIRNSDALE</t>
  </si>
  <si>
    <t>EAGLE POINT</t>
  </si>
  <si>
    <t>BOOLE POOLE</t>
  </si>
  <si>
    <t>NICHOLSON</t>
  </si>
  <si>
    <t>BRUMBY</t>
  </si>
  <si>
    <t>NEWMERELLA</t>
  </si>
  <si>
    <t>LAKE TYERS</t>
  </si>
  <si>
    <t>BENDOC</t>
  </si>
  <si>
    <t>BELLBIRD CREEK</t>
  </si>
  <si>
    <t>BULDAH</t>
  </si>
  <si>
    <t>GENOA</t>
  </si>
  <si>
    <t>MALLACOOTA</t>
  </si>
  <si>
    <t>DOUBLE BRIDGES</t>
  </si>
  <si>
    <t>DOCTORS FLAT</t>
  </si>
  <si>
    <t>BINDI</t>
  </si>
  <si>
    <t>ANGLERS REST</t>
  </si>
  <si>
    <t>BENAMBRA</t>
  </si>
  <si>
    <t>BUMBERRAH</t>
  </si>
  <si>
    <t>SWAN REACH</t>
  </si>
  <si>
    <t>METUNG</t>
  </si>
  <si>
    <t>KALIMNA</t>
  </si>
  <si>
    <t>LANGWARRIN</t>
  </si>
  <si>
    <t>BAXTER</t>
  </si>
  <si>
    <t>PEARCEDALE</t>
  </si>
  <si>
    <t>TYABB</t>
  </si>
  <si>
    <t>HASTINGS</t>
  </si>
  <si>
    <t>MERRICKS</t>
  </si>
  <si>
    <t>BITTERN</t>
  </si>
  <si>
    <t>CRIB POINT</t>
  </si>
  <si>
    <t>3920</t>
  </si>
  <si>
    <t>HMAS CERBERUS</t>
  </si>
  <si>
    <t>ELIZABETH ISLAND</t>
  </si>
  <si>
    <t>COWES</t>
  </si>
  <si>
    <t>RHYLL</t>
  </si>
  <si>
    <t>CAPE WOOLAMAI</t>
  </si>
  <si>
    <t>BALNARRING</t>
  </si>
  <si>
    <t>SOMERS</t>
  </si>
  <si>
    <t>MAIN RIDGE</t>
  </si>
  <si>
    <t>FLINDERS</t>
  </si>
  <si>
    <t>KUNYUNG</t>
  </si>
  <si>
    <t>MORNINGTON</t>
  </si>
  <si>
    <t>MOOROODUC</t>
  </si>
  <si>
    <t>MOUNT MARTHA</t>
  </si>
  <si>
    <t>ARTHURS SEAT</t>
  </si>
  <si>
    <t>RED HILL</t>
  </si>
  <si>
    <t>MCCRAE</t>
  </si>
  <si>
    <t>BONEO</t>
  </si>
  <si>
    <t>ROSEBUD WEST</t>
  </si>
  <si>
    <t>RYE</t>
  </si>
  <si>
    <t>BLAIRGOWRIE</t>
  </si>
  <si>
    <t>SORRENTO</t>
  </si>
  <si>
    <t>PORTSEA</t>
  </si>
  <si>
    <t>JEETHO</t>
  </si>
  <si>
    <t>BENA</t>
  </si>
  <si>
    <t>KARDELLA SOUTH</t>
  </si>
  <si>
    <t>ARAWATA</t>
  </si>
  <si>
    <t>BERRYS CREEK</t>
  </si>
  <si>
    <t>KOONWARRA</t>
  </si>
  <si>
    <t>DUMBALK</t>
  </si>
  <si>
    <t>STONY CREEK</t>
  </si>
  <si>
    <t>BUFFALO</t>
  </si>
  <si>
    <t>FISH CREEK</t>
  </si>
  <si>
    <t>BENNISON</t>
  </si>
  <si>
    <t>AGNES</t>
  </si>
  <si>
    <t>PORT FRANKLIN</t>
  </si>
  <si>
    <t>PORT WELSHPOOL</t>
  </si>
  <si>
    <t>BINGINWARRI</t>
  </si>
  <si>
    <t>HEDLEY</t>
  </si>
  <si>
    <t>ALBERTON</t>
  </si>
  <si>
    <t>LYNBROOK</t>
  </si>
  <si>
    <t>HAMPTON PARK</t>
  </si>
  <si>
    <t>BOTANIC RIDGE</t>
  </si>
  <si>
    <t>CARDINIA</t>
  </si>
  <si>
    <t>ALMURTA</t>
  </si>
  <si>
    <t>BLIND BIGHT</t>
  </si>
  <si>
    <t>BAYLES</t>
  </si>
  <si>
    <t>ADAMS ESTATE</t>
  </si>
  <si>
    <t>NYORA</t>
  </si>
  <si>
    <t>MOUNTAIN VIEW</t>
  </si>
  <si>
    <t>GLEN FORBES</t>
  </si>
  <si>
    <t>BASS</t>
  </si>
  <si>
    <t>BLACKWOOD FOREST</t>
  </si>
  <si>
    <t>ANDERSON</t>
  </si>
  <si>
    <t>INVERLOCH</t>
  </si>
  <si>
    <t>BRISBANE ADELAIDE STREET</t>
  </si>
  <si>
    <t>Q</t>
  </si>
  <si>
    <t>NEW FARM</t>
  </si>
  <si>
    <t>BOWEN HILLS</t>
  </si>
  <si>
    <t>ASCOT</t>
  </si>
  <si>
    <t>BRISBANE AIRPORT</t>
  </si>
  <si>
    <t>EAGLE FARM</t>
  </si>
  <si>
    <t>CLAYFIELD</t>
  </si>
  <si>
    <t>NUNDAH</t>
  </si>
  <si>
    <t>NORTHGATE</t>
  </si>
  <si>
    <t>BANYO</t>
  </si>
  <si>
    <t>BRACKEN RIDGE</t>
  </si>
  <si>
    <t>FITZGIBBON</t>
  </si>
  <si>
    <t>CLONTARF</t>
  </si>
  <si>
    <t>KIPPA-RING</t>
  </si>
  <si>
    <t>ROTHWELL</t>
  </si>
  <si>
    <t>BULWER</t>
  </si>
  <si>
    <t>4029</t>
  </si>
  <si>
    <t>ROYAL BRISBANE HOSPITAL</t>
  </si>
  <si>
    <t>LUTWYCHE</t>
  </si>
  <si>
    <t>GORDON PARK</t>
  </si>
  <si>
    <t>CHERMSIDE</t>
  </si>
  <si>
    <t>ASPLEY</t>
  </si>
  <si>
    <t>ALBANY CREEK</t>
  </si>
  <si>
    <t>EATONS HILL</t>
  </si>
  <si>
    <t>ALDERLEY</t>
  </si>
  <si>
    <t>BROOKSIDE CENTRE</t>
  </si>
  <si>
    <t>ARANA HILLS</t>
  </si>
  <si>
    <t>BUNYA</t>
  </si>
  <si>
    <t>KELVIN GROVE</t>
  </si>
  <si>
    <t>ASHGROVE</t>
  </si>
  <si>
    <t>THE GAP</t>
  </si>
  <si>
    <t>MILTON</t>
  </si>
  <si>
    <t>BARDON</t>
  </si>
  <si>
    <t>AUCHENFLOWER</t>
  </si>
  <si>
    <t>ST LUCIA</t>
  </si>
  <si>
    <t>CHELMER</t>
  </si>
  <si>
    <t>ANSTEAD</t>
  </si>
  <si>
    <t>UNIVERSITY OF QUEENSLAND</t>
  </si>
  <si>
    <t>SEVENTEEN MILE ROCKS</t>
  </si>
  <si>
    <t>JAMBOREE HEIGHTS</t>
  </si>
  <si>
    <t>CORINDA</t>
  </si>
  <si>
    <t>DARRA</t>
  </si>
  <si>
    <t>DOOLANDELLA</t>
  </si>
  <si>
    <t>ELLEN GROVE</t>
  </si>
  <si>
    <t>HIGHGATE HILL</t>
  </si>
  <si>
    <t>BURANDA</t>
  </si>
  <si>
    <t>ANNERLEY</t>
  </si>
  <si>
    <t>YERONGA</t>
  </si>
  <si>
    <t>MOOROOKA</t>
  </si>
  <si>
    <t>BRISBANE MARKET</t>
  </si>
  <si>
    <t>SALISBURY</t>
  </si>
  <si>
    <t>ARCHERFIELD</t>
  </si>
  <si>
    <t>MACGREGOR</t>
  </si>
  <si>
    <t>ACACIA RIDGE</t>
  </si>
  <si>
    <t>NATHAN</t>
  </si>
  <si>
    <t>KURABY</t>
  </si>
  <si>
    <t>EIGHT MILE PLAINS</t>
  </si>
  <si>
    <t>KINGSTON</t>
  </si>
  <si>
    <t>ALGESTER</t>
  </si>
  <si>
    <t>CALAMVALE</t>
  </si>
  <si>
    <t>BERRINBA</t>
  </si>
  <si>
    <t>BROWNS PLAINS</t>
  </si>
  <si>
    <t>UNDERWOOD</t>
  </si>
  <si>
    <t>GREENSLOPES</t>
  </si>
  <si>
    <t>HOLLAND PARK</t>
  </si>
  <si>
    <t>MANSFIELD</t>
  </si>
  <si>
    <t>ROCHEDALE</t>
  </si>
  <si>
    <t>BORONIA HEIGHTS</t>
  </si>
  <si>
    <t>MUNRUBEN</t>
  </si>
  <si>
    <t>DAISY HILL</t>
  </si>
  <si>
    <t>SHAILER PARK</t>
  </si>
  <si>
    <t>LOGANHOLME</t>
  </si>
  <si>
    <t>CARBROOK</t>
  </si>
  <si>
    <t>LOGANLEA</t>
  </si>
  <si>
    <t>CRESTMEAD</t>
  </si>
  <si>
    <t>CHAMBERS FLAT</t>
  </si>
  <si>
    <t>COORPAROO</t>
  </si>
  <si>
    <t>CAMP HILL</t>
  </si>
  <si>
    <t>GUMDALE</t>
  </si>
  <si>
    <t>CHANDLER</t>
  </si>
  <si>
    <t>BURBANK</t>
  </si>
  <si>
    <t>CAPALABA</t>
  </si>
  <si>
    <t>THORNESIDE</t>
  </si>
  <si>
    <t>BIRKDALE</t>
  </si>
  <si>
    <t>ORMISTON</t>
  </si>
  <si>
    <t>ALEXANDRA HILLS</t>
  </si>
  <si>
    <t>CLEVELAND</t>
  </si>
  <si>
    <t>THORNLANDS</t>
  </si>
  <si>
    <t>MOUNT COTTON</t>
  </si>
  <si>
    <t>EAST BRISBANE</t>
  </si>
  <si>
    <t>CANNON HILL</t>
  </si>
  <si>
    <t>MURARRIE</t>
  </si>
  <si>
    <t>TINGALPA</t>
  </si>
  <si>
    <t>HEMMANT</t>
  </si>
  <si>
    <t>LYTTON</t>
  </si>
  <si>
    <t>LOTA</t>
  </si>
  <si>
    <t>STRADBROKE ISLAND</t>
  </si>
  <si>
    <t>COOCHIEMUDLO ISLAND</t>
  </si>
  <si>
    <t>BETHANIA</t>
  </si>
  <si>
    <t>COOMERA</t>
  </si>
  <si>
    <t>GUANABA</t>
  </si>
  <si>
    <t>ADVANCETOWN</t>
  </si>
  <si>
    <t>HELENSVALE</t>
  </si>
  <si>
    <t>AUSTINVILLE</t>
  </si>
  <si>
    <t>ARUNDEL</t>
  </si>
  <si>
    <t>AUSTRALIA FAIR</t>
  </si>
  <si>
    <t>BIGGERA WATERS</t>
  </si>
  <si>
    <t>BENOWA</t>
  </si>
  <si>
    <t>BROADBEACH</t>
  </si>
  <si>
    <t>WEST BURLEIGH</t>
  </si>
  <si>
    <t>BURLEIGH DC</t>
  </si>
  <si>
    <t>ELANORA</t>
  </si>
  <si>
    <t>4222</t>
  </si>
  <si>
    <t>GRIFFITH UNIVERSITY</t>
  </si>
  <si>
    <t>CURRUMBIN</t>
  </si>
  <si>
    <t>TUGUN</t>
  </si>
  <si>
    <t>BILINGA</t>
  </si>
  <si>
    <t>CLEAR ISLAND WATERS</t>
  </si>
  <si>
    <t>REEDY CREEK</t>
  </si>
  <si>
    <t>TALLEBUDGERA</t>
  </si>
  <si>
    <t>BOND UNIVERSITY</t>
  </si>
  <si>
    <t>ROBINA TOWN CENTRE</t>
  </si>
  <si>
    <t>TAMBORINE</t>
  </si>
  <si>
    <t>EAGLE HEIGHTS</t>
  </si>
  <si>
    <t>NORTH TAMBORINE</t>
  </si>
  <si>
    <t>BENOBBLE</t>
  </si>
  <si>
    <t>JIMBOOMBA</t>
  </si>
  <si>
    <t>ALLENVIEW</t>
  </si>
  <si>
    <t>BARNEY VIEW</t>
  </si>
  <si>
    <t>AUGUSTINE HEIGHTS</t>
  </si>
  <si>
    <t>COLLINGWOOD PARK</t>
  </si>
  <si>
    <t>DINMORE</t>
  </si>
  <si>
    <t>BLACKSTONE</t>
  </si>
  <si>
    <t>BASIN POCKET</t>
  </si>
  <si>
    <t>AMBERLEY</t>
  </si>
  <si>
    <t>COLEYVILLE</t>
  </si>
  <si>
    <t>ALLANDALE</t>
  </si>
  <si>
    <t>ATKINSONS DAM</t>
  </si>
  <si>
    <t>BRYDEN</t>
  </si>
  <si>
    <t>BIARRA</t>
  </si>
  <si>
    <t>AVOCA VALE</t>
  </si>
  <si>
    <t>ASHWELL</t>
  </si>
  <si>
    <t>BLENHEIM</t>
  </si>
  <si>
    <t>CROWLEY VALE</t>
  </si>
  <si>
    <t>ADARE</t>
  </si>
  <si>
    <t>CARPENDALE</t>
  </si>
  <si>
    <t>GATTON COLLEGE</t>
  </si>
  <si>
    <t>MARBURG</t>
  </si>
  <si>
    <t>GRANTHAM</t>
  </si>
  <si>
    <t>ATHOL</t>
  </si>
  <si>
    <t>BALLARD</t>
  </si>
  <si>
    <t>BERGEN</t>
  </si>
  <si>
    <t>DOUGLAS</t>
  </si>
  <si>
    <t>ANDURAMBA</t>
  </si>
  <si>
    <t>BONGEEN</t>
  </si>
  <si>
    <t>BRINGALILY</t>
  </si>
  <si>
    <t>CAMBOOYA</t>
  </si>
  <si>
    <t>BUDGEE</t>
  </si>
  <si>
    <t>NOBBY</t>
  </si>
  <si>
    <t>BACK PLAINS</t>
  </si>
  <si>
    <t>ALLORA</t>
  </si>
  <si>
    <t>SOUTHBROOK</t>
  </si>
  <si>
    <t>BROOKSTEAD</t>
  </si>
  <si>
    <t>LEYBURN</t>
  </si>
  <si>
    <t>ALLAN</t>
  </si>
  <si>
    <t>EMU VALE</t>
  </si>
  <si>
    <t>TANNYMOREL</t>
  </si>
  <si>
    <t>KILLARNEY</t>
  </si>
  <si>
    <t>DALVEEN</t>
  </si>
  <si>
    <t>COTTONVALE</t>
  </si>
  <si>
    <t>THULIMBAH</t>
  </si>
  <si>
    <t>GLEN NIVEN</t>
  </si>
  <si>
    <t>APPLETHORPE</t>
  </si>
  <si>
    <t>AMIENS</t>
  </si>
  <si>
    <t>FLETCHER</t>
  </si>
  <si>
    <t>BALLANDEAN</t>
  </si>
  <si>
    <t>JENNINGS</t>
  </si>
  <si>
    <t>LIMEVALE</t>
  </si>
  <si>
    <t>BEEBO</t>
  </si>
  <si>
    <t>BRUSH CREEK</t>
  </si>
  <si>
    <t>KURUMBUL</t>
  </si>
  <si>
    <t>BILLA BILLA</t>
  </si>
  <si>
    <t>KINGSTHORPE</t>
  </si>
  <si>
    <t>ACLAND</t>
  </si>
  <si>
    <t>COOYAR</t>
  </si>
  <si>
    <t>BRYMAROO</t>
  </si>
  <si>
    <t>BOWENVILLE</t>
  </si>
  <si>
    <t>BOONDANDILLA</t>
  </si>
  <si>
    <t>CATTLE CREEK</t>
  </si>
  <si>
    <t>JANDOWAE</t>
  </si>
  <si>
    <t>WARRA</t>
  </si>
  <si>
    <t>BRIGALOW</t>
  </si>
  <si>
    <t>BAKING BOARD</t>
  </si>
  <si>
    <t>COLUMBOOLA</t>
  </si>
  <si>
    <t>BARRAMORNIE</t>
  </si>
  <si>
    <t>NOORINDOO</t>
  </si>
  <si>
    <t>GULUGUBA</t>
  </si>
  <si>
    <t>BROADMERE</t>
  </si>
  <si>
    <t>GORANBA</t>
  </si>
  <si>
    <t>COOMRITH</t>
  </si>
  <si>
    <t>GLENMORGAN</t>
  </si>
  <si>
    <t>DRILLHAM</t>
  </si>
  <si>
    <t>BOGANDILLA</t>
  </si>
  <si>
    <t>JACKSON</t>
  </si>
  <si>
    <t>CLIFFORD</t>
  </si>
  <si>
    <t>PICKANJINNIE</t>
  </si>
  <si>
    <t>BAFFLE WEST</t>
  </si>
  <si>
    <t>BALLAROO</t>
  </si>
  <si>
    <t>MUCKADILLA</t>
  </si>
  <si>
    <t>AMBY</t>
  </si>
  <si>
    <t>MUNGALLALA</t>
  </si>
  <si>
    <t>CLARA CREEK</t>
  </si>
  <si>
    <t>BAKERS BEND</t>
  </si>
  <si>
    <t>CLAVERTON</t>
  </si>
  <si>
    <t>BLACKALL</t>
  </si>
  <si>
    <t>ADAVALE</t>
  </si>
  <si>
    <t>CHEEPIE</t>
  </si>
  <si>
    <t>AUGATHELLA</t>
  </si>
  <si>
    <t>BAYRICK</t>
  </si>
  <si>
    <t>COOLADDI</t>
  </si>
  <si>
    <t>EROMANGA</t>
  </si>
  <si>
    <t>FARRARS CREEK</t>
  </si>
  <si>
    <t>BIRDSVILLE</t>
  </si>
  <si>
    <t>DIRRANBANDI</t>
  </si>
  <si>
    <t>BEGONIA</t>
  </si>
  <si>
    <t>BOLLON</t>
  </si>
  <si>
    <t>WYANDRA</t>
  </si>
  <si>
    <t>BARRINGUN</t>
  </si>
  <si>
    <t>EULO</t>
  </si>
  <si>
    <t>BULLAWARRA</t>
  </si>
  <si>
    <t>HUNGERFORD</t>
  </si>
  <si>
    <t>BUNGUNYA</t>
  </si>
  <si>
    <t>NORTH TALWOOD</t>
  </si>
  <si>
    <t>DAYMAR</t>
  </si>
  <si>
    <t>KIOMA</t>
  </si>
  <si>
    <t>BRAY PARK</t>
  </si>
  <si>
    <t>LAWNTON</t>
  </si>
  <si>
    <t>PETRIE</t>
  </si>
  <si>
    <t>DAKABIN</t>
  </si>
  <si>
    <t>NARANGBA</t>
  </si>
  <si>
    <t>BURPENGARY</t>
  </si>
  <si>
    <t>MOORINA</t>
  </si>
  <si>
    <t>BANKSIA BEACH</t>
  </si>
  <si>
    <t>DECEPTION BAY</t>
  </si>
  <si>
    <t>MANGO HILL</t>
  </si>
  <si>
    <t>BEACHMERE</t>
  </si>
  <si>
    <t>GODWIN BEACH</t>
  </si>
  <si>
    <t>BRACALBA</t>
  </si>
  <si>
    <t>BELLTHORPE</t>
  </si>
  <si>
    <t>GLENFERN</t>
  </si>
  <si>
    <t>ELIMBAH</t>
  </si>
  <si>
    <t>BEERBURRUM</t>
  </si>
  <si>
    <t>GLASS HOUSE MOUNTAINS</t>
  </si>
  <si>
    <t>BEERWAH</t>
  </si>
  <si>
    <t>CAMPBELLS POCKET</t>
  </si>
  <si>
    <t>LANDSBOROUGH</t>
  </si>
  <si>
    <t>AROONA</t>
  </si>
  <si>
    <t>BALD KNOB</t>
  </si>
  <si>
    <t>DIAMOND VALLEY</t>
  </si>
  <si>
    <t>EUDLO</t>
  </si>
  <si>
    <t>CHEVALLUM</t>
  </si>
  <si>
    <t>BUDERIM</t>
  </si>
  <si>
    <t>MOOLOOLABA</t>
  </si>
  <si>
    <t>COTTON TREE</t>
  </si>
  <si>
    <t>DIDDILLIBAH</t>
  </si>
  <si>
    <t>BLI BLI</t>
  </si>
  <si>
    <t>BRIDGES</t>
  </si>
  <si>
    <t>BELLI PARK</t>
  </si>
  <si>
    <t>BLACK MOUNTAIN</t>
  </si>
  <si>
    <t>MARCOOLA</t>
  </si>
  <si>
    <t>BOREEN POINT</t>
  </si>
  <si>
    <t>NOOSAVILLE</t>
  </si>
  <si>
    <t>CASTAWAYS BEACH</t>
  </si>
  <si>
    <t>FEDERAL</t>
  </si>
  <si>
    <t>COORAN</t>
  </si>
  <si>
    <t>AMAMOOR</t>
  </si>
  <si>
    <t>COMO</t>
  </si>
  <si>
    <t>ALEXANDRA HEADLAND</t>
  </si>
  <si>
    <t>COOLUM BEACH</t>
  </si>
  <si>
    <t>COOLABINE</t>
  </si>
  <si>
    <t>BIRTINYA</t>
  </si>
  <si>
    <t>COOLOOLA</t>
  </si>
  <si>
    <t>EURONG</t>
  </si>
  <si>
    <t>BLACK SNAKE</t>
  </si>
  <si>
    <t>BARAMBAH</t>
  </si>
  <si>
    <t>BARLIL</t>
  </si>
  <si>
    <t>CHELMSFORD</t>
  </si>
  <si>
    <t>CHARLESTOWN</t>
  </si>
  <si>
    <t>ALICE CREEK</t>
  </si>
  <si>
    <t>MARSHLANDS</t>
  </si>
  <si>
    <t>HIVESVILLE</t>
  </si>
  <si>
    <t>ABBEYWOOD</t>
  </si>
  <si>
    <t>NEUMGNA</t>
  </si>
  <si>
    <t>BARKER CREEK FLAT</t>
  </si>
  <si>
    <t>ARAMARA</t>
  </si>
  <si>
    <t>BIGGENDEN</t>
  </si>
  <si>
    <t>ARANBANGA</t>
  </si>
  <si>
    <t>BEERON</t>
  </si>
  <si>
    <t>ABERCORN</t>
  </si>
  <si>
    <t>BANCROFT</t>
  </si>
  <si>
    <t>ALDERSHOT</t>
  </si>
  <si>
    <t>BOORAL</t>
  </si>
  <si>
    <t>BEELBI CREEK</t>
  </si>
  <si>
    <t>ABINGTON</t>
  </si>
  <si>
    <t>TORBANLEA</t>
  </si>
  <si>
    <t>BOOLBOONDA</t>
  </si>
  <si>
    <t>BOOYAL</t>
  </si>
  <si>
    <t>BULLYARD</t>
  </si>
  <si>
    <t>BUNGADOO</t>
  </si>
  <si>
    <t>DALYSFORD</t>
  </si>
  <si>
    <t>DAMASCUS</t>
  </si>
  <si>
    <t>DELAN</t>
  </si>
  <si>
    <t>DOUGHBOY</t>
  </si>
  <si>
    <t>DRINAN</t>
  </si>
  <si>
    <t>DUINGAL</t>
  </si>
  <si>
    <t>GAETA</t>
  </si>
  <si>
    <t>GIN GIN</t>
  </si>
  <si>
    <t>GOOD NIGHT</t>
  </si>
  <si>
    <t>HORSE CAMP</t>
  </si>
  <si>
    <t>KOLONGA</t>
  </si>
  <si>
    <t>LAKE MONDURAN</t>
  </si>
  <si>
    <t>MAROONDAN</t>
  </si>
  <si>
    <t>MCILWRAITH</t>
  </si>
  <si>
    <t>MOLANGUL</t>
  </si>
  <si>
    <t>MONDURAN</t>
  </si>
  <si>
    <t>MOOLBOOLAMAN</t>
  </si>
  <si>
    <t>MORGANVILLE</t>
  </si>
  <si>
    <t>MOUNT PERRY</t>
  </si>
  <si>
    <t>MUNGY</t>
  </si>
  <si>
    <t>NEARUM</t>
  </si>
  <si>
    <t>NEW MOONTA</t>
  </si>
  <si>
    <t>REDHILL FARMS</t>
  </si>
  <si>
    <t>SKYRING RESERVE</t>
  </si>
  <si>
    <t>ST AGNES</t>
  </si>
  <si>
    <t>TAKILBERAN</t>
  </si>
  <si>
    <t>TIRROAN</t>
  </si>
  <si>
    <t>WALLAVILLE</t>
  </si>
  <si>
    <t>WONBAH</t>
  </si>
  <si>
    <t>WONBAH FOREST</t>
  </si>
  <si>
    <t>MIARA</t>
  </si>
  <si>
    <t>BAFFLE CREEK</t>
  </si>
  <si>
    <t>GINDORAN</t>
  </si>
  <si>
    <t>AGNES WATER</t>
  </si>
  <si>
    <t>BOROREN</t>
  </si>
  <si>
    <t>BARNEY POINT</t>
  </si>
  <si>
    <t>ALDOGA</t>
  </si>
  <si>
    <t>AMBROSE</t>
  </si>
  <si>
    <t>RAGLAN</t>
  </si>
  <si>
    <t>BAJOOL</t>
  </si>
  <si>
    <t>ALLENSTOWN</t>
  </si>
  <si>
    <t>BERSERKER</t>
  </si>
  <si>
    <t>ALBERTA</t>
  </si>
  <si>
    <t>ALSACE</t>
  </si>
  <si>
    <t>ALTON DOWNS</t>
  </si>
  <si>
    <t>BALCOMBA</t>
  </si>
  <si>
    <t>BANANA</t>
  </si>
  <si>
    <t>BARALABA</t>
  </si>
  <si>
    <t>BARNARD</t>
  </si>
  <si>
    <t>BINGEGANG</t>
  </si>
  <si>
    <t>BLACKDOWN</t>
  </si>
  <si>
    <t>BLUFF</t>
  </si>
  <si>
    <t>BOOLBURRA</t>
  </si>
  <si>
    <t>BOULDERCOMBE</t>
  </si>
  <si>
    <t>BUSHLEY</t>
  </si>
  <si>
    <t>CANAL CREEK</t>
  </si>
  <si>
    <t>CANOONA</t>
  </si>
  <si>
    <t>CAWARRAL</t>
  </si>
  <si>
    <t>CENTRAL QUEENSLAND MC</t>
  </si>
  <si>
    <t>COMET</t>
  </si>
  <si>
    <t>CONSUELO</t>
  </si>
  <si>
    <t>COOMOO</t>
  </si>
  <si>
    <t>COOROOMAN</t>
  </si>
  <si>
    <t>COORUMBENE</t>
  </si>
  <si>
    <t>COOWONGA</t>
  </si>
  <si>
    <t>DALMA</t>
  </si>
  <si>
    <t>DINGO</t>
  </si>
  <si>
    <t>DIXALEA</t>
  </si>
  <si>
    <t>DULULU</t>
  </si>
  <si>
    <t>DUMPY CREEK</t>
  </si>
  <si>
    <t>ETNA CREEK</t>
  </si>
  <si>
    <t>GAINSFORD</t>
  </si>
  <si>
    <t>GARNANT</t>
  </si>
  <si>
    <t>GINDIE</t>
  </si>
  <si>
    <t>GOGANGO</t>
  </si>
  <si>
    <t>GOOMALLY</t>
  </si>
  <si>
    <t>GOOVIGEN</t>
  </si>
  <si>
    <t>GOOWARRA</t>
  </si>
  <si>
    <t>GRACEMERE</t>
  </si>
  <si>
    <t>JAMBIN</t>
  </si>
  <si>
    <t>JARDINE</t>
  </si>
  <si>
    <t>JELLINBAH</t>
  </si>
  <si>
    <t>JOSKELEIGH</t>
  </si>
  <si>
    <t>KABRA</t>
  </si>
  <si>
    <t>KALAPA</t>
  </si>
  <si>
    <t>KEPPEL SANDS</t>
  </si>
  <si>
    <t>KOKOTUNGO</t>
  </si>
  <si>
    <t>KUNWARARA</t>
  </si>
  <si>
    <t>LOWESBY</t>
  </si>
  <si>
    <t>MACKENZIE</t>
  </si>
  <si>
    <t>MARMOR</t>
  </si>
  <si>
    <t>MIDGEE</t>
  </si>
  <si>
    <t>MILMAN</t>
  </si>
  <si>
    <t>MIMOSA</t>
  </si>
  <si>
    <t>MORINISH</t>
  </si>
  <si>
    <t>MORINISH SOUTH</t>
  </si>
  <si>
    <t>MOUNT CHALMERS</t>
  </si>
  <si>
    <t>NINE MILE</t>
  </si>
  <si>
    <t>PARKHURST</t>
  </si>
  <si>
    <t>PHEASANT CREEK</t>
  </si>
  <si>
    <t>PINK LILY</t>
  </si>
  <si>
    <t>PLUM TREE</t>
  </si>
  <si>
    <t>RIDGELANDS</t>
  </si>
  <si>
    <t>ROLLESTON</t>
  </si>
  <si>
    <t>ROSSMOYA</t>
  </si>
  <si>
    <t>RUBYVALE</t>
  </si>
  <si>
    <t>SAPPHIRE</t>
  </si>
  <si>
    <t>SHOALWATER</t>
  </si>
  <si>
    <t>SMOKY CREEK</t>
  </si>
  <si>
    <t>SOUTH YAAMBA</t>
  </si>
  <si>
    <t>STANAGE</t>
  </si>
  <si>
    <t>STANWELL</t>
  </si>
  <si>
    <t>STEWARTON</t>
  </si>
  <si>
    <t>TARRAMBA</t>
  </si>
  <si>
    <t>THE CAVES</t>
  </si>
  <si>
    <t>THE GEMFIELDS</t>
  </si>
  <si>
    <t>THOMPSON POINT</t>
  </si>
  <si>
    <t>TUNGAMULL</t>
  </si>
  <si>
    <t>ULOGIE</t>
  </si>
  <si>
    <t>WALLAROO</t>
  </si>
  <si>
    <t>WESTWOOD</t>
  </si>
  <si>
    <t>WILLOWS</t>
  </si>
  <si>
    <t>WILLOWS GEMFIELDS</t>
  </si>
  <si>
    <t>WOOLEIN</t>
  </si>
  <si>
    <t>WOOROONA</t>
  </si>
  <si>
    <t>WOWAN</t>
  </si>
  <si>
    <t>WYCARBAH</t>
  </si>
  <si>
    <t>ADELAIDE PARK</t>
  </si>
  <si>
    <t>WATTLEBANK</t>
  </si>
  <si>
    <t>CLARKE CREEK</t>
  </si>
  <si>
    <t>OGMORE</t>
  </si>
  <si>
    <t>TIERI</t>
  </si>
  <si>
    <t>EMU PARK</t>
  </si>
  <si>
    <t>GLENDALE</t>
  </si>
  <si>
    <t>DUARINGA</t>
  </si>
  <si>
    <t>WOORABINDA</t>
  </si>
  <si>
    <t>BAREE</t>
  </si>
  <si>
    <t>BILOELA</t>
  </si>
  <si>
    <t>LAWGI DAWES</t>
  </si>
  <si>
    <t>BLACKWATER</t>
  </si>
  <si>
    <t>BAUHINIA</t>
  </si>
  <si>
    <t>CAMBOON</t>
  </si>
  <si>
    <t>EMERALD</t>
  </si>
  <si>
    <t>ARGYLL</t>
  </si>
  <si>
    <t>BELCONG</t>
  </si>
  <si>
    <t>ALPHA</t>
  </si>
  <si>
    <t>BARCALDINE</t>
  </si>
  <si>
    <t>ARAMAC</t>
  </si>
  <si>
    <t>ILFRACOMBE</t>
  </si>
  <si>
    <t>DUNROBIN</t>
  </si>
  <si>
    <t>CAMOOLA</t>
  </si>
  <si>
    <t>ISISFORD</t>
  </si>
  <si>
    <t>MUTTABURRA</t>
  </si>
  <si>
    <t>CORFIELD</t>
  </si>
  <si>
    <t>DIAMANTINA LAKES</t>
  </si>
  <si>
    <t>JUNDAH</t>
  </si>
  <si>
    <t>ARMSTRONG BEACH</t>
  </si>
  <si>
    <t>ILBILBIE</t>
  </si>
  <si>
    <t>CARMILA</t>
  </si>
  <si>
    <t>ALEXANDRA</t>
  </si>
  <si>
    <t>BALL BAY</t>
  </si>
  <si>
    <t>BURTON</t>
  </si>
  <si>
    <t>GLENDEN</t>
  </si>
  <si>
    <t>MORANBAH</t>
  </si>
  <si>
    <t>DYSART</t>
  </si>
  <si>
    <t>MAY DOWNS</t>
  </si>
  <si>
    <t>BUCASIA</t>
  </si>
  <si>
    <t>GREENMOUNT</t>
  </si>
  <si>
    <t>DEVEREUX CREEK</t>
  </si>
  <si>
    <t>BENHOLME</t>
  </si>
  <si>
    <t>FINCH HATTON</t>
  </si>
  <si>
    <t>BROKEN RIVER</t>
  </si>
  <si>
    <t>CALEN</t>
  </si>
  <si>
    <t>BLOOMSBURY</t>
  </si>
  <si>
    <t>ANDROMACHE</t>
  </si>
  <si>
    <t>HAYMAN ISLAND</t>
  </si>
  <si>
    <t>AIRLIE BEACH</t>
  </si>
  <si>
    <t>HAMILTON ISLAND</t>
  </si>
  <si>
    <t>COLLINSVILLE</t>
  </si>
  <si>
    <t>BOWEN</t>
  </si>
  <si>
    <t>CARSTAIRS</t>
  </si>
  <si>
    <t>AIRDMILLAN</t>
  </si>
  <si>
    <t>BRANDON</t>
  </si>
  <si>
    <t>BELGIAN GARDENS</t>
  </si>
  <si>
    <t>CLUDEN</t>
  </si>
  <si>
    <t>CURRAJONG</t>
  </si>
  <si>
    <t>TOWNSVILLE MILPO</t>
  </si>
  <si>
    <t>AITKENVALE</t>
  </si>
  <si>
    <t>CONDON</t>
  </si>
  <si>
    <t>ALLIGATOR CREEK</t>
  </si>
  <si>
    <t>ALICE RIVER</t>
  </si>
  <si>
    <t>BEACH HOLM</t>
  </si>
  <si>
    <t>MAGNETIC ISLAND</t>
  </si>
  <si>
    <t>ALABAMA HILL</t>
  </si>
  <si>
    <t>DUTTON RIVER</t>
  </si>
  <si>
    <t>CARPENTARIA</t>
  </si>
  <si>
    <t>CLONCURRY</t>
  </si>
  <si>
    <t>ALPURRURULAM</t>
  </si>
  <si>
    <t>CAMOOWEAL</t>
  </si>
  <si>
    <t>BURKETOWN</t>
  </si>
  <si>
    <t>CARDWELL</t>
  </si>
  <si>
    <t>ABERGOWRIE</t>
  </si>
  <si>
    <t>BINGIL BAY</t>
  </si>
  <si>
    <t>BILYANA</t>
  </si>
  <si>
    <t>DAVESON</t>
  </si>
  <si>
    <t>GOOLBOO</t>
  </si>
  <si>
    <t>SILKWOOD EAST</t>
  </si>
  <si>
    <t>COMOON LOOP</t>
  </si>
  <si>
    <t>NO. 6 BRANCH</t>
  </si>
  <si>
    <t>BAMBOO CREEK</t>
  </si>
  <si>
    <t>GOLDSBOROUGH</t>
  </si>
  <si>
    <t>BAYVIEW HEIGHTS</t>
  </si>
  <si>
    <t>BENTLEY PARK</t>
  </si>
  <si>
    <t>AEROGLEN</t>
  </si>
  <si>
    <t>ALMADEN</t>
  </si>
  <si>
    <t>BARRINE</t>
  </si>
  <si>
    <t>BAMBOO</t>
  </si>
  <si>
    <t>EVANS LANDING</t>
  </si>
  <si>
    <t>BADU ISLAND</t>
  </si>
  <si>
    <t>BAMAGA</t>
  </si>
  <si>
    <t>CRAIGLIE</t>
  </si>
  <si>
    <t>BARRON</t>
  </si>
  <si>
    <t>CLIFTON BEACH</t>
  </si>
  <si>
    <t>ARRIGA</t>
  </si>
  <si>
    <t>KOAH</t>
  </si>
  <si>
    <t>TOLGA</t>
  </si>
  <si>
    <t>ATHERTON</t>
  </si>
  <si>
    <t>GADGARRA</t>
  </si>
  <si>
    <t>BUTCHERS CREEK</t>
  </si>
  <si>
    <t>BEATRICE</t>
  </si>
  <si>
    <t>HERBERTON</t>
  </si>
  <si>
    <t>EVELYN</t>
  </si>
  <si>
    <t>HOWITT</t>
  </si>
  <si>
    <t>KARUMBA</t>
  </si>
  <si>
    <t>ABINGDON DOWNS</t>
  </si>
  <si>
    <t>AYTON</t>
  </si>
  <si>
    <t>ADELAIDE</t>
  </si>
  <si>
    <t>NORTH ADELAIDE</t>
  </si>
  <si>
    <t>BOWDEN</t>
  </si>
  <si>
    <t>ALLENBY GARDENS</t>
  </si>
  <si>
    <t>ANGLE PARK</t>
  </si>
  <si>
    <t>ST CLAIR</t>
  </si>
  <si>
    <t>ATHOL PARK</t>
  </si>
  <si>
    <t>GILLMAN</t>
  </si>
  <si>
    <t>BIRKENHEAD</t>
  </si>
  <si>
    <t>LARGS BAY</t>
  </si>
  <si>
    <t>OSBORNE</t>
  </si>
  <si>
    <t>NORTH HAVEN</t>
  </si>
  <si>
    <t>EXETER</t>
  </si>
  <si>
    <t>WEST LAKES SHORE</t>
  </si>
  <si>
    <t>WEST LAKES</t>
  </si>
  <si>
    <t>GRANGE</t>
  </si>
  <si>
    <t>FINDON</t>
  </si>
  <si>
    <t>FULHAM</t>
  </si>
  <si>
    <t>FLINDERS PARK</t>
  </si>
  <si>
    <t>MILE END</t>
  </si>
  <si>
    <t>BROOKLYN PARK</t>
  </si>
  <si>
    <t>COWANDILLA</t>
  </si>
  <si>
    <t>CLARENCE PARK</t>
  </si>
  <si>
    <t>GLANDORE</t>
  </si>
  <si>
    <t>CAMDEN PARK</t>
  </si>
  <si>
    <t>CLARENCE GARDENS</t>
  </si>
  <si>
    <t>NOVAR GARDENS</t>
  </si>
  <si>
    <t>COLONEL LIGHT GARDENS</t>
  </si>
  <si>
    <t>BEDFORD PARK</t>
  </si>
  <si>
    <t>ASCOT PARK</t>
  </si>
  <si>
    <t>GLENGOWRIE</t>
  </si>
  <si>
    <t>GLENELG</t>
  </si>
  <si>
    <t>OAKLANDS PARK</t>
  </si>
  <si>
    <t>KINGSTON PARK</t>
  </si>
  <si>
    <t>BELLEVUE HEIGHTS</t>
  </si>
  <si>
    <t>BLACKWOOD</t>
  </si>
  <si>
    <t>BELAIR</t>
  </si>
  <si>
    <t>HYDE PARK</t>
  </si>
  <si>
    <t>BROWN HILL CREEK</t>
  </si>
  <si>
    <t>GLEN OSMOND</t>
  </si>
  <si>
    <t>DULWICH</t>
  </si>
  <si>
    <t>BEAUMONT</t>
  </si>
  <si>
    <t>BEULAH PARK</t>
  </si>
  <si>
    <t>HEATHPOOL</t>
  </si>
  <si>
    <t>COLLEGE PARK</t>
  </si>
  <si>
    <t>FELIXSTOW</t>
  </si>
  <si>
    <t>AULDANA</t>
  </si>
  <si>
    <t>HECTORVILLE</t>
  </si>
  <si>
    <t>CAMPBELLTOWN</t>
  </si>
  <si>
    <t>DERNANCOURT</t>
  </si>
  <si>
    <t>ATHELSTONE</t>
  </si>
  <si>
    <t>COLLINSWOOD</t>
  </si>
  <si>
    <t>BROADVIEW</t>
  </si>
  <si>
    <t>BLAIR ATHOL</t>
  </si>
  <si>
    <t>CLEARVIEW</t>
  </si>
  <si>
    <t>GILLES PLAINS</t>
  </si>
  <si>
    <t>KLEMZIG</t>
  </si>
  <si>
    <t>HOLDEN HILL</t>
  </si>
  <si>
    <t>HIGHBURY</t>
  </si>
  <si>
    <t>HOPE VALLEY</t>
  </si>
  <si>
    <t>BANKSIA PARK</t>
  </si>
  <si>
    <t>MODBURY</t>
  </si>
  <si>
    <t>PARA VISTA</t>
  </si>
  <si>
    <t>CAVAN</t>
  </si>
  <si>
    <t>MAWSON LAKES</t>
  </si>
  <si>
    <t>GULFVIEW HEIGHTS</t>
  </si>
  <si>
    <t>REDWOOD PARK</t>
  </si>
  <si>
    <t>INGLE FARM</t>
  </si>
  <si>
    <t>PARAFIELD</t>
  </si>
  <si>
    <t>GREEN FIELDS</t>
  </si>
  <si>
    <t>PARALOWIE</t>
  </si>
  <si>
    <t>BRAHMA LODGE</t>
  </si>
  <si>
    <t>BOLIVAR</t>
  </si>
  <si>
    <t>EDINBURGH</t>
  </si>
  <si>
    <t>ELIZABETH</t>
  </si>
  <si>
    <t>DAVOREN PARK</t>
  </si>
  <si>
    <t>ANDREWS FARM</t>
  </si>
  <si>
    <t>KUDLA</t>
  </si>
  <si>
    <t>EVANSTON</t>
  </si>
  <si>
    <t>ANGLE VALE</t>
  </si>
  <si>
    <t>BIBARINGA</t>
  </si>
  <si>
    <t>BUCKLAND PARK</t>
  </si>
  <si>
    <t>MACDONALD PARK</t>
  </si>
  <si>
    <t>GOLDEN GROVE</t>
  </si>
  <si>
    <t>FAIRVIEW PARK</t>
  </si>
  <si>
    <t>WYNN VALE</t>
  </si>
  <si>
    <t>HOUGHTON</t>
  </si>
  <si>
    <t>PARACOMBE</t>
  </si>
  <si>
    <t>INGLEWOOD</t>
  </si>
  <si>
    <t>CHERRYVILLE</t>
  </si>
  <si>
    <t>NORTON SUMMIT</t>
  </si>
  <si>
    <t>ASHTON</t>
  </si>
  <si>
    <t>BASKET RANGE</t>
  </si>
  <si>
    <t>FOREST RANGE</t>
  </si>
  <si>
    <t>GREENHILL</t>
  </si>
  <si>
    <t>HORSNELL GULLY</t>
  </si>
  <si>
    <t>URAIDLA</t>
  </si>
  <si>
    <t>CAREY GULLY</t>
  </si>
  <si>
    <t>LEAWOOD GARDENS</t>
  </si>
  <si>
    <t>PICCADILLY</t>
  </si>
  <si>
    <t>CLELAND</t>
  </si>
  <si>
    <t>BIGGS FLAT</t>
  </si>
  <si>
    <t>ALDGATE</t>
  </si>
  <si>
    <t>UPPER STURT</t>
  </si>
  <si>
    <t>HALLETT COVE</t>
  </si>
  <si>
    <t>ABERFOYLE PARK</t>
  </si>
  <si>
    <t>LONSDALE</t>
  </si>
  <si>
    <t>OLD REYNELLA</t>
  </si>
  <si>
    <t>MORPHETT VALE</t>
  </si>
  <si>
    <t>HACKHAM</t>
  </si>
  <si>
    <t>CHRISTIE DOWNS</t>
  </si>
  <si>
    <t>CHRISTIES BEACH</t>
  </si>
  <si>
    <t>O'SULLIVAN BEACH</t>
  </si>
  <si>
    <t>PORT NOARLUNGA</t>
  </si>
  <si>
    <t>NOARLUNGA CENTRE</t>
  </si>
  <si>
    <t>MOANA</t>
  </si>
  <si>
    <t>MASLIN BEACH</t>
  </si>
  <si>
    <t>BLEWITT SPRINGS</t>
  </si>
  <si>
    <t>DINGABLEDINGA</t>
  </si>
  <si>
    <t>ALDINGA</t>
  </si>
  <si>
    <t>SELLICKS BEACH</t>
  </si>
  <si>
    <t>BLACKFELLOWS CREEK</t>
  </si>
  <si>
    <t>HINDMARSH TIERS</t>
  </si>
  <si>
    <t>CAPE JERVIS</t>
  </si>
  <si>
    <t>MOUNT COMPASS</t>
  </si>
  <si>
    <t>BACK VALLEY</t>
  </si>
  <si>
    <t>PORT ELLIOT</t>
  </si>
  <si>
    <t>MIDDLETON</t>
  </si>
  <si>
    <t>CURRENCY CREEK</t>
  </si>
  <si>
    <t>PARNDANA</t>
  </si>
  <si>
    <t>AMERICAN RIVER</t>
  </si>
  <si>
    <t>AMERICAN BEACH</t>
  </si>
  <si>
    <t>BAY OF SHOALS</t>
  </si>
  <si>
    <t>CHAIN OF PONDS</t>
  </si>
  <si>
    <t>CUDLEE CREEK</t>
  </si>
  <si>
    <t>FORRESTON</t>
  </si>
  <si>
    <t>BIRDWOOD</t>
  </si>
  <si>
    <t>TUNGKILLO</t>
  </si>
  <si>
    <t>APAMURRA</t>
  </si>
  <si>
    <t>ANGAS VALLEY</t>
  </si>
  <si>
    <t>LENSWOOD</t>
  </si>
  <si>
    <t>LOBETHAL</t>
  </si>
  <si>
    <t>BALHANNAH</t>
  </si>
  <si>
    <t>OAKBANK</t>
  </si>
  <si>
    <t>CHARLESTON</t>
  </si>
  <si>
    <t>HAHNDORF</t>
  </si>
  <si>
    <t>BLAKISTON</t>
  </si>
  <si>
    <t>BUGLE RANGES</t>
  </si>
  <si>
    <t>BRUKUNGA</t>
  </si>
  <si>
    <t>AVOCA DELL</t>
  </si>
  <si>
    <t>CALLINGTON</t>
  </si>
  <si>
    <t>ANGAS PLAINS</t>
  </si>
  <si>
    <t>CLAYTON BAY</t>
  </si>
  <si>
    <t>ASHVILLE</t>
  </si>
  <si>
    <t>ELWOMPLE</t>
  </si>
  <si>
    <t>COOKE PLAINS</t>
  </si>
  <si>
    <t>BINNUM</t>
  </si>
  <si>
    <t>COONAWARRA</t>
  </si>
  <si>
    <t>COORONG</t>
  </si>
  <si>
    <t>COONALPYN</t>
  </si>
  <si>
    <t>BUNBURY</t>
  </si>
  <si>
    <t>BRIMBAGO</t>
  </si>
  <si>
    <t>BANGHAM</t>
  </si>
  <si>
    <t>CUSTON</t>
  </si>
  <si>
    <t>BUCKINGHAM</t>
  </si>
  <si>
    <t>BOOL LAGOON</t>
  </si>
  <si>
    <t>COLES</t>
  </si>
  <si>
    <t>AVENUE RANGE</t>
  </si>
  <si>
    <t>BLACKFORD</t>
  </si>
  <si>
    <t>BRAY</t>
  </si>
  <si>
    <t>COMAUM</t>
  </si>
  <si>
    <t>KALANGADOO</t>
  </si>
  <si>
    <t>KOORINE</t>
  </si>
  <si>
    <t>MILLICENT</t>
  </si>
  <si>
    <t>MOUNT GAMBIER</t>
  </si>
  <si>
    <t>ALLENDALE EAST</t>
  </si>
  <si>
    <t>CARCUMA</t>
  </si>
  <si>
    <t>LAMEROO</t>
  </si>
  <si>
    <t>PARILLA</t>
  </si>
  <si>
    <t>KARTE</t>
  </si>
  <si>
    <t>WYNARKA</t>
  </si>
  <si>
    <t>KAROONDA</t>
  </si>
  <si>
    <t>COPEVILLE</t>
  </si>
  <si>
    <t>BORRIKA</t>
  </si>
  <si>
    <t>CALIPH</t>
  </si>
  <si>
    <t>ALAWOONA</t>
  </si>
  <si>
    <t>VEITCH</t>
  </si>
  <si>
    <t>BEATTY</t>
  </si>
  <si>
    <t>CADELL</t>
  </si>
  <si>
    <t>GOLDEN HEIGHTS</t>
  </si>
  <si>
    <t>BOOLGUN</t>
  </si>
  <si>
    <t>KINGSTON ON MURRAY</t>
  </si>
  <si>
    <t>MOOROOK</t>
  </si>
  <si>
    <t>BOOKPURNONG</t>
  </si>
  <si>
    <t>MUNDIC CREEK</t>
  </si>
  <si>
    <t>RENMARK</t>
  </si>
  <si>
    <t>MONASH</t>
  </si>
  <si>
    <t>BERRI</t>
  </si>
  <si>
    <t>GLOSSOP</t>
  </si>
  <si>
    <t>BARMERA</t>
  </si>
  <si>
    <t>COBDOGLA</t>
  </si>
  <si>
    <t>ROSEDALE</t>
  </si>
  <si>
    <t>BETHANY</t>
  </si>
  <si>
    <t>ANGASTON</t>
  </si>
  <si>
    <t>BAKARA</t>
  </si>
  <si>
    <t>DAVEYSTON</t>
  </si>
  <si>
    <t>ANNADALE</t>
  </si>
  <si>
    <t>BLANCHETOWN</t>
  </si>
  <si>
    <t>GREENOCK</t>
  </si>
  <si>
    <t>MORN HILL</t>
  </si>
  <si>
    <t>FREELING</t>
  </si>
  <si>
    <t>ALLENDALE NORTH</t>
  </si>
  <si>
    <t>AUSTRALIA PLAINS</t>
  </si>
  <si>
    <t>BRADY CREEK</t>
  </si>
  <si>
    <t>MAGDALA</t>
  </si>
  <si>
    <t>ALMA</t>
  </si>
  <si>
    <t>LINWOOD</t>
  </si>
  <si>
    <t>GILES CORNER</t>
  </si>
  <si>
    <t>NAVAN</t>
  </si>
  <si>
    <t>APOINGA</t>
  </si>
  <si>
    <t>MANOORA</t>
  </si>
  <si>
    <t>MINTARO</t>
  </si>
  <si>
    <t>FARRELL FLAT</t>
  </si>
  <si>
    <t>BALAH</t>
  </si>
  <si>
    <t>CANOWIE</t>
  </si>
  <si>
    <t>CANOWIE BELT</t>
  </si>
  <si>
    <t>FRANKLYN</t>
  </si>
  <si>
    <t>CAVENAGH</t>
  </si>
  <si>
    <t>AMYTON</t>
  </si>
  <si>
    <t>BARATTA</t>
  </si>
  <si>
    <t>BRUCE</t>
  </si>
  <si>
    <t>BARNDIOOTA</t>
  </si>
  <si>
    <t>ABMINGA STATION</t>
  </si>
  <si>
    <t>LEASINGHAM</t>
  </si>
  <si>
    <t>ARMAGH</t>
  </si>
  <si>
    <t>ANDREWS</t>
  </si>
  <si>
    <t>HILLTOWN</t>
  </si>
  <si>
    <t>BARABBA</t>
  </si>
  <si>
    <t>BALAKLAVA</t>
  </si>
  <si>
    <t>BLYTH</t>
  </si>
  <si>
    <t>ANAMA</t>
  </si>
  <si>
    <t>YACKA</t>
  </si>
  <si>
    <t>GULNARE</t>
  </si>
  <si>
    <t>GLADSTONE</t>
  </si>
  <si>
    <t>APPILA</t>
  </si>
  <si>
    <t>BANGOR</t>
  </si>
  <si>
    <t>BOOLEROO CENTRE</t>
  </si>
  <si>
    <t>MELROSE</t>
  </si>
  <si>
    <t>WILMINGTON</t>
  </si>
  <si>
    <t>CALTOWIE</t>
  </si>
  <si>
    <t>BELALIE EAST</t>
  </si>
  <si>
    <t>YONGALA</t>
  </si>
  <si>
    <t>BAROOTA</t>
  </si>
  <si>
    <t>FISCHER</t>
  </si>
  <si>
    <t>LOCHIEL</t>
  </si>
  <si>
    <t>BARUNGA GAP</t>
  </si>
  <si>
    <t>REDHILL</t>
  </si>
  <si>
    <t>FISHERMAN BAY</t>
  </si>
  <si>
    <t>BEETALOO VALLEY</t>
  </si>
  <si>
    <t>RISDON PARK</t>
  </si>
  <si>
    <t>KAINTON</t>
  </si>
  <si>
    <t>BOORS PLAIN</t>
  </si>
  <si>
    <t>ALFORD</t>
  </si>
  <si>
    <t>NORTH BEACH</t>
  </si>
  <si>
    <t>AGERY</t>
  </si>
  <si>
    <t>BUTE</t>
  </si>
  <si>
    <t>CLINTON</t>
  </si>
  <si>
    <t>ARDROSSAN</t>
  </si>
  <si>
    <t>ARTHURTON</t>
  </si>
  <si>
    <t>BALGOWAN</t>
  </si>
  <si>
    <t>BLUFF BEACH</t>
  </si>
  <si>
    <t>HONITON</t>
  </si>
  <si>
    <t>COUCH BEACH</t>
  </si>
  <si>
    <t>CURRAMULKA</t>
  </si>
  <si>
    <t>PORT VINCENT</t>
  </si>
  <si>
    <t>PORT GILES</t>
  </si>
  <si>
    <t>COOBOWIE</t>
  </si>
  <si>
    <t>CORUNNA STATION</t>
  </si>
  <si>
    <t>BACKY POINT</t>
  </si>
  <si>
    <t>COWELL</t>
  </si>
  <si>
    <t>ARNO BAY</t>
  </si>
  <si>
    <t>PORT NEILL</t>
  </si>
  <si>
    <t>BUTLER</t>
  </si>
  <si>
    <t>PORT LINCOLN</t>
  </si>
  <si>
    <t>BOSTON</t>
  </si>
  <si>
    <t>WHYALLA NORRIE</t>
  </si>
  <si>
    <t>WHYALLA JENKINS</t>
  </si>
  <si>
    <t>IRON BARON</t>
  </si>
  <si>
    <t>EDILLILIE</t>
  </si>
  <si>
    <t>COCKALEECHIE</t>
  </si>
  <si>
    <t>KAPINNIE</t>
  </si>
  <si>
    <t>BOONERDO</t>
  </si>
  <si>
    <t>CAMPOONA</t>
  </si>
  <si>
    <t>BARNA</t>
  </si>
  <si>
    <t>DARKE PEAK</t>
  </si>
  <si>
    <t>COOTRA</t>
  </si>
  <si>
    <t>KYANCUTTA</t>
  </si>
  <si>
    <t>PANEY</t>
  </si>
  <si>
    <t>YANINEE</t>
  </si>
  <si>
    <t>COCATA</t>
  </si>
  <si>
    <t>BOCKELBERG</t>
  </si>
  <si>
    <t>CHILPENUNDA</t>
  </si>
  <si>
    <t>KOOLGERA</t>
  </si>
  <si>
    <t>BRAMFIELD</t>
  </si>
  <si>
    <t>BAIRD BAY</t>
  </si>
  <si>
    <t>CARAWA</t>
  </si>
  <si>
    <t>BOOKABIE</t>
  </si>
  <si>
    <t>BLANCHE HARBOR</t>
  </si>
  <si>
    <t>ARKAROOLA VILLAGE</t>
  </si>
  <si>
    <t>STIRLING NORTH</t>
  </si>
  <si>
    <t>EMEROO</t>
  </si>
  <si>
    <t>CARRIEWERLOO</t>
  </si>
  <si>
    <t>HILTABA</t>
  </si>
  <si>
    <t>BON BON</t>
  </si>
  <si>
    <t>ARCOONA</t>
  </si>
  <si>
    <t>ANDAMOOKA</t>
  </si>
  <si>
    <t>ALLANDALE STATION</t>
  </si>
  <si>
    <t>MARLA</t>
  </si>
  <si>
    <t>OLYMPIC DAM</t>
  </si>
  <si>
    <t>ALPANA</t>
  </si>
  <si>
    <t>BOLLARDS LAGOON</t>
  </si>
  <si>
    <t>ANGEPENA</t>
  </si>
  <si>
    <t>ALTON DOWNS STATION</t>
  </si>
  <si>
    <t>CROWN POINT</t>
  </si>
  <si>
    <t>ADELAIDE AIRPORT</t>
  </si>
  <si>
    <t>CITY DELIVERY CENTRE</t>
  </si>
  <si>
    <t>South</t>
  </si>
  <si>
    <t>HIGHGATE</t>
  </si>
  <si>
    <t>EAST PERTH</t>
  </si>
  <si>
    <t>KINGS PARK</t>
  </si>
  <si>
    <t>NORTH PERTH</t>
  </si>
  <si>
    <t>LEEDERVILLE</t>
  </si>
  <si>
    <t>DAGLISH</t>
  </si>
  <si>
    <t>BROADWAY NEDLANDS</t>
  </si>
  <si>
    <t>CLAREMONT</t>
  </si>
  <si>
    <t>COTTESLOE</t>
  </si>
  <si>
    <t>MOSMAN PARK</t>
  </si>
  <si>
    <t>FLOREAT</t>
  </si>
  <si>
    <t>CITY BEACH</t>
  </si>
  <si>
    <t>GLENDALOUGH</t>
  </si>
  <si>
    <t>HERDSMAN</t>
  </si>
  <si>
    <t>CHURCHLANDS</t>
  </si>
  <si>
    <t>SCARBOROUGH</t>
  </si>
  <si>
    <t>CARINE</t>
  </si>
  <si>
    <t>BALCATTA</t>
  </si>
  <si>
    <t>HAMERSLEY</t>
  </si>
  <si>
    <t>DUNCRAIG</t>
  </si>
  <si>
    <t>GREENWOOD</t>
  </si>
  <si>
    <t>CRAIGIE</t>
  </si>
  <si>
    <t>KINGSLEY</t>
  </si>
  <si>
    <t>BELDON</t>
  </si>
  <si>
    <t>BURNS BEACH</t>
  </si>
  <si>
    <t>TRIGG</t>
  </si>
  <si>
    <t>CLARKSON</t>
  </si>
  <si>
    <t>BANKSIA GROVE</t>
  </si>
  <si>
    <t>NOWERGUP</t>
  </si>
  <si>
    <t>CARABOODA</t>
  </si>
  <si>
    <t>EGLINTON</t>
  </si>
  <si>
    <t>YANCHEP</t>
  </si>
  <si>
    <t>TWO ROCKS</t>
  </si>
  <si>
    <t>ALKIMOS</t>
  </si>
  <si>
    <t>CARABAN</t>
  </si>
  <si>
    <t>SEABIRD</t>
  </si>
  <si>
    <t>BRETON BAY</t>
  </si>
  <si>
    <t>KARAKIN</t>
  </si>
  <si>
    <t>COOLBINIA</t>
  </si>
  <si>
    <t>MAYLANDS</t>
  </si>
  <si>
    <t>BEDFORD</t>
  </si>
  <si>
    <t>BRABHAM</t>
  </si>
  <si>
    <t>BASKERVILLE</t>
  </si>
  <si>
    <t>HIGH WYCOMBE</t>
  </si>
  <si>
    <t>FORRESTFIELD</t>
  </si>
  <si>
    <t>DIANELLA</t>
  </si>
  <si>
    <t>JOONDANNA</t>
  </si>
  <si>
    <t>BALGA</t>
  </si>
  <si>
    <t>EMBLETON</t>
  </si>
  <si>
    <t>BEECHBORO</t>
  </si>
  <si>
    <t>ALEXANDER HEIGHTS</t>
  </si>
  <si>
    <t>BALLAJURA</t>
  </si>
  <si>
    <t>CULLACABARDEE</t>
  </si>
  <si>
    <t>WHITEMAN</t>
  </si>
  <si>
    <t>AVELEY</t>
  </si>
  <si>
    <t>GLEN FORREST</t>
  </si>
  <si>
    <t>MAHOGANY CREEK</t>
  </si>
  <si>
    <t>MUNDARING</t>
  </si>
  <si>
    <t>SAWYERS VALLEY</t>
  </si>
  <si>
    <t>BICKLEY</t>
  </si>
  <si>
    <t>GNANGARA</t>
  </si>
  <si>
    <t>MARIGINIUP</t>
  </si>
  <si>
    <t>LEXIA</t>
  </si>
  <si>
    <t>PARKERVILLE</t>
  </si>
  <si>
    <t>BAILUP</t>
  </si>
  <si>
    <t>GIDGEGANNUP</t>
  </si>
  <si>
    <t>AVON VALLEY NATIONAL PARK</t>
  </si>
  <si>
    <t>MALAGA</t>
  </si>
  <si>
    <t>BURSWOOD</t>
  </si>
  <si>
    <t>CARLISLE</t>
  </si>
  <si>
    <t>RIVERVALE</t>
  </si>
  <si>
    <t>CLOVERDALE</t>
  </si>
  <si>
    <t>WELSHPOOL</t>
  </si>
  <si>
    <t>BECKENHAM</t>
  </si>
  <si>
    <t>THORNLIE</t>
  </si>
  <si>
    <t>MADDINGTON</t>
  </si>
  <si>
    <t>GOSNELLS</t>
  </si>
  <si>
    <t>ASHENDON</t>
  </si>
  <si>
    <t>OAKFORD</t>
  </si>
  <si>
    <t>BYFORD</t>
  </si>
  <si>
    <t>MUNDIJONG</t>
  </si>
  <si>
    <t>JARRAHDALE</t>
  </si>
  <si>
    <t>HOPELAND</t>
  </si>
  <si>
    <t>KEYSBROOK</t>
  </si>
  <si>
    <t>LANGFORD</t>
  </si>
  <si>
    <t>FERNDALE</t>
  </si>
  <si>
    <t>BULL CREEK</t>
  </si>
  <si>
    <t>BATEMAN</t>
  </si>
  <si>
    <t>APPLECROSS</t>
  </si>
  <si>
    <t>ALFRED COVE</t>
  </si>
  <si>
    <t>CANNING VALE</t>
  </si>
  <si>
    <t>ATTADALE</t>
  </si>
  <si>
    <t>BICTON</t>
  </si>
  <si>
    <t>EAST FREMANTLE</t>
  </si>
  <si>
    <t>NORTH FREMANTLE</t>
  </si>
  <si>
    <t>FREMANTLE</t>
  </si>
  <si>
    <t>ROTTNEST ISLAND</t>
  </si>
  <si>
    <t>BIBRA LAKE</t>
  </si>
  <si>
    <t>ATWELL</t>
  </si>
  <si>
    <t>ANKETELL</t>
  </si>
  <si>
    <t>COOLOONGUP</t>
  </si>
  <si>
    <t>SAFETY BAY</t>
  </si>
  <si>
    <t>LEDA</t>
  </si>
  <si>
    <t>BALDIVIS</t>
  </si>
  <si>
    <t>PORT KENNEDY</t>
  </si>
  <si>
    <t>SECRET HARBOUR</t>
  </si>
  <si>
    <t>GOLDEN BAY</t>
  </si>
  <si>
    <t>SINGLETON</t>
  </si>
  <si>
    <t>KARNUP</t>
  </si>
  <si>
    <t>LAKELANDS</t>
  </si>
  <si>
    <t>STAKE HILL</t>
  </si>
  <si>
    <t>KERALUP</t>
  </si>
  <si>
    <t>MYARA</t>
  </si>
  <si>
    <t>BLYTHEWOOD</t>
  </si>
  <si>
    <t>BARRAGUP</t>
  </si>
  <si>
    <t>COODANUP</t>
  </si>
  <si>
    <t>BOUVARD</t>
  </si>
  <si>
    <t>BANKSIADALE</t>
  </si>
  <si>
    <t>BIRCHMONT</t>
  </si>
  <si>
    <t>HAMEL</t>
  </si>
  <si>
    <t>YARLOOP</t>
  </si>
  <si>
    <t>COOKERNUP</t>
  </si>
  <si>
    <t>BENGER</t>
  </si>
  <si>
    <t>BEELA</t>
  </si>
  <si>
    <t>ALLANSON</t>
  </si>
  <si>
    <t>ROELANDS</t>
  </si>
  <si>
    <t>BUREKUP</t>
  </si>
  <si>
    <t>PICTON</t>
  </si>
  <si>
    <t>EATON</t>
  </si>
  <si>
    <t>AUSTRALIND</t>
  </si>
  <si>
    <t>CROOKED BROOK</t>
  </si>
  <si>
    <t>BOYANUP</t>
  </si>
  <si>
    <t>LOWDEN</t>
  </si>
  <si>
    <t>WILGA</t>
  </si>
  <si>
    <t>BOYUP BROOK</t>
  </si>
  <si>
    <t>BRAZIER</t>
  </si>
  <si>
    <t>MULLALYUP</t>
  </si>
  <si>
    <t>BALINGUP</t>
  </si>
  <si>
    <t>GREENBUSHES</t>
  </si>
  <si>
    <t>BENJINUP</t>
  </si>
  <si>
    <t>GLENLYNN</t>
  </si>
  <si>
    <t>BALBARRUP</t>
  </si>
  <si>
    <t>BEEDELUP</t>
  </si>
  <si>
    <t>BOORARA BROOK</t>
  </si>
  <si>
    <t>CAPEL</t>
  </si>
  <si>
    <t>BARRABUP</t>
  </si>
  <si>
    <t>ABBA RIVER</t>
  </si>
  <si>
    <t>DUNSBOROUGH</t>
  </si>
  <si>
    <t>YALLINGUP</t>
  </si>
  <si>
    <t>BAUDIN</t>
  </si>
  <si>
    <t>BRAMLEY</t>
  </si>
  <si>
    <t>BORANUP</t>
  </si>
  <si>
    <t>ALEXANDRA BRIDGE</t>
  </si>
  <si>
    <t>AUGUSTA</t>
  </si>
  <si>
    <t>BADGIN</t>
  </si>
  <si>
    <t>BALLY BALLY</t>
  </si>
  <si>
    <t>ALDERSYDE</t>
  </si>
  <si>
    <t>CODJATOTINE</t>
  </si>
  <si>
    <t>EAST POPANYINNING</t>
  </si>
  <si>
    <t>COMMODINE</t>
  </si>
  <si>
    <t>BOUNDAIN</t>
  </si>
  <si>
    <t>ARTHUR RIVER</t>
  </si>
  <si>
    <t>BOYERINE</t>
  </si>
  <si>
    <t>BADGEBUP</t>
  </si>
  <si>
    <t>BROOMEHILL</t>
  </si>
  <si>
    <t>BOBALONG</t>
  </si>
  <si>
    <t>CRANBROOK</t>
  </si>
  <si>
    <t>TENTERDEN</t>
  </si>
  <si>
    <t>KENDENUP</t>
  </si>
  <si>
    <t>DENBARKER</t>
  </si>
  <si>
    <t>NARRIKUP</t>
  </si>
  <si>
    <t>REDMOND</t>
  </si>
  <si>
    <t>CHEYNES</t>
  </si>
  <si>
    <t>ALBANY</t>
  </si>
  <si>
    <t>BOW BRIDGE</t>
  </si>
  <si>
    <t>GNOWANGERUP</t>
  </si>
  <si>
    <t>COWALELLUP</t>
  </si>
  <si>
    <t>FITZGERALD</t>
  </si>
  <si>
    <t>AMELUP</t>
  </si>
  <si>
    <t>NYABING</t>
  </si>
  <si>
    <t>PINGRUP</t>
  </si>
  <si>
    <t>FITZGERALD RIVER NATIONAL PARK</t>
  </si>
  <si>
    <t>DUMBLEYUNG</t>
  </si>
  <si>
    <t>MOULYINNING</t>
  </si>
  <si>
    <t>KUKERIN</t>
  </si>
  <si>
    <t>BEENONG</t>
  </si>
  <si>
    <t>DUNN ROCK</t>
  </si>
  <si>
    <t>HATTER HILL</t>
  </si>
  <si>
    <t>PINGARING</t>
  </si>
  <si>
    <t>KARLGARIN</t>
  </si>
  <si>
    <t>FORRESTANIA</t>
  </si>
  <si>
    <t>HARRISMITH</t>
  </si>
  <si>
    <t>DUDININ</t>
  </si>
  <si>
    <t>JILAKIN</t>
  </si>
  <si>
    <t>KONDININ</t>
  </si>
  <si>
    <t>SOUTH KUMMININ</t>
  </si>
  <si>
    <t>MOUNT WALKER</t>
  </si>
  <si>
    <t>EAST WICKEPIN</t>
  </si>
  <si>
    <t>YEALERING</t>
  </si>
  <si>
    <t>BULLARING</t>
  </si>
  <si>
    <t>ADAMSVALE</t>
  </si>
  <si>
    <t>BADJALING</t>
  </si>
  <si>
    <t>PANTAPIN</t>
  </si>
  <si>
    <t>KWOLYIN</t>
  </si>
  <si>
    <t>SHACKLETON</t>
  </si>
  <si>
    <t>BANNISTER</t>
  </si>
  <si>
    <t>QUINDANNING</t>
  </si>
  <si>
    <t>BOKAL</t>
  </si>
  <si>
    <t>DURANILLIN</t>
  </si>
  <si>
    <t>BEAUFORT RIVER</t>
  </si>
  <si>
    <t>CHERRY TREE POOL</t>
  </si>
  <si>
    <t>FRANKLAND RIVER</t>
  </si>
  <si>
    <t>ROCKY GULLY</t>
  </si>
  <si>
    <t>BROKE</t>
  </si>
  <si>
    <t>GRASS VALLEY</t>
  </si>
  <si>
    <t>GREENWOODS VALLEY</t>
  </si>
  <si>
    <t>CUNDERDIN</t>
  </si>
  <si>
    <t>NORTH TAMMIN</t>
  </si>
  <si>
    <t>DAADENNING CREEK</t>
  </si>
  <si>
    <t>DOODLAKINE</t>
  </si>
  <si>
    <t>BAANDEE</t>
  </si>
  <si>
    <t>HINES HILL</t>
  </si>
  <si>
    <t>NANGEENAN</t>
  </si>
  <si>
    <t>GOOMARIN</t>
  </si>
  <si>
    <t>BRUCE ROCK</t>
  </si>
  <si>
    <t>ARDATH</t>
  </si>
  <si>
    <t>CRAMPHORNE</t>
  </si>
  <si>
    <t>BURRACOPPIN</t>
  </si>
  <si>
    <t>WALGOOLAN</t>
  </si>
  <si>
    <t>BOODAROCKIN</t>
  </si>
  <si>
    <t>BODALLIN</t>
  </si>
  <si>
    <t>DULYALBIN</t>
  </si>
  <si>
    <t>CORINTHIA</t>
  </si>
  <si>
    <t>KOOLYANOBBING</t>
  </si>
  <si>
    <t>BABAKIN</t>
  </si>
  <si>
    <t>BOORABBIN</t>
  </si>
  <si>
    <t>SOUTH KALGOORLIE</t>
  </si>
  <si>
    <t>BOORARA</t>
  </si>
  <si>
    <t>MixWA</t>
  </si>
  <si>
    <t>BOULDER</t>
  </si>
  <si>
    <t>CUNDEELEE</t>
  </si>
  <si>
    <t>MENZIES</t>
  </si>
  <si>
    <t>LEINSTER</t>
  </si>
  <si>
    <t>LAKE DARLOT</t>
  </si>
  <si>
    <t>BANDYA</t>
  </si>
  <si>
    <t>KAMBALDA EAST</t>
  </si>
  <si>
    <t>BALLADONIA</t>
  </si>
  <si>
    <t>NORTH CASCADE</t>
  </si>
  <si>
    <t>GRASS PATCH</t>
  </si>
  <si>
    <t>LORT RIVER</t>
  </si>
  <si>
    <t>GIBSON</t>
  </si>
  <si>
    <t>BANDY CREEK</t>
  </si>
  <si>
    <t>BURAMINYA</t>
  </si>
  <si>
    <t>GOOMALLING</t>
  </si>
  <si>
    <t>DOWERIN</t>
  </si>
  <si>
    <t>HINDMARSH</t>
  </si>
  <si>
    <t>BENJABERRING</t>
  </si>
  <si>
    <t>MANMANNING</t>
  </si>
  <si>
    <t>CADOUX</t>
  </si>
  <si>
    <t>BURAKIN</t>
  </si>
  <si>
    <t>GOODLANDS</t>
  </si>
  <si>
    <t>KULJA</t>
  </si>
  <si>
    <t>BEACON</t>
  </si>
  <si>
    <t>NORTH WIALKI</t>
  </si>
  <si>
    <t>BADGERIN ROCK</t>
  </si>
  <si>
    <t>GABBIN</t>
  </si>
  <si>
    <t>BENCUBBIN</t>
  </si>
  <si>
    <t>BARBALIN</t>
  </si>
  <si>
    <t>NUKARNI</t>
  </si>
  <si>
    <t>BULLFINCH</t>
  </si>
  <si>
    <t>COWCOWING</t>
  </si>
  <si>
    <t>NORTH YELBENI</t>
  </si>
  <si>
    <t>NORTH TRAYNING</t>
  </si>
  <si>
    <t>KUNUNOPPIN</t>
  </si>
  <si>
    <t>BURRAN ROCK</t>
  </si>
  <si>
    <t>MUCHEA</t>
  </si>
  <si>
    <t>BINDOON</t>
  </si>
  <si>
    <t>BAMBUN</t>
  </si>
  <si>
    <t>MOOLIABEENEE</t>
  </si>
  <si>
    <t>WANNAMAL</t>
  </si>
  <si>
    <t>MOGUMBER</t>
  </si>
  <si>
    <t>CATABY</t>
  </si>
  <si>
    <t>GLENTROMIE</t>
  </si>
  <si>
    <t>BARBERTON</t>
  </si>
  <si>
    <t>CERVANTES</t>
  </si>
  <si>
    <t>COOMBERDALE</t>
  </si>
  <si>
    <t>GUNYIDI</t>
  </si>
  <si>
    <t>GREEN HEAD</t>
  </si>
  <si>
    <t>COOROW</t>
  </si>
  <si>
    <t>JURIEN BAY</t>
  </si>
  <si>
    <t>CARNAMAH</t>
  </si>
  <si>
    <t>ENEABBA</t>
  </si>
  <si>
    <t>ARRINO</t>
  </si>
  <si>
    <t>BADGINGARRA</t>
  </si>
  <si>
    <t>ALLANOOKA</t>
  </si>
  <si>
    <t>MOUNT HILL</t>
  </si>
  <si>
    <t>BEACHLANDS</t>
  </si>
  <si>
    <t>AJANA</t>
  </si>
  <si>
    <t>KALBARRI</t>
  </si>
  <si>
    <t>DENHAM</t>
  </si>
  <si>
    <t>BEECHINA</t>
  </si>
  <si>
    <t>WOOROLOO</t>
  </si>
  <si>
    <t>WUNDOWIE</t>
  </si>
  <si>
    <t>BAKERS HILL</t>
  </si>
  <si>
    <t>CLACKLINE</t>
  </si>
  <si>
    <t>BEJOORDING</t>
  </si>
  <si>
    <t>DEWARS POOL</t>
  </si>
  <si>
    <t>BOLGART</t>
  </si>
  <si>
    <t>CALINGIRI</t>
  </si>
  <si>
    <t>YERECOIN</t>
  </si>
  <si>
    <t>PIAWANING</t>
  </si>
  <si>
    <t>BINDI BINDI</t>
  </si>
  <si>
    <t>MILING</t>
  </si>
  <si>
    <t>KONNONGORRING</t>
  </si>
  <si>
    <t>KONDUT</t>
  </si>
  <si>
    <t>BALLIDU</t>
  </si>
  <si>
    <t>EAST DAMBORING</t>
  </si>
  <si>
    <t>DALWALLINU</t>
  </si>
  <si>
    <t>JIBBERDING</t>
  </si>
  <si>
    <t>BUNTINE</t>
  </si>
  <si>
    <t>MAYA</t>
  </si>
  <si>
    <t>LATHAM</t>
  </si>
  <si>
    <t>PERENJORI</t>
  </si>
  <si>
    <t>BOWGADA</t>
  </si>
  <si>
    <t>MERKANOOKA</t>
  </si>
  <si>
    <t>CANNA</t>
  </si>
  <si>
    <t>TARDUN</t>
  </si>
  <si>
    <t>DEVILS CREEK</t>
  </si>
  <si>
    <t>PINDAR</t>
  </si>
  <si>
    <t>AMBANIA</t>
  </si>
  <si>
    <t>SOUTH MURCHISON</t>
  </si>
  <si>
    <t>COOLADAR HILL</t>
  </si>
  <si>
    <t>SANDSTONE</t>
  </si>
  <si>
    <t>CUE</t>
  </si>
  <si>
    <t>ANGELO RIVER</t>
  </si>
  <si>
    <t>LAKE CARNEGIE</t>
  </si>
  <si>
    <t>BABBAGE ISLAND</t>
  </si>
  <si>
    <t>EAST LYONS RIVER</t>
  </si>
  <si>
    <t>North</t>
  </si>
  <si>
    <t>CAPE RANGE NATIONAL PARK</t>
  </si>
  <si>
    <t>CANE</t>
  </si>
  <si>
    <t>THEVENARD ISLAND</t>
  </si>
  <si>
    <t>BARROW ISLAND</t>
  </si>
  <si>
    <t>DAMPIER</t>
  </si>
  <si>
    <t>ANTONYMYRE</t>
  </si>
  <si>
    <t>FORTESCUE</t>
  </si>
  <si>
    <t>ROEBOURNE</t>
  </si>
  <si>
    <t>INDEE</t>
  </si>
  <si>
    <t>BOODARIE</t>
  </si>
  <si>
    <t>BILINGURR</t>
  </si>
  <si>
    <t>CABLE BEACH</t>
  </si>
  <si>
    <t>CAMBALLIN</t>
  </si>
  <si>
    <t>KOOLAN ISLAND</t>
  </si>
  <si>
    <t>DRYSDALE RIVER</t>
  </si>
  <si>
    <t>CAMBRIDGE GULF</t>
  </si>
  <si>
    <t>CHICHESTER</t>
  </si>
  <si>
    <t>NEWMAN</t>
  </si>
  <si>
    <t>PARABURDOO</t>
  </si>
  <si>
    <t>NULLAGINE</t>
  </si>
  <si>
    <t>MARBLE BAR</t>
  </si>
  <si>
    <t>TELFER</t>
  </si>
  <si>
    <t>FITZROY CROSSING</t>
  </si>
  <si>
    <t>HALLS CREEK</t>
  </si>
  <si>
    <t>CHRISTMAS ISLAND</t>
  </si>
  <si>
    <t>HOME ISLAND COCOS (KEELING) ISLANDS</t>
  </si>
  <si>
    <t>GLEBE</t>
  </si>
  <si>
    <t>BATTERY POINT</t>
  </si>
  <si>
    <t>DYNNYRNE</t>
  </si>
  <si>
    <t>MOUNT NELSON</t>
  </si>
  <si>
    <t>LENAH VALLEY</t>
  </si>
  <si>
    <t>DERWENT PARK</t>
  </si>
  <si>
    <t>DOWSING POINT</t>
  </si>
  <si>
    <t>AUSTINS FERRY</t>
  </si>
  <si>
    <t>COLLINSVALE</t>
  </si>
  <si>
    <t>GEILSTON BAY</t>
  </si>
  <si>
    <t>RISDON VALE</t>
  </si>
  <si>
    <t>GRASSTREE HILL</t>
  </si>
  <si>
    <t>BELLERIVE</t>
  </si>
  <si>
    <t>CLARENDON VALE</t>
  </si>
  <si>
    <t>LAUDERDALE</t>
  </si>
  <si>
    <t>SOUTH ARM</t>
  </si>
  <si>
    <t>OPOSSUM BAY</t>
  </si>
  <si>
    <t>DULCOT</t>
  </si>
  <si>
    <t>CAMPANIA</t>
  </si>
  <si>
    <t>COLEBROOK</t>
  </si>
  <si>
    <t>BLACKMANS BAY</t>
  </si>
  <si>
    <t>BONNET HILL</t>
  </si>
  <si>
    <t>BARRETTA</t>
  </si>
  <si>
    <t>HUNTINGFIELD</t>
  </si>
  <si>
    <t>CRABTREE</t>
  </si>
  <si>
    <t>ABELS BAY</t>
  </si>
  <si>
    <t>FRANKLIN</t>
  </si>
  <si>
    <t>BROOKS BAY</t>
  </si>
  <si>
    <t>DOVER</t>
  </si>
  <si>
    <t>STONOR</t>
  </si>
  <si>
    <t>ANDOVER</t>
  </si>
  <si>
    <t>STRATHGORDON</t>
  </si>
  <si>
    <t>BLACK HILLS</t>
  </si>
  <si>
    <t>ADVENTURE BAY</t>
  </si>
  <si>
    <t>KETTERING</t>
  </si>
  <si>
    <t>BIRCHS BAY</t>
  </si>
  <si>
    <t>FLOWERPOT</t>
  </si>
  <si>
    <t>ACTON PARK</t>
  </si>
  <si>
    <t>MIDWAY POINT</t>
  </si>
  <si>
    <t>NUGENT</t>
  </si>
  <si>
    <t>COPPING</t>
  </si>
  <si>
    <t>BREAM CREEK</t>
  </si>
  <si>
    <t>KELLEVIE</t>
  </si>
  <si>
    <t>BOOMER BAY</t>
  </si>
  <si>
    <t>MURDUNNA</t>
  </si>
  <si>
    <t>EAGLEHAWK NECK</t>
  </si>
  <si>
    <t>TARANNA</t>
  </si>
  <si>
    <t>CAPE PILLAR</t>
  </si>
  <si>
    <t>HIGHCROFT</t>
  </si>
  <si>
    <t>CAPE RAOUL</t>
  </si>
  <si>
    <t>PREMAYDENA</t>
  </si>
  <si>
    <t>SALTWATER RIVER</t>
  </si>
  <si>
    <t>KOONYA</t>
  </si>
  <si>
    <t>TRIABUNNA</t>
  </si>
  <si>
    <t>ROSS</t>
  </si>
  <si>
    <t>CAMPBELL TOWN</t>
  </si>
  <si>
    <t>EVANDALE</t>
  </si>
  <si>
    <t>FINGAL</t>
  </si>
  <si>
    <t>AKAROA</t>
  </si>
  <si>
    <t>INVERMAY</t>
  </si>
  <si>
    <t>KINGS MEADOWS</t>
  </si>
  <si>
    <t>BLACKSTONE HEIGHTS</t>
  </si>
  <si>
    <t>BEECHFORD</t>
  </si>
  <si>
    <t>BELL BAY</t>
  </si>
  <si>
    <t>BELLINGHAM</t>
  </si>
  <si>
    <t>BLUE ROCKS</t>
  </si>
  <si>
    <t>King Island</t>
  </si>
  <si>
    <t>CAPE BARREN ISLAND</t>
  </si>
  <si>
    <t>BREADALBANE</t>
  </si>
  <si>
    <t>MYRTLE BANK</t>
  </si>
  <si>
    <t>BLUMONT</t>
  </si>
  <si>
    <t>BRANXHOLM</t>
  </si>
  <si>
    <t>BRIDPORT</t>
  </si>
  <si>
    <t>ANSONS BAY</t>
  </si>
  <si>
    <t>BANCA</t>
  </si>
  <si>
    <t>BADGER HEAD</t>
  </si>
  <si>
    <t>GRAVELLY BEACH</t>
  </si>
  <si>
    <t>BRIDGENORTH</t>
  </si>
  <si>
    <t>HADSPEN</t>
  </si>
  <si>
    <t>CARRICK</t>
  </si>
  <si>
    <t>HAGLEY</t>
  </si>
  <si>
    <t>DEVON HILLS</t>
  </si>
  <si>
    <t>BISHOPSBOURNE</t>
  </si>
  <si>
    <t>BRACKNELL</t>
  </si>
  <si>
    <t>BIRRALEE</t>
  </si>
  <si>
    <t>BRANDUM</t>
  </si>
  <si>
    <t>MERSEYLEA</t>
  </si>
  <si>
    <t>ACACIA HILLS</t>
  </si>
  <si>
    <t>BAKERS BEACH</t>
  </si>
  <si>
    <t>ABBOTSHAM</t>
  </si>
  <si>
    <t>PENGUIN</t>
  </si>
  <si>
    <t>BLACK RIVER</t>
  </si>
  <si>
    <t>SOMERSET</t>
  </si>
  <si>
    <t>CALDER</t>
  </si>
  <si>
    <t>SMITHTON</t>
  </si>
  <si>
    <t>STANLEY</t>
  </si>
  <si>
    <t>GORMANSTON</t>
  </si>
  <si>
    <t>LAKE MARGARET</t>
  </si>
  <si>
    <t>MACQUARIE HEADS</t>
  </si>
  <si>
    <t>GRANVILLE HARBOUR</t>
  </si>
  <si>
    <t>ROSEBERY</t>
  </si>
  <si>
    <t>RATE CODE REFERENCES</t>
  </si>
  <si>
    <t>rateCodeTable</t>
  </si>
  <si>
    <t>RATE TYPE</t>
  </si>
  <si>
    <t>REPAYMENT TYPE</t>
  </si>
  <si>
    <t>FIXED/IO TERM</t>
  </si>
  <si>
    <t>INITIAL RATE CODE</t>
  </si>
  <si>
    <t>SUBSEQUENT RATE CODE</t>
  </si>
  <si>
    <t>FIXED RATE CODE</t>
  </si>
  <si>
    <t>VARIABLE RATE CODE</t>
  </si>
  <si>
    <t>INITIAL RATE</t>
  </si>
  <si>
    <t>SUBSEQUENT RATE</t>
  </si>
  <si>
    <t>PRODUCT NAME</t>
  </si>
  <si>
    <t>SYSTEM (OLD)</t>
  </si>
  <si>
    <t>SYSTEMS</t>
  </si>
  <si>
    <t>PDF PRODUCT NAME</t>
  </si>
  <si>
    <t>rateType</t>
  </si>
  <si>
    <t>rateTypes</t>
  </si>
  <si>
    <t>fixedIoTerm</t>
  </si>
  <si>
    <t>initialRateCode</t>
  </si>
  <si>
    <t>subsequentRateCode</t>
  </si>
  <si>
    <t>fixedRateCode</t>
  </si>
  <si>
    <t>variableRateCode</t>
  </si>
  <si>
    <t>productName</t>
  </si>
  <si>
    <t>system</t>
  </si>
  <si>
    <t>systems</t>
  </si>
  <si>
    <t>breakfree</t>
  </si>
  <si>
    <t>pdfProductName</t>
  </si>
  <si>
    <t>"fixed"</t>
  </si>
  <si>
    <t>"principalAndInterest"</t>
  </si>
  <si>
    <t>PHL.FR.FR1I</t>
  </si>
  <si>
    <t>ANZ 1 Year Fixed Rate Home Loan</t>
  </si>
  <si>
    <t>PHL.FR.FR2I</t>
  </si>
  <si>
    <t>ANZ 2 Year Fixed Rate Home Loan</t>
  </si>
  <si>
    <t>PHL.FR.FR3I</t>
  </si>
  <si>
    <t>ANZ 3 Year Fixed Rate Home Loan</t>
  </si>
  <si>
    <t>PHL.FR.FR4I</t>
  </si>
  <si>
    <t>ANZ 4 Year Fixed Rate Home Loan</t>
  </si>
  <si>
    <t>PHL.FR.FR5I</t>
  </si>
  <si>
    <t>ANZ 5 Year Fixed Rate Home Loan</t>
  </si>
  <si>
    <t>PHL.FR.FR7I</t>
  </si>
  <si>
    <t>ANZ 6 Year Fixed Rate Home Loan</t>
  </si>
  <si>
    <t>holmes</t>
  </si>
  <si>
    <t>"holmes"</t>
  </si>
  <si>
    <t>ANZ 7 Year Fixed Rate Home Loan</t>
  </si>
  <si>
    <t>PHL.FR.FR10I</t>
  </si>
  <si>
    <t>ANZ 8 Year Fixed Rate Home Loan</t>
  </si>
  <si>
    <t>ANZ 9 Year Fixed Rate Home Loan</t>
  </si>
  <si>
    <t>ANZ 10 Year Fixed Rate Home Loan</t>
  </si>
  <si>
    <t>"interestOnly"</t>
  </si>
  <si>
    <t>PHL.FR.FR1IIO</t>
  </si>
  <si>
    <t>PHL.FR.FR2IIO</t>
  </si>
  <si>
    <t>PHL.FR.FR3IIO</t>
  </si>
  <si>
    <t>PHL.FR.FR4IIO</t>
  </si>
  <si>
    <t>PHL.FR.FR5IIO</t>
  </si>
  <si>
    <t>PHL.FR.FR7IIO</t>
  </si>
  <si>
    <t>"NONE"</t>
  </si>
  <si>
    <t>PHL.FR.FR10IIO</t>
  </si>
  <si>
    <t>PRL.IFR.IFR1I</t>
  </si>
  <si>
    <t>ANZ 1 Year Fixed Rate RIL</t>
  </si>
  <si>
    <t>PRL.IFR.IFR2I</t>
  </si>
  <si>
    <t>ANZ 2 Year Fixed Rate RIL</t>
  </si>
  <si>
    <t>PRL.IFR.IFR3I</t>
  </si>
  <si>
    <t>ANZ 3 Year Fixed Rate RIL</t>
  </si>
  <si>
    <t>PRL.IFR.IFR4I</t>
  </si>
  <si>
    <t>ANZ 4 Year Fixed Rate RIL</t>
  </si>
  <si>
    <t>PRL.IFR.IFR5I</t>
  </si>
  <si>
    <t>ANZ 5 Year Fixed Rate RIL</t>
  </si>
  <si>
    <t>PRL.IFR.IFR7I</t>
  </si>
  <si>
    <t>ANZ 6 Year Fixed Rate RIL</t>
  </si>
  <si>
    <t>ANZ 7 Year Fixed Rate RIL</t>
  </si>
  <si>
    <t>PRL.IFR.IFR10I</t>
  </si>
  <si>
    <t>ANZ 8 Year Fixed Rate RIL</t>
  </si>
  <si>
    <t>ANZ 9 Year Fixed Rate RIL</t>
  </si>
  <si>
    <t>ANZ 10 Year Fixed Rate RIL</t>
  </si>
  <si>
    <t>PRL.IFR.IFR1IIO</t>
  </si>
  <si>
    <t>PRL.IFR.IFR2IIO</t>
  </si>
  <si>
    <t>PRL.IFR.IFR3IIO</t>
  </si>
  <si>
    <t>PRL.IFR.IFR4IIO</t>
  </si>
  <si>
    <t>PRL.IFR.IFR5IIO</t>
  </si>
  <si>
    <t>PRL.IFR.IFR7IIO</t>
  </si>
  <si>
    <t>PRL.IFR.IFR10IIO</t>
  </si>
  <si>
    <t>"interestInAdvance"</t>
  </si>
  <si>
    <t>ANZ 1 Interest-in-Advance RIL</t>
  </si>
  <si>
    <t>ANZ 2 Interest-in-Advance RIL</t>
  </si>
  <si>
    <t>ANZ 3 Interest-in-Advance RIL</t>
  </si>
  <si>
    <t>ANZ 4 Interest-in-Advance RIL</t>
  </si>
  <si>
    <t>ANZ 5 Interest-in-Advance RIL</t>
  </si>
  <si>
    <t>ANZ 6 Interest-in-Advance RIL</t>
  </si>
  <si>
    <t>ANZ 7 Interest-in-Advance RIL</t>
  </si>
  <si>
    <t>ANZ 8 Interest-in-Advance RIL</t>
  </si>
  <si>
    <t>ANZ 9 Interest-in-Advance RIL</t>
  </si>
  <si>
    <t>ANZ 10 Interest-in-Advance RIL</t>
  </si>
  <si>
    <t>"variable"</t>
  </si>
  <si>
    <t>ANZ Standard Variable Home Loan</t>
  </si>
  <si>
    <t>ANZ Standard Variable RIL</t>
  </si>
  <si>
    <t>ANZ Standard Variable Residential Investment Loan</t>
  </si>
  <si>
    <t>PHL.VR.VRIIO</t>
  </si>
  <si>
    <t>PRL.IVR.IVRIIO</t>
  </si>
  <si>
    <t>"simplicityPlus"</t>
  </si>
  <si>
    <t>PHL.SP.SPI</t>
  </si>
  <si>
    <t>ANZ Simplicity PLUS Home Loan</t>
  </si>
  <si>
    <t>PRL.ISP.ISPI</t>
  </si>
  <si>
    <t>ANZ Simplicity PLUS RIL</t>
  </si>
  <si>
    <t>ANZ Simplicity PLUS Residential Investment Loan</t>
  </si>
  <si>
    <t>PHL.SP.SPIIO</t>
  </si>
  <si>
    <t>PRL.ISP.ISPIIO</t>
  </si>
  <si>
    <t>"equityManager"</t>
  </si>
  <si>
    <t xml:space="preserve">ANZ Equity Manager </t>
  </si>
  <si>
    <t>FIRST HOME OWNERS GRANT</t>
  </si>
  <si>
    <t>Effective Date - FHOG</t>
  </si>
  <si>
    <t>effectiveDateFHOG</t>
  </si>
  <si>
    <t>firstHomeOwnersGrantLumpSum</t>
  </si>
  <si>
    <t>ELIGIBLETYPES</t>
  </si>
  <si>
    <t>UNCERTAIN</t>
  </si>
  <si>
    <t>cutoffThreshold</t>
  </si>
  <si>
    <t>eligibleTypes</t>
  </si>
  <si>
    <t>uncertain</t>
  </si>
  <si>
    <t>"new", "offThePlan" , "landConstruct"</t>
  </si>
  <si>
    <t>"new"</t>
  </si>
  <si>
    <t>"offThePlan" , "landConstruct"</t>
  </si>
  <si>
    <t>firstHomeOwnersGrantLumpSumDetails</t>
  </si>
  <si>
    <t>POST_CODE_CATEGORY</t>
  </si>
  <si>
    <t>"new", "offThePlan" , "landConstruct", "constructOnly"</t>
  </si>
  <si>
    <t>"offThePlan" , "landConstruct", "constructOnly"</t>
  </si>
  <si>
    <t>"South", "MixWA"</t>
  </si>
  <si>
    <t>"North"</t>
  </si>
  <si>
    <t>firstHomeOwnersGrantStampDutyReduction</t>
  </si>
  <si>
    <t>STAMP_DUTY_REDUCTION</t>
  </si>
  <si>
    <t>PRICING</t>
  </si>
  <si>
    <t>Effective Date - Pricing</t>
  </si>
  <si>
    <t>effectiveDatePricing</t>
  </si>
  <si>
    <t>2021-03-14T00:00:00Z</t>
  </si>
  <si>
    <t>breakfreeSpecialOfferTable</t>
  </si>
  <si>
    <t>Tier
Number</t>
  </si>
  <si>
    <t>Start
Date</t>
  </si>
  <si>
    <t>End
Date</t>
  </si>
  <si>
    <t>Minimum
New Application Lending Amount</t>
  </si>
  <si>
    <t>Maximum
New Application Lending Amount</t>
  </si>
  <si>
    <t>Minimum
Total Mortgage
Lending Amount</t>
  </si>
  <si>
    <t>Maximum
Total Mortgage
Lending Amount</t>
  </si>
  <si>
    <t>Minimum FIXED_IO_TERM</t>
  </si>
  <si>
    <t>Maximum FIXED_IO_TERM</t>
  </si>
  <si>
    <t>Minimum
Application
LVR_INCLUDING_LMI</t>
  </si>
  <si>
    <t>Maximum
Application
LVR_INCLUDING_LMI</t>
  </si>
  <si>
    <t>BREAKFREE_YN</t>
  </si>
  <si>
    <t>FEE_WAIVER</t>
  </si>
  <si>
    <t>FR_DISCOUNT</t>
  </si>
  <si>
    <t>VR_DISCOUNT</t>
  </si>
  <si>
    <t>startDate</t>
  </si>
  <si>
    <t>endDate</t>
  </si>
  <si>
    <t>newApplicationLendingAmountThreshold</t>
  </si>
  <si>
    <t>totalMortgageLendingAmountThreshold</t>
  </si>
  <si>
    <t>fixedInterestOnlyTermThreshold</t>
  </si>
  <si>
    <t>applicationLvrIncludingLmiThreshold</t>
  </si>
  <si>
    <t>feeWaiver</t>
  </si>
  <si>
    <t>initialRateDiscount</t>
  </si>
  <si>
    <t>subsequentRateDiscount</t>
  </si>
  <si>
    <t>fixedRateDiscount</t>
  </si>
  <si>
    <t>variableRateDiscount</t>
  </si>
  <si>
    <t>2012-03-01</t>
  </si>
  <si>
    <t>null</t>
  </si>
  <si>
    <t>"LAF"</t>
  </si>
  <si>
    <t>2018-08-02</t>
  </si>
  <si>
    <t>X148</t>
  </si>
  <si>
    <t>OO_to_INV</t>
  </si>
  <si>
    <t>INV_to_OO</t>
  </si>
  <si>
    <t>CurrentRateType</t>
  </si>
  <si>
    <t>CurrentRepaymentType</t>
  </si>
  <si>
    <t>FutureRateType</t>
  </si>
  <si>
    <t>FutureRepaymentType</t>
  </si>
  <si>
    <t>LimitReduction</t>
  </si>
  <si>
    <t>INITIAL_TERM</t>
  </si>
  <si>
    <t>SUBSEQUENT_TERM</t>
  </si>
  <si>
    <t>X149</t>
  </si>
  <si>
    <t>X150</t>
  </si>
  <si>
    <t>X151</t>
  </si>
  <si>
    <t>X152</t>
  </si>
  <si>
    <t>X153</t>
  </si>
  <si>
    <t>X154</t>
  </si>
  <si>
    <t>X155</t>
  </si>
  <si>
    <t>X156</t>
  </si>
  <si>
    <t>X157</t>
  </si>
  <si>
    <t>"fixed", "variable"</t>
  </si>
  <si>
    <t>"interestOnly", "principalAndInterest"</t>
  </si>
  <si>
    <t>"lineOfCredit"</t>
  </si>
  <si>
    <t>BREAKFREE FORM ITEMS</t>
  </si>
  <si>
    <t>SHOW TRANSACTION ACCOUNT SECTION</t>
  </si>
  <si>
    <t>X083</t>
  </si>
  <si>
    <t>SHOW LOAN AMOUNT SECTION</t>
  </si>
  <si>
    <t>X084</t>
  </si>
  <si>
    <t>"new", "existing"</t>
  </si>
  <si>
    <t>"NO CREDIT CARD" ALLOWED</t>
  </si>
  <si>
    <t>X095</t>
  </si>
  <si>
    <t>ALLOW MULTIPLE TRANSACTION ACCOUNTS FOR BREAKFREE</t>
  </si>
  <si>
    <t>X085</t>
  </si>
  <si>
    <t>breakfreeCreditCardTypes</t>
  </si>
  <si>
    <t>CARD ID</t>
  </si>
  <si>
    <t>CARD TYPE</t>
  </si>
  <si>
    <t>MINIMUM</t>
  </si>
  <si>
    <t>MAXIMUM</t>
  </si>
  <si>
    <t>FREQUENT FLYER</t>
  </si>
  <si>
    <t>DOWNGRADE OPTION</t>
  </si>
  <si>
    <t>DISCLAIMER</t>
  </si>
  <si>
    <t>cardId</t>
  </si>
  <si>
    <t>cardType</t>
  </si>
  <si>
    <t>minimum</t>
  </si>
  <si>
    <t>maximum</t>
  </si>
  <si>
    <t>frequentFlyer</t>
  </si>
  <si>
    <t>downgrade</t>
  </si>
  <si>
    <t>disclaimer</t>
  </si>
  <si>
    <t>ANZ Platinum</t>
  </si>
  <si>
    <t>ANZ Frequent Flyer Platinum</t>
  </si>
  <si>
    <t>Additional Rewards Program Services Fee applies</t>
  </si>
  <si>
    <t>ANZ Rewards Platinum</t>
  </si>
  <si>
    <t>ANZ Low Rate Platinum (discontinued)</t>
  </si>
  <si>
    <t>ANZ has stopped issuing ANZ Low Rate Platinum Mastercard accounts on 25 May 2018. These accounts will be replaced with the ANZ Platinum Visa card account. If your application for ANZ Low Rate Platinum was approved or your card(s) are issued after 25 May 2018, you will be issued an ANZ Platinum account. Your ANZ Platinum account will be a Visa card, instead of a Mastercard, but will have the same or better fees and interest rates as the ANZ Low Rate Platinum account. You should review the product features at www.anz.com/platinumcompare before submitting this application.</t>
  </si>
  <si>
    <t>ANZ Low Rate Visa</t>
  </si>
  <si>
    <t>ANZ Rewards Travel Adventures</t>
  </si>
  <si>
    <t>ANZ Rewards Black</t>
  </si>
  <si>
    <t>ANZ Frequent Flyer Black</t>
  </si>
  <si>
    <t>No Card</t>
  </si>
  <si>
    <t>No Change</t>
  </si>
  <si>
    <t>breakfreeCreditCardFilter</t>
  </si>
  <si>
    <t>FILTER ID</t>
  </si>
  <si>
    <t>FILTER NAME</t>
  </si>
  <si>
    <t>filterID</t>
  </si>
  <si>
    <t>filterName</t>
  </si>
  <si>
    <t>cardStatus</t>
  </si>
  <si>
    <t>"new","existing"</t>
  </si>
  <si>
    <t>"10"</t>
  </si>
  <si>
    <t>"existing"</t>
  </si>
  <si>
    <t>"3","5","8"</t>
  </si>
  <si>
    <t>Flexible rewards card</t>
  </si>
  <si>
    <t>Qantas Frequent Flyer card</t>
  </si>
  <si>
    <t>"2","7"</t>
  </si>
  <si>
    <t>Low ongoing interest rate</t>
  </si>
  <si>
    <t>"9"</t>
  </si>
  <si>
    <t>Simple everyday card</t>
  </si>
  <si>
    <t>"1","9"</t>
  </si>
  <si>
    <t>All cards</t>
  </si>
  <si>
    <t>"1","2","3","4","9","5","7","8"</t>
  </si>
  <si>
    <t>transactionAccountAssuredTypes</t>
  </si>
  <si>
    <t>ASSURED ID</t>
  </si>
  <si>
    <t>DROPDOWN ITEM</t>
  </si>
  <si>
    <t>ACCOUNT STATUS</t>
  </si>
  <si>
    <t>DOWNGRADE</t>
  </si>
  <si>
    <t>assuredId</t>
  </si>
  <si>
    <t>assuredName</t>
  </si>
  <si>
    <t>accountStatus</t>
  </si>
  <si>
    <t>Not Required</t>
  </si>
  <si>
    <t>Purpose Not Eligible</t>
  </si>
  <si>
    <t>ANZ Assured only provides cover for temporary expenses arrising on your ANZ Everyday Account. Customer cannot apply for an ANZ Assured Facility for any other purpose.</t>
  </si>
  <si>
    <t>New $500 Limit</t>
  </si>
  <si>
    <t>New $1000 Limit without downgrade</t>
  </si>
  <si>
    <t>Only consider the customer for a $1,000 limit and if declined, do not consider the customer for a $500 limit.</t>
  </si>
  <si>
    <t>New $1000 Limit with downgrade</t>
  </si>
  <si>
    <t>If the customer does not meet the credit product requirements for the $1,000 limit, they consent to being considered for, and if approved, issued with a $500 limit.</t>
  </si>
  <si>
    <t>Increase to $1000</t>
  </si>
  <si>
    <t>Existing Limit</t>
  </si>
  <si>
    <t>breakfreeLoanTypes</t>
  </si>
  <si>
    <t>NEW</t>
  </si>
  <si>
    <t>ANZ</t>
  </si>
  <si>
    <t>MIN FUTURE LIMIT/BAL</t>
  </si>
  <si>
    <t>OLD_MIN FUTURE LIMIT/BAL</t>
  </si>
  <si>
    <t>new</t>
  </si>
  <si>
    <t>anz</t>
  </si>
  <si>
    <t>X162</t>
  </si>
  <si>
    <t>"fixed","variable"</t>
  </si>
  <si>
    <t>"Standard Residential"</t>
  </si>
  <si>
    <t>LINKED DOCUMENTS</t>
  </si>
  <si>
    <t>Effective Date - Linked Documents</t>
  </si>
  <si>
    <t>effectiveDateLinkedDocuments</t>
  </si>
  <si>
    <t>2019-01-23T09:16:32Z</t>
  </si>
  <si>
    <t>CHECKLIST CONFIG</t>
  </si>
  <si>
    <t>X164</t>
  </si>
  <si>
    <t>CHECKLIST_ID</t>
  </si>
  <si>
    <t>START_DATE</t>
  </si>
  <si>
    <t>END_DATE</t>
  </si>
  <si>
    <t>APPLICATION_TYPES_MANDATORY</t>
  </si>
  <si>
    <t>APPLICATION_TYPES_OPTIONAL</t>
  </si>
  <si>
    <t>POLICY_DESCRIPTION</t>
  </si>
  <si>
    <t>POLICY_LINK</t>
  </si>
  <si>
    <t>REQUIRES ALL</t>
  </si>
  <si>
    <t>REQUIRES ANY ONE</t>
  </si>
  <si>
    <t>X165</t>
  </si>
  <si>
    <t>X186</t>
  </si>
  <si>
    <t>X187</t>
  </si>
  <si>
    <t>X194</t>
  </si>
  <si>
    <t>X195</t>
  </si>
  <si>
    <t>X166</t>
  </si>
  <si>
    <t>X167</t>
  </si>
  <si>
    <t>X168</t>
  </si>
  <si>
    <t>X169</t>
  </si>
  <si>
    <t>PAYG Employment income</t>
  </si>
  <si>
    <t>FLD1007</t>
  </si>
  <si>
    <t>"ALL"</t>
  </si>
  <si>
    <t>BS0001,BS0004,PAY001|BS0001,PAY001|BS0004,XXX1|BS0001,XXX1|BS0004,EC01|BS0001,EC01|BS0004,EC01|PAY001,EC01|XXX1,EC01|TRP001|ATO001,EC01|LFE001,EC01|PS0001,TRP001|ATO001|LFE001,TRP001|ATO001|A15,EMPFL038|BS0001,EMPFL038|BS0004,EMPFL038|PAY001,EMPFL038|XXX1,EMPFL038|TRP001|ATO001 ,EMPFL038|PS0001</t>
  </si>
  <si>
    <t>Rental income</t>
  </si>
  <si>
    <t>FLD1006CurrentAsset</t>
  </si>
  <si>
    <t>http://max.anz/FileStore/RiskPolicy/Retail_Credit_Requirements_Mortgages/HTMLZ/mcr_additional_income_sources.htm</t>
  </si>
  <si>
    <t>Deposit/ Contribution</t>
  </si>
  <si>
    <t>FLD1016</t>
  </si>
  <si>
    <t>FHOG contribution</t>
  </si>
  <si>
    <t>FLD1016FhogDeposit</t>
  </si>
  <si>
    <t>Income from other assets</t>
  </si>
  <si>
    <t>ANZ1003_OtherAsset</t>
  </si>
  <si>
    <t>Confirm Lock Rate fee payment for [resultant loan]</t>
  </si>
  <si>
    <t>SST5006</t>
  </si>
  <si>
    <t>"NCC"</t>
  </si>
  <si>
    <t>Upload your Lock Rate Request and Fee Payment Authorisation form</t>
  </si>
  <si>
    <t>https://max.global.anz.com/Work/Products%20and%20services/Pages/anz/sites/Lock-Rate.aspx</t>
  </si>
  <si>
    <t>LRAF01</t>
  </si>
  <si>
    <t>The current MPI policy has been cancelled as part of this renewal.</t>
  </si>
  <si>
    <t>If the customer wants to protect their renewed/restructured loan with ANZ Mortgage Protection, set up a new policy for the new loan and complete and upload the ANZ Mortgage Protection Amendment Advice for Renegotiated Loans and mail or fax to the ANZ Insurance Centre.</t>
  </si>
  <si>
    <t>https://max.global.anz.com/Lists/ExternalDocuments/MPIamendmentadvicebranch.pdf</t>
  </si>
  <si>
    <t>ZZZ</t>
  </si>
  <si>
    <t>Proof of Owner Occupation</t>
  </si>
  <si>
    <t>X</t>
  </si>
  <si>
    <t>Provide one of the following documents  that will prove that this loan is secured by the customer's residential address.</t>
  </si>
  <si>
    <t>ALL_RELATED_DOCS</t>
  </si>
  <si>
    <t>CHECKLIST DOCUMENTS</t>
  </si>
  <si>
    <t>X170</t>
  </si>
  <si>
    <t>DOCUMENT_ID</t>
  </si>
  <si>
    <t>DESCRIPTION_OVERRIDE</t>
  </si>
  <si>
    <t>DOCUMENT_FUNCTION_OVERRIDE</t>
  </si>
  <si>
    <t>DOCUMENT_ACTIVITY_OVERRIDE</t>
  </si>
  <si>
    <t>DOCUMENT_POLICY_DESCRIPTION_OVERRIDE</t>
  </si>
  <si>
    <t>EXAMPLE_IMAGE</t>
  </si>
  <si>
    <t>ADD_MORE</t>
  </si>
  <si>
    <t>X171</t>
  </si>
  <si>
    <t>X172</t>
  </si>
  <si>
    <t>X189</t>
  </si>
  <si>
    <t>X173</t>
  </si>
  <si>
    <t>X174</t>
  </si>
  <si>
    <t>X175</t>
  </si>
  <si>
    <t>X176</t>
  </si>
  <si>
    <t>X177</t>
  </si>
  <si>
    <t>X178</t>
  </si>
  <si>
    <t>ADL001</t>
  </si>
  <si>
    <t>R001</t>
  </si>
  <si>
    <t>UB0001</t>
  </si>
  <si>
    <t>IP0001</t>
  </si>
  <si>
    <t>BS0001</t>
  </si>
  <si>
    <t>BS0004</t>
  </si>
  <si>
    <t>PAY001</t>
  </si>
  <si>
    <t>XXX1</t>
  </si>
  <si>
    <t>EC01</t>
  </si>
  <si>
    <t>TRP001</t>
  </si>
  <si>
    <t>ATO001</t>
  </si>
  <si>
    <t>LFE001</t>
  </si>
  <si>
    <t>PS0001</t>
  </si>
  <si>
    <t>EMPFL038</t>
  </si>
  <si>
    <t>LEA001</t>
  </si>
  <si>
    <t>RS0001</t>
  </si>
  <si>
    <t>3 months of continuous rental credits to an ANZ account. In the event of fluctuating credit payments, use the highest amount over the previous 3 months</t>
  </si>
  <si>
    <t>3 months of continuous rental credits evident on the OFI statement/OFI transaction history. In the event of fluctuating credit payments, use the highest amount over the previous 3 months</t>
  </si>
  <si>
    <t>VALU01</t>
  </si>
  <si>
    <t>Valuation Rental Estimate</t>
  </si>
  <si>
    <t>Only to be used for future rental income from a property which is either new or not yet leased (Prospective Rent) and is unable to be verified by any other means. \n Prospective rental as indicated in a valuation. This can be verified by: \n a. an existing valuation held (irrespective of age), or /n b. a valuation ordered as part of the application process \n A physical valuation should not be ordered solely to verify rental income.</t>
  </si>
  <si>
    <t>RA01</t>
  </si>
  <si>
    <t>&lt;p&gt;Where a valuation is unavailable, the following can be applied: &lt;/p&gt;&lt;p&gt;&lt;/p&gt;&lt;p&gt;For an existing property that is held with ANZ: &lt;/p&gt;&lt;p&gt;&lt;/p&gt;&lt;ul&gt;&lt;li&gt;Apply the FMV from the security value on system (or from ANZ Scenarios) to determine the Automated Rental Estimate from the Online Valuation System.&lt;/li&gt;&lt;/ul&gt;&lt;p&gt;For an existing OFI property which is currently owner-occupied (but is converting to investment) and the Customer is purchasing an owner-occupied property through ANZ &lt;/p&gt;&lt;p&gt;&lt;/p&gt;&lt;ul&gt;&lt;li&gt;Apply the capital improved value from the property rates notice to determine the Automated Rental Estimate from the Online Valuation System.&lt;/li&gt;&lt;/ul&gt;</t>
  </si>
  <si>
    <t>TS0001</t>
  </si>
  <si>
    <t>Title Search (only to be used to verify unequal ownership split)</t>
  </si>
  <si>
    <t>ANZ Account Statement</t>
  </si>
  <si>
    <t>OFI Account Statement</t>
  </si>
  <si>
    <t>XXX2</t>
  </si>
  <si>
    <t>XXX3</t>
  </si>
  <si>
    <t>DOCUMENT LIST</t>
  </si>
  <si>
    <t>X179</t>
  </si>
  <si>
    <t>EDRM_DOCUMENT_ID</t>
  </si>
  <si>
    <t>IS_DOCUMENT</t>
  </si>
  <si>
    <t>EDRM_DOCUMENT_FUNCTION</t>
  </si>
  <si>
    <t>EDRM_DOCUMENT_ACTIVITY</t>
  </si>
  <si>
    <t>DOCUMENT_POLICY_DESCRIPTION</t>
  </si>
  <si>
    <t>X180</t>
  </si>
  <si>
    <t>X190</t>
  </si>
  <si>
    <t>X191</t>
  </si>
  <si>
    <t>X181</t>
  </si>
  <si>
    <t>X182</t>
  </si>
  <si>
    <t>X183</t>
  </si>
  <si>
    <t>X184</t>
  </si>
  <si>
    <t>X185</t>
  </si>
  <si>
    <t>Australian Driver Licence</t>
  </si>
  <si>
    <t>Customer_Management</t>
  </si>
  <si>
    <t>Customer Identification</t>
  </si>
  <si>
    <t>Council Rates Notice</t>
  </si>
  <si>
    <t>Customer Verification</t>
  </si>
  <si>
    <t>Utility Bill</t>
  </si>
  <si>
    <t>Insurance Certificate</t>
  </si>
  <si>
    <t>Credit_Risk_Management</t>
  </si>
  <si>
    <t>Collateral Valuation</t>
  </si>
  <si>
    <t>ANZ transaction history</t>
  </si>
  <si>
    <t>OFI Transaction history / Statements</t>
  </si>
  <si>
    <t>Current Payslips (YTD)</t>
  </si>
  <si>
    <t>Current Payslips (No YTD)</t>
  </si>
  <si>
    <t>EC0002</t>
  </si>
  <si>
    <t>Employment Contract</t>
  </si>
  <si>
    <t>ITR01</t>
  </si>
  <si>
    <t>Individual Tax Return</t>
  </si>
  <si>
    <t>Income Verification</t>
  </si>
  <si>
    <t>Tax Return no older than 18 months</t>
  </si>
  <si>
    <t>NOA01</t>
  </si>
  <si>
    <t>ATO Notice of Assessment</t>
  </si>
  <si>
    <t>Employment Verification</t>
  </si>
  <si>
    <t>Letter from employer</t>
  </si>
  <si>
    <t>Credit Assessment</t>
  </si>
  <si>
    <t>PS01</t>
  </si>
  <si>
    <t>Year end payment summary</t>
  </si>
  <si>
    <t>Remuneration Change Documentation</t>
  </si>
  <si>
    <t>Human Resource Management</t>
  </si>
  <si>
    <t>Remuneration Management</t>
  </si>
  <si>
    <t>A15</t>
  </si>
  <si>
    <t>Employment Confirmation Diary Note</t>
  </si>
  <si>
    <t>A signed lease</t>
  </si>
  <si>
    <t>A formal signed lease (either current or new) – private lease agreements are not acceptable for the purposes of rental income verification.</t>
  </si>
  <si>
    <t>Rental Statement</t>
  </si>
  <si>
    <t>Evidence of rental income verified via one Rental Statement with the rental agent's name clearly identified, dated within 60 days of signed SP date</t>
  </si>
  <si>
    <t>Valuation</t>
  </si>
  <si>
    <t>Automated Rental Estimate</t>
  </si>
  <si>
    <t>Title Search</t>
  </si>
  <si>
    <t>SALES MANAGEMENT</t>
  </si>
  <si>
    <t>Application Management</t>
  </si>
  <si>
    <t>Deposit certificate</t>
  </si>
  <si>
    <t>Shareholders statement</t>
  </si>
  <si>
    <t>Lock Rate Request and Fee Payment Authorisation form</t>
  </si>
  <si>
    <t>One form per fixed rate loan product - signed by all applicants.</t>
  </si>
  <si>
    <t>ANZ Mortgage Protection Amendment Advice for Renegotiated Loans</t>
  </si>
  <si>
    <t>VERIFICATION</t>
  </si>
  <si>
    <t>EMPLOYEMENT VERIFICATION</t>
  </si>
  <si>
    <t>X135</t>
  </si>
  <si>
    <t>PAYSLIP ID</t>
  </si>
  <si>
    <t>FREQUENCY</t>
  </si>
  <si>
    <t>MONTHS</t>
  </si>
  <si>
    <t>OCCURANCES</t>
  </si>
  <si>
    <t>X161</t>
  </si>
  <si>
    <t>X136</t>
  </si>
  <si>
    <t>X137</t>
  </si>
  <si>
    <t>X147</t>
  </si>
  <si>
    <t>X138</t>
  </si>
  <si>
    <t>INCOME TYPES</t>
  </si>
  <si>
    <t>X122</t>
  </si>
  <si>
    <t>ITEM</t>
  </si>
  <si>
    <t>INCOME_CATEGORY</t>
  </si>
  <si>
    <t>INCOME_DESCRIPTION</t>
  </si>
  <si>
    <t>TAXABLE</t>
  </si>
  <si>
    <t>X126</t>
  </si>
  <si>
    <t>X123</t>
  </si>
  <si>
    <t>X124</t>
  </si>
  <si>
    <t>X125</t>
  </si>
  <si>
    <t>*INCOME_TYPES_START</t>
  </si>
  <si>
    <t>Trust Disbursement</t>
  </si>
  <si>
    <t>Other Taxable</t>
  </si>
  <si>
    <t>Other Non-Taxable</t>
  </si>
  <si>
    <t>Aged Pension</t>
  </si>
  <si>
    <t>Carers Payment</t>
  </si>
  <si>
    <t>Disability Pension</t>
  </si>
  <si>
    <t>Family Tax Benefit A &amp; B</t>
  </si>
  <si>
    <t>Parenting Payment</t>
  </si>
  <si>
    <t>Foster Care</t>
  </si>
  <si>
    <t>Veteren Affairs Pension</t>
  </si>
  <si>
    <t>Austudy/Newstart Allowance</t>
  </si>
  <si>
    <t>Other Government Benefits</t>
  </si>
  <si>
    <t>Workcover Benefits</t>
  </si>
  <si>
    <t>&lt;STOP&gt;</t>
  </si>
  <si>
    <t>GUARANTEES</t>
  </si>
  <si>
    <t>TOTAL LVR LIMIT ON GUARANTOR SECURITY</t>
  </si>
  <si>
    <t>X080</t>
  </si>
  <si>
    <t>LIMIT OF GUARANTEES ON GUARANTOR SECURITY</t>
  </si>
  <si>
    <t>X081</t>
  </si>
  <si>
    <t>APPLICATION LVR LIMIT ON PURCHASE EXC GUARANTOR SECURITY</t>
  </si>
  <si>
    <t>X082</t>
  </si>
  <si>
    <t>GUARANTEE_ADMINISTRATION_FEE</t>
  </si>
  <si>
    <t>X196</t>
  </si>
  <si>
    <t>APPLICANT TYPE NUMBER</t>
  </si>
  <si>
    <t>APPLICANT TYPE</t>
  </si>
  <si>
    <t>X120</t>
  </si>
  <si>
    <t>X121</t>
  </si>
  <si>
    <t>Applicant</t>
  </si>
  <si>
    <t>Spousal Guarantor</t>
  </si>
  <si>
    <t>Family Guarantor</t>
  </si>
  <si>
    <t>Servicing Guarantor</t>
  </si>
  <si>
    <t>PREDOMINANT PURPOSE</t>
  </si>
  <si>
    <t>Purpose Costs</t>
  </si>
  <si>
    <t>Buy/Build Type</t>
  </si>
  <si>
    <t>Conveyance Cost</t>
  </si>
  <si>
    <t>Approval Fee</t>
  </si>
  <si>
    <t>Buy a Land and Construct</t>
  </si>
  <si>
    <t>Buy Off the Plan</t>
  </si>
  <si>
    <t>Purpose - Buy/Build</t>
  </si>
  <si>
    <t>Investment Flag</t>
  </si>
  <si>
    <t>Purpose Category</t>
  </si>
  <si>
    <t>Purchase New Dwelling</t>
  </si>
  <si>
    <r>
      <t>Purch New Home-1</t>
    </r>
    <r>
      <rPr>
        <vertAlign val="superscript"/>
        <sz val="10"/>
        <color theme="1"/>
        <rFont val="Verdana"/>
        <family val="2"/>
      </rPr>
      <t>st</t>
    </r>
    <r>
      <rPr>
        <sz val="10"/>
        <color theme="1"/>
        <rFont val="Verdana"/>
        <family val="2"/>
      </rPr>
      <t xml:space="preserve"> Home</t>
    </r>
  </si>
  <si>
    <r>
      <t>Purch New Home-Not 1</t>
    </r>
    <r>
      <rPr>
        <vertAlign val="superscript"/>
        <sz val="10"/>
        <color theme="1"/>
        <rFont val="Verdana"/>
        <family val="2"/>
      </rPr>
      <t>st</t>
    </r>
    <r>
      <rPr>
        <sz val="10"/>
        <color theme="1"/>
        <rFont val="Verdana"/>
        <family val="2"/>
      </rPr>
      <t xml:space="preserve"> Home</t>
    </r>
  </si>
  <si>
    <t>Purchase Established Dwellings</t>
  </si>
  <si>
    <r>
      <t>Purch Estab Home-1</t>
    </r>
    <r>
      <rPr>
        <vertAlign val="superscript"/>
        <sz val="10"/>
        <color theme="1"/>
        <rFont val="Verdana"/>
        <family val="2"/>
      </rPr>
      <t>st</t>
    </r>
    <r>
      <rPr>
        <sz val="10"/>
        <color theme="1"/>
        <rFont val="Verdana"/>
        <family val="2"/>
      </rPr>
      <t xml:space="preserve"> Home</t>
    </r>
  </si>
  <si>
    <r>
      <t>Purch Estab Home-Not 1</t>
    </r>
    <r>
      <rPr>
        <vertAlign val="superscript"/>
        <sz val="10"/>
        <color theme="1"/>
        <rFont val="Verdana"/>
        <family val="2"/>
      </rPr>
      <t>st</t>
    </r>
    <r>
      <rPr>
        <sz val="10"/>
        <color theme="1"/>
        <rFont val="Verdana"/>
        <family val="2"/>
      </rPr>
      <t xml:space="preserve"> Home</t>
    </r>
  </si>
  <si>
    <t>Purchase Land</t>
  </si>
  <si>
    <t>Construction of Dwellings</t>
  </si>
  <si>
    <r>
      <t>Construction-1</t>
    </r>
    <r>
      <rPr>
        <vertAlign val="superscript"/>
        <sz val="10"/>
        <color theme="1"/>
        <rFont val="Verdana"/>
        <family val="2"/>
      </rPr>
      <t>st</t>
    </r>
    <r>
      <rPr>
        <sz val="10"/>
        <color theme="1"/>
        <rFont val="Verdana"/>
        <family val="2"/>
      </rPr>
      <t xml:space="preserve"> Home</t>
    </r>
  </si>
  <si>
    <r>
      <t>Construction-Not 1</t>
    </r>
    <r>
      <rPr>
        <vertAlign val="superscript"/>
        <sz val="10"/>
        <color theme="1"/>
        <rFont val="Verdana"/>
        <family val="2"/>
      </rPr>
      <t>st</t>
    </r>
    <r>
      <rPr>
        <sz val="10"/>
        <color theme="1"/>
        <rFont val="Verdana"/>
        <family val="2"/>
      </rPr>
      <t xml:space="preserve"> Home</t>
    </r>
  </si>
  <si>
    <t>Purpose - Refinance</t>
  </si>
  <si>
    <t>An investment property</t>
  </si>
  <si>
    <t>INVESTMENT_HOME</t>
  </si>
  <si>
    <t>ESTABLISHED_HOME_FHO</t>
  </si>
  <si>
    <t>ESTABLISHED_HOME_NOT_FHO</t>
  </si>
  <si>
    <t>NEW_HOME_FHO</t>
  </si>
  <si>
    <t>NEW_HOME_NOT_FHO</t>
  </si>
  <si>
    <t>CUSTOM_RATE_YN</t>
  </si>
  <si>
    <t>PRODUCT_CODE</t>
  </si>
  <si>
    <t>RATE_CODE</t>
  </si>
  <si>
    <t>CBFR</t>
  </si>
  <si>
    <t>CFR</t>
  </si>
  <si>
    <t>CBVR</t>
  </si>
  <si>
    <t>CVR</t>
  </si>
  <si>
    <t>FR</t>
  </si>
  <si>
    <t>FRIOI</t>
  </si>
  <si>
    <t>FRI</t>
  </si>
  <si>
    <t>FRB</t>
  </si>
  <si>
    <t>FRBIOI</t>
  </si>
  <si>
    <t>FRBI</t>
  </si>
  <si>
    <t>IFR</t>
  </si>
  <si>
    <t>IFRIOI</t>
  </si>
  <si>
    <t>IFRI</t>
  </si>
  <si>
    <t>IFRB</t>
  </si>
  <si>
    <t>IFRBIOI</t>
  </si>
  <si>
    <t>IFRBI</t>
  </si>
  <si>
    <t>VR</t>
  </si>
  <si>
    <t>VRIOI</t>
  </si>
  <si>
    <t>VRI</t>
  </si>
  <si>
    <t>VRB</t>
  </si>
  <si>
    <t>VRBIOI</t>
  </si>
  <si>
    <t>VRBI</t>
  </si>
  <si>
    <t>IVR</t>
  </si>
  <si>
    <t>IVRIOI</t>
  </si>
  <si>
    <t>IVRI</t>
  </si>
  <si>
    <t>IVRB</t>
  </si>
  <si>
    <t>IVRBIOI</t>
  </si>
  <si>
    <t>IVRBI</t>
  </si>
  <si>
    <t>SP</t>
  </si>
  <si>
    <t>SPI</t>
  </si>
  <si>
    <t>SPIOI</t>
  </si>
  <si>
    <t>ISP</t>
  </si>
  <si>
    <t>ISPI</t>
  </si>
  <si>
    <t>ISPIOI</t>
  </si>
  <si>
    <t>BREAKFREE DISCOUNTS</t>
  </si>
  <si>
    <t>TIER</t>
  </si>
  <si>
    <t>DISCOUNT</t>
  </si>
  <si>
    <t>REPAYMENT CALC PRODUCT LISTS</t>
  </si>
  <si>
    <t>VARIBALE PRODUCTS</t>
  </si>
  <si>
    <t>FIXED PRODUCTS</t>
  </si>
  <si>
    <t>Standard Variable</t>
  </si>
  <si>
    <t>1 year Fixed</t>
  </si>
  <si>
    <t>2 year Fixed</t>
  </si>
  <si>
    <t>3 year Fixed</t>
  </si>
  <si>
    <t>5 year Fixed</t>
  </si>
  <si>
    <t>MLC</t>
  </si>
  <si>
    <t>VERSION NUMBER</t>
  </si>
  <si>
    <t>INCOME TYPE</t>
  </si>
  <si>
    <t>SUB_TYPES</t>
  </si>
  <si>
    <t>ASSET DERIVED</t>
  </si>
  <si>
    <t>Rent (Short Stay)</t>
  </si>
  <si>
    <t>INCOME SUB TYPE</t>
  </si>
  <si>
    <t>Employment (Regular)</t>
  </si>
  <si>
    <t>Employment (Irregular)</t>
  </si>
  <si>
    <t>Addbacks (Taxable)</t>
  </si>
  <si>
    <t>Addbacks (Non-Taxable)</t>
  </si>
  <si>
    <t>Other (Taxable)</t>
  </si>
  <si>
    <t>Other (Non-Taxable)</t>
  </si>
  <si>
    <t>EMPLOYMENT INCOMES</t>
  </si>
  <si>
    <t>PAYG Addback</t>
  </si>
  <si>
    <t>Depreciation</t>
  </si>
  <si>
    <t>Addbacks</t>
  </si>
  <si>
    <t>Gross Annual Income</t>
  </si>
  <si>
    <t>Distribution</t>
  </si>
  <si>
    <t>EMPLOYMENT TYPES</t>
  </si>
  <si>
    <t>TYPE</t>
  </si>
  <si>
    <t>SE - RM Verified</t>
  </si>
  <si>
    <t>SE - Dual App</t>
  </si>
  <si>
    <t>LIABILITIES</t>
  </si>
  <si>
    <t>REPAYMENT</t>
  </si>
  <si>
    <t>TERM</t>
  </si>
  <si>
    <t>DEDUCTABLE</t>
  </si>
  <si>
    <t>HOUSING STATUS</t>
  </si>
  <si>
    <t>SENSITISED EXPENSE</t>
  </si>
  <si>
    <t>Boarding</t>
  </si>
  <si>
    <t>Caravan</t>
  </si>
  <si>
    <t>Living with Parents</t>
  </si>
  <si>
    <t>Own Outright</t>
  </si>
  <si>
    <t>Own with Lending</t>
  </si>
  <si>
    <t>Renting</t>
  </si>
  <si>
    <t>LOAN PRODUCTS</t>
  </si>
  <si>
    <t>PRODUCT</t>
  </si>
  <si>
    <t>FIX/IO TERM</t>
  </si>
  <si>
    <t>IO TERM</t>
  </si>
  <si>
    <t>LOAN ACCOUNT TYPE</t>
  </si>
  <si>
    <t>TERM_LOAN</t>
  </si>
  <si>
    <t>LINE_OF_CREDIT</t>
  </si>
  <si>
    <t>LODOC</t>
  </si>
  <si>
    <t>LoDoc Evidence</t>
  </si>
  <si>
    <t>No - No evidence held</t>
  </si>
  <si>
    <t>Yes - Business Portal Activity Statement - Processed</t>
  </si>
  <si>
    <t>Yes - Tax Agent Portal Activity Statement - Processed</t>
  </si>
  <si>
    <t>Yes - Online Lodgement Receipts</t>
  </si>
  <si>
    <t>Yes - Manual BAS and Running Balance Account Statements</t>
  </si>
  <si>
    <t>Yes - Other acceptable evidence (refer Credit Assessment)</t>
  </si>
  <si>
    <t>LODOC_OWERSHIP</t>
  </si>
  <si>
    <t>LoDoc Ownership</t>
  </si>
  <si>
    <t>Sub-Contractor</t>
  </si>
  <si>
    <t>Consultant</t>
  </si>
  <si>
    <t>Owner/Director</t>
  </si>
  <si>
    <t>PRICING REASONS</t>
  </si>
  <si>
    <t>Due to OFI Discount</t>
  </si>
  <si>
    <t>Discount Extension</t>
  </si>
  <si>
    <t>Retention Pricing</t>
  </si>
  <si>
    <t>Other Reason</t>
  </si>
  <si>
    <t>OFI_LIST</t>
  </si>
  <si>
    <t>No OFI Offer</t>
  </si>
  <si>
    <t>CBA</t>
  </si>
  <si>
    <t>NAB</t>
  </si>
  <si>
    <t>Westpac</t>
  </si>
  <si>
    <t>St. George</t>
  </si>
  <si>
    <t>Bank of Melbourne</t>
  </si>
  <si>
    <t>Bank of Queensland</t>
  </si>
  <si>
    <t>Bankwest</t>
  </si>
  <si>
    <t>Bank SA</t>
  </si>
  <si>
    <t>Suncorp</t>
  </si>
  <si>
    <t>Macquarie</t>
  </si>
  <si>
    <t>ING</t>
  </si>
  <si>
    <t>HSBC</t>
  </si>
  <si>
    <t>Bendigo</t>
  </si>
  <si>
    <t>Citigroup</t>
  </si>
  <si>
    <t>ME Bank</t>
  </si>
  <si>
    <t>FHOG STATE LIST</t>
  </si>
  <si>
    <t>Example Postcode</t>
  </si>
  <si>
    <t>VIC - Metro</t>
  </si>
  <si>
    <t>VIC - Regional</t>
  </si>
  <si>
    <t>STATE LIST</t>
  </si>
  <si>
    <t>BAS OPTIONS</t>
  </si>
  <si>
    <t>BRIDGING CALC</t>
  </si>
  <si>
    <t>Property_type</t>
  </si>
  <si>
    <t>Code</t>
  </si>
  <si>
    <t>Current loan options</t>
  </si>
  <si>
    <t>Loan structure option</t>
  </si>
  <si>
    <t>MaxLVR80</t>
  </si>
  <si>
    <t>Luxury (RLUH)</t>
  </si>
  <si>
    <t>Keep separate and pay out on sale</t>
  </si>
  <si>
    <t>Minimise Residual Component</t>
  </si>
  <si>
    <t>Yes</t>
  </si>
  <si>
    <t>Rural (RRUL)</t>
  </si>
  <si>
    <t>Keep separate and retain as residual lending</t>
  </si>
  <si>
    <t>Maximise Residual Component</t>
  </si>
  <si>
    <t>No</t>
  </si>
  <si>
    <t>Small Residential =&gt;40m2 (RLUO)</t>
  </si>
  <si>
    <t>Customise Residual Component</t>
  </si>
  <si>
    <t>Small Residential &lt; 40m2 (RSBR)</t>
  </si>
  <si>
    <t>Leasehold (LHOR)</t>
  </si>
  <si>
    <t>Company Title Units (RCOT)</t>
  </si>
  <si>
    <t>Multi Dwelling (RMDS)</t>
  </si>
  <si>
    <t>GOAL CALC</t>
  </si>
  <si>
    <t>Additional Fund Purpose</t>
  </si>
  <si>
    <t>Contribution Options</t>
  </si>
  <si>
    <t>Purchase Options</t>
  </si>
  <si>
    <t>Deposit Paid</t>
  </si>
  <si>
    <t>Sale of Property</t>
  </si>
  <si>
    <t>Sale of Shares</t>
  </si>
  <si>
    <t>Gift</t>
  </si>
  <si>
    <t>Guarantor Property</t>
  </si>
  <si>
    <t>Home - Deposit</t>
  </si>
  <si>
    <t>Investment Property - Deposit</t>
  </si>
  <si>
    <t>Other Investments</t>
  </si>
  <si>
    <t>RATE REFERENCES</t>
  </si>
  <si>
    <t>EMI</t>
  </si>
  <si>
    <t>FR1I</t>
  </si>
  <si>
    <t>FR2I</t>
  </si>
  <si>
    <t>FR3I</t>
  </si>
  <si>
    <t>FR4I</t>
  </si>
  <si>
    <t>FR5I</t>
  </si>
  <si>
    <t>FR7I</t>
  </si>
  <si>
    <t>FR10I</t>
  </si>
  <si>
    <t>HL_INDEX_RATE</t>
  </si>
  <si>
    <t>IFR1I</t>
  </si>
  <si>
    <t>IFR2I</t>
  </si>
  <si>
    <t>IFR3I</t>
  </si>
  <si>
    <t>IFR4I</t>
  </si>
  <si>
    <t>IFR5I</t>
  </si>
  <si>
    <t>IFR7I</t>
  </si>
  <si>
    <t>IFR10I</t>
  </si>
  <si>
    <t>ILA1I</t>
  </si>
  <si>
    <t>ILA2I</t>
  </si>
  <si>
    <t>ILA3I</t>
  </si>
  <si>
    <t>ILA4I</t>
  </si>
  <si>
    <t>ILA5I</t>
  </si>
  <si>
    <t>ILA7I</t>
  </si>
  <si>
    <t>ILA10I</t>
  </si>
  <si>
    <t>RIL_INDEX_RATE</t>
  </si>
  <si>
    <t>FR1IIO</t>
  </si>
  <si>
    <t>FR2IIO</t>
  </si>
  <si>
    <t>FR3IIO</t>
  </si>
  <si>
    <t>FR4IIO</t>
  </si>
  <si>
    <t>FR5IIO</t>
  </si>
  <si>
    <t>FR7IIO</t>
  </si>
  <si>
    <t>FR10IIO</t>
  </si>
  <si>
    <t>IFR1IIO</t>
  </si>
  <si>
    <t>IFR2IIO</t>
  </si>
  <si>
    <t>IFR3IIO</t>
  </si>
  <si>
    <t>IFR4IIO</t>
  </si>
  <si>
    <t>IFR5IIO</t>
  </si>
  <si>
    <t>IFR7IIO</t>
  </si>
  <si>
    <t>IFR10IIO</t>
  </si>
  <si>
    <t>VRIIO</t>
  </si>
  <si>
    <t>IVRIIO</t>
  </si>
  <si>
    <t>SPIIO</t>
  </si>
  <si>
    <t>ISPIIO</t>
  </si>
  <si>
    <t>BVRIV</t>
  </si>
  <si>
    <t>RI_INDEX_RATE</t>
  </si>
  <si>
    <t>BVMIV</t>
  </si>
  <si>
    <t>BMI_INDEX_RATE</t>
  </si>
  <si>
    <t>ANZSIC INDUSTRY GROUPS</t>
  </si>
  <si>
    <t>INDUSTRY GROUP</t>
  </si>
  <si>
    <t>REFERENCE</t>
  </si>
  <si>
    <t>Accommodation, cafes and restaurants</t>
  </si>
  <si>
    <t>BAS_ACCOM</t>
  </si>
  <si>
    <t>Agriculture, forestry and fishing</t>
  </si>
  <si>
    <t>BAS_AGRI</t>
  </si>
  <si>
    <t>Communication services</t>
  </si>
  <si>
    <t>BAS_COMMUNICATIONS</t>
  </si>
  <si>
    <t>Construction</t>
  </si>
  <si>
    <t>BAS_CONSTRUCT</t>
  </si>
  <si>
    <t>Cultural and recreational services</t>
  </si>
  <si>
    <t>BAS_CULTURAL</t>
  </si>
  <si>
    <t>BAS_EDUCATION</t>
  </si>
  <si>
    <t>Electricity, gas and water supply</t>
  </si>
  <si>
    <t>BAS_UTILITIES</t>
  </si>
  <si>
    <t>Finance and insurance</t>
  </si>
  <si>
    <t>BAS_FINANCE</t>
  </si>
  <si>
    <t>Government administration and defence</t>
  </si>
  <si>
    <t>BAS_GOVERNMENT</t>
  </si>
  <si>
    <t>Health and community services</t>
  </si>
  <si>
    <t>BAS_HEALTH</t>
  </si>
  <si>
    <t>Manufacturing – food, beverage and tobacco</t>
  </si>
  <si>
    <t>BAS_MANU_FOOD</t>
  </si>
  <si>
    <t>Manufacturing – machinery and equipment</t>
  </si>
  <si>
    <t>BAS_MANU_EQUIPMENT</t>
  </si>
  <si>
    <t>Manufacturing – metal products</t>
  </si>
  <si>
    <t>BAS_MANU_METAL</t>
  </si>
  <si>
    <t>Manufacturing – non-metallic mineral products</t>
  </si>
  <si>
    <t>BAS_MANU_MINERAL</t>
  </si>
  <si>
    <t>Manufacturing – other</t>
  </si>
  <si>
    <t>BAS_MANU_OTHER</t>
  </si>
  <si>
    <t>Manufacturing – petroleum, coal, chemical and associated products</t>
  </si>
  <si>
    <t>BAS_MANU_PETROCHEM</t>
  </si>
  <si>
    <t>Manufacturing – printing, publishing and recorded media</t>
  </si>
  <si>
    <t>BAS_MANU_PRINTING</t>
  </si>
  <si>
    <t>Manufacturing – textile, clothing, footwear and leather</t>
  </si>
  <si>
    <t>BAS_MANU_TEXTILES</t>
  </si>
  <si>
    <t>Manufacturing – wood and paper products</t>
  </si>
  <si>
    <t>BAS_MANU_WOOD</t>
  </si>
  <si>
    <t>Mining</t>
  </si>
  <si>
    <t>BAS_MINING</t>
  </si>
  <si>
    <t>Non-classifiable economic units</t>
  </si>
  <si>
    <t>BAS_NA</t>
  </si>
  <si>
    <t>Personal and other services</t>
  </si>
  <si>
    <t>BAS_PERSONAL</t>
  </si>
  <si>
    <t>Property and business services</t>
  </si>
  <si>
    <t>BAS_PROPERTY</t>
  </si>
  <si>
    <t>Retail trade</t>
  </si>
  <si>
    <t>BAS_RETAIL</t>
  </si>
  <si>
    <t>Transport and storage</t>
  </si>
  <si>
    <t>BAS_TRANSPORT</t>
  </si>
  <si>
    <t>Wholesale trade</t>
  </si>
  <si>
    <t>BAS_WHOLESALE</t>
  </si>
  <si>
    <t>ANZSIC CODES</t>
  </si>
  <si>
    <t>INDUSTRY</t>
  </si>
  <si>
    <t>SEGMENT</t>
  </si>
  <si>
    <t>YR1 PROFIT %</t>
  </si>
  <si>
    <t>Accommodation n.e.c. - 5719</t>
  </si>
  <si>
    <t>Accomodation, cafes &amp; restaurants-S1</t>
  </si>
  <si>
    <t>Cafes and restaurants - 5730</t>
  </si>
  <si>
    <t>Accomodation, cafes &amp; restaurants-S3</t>
  </si>
  <si>
    <t>Drinking places n.e.c. - 5729</t>
  </si>
  <si>
    <t>Accomodation, cafes &amp; restaurants-S2</t>
  </si>
  <si>
    <t>Hospitality clubs n.e.c. - 5749</t>
  </si>
  <si>
    <t>Accomodation, cafes &amp; restaurants-S4</t>
  </si>
  <si>
    <t>Hotel accommodation – four star plus - 5712</t>
  </si>
  <si>
    <t>Hotel accommodation – three star and below - 5711</t>
  </si>
  <si>
    <t>Licensed clubs with gambling facilities - 5741</t>
  </si>
  <si>
    <t>Licensed clubs without gambling facilities - 5742</t>
  </si>
  <si>
    <t>Motel accommodation - 5713</t>
  </si>
  <si>
    <t>NA - 5710</t>
  </si>
  <si>
    <t>Night clubs and discos - 5723</t>
  </si>
  <si>
    <t>Pubs, taverns, bars and hotels with gaming facilities - 5721</t>
  </si>
  <si>
    <t>Pubs, taverns, bars and hotels without gaming facilities - 5722</t>
  </si>
  <si>
    <t>Resort - 5714</t>
  </si>
  <si>
    <t>Aerial agricultural services - 213</t>
  </si>
  <si>
    <t>Agriculture, forestry &amp; fishing-S6</t>
  </si>
  <si>
    <t>Apple and pear growing - 115</t>
  </si>
  <si>
    <t>Agriculture, forestry &amp; fishing-S2</t>
  </si>
  <si>
    <t>Aquaculture - 420</t>
  </si>
  <si>
    <t>Agriculture, forestry &amp; fishing-S8</t>
  </si>
  <si>
    <t>Beef cattle farming - 178</t>
  </si>
  <si>
    <t>Agriculture, forestry &amp; fishing-S5</t>
  </si>
  <si>
    <t>Citrus fruit growing - 118</t>
  </si>
  <si>
    <t>Cotton ginning - 211</t>
  </si>
  <si>
    <t>Cotton growing n.e.c. - 165</t>
  </si>
  <si>
    <t>Agriculture, forestry &amp; fishing-S4</t>
  </si>
  <si>
    <t>Crop and plant growing n.e.c. - 169</t>
  </si>
  <si>
    <t>Cut flower and flower seed growing - 112</t>
  </si>
  <si>
    <t>Agriculture, forestry &amp; fishing-S1</t>
  </si>
  <si>
    <t>Dairy cattle farming - 130</t>
  </si>
  <si>
    <t>Agriculture, forestry &amp; fishing-S3</t>
  </si>
  <si>
    <t>Deer farming - 153</t>
  </si>
  <si>
    <t>Dry land cotton - 163</t>
  </si>
  <si>
    <t>Finish trawling (except tuna) - 417</t>
  </si>
  <si>
    <t>Forestry - 301</t>
  </si>
  <si>
    <t>Agriculture, forestry &amp; fishing-S7</t>
  </si>
  <si>
    <t>Fruit growing n.e.c. - 119</t>
  </si>
  <si>
    <t>Grain growing (except wheat) - 171</t>
  </si>
  <si>
    <t>Grain sheep and grain beef cattle farming - 173</t>
  </si>
  <si>
    <t>Grape growing - 114</t>
  </si>
  <si>
    <t>Horse farming - 152</t>
  </si>
  <si>
    <t>Hunting and trapping - 220</t>
  </si>
  <si>
    <t>Irrigated cotton - 164</t>
  </si>
  <si>
    <t>Kiwi fruit growing - 117</t>
  </si>
  <si>
    <t>Line fishing - 415</t>
  </si>
  <si>
    <t>Livestock farming n.e.c. - 159</t>
  </si>
  <si>
    <t>Logging - 302</t>
  </si>
  <si>
    <t>Marine fishing n.e.c. - 419</t>
  </si>
  <si>
    <t>Pig farming - 151</t>
  </si>
  <si>
    <t>Plant nurseries - 111</t>
  </si>
  <si>
    <t>Poultry farming (eggs) - 142</t>
  </si>
  <si>
    <t>Poultry farming (meat) - 141</t>
  </si>
  <si>
    <t>Prawn fishing - 412</t>
  </si>
  <si>
    <t>Rock lobster fishing - 411</t>
  </si>
  <si>
    <t>Services to agriculture n.e.c. - 219</t>
  </si>
  <si>
    <t>Services to forestry - 303</t>
  </si>
  <si>
    <t>Shearing services - 212</t>
  </si>
  <si>
    <t>Sheep beef cattle farming - 174</t>
  </si>
  <si>
    <t>Sheep farming (except for wool or meat) - 177</t>
  </si>
  <si>
    <t>Sheep farming for meat - 176</t>
  </si>
  <si>
    <t>Sheep farming for wool - 175</t>
  </si>
  <si>
    <t>Squid jigging - 414</t>
  </si>
  <si>
    <t>Stone fruit growing - 116</t>
  </si>
  <si>
    <t>Sugar cane growing - 161</t>
  </si>
  <si>
    <t>Tobacco growing - 166</t>
  </si>
  <si>
    <t>Tuna fishing - 416</t>
  </si>
  <si>
    <t>Vegetable growing - 113</t>
  </si>
  <si>
    <t>Wheat - 172</t>
  </si>
  <si>
    <t>Courier services - 7112</t>
  </si>
  <si>
    <t>Communication services-S2</t>
  </si>
  <si>
    <t>Postal services - 7111</t>
  </si>
  <si>
    <t>Communication services-S1</t>
  </si>
  <si>
    <t>Telecommunication services - 7120</t>
  </si>
  <si>
    <t>Communication services-S3</t>
  </si>
  <si>
    <t>Air conditioning and heating services - 4233</t>
  </si>
  <si>
    <t>Construction-S1</t>
  </si>
  <si>
    <t>Bricklaying services - 4222</t>
  </si>
  <si>
    <t>Carpentry services - 4242</t>
  </si>
  <si>
    <t>Concreting services - 4221</t>
  </si>
  <si>
    <t>Construction services n.e.c. - 4259</t>
  </si>
  <si>
    <t>Electrical services - 4232</t>
  </si>
  <si>
    <t>Fire and security system services - 4234</t>
  </si>
  <si>
    <t>Glazing services - 4245</t>
  </si>
  <si>
    <t>House construction - 4111</t>
  </si>
  <si>
    <t>Landscaping services - 4251</t>
  </si>
  <si>
    <t>New building construction n.e.c. - 4122</t>
  </si>
  <si>
    <t>Non-residential building construction - 4113</t>
  </si>
  <si>
    <t>Painting and decorating services - 4244</t>
  </si>
  <si>
    <t>Plastering and ceiling services - 4241</t>
  </si>
  <si>
    <t>Plumbing services - 4231</t>
  </si>
  <si>
    <t>Residential building construction n.e.c. - 4112</t>
  </si>
  <si>
    <t>Road and bridge construction - 4121</t>
  </si>
  <si>
    <t>Roofing services - 4223</t>
  </si>
  <si>
    <t>Site preparation services - 4210</t>
  </si>
  <si>
    <t>Structural steel erection services - 4224</t>
  </si>
  <si>
    <t>Tiling and carpeting services - 4243</t>
  </si>
  <si>
    <t>Casinos - 9322</t>
  </si>
  <si>
    <t>Cultural &amp; recreational services-S4</t>
  </si>
  <si>
    <t>Creative arts - 9242</t>
  </si>
  <si>
    <t>Cultural &amp; recreational services-S2</t>
  </si>
  <si>
    <t>Film and video distribution - 9112</t>
  </si>
  <si>
    <t>Cultural &amp; recreational services-S1</t>
  </si>
  <si>
    <t>Film and video production - 9111</t>
  </si>
  <si>
    <t>Gambling services n.e.c. - 9329</t>
  </si>
  <si>
    <t>Golf courses n.e.c. - 9313</t>
  </si>
  <si>
    <t>Cultural &amp; recreational services-S3</t>
  </si>
  <si>
    <t>Gymnasium operation - 9314</t>
  </si>
  <si>
    <t>Horse and dog racing - 9311</t>
  </si>
  <si>
    <t>Libraries - 9210</t>
  </si>
  <si>
    <t>Lotteries - 9321</t>
  </si>
  <si>
    <t>Marina (mainly pleasure craft) - 9332</t>
  </si>
  <si>
    <t>Motion picture exhibition - 9113</t>
  </si>
  <si>
    <t>Museums - 9220</t>
  </si>
  <si>
    <t>Music and theatre productions - 9241</t>
  </si>
  <si>
    <t>Performing arts venues - 9252</t>
  </si>
  <si>
    <t>Radio services - 9121</t>
  </si>
  <si>
    <t>Recreation services n.e.c. - 9339</t>
  </si>
  <si>
    <t>Recreational parks and gardens - 9239</t>
  </si>
  <si>
    <t>Services to the arts n.e.c. - 9259</t>
  </si>
  <si>
    <t>Sound recording studios - 9251</t>
  </si>
  <si>
    <t>Sports and services to sports n.e.c. - 9319</t>
  </si>
  <si>
    <t>Sports grounds and facilities n.e.c. - 9312</t>
  </si>
  <si>
    <t>Television services - 9122</t>
  </si>
  <si>
    <t>Theme park operation - 9331</t>
  </si>
  <si>
    <t>Theme park operation - 9330</t>
  </si>
  <si>
    <t>Zoological and botanic gardens - 9231</t>
  </si>
  <si>
    <t>Higher education - 8431</t>
  </si>
  <si>
    <t>Education-S1</t>
  </si>
  <si>
    <t>Other education - 8440</t>
  </si>
  <si>
    <t>Other school education - 8459</t>
  </si>
  <si>
    <t>Preschool education - 8410</t>
  </si>
  <si>
    <t>Private combined primary and secondary education - 8455</t>
  </si>
  <si>
    <t>Private primary education - 8451</t>
  </si>
  <si>
    <t>Private secondary education - 8453</t>
  </si>
  <si>
    <t>Public combined primary and secondary education - 8456</t>
  </si>
  <si>
    <t>Public primary education - 8452</t>
  </si>
  <si>
    <t>Public secondary education - 8454</t>
  </si>
  <si>
    <t>Technical and further education - 8432</t>
  </si>
  <si>
    <t>Electricity distribution and supply - 3613</t>
  </si>
  <si>
    <t>Electricity, gas &amp; water supply-S1</t>
  </si>
  <si>
    <t>Electricity generation - 3611</t>
  </si>
  <si>
    <t>Electricity transmission - 3612</t>
  </si>
  <si>
    <t>Gas supply - 3620</t>
  </si>
  <si>
    <t>Sewerage and drainage services - 3702</t>
  </si>
  <si>
    <t>Water supply - 3701</t>
  </si>
  <si>
    <t>Authorised money market dealers - 7355</t>
  </si>
  <si>
    <t>Finance &amp; insurance-S1</t>
  </si>
  <si>
    <t>Banks – Australasian and OECD - 7352</t>
  </si>
  <si>
    <t>Banks – non-OECD - 7353</t>
  </si>
  <si>
    <t>Banks n.e.c. - 7354</t>
  </si>
  <si>
    <t>Building societies - 7357</t>
  </si>
  <si>
    <t>Central bank - 7310</t>
  </si>
  <si>
    <t>Cooperative housing societies - 7332</t>
  </si>
  <si>
    <t>Credit unions - 7358</t>
  </si>
  <si>
    <t>Deposit taking financiers n.e.c. - 7359</t>
  </si>
  <si>
    <t>Financial asset broking services - 7511</t>
  </si>
  <si>
    <t>Finance &amp; insurance-S2</t>
  </si>
  <si>
    <t>Financial asset investors n.e.c. - 7349</t>
  </si>
  <si>
    <t>Financiers n.e.c. - 7339</t>
  </si>
  <si>
    <t>Friendly society operation - 7342</t>
  </si>
  <si>
    <t>Fund managers - 7512</t>
  </si>
  <si>
    <t>Finance &amp; insurance-S3</t>
  </si>
  <si>
    <t>General insurance - 7422</t>
  </si>
  <si>
    <t>Health insurance - 7421</t>
  </si>
  <si>
    <t>Holding company operation - 7341</t>
  </si>
  <si>
    <t>Life insurance - 7411</t>
  </si>
  <si>
    <t>Merchant banks - 7351</t>
  </si>
  <si>
    <t>Money market dealers n.e.c. - 7356</t>
  </si>
  <si>
    <t>Property trust managers - 7513</t>
  </si>
  <si>
    <t>Services to finance and investment n.e.c. - 7519</t>
  </si>
  <si>
    <t>Services to insurance - 7520</t>
  </si>
  <si>
    <t>Superannuation funds - 7412</t>
  </si>
  <si>
    <t>Terminating building societies - 7331</t>
  </si>
  <si>
    <t>Central government administration - 8111</t>
  </si>
  <si>
    <t>Government administrative &amp; defence-S1</t>
  </si>
  <si>
    <t>Defence - 8200</t>
  </si>
  <si>
    <t>Foreign government administration - 8130</t>
  </si>
  <si>
    <t>Justice - 8120</t>
  </si>
  <si>
    <t>Local government administration - 8113</t>
  </si>
  <si>
    <t>State government administration - 8112</t>
  </si>
  <si>
    <t>General practice medical services - 8621</t>
  </si>
  <si>
    <t>Health &amp; community services-S1</t>
  </si>
  <si>
    <t>Specialist medical services - 8622</t>
  </si>
  <si>
    <t>Health &amp; community services-S2</t>
  </si>
  <si>
    <t>Dental services - 8623</t>
  </si>
  <si>
    <t>Health &amp; community services-S3</t>
  </si>
  <si>
    <t>Pathology services - 8631</t>
  </si>
  <si>
    <t>Health &amp; community services-S4</t>
  </si>
  <si>
    <t>Optometry and optical dispensing - 8632</t>
  </si>
  <si>
    <t>Ambulance services - 8633</t>
  </si>
  <si>
    <t>Community health centres - 8634</t>
  </si>
  <si>
    <t>Physiotherapy services - 8635</t>
  </si>
  <si>
    <t>Health &amp; community services-S5</t>
  </si>
  <si>
    <t>Chiropractic services - 8636</t>
  </si>
  <si>
    <t>Health services n.e.c. - 8639</t>
  </si>
  <si>
    <t>Health &amp; community services-S6</t>
  </si>
  <si>
    <t>Veterinary services - 8640</t>
  </si>
  <si>
    <t>Health &amp; community services-S7</t>
  </si>
  <si>
    <t>Public hospitals (except psychiatric) - 8651</t>
  </si>
  <si>
    <t>Health &amp; community services-S8</t>
  </si>
  <si>
    <t>Private hospitals (except religious, charitable or psychiatric) - 8652</t>
  </si>
  <si>
    <t>Public psychiatric hospitals - 8653</t>
  </si>
  <si>
    <t>Private psychiatric hospitals (except religious or charitable) - 8654</t>
  </si>
  <si>
    <t>Religious and charitable hospitals (except psychiatric) - 8655</t>
  </si>
  <si>
    <t>Religious and charitable psychiatric hospitals - 8656</t>
  </si>
  <si>
    <t>Public nursing homes - 8661</t>
  </si>
  <si>
    <t>Private nursing homes (except religious or charitable) - 8662</t>
  </si>
  <si>
    <t>Religious or charitable nursing homes - 8663</t>
  </si>
  <si>
    <t>Child care services - 8710</t>
  </si>
  <si>
    <t>Health &amp; community services-S9</t>
  </si>
  <si>
    <t>Residential care services n.e.c. - 8722</t>
  </si>
  <si>
    <t>Public accommodation for the aged - 8723</t>
  </si>
  <si>
    <t>Private accommodation for the aged - 8724</t>
  </si>
  <si>
    <t>Religious, charity and other accommodation for aged - 8725</t>
  </si>
  <si>
    <t>Welfare and charitable organisations - 8726</t>
  </si>
  <si>
    <t>Non-residential care services n.e.c. - 8729</t>
  </si>
  <si>
    <t>Bacon, ham and smallgoods manufacturing - 2113</t>
  </si>
  <si>
    <t>Manufacturing-S01</t>
  </si>
  <si>
    <t>Beer and malt manufacturing - 2182</t>
  </si>
  <si>
    <t>Biscuit manufacturing - 2163</t>
  </si>
  <si>
    <t>Bread manufacturing - 2161</t>
  </si>
  <si>
    <t>Cake and pastry manufacturing - 2162</t>
  </si>
  <si>
    <t>Cereal food and baking mix manufacturing - 2152</t>
  </si>
  <si>
    <t>Confectionery manufacturing - 2172</t>
  </si>
  <si>
    <t>Dairy product manufacturing n.e.c. - 2129</t>
  </si>
  <si>
    <t>Flour mill product manufacturing - 2151</t>
  </si>
  <si>
    <t>Food manufacturing n.e.c. - 2179</t>
  </si>
  <si>
    <t>Fruit and vegetable processing - 2130</t>
  </si>
  <si>
    <t>Ice cream manufacturing - 2122</t>
  </si>
  <si>
    <t>Meat processing - 2111</t>
  </si>
  <si>
    <t>Milk and cream processing - 2121</t>
  </si>
  <si>
    <t>Oil and fat manufacturing - 2140</t>
  </si>
  <si>
    <t>Poultry processing - 2112</t>
  </si>
  <si>
    <t>Prepared animal and bird feed manufacturing - 2174</t>
  </si>
  <si>
    <t>Seafood processing - 2173</t>
  </si>
  <si>
    <t>Soft drink, cordial and syrup manufacturing - 2181</t>
  </si>
  <si>
    <t>Spirit manufacturing - 2184</t>
  </si>
  <si>
    <t>Sugar manufacturing - 2171</t>
  </si>
  <si>
    <t>Tobacco product manufacturing - 2190</t>
  </si>
  <si>
    <t>Wine manufacturing - 2183</t>
  </si>
  <si>
    <t>Motor vehicle manufacturing - 2811</t>
  </si>
  <si>
    <t>Manufacturing-S08</t>
  </si>
  <si>
    <t>Motor vehicle body manufacturing - 2812</t>
  </si>
  <si>
    <t>Automotive electrical and instrument manufacturing - 2813</t>
  </si>
  <si>
    <t>Automotive component manufacturing n.e.c. - 2819</t>
  </si>
  <si>
    <t>Shipbuilding - 2821</t>
  </si>
  <si>
    <t>Boatbuilding - 2822</t>
  </si>
  <si>
    <t>Railway equipment manufacturing - 2823</t>
  </si>
  <si>
    <t>Aircraft manufacturing - 2824</t>
  </si>
  <si>
    <t>Transport equipment manufacturing n.e.c. - 2829</t>
  </si>
  <si>
    <t>Photographic and optical goods manufacturing - 2831</t>
  </si>
  <si>
    <t>Manufacturing-S09</t>
  </si>
  <si>
    <t>Medical and surgical equipment manufacturing - 2832</t>
  </si>
  <si>
    <t>Professional and scientific equipment manufacturing n.e.c. - 2839</t>
  </si>
  <si>
    <t>Computer and business machine manufacturing - 2841</t>
  </si>
  <si>
    <t>Telecommunication, broadcasting and transceiving equipment manufacturing n.e.c. - 2842</t>
  </si>
  <si>
    <t>Electronic equipment manufacturing - 2849</t>
  </si>
  <si>
    <t>Household appliance manufacturing - 2851</t>
  </si>
  <si>
    <t>Electric cable and wire manufacturing - 2852</t>
  </si>
  <si>
    <t>Battery manufacturing - 2853</t>
  </si>
  <si>
    <t>Electric light and sign manufacturing - 2854</t>
  </si>
  <si>
    <t>Electrical equipment manufacturing n.e.c. - 2859</t>
  </si>
  <si>
    <t>Agricultural machinery manufacturing - 2861</t>
  </si>
  <si>
    <t>Manufacturing-S10</t>
  </si>
  <si>
    <t>Mining and construction machinery manufacturing - 2862</t>
  </si>
  <si>
    <t>Food processing machinery manufacturing - 2863</t>
  </si>
  <si>
    <t>Machine tool and part manufacturing - 2864</t>
  </si>
  <si>
    <t>Lifting and material handling equipment manufacturing - 2865</t>
  </si>
  <si>
    <t>Pump and compressor manufacturing - 2866</t>
  </si>
  <si>
    <t>Commercial space heating and cooling equipment manufacturing - 2867</t>
  </si>
  <si>
    <t>Industrial machinery and equipment manufacturing n.e.c. - 2869</t>
  </si>
  <si>
    <t>Alumina production - 2721</t>
  </si>
  <si>
    <t>Manufacturing-S07</t>
  </si>
  <si>
    <t>Aluminium rolling, drawing, extruding - 2731</t>
  </si>
  <si>
    <t>Aluminium smelting - 2722</t>
  </si>
  <si>
    <t>Architectural Aluminium product manufacturing - 2742</t>
  </si>
  <si>
    <t>Basic iron and steel manufacturing - 2711</t>
  </si>
  <si>
    <t>Basic non-ferrous metal manufacturing n.e.c. - 2729</t>
  </si>
  <si>
    <t>Copper, silver, lead and zinc smelting and refining - 2723</t>
  </si>
  <si>
    <t>Fabricated metal product manufacturing n.e.c. - 2769</t>
  </si>
  <si>
    <t>Hand tool and general hardware manufacturing - 2761</t>
  </si>
  <si>
    <t>Iron and steel casting and forging - 2712</t>
  </si>
  <si>
    <t>Metal coating and finishing - 2764</t>
  </si>
  <si>
    <t>Metal container manufacturing - 2751</t>
  </si>
  <si>
    <t>Non-ferrous metal casting - 2733</t>
  </si>
  <si>
    <t>Non-ferrous metal rolling, drawing, extruding n.e.c. - 2732</t>
  </si>
  <si>
    <t>Non-ferrous pipe fitting manufacturing - 2765</t>
  </si>
  <si>
    <t>Nut, bolt, screw and rivet manufacturing - 2763</t>
  </si>
  <si>
    <t>Sheet metal product manufacturing n.e.c. - 2759</t>
  </si>
  <si>
    <t>Spring and wire product manufacturing - 2762</t>
  </si>
  <si>
    <t>Steel pipe and tube manufacturing - 2713</t>
  </si>
  <si>
    <t>Structural metal product manufacturing n.e.c. - 2749</t>
  </si>
  <si>
    <t>Structured steel fabricating - 2741</t>
  </si>
  <si>
    <t>Cement and lime manufacturing - 2631</t>
  </si>
  <si>
    <t>Manufacturing-S06</t>
  </si>
  <si>
    <t>Ceramic product manufacturing - 2622</t>
  </si>
  <si>
    <t>Ceramic product manufacturing n.e.c. - 2629</t>
  </si>
  <si>
    <t>Ceramic tile and pipe manufacturing - 2623</t>
  </si>
  <si>
    <t>Clay brick manufacturing - 2621</t>
  </si>
  <si>
    <t>Concrete pipe and box culvert manufacturing - 2634</t>
  </si>
  <si>
    <t>Concrete product manufacturing n.e.c. - 2635</t>
  </si>
  <si>
    <t>Concrete slurry manufacturing - 2633</t>
  </si>
  <si>
    <t>Glass and glass product manufacturing - 2610</t>
  </si>
  <si>
    <t>Non-metallic mineral product manufacturing n.e.c. - 2640</t>
  </si>
  <si>
    <t>Plaster product manufacturing - 2632</t>
  </si>
  <si>
    <t>Prefabricated metal building manufacturing - 2911</t>
  </si>
  <si>
    <t>Manufacturing-S11</t>
  </si>
  <si>
    <t>Prefabricated building manufacturing n.e.c. - 2919</t>
  </si>
  <si>
    <t>Wooden furniture and upholstered seat manufacturing - 2921</t>
  </si>
  <si>
    <t>Sheet metal furniture manufacturing - 2922</t>
  </si>
  <si>
    <t>Mattress manufacturing (except rubber) - 2923</t>
  </si>
  <si>
    <t>Furniture manufacturing n.e.c. - 2929</t>
  </si>
  <si>
    <t>Jewellery and silverware manufacturing - 2941</t>
  </si>
  <si>
    <t>Toy and sporting goods manufacturing - 2942</t>
  </si>
  <si>
    <t>Manufacturing n.e.c. - 2949</t>
  </si>
  <si>
    <t>Petroleum refining - 2510</t>
  </si>
  <si>
    <t>Manufacturing-S05</t>
  </si>
  <si>
    <t>Petroleum and coal product manufacturing n.e.c. - 2520</t>
  </si>
  <si>
    <t>Fertiliser manufacturing - 2531</t>
  </si>
  <si>
    <t>Industrial gas manufacturing - 2532</t>
  </si>
  <si>
    <t>Synthetic resin manufacturing - 2533</t>
  </si>
  <si>
    <t>Organic industrial chemical manufacturing n.e.c. - 2534</t>
  </si>
  <si>
    <t>Inorganic industrial chemical manufacturing n.e.c. - 2535</t>
  </si>
  <si>
    <t>Explosive manufacturing - 2541</t>
  </si>
  <si>
    <t>Paint manufacturing - 2542</t>
  </si>
  <si>
    <t>Medicinal and pharmaceutical product manufacturing - 2543</t>
  </si>
  <si>
    <t>Pesticide manufacturing - 2544</t>
  </si>
  <si>
    <t>Soap and other detergent manufacturing - 2545</t>
  </si>
  <si>
    <t>Cosmetic and toiletry preparation manufacturing - 2546</t>
  </si>
  <si>
    <t>Ink manufacturing - 2547</t>
  </si>
  <si>
    <t>Chemical product manufacturing n.e.c. - 2549</t>
  </si>
  <si>
    <t>Rubber tyre manufacturing - 2551</t>
  </si>
  <si>
    <t>Rubber product manufacturing n.e.c. - 2559</t>
  </si>
  <si>
    <t>Plastic blow moulded product manufacturing - 2561</t>
  </si>
  <si>
    <t>Plastic extruded product manufacturing - 2562</t>
  </si>
  <si>
    <t>Plastic bag and film manufacturing - 2563</t>
  </si>
  <si>
    <t>Plastic product rigid fibre reinforced manufacturing - 2564</t>
  </si>
  <si>
    <t>Plastic foam product manufacturing - 2565</t>
  </si>
  <si>
    <t>Plastic injection moulded product manufacturing - 2566</t>
  </si>
  <si>
    <t>Paper stationery manufacturing - 2411</t>
  </si>
  <si>
    <t>Manufacturing-S04</t>
  </si>
  <si>
    <t>Printing - 2412</t>
  </si>
  <si>
    <t>Services to printing - 2413</t>
  </si>
  <si>
    <t>Newspaper printing or publishing - 2421</t>
  </si>
  <si>
    <t>Other periodical publishing - 2422</t>
  </si>
  <si>
    <t>Book and other publishing - 2423</t>
  </si>
  <si>
    <t>Recorded media manufacturing and publishing - 2430</t>
  </si>
  <si>
    <t>Cardigan and pullover manufacturing - 2232</t>
  </si>
  <si>
    <t>Manufacturing-S02</t>
  </si>
  <si>
    <t>Clothing manufacturing n.e.c. - 2249</t>
  </si>
  <si>
    <t>Cotton textile manufacturing - 2213</t>
  </si>
  <si>
    <t>Footwear manufacturing - 2250</t>
  </si>
  <si>
    <t>Hosiery manufacturing - 2231</t>
  </si>
  <si>
    <t>Knitting mill product manufacturing n.e.c. - 2239</t>
  </si>
  <si>
    <t>Leather and leather substitute product manufacturing - 2262</t>
  </si>
  <si>
    <t>Leather tanning and fur dressing - 2261</t>
  </si>
  <si>
    <t>Made up textile product manufacturing - 2221</t>
  </si>
  <si>
    <t>Men’s and boys’ wear manufacturing - 2241</t>
  </si>
  <si>
    <t>Rope, cordage and twine manufacturing - 2223</t>
  </si>
  <si>
    <t>Sleepwear, underwear and infant clothing manufacturing - 2243</t>
  </si>
  <si>
    <t>Synthetic fibre textile manufacturing - 2212</t>
  </si>
  <si>
    <t>Textile finishing - 2215</t>
  </si>
  <si>
    <t>Textile floor covering manufacturing - 2222</t>
  </si>
  <si>
    <t>Textile product manufacturing n.e.c. - 2229</t>
  </si>
  <si>
    <t>Women’s and girls’ wear manufacturing - 2242</t>
  </si>
  <si>
    <t>Wool scouring - 2211</t>
  </si>
  <si>
    <t>Wool textile manufacturing - 2214</t>
  </si>
  <si>
    <t>Corrugated paperboard container manufacturing - 2333</t>
  </si>
  <si>
    <t>Manufacturing-S03</t>
  </si>
  <si>
    <t>Fabricated wood manufacturing - 2322</t>
  </si>
  <si>
    <t>Log sawmilling - 2311</t>
  </si>
  <si>
    <t>Paper bag and sack manufacturing - 2334</t>
  </si>
  <si>
    <t>Paper product manufacturing n.e.c. - 2339</t>
  </si>
  <si>
    <t>Plywood and veneer manufacturing - 2321</t>
  </si>
  <si>
    <t>Pulp, paper and paperboard manufacturing - 2331</t>
  </si>
  <si>
    <t>Solid paperboard container manufacturing - 2332</t>
  </si>
  <si>
    <t>Timber resawing and dressing - 2313</t>
  </si>
  <si>
    <t>Wood chipping - 2312</t>
  </si>
  <si>
    <t>Wood product manufacturing n.e.c. - 2329</t>
  </si>
  <si>
    <t>Wooden structural component manufacturing - 2323</t>
  </si>
  <si>
    <t>Bauxite mining - 1312</t>
  </si>
  <si>
    <t>Mining-S1</t>
  </si>
  <si>
    <t>Black coal mining - 1101</t>
  </si>
  <si>
    <t>Brown coal mining - 1102</t>
  </si>
  <si>
    <t>Construction material mining n.e.c. - 1419</t>
  </si>
  <si>
    <t>Copper ore mining - 1313</t>
  </si>
  <si>
    <t>Gold ore mining - 1314</t>
  </si>
  <si>
    <t>Gravel and sand quarrying - 1411</t>
  </si>
  <si>
    <t>Iron ore mining - 1311</t>
  </si>
  <si>
    <t>Metal ore mining n.e.c. - 1319</t>
  </si>
  <si>
    <t>Mineral exploration (own account) - 1513</t>
  </si>
  <si>
    <t>Mineral exploration services - 1514</t>
  </si>
  <si>
    <t>Mineral sand mining - 1315</t>
  </si>
  <si>
    <t>Nickel ore mining - 1316</t>
  </si>
  <si>
    <t>Oil and gas extraction - 1200</t>
  </si>
  <si>
    <t>Other mining - 1420</t>
  </si>
  <si>
    <t>Other mining services - 1520</t>
  </si>
  <si>
    <t>Petroleum exploration (own account) - 1511</t>
  </si>
  <si>
    <t>Petroleum exploration services - 1512</t>
  </si>
  <si>
    <t>Silver, lead and zinc ore mining - 1317</t>
  </si>
  <si>
    <t>No code</t>
  </si>
  <si>
    <t>Non-classifiable - No code</t>
  </si>
  <si>
    <t>Non-classifiable (Code 9890) - 9890</t>
  </si>
  <si>
    <t>Non-classifiable (Code 9900) - 9900</t>
  </si>
  <si>
    <t>Non-classifiable (Code 9960) - 9960</t>
  </si>
  <si>
    <t>Business and professional associations - 9621</t>
  </si>
  <si>
    <t>Personal &amp; other services-S5</t>
  </si>
  <si>
    <t>Church, temple, synagogue operation - 9611</t>
  </si>
  <si>
    <t>Corrective centres - 9632</t>
  </si>
  <si>
    <t>Fire brigade services - 9633</t>
  </si>
  <si>
    <t>Funeral directors, crematoria and cemeteries - 9524</t>
  </si>
  <si>
    <t>Personal &amp; other services-S2</t>
  </si>
  <si>
    <t>Gardening services - 9525</t>
  </si>
  <si>
    <t>Personal &amp; other services-S3</t>
  </si>
  <si>
    <t>Hairdressing and beauty salons - 9526</t>
  </si>
  <si>
    <t>Personal &amp; other services-S4</t>
  </si>
  <si>
    <t>Interest groups n.e.c. - 9629</t>
  </si>
  <si>
    <t>Labour associations - 9622</t>
  </si>
  <si>
    <t>Laundries and dry cleaners - 9521</t>
  </si>
  <si>
    <t>Personal and household goods hiring n.e.c. - 9519</t>
  </si>
  <si>
    <t>Personal &amp; other services-S1</t>
  </si>
  <si>
    <t>Personal services n.e.c. - 9529</t>
  </si>
  <si>
    <t>Photographic film processing - 9522</t>
  </si>
  <si>
    <t>Photographic studios - 9523</t>
  </si>
  <si>
    <t>Police services - 9631</t>
  </si>
  <si>
    <t>Private households employing staff - 9700</t>
  </si>
  <si>
    <t>Religious organisation operation - 9619</t>
  </si>
  <si>
    <t>Religious organisation operation - 9610</t>
  </si>
  <si>
    <t>Video hire outlets - 9511</t>
  </si>
  <si>
    <t>Waste disposal services - 9634</t>
  </si>
  <si>
    <t>Retirement village operators - 7713</t>
  </si>
  <si>
    <t>Property &amp; business services-S1</t>
  </si>
  <si>
    <t>Residential property operators (except retirement village operators) - 7714</t>
  </si>
  <si>
    <t>Retirement village developers - 7715</t>
  </si>
  <si>
    <t>Commercial property developers (except retirement village developers) - 7716</t>
  </si>
  <si>
    <t>Real estate agents - 7720</t>
  </si>
  <si>
    <t>Property &amp; business services-S2</t>
  </si>
  <si>
    <t>Non-financial asset investors - 7730</t>
  </si>
  <si>
    <t>Motor vehicle hiring - 7741</t>
  </si>
  <si>
    <t>Property &amp; business services-S3</t>
  </si>
  <si>
    <t>Other transport equipment leasing - 7742</t>
  </si>
  <si>
    <t>Plant hiring or leasing - 7743</t>
  </si>
  <si>
    <t>Scientific research - 7810</t>
  </si>
  <si>
    <t>Property &amp; business services-S4</t>
  </si>
  <si>
    <t>Architectural services - 7821</t>
  </si>
  <si>
    <t>Surveying services - 7822</t>
  </si>
  <si>
    <t>Consulting engineering services - 7823</t>
  </si>
  <si>
    <t>Technical services n.e.c. - 7829</t>
  </si>
  <si>
    <t>Data processing services - 7831</t>
  </si>
  <si>
    <t>Property &amp; business services-S5</t>
  </si>
  <si>
    <t>Information storage and retrieval services - 7832</t>
  </si>
  <si>
    <t>Computer maintenance services - 7833</t>
  </si>
  <si>
    <t>Computer consultancy services - 7834</t>
  </si>
  <si>
    <t>Legal services - 7841</t>
  </si>
  <si>
    <t>Property &amp; business services-S6</t>
  </si>
  <si>
    <t>Accounting services - 7842</t>
  </si>
  <si>
    <t>Property &amp; business services-S7</t>
  </si>
  <si>
    <t>Advertising services - 7851</t>
  </si>
  <si>
    <t>Property &amp; business services-S8</t>
  </si>
  <si>
    <t>Commercial art and display services - 7852</t>
  </si>
  <si>
    <t>Market research services - 7853</t>
  </si>
  <si>
    <t>Business administrative services - 7854</t>
  </si>
  <si>
    <t>Business management services - 7855</t>
  </si>
  <si>
    <t>Employment placement services - 7861</t>
  </si>
  <si>
    <t>Property &amp; business services-S9</t>
  </si>
  <si>
    <t>Contract staff services - 7862</t>
  </si>
  <si>
    <t>Secretarial services - 7863</t>
  </si>
  <si>
    <t>Security and investigative services (except police) - 7864</t>
  </si>
  <si>
    <t>Property &amp; business services-S10</t>
  </si>
  <si>
    <t>Pest control services - 7865</t>
  </si>
  <si>
    <t>Cleaning services - 7866</t>
  </si>
  <si>
    <t>Contract packing services n.e.c. - 7867</t>
  </si>
  <si>
    <t>Business services n.e.c. - 7869</t>
  </si>
  <si>
    <t>Supermarket and grocery stores - 5110</t>
  </si>
  <si>
    <t>Retail trade-S1</t>
  </si>
  <si>
    <t>Fresh meat, fish and poultry retailing - 5121</t>
  </si>
  <si>
    <t>Retail trade-S2</t>
  </si>
  <si>
    <t>Fruit and vegetable retailing - 5122</t>
  </si>
  <si>
    <t>Liquor retailing - 5123</t>
  </si>
  <si>
    <t>Retail trade-S3</t>
  </si>
  <si>
    <t>Bread and cake retailing - 5124</t>
  </si>
  <si>
    <t>Retail trade-S4</t>
  </si>
  <si>
    <t>Takeaway food retailing - 5125</t>
  </si>
  <si>
    <t>Retail trade-S5</t>
  </si>
  <si>
    <t>Milk vending - 5126</t>
  </si>
  <si>
    <t>Retail trade-S6</t>
  </si>
  <si>
    <t>Specialised food retailing n.e.c. - 5129</t>
  </si>
  <si>
    <t>Department stores - 5210</t>
  </si>
  <si>
    <t>Retail trade-S7</t>
  </si>
  <si>
    <t>Clothing retailing - 5221</t>
  </si>
  <si>
    <t>Footwear retailing - 5222</t>
  </si>
  <si>
    <t>Fabric and other soft goods retailing - 5223</t>
  </si>
  <si>
    <t>Retail trade-S8</t>
  </si>
  <si>
    <t>Furniture retailing - 5231</t>
  </si>
  <si>
    <t>Floor covering retailing - 5232</t>
  </si>
  <si>
    <t>Domestic hardware and houseware retailing - 5233</t>
  </si>
  <si>
    <t>Domestic appliance retailing - 5234</t>
  </si>
  <si>
    <t>Recorded music retailing - 5235</t>
  </si>
  <si>
    <t>Retail trade-S9</t>
  </si>
  <si>
    <t>Sport and camping equipment retailing - 5241</t>
  </si>
  <si>
    <t>Toy and game retailing - 5242</t>
  </si>
  <si>
    <t>Newspaper, book and stationery retailing - 5243</t>
  </si>
  <si>
    <t>Retail trade-S10</t>
  </si>
  <si>
    <t>Photographic equipment retailing - 5244</t>
  </si>
  <si>
    <t>Retail trade-S11</t>
  </si>
  <si>
    <t>Marine equipment retailing - 5245</t>
  </si>
  <si>
    <t>Pharmaceutical, cosmetic and toiletry retailing - 5251</t>
  </si>
  <si>
    <t>Retail trade-S12</t>
  </si>
  <si>
    <t>Antique and used goods retailing - 5252</t>
  </si>
  <si>
    <t>Retail trade-S13</t>
  </si>
  <si>
    <t>Garden equipment retailing - 5253</t>
  </si>
  <si>
    <t>Retail trade-S14</t>
  </si>
  <si>
    <t>Flower retailing - 5254</t>
  </si>
  <si>
    <t>Watch and jewellery retailing - 5255</t>
  </si>
  <si>
    <t>Retail trade-S15</t>
  </si>
  <si>
    <t>Retailing n.e.c. - 5259</t>
  </si>
  <si>
    <t>Retail trade-S16</t>
  </si>
  <si>
    <t>Household equipment repair services (electrical) - 5261</t>
  </si>
  <si>
    <t>Retail trade-S17</t>
  </si>
  <si>
    <t>Household equipment repair services n.e.c. - 5269</t>
  </si>
  <si>
    <t>Car retailing - 5311</t>
  </si>
  <si>
    <t>Retail trade-S18</t>
  </si>
  <si>
    <t>Motor cycle dealing - 5312</t>
  </si>
  <si>
    <t>Trailer and caravan dealing - 5313</t>
  </si>
  <si>
    <t>Automotive fuel retailing - 5321</t>
  </si>
  <si>
    <t>Automotive electrical services - 5322</t>
  </si>
  <si>
    <t>Smash repairing - 5323</t>
  </si>
  <si>
    <t>Tyre retailing - 5324</t>
  </si>
  <si>
    <t>Automotive repair and services n.e.c. - 5329</t>
  </si>
  <si>
    <t>Road freight transport - 6110</t>
  </si>
  <si>
    <t>Transport &amp; storage-S1</t>
  </si>
  <si>
    <t>Long distance bus transport - 6121</t>
  </si>
  <si>
    <t>Transport &amp; storage-S2</t>
  </si>
  <si>
    <t>Short distance bus transport (including tramways) - 6122</t>
  </si>
  <si>
    <t>Taxi and other road passenger transport - 6123</t>
  </si>
  <si>
    <t>Rail transport - 6200</t>
  </si>
  <si>
    <t>Transport &amp; storage-S2a</t>
  </si>
  <si>
    <t>International sea transport - 6301</t>
  </si>
  <si>
    <t>Coastal water transport - 6302</t>
  </si>
  <si>
    <t>Inland water transport - 6303</t>
  </si>
  <si>
    <t>Scheduled international air transport - 6401</t>
  </si>
  <si>
    <t>Scheduled domestic air transport - 6402</t>
  </si>
  <si>
    <t>Non-scheduled air and space transport - 6403</t>
  </si>
  <si>
    <t>Pipeline transport - 6501</t>
  </si>
  <si>
    <t>Transport n.e.c. - 6509</t>
  </si>
  <si>
    <t>Parking services - 6611</t>
  </si>
  <si>
    <t>Services to road transport n.e.c. - 6619</t>
  </si>
  <si>
    <t>Stevedoring - 6621</t>
  </si>
  <si>
    <t>Water transport terminals - 6622</t>
  </si>
  <si>
    <t>Port operators - 6623</t>
  </si>
  <si>
    <t>Services to water transport n.e.c. - 6629</t>
  </si>
  <si>
    <t>Services to air transport - 6630</t>
  </si>
  <si>
    <t>Transport &amp; storage-S3</t>
  </si>
  <si>
    <t>Travel agency services - 6641</t>
  </si>
  <si>
    <t>Transport &amp; storage-S4</t>
  </si>
  <si>
    <t>Road freight forwarding - 6642</t>
  </si>
  <si>
    <t>Transport &amp; storage-S5</t>
  </si>
  <si>
    <t>Freight forwarding (except road) - 6643</t>
  </si>
  <si>
    <t>Customs agency services - 6644</t>
  </si>
  <si>
    <t>Services to transport n.e.c. - 6649</t>
  </si>
  <si>
    <t>Grain storage - 6701</t>
  </si>
  <si>
    <t>Storage n.e.c. - 6709</t>
  </si>
  <si>
    <t>Book and magazine wholesaling - 4794</t>
  </si>
  <si>
    <t>Wholesale trade-S6</t>
  </si>
  <si>
    <t>Building supplies wholesaling n.e.c. - 4539</t>
  </si>
  <si>
    <t>Wholesale trade-S2</t>
  </si>
  <si>
    <t>Business machine wholesaling n.e.c. - 4614</t>
  </si>
  <si>
    <t>Car wholesaling - 4621</t>
  </si>
  <si>
    <t>Wholesale trade-S3</t>
  </si>
  <si>
    <t>Cereal grain wholesaling - 4512</t>
  </si>
  <si>
    <t>Wholesale trade-S1</t>
  </si>
  <si>
    <t>Chemical wholesaling - 4523</t>
  </si>
  <si>
    <t>Clothing wholesaling - 4722</t>
  </si>
  <si>
    <t>Wholesale trade-S5</t>
  </si>
  <si>
    <t>Commercial vehicle wholesaling - 4622</t>
  </si>
  <si>
    <t>Computer wholesaling - 4613</t>
  </si>
  <si>
    <t>Confectionery and soft drink wholesaling - 4716</t>
  </si>
  <si>
    <t>Wholesale trade-S4</t>
  </si>
  <si>
    <t>Dairy produce wholesaling - 4713</t>
  </si>
  <si>
    <t>Electrical and electronic equipment wholesaling n.e.c. - 4615</t>
  </si>
  <si>
    <t>Farm and construction machinery wholesaling - 4611</t>
  </si>
  <si>
    <t>Farm produce and supplies wholesaling n.e.c. - 4519</t>
  </si>
  <si>
    <t>Fish wholesaling - 4714</t>
  </si>
  <si>
    <t>Floor covering wholesaling - 4733</t>
  </si>
  <si>
    <t>Footwear wholesaling - 4723</t>
  </si>
  <si>
    <t>Fruit and vegetable wholesaling - 4715</t>
  </si>
  <si>
    <t>Furniture wholesaling - 4732</t>
  </si>
  <si>
    <t>Grocery wholesaling n.e.c. - 4719</t>
  </si>
  <si>
    <t>Household appliance wholesaling - 4731</t>
  </si>
  <si>
    <t>Household goods wholesaling n.e.c. - 4739</t>
  </si>
  <si>
    <t>Jewellery and watch wholesaling - 4792</t>
  </si>
  <si>
    <t>Liquor wholesaling - 4717</t>
  </si>
  <si>
    <t>Machinery and equipment wholesaling n.e.c. - 4619</t>
  </si>
  <si>
    <t>Meat wholesaling - 4711</t>
  </si>
  <si>
    <t>Metal and mineral wholesaling - 4522</t>
  </si>
  <si>
    <t>Motor vehicle dismantling and used part dealing - 4624</t>
  </si>
  <si>
    <t>Motor vehicle new part dealing - 4623</t>
  </si>
  <si>
    <t>Paper product wholesaling - 4795</t>
  </si>
  <si>
    <t>Petroleum product wholesaling - 4521</t>
  </si>
  <si>
    <t>Pharmaceutical and toiletry wholesaling - 4796</t>
  </si>
  <si>
    <t>Photographic equipment wholesaling - 4791</t>
  </si>
  <si>
    <t>Poultry and smallgoods wholesaling - 4712</t>
  </si>
  <si>
    <t>Professional equipment wholesaling - 4612</t>
  </si>
  <si>
    <t>Textile product wholesaling - 4721</t>
  </si>
  <si>
    <t>Timber wholesaling - 4531</t>
  </si>
  <si>
    <t>Tobacco product wholesaling - 4718</t>
  </si>
  <si>
    <t>Toy and sporting goods wholesaling - 4793</t>
  </si>
  <si>
    <t>Wholesaling n.e.c. - 4799</t>
  </si>
  <si>
    <t>Wool wholesaling - 4511</t>
  </si>
  <si>
    <t>RLS PRICING DROOLS</t>
  </si>
  <si>
    <t>OO_to_INV ?</t>
  </si>
  <si>
    <t>INV_to_OO ?</t>
  </si>
  <si>
    <t>CurrentRateType ?</t>
  </si>
  <si>
    <t>CurrentRepaymentType ?</t>
  </si>
  <si>
    <t>FutureRateType ?</t>
  </si>
  <si>
    <t>FutureRepaymentType ?</t>
  </si>
  <si>
    <t>LimitReduction?</t>
  </si>
  <si>
    <t>InitialTerm</t>
  </si>
  <si>
    <t>SubsequentTerm</t>
  </si>
  <si>
    <t>eval(((Boolean)discountRateMarginRetentionMap.get("isOOToINV")).equals(new Boolean("$param")))</t>
  </si>
  <si>
    <t>eval(((Boolean)discountRateMarginRetentionMap.get("isINVToOO")).equals(new Boolean("$param")))</t>
  </si>
  <si>
    <t>eval(isInList("$param", (String)discountRateMarginRetentionMap.get("currentRateType")))</t>
  </si>
  <si>
    <t>eval(isInList("$param", (String)discountRateMarginRetentionMap.get("currentRepaymentType")))</t>
  </si>
  <si>
    <t>eval(isInList("$param", (String)discountRateMarginRetentionMap.get("futureRateType")))</t>
  </si>
  <si>
    <t>eval(isInList("$param", (String)discountRateMarginRetentionMap.get("futureRepaymentType")))</t>
  </si>
  <si>
    <t>eval(((Boolean)discountRateMarginRetentionMap.get("isLimitReduction")).equals(new Boolean("$param")))</t>
  </si>
  <si>
    <t>discountRateMarginRetentionMap.put("initialTerm", new Boolean("$param"));</t>
  </si>
  <si>
    <t>discountRateMarginRetentionMap.put("subsequentTerm", new Boolean("$param"));</t>
  </si>
  <si>
    <t>Fixed,Variable</t>
  </si>
  <si>
    <t>interestOnly,principalAndInterest</t>
  </si>
  <si>
    <t>Campaign Code :: Tier</t>
  </si>
  <si>
    <t>MinAppAmt - Minimum Application Amount</t>
  </si>
  <si>
    <t>MaxAppAmt - Maximum Application Amount</t>
  </si>
  <si>
    <t>MinProdAmt - Minimum Product Loan Amount</t>
  </si>
  <si>
    <t>MaxProdAmt - Maximum Product Loan Amount</t>
  </si>
  <si>
    <t>MinNewProdAmt - Minimum New Product Lending Amount</t>
  </si>
  <si>
    <t>MaxNewProdAmt - Maximum New Product Lending Amount</t>
  </si>
  <si>
    <t>MinNewAppAmt - Minimum New Application Lending Amount</t>
  </si>
  <si>
    <t>MaxNewAppAmt - Maximum New Application Lending Amount</t>
  </si>
  <si>
    <t>MinNewAppAmtInPackage - Minimum New Application Lending Amount in Package</t>
  </si>
  <si>
    <t>MaxNewAppAmtInPackage - Maximum New Application Lending Amount in Package</t>
  </si>
  <si>
    <t>MaxTML - Maximum Total Mortgage Lending Amount</t>
  </si>
  <si>
    <t>MinTPL - Minimum Total Package Lending Amount</t>
  </si>
  <si>
    <t>MaxTPL - Maximum Total Package Lending Amount</t>
  </si>
  <si>
    <t>MinFixTerm - Minimum Fixed Rate Term (Months)</t>
  </si>
  <si>
    <t>MaxFixTerm - Maximum Fixed Rate Term (Months)</t>
  </si>
  <si>
    <t>MinAppLVR - Minimum Application LVR</t>
  </si>
  <si>
    <t>MaxAppLVR - Maximum Application LVR</t>
  </si>
  <si>
    <t>CustCPID - Customer Controlling Post Identifier</t>
  </si>
  <si>
    <t>EligibleByOffer - Eligible by Offer Indicator</t>
  </si>
  <si>
    <t>ExistingCust - Existing Customer</t>
  </si>
  <si>
    <t>EligiblePurposes - Eligible Purpose Codes</t>
  </si>
  <si>
    <t>EligiblePackages - Eligible Package Type Codes</t>
  </si>
  <si>
    <t>EligibleLoanTypes - Eligible Loan Type Codes</t>
  </si>
  <si>
    <t>NonEligiblePackages - Non Eligible Package Type Codes</t>
  </si>
  <si>
    <t>CLGCPID - CLG Controlling Post Identifier</t>
  </si>
  <si>
    <t>StateAppOrigin - State of Applications Origination Channel</t>
  </si>
  <si>
    <t>StateApplicantResAddress - State of Applicants Residential Address</t>
  </si>
  <si>
    <t>StateSecAddress - State of Security Address</t>
  </si>
  <si>
    <t>LoDocInd - Lo Doc Indicator</t>
  </si>
  <si>
    <t>ApplicantResidencyStatus - Applicants Residency Status</t>
  </si>
  <si>
    <t>CountryApplicantResAddress - Country of Applicants Residential Address</t>
  </si>
  <si>
    <t xml:space="preserve">
EligibleBusinessChannel - Eligible Business Channels</t>
  </si>
  <si>
    <t>Action</t>
  </si>
  <si>
    <t>Initial Margin</t>
  </si>
  <si>
    <t>Subsequent Margin</t>
  </si>
  <si>
    <t>Fee</t>
  </si>
  <si>
    <t>FeeAmount</t>
  </si>
  <si>
    <t>Other Conditions</t>
  </si>
  <si>
    <t>Manual Pricing Approval</t>
  </si>
  <si>
    <t>Actions For Closing</t>
  </si>
  <si>
    <t>Campaign
Name</t>
  </si>
  <si>
    <t>Campaign
Code</t>
  </si>
  <si>
    <t>eval(setCodeTier(ceu,"$param"))</t>
  </si>
  <si>
    <t>eval(isWithinMinAmt(ceu.getTotalLoanAmount(),"$param", ceu, CampaignEligibilityUtil.APP_AMT, true))</t>
  </si>
  <si>
    <t>eval(isWithinMaxAmt(ceu.getTotalLoanAmount(),"$param", ceu, CampaignEligibilityUtil.APP_AMT, true))</t>
  </si>
  <si>
    <t>eval(isWithinMinAmt(ceu.getAllocatedAmount(),"$param", ceu, CampaignEligibilityUtil.PRODUCT_LOAN_AMT, false))</t>
  </si>
  <si>
    <t>eval(isWithinMaxAmt(ceu.getAllocatedAmount(),"$param", ceu, CampaignEligibilityUtil.PRODUCT_LOAN_AMT, false))</t>
  </si>
  <si>
    <t>eval(isWithinMinAmt(ceu.getLoanNewFunds(),"$param", ceu, CampaignEligibilityUtil.NEW_PROD_LEND_AMT, false))</t>
  </si>
  <si>
    <t>eval(isWithinMaxAmt(ceu.getLoanNewFunds(),"$param", ceu, CampaignEligibilityUtil.NEW_PROD_LEND_AMT, false))</t>
  </si>
  <si>
    <t>eval(isWithinMinAmt(ceu.getNewFunds(),"$param", ceu, CampaignEligibilityUtil.NEW_APP_LEND_AMT, true))</t>
  </si>
  <si>
    <t>eval(isWithinMaxAmt(ceu.getNewFunds(),"$param", ceu, CampaignEligibilityUtil.NEW_APP_LEND_AMT, true))</t>
  </si>
  <si>
    <t>eval(ceu.getResultantLoan().getPackage() != null &amp;&amp; isWithinMinAmt(ceu.getNewFundsForResultantLoans(),"$param", ceu, CampaignEligibilityUtil.NEW_APP_AMT_IN_PACK, true))</t>
  </si>
  <si>
    <t>eval(ceu.getResultantLoan().getPackage() != null &amp;&amp; isWithinMaxAmt(ceu.getNewFundsForResultantLoans(),"$param", ceu, CampaignEligibilityUtil.NEW_APP_AMT_IN_PACK, true))</t>
  </si>
  <si>
    <t>eval(isWithinMaxAmt(ceu.getTotalMortgageLimitsAmount(),"$param", ceu, CampaignEligibilityUtil.TML, true))</t>
  </si>
  <si>
    <t>eval(ceu.getResultantLoan().getPackage() != null &amp;&amp; isWithinMinAmt(ceu.calculateMortgageLending(),"$param", ceu, CampaignEligibilityUtil.TPL, true))</t>
  </si>
  <si>
    <t>eval(ceu.getResultantLoan().getPackage() != null &amp;&amp; isWithinMaxAmt(ceu.calculateMortgageLending(),"$param", ceu, CampaignEligibilityUtil.TPL, true))</t>
  </si>
  <si>
    <t>eval(isWithinMinInt(ceu.getResultantLoan().getAccount().getIsTermAccount() ? ((TermAccount) ceu.getResultantLoan().getAccount()).getFixedTerm() : null, "$param", ceu, CampaignEligibilityUtil.FIXED_TERM, false))</t>
  </si>
  <si>
    <t>eval(isWithinMaxInt(ceu.getResultantLoan().getAccount().getIsTermAccount() ? ((TermAccount) ceu.getResultantLoan().getAccount()).getFixedTerm() : null, "$param", ceu, CampaignEligibilityUtil.FIXED_TERM, false))</t>
  </si>
  <si>
    <t>eval( isWithinMinBigDecimal(ceu.getOverallLvrPercent(),"$param", ceu, CampaignEligibilityUtil.LVR, true))</t>
  </si>
  <si>
    <t>eval( isWithinMaxBigDecimal(ceu.getOverallLvrPercent(),"$param", ceu, CampaignEligibilityUtil.LVR, true))</t>
  </si>
  <si>
    <t>eval(isApplicantCPIDEligible("$param", ceu, CampaignEligibilityUtil.CPID))</t>
  </si>
  <si>
    <t>eval(isOfferIndicatorEligible("$param", ceu, CampaignEligibilityUtil.OFFERS))</t>
  </si>
  <si>
    <t>eval(isExistingCustomer("$param", ceu, CampaignEligibilityUtil.EXISTING_CUST))</t>
  </si>
  <si>
    <t>eval(isPurposeEligible("$param", ceu, CampaignEligibilityUtil.LOAN_PURPOSE))</t>
  </si>
  <si>
    <t>eval(isPackageEligible("$param", ceu, CampaignEligibilityUtil.PACKAGE_TYPE))</t>
  </si>
  <si>
    <t>eval(isProductEligible("$param", ceu, CampaignEligibilityUtil.LOAN_TYPE))</t>
  </si>
  <si>
    <t>eval(hasNotSelectedIneligiblePackage("$param", ceu, CampaignEligibilityUtil.NON_ELIGIBLE_PACKAGE_TYPE))</t>
  </si>
  <si>
    <t>eval(isCLGCPIDEligible("$param", ceu, CampaignEligibilityUtil.CLG_CPID))</t>
  </si>
  <si>
    <t>eval(isOriginatingBranchStateEligible("$param", ceu, CampaignEligibilityUtil.APP_ORIGIN_STATE_CODE))</t>
  </si>
  <si>
    <t>eval(areApplicantsStateOfResidenceEligible("$param", ceu, CampaignEligibilityUtil.APPLICANT_RES_ADDRESS_STATE_CODE))</t>
  </si>
  <si>
    <t>eval(arePropertySecurityStatesEligible("$param", ceu, CampaignEligibilityUtil.SECURITY_ADDRESS_ORIGIN_STATE_CODE))</t>
  </si>
  <si>
    <t>eval(isLoDoc("$param", ceu, CampaignEligibilityUtil.LODOC_INDICATOR))</t>
  </si>
  <si>
    <t>eval(areApplicantsResidencyStatusEligible("$param", ceu, CampaignEligibilityUtil. APPLICANTS_RESIDENCY_STATUS_CODE))</t>
  </si>
  <si>
    <t>eval(areApplicantsCountryOfResidenceEligible("$param", ceu, CampaignEligibilityUtil. APPLICANTS_RESIDENCE_COUNTRY))</t>
  </si>
  <si>
    <t>eval(isEligibleBusinessChannel("$param", ceu, CampaignEligibilityUtil.ELIGIBLE_BUSINESS_CHANNELS))</t>
  </si>
  <si>
    <t>eval(addIfEligible(ceu,"$param"))</t>
  </si>
  <si>
    <t>BKF-SO-201203 :: 1</t>
  </si>
  <si>
    <t>BKF,BKG</t>
  </si>
  <si>
    <t>HVC,IVC,HRC,IRC,RC</t>
  </si>
  <si>
    <t>ANZ Breakfree Special Offer</t>
  </si>
  <si>
    <t>BKF-SO-201203</t>
  </si>
  <si>
    <t>BKF-SO-201203 :: 2</t>
  </si>
  <si>
    <t>BKF-SO-201203 :: 3</t>
  </si>
  <si>
    <t>BKF-SO-201203 :: 4</t>
  </si>
  <si>
    <t>BKF-SO-201203 :: 5</t>
  </si>
  <si>
    <t>BKF-SO-201203 :: 6</t>
  </si>
  <si>
    <t>BKF-SO-201203 :: 7</t>
  </si>
  <si>
    <t>BKF-SO-201203 :: 8</t>
  </si>
  <si>
    <t>BKF-SO-201203 :: 9</t>
  </si>
  <si>
    <t>BKF-SO-201203 :: 10</t>
  </si>
  <si>
    <t>BKF-SO-201203 :: 11</t>
  </si>
  <si>
    <t>BKF-SO-201203 :: 12</t>
  </si>
  <si>
    <t>BKF-SO-201203 :: 13</t>
  </si>
  <si>
    <t>BKF-SO-201203 :: 14</t>
  </si>
  <si>
    <t>BKF-SO-201203 :: 15</t>
  </si>
  <si>
    <t>BKF-SO-201203 :: 16</t>
  </si>
  <si>
    <t>BKF-SO-201203 :: 17</t>
  </si>
  <si>
    <t>BKF-SO-201203 :: 18</t>
  </si>
  <si>
    <t>BKF-SO-201203 :: 19</t>
  </si>
  <si>
    <t>BKF-SO-201203 :: 20</t>
  </si>
  <si>
    <t>BKF-SO-201203 :: 21</t>
  </si>
  <si>
    <t>HFC,IFC</t>
  </si>
  <si>
    <t>BKF-SO-201203 :: 22</t>
  </si>
  <si>
    <t>BKF-SO-201203 :: 23</t>
  </si>
  <si>
    <t>BKF-SO-201203 :: 24</t>
  </si>
  <si>
    <t>BKF-SO-201203 :: 25</t>
  </si>
  <si>
    <t>BKF-SO-201203 :: 26</t>
  </si>
  <si>
    <t>BKF-SO-201203 :: 27</t>
  </si>
  <si>
    <t>BKF-SO-201203 :: 28</t>
  </si>
  <si>
    <t>BKF-SO-201203 :: 29</t>
  </si>
  <si>
    <t>BKF-SO-201203 :: 30</t>
  </si>
  <si>
    <t>BKF-SO-201203 :: 31</t>
  </si>
  <si>
    <t>BKF-SO-201203 :: 32</t>
  </si>
  <si>
    <t>BKF-SO-201203 :: 33</t>
  </si>
  <si>
    <t>BKF-SO-201203 :: 34</t>
  </si>
  <si>
    <t>BKF-SO-201203 :: 35</t>
  </si>
  <si>
    <t>BKF-SO-201203 :: 36</t>
  </si>
  <si>
    <t>BKF-SO-201203 :: 37</t>
  </si>
  <si>
    <t>BKF-SO-201203 :: 38</t>
  </si>
  <si>
    <t>BKF-SO-201203 :: 39</t>
  </si>
  <si>
    <t>BKF-SO-201203 :: 40</t>
  </si>
  <si>
    <t>BKF-SO-201203 :: 41</t>
  </si>
  <si>
    <t>BKF-SO-201203 :: 42</t>
  </si>
  <si>
    <t>HLPIR-SO-201705 :: 1</t>
  </si>
  <si>
    <t>HVC,IVC,HRC,IRC,BVC,BIC,HFC,IFC</t>
  </si>
  <si>
    <t>AFH,VPF</t>
  </si>
  <si>
    <t>0,0</t>
  </si>
  <si>
    <t xml:space="preserve">Please confirm that Campaign is being applied where an existing customer is changing from Interest Only to Principal and Interest Repayments. </t>
  </si>
  <si>
    <t xml:space="preserve">I/O to P&amp;I Renegotiation Waiver </t>
  </si>
  <si>
    <t>HLPIR-SO-201705</t>
  </si>
  <si>
    <t>SIM-SO-201609B :: 1</t>
  </si>
  <si>
    <t>BVC</t>
  </si>
  <si>
    <t xml:space="preserve">This Campaign is only valid on applications for Principal and Interest repayments.   If you are seeking the campaign for an Interest Only Investment Loan, please select the other campaign titled “Interest Only Simplicity Plus RIL Special Offer”.  Interest Only repayments are not currently available on Simplicity Plus Home Loans.  
Please confirm this application is for Principal and Interest repayments only.  
</t>
  </si>
  <si>
    <t>P&amp;I Only Simplicity PLUS Special Offer</t>
  </si>
  <si>
    <t>SIM-SO-201609B</t>
  </si>
  <si>
    <t>SIM-SO-201609B :: 2</t>
  </si>
  <si>
    <t>SIM-SO-201609B :: 3</t>
  </si>
  <si>
    <t>BIC</t>
  </si>
  <si>
    <t>SIM-SO-201609B :: 4</t>
  </si>
  <si>
    <t>SIM-SO-201609B :: 5</t>
  </si>
  <si>
    <t>SIM-SO-201609B :: 6</t>
  </si>
  <si>
    <t>SIM-SO-201609B :: 7</t>
  </si>
  <si>
    <t>SIM-SO-201609B :: 8</t>
  </si>
  <si>
    <t>SIM-SO-201807 :: 1</t>
  </si>
  <si>
    <t xml:space="preserve">This campaign is only valid for Interest Only Loans under the Simplicity Plus Residential Investment Product.  If this application is for Principal and Interest Repayments, please select the other campaign titled “P&amp;I Only Simplicity PLUS Special Offer”
Interest Only Repayments are not available on Simplicity Plus Owner Occupied Home Loans.
Please confirm this application is for Interest Only Repayments.
</t>
  </si>
  <si>
    <t>Interest Only Simplicity PLUS RIL Special Offer</t>
  </si>
  <si>
    <t>SIM-SO-201807</t>
  </si>
  <si>
    <t>SIM-SO-201807 :: 2</t>
  </si>
  <si>
    <t>SIM-SO-201807 :: 3</t>
  </si>
  <si>
    <t>SIM-SO-201807 :: 4</t>
  </si>
  <si>
    <t>FXD-SO-202011 :: 1</t>
  </si>
  <si>
    <t>HFC, IFC</t>
  </si>
  <si>
    <t>Fixed LVR Special Offer</t>
  </si>
  <si>
    <t>FXD-SO-202011</t>
  </si>
  <si>
    <t>FXD-SO-202011 :: 2</t>
  </si>
  <si>
    <t>FXD-SO-202011 :: 3</t>
  </si>
  <si>
    <t>FXD-SO-202011 :: 4</t>
  </si>
  <si>
    <t>FXD-SO-202011 :: 5</t>
  </si>
  <si>
    <t>FXD-SO-202011 :: 6</t>
  </si>
  <si>
    <t>FXD-SO-202011 :: 7</t>
  </si>
  <si>
    <t>FXD-SO-202011 :: 8</t>
  </si>
  <si>
    <t>FXD-SO-202011 :: 9</t>
  </si>
  <si>
    <t>FXD-SO-202011 :: 10</t>
  </si>
  <si>
    <t>FXD-SO-202011 :: 11</t>
  </si>
  <si>
    <t>FXD-SO-202011 :: 12</t>
  </si>
  <si>
    <t>FXD-SO-202011 :: 13</t>
  </si>
  <si>
    <t>FXD-SO-202011 :: 14</t>
  </si>
  <si>
    <t>FXD-SO-202011 :: 15</t>
  </si>
  <si>
    <t>FXD-SO-202011 :: 16</t>
  </si>
  <si>
    <t>FXD-SO-202011 :: 17</t>
  </si>
  <si>
    <t>FXD-SO-202011 :: 18</t>
  </si>
  <si>
    <t>FXD-SO-202011 :: 19</t>
  </si>
  <si>
    <t>FXD-SO-202011 :: 20</t>
  </si>
  <si>
    <t>FXD-SO-202011 :: 21</t>
  </si>
  <si>
    <t>FXD-SO-202011 :: 22</t>
  </si>
  <si>
    <t>FXD-SO-202011 :: 23</t>
  </si>
  <si>
    <t>FXD-SO-202011 :: 24</t>
  </si>
  <si>
    <t>CAMPAIGN RATE MARGIN RULES</t>
  </si>
  <si>
    <t>Campaign Code</t>
  </si>
  <si>
    <t>Tier Number</t>
  </si>
  <si>
    <t>Is initial period?</t>
  </si>
  <si>
    <t>Interest Discount For Initial Period</t>
  </si>
  <si>
    <t>XOR</t>
  </si>
  <si>
    <t>eval(campaign != null &amp;&amp; campaign.getDefinition() != null &amp;&amp; campaign.getDefinition().getCode().equals("$param"))</t>
  </si>
  <si>
    <t>eval(campaign != null &amp;&amp; campaign.getTier().equals("$param"))</t>
  </si>
  <si>
    <t>eval(isInitial.toString().equalsIgnoreCase("$param"))</t>
  </si>
  <si>
    <t>add("$param")</t>
  </si>
  <si>
    <t>PersonalisedDiscount</t>
  </si>
  <si>
    <t>1</t>
  </si>
  <si>
    <t>0.1</t>
  </si>
  <si>
    <t>CAMPAIGN</t>
  </si>
  <si>
    <t>2</t>
  </si>
  <si>
    <t>0.2</t>
  </si>
  <si>
    <t>Switch0906-$1000</t>
  </si>
  <si>
    <t>0.3</t>
  </si>
  <si>
    <t>0.15</t>
  </si>
  <si>
    <t>Switch0908-0.6%SVR</t>
  </si>
  <si>
    <t>Switch0908-0.8%SVR</t>
  </si>
  <si>
    <t>Topupapp0906-NoLAF</t>
  </si>
  <si>
    <t>Topupapp0908-NoLAF</t>
  </si>
  <si>
    <t>RESUME APPLICATION DISCOUNT MARGIN RULES</t>
  </si>
  <si>
    <t xml:space="preserve">New Total More than Existing </t>
  </si>
  <si>
    <t>New Total Equal to Existing</t>
  </si>
  <si>
    <t xml:space="preserve">New Total Less than Existing </t>
  </si>
  <si>
    <t>Has Discretionary</t>
  </si>
  <si>
    <t>Has Discretionary with Consent</t>
  </si>
  <si>
    <t>eval(BooleanUtil.isTrue(BigDecimalUtil.isGreaterThan(rdu.getNewTotalMargin(), rdu.getTotalMargin())==$param))</t>
  </si>
  <si>
    <t>eval(BooleanUtil.isTrue(BigDecimalUtil.isEqual(rdu.getNewTotalMargin(),rdu.getTotalMargin())==$param))</t>
  </si>
  <si>
    <t>eval(BooleanUtil.isTrue(BigDecimalUtil.isLessThan(rdu.getNewTotalMargin(), rdu.getTotalMargin())==$param))</t>
  </si>
  <si>
    <t>eval(BooleanUtil.isTrue(rdu.getHasDiscretionaryMargin()==$param))</t>
  </si>
  <si>
    <t>eval(rdu.getIsConsentProvided() != null &amp;&amp; BooleanUtil.isTrue(rdu.getIsConsentProvided() == $param))</t>
  </si>
  <si>
    <t>list.add("$param");</t>
  </si>
  <si>
    <t>resumeDiscountRules</t>
  </si>
  <si>
    <t>PACKAGE ELIGIBILITY RULES</t>
  </si>
  <si>
    <t>Package Code</t>
  </si>
  <si>
    <t>is ANZ staff member?</t>
  </si>
  <si>
    <t>is Pre-application?</t>
  </si>
  <si>
    <t>is eligible ANZ staff application?</t>
  </si>
  <si>
    <t xml:space="preserve">None of the
applicants
are non-resident
</t>
  </si>
  <si>
    <t>Eligible</t>
  </si>
  <si>
    <t>Eligibility Exception</t>
  </si>
  <si>
    <t>eval(matchPackageCode(testNullCode(type),"$param"))</t>
  </si>
  <si>
    <t>eval(checkStaffApp(app,"$param"))</t>
  </si>
  <si>
    <t>eval(checkIsPreApplication(app,"$param"))</t>
  </si>
  <si>
    <t>eval(checkEligibleStaffApp(app,"$param"))</t>
  </si>
  <si>
    <t>eval((checkNoApplicantsAreNonResident(app.getIndividualApplicants())) == "$param")</t>
  </si>
  <si>
    <t>PACKAGE</t>
  </si>
  <si>
    <t>Residency status of applicant(s)</t>
  </si>
  <si>
    <t>STF</t>
  </si>
  <si>
    <t>Must be an ANZ staff member, permanent employee with more than 3 months of service.</t>
  </si>
  <si>
    <t>Specified loan package type unknown</t>
  </si>
  <si>
    <t>INTEREST RATE INDEX RULES</t>
  </si>
  <si>
    <t>Interest Rate Index</t>
  </si>
  <si>
    <t>Product Sub Code</t>
  </si>
  <si>
    <t>Has Remaining Interest Only Term?</t>
  </si>
  <si>
    <t>Has Remaining Fixed Term?</t>
  </si>
  <si>
    <t>Repayment Type</t>
  </si>
  <si>
    <t>Initial Rate Label</t>
  </si>
  <si>
    <t>Subsequent Rate Label</t>
  </si>
  <si>
    <t>eval(isInList("$param", res.getProductDefinition().getInterestRateIndex()))</t>
  </si>
  <si>
    <t>eval(isInList("$param", res.getProductDefinition().getProductSubCode()))</t>
  </si>
  <si>
    <t>eval(hasRemainingInterestOnlyTerm(res) == Boolean.valueOf("$param"))</t>
  </si>
  <si>
    <t>eval(hasRemainingFixedTerm(res) == Boolean.valueOf("$param"))</t>
  </si>
  <si>
    <t>map.put("rateType", "$param");</t>
  </si>
  <si>
    <t>map.put("repaymentType", "$param");</t>
  </si>
  <si>
    <t>map.put("initialRateLabel", "$param");</t>
  </si>
  <si>
    <t>map.put("subsequentRateLabel", "$param");</t>
  </si>
  <si>
    <t>RC</t>
  </si>
  <si>
    <t>IndexRateDetails</t>
  </si>
  <si>
    <t>FH</t>
  </si>
  <si>
    <t>HFC</t>
  </si>
  <si>
    <t>FIXED</t>
  </si>
  <si>
    <t>PRINCIPAL_AND_INTEREST</t>
  </si>
  <si>
    <t>FIXED_P_AND_I</t>
  </si>
  <si>
    <t>VARIABLE_P_AND_I</t>
  </si>
  <si>
    <t>IFC</t>
  </si>
  <si>
    <t>HL</t>
  </si>
  <si>
    <t>HVC</t>
  </si>
  <si>
    <t>VARIABLE</t>
  </si>
  <si>
    <t>RP</t>
  </si>
  <si>
    <t>IVC</t>
  </si>
  <si>
    <t>BS</t>
  </si>
  <si>
    <t>SIMPLICITY_PLUS</t>
  </si>
  <si>
    <t>SIMPLICITY_PLUS_P_AND_I</t>
  </si>
  <si>
    <t>BI</t>
  </si>
  <si>
    <t>F2</t>
  </si>
  <si>
    <t>INTEREST_ONLY</t>
  </si>
  <si>
    <t>FIXED_IO</t>
  </si>
  <si>
    <t>F3</t>
  </si>
  <si>
    <t>H2</t>
  </si>
  <si>
    <t>VARIABLE_IO</t>
  </si>
  <si>
    <t>B3</t>
  </si>
  <si>
    <t>SIMPLICITY_PLUS_IO</t>
  </si>
  <si>
    <t>B4</t>
  </si>
  <si>
    <t>FS</t>
  </si>
  <si>
    <t>IAC</t>
  </si>
  <si>
    <t>INTEREST_IN_ADVANCE</t>
  </si>
  <si>
    <t>FIXED_INTEREST_IN_ADVANCE</t>
  </si>
  <si>
    <t>NEB,NEC,REB,REC,RD,RN,RW,RB</t>
  </si>
  <si>
    <t>IAB,IOC,IAD</t>
  </si>
  <si>
    <t>Loan account type</t>
  </si>
  <si>
    <t>Renewal option from Setup page</t>
  </si>
  <si>
    <t>Existing loan account type</t>
  </si>
  <si>
    <t>Existing loan has a predominant purpose</t>
  </si>
  <si>
    <t>Existing loan is Investment Loan</t>
  </si>
  <si>
    <t>Is renewal predominant purpose for investment</t>
  </si>
  <si>
    <t>Overall loan purpose code</t>
  </si>
  <si>
    <t>Purpose Code</t>
  </si>
  <si>
    <t>eval(account.getType().getCode().equals("$param"))</t>
  </si>
  <si>
    <t>eval(renewalOptions != null &amp;&amp; renewalOptions.contains("$param"))</t>
  </si>
  <si>
    <t>eval(variationLoan.getAccount().getType().equals("$param"))</t>
  </si>
  <si>
    <t>eval((variationLoan.getOverallLoanPurpose() != null) == $param)</t>
  </si>
  <si>
    <t>eval(variationLoan.getIsInvestmentLoan() == $param)</t>
  </si>
  <si>
    <t>eval(isRenewalPurposeForInvestment == $param)</t>
  </si>
  <si>
    <t>map.put("purposeCode", $param);</t>
  </si>
  <si>
    <t>CHANGE_FROM_OWNER_OCCUPIER_TO_INVESTOR</t>
  </si>
  <si>
    <t>variationLoan.getOverallLoanPurpose()</t>
  </si>
  <si>
    <t>"INVESTMENT_HOME"</t>
  </si>
  <si>
    <t>CHANGE_FROM_INVESTOR_TO_OWNER_OCCUPIER</t>
  </si>
  <si>
    <t>"REFINANCE_ANZ_LOAN"</t>
  </si>
  <si>
    <t>Campaign Number</t>
  </si>
  <si>
    <t>Current loan amount &gt;=</t>
  </si>
  <si>
    <t>(TML) 
Total Mortgage Lending for the application &gt;=</t>
  </si>
  <si>
    <t>(TPL) 
Sum of loans linked to current loan's package &gt;=</t>
  </si>
  <si>
    <t>is Existing ANZ customer?</t>
  </si>
  <si>
    <t>Fixed rate term (year)</t>
  </si>
  <si>
    <t>is Top Up?</t>
  </si>
  <si>
    <t>is Interest Only?</t>
  </si>
  <si>
    <t>(MinAppLVR)
Minimum Application LVR</t>
  </si>
  <si>
    <t>(MaxAppLVR)
Maximum Application LVR</t>
  </si>
  <si>
    <t>Product Code</t>
  </si>
  <si>
    <t>Margin Change Type</t>
  </si>
  <si>
    <t>Margin</t>
  </si>
  <si>
    <t>eval(stringLookup(res.getPackageCode(), "$param"))</t>
  </si>
  <si>
    <t>eval(campaignUsedInApp("$param",res))</t>
  </si>
  <si>
    <t>eval(CurrencyAmountUtil.isGreaterThanOrEqualTo(res.getAmount(),"$param"))</t>
  </si>
  <si>
    <t>eval(isCurrencyGreaterThanOrEqualTo(map.get("TMLamount"),"$param"))</t>
  </si>
  <si>
    <t>eval(isCurrencyGreaterThanOrEqualTo(map.get("TPLamount"),"$param"))</t>
  </si>
  <si>
    <t>eval(res.getIsExistingCustomer()==$param)</t>
  </si>
  <si>
    <t>eval(res.getAccount().getLoanParameters().getFixedTermYears()!=null &amp;&amp; stringLookup(res.getAccount().getLoanParameters().getFixedTermYears().toString(),"$param"))</t>
  </si>
  <si>
    <t>eval(res.getApplication().getIsTopUp()==$param)</t>
  </si>
  <si>
    <t>eval(res.getIsInterestOnly()==$param)</t>
  </si>
  <si>
    <t>eval(res.getApplication().getOverallLvrPercent() != null &amp;&amp; BigDecimalUtil.isGreaterThanOrEqualTo(res.getApplication().getOverallLvrPercent(),"$param"))</t>
  </si>
  <si>
    <t>eval(res.getApplication().getOverallLvrPercent() != null &amp;&amp; BigDecimalUtil.isLessThanOrEqualTo(res.getApplication().getOverallLvrPercent(),"$param"))</t>
  </si>
  <si>
    <t>eval(stringLookup(prod.getDomainAbstractProductDefinition().getProductSubCode(),"$param"))</t>
  </si>
  <si>
    <t>HFC,IFC,IAC</t>
  </si>
  <si>
    <t>HVC,HRC,IVC,IRC</t>
  </si>
  <si>
    <t>HVC,HRC,IVC,IRC,RC</t>
  </si>
  <si>
    <t>PMB</t>
  </si>
  <si>
    <t>HVC,IVC,HRC,IRC</t>
  </si>
  <si>
    <t>RC,HVC,IVC,HRC,IRC</t>
  </si>
  <si>
    <t>RN,RC</t>
  </si>
  <si>
    <t>RN,RC,HVC,IVC,HRC,IRC</t>
  </si>
  <si>
    <t>IBP</t>
  </si>
  <si>
    <t>DISCOUNT RATE MARGIN RETENTION RULES</t>
  </si>
  <si>
    <t>FALSE</t>
  </si>
  <si>
    <t>FIXED,VARIABLE</t>
  </si>
  <si>
    <t>SIMPLICITYPLUS</t>
  </si>
  <si>
    <t>RLS PRODUCT LOOKUPS</t>
  </si>
  <si>
    <t>PRODUCT CODES</t>
  </si>
  <si>
    <t>SUBPRODUCT CODE</t>
  </si>
  <si>
    <t>IAB</t>
  </si>
  <si>
    <t>IAD</t>
  </si>
  <si>
    <t>IOC</t>
  </si>
  <si>
    <t>NEB</t>
  </si>
  <si>
    <t>NEC</t>
  </si>
  <si>
    <t>RB</t>
  </si>
  <si>
    <t>RD</t>
  </si>
  <si>
    <t>REB</t>
  </si>
  <si>
    <t>REC</t>
  </si>
  <si>
    <t>RN</t>
  </si>
  <si>
    <t>RW</t>
  </si>
  <si>
    <t>LOAN LOOKAUP</t>
  </si>
  <si>
    <t>LOOKUP</t>
  </si>
  <si>
    <t>SUB PRODUCT CODE</t>
  </si>
  <si>
    <t>SUBSEQUENT PRODUCT CODE</t>
  </si>
  <si>
    <t>Principal and interest</t>
  </si>
  <si>
    <t>Interest only</t>
  </si>
  <si>
    <t>Interest in advance</t>
  </si>
  <si>
    <t>DROOLS PARAMETERS</t>
  </si>
  <si>
    <t>STATES</t>
  </si>
  <si>
    <t>BKF</t>
  </si>
  <si>
    <t>BKG</t>
  </si>
  <si>
    <t>CODE_CONVERSIONS</t>
  </si>
  <si>
    <t>Loan to Value Ratio (LVR)</t>
  </si>
  <si>
    <t>Home to live in</t>
  </si>
  <si>
    <t>SELECT COLUMN</t>
  </si>
  <si>
    <t>=IF(PRIVATE_HEALTH=TRUE,0,IF(ADULTS=1,IF(DEPENDANTS=0,1,1+DEPENDANTS),IF(DEPENDANTS=0,2,1+DEPENDANTS)))</t>
  </si>
  <si>
    <t>SINGLES</t>
  </si>
  <si>
    <t>FAMILY</t>
  </si>
  <si>
    <t>SURCHARGE</t>
  </si>
  <si>
    <t>ALL</t>
  </si>
  <si>
    <t>CURRENT</t>
  </si>
  <si>
    <t>TAX</t>
  </si>
  <si>
    <t>LEVY</t>
  </si>
  <si>
    <t>DEBT LEVY</t>
  </si>
  <si>
    <t>PH = Y</t>
  </si>
  <si>
    <t>FAMILY0-1</t>
  </si>
  <si>
    <t>FAMILY2</t>
  </si>
  <si>
    <t>FAMILY3</t>
  </si>
  <si>
    <t>FAMILY4</t>
  </si>
  <si>
    <t>FAMILY5</t>
  </si>
  <si>
    <t>FAMILY6</t>
  </si>
  <si>
    <t>FAMILY7</t>
  </si>
  <si>
    <t>FAMILY8</t>
  </si>
  <si>
    <t>FAMILY9</t>
  </si>
  <si>
    <t>FAMILY10</t>
  </si>
  <si>
    <t>GROSS TIERS</t>
  </si>
  <si>
    <t>NET TIERS</t>
  </si>
  <si>
    <t>TAX_GROSS_INCOME_6</t>
  </si>
  <si>
    <t>TAX_NET_INCOME_6</t>
  </si>
  <si>
    <t>TAX_VALUE_6</t>
  </si>
  <si>
    <t>TAX_PERCENT_6</t>
  </si>
  <si>
    <t>TAX_GROSS_INCOME_5</t>
  </si>
  <si>
    <t>TAX_NET_INCOME_5</t>
  </si>
  <si>
    <t>TAX_VALUE_5</t>
  </si>
  <si>
    <t>TAX_PERCENT_5</t>
  </si>
  <si>
    <t>TAX_GROSS_INCOME_4</t>
  </si>
  <si>
    <t>TAX_NET_INCOME_4</t>
  </si>
  <si>
    <t>TAX_VALUE_4</t>
  </si>
  <si>
    <t>TAX_PERCENT_4</t>
  </si>
  <si>
    <t>TAX_GROSS_INCOME_3</t>
  </si>
  <si>
    <t>TAX_NET_INCOME_3</t>
  </si>
  <si>
    <t>TAX_VALUE_3</t>
  </si>
  <si>
    <t>TAX_PERCENT_3</t>
  </si>
  <si>
    <t>TAX_GROSS_INCOME_2</t>
  </si>
  <si>
    <t>TAX_NET_INCOME_2</t>
  </si>
  <si>
    <t>TAX_VALUE_2</t>
  </si>
  <si>
    <t>TAX_PERCENT_2</t>
  </si>
  <si>
    <t>TAX_GROSS_INCOME_1</t>
  </si>
  <si>
    <t>TAX_NET_INCOME_1</t>
  </si>
  <si>
    <t>TAX_VALUE_1</t>
  </si>
  <si>
    <t>TAX_PERCENT_1</t>
  </si>
  <si>
    <t>name</t>
  </si>
  <si>
    <t>isactive</t>
  </si>
  <si>
    <t>code2</t>
  </si>
  <si>
    <t>name3</t>
  </si>
  <si>
    <t>isactive4</t>
  </si>
  <si>
    <t>isfordisplay</t>
  </si>
  <si>
    <t>sectiondescription</t>
  </si>
  <si>
    <t>sectioneffectivedate</t>
  </si>
  <si>
    <t>sectioneffectivedateraw</t>
  </si>
  <si>
    <t>informationurl</t>
  </si>
  <si>
    <t>sectiondisclaimer</t>
  </si>
  <si>
    <t>code5</t>
  </si>
  <si>
    <t>name6</t>
  </si>
  <si>
    <t>isactive7</t>
  </si>
  <si>
    <t>isfordisplay8</t>
  </si>
  <si>
    <t>subsectiondescription</t>
  </si>
  <si>
    <t>tiergrouptitle1</t>
  </si>
  <si>
    <t>tiergrouptitle2</t>
  </si>
  <si>
    <t>subsectiondisclaimer</t>
  </si>
  <si>
    <t>code9</t>
  </si>
  <si>
    <t>isactive10</t>
  </si>
  <si>
    <t>isfordisplay11</t>
  </si>
  <si>
    <t>ratename</t>
  </si>
  <si>
    <t>ratetype</t>
  </si>
  <si>
    <t>ratevalue</t>
  </si>
  <si>
    <t>ratesuffix</t>
  </si>
  <si>
    <t>ratenote</t>
  </si>
  <si>
    <t>tiername1</t>
  </si>
  <si>
    <t>tiername2</t>
  </si>
  <si>
    <t>AU</t>
  </si>
  <si>
    <t>Australia</t>
  </si>
  <si>
    <t>PHL</t>
  </si>
  <si>
    <t>Home loans</t>
  </si>
  <si>
    <t>https://www.anz.com.au/personal/home-loans/</t>
  </si>
  <si>
    <t>ANZ Standard Variable Rate</t>
  </si>
  <si>
    <t>Variable Rate</t>
  </si>
  <si>
    <t>% p.a.</t>
  </si>
  <si>
    <t>VRC</t>
  </si>
  <si>
    <t>Principal and Interest - Comparison Rate</t>
  </si>
  <si>
    <t>4.49</t>
  </si>
  <si>
    <t>4.94</t>
  </si>
  <si>
    <t>VRCIO</t>
  </si>
  <si>
    <t>Interest Only - Comparison Rate</t>
  </si>
  <si>
    <t>4.70</t>
  </si>
  <si>
    <t>ANZ Fixed Rate</t>
  </si>
  <si>
    <t>Term</t>
  </si>
  <si>
    <t>Comparison rate calculated on a loan amount of $150,000 over a term of 25 years based on monthly repayments. These rates are for secured loans only.&lt;br/&gt;&lt;br/&gt;&lt;b&gt;WARNING: &lt;/b&gt;This Comparison Rate is true only for the examples given and may not include all fees and charges. Different terms, fees or other loan amounts might result in a different comparison rate.&lt;br/&gt;&lt;br/&gt;For interest only variable loans, the comparison rates are based on an initial 5 year interest only term. For fixed rate interest only loans, the comparison rates are based on an initial interest only period equal in term to the fixed period.&lt;br/&gt;&lt;br/&gt;T&amp;Cs, fees &amp; charges apply.&lt;br/&gt;&lt;br/&gt;</t>
  </si>
  <si>
    <t>FRB1I</t>
  </si>
  <si>
    <t>1 year</t>
  </si>
  <si>
    <t>FRB1C</t>
  </si>
  <si>
    <t>FRB1IIO</t>
  </si>
  <si>
    <t>FRB1CIO</t>
  </si>
  <si>
    <t>FRB2I</t>
  </si>
  <si>
    <t>2 years</t>
  </si>
  <si>
    <t>FRB2C</t>
  </si>
  <si>
    <t>FRB2IIO</t>
  </si>
  <si>
    <t>FRB2CIO</t>
  </si>
  <si>
    <t>FRB3I</t>
  </si>
  <si>
    <t>3 years</t>
  </si>
  <si>
    <t>FRB3C</t>
  </si>
  <si>
    <t>FRB3IIO</t>
  </si>
  <si>
    <t>FRB3CIO</t>
  </si>
  <si>
    <t>FRB4I</t>
  </si>
  <si>
    <t>4 years</t>
  </si>
  <si>
    <t>FRB4C</t>
  </si>
  <si>
    <t>FRB4IIO</t>
  </si>
  <si>
    <t>FRB4CIO</t>
  </si>
  <si>
    <t>FRB5I</t>
  </si>
  <si>
    <t>5 years</t>
  </si>
  <si>
    <t>FRB5C</t>
  </si>
  <si>
    <t>FRB5IIO</t>
  </si>
  <si>
    <t>FRB5CIO</t>
  </si>
  <si>
    <t>FRB7I</t>
  </si>
  <si>
    <t>7.54</t>
  </si>
  <si>
    <t>7 years</t>
  </si>
  <si>
    <t>FRB7C</t>
  </si>
  <si>
    <t>FRB7IIO</t>
  </si>
  <si>
    <t>FRB7CIO</t>
  </si>
  <si>
    <t>FRB10I</t>
  </si>
  <si>
    <t>10 years</t>
  </si>
  <si>
    <t>FRB10C</t>
  </si>
  <si>
    <t>FRB10IIO</t>
  </si>
  <si>
    <t>FRB10CIO</t>
  </si>
  <si>
    <t>2.59</t>
  </si>
  <si>
    <t>FR1C</t>
  </si>
  <si>
    <t>FR1CIO</t>
  </si>
  <si>
    <t>FR2C</t>
  </si>
  <si>
    <t>FR2CIO</t>
  </si>
  <si>
    <t>FR3C</t>
  </si>
  <si>
    <t>FR3CIO</t>
  </si>
  <si>
    <t>FR4C</t>
  </si>
  <si>
    <t>FR4CIO</t>
  </si>
  <si>
    <t>FR5C</t>
  </si>
  <si>
    <t>FR5CIO</t>
  </si>
  <si>
    <t>7.69</t>
  </si>
  <si>
    <t>FR7C</t>
  </si>
  <si>
    <t>FR7CIO</t>
  </si>
  <si>
    <t>FR10C</t>
  </si>
  <si>
    <t>FR10CIO</t>
  </si>
  <si>
    <t>ANZ Simplicity PLUS</t>
  </si>
  <si>
    <t>SPC</t>
  </si>
  <si>
    <t>SPCIO</t>
  </si>
  <si>
    <t>SPSI</t>
  </si>
  <si>
    <t>SPSC</t>
  </si>
  <si>
    <t>SPSIIO</t>
  </si>
  <si>
    <t>SPSCIO</t>
  </si>
  <si>
    <t>SPSIP70</t>
  </si>
  <si>
    <t>SPSCP70</t>
  </si>
  <si>
    <t>SPSIIO70</t>
  </si>
  <si>
    <t>SPSCIO70</t>
  </si>
  <si>
    <t>SPSIP60</t>
  </si>
  <si>
    <t>SPSCP60</t>
  </si>
  <si>
    <t>SPSIIO60</t>
  </si>
  <si>
    <t>SPSCIO60</t>
  </si>
  <si>
    <t>SPSI69</t>
  </si>
  <si>
    <t>SPSC80</t>
  </si>
  <si>
    <t>SPSCIO80</t>
  </si>
  <si>
    <t>SPSII081</t>
  </si>
  <si>
    <t>BFLP</t>
  </si>
  <si>
    <t>ILV1</t>
  </si>
  <si>
    <t>Variable Rate Discount</t>
  </si>
  <si>
    <t>0.50</t>
  </si>
  <si>
    <t>Total ANZ Mortgage Lending $150,000-$249,999</t>
  </si>
  <si>
    <t>ILF1</t>
  </si>
  <si>
    <t>Fixed Rate Discount</t>
  </si>
  <si>
    <t>ICV1</t>
  </si>
  <si>
    <t>0.60</t>
  </si>
  <si>
    <t>Total ANZ Mortgage Lending $250,000-$699,999</t>
  </si>
  <si>
    <t>ICF1</t>
  </si>
  <si>
    <t>ICV3</t>
  </si>
  <si>
    <t>0.70</t>
  </si>
  <si>
    <t>Total ANZ Mortgage Lending $700,000+</t>
  </si>
  <si>
    <t>ICF3</t>
  </si>
  <si>
    <t>BFOO80PI</t>
  </si>
  <si>
    <t>1.40</t>
  </si>
  <si>
    <t>LVR 80% and under - P&amp;I</t>
  </si>
  <si>
    <t>BFOO80FXPI</t>
  </si>
  <si>
    <t>0.20</t>
  </si>
  <si>
    <t>BFOO80IO</t>
  </si>
  <si>
    <t>LVR 80% and under -I/O</t>
  </si>
  <si>
    <t>BFOO80FXIO</t>
  </si>
  <si>
    <t>BFOO81PI</t>
  </si>
  <si>
    <t>1.20</t>
  </si>
  <si>
    <t>LVR over 80% - P&amp;I</t>
  </si>
  <si>
    <t>BFOO81FXPI</t>
  </si>
  <si>
    <t>BFOO81IO</t>
  </si>
  <si>
    <t>LVR over 80% - I/O</t>
  </si>
  <si>
    <t>BFOO81FXIO</t>
  </si>
  <si>
    <t>PHLBFD</t>
  </si>
  <si>
    <t>PHLBFDI1</t>
  </si>
  <si>
    <t>$150,000 - $249,999</t>
  </si>
  <si>
    <t>PHLBFDC1</t>
  </si>
  <si>
    <t>PHLBFDI1IO</t>
  </si>
  <si>
    <t>PHLBFDC1IO</t>
  </si>
  <si>
    <t>PHLBFDI2</t>
  </si>
  <si>
    <t>$250,000 - $699,999</t>
  </si>
  <si>
    <t>PHLBFDC2</t>
  </si>
  <si>
    <t>PHLBFDI2IO</t>
  </si>
  <si>
    <t>PHLBFDC2IO</t>
  </si>
  <si>
    <t>PHLBFDI3</t>
  </si>
  <si>
    <t>$700,000+</t>
  </si>
  <si>
    <t>PHLBFDC3</t>
  </si>
  <si>
    <t>PHLBFDI3IO</t>
  </si>
  <si>
    <t>PHLBFDC3IO</t>
  </si>
  <si>
    <t>BFOO80PIR</t>
  </si>
  <si>
    <t>LVR 80% and under</t>
  </si>
  <si>
    <t>BFOO80PIC</t>
  </si>
  <si>
    <t>BFOO80IOR</t>
  </si>
  <si>
    <t>BFOO80IOC</t>
  </si>
  <si>
    <t>BFOO81PIR</t>
  </si>
  <si>
    <t>LVR over 80%</t>
  </si>
  <si>
    <t>BFOO81PIC</t>
  </si>
  <si>
    <t>BFOO81IOR</t>
  </si>
  <si>
    <t>BFOO81IOC</t>
  </si>
  <si>
    <t>PHLBFDS</t>
  </si>
  <si>
    <t>PHLBFDSI1</t>
  </si>
  <si>
    <t>$250,000 - $499,999 (LVR 80% or less)</t>
  </si>
  <si>
    <t>PHLBFDSC1</t>
  </si>
  <si>
    <t>PHLBDSI1IO</t>
  </si>
  <si>
    <t>PHLBDSC1IO</t>
  </si>
  <si>
    <t>PHLBFDSI2</t>
  </si>
  <si>
    <t>$250,000 - $499,999 (LVR &gt; 80%)</t>
  </si>
  <si>
    <t>PHLBFDSC2</t>
  </si>
  <si>
    <t>PHLBDSI2IO</t>
  </si>
  <si>
    <t>PHLBDSC2IO</t>
  </si>
  <si>
    <t>PHLBFDSI3</t>
  </si>
  <si>
    <t>$500,000+ (LVR 80% or less)</t>
  </si>
  <si>
    <t>PHLBFDSC3</t>
  </si>
  <si>
    <t>PHLBDSI3IO</t>
  </si>
  <si>
    <t>PHLBDSC3IO</t>
  </si>
  <si>
    <t>PHLBFDSI4</t>
  </si>
  <si>
    <t>$500,000+ (LVR &gt; 80%)</t>
  </si>
  <si>
    <t>PHLBFDSC4</t>
  </si>
  <si>
    <t>PHLBDSI4IO</t>
  </si>
  <si>
    <t>PHLBDSC4IO</t>
  </si>
  <si>
    <t>FXHLPI180</t>
  </si>
  <si>
    <t>Fixed 1yr &lt;80% LVR &gt;70%</t>
  </si>
  <si>
    <t>FXHLPIC180</t>
  </si>
  <si>
    <t>FXHLIO180</t>
  </si>
  <si>
    <t>FXHLIOC180</t>
  </si>
  <si>
    <t>FXHLPI170</t>
  </si>
  <si>
    <t>Fixed 1yr &lt;70% LVR</t>
  </si>
  <si>
    <t>FXHLPIC170</t>
  </si>
  <si>
    <t>FXHLIO170</t>
  </si>
  <si>
    <t>FXHLIOC170</t>
  </si>
  <si>
    <t>FXHLPI280</t>
  </si>
  <si>
    <t>Fixed 2yr &lt;80% LVR &gt;70%</t>
  </si>
  <si>
    <t>FXHLPIC280</t>
  </si>
  <si>
    <t>FXHLIO280</t>
  </si>
  <si>
    <t>FXHLIOC280</t>
  </si>
  <si>
    <t>FXHLPI270</t>
  </si>
  <si>
    <t>Fixed 2yr &lt;70% LVR</t>
  </si>
  <si>
    <t>FXHLPIC270</t>
  </si>
  <si>
    <t>FXHLIO270</t>
  </si>
  <si>
    <t>FXHLIOC270</t>
  </si>
  <si>
    <t>FXHLPI380</t>
  </si>
  <si>
    <t>Fixed 3yr &lt;80% LVR &gt;70%</t>
  </si>
  <si>
    <t>FXHLPIC380</t>
  </si>
  <si>
    <t>FXHLIO380</t>
  </si>
  <si>
    <t>FXHLIOC380</t>
  </si>
  <si>
    <t>FXHLPI370</t>
  </si>
  <si>
    <t>Fixed 3yr &lt;70% LVR</t>
  </si>
  <si>
    <t>FXHLPIC370</t>
  </si>
  <si>
    <t>FXHLIO370</t>
  </si>
  <si>
    <t>FXHLIOC370</t>
  </si>
  <si>
    <t>FXHLPI480</t>
  </si>
  <si>
    <t>Fixed 4yr &lt;80% LVR &gt;70%</t>
  </si>
  <si>
    <t>FXHLPIC480</t>
  </si>
  <si>
    <t>FRHLIO480</t>
  </si>
  <si>
    <t>FRHLIOC480</t>
  </si>
  <si>
    <t>FRHLPI470</t>
  </si>
  <si>
    <t>Fixed 4yr &lt;70% LVR</t>
  </si>
  <si>
    <t>FRHLPIC470</t>
  </si>
  <si>
    <t>FRHLIO470</t>
  </si>
  <si>
    <t>FRHLIOC470</t>
  </si>
  <si>
    <t>FRHLPI580</t>
  </si>
  <si>
    <t>Fixed 5yr &lt;80% LVR &gt;70%</t>
  </si>
  <si>
    <t>FRHLPIC580</t>
  </si>
  <si>
    <t>FRHLIO580</t>
  </si>
  <si>
    <t>FRHLIOC580</t>
  </si>
  <si>
    <t>FRHLPI570</t>
  </si>
  <si>
    <t>Fixed 5yr &lt;70% LVR</t>
  </si>
  <si>
    <t>FRHLPIC570</t>
  </si>
  <si>
    <t>FRHLIO570</t>
  </si>
  <si>
    <t>FRHLIOC570</t>
  </si>
  <si>
    <t>FRHLPI780</t>
  </si>
  <si>
    <t>7.49</t>
  </si>
  <si>
    <t>Fixed 7yr &lt;80% LVR &gt;70%</t>
  </si>
  <si>
    <t>FRHLPIC780</t>
  </si>
  <si>
    <t>FRHLIO780</t>
  </si>
  <si>
    <t>FRHLIOC780</t>
  </si>
  <si>
    <t>FRHLPI770</t>
  </si>
  <si>
    <t>Fixed 7yr &lt;70% LVR</t>
  </si>
  <si>
    <t>FRHLPIC770</t>
  </si>
  <si>
    <t>FRHLIO770</t>
  </si>
  <si>
    <t>FRHLIOC770</t>
  </si>
  <si>
    <t>FRHLPI1080</t>
  </si>
  <si>
    <t>Fixed 10yr &lt;80% LVR &gt;70%</t>
  </si>
  <si>
    <t>FHLPIC1080</t>
  </si>
  <si>
    <t>FRHLIO1080</t>
  </si>
  <si>
    <t>FHLIOC1080</t>
  </si>
  <si>
    <t>FRHLPI1070</t>
  </si>
  <si>
    <t>Fixed 10yr &lt;70% LVR</t>
  </si>
  <si>
    <t>FHLPIC1070</t>
  </si>
  <si>
    <t>FRHLIO1070</t>
  </si>
  <si>
    <t>FHLIOC1070</t>
  </si>
  <si>
    <t>LL</t>
  </si>
  <si>
    <t>LLI</t>
  </si>
  <si>
    <t>LLC</t>
  </si>
  <si>
    <t>LLIIO</t>
  </si>
  <si>
    <t>LLCIO</t>
  </si>
  <si>
    <t>MS</t>
  </si>
  <si>
    <t>ANZ Money Saver (No longer offered)</t>
  </si>
  <si>
    <t>&lt;b&gt;This product is no longer available for sale&lt;/b&gt;.&lt;br/&gt;&lt;br/&gt;Comparison rate calculated on a loan amount of $150,000 over a term of 25 years based on monthly repayments. These rates are for secured loans only.&lt;br/&gt;&lt;br/&gt;&lt;b&gt;WARNING: This Comparison Rate is true only for the examples given and may not include all fees and charges. Different terms, fees or other loan amounts might result in a different comparison rate.&lt;/b&gt;&lt;br/&gt;&lt;br/&gt;Terms and conditions, fees and charges apply.</t>
  </si>
  <si>
    <t>MSI</t>
  </si>
  <si>
    <t>Interest Rate</t>
  </si>
  <si>
    <t>MSC</t>
  </si>
  <si>
    <t>Comparison Rate</t>
  </si>
  <si>
    <t>HIL</t>
  </si>
  <si>
    <t>ANZ Home Improvement Loan</t>
  </si>
  <si>
    <t>Comparison rate calculated on a loan amount of $30,000  over a term of 5 years based on monthly repayments. These rates are for secured loans only.&lt;br/&gt;&lt;br/&gt;&lt;b&gt;WARNING: This Comparison Rate is true only for the examples given and may not include all fees and charges. Different terms, fees or other loan amounts might result in a different comparison rate.&lt;/b&gt;&lt;br/&gt;&lt;br/&gt;Terms and conditions available on application. Fees and charges apply.</t>
  </si>
  <si>
    <t>HILI</t>
  </si>
  <si>
    <t>HILC</t>
  </si>
  <si>
    <t>FLVROONBF</t>
  </si>
  <si>
    <t>FLVRI180</t>
  </si>
  <si>
    <t>FLVRIC180</t>
  </si>
  <si>
    <t>FLHLIO180</t>
  </si>
  <si>
    <t>FLHLIOC180</t>
  </si>
  <si>
    <t>FLVRI170</t>
  </si>
  <si>
    <t>FLVRIC170</t>
  </si>
  <si>
    <t>FLHLIO170</t>
  </si>
  <si>
    <t>FLHLIOC170</t>
  </si>
  <si>
    <t>FLVRI280</t>
  </si>
  <si>
    <t>FLVRIC280</t>
  </si>
  <si>
    <t>FLHLIO280</t>
  </si>
  <si>
    <t>FLHLIOC280</t>
  </si>
  <si>
    <t>FLVRI270</t>
  </si>
  <si>
    <t>FLVRIC270</t>
  </si>
  <si>
    <t>FLHLIO270</t>
  </si>
  <si>
    <t>FLHLIOC270</t>
  </si>
  <si>
    <t>FLVRI380</t>
  </si>
  <si>
    <t>FLVRIC380</t>
  </si>
  <si>
    <t>FLHLIO380</t>
  </si>
  <si>
    <t>FLHLIOC380</t>
  </si>
  <si>
    <t>FLVRI370</t>
  </si>
  <si>
    <t>FLVRIC370</t>
  </si>
  <si>
    <t>FLHLIO370</t>
  </si>
  <si>
    <t>FLHLIOC370</t>
  </si>
  <si>
    <t>FLVRI480</t>
  </si>
  <si>
    <t>FLVRIC480</t>
  </si>
  <si>
    <t>FLVRIO480</t>
  </si>
  <si>
    <t>FLVRIOC480</t>
  </si>
  <si>
    <t>FLVRI470</t>
  </si>
  <si>
    <t>FLVRIC470</t>
  </si>
  <si>
    <t>FLVRIO470</t>
  </si>
  <si>
    <t>FLVRIOC470</t>
  </si>
  <si>
    <t>FLVRI580</t>
  </si>
  <si>
    <t>FLVRIC580</t>
  </si>
  <si>
    <t>FLVRIO580</t>
  </si>
  <si>
    <t>FLVRIOC580</t>
  </si>
  <si>
    <t>FLVRI570</t>
  </si>
  <si>
    <t>FLVRIC570</t>
  </si>
  <si>
    <t>FLVRIO570</t>
  </si>
  <si>
    <t>FLVRIOC570</t>
  </si>
  <si>
    <t>FLVRI780</t>
  </si>
  <si>
    <t>7.64</t>
  </si>
  <si>
    <t>FLVRIC780</t>
  </si>
  <si>
    <t>FLVRIO780</t>
  </si>
  <si>
    <t>FLVRIOC780</t>
  </si>
  <si>
    <t>FLVRI770</t>
  </si>
  <si>
    <t>FLVRIC770</t>
  </si>
  <si>
    <t>FLVRIO770</t>
  </si>
  <si>
    <t>FLVRIOC770</t>
  </si>
  <si>
    <t>FLVRI1080</t>
  </si>
  <si>
    <t>FLVRIC1080</t>
  </si>
  <si>
    <t>FLVRIO1080</t>
  </si>
  <si>
    <t>FLVIOC1080</t>
  </si>
  <si>
    <t>FLVRI1070</t>
  </si>
  <si>
    <t>FLVRIC1070</t>
  </si>
  <si>
    <t>FLVRIO1070</t>
  </si>
  <si>
    <t>FLVIOC1070</t>
  </si>
  <si>
    <t>HLP</t>
  </si>
  <si>
    <t>ANZ Home Loan - Project Inception</t>
  </si>
  <si>
    <t>HOO80PI</t>
  </si>
  <si>
    <t>HOO80FXPI</t>
  </si>
  <si>
    <t>HOO80IO</t>
  </si>
  <si>
    <t>LVR 80% and under - I/O</t>
  </si>
  <si>
    <t>HOO80FXIO</t>
  </si>
  <si>
    <t>HOO81PI</t>
  </si>
  <si>
    <t>HOO81FXPI</t>
  </si>
  <si>
    <t>HOO81IO</t>
  </si>
  <si>
    <t>HOO81FXIO</t>
  </si>
  <si>
    <t>PHLHD</t>
  </si>
  <si>
    <t>Home Loan discounted interest rates - Project Inception</t>
  </si>
  <si>
    <t>HOO80PIR</t>
  </si>
  <si>
    <t>HOO80PIC</t>
  </si>
  <si>
    <t>HOO80IOR</t>
  </si>
  <si>
    <t>HOO80IOC</t>
  </si>
  <si>
    <t>HOO81PIR</t>
  </si>
  <si>
    <t>HOO81PIC</t>
  </si>
  <si>
    <t>HOO81IOR</t>
  </si>
  <si>
    <t>HOO81IOC</t>
  </si>
  <si>
    <t>HOOHLSIR</t>
  </si>
  <si>
    <t>ANZ Fixed Home Loan (LVR &lt;=80) - Project Inception</t>
  </si>
  <si>
    <t>HOFI180</t>
  </si>
  <si>
    <t>Fixed 1yr LVR &lt;80%</t>
  </si>
  <si>
    <t>HOFI180C</t>
  </si>
  <si>
    <t>HOFIO801</t>
  </si>
  <si>
    <t>HOFIO801C</t>
  </si>
  <si>
    <t>HOFI280</t>
  </si>
  <si>
    <t>Fixed 2yr LVR &lt;80%</t>
  </si>
  <si>
    <t>HOFI280C</t>
  </si>
  <si>
    <t>HOFIO802</t>
  </si>
  <si>
    <t>HOFIO802C</t>
  </si>
  <si>
    <t>HOFI380</t>
  </si>
  <si>
    <t>Fixed 3yr LVR &lt;80%</t>
  </si>
  <si>
    <t>HOFI380C</t>
  </si>
  <si>
    <t>HOFIO803</t>
  </si>
  <si>
    <t>HOFIO803C</t>
  </si>
  <si>
    <t>HOFI480</t>
  </si>
  <si>
    <t>Fixed 4yr LVR &lt;80%</t>
  </si>
  <si>
    <t>HOFI480C</t>
  </si>
  <si>
    <t>HOFIO804</t>
  </si>
  <si>
    <t>HOFIO804C</t>
  </si>
  <si>
    <t>HOFI580</t>
  </si>
  <si>
    <t>Fixed 5yr LVR &lt;80%</t>
  </si>
  <si>
    <t>HOFI580C</t>
  </si>
  <si>
    <t>HOFIO805</t>
  </si>
  <si>
    <t>HOFIO805C</t>
  </si>
  <si>
    <t>HOFI780</t>
  </si>
  <si>
    <t>Fixed 7yr LVR &lt;80%</t>
  </si>
  <si>
    <t>HOFI780C</t>
  </si>
  <si>
    <t>HOFIO807</t>
  </si>
  <si>
    <t>HOFIO807C</t>
  </si>
  <si>
    <t>HOFI1080</t>
  </si>
  <si>
    <t>Fixed 10yr LVR &lt;80%</t>
  </si>
  <si>
    <t>HOFI1080C</t>
  </si>
  <si>
    <t>HOFIO8010</t>
  </si>
  <si>
    <t>HOFIO8010C</t>
  </si>
  <si>
    <t>HOOFR</t>
  </si>
  <si>
    <t>ANZ Fixed Home Loan - Project Inception</t>
  </si>
  <si>
    <t>HOOFR1I</t>
  </si>
  <si>
    <t>HOOFR1IC</t>
  </si>
  <si>
    <t>HOOFR1IO</t>
  </si>
  <si>
    <t>HOOFR1IOC</t>
  </si>
  <si>
    <t>HOOFR2I</t>
  </si>
  <si>
    <t>HOOFR2IC</t>
  </si>
  <si>
    <t>HOOFR2IO</t>
  </si>
  <si>
    <t>HOOFR2IOC</t>
  </si>
  <si>
    <t>HOOFR3I</t>
  </si>
  <si>
    <t>HOOFR3IC</t>
  </si>
  <si>
    <t>HOOFR3IO</t>
  </si>
  <si>
    <t>HOOFR3IOC</t>
  </si>
  <si>
    <t>HOOFR4I</t>
  </si>
  <si>
    <t>HOOFR4IC</t>
  </si>
  <si>
    <t>HOOFR4IO</t>
  </si>
  <si>
    <t>HOOFR4IOC</t>
  </si>
  <si>
    <t>HOOFR5I</t>
  </si>
  <si>
    <t>HOOFR5IC</t>
  </si>
  <si>
    <t>HOOFR5IO</t>
  </si>
  <si>
    <t>HOOFR5IOC</t>
  </si>
  <si>
    <t>HOOFR7I</t>
  </si>
  <si>
    <t>HOOFR7IC</t>
  </si>
  <si>
    <t>HOOFR7IO</t>
  </si>
  <si>
    <t>HOOFR7IOC</t>
  </si>
  <si>
    <t>HOOFR10I</t>
  </si>
  <si>
    <t>HOOFR10IC</t>
  </si>
  <si>
    <t>HOOFR10IO</t>
  </si>
  <si>
    <t>HOOFR10IOC</t>
  </si>
  <si>
    <t>PEL</t>
  </si>
  <si>
    <t>Equity loans</t>
  </si>
  <si>
    <t>Equity Loans - Interest rates and reference rates</t>
  </si>
  <si>
    <t>https://www.anz.com.au/personal/home-loans/equity-manager/</t>
  </si>
  <si>
    <t>EM</t>
  </si>
  <si>
    <t>ANZ Equity Manager</t>
  </si>
  <si>
    <t>ANZ Equity Manager (No longer offered)</t>
  </si>
  <si>
    <t>6.01</t>
  </si>
  <si>
    <t>EMGT80</t>
  </si>
  <si>
    <t>EMLT80</t>
  </si>
  <si>
    <t>EBFLP</t>
  </si>
  <si>
    <t>This home loan package is available on:&lt;br&gt;- ANZ Standard Variable Rate Home and Residential Investment Loans;&lt;br&gt;- ANZ Fixed Rate Home and Residential Investment Loans.&lt;br&gt;&lt;br&gt;Terms and conditions available on application. Fees and charges apply.</t>
  </si>
  <si>
    <t>EILV1</t>
  </si>
  <si>
    <t>EILF1</t>
  </si>
  <si>
    <t>EICV1</t>
  </si>
  <si>
    <t>EICF1</t>
  </si>
  <si>
    <t>EICV3</t>
  </si>
  <si>
    <t>EICF3</t>
  </si>
  <si>
    <t>BFEMA80D</t>
  </si>
  <si>
    <t>LVR 80% and under, TML $150,000 and Over</t>
  </si>
  <si>
    <t>BFEMA81D</t>
  </si>
  <si>
    <t>LVR over 80%, TML $150,000 and Over</t>
  </si>
  <si>
    <t>PELBFD</t>
  </si>
  <si>
    <t>PELBFDI1</t>
  </si>
  <si>
    <t>5.51</t>
  </si>
  <si>
    <t>PELBFDI2</t>
  </si>
  <si>
    <t>5.41</t>
  </si>
  <si>
    <t>PELBFDI3</t>
  </si>
  <si>
    <t>BFEMA80R</t>
  </si>
  <si>
    <t>LVR 80% and under - I/O, TML $150,000 and Over</t>
  </si>
  <si>
    <t>BFEMA81R</t>
  </si>
  <si>
    <t>LVR over 80% - I/O, TML $150,000 and Over</t>
  </si>
  <si>
    <t>PELBFDS</t>
  </si>
  <si>
    <t>PELBFDSI1</t>
  </si>
  <si>
    <t>PELBFDSI2</t>
  </si>
  <si>
    <t>PELBFDSI3</t>
  </si>
  <si>
    <t>PELBFDSI4</t>
  </si>
  <si>
    <t>5.16</t>
  </si>
  <si>
    <t>HEL</t>
  </si>
  <si>
    <t>&lt;b&gt;This product is no longer available for sale.&lt;/b&gt;&lt;br/&gt;&lt;br/&gt;Terms and conditions available on application. Fees and charges apply.</t>
  </si>
  <si>
    <t>HELI</t>
  </si>
  <si>
    <t>PRL</t>
  </si>
  <si>
    <t>Residential investment loans</t>
  </si>
  <si>
    <t>Residential investment loans - Interest rates and reference rates</t>
  </si>
  <si>
    <t>https://www.anz.com.au/personal/home-loans/investment-property/</t>
  </si>
  <si>
    <t>Only available for investments.</t>
  </si>
  <si>
    <t>ANZ Variable Rate</t>
  </si>
  <si>
    <t>4.99</t>
  </si>
  <si>
    <t>IVRC</t>
  </si>
  <si>
    <t>5.09</t>
  </si>
  <si>
    <t>5.24</t>
  </si>
  <si>
    <t>IVRCIO</t>
  </si>
  <si>
    <t>5.18</t>
  </si>
  <si>
    <t>Comparison rate calculated on a loan amount of $150,000 over a term of 25 years based on monthly repayments. These rates are for secured loans only.&lt;br/&gt;&lt;br/&gt;&lt;b&gt;WARNING:&lt;/b&gt; This Comparison Rate is true only for the examples given and may not include all fees and charges. Different terms, fees or other loan amounts might result in a different comparison rate.&lt;br/&gt;&lt;br/&gt;For interest only variable loans, the comparison rates are based on an initial 5 year interest only term. For fixed rate interest only loans, the comparison rates are based on an initial interest only period equal in term to the fixed period.&lt;br/&gt;&lt;br/&gt;T&amp;Cs, fees &amp; charges apply.&lt;br/&gt;&lt;br/&gt;</t>
  </si>
  <si>
    <t>IFRB1I</t>
  </si>
  <si>
    <t>IFRB1C</t>
  </si>
  <si>
    <t>IFRB1IIO</t>
  </si>
  <si>
    <t>IFRB1CIO</t>
  </si>
  <si>
    <t>IFRB2I</t>
  </si>
  <si>
    <t>IFRB2C</t>
  </si>
  <si>
    <t>IFRB2IIO</t>
  </si>
  <si>
    <t>IFRB2CIO</t>
  </si>
  <si>
    <t>IFRB3I</t>
  </si>
  <si>
    <t>IFRB3C</t>
  </si>
  <si>
    <t>IFRB3IIO</t>
  </si>
  <si>
    <t>IFRB3CIO</t>
  </si>
  <si>
    <t>IFRB4I</t>
  </si>
  <si>
    <t>IFRB4C</t>
  </si>
  <si>
    <t>IFRB4IIO</t>
  </si>
  <si>
    <t>IFRB4CIO</t>
  </si>
  <si>
    <t>IFRB5I</t>
  </si>
  <si>
    <t>IFRB5C</t>
  </si>
  <si>
    <t>IFRB5IIO</t>
  </si>
  <si>
    <t>IFRB5CIO</t>
  </si>
  <si>
    <t>IFRB7I</t>
  </si>
  <si>
    <t>IFRB7C</t>
  </si>
  <si>
    <t>IFRB7IIO</t>
  </si>
  <si>
    <t>IFRB7CIO</t>
  </si>
  <si>
    <t>IFRB10I</t>
  </si>
  <si>
    <t>IFRB10C</t>
  </si>
  <si>
    <t>IFRB10IIO</t>
  </si>
  <si>
    <t>IFRB10CIO</t>
  </si>
  <si>
    <t>IFR1C</t>
  </si>
  <si>
    <t>4.84</t>
  </si>
  <si>
    <t>IFR1CIO</t>
  </si>
  <si>
    <t>4.85</t>
  </si>
  <si>
    <t>IFR2C</t>
  </si>
  <si>
    <t>IFR2CIO</t>
  </si>
  <si>
    <t>IFR3C</t>
  </si>
  <si>
    <t>IFR3CIO</t>
  </si>
  <si>
    <t>IFR4C</t>
  </si>
  <si>
    <t>4.65</t>
  </si>
  <si>
    <t>IFR4CIO</t>
  </si>
  <si>
    <t>IFR5C</t>
  </si>
  <si>
    <t>IFR5CIO</t>
  </si>
  <si>
    <t>IFR7C</t>
  </si>
  <si>
    <t>IFR7CIO</t>
  </si>
  <si>
    <t>IFR10C</t>
  </si>
  <si>
    <t>IFR10CIO</t>
  </si>
  <si>
    <t>RBFLP</t>
  </si>
  <si>
    <t>RILV1</t>
  </si>
  <si>
    <t>RILF1</t>
  </si>
  <si>
    <t>RICV1</t>
  </si>
  <si>
    <t>RICF1</t>
  </si>
  <si>
    <t>RICV3</t>
  </si>
  <si>
    <t>RICF3</t>
  </si>
  <si>
    <t>BFINV80PI</t>
  </si>
  <si>
    <t>BFINV80FXP</t>
  </si>
  <si>
    <t>BFINV80IO</t>
  </si>
  <si>
    <t>BFINV80FXI</t>
  </si>
  <si>
    <t>BFINV81PI</t>
  </si>
  <si>
    <t>BFINV81FXP</t>
  </si>
  <si>
    <t>BFINV81IO</t>
  </si>
  <si>
    <t>BFINV81FXI</t>
  </si>
  <si>
    <t>PRLBFD</t>
  </si>
  <si>
    <t>PRLBFDI1</t>
  </si>
  <si>
    <t>PRLBFDC1</t>
  </si>
  <si>
    <t>4.89</t>
  </si>
  <si>
    <t>PRLBFDI1IO</t>
  </si>
  <si>
    <t>4.74</t>
  </si>
  <si>
    <t>PRLBFDC1IO</t>
  </si>
  <si>
    <t>4.95</t>
  </si>
  <si>
    <t>PRLBFDI2</t>
  </si>
  <si>
    <t>PRLBFDC2</t>
  </si>
  <si>
    <t>4.79</t>
  </si>
  <si>
    <t>PRLBFDI2IO</t>
  </si>
  <si>
    <t>4.64</t>
  </si>
  <si>
    <t>PRLBFDC2IO</t>
  </si>
  <si>
    <t>PRLBFDI3</t>
  </si>
  <si>
    <t>PRLBFDC3</t>
  </si>
  <si>
    <t>4.69</t>
  </si>
  <si>
    <t>PRLBFDI3IO</t>
  </si>
  <si>
    <t>4.54</t>
  </si>
  <si>
    <t>PRLBFDC3IO</t>
  </si>
  <si>
    <t>4.75</t>
  </si>
  <si>
    <t>BFINV80PIR</t>
  </si>
  <si>
    <t>BFINV80PIC</t>
  </si>
  <si>
    <t>BFINV80IOR</t>
  </si>
  <si>
    <t>BFINV80IOC</t>
  </si>
  <si>
    <t>BFINV81PIR</t>
  </si>
  <si>
    <t>BFINV81PIC</t>
  </si>
  <si>
    <t>BFINV81IOR</t>
  </si>
  <si>
    <t>BFINV81IOC</t>
  </si>
  <si>
    <t>PRLBFDS</t>
  </si>
  <si>
    <t>PRLBFDSI1</t>
  </si>
  <si>
    <t>PRLBFDSC1</t>
  </si>
  <si>
    <t>4.59</t>
  </si>
  <si>
    <t>PRLBDSI1IO</t>
  </si>
  <si>
    <t>PRLBDSC1IO</t>
  </si>
  <si>
    <t>PRLBFDSI2</t>
  </si>
  <si>
    <t>PRLBFDSC2</t>
  </si>
  <si>
    <t>PRLBDSI2IO</t>
  </si>
  <si>
    <t>PRLBDSC2IO</t>
  </si>
  <si>
    <t>PRLBFDSI3</t>
  </si>
  <si>
    <t>PRLBFDSC3</t>
  </si>
  <si>
    <t>PRLBDSI3IO</t>
  </si>
  <si>
    <t>PRLBDSC3IO</t>
  </si>
  <si>
    <t>4.55</t>
  </si>
  <si>
    <t>PRLBFDSI4</t>
  </si>
  <si>
    <t>PRLBFDSC4</t>
  </si>
  <si>
    <t>PRLBDSI4IO</t>
  </si>
  <si>
    <t>PRLBDSC4IO</t>
  </si>
  <si>
    <t>4.60</t>
  </si>
  <si>
    <t>FRINVPI180</t>
  </si>
  <si>
    <t>FINVPIC180</t>
  </si>
  <si>
    <t>FRINVIO180</t>
  </si>
  <si>
    <t>FINVIOC180</t>
  </si>
  <si>
    <t>FRINVPI170</t>
  </si>
  <si>
    <t>FINVPIC170</t>
  </si>
  <si>
    <t>FRINVIO170</t>
  </si>
  <si>
    <t>FINVIOC170</t>
  </si>
  <si>
    <t>FRINVPI280</t>
  </si>
  <si>
    <t>FINVPIC280</t>
  </si>
  <si>
    <t>FRINVIO280</t>
  </si>
  <si>
    <t>FINVIOC280</t>
  </si>
  <si>
    <t>FRINVPI270</t>
  </si>
  <si>
    <t>FINVPIC270</t>
  </si>
  <si>
    <t>FRINVIO270</t>
  </si>
  <si>
    <t>FINVIOC270</t>
  </si>
  <si>
    <t>FRINVPI380</t>
  </si>
  <si>
    <t>FINVPIC380</t>
  </si>
  <si>
    <t>FRINVIO380</t>
  </si>
  <si>
    <t>FINVIOC380</t>
  </si>
  <si>
    <t>FRINVPI370</t>
  </si>
  <si>
    <t>FINVPIC370</t>
  </si>
  <si>
    <t>FRINVIO370</t>
  </si>
  <si>
    <t>FINVIOC370</t>
  </si>
  <si>
    <t>FRINVPI480</t>
  </si>
  <si>
    <t>FINVPIC480</t>
  </si>
  <si>
    <t>FRINVIO480</t>
  </si>
  <si>
    <t>FINVIOC480</t>
  </si>
  <si>
    <t>FRINVPI470</t>
  </si>
  <si>
    <t>FINVPIC470</t>
  </si>
  <si>
    <t>FRINVIO470</t>
  </si>
  <si>
    <t>FINVIOC470</t>
  </si>
  <si>
    <t>FRINVPI580</t>
  </si>
  <si>
    <t>FINVPIC580</t>
  </si>
  <si>
    <t>FRINVIO580</t>
  </si>
  <si>
    <t>FINVIOC580</t>
  </si>
  <si>
    <t>FRINVPI570</t>
  </si>
  <si>
    <t>FINVPIC570</t>
  </si>
  <si>
    <t>FRINVIO570</t>
  </si>
  <si>
    <t>FINVIOC570</t>
  </si>
  <si>
    <t>FRINVPI780</t>
  </si>
  <si>
    <t>FINVPIC780</t>
  </si>
  <si>
    <t>FRINVIO780</t>
  </si>
  <si>
    <t>FINVIOC780</t>
  </si>
  <si>
    <t>FRINVPI770</t>
  </si>
  <si>
    <t>FINVPIC770</t>
  </si>
  <si>
    <t>FRINVIO770</t>
  </si>
  <si>
    <t>FINVIOC770</t>
  </si>
  <si>
    <t>FINVPI108</t>
  </si>
  <si>
    <t>FINVPIC108</t>
  </si>
  <si>
    <t>FINVIO108</t>
  </si>
  <si>
    <t>FINVIOC108</t>
  </si>
  <si>
    <t>FINVPI107</t>
  </si>
  <si>
    <t>FINVPIC107</t>
  </si>
  <si>
    <t>FINVIO107</t>
  </si>
  <si>
    <t>FINVIOC107</t>
  </si>
  <si>
    <t>ILL</t>
  </si>
  <si>
    <t>ILLI</t>
  </si>
  <si>
    <t>ILLC</t>
  </si>
  <si>
    <t>ILLIIO</t>
  </si>
  <si>
    <t>ILLCIO</t>
  </si>
  <si>
    <t>IMS</t>
  </si>
  <si>
    <t>IMSI</t>
  </si>
  <si>
    <t>IMSC</t>
  </si>
  <si>
    <t>ISPC</t>
  </si>
  <si>
    <t>ISPCIO</t>
  </si>
  <si>
    <t>SOVR</t>
  </si>
  <si>
    <t>SOVRC</t>
  </si>
  <si>
    <t>SOVRIO</t>
  </si>
  <si>
    <t>SOVRCIO</t>
  </si>
  <si>
    <t>SOVR80</t>
  </si>
  <si>
    <t>SOVRC80</t>
  </si>
  <si>
    <t>SOVRIO80</t>
  </si>
  <si>
    <t>SOVRCIO80</t>
  </si>
  <si>
    <t>SOVR70</t>
  </si>
  <si>
    <t>SOVRC70</t>
  </si>
  <si>
    <t>SOVRIO70</t>
  </si>
  <si>
    <t>SOVRCIO70</t>
  </si>
  <si>
    <t>SOVR60</t>
  </si>
  <si>
    <t>SOVRC60</t>
  </si>
  <si>
    <t>SOVRIO60</t>
  </si>
  <si>
    <t>SOVRCIO60</t>
  </si>
  <si>
    <t>ILA</t>
  </si>
  <si>
    <t>ILA1B</t>
  </si>
  <si>
    <t>Interest Rate with Breakfree</t>
  </si>
  <si>
    <t>ILA1CB</t>
  </si>
  <si>
    <t>Comparison Rate with Breakfree</t>
  </si>
  <si>
    <t>Interest Rate without Breakfree</t>
  </si>
  <si>
    <t>ILA1C</t>
  </si>
  <si>
    <t>Comparison Rate without Breakfree</t>
  </si>
  <si>
    <t>ILA2B</t>
  </si>
  <si>
    <t>ILA2CB</t>
  </si>
  <si>
    <t>ILA2C</t>
  </si>
  <si>
    <t>ILA3B</t>
  </si>
  <si>
    <t>ILA3CB</t>
  </si>
  <si>
    <t>ILA3C</t>
  </si>
  <si>
    <t>ILA4B</t>
  </si>
  <si>
    <t>ILA4CB</t>
  </si>
  <si>
    <t>ILA4C</t>
  </si>
  <si>
    <t>ILA5B</t>
  </si>
  <si>
    <t>ILA5CB</t>
  </si>
  <si>
    <t>ILA5C</t>
  </si>
  <si>
    <t>ILA7B</t>
  </si>
  <si>
    <t>7.34</t>
  </si>
  <si>
    <t>ILA7CB</t>
  </si>
  <si>
    <t>ILA7C</t>
  </si>
  <si>
    <t>ILA10B</t>
  </si>
  <si>
    <t>ILA10CB</t>
  </si>
  <si>
    <t>ILA10C</t>
  </si>
  <si>
    <t>FLVRINVNBF</t>
  </si>
  <si>
    <t>FILVRI180</t>
  </si>
  <si>
    <t>FILVRIC180</t>
  </si>
  <si>
    <t>FILHLIO180</t>
  </si>
  <si>
    <t>FILHLIOC18</t>
  </si>
  <si>
    <t>FILVRI170</t>
  </si>
  <si>
    <t>FILVRIC170</t>
  </si>
  <si>
    <t>FILHLIO170</t>
  </si>
  <si>
    <t>FILHLIOC17</t>
  </si>
  <si>
    <t>FILVRI280</t>
  </si>
  <si>
    <t>FILVRIC280</t>
  </si>
  <si>
    <t>FILHLIO280</t>
  </si>
  <si>
    <t>FILHLIOC28</t>
  </si>
  <si>
    <t>FILVRI270</t>
  </si>
  <si>
    <t>FILVRIC270</t>
  </si>
  <si>
    <t>FILHLIO270</t>
  </si>
  <si>
    <t>FILHLIOC27</t>
  </si>
  <si>
    <t>FILVRI380</t>
  </si>
  <si>
    <t>FILVRIC380</t>
  </si>
  <si>
    <t>FILHLIO380</t>
  </si>
  <si>
    <t>FILHLIOC38</t>
  </si>
  <si>
    <t>FILVRI370</t>
  </si>
  <si>
    <t>FILVRIC370</t>
  </si>
  <si>
    <t>FILHLIO370</t>
  </si>
  <si>
    <t>FILHLIOC37</t>
  </si>
  <si>
    <t>FILVRI480</t>
  </si>
  <si>
    <t>FILVRIC480</t>
  </si>
  <si>
    <t>FILVRIO480</t>
  </si>
  <si>
    <t>FILVRIOC48</t>
  </si>
  <si>
    <t>FILVRI470</t>
  </si>
  <si>
    <t>FILVRIC470</t>
  </si>
  <si>
    <t>FILVRIO470</t>
  </si>
  <si>
    <t>FILVRIOC47</t>
  </si>
  <si>
    <t>FILVRI580</t>
  </si>
  <si>
    <t>FILVRIC580</t>
  </si>
  <si>
    <t>FILVRIO580</t>
  </si>
  <si>
    <t>FILVRIOC58</t>
  </si>
  <si>
    <t>FILVRI570</t>
  </si>
  <si>
    <t>FILVRIC570</t>
  </si>
  <si>
    <t>FILVRIO570</t>
  </si>
  <si>
    <t>FILVRIOC57</t>
  </si>
  <si>
    <t>FILVRI780</t>
  </si>
  <si>
    <t>FILVRIC780</t>
  </si>
  <si>
    <t>FILVRIO780</t>
  </si>
  <si>
    <t>FILVRIOC78</t>
  </si>
  <si>
    <t>FILVRI770</t>
  </si>
  <si>
    <t>FILVRIC770</t>
  </si>
  <si>
    <t>FILVRIO770</t>
  </si>
  <si>
    <t>FILVRIOC77</t>
  </si>
  <si>
    <t>FILVRI1080</t>
  </si>
  <si>
    <t>FILVRIC108</t>
  </si>
  <si>
    <t>FILVRIO108</t>
  </si>
  <si>
    <t>FILVIOC108</t>
  </si>
  <si>
    <t>FILVRI1070</t>
  </si>
  <si>
    <t>FILVRIC107</t>
  </si>
  <si>
    <t>FILVRIO107</t>
  </si>
  <si>
    <t>FILVIOC107</t>
  </si>
  <si>
    <t>ILALVR</t>
  </si>
  <si>
    <t>ILA1B80</t>
  </si>
  <si>
    <t>ILA1CB80</t>
  </si>
  <si>
    <t>ILA1I80</t>
  </si>
  <si>
    <t>ILA1C80</t>
  </si>
  <si>
    <t>ILA2B80</t>
  </si>
  <si>
    <t>ILA2CB80</t>
  </si>
  <si>
    <t>ILA2I80</t>
  </si>
  <si>
    <t>ILA2C80</t>
  </si>
  <si>
    <t>ILA3B80</t>
  </si>
  <si>
    <t>ILA3CB80</t>
  </si>
  <si>
    <t>ILA3I80</t>
  </si>
  <si>
    <t>ILA3C80</t>
  </si>
  <si>
    <t>ILA4B80</t>
  </si>
  <si>
    <t>ILA4CB80</t>
  </si>
  <si>
    <t>ILA4I80</t>
  </si>
  <si>
    <t>ILA4C80</t>
  </si>
  <si>
    <t>ILA5B80</t>
  </si>
  <si>
    <t>ILA5CB80</t>
  </si>
  <si>
    <t>ILA5I80</t>
  </si>
  <si>
    <t>ILA5C80</t>
  </si>
  <si>
    <t>ILA7B80</t>
  </si>
  <si>
    <t>7.29</t>
  </si>
  <si>
    <t>ILA7CB80</t>
  </si>
  <si>
    <t>ILA7I80</t>
  </si>
  <si>
    <t>7.44</t>
  </si>
  <si>
    <t>ILA7C80</t>
  </si>
  <si>
    <t>ILA10B80</t>
  </si>
  <si>
    <t>ILA10CB80</t>
  </si>
  <si>
    <t>ILA10I80</t>
  </si>
  <si>
    <t>ILA10C80</t>
  </si>
  <si>
    <t>HINVIFR</t>
  </si>
  <si>
    <t>HIF1I</t>
  </si>
  <si>
    <t>HIF1IC</t>
  </si>
  <si>
    <t>HIF1IO</t>
  </si>
  <si>
    <t>HIF1IOC</t>
  </si>
  <si>
    <t>HIF2I</t>
  </si>
  <si>
    <t>HIF2IC</t>
  </si>
  <si>
    <t>HIF2IO</t>
  </si>
  <si>
    <t>HIF2IOC</t>
  </si>
  <si>
    <t>HIF3I</t>
  </si>
  <si>
    <t>HIF3IC</t>
  </si>
  <si>
    <t>HIF3IO</t>
  </si>
  <si>
    <t>HIF3IOC</t>
  </si>
  <si>
    <t>HIF4I</t>
  </si>
  <si>
    <t>HIF4IC</t>
  </si>
  <si>
    <t>HIF4IO</t>
  </si>
  <si>
    <t>HIF4IOC</t>
  </si>
  <si>
    <t>HIF5I</t>
  </si>
  <si>
    <t>HIF5IC</t>
  </si>
  <si>
    <t>HIF5IO</t>
  </si>
  <si>
    <t>HIF5IOC</t>
  </si>
  <si>
    <t>HIF7I</t>
  </si>
  <si>
    <t>HIF7IC</t>
  </si>
  <si>
    <t>HIFR7IO</t>
  </si>
  <si>
    <t>HIFR7IOC</t>
  </si>
  <si>
    <t>HIF10I</t>
  </si>
  <si>
    <t>HIF10IC</t>
  </si>
  <si>
    <t>HIF10IO</t>
  </si>
  <si>
    <t>HIF10IOC</t>
  </si>
  <si>
    <t>HINVHLSIR</t>
  </si>
  <si>
    <t>HIFI180</t>
  </si>
  <si>
    <t>HIFI180C</t>
  </si>
  <si>
    <t>HIFIO180</t>
  </si>
  <si>
    <t>HIFIO180C</t>
  </si>
  <si>
    <t>HIFI280</t>
  </si>
  <si>
    <t>HIFI280C</t>
  </si>
  <si>
    <t>HIFIO280</t>
  </si>
  <si>
    <t>HIFIO280C</t>
  </si>
  <si>
    <t>HIFI380</t>
  </si>
  <si>
    <t>HIFI380C</t>
  </si>
  <si>
    <t>HIFIO380</t>
  </si>
  <si>
    <t>HIFIO380C</t>
  </si>
  <si>
    <t>HIFI480</t>
  </si>
  <si>
    <t>HIFI480C</t>
  </si>
  <si>
    <t>HIFIO480</t>
  </si>
  <si>
    <t>HIFIO480C</t>
  </si>
  <si>
    <t>HIFI580</t>
  </si>
  <si>
    <t>HIFI580C</t>
  </si>
  <si>
    <t>HIFIO580</t>
  </si>
  <si>
    <t>HIFIO580C</t>
  </si>
  <si>
    <t>HIFI780</t>
  </si>
  <si>
    <t>HIFI780C</t>
  </si>
  <si>
    <t>HIFIO780</t>
  </si>
  <si>
    <t>HIFIO780C</t>
  </si>
  <si>
    <t>HIFI1080</t>
  </si>
  <si>
    <t>HIFI1080C</t>
  </si>
  <si>
    <t>HIFIO1080</t>
  </si>
  <si>
    <t>HIFIO1080C</t>
  </si>
  <si>
    <t>HINVILA</t>
  </si>
  <si>
    <t>ANZ Interest in Advance Home Loan - Project Inception</t>
  </si>
  <si>
    <t>HIA1I</t>
  </si>
  <si>
    <t>HIA1IC</t>
  </si>
  <si>
    <t>HIA2I</t>
  </si>
  <si>
    <t>HIA2IC</t>
  </si>
  <si>
    <t>HIA3I</t>
  </si>
  <si>
    <t>HIA3IC</t>
  </si>
  <si>
    <t>HIA4I</t>
  </si>
  <si>
    <t>HIA4IC</t>
  </si>
  <si>
    <t>HIA5I</t>
  </si>
  <si>
    <t>HIA5IC</t>
  </si>
  <si>
    <t>HIA7I</t>
  </si>
  <si>
    <t>HIA7IC</t>
  </si>
  <si>
    <t>HIA10I</t>
  </si>
  <si>
    <t>HIA10IC</t>
  </si>
  <si>
    <t>HINVILALVR</t>
  </si>
  <si>
    <t>ANZ Interest in Advance Home Loan (LVR &lt;=80) - Project Inception</t>
  </si>
  <si>
    <t>HIA1I80</t>
  </si>
  <si>
    <t>1 year LVR &lt;80%</t>
  </si>
  <si>
    <t>Interest Rate LVR &lt;80%</t>
  </si>
  <si>
    <t>HIA1I80C</t>
  </si>
  <si>
    <t>Comparison Rate LVR &lt;80%</t>
  </si>
  <si>
    <t>HIA2I80</t>
  </si>
  <si>
    <t>2 years LVR &lt;80%</t>
  </si>
  <si>
    <t>HIA2I80C</t>
  </si>
  <si>
    <t>HIA3I80</t>
  </si>
  <si>
    <t>3 years LVR &lt;80%</t>
  </si>
  <si>
    <t>HIA3I80C</t>
  </si>
  <si>
    <t>HIA4I80</t>
  </si>
  <si>
    <t>4 years LVR &lt;80%</t>
  </si>
  <si>
    <t>HIA4I80C</t>
  </si>
  <si>
    <t>HIA5I80</t>
  </si>
  <si>
    <t>5 years LVR &lt;80%</t>
  </si>
  <si>
    <t>HIA5I80C</t>
  </si>
  <si>
    <t>HIA7I80</t>
  </si>
  <si>
    <t>7 years LVR &lt;80%</t>
  </si>
  <si>
    <t>HIA7I80C</t>
  </si>
  <si>
    <t>HIA10I80</t>
  </si>
  <si>
    <t>10 years LVR &lt;80%</t>
  </si>
  <si>
    <t>HIA10I80C</t>
  </si>
  <si>
    <t>RHLP</t>
  </si>
  <si>
    <t>HINV80PI</t>
  </si>
  <si>
    <t>HINV80FXPI</t>
  </si>
  <si>
    <t>HINV80IO</t>
  </si>
  <si>
    <t>HINV80FXIO</t>
  </si>
  <si>
    <t>HINV81PI</t>
  </si>
  <si>
    <t>HINV81FXPI</t>
  </si>
  <si>
    <t>HINV81IO</t>
  </si>
  <si>
    <t>HINV81FXIO</t>
  </si>
  <si>
    <t>PRLHD</t>
  </si>
  <si>
    <t>HINV80PIR</t>
  </si>
  <si>
    <t>HINV80PIC</t>
  </si>
  <si>
    <t>HINV80IOR</t>
  </si>
  <si>
    <t>HINV80IOC</t>
  </si>
  <si>
    <t>HINV81PIR</t>
  </si>
  <si>
    <t>HINV81PIC</t>
  </si>
  <si>
    <t>HINV81IOR</t>
  </si>
  <si>
    <t>HINV81IOC</t>
  </si>
  <si>
    <t>PPL</t>
  </si>
  <si>
    <t>Personal loans</t>
  </si>
  <si>
    <t>Personal loans and overdrafts</t>
  </si>
  <si>
    <t>https://www.anz.com.au/personal/personal-loans/</t>
  </si>
  <si>
    <t>PLVR</t>
  </si>
  <si>
    <t>Important: Rate as at Monday, 26 June 2017 and subject to change. &lt;br /&gt;&lt;br /&gt;Comparison rate is based on a $30,000 Personal Loan for a 5 year term.  This rate is applicable for unsecured loans only. &lt;br /&gt;&lt;br /&gt;&lt;b&gt;WARNING&lt;/b&gt;: This Comparison Rate is true only for the example given and may not include all fees and charges. Different terms, fees or other loan amounts might result in a different comparison rate.</t>
  </si>
  <si>
    <t>PLFR</t>
  </si>
  <si>
    <t>PO</t>
  </si>
  <si>
    <t>Personal Overdraft</t>
  </si>
  <si>
    <t>PORR</t>
  </si>
  <si>
    <t>(ANZ Retail Index Rate + 4%)</t>
  </si>
  <si>
    <t>AS</t>
  </si>
  <si>
    <t>ANZ Assured</t>
  </si>
  <si>
    <t>Terms and conditions are available on application. Fees and charges apply.</t>
  </si>
  <si>
    <t>ASAS</t>
  </si>
  <si>
    <t>(ANZ Retail Index Rate + 8.15%)</t>
  </si>
  <si>
    <t>PLRR</t>
  </si>
  <si>
    <t>ANZ Reference Rates</t>
  </si>
  <si>
    <t>Terms and conditions available on application. Fees and charges apply.</t>
  </si>
  <si>
    <t>PLRRIR</t>
  </si>
  <si>
    <t>Personal Lending Index Rate</t>
  </si>
  <si>
    <t>PLRRBT</t>
  </si>
  <si>
    <t>Balance Transfer Lending Index Rate</t>
  </si>
  <si>
    <t>15.77</t>
  </si>
  <si>
    <t>RI</t>
  </si>
  <si>
    <t>ANZ Retail Index</t>
  </si>
  <si>
    <t>RIRI</t>
  </si>
  <si>
    <t>PCL</t>
  </si>
  <si>
    <t>Car loans</t>
  </si>
  <si>
    <t>Thursday, 8 April 2021</t>
  </si>
  <si>
    <t>8/04/2021 10:16:06 PM</t>
  </si>
  <si>
    <t>http://www.anz.com/personal/personal-loans/car-loan/</t>
  </si>
  <si>
    <t>CL</t>
  </si>
  <si>
    <t>ANZ Online Secured Car Loan</t>
  </si>
  <si>
    <t>This rate is only available if you apply online. You may receive a different rate if you apply for a secured car loan in other ANZ channels such as an ANZ branch or over the phone. Interest rate is subject to change.&lt;br /&gt;&lt;br /&gt;This comparison rate is based on a $30,000 Secured Car Loan over a term of 5 years on monthly repayments.&lt;br /&gt;&lt;br /&gt;&lt;b&gt;WARNING:&lt;/b&gt; This comparison rate is true only for the examples given and may not include all fees and charges. Different terms, fees or other loan amounts might result in a different comparison rate.&lt;br&gt;&lt;br&gt;Terms and conditions available on application. Fees and charges apply.</t>
  </si>
  <si>
    <t>CLD</t>
  </si>
  <si>
    <t>Fixed rate</t>
  </si>
  <si>
    <t>7.30</t>
  </si>
  <si>
    <t>CLC</t>
  </si>
  <si>
    <t>8.15</t>
  </si>
  <si>
    <t>TEVCM</t>
  </si>
  <si>
    <t>Tesla Electric Vehicles - Chattel Mortgage</t>
  </si>
  <si>
    <t>TEVCMI</t>
  </si>
  <si>
    <t>TCECM</t>
  </si>
  <si>
    <t>Tesla Clean Energy - Chattel Mortgage</t>
  </si>
  <si>
    <t>TCECMI</t>
  </si>
  <si>
    <t>8.95</t>
  </si>
  <si>
    <t>TFL</t>
  </si>
  <si>
    <t>Tesla - Finance Lease</t>
  </si>
  <si>
    <t>TFLI</t>
  </si>
  <si>
    <t>TSCL</t>
  </si>
  <si>
    <t>Tesla - Consumer Loan Secured</t>
  </si>
  <si>
    <t>TSCLI</t>
  </si>
  <si>
    <t>5.15</t>
  </si>
  <si>
    <t>TSCLC</t>
  </si>
  <si>
    <t>TUCL</t>
  </si>
  <si>
    <t>Tesla - Consumer Loan Unsecured</t>
  </si>
  <si>
    <t>TUCLI</t>
  </si>
  <si>
    <t>TUCLC</t>
  </si>
  <si>
    <t>ECL</t>
  </si>
  <si>
    <t>Esanda Car Loan</t>
  </si>
  <si>
    <t>ECLD</t>
  </si>
  <si>
    <t>Fixed rate from</t>
  </si>
  <si>
    <t>7.40</t>
  </si>
  <si>
    <t>ECLC</t>
  </si>
  <si>
    <t>8.25</t>
  </si>
  <si>
    <t>PDA</t>
  </si>
  <si>
    <t>Deposit accounts</t>
  </si>
  <si>
    <t>http://www.anz.com/personal/accounts/</t>
  </si>
  <si>
    <t>Terms and conditions, eligibility criteria and fees and charges apply.</t>
  </si>
  <si>
    <t>AA</t>
  </si>
  <si>
    <t>ANZ Access Advantage</t>
  </si>
  <si>
    <t>Any advice does not take into account your personal needs and financial circumstances and you should consider whether it is appropriate for you.  ANZ recommends you read the &lt;a target="_blank" href="https://www.anz.com.au/content/dam/anzcomau/documents/pdf/savings-transaction-products-tcs.pdf"&gt;Terms and Conditions (PDF 444kB)&lt;/a&gt; and the &lt;a target="_blank" href="https://www.anz.com.au/content/dam/anzcomau/documents/pdf/financial_services_guide.pdf"&gt;Financial Services Guide (PDF 512kB)&lt;/a&gt; which are available at anz.com or by calling &lt;b&gt;13 13 14&lt;/b&gt;, before deciding whether to acquire, or continue to hold, the product.</t>
  </si>
  <si>
    <t>AAB1</t>
  </si>
  <si>
    <t>0.00</t>
  </si>
  <si>
    <t>$1 - $49,999</t>
  </si>
  <si>
    <t>AAB2</t>
  </si>
  <si>
    <t>0.01</t>
  </si>
  <si>
    <t>$50,000 - $99,999</t>
  </si>
  <si>
    <t>AAB3</t>
  </si>
  <si>
    <t>0.02</t>
  </si>
  <si>
    <t>$100,000 plus</t>
  </si>
  <si>
    <t>EPA</t>
  </si>
  <si>
    <t>ANZ Extras Package Account</t>
  </si>
  <si>
    <t>Interest is not paid on the ANZ Extras package account.</t>
  </si>
  <si>
    <t>EPAD</t>
  </si>
  <si>
    <t>PSA</t>
  </si>
  <si>
    <t>ANZ Passbook Saving Account</t>
  </si>
  <si>
    <t>Any advice does not take into account your personal needs and financial circumstances and you should consider whether it is appropriate for you.  ANZ recommends you read the &lt;a target="_blank" href="https://www.anz.com.au/content/dam/anzcomau/documents/pdf/savings-transaction-products-tcs.pdf"&gt;ANZ Saving and Transaction Products Terms and Conditions (PDF 588kB)&lt;/a&gt; and the &lt;a target="_blank" href="https://www.anz.com.au/content/dam/anzcomau/documents/pdf/financial_services_guide.pdf"&gt;Financial Services Guide (PDF 512kB)&lt;/a&gt; which are available at anz.com or by calling &lt;b&gt;13 13 14&lt;/b&gt;, before deciding whether to acquire, or continue to hold, the product.&lt;br/&gt;Product No Longer for Sale.</t>
  </si>
  <si>
    <t>PSAB1</t>
  </si>
  <si>
    <t>PSAB2</t>
  </si>
  <si>
    <t>PSAB3</t>
  </si>
  <si>
    <t>PS</t>
  </si>
  <si>
    <t>ANZ Progress Saver</t>
  </si>
  <si>
    <t>PSB1I</t>
  </si>
  <si>
    <t>$1 - $499</t>
  </si>
  <si>
    <t>PSB1B</t>
  </si>
  <si>
    <t>Bonus Rate</t>
  </si>
  <si>
    <t>PSB1T</t>
  </si>
  <si>
    <t>PSB2I</t>
  </si>
  <si>
    <t>$500 - $2,999</t>
  </si>
  <si>
    <t>PSB2B</t>
  </si>
  <si>
    <t>PSB2T</t>
  </si>
  <si>
    <t>PSB3I</t>
  </si>
  <si>
    <t>$3,000-$4,999</t>
  </si>
  <si>
    <t>PSB3B</t>
  </si>
  <si>
    <t>PSB3T</t>
  </si>
  <si>
    <t>PSB4I</t>
  </si>
  <si>
    <t>$5,000-$9,999</t>
  </si>
  <si>
    <t>PSB4B</t>
  </si>
  <si>
    <t>PSB4T</t>
  </si>
  <si>
    <t>PSB5I</t>
  </si>
  <si>
    <t>$10,000-$19,999</t>
  </si>
  <si>
    <t>PSB5B</t>
  </si>
  <si>
    <t>PSB5T</t>
  </si>
  <si>
    <t>PSB6I</t>
  </si>
  <si>
    <t>$20,000-$49,999</t>
  </si>
  <si>
    <t>PSB6B</t>
  </si>
  <si>
    <t>PSB6T</t>
  </si>
  <si>
    <t>PSB7I</t>
  </si>
  <si>
    <t>$50,000-$99,999</t>
  </si>
  <si>
    <t>PSB7B</t>
  </si>
  <si>
    <t>PSB7T</t>
  </si>
  <si>
    <t>PSB8I</t>
  </si>
  <si>
    <t>PSB8B</t>
  </si>
  <si>
    <t>PSB8T</t>
  </si>
  <si>
    <t>PSB</t>
  </si>
  <si>
    <t>ANZ Progress Saver Package bonus rates</t>
  </si>
  <si>
    <t>The ANZ Progress Saver account pays bonus interest in addition to the current base interest when you make a single deposit of $10 or more per month and make no withdrawals or debits in that same month. Month commences on account opening date. Package bonus rate applies to ANZ Progress Saver accounts attached to the ANZ Breakfree*, ANZ Everyday Banking*, ANZ Staff* packages.&lt;br /&gt;&lt;br /&gt;*ANZ Breakfree package, ANZ Everyday Banking package and ANZ Staff package are not available to new customers.</t>
  </si>
  <si>
    <t>PSBB1I</t>
  </si>
  <si>
    <t>PSBB1B</t>
  </si>
  <si>
    <t>PSBB1T</t>
  </si>
  <si>
    <t>0.55</t>
  </si>
  <si>
    <t>PSBB2I</t>
  </si>
  <si>
    <t>PSBB2B</t>
  </si>
  <si>
    <t>PSBB2T</t>
  </si>
  <si>
    <t>PSBB3I</t>
  </si>
  <si>
    <t>PSBB3B</t>
  </si>
  <si>
    <t>PSBB3T</t>
  </si>
  <si>
    <t>PSBB4I</t>
  </si>
  <si>
    <t>PSBB4B</t>
  </si>
  <si>
    <t>PSBB4T</t>
  </si>
  <si>
    <t>PSBB5I</t>
  </si>
  <si>
    <t>PSBB5B</t>
  </si>
  <si>
    <t>PSBB5T</t>
  </si>
  <si>
    <t>PSBB6I</t>
  </si>
  <si>
    <t>PSBB6B</t>
  </si>
  <si>
    <t>PSBB6T</t>
  </si>
  <si>
    <t>PSBB7I</t>
  </si>
  <si>
    <t>PSBB7B</t>
  </si>
  <si>
    <t>PSBB7T</t>
  </si>
  <si>
    <t>PSBB8I</t>
  </si>
  <si>
    <t>PSBB8B</t>
  </si>
  <si>
    <t>PSBB8T</t>
  </si>
  <si>
    <t>PSAWB</t>
  </si>
  <si>
    <t>ANZ Progress Saver ANZ@Work program bonus rate</t>
  </si>
  <si>
    <t>PSAWB1I</t>
  </si>
  <si>
    <t>PSAWB1B</t>
  </si>
  <si>
    <t>PSAWB1T</t>
  </si>
  <si>
    <t>PSAWB2I</t>
  </si>
  <si>
    <t>PSAWB2B</t>
  </si>
  <si>
    <t>PSAWB2T</t>
  </si>
  <si>
    <t>PSAWB3I</t>
  </si>
  <si>
    <t>PSAWB3B</t>
  </si>
  <si>
    <t>PSAWB3T</t>
  </si>
  <si>
    <t>PSAWB4I</t>
  </si>
  <si>
    <t>PSAWB4B</t>
  </si>
  <si>
    <t>PSAWB4T</t>
  </si>
  <si>
    <t>PSAWB5I</t>
  </si>
  <si>
    <t>PSAWB5B</t>
  </si>
  <si>
    <t>PSAWB5T</t>
  </si>
  <si>
    <t>PSAWB6I</t>
  </si>
  <si>
    <t>PSAWB6B</t>
  </si>
  <si>
    <t>PSAWB6T</t>
  </si>
  <si>
    <t>PSAWB7I</t>
  </si>
  <si>
    <t>PSAWB7B</t>
  </si>
  <si>
    <t>PSAWB7T</t>
  </si>
  <si>
    <t>PSAWB8I</t>
  </si>
  <si>
    <t>PSAWB8B</t>
  </si>
  <si>
    <t>PSAWB8T</t>
  </si>
  <si>
    <t>ECM</t>
  </si>
  <si>
    <t>ANZ Cash Investment Account</t>
  </si>
  <si>
    <t>ECMB0</t>
  </si>
  <si>
    <t>$0</t>
  </si>
  <si>
    <t>ECMB1</t>
  </si>
  <si>
    <t>$1-$9,999</t>
  </si>
  <si>
    <t>ECMB2</t>
  </si>
  <si>
    <t>$10,000 - $19,999</t>
  </si>
  <si>
    <t>ECMB3</t>
  </si>
  <si>
    <t>$20,000 - $49,999</t>
  </si>
  <si>
    <t>ECMB4</t>
  </si>
  <si>
    <t>ECMB5</t>
  </si>
  <si>
    <t>$100,000 - $249,999</t>
  </si>
  <si>
    <t>ECMB6</t>
  </si>
  <si>
    <t>$250,000 - $499,999</t>
  </si>
  <si>
    <t>ECMB7</t>
  </si>
  <si>
    <t>$500,000 - $999,999</t>
  </si>
  <si>
    <t>ECMB8</t>
  </si>
  <si>
    <t>0.05</t>
  </si>
  <si>
    <t>$1,000,000 - $2,999,999</t>
  </si>
  <si>
    <t>ECMB9</t>
  </si>
  <si>
    <t>$3,000,000 - $4,999,999</t>
  </si>
  <si>
    <t>ECMB10</t>
  </si>
  <si>
    <t>$5,000,000 plus</t>
  </si>
  <si>
    <t>OS</t>
  </si>
  <si>
    <t>ANZ Online Saver</t>
  </si>
  <si>
    <t>OSV</t>
  </si>
  <si>
    <t>V2</t>
  </si>
  <si>
    <t>ANZ V2 PLUS</t>
  </si>
  <si>
    <t>&lt;b&gt;Important Information&lt;/b&gt;&lt;br/&gt;ANZ V2 PLUS is only available through approved ANZ intermediaries.&lt;br/&gt;&lt;br/&gt;Any advice does not take into account your personal needs and financial circumstances and you should consider whether it is right for you. ANZ recommends you read the &lt;a target="_blank" href="https://www.anz.com.au/content/dam/anzcomau/documents/pdf/savings-transaction-products-tcs.pdf"&gt;Terms and Conditions (PDF 444kB)&lt;/a&gt; and the &lt;a target="_blank" href="https://www.anz.com.au/content/dam/anzcomau/documents/pdf/financial_services_guide.pdf"&gt;Financial Services Guide (PDF 512kB),&lt;/a&gt; available at anz.com or by calling &lt;b&gt;13 13 14&lt;/b&gt;, before deciding to acquire, or continue a product.&lt;br/&gt;&lt;br/&gt;* The interest rate displayed is a Base Rate. The interest rate for individual customer accounts may include a margin in addition to the Base Rate. Please check your most recent statement or contact the V2 PLUS Service Centre on &lt;b&gt;1800 282 345&lt;/b&gt; for details.</t>
  </si>
  <si>
    <t>V2R</t>
  </si>
  <si>
    <t>V2W</t>
  </si>
  <si>
    <t>ANZ V2 PLUS Intermediary *</t>
  </si>
  <si>
    <t>0.10</t>
  </si>
  <si>
    <t>PC</t>
  </si>
  <si>
    <t>ANZ Premium Cash Management Account</t>
  </si>
  <si>
    <t>PCB0</t>
  </si>
  <si>
    <t>$0 - $9,999</t>
  </si>
  <si>
    <t>PCB1</t>
  </si>
  <si>
    <t>$10,000 - $24,999</t>
  </si>
  <si>
    <t>PCB2</t>
  </si>
  <si>
    <t>$25,000 - $49,999</t>
  </si>
  <si>
    <t>PCB3</t>
  </si>
  <si>
    <t>PCB4</t>
  </si>
  <si>
    <t>PCB5</t>
  </si>
  <si>
    <t>PCB6</t>
  </si>
  <si>
    <t>$500,000 - $4,999,999</t>
  </si>
  <si>
    <t>PCB7</t>
  </si>
  <si>
    <t>PCM</t>
  </si>
  <si>
    <t>The ANZ Prime Cash Management Account can only be opened through your participating investment manager.&lt;br&gt;&lt;br&gt;Any advice does not take into account your personal needs and financial circumstances and you should consider whether it is appropriate for you.  ANZ recommends you read the &lt;a target="_blank" href="https://www.anz.com.au/content/dam/anzcomau/documents/pdf/savings-transaction-products-tcs.pdf"&gt;Terms and Conditions (PDF 444kB)&lt;/a&gt; and the &lt;a target="_blank" href="https://www.anz.com.au/content/dam/anzcomau/documents/pdf/financial_services_guide.pdf"&gt;Financial Services Guide (PDF 512kB)&lt;/a&gt; which are available at anz.com or by calling &lt;b&gt;13 13 14&lt;/b&gt;, before deciding whether to acquire, or continue to hold, the product.</t>
  </si>
  <si>
    <t>PCMV</t>
  </si>
  <si>
    <t>ATD</t>
  </si>
  <si>
    <t>ANZ Term Deposit</t>
  </si>
  <si>
    <t>TDB1ML1M</t>
  </si>
  <si>
    <t>Interest at Maturity</t>
  </si>
  <si>
    <t>TDB1ML1I</t>
  </si>
  <si>
    <t>Monthly Interest</t>
  </si>
  <si>
    <t>TDB1ML1Q</t>
  </si>
  <si>
    <t>Quarterly Interest</t>
  </si>
  <si>
    <t>blank</t>
  </si>
  <si>
    <t>TDB1ML1H</t>
  </si>
  <si>
    <t>Half Yearly Interest</t>
  </si>
  <si>
    <t>TDB1ML1A</t>
  </si>
  <si>
    <t>Annual Interest</t>
  </si>
  <si>
    <t>TDB1M1M</t>
  </si>
  <si>
    <t>TDB1M1M2</t>
  </si>
  <si>
    <t>TDB1M2M</t>
  </si>
  <si>
    <t>TD2MIM</t>
  </si>
  <si>
    <t>TDB1M3M</t>
  </si>
  <si>
    <t>TDBI3MIM</t>
  </si>
  <si>
    <t>TDB13MIQ</t>
  </si>
  <si>
    <t>TDB1M4M</t>
  </si>
  <si>
    <t>TDB14MIM</t>
  </si>
  <si>
    <t>TDB14MIQ</t>
  </si>
  <si>
    <t>TDB1M5M</t>
  </si>
  <si>
    <t>TDB15MIM</t>
  </si>
  <si>
    <t>TDB15MIQ</t>
  </si>
  <si>
    <t>TDB1M6M</t>
  </si>
  <si>
    <t>TDB16MIM</t>
  </si>
  <si>
    <t>TDB16MIQ</t>
  </si>
  <si>
    <t>TDB1M6H</t>
  </si>
  <si>
    <t>TDB1M7M</t>
  </si>
  <si>
    <t>TDB17M8MIM</t>
  </si>
  <si>
    <t>TDB17M8MIQ</t>
  </si>
  <si>
    <t>TDB1M7H</t>
  </si>
  <si>
    <t>TDB1M9M</t>
  </si>
  <si>
    <t>TDB19MIM</t>
  </si>
  <si>
    <t>TDB19MIQ</t>
  </si>
  <si>
    <t>TDB1M9H</t>
  </si>
  <si>
    <t>TDB1M2A</t>
  </si>
  <si>
    <t>TDB1M12I</t>
  </si>
  <si>
    <t>TDB1M12Q</t>
  </si>
  <si>
    <t>TDB1M12H</t>
  </si>
  <si>
    <t>TDB1M12A</t>
  </si>
  <si>
    <t>TDB1M18M</t>
  </si>
  <si>
    <t>TDB1M18I</t>
  </si>
  <si>
    <t>TDB1M18Q</t>
  </si>
  <si>
    <t>TDB1M18H</t>
  </si>
  <si>
    <t>TDB1M18A</t>
  </si>
  <si>
    <t>TDB1M24I</t>
  </si>
  <si>
    <t>TDB1M24Q</t>
  </si>
  <si>
    <t>TDB1M24H</t>
  </si>
  <si>
    <t>TDB1M24A</t>
  </si>
  <si>
    <t>TDB1M30I</t>
  </si>
  <si>
    <t>TDB1M30Q</t>
  </si>
  <si>
    <t>TDB1M30H</t>
  </si>
  <si>
    <t>TDB1M30A</t>
  </si>
  <si>
    <t>TDB1M36I</t>
  </si>
  <si>
    <t>TDB1M36Q</t>
  </si>
  <si>
    <t>TDB1M36H</t>
  </si>
  <si>
    <t>TDB1M36A</t>
  </si>
  <si>
    <t>TDB1M42I</t>
  </si>
  <si>
    <t>TDB1M42Q</t>
  </si>
  <si>
    <t>TDB1M42H</t>
  </si>
  <si>
    <t>TDB1M42A</t>
  </si>
  <si>
    <t>TDB1M48I</t>
  </si>
  <si>
    <t>TDB1M48Q</t>
  </si>
  <si>
    <t>TDB1M48H</t>
  </si>
  <si>
    <t>TDB1M48A</t>
  </si>
  <si>
    <t>TDB1M60I</t>
  </si>
  <si>
    <t>TDB1M60Q</t>
  </si>
  <si>
    <t>TDB1M60H</t>
  </si>
  <si>
    <t>TDB1M60A</t>
  </si>
  <si>
    <t>TDB1ML7D</t>
  </si>
  <si>
    <t>ANTD</t>
  </si>
  <si>
    <t>ANZ Advance Notice Term Deposit</t>
  </si>
  <si>
    <t>Terms</t>
  </si>
  <si>
    <t>AANTDLT2M</t>
  </si>
  <si>
    <t>ANTDMIL2M</t>
  </si>
  <si>
    <t>ANTDQIL2M</t>
  </si>
  <si>
    <t>ANTDHYL2M</t>
  </si>
  <si>
    <t>ANTDAIL2M</t>
  </si>
  <si>
    <t>ANTDIAML3M</t>
  </si>
  <si>
    <t>ANTDMIL3M</t>
  </si>
  <si>
    <t>ANTDIML4M</t>
  </si>
  <si>
    <t>ANTDMIL4M</t>
  </si>
  <si>
    <t>ANTDIML5M</t>
  </si>
  <si>
    <t>ANTDMIL5M</t>
  </si>
  <si>
    <t>ANTDQIL5M</t>
  </si>
  <si>
    <t>ANTDIML6M</t>
  </si>
  <si>
    <t>ANTDMIL6M</t>
  </si>
  <si>
    <t>ANTDQIL6M</t>
  </si>
  <si>
    <t>ANTDIML7M</t>
  </si>
  <si>
    <t>ANTDMIL7M</t>
  </si>
  <si>
    <t>ANTDQIL7M</t>
  </si>
  <si>
    <t>ANTDIML8M</t>
  </si>
  <si>
    <t>ANTDMIL8M</t>
  </si>
  <si>
    <t>ANTDQIL8M</t>
  </si>
  <si>
    <t>ANTDHYL8M</t>
  </si>
  <si>
    <t>ANTDIML9M</t>
  </si>
  <si>
    <t>ANTDMIL9M</t>
  </si>
  <si>
    <t>ANTDQIL9M</t>
  </si>
  <si>
    <t>ANTDHYL9M</t>
  </si>
  <si>
    <t>ANTDIAML10</t>
  </si>
  <si>
    <t>ANTDMIL10M</t>
  </si>
  <si>
    <t>ANTDQIL10M</t>
  </si>
  <si>
    <t>ANTDHYL10M</t>
  </si>
  <si>
    <t>ANTDIML11M</t>
  </si>
  <si>
    <t>ANTDMIL11M</t>
  </si>
  <si>
    <t>ANTDQIL11M</t>
  </si>
  <si>
    <t>ANTDHYL11M</t>
  </si>
  <si>
    <t>ANTDIML12M</t>
  </si>
  <si>
    <t>ANTDMIL12M</t>
  </si>
  <si>
    <t>ANTDQIL12M</t>
  </si>
  <si>
    <t>ANTDHYL12M</t>
  </si>
  <si>
    <t>ANTDMIL18M</t>
  </si>
  <si>
    <t>ANTDQIL18M</t>
  </si>
  <si>
    <t>ANTDHYL18M</t>
  </si>
  <si>
    <t>ANTDAIL18M</t>
  </si>
  <si>
    <t>ANTDMIL24M</t>
  </si>
  <si>
    <t>ANTDQIL24M</t>
  </si>
  <si>
    <t>ANTDHIL24M</t>
  </si>
  <si>
    <t>ANTDAIL24M</t>
  </si>
  <si>
    <t>ANTMIL36M</t>
  </si>
  <si>
    <t>ANTDQIL36M</t>
  </si>
  <si>
    <t>ANTDHYL36M</t>
  </si>
  <si>
    <t>ANTDAIL36M</t>
  </si>
  <si>
    <t>ANTDMI42M</t>
  </si>
  <si>
    <t>ANTDQIL48M</t>
  </si>
  <si>
    <t>ANTDHYL48M</t>
  </si>
  <si>
    <t>ANTDAIL48M</t>
  </si>
  <si>
    <t>ANTDMIL60M</t>
  </si>
  <si>
    <t>ANTDQIL60M</t>
  </si>
  <si>
    <t>ANTDHYL60M</t>
  </si>
  <si>
    <t>ANTDAIL60M</t>
  </si>
  <si>
    <t>ANTDMI60M</t>
  </si>
  <si>
    <t>ANTDQI60M</t>
  </si>
  <si>
    <t>ANTDHYI60M</t>
  </si>
  <si>
    <t>ANTDAI60M</t>
  </si>
  <si>
    <t>ANTDIAML7D</t>
  </si>
  <si>
    <t>AD</t>
  </si>
  <si>
    <t>ANZ Pensioner Advantage Account</t>
  </si>
  <si>
    <t>ADB1</t>
  </si>
  <si>
    <t>Balances below $10,000</t>
  </si>
  <si>
    <t>ADB2</t>
  </si>
  <si>
    <t>Balances from $10,000 to below $50,000</t>
  </si>
  <si>
    <t>ADB3</t>
  </si>
  <si>
    <t>Balances from $50,000</t>
  </si>
  <si>
    <t>APD</t>
  </si>
  <si>
    <t>ANZ Passbook Pensioner Advantage Account</t>
  </si>
  <si>
    <t>APDB1</t>
  </si>
  <si>
    <t>APDB2</t>
  </si>
  <si>
    <t>APDB3</t>
  </si>
  <si>
    <t>GAD</t>
  </si>
  <si>
    <t>Griffith Advantage</t>
  </si>
  <si>
    <t>GAB1</t>
  </si>
  <si>
    <t>$1 - $20,000</t>
  </si>
  <si>
    <t>GAB2</t>
  </si>
  <si>
    <t>2.00</t>
  </si>
  <si>
    <t>$20,000 plus</t>
  </si>
  <si>
    <t>ECU</t>
  </si>
  <si>
    <t>ECU Links Account</t>
  </si>
  <si>
    <t>ECUB1</t>
  </si>
  <si>
    <t>ECUB2</t>
  </si>
  <si>
    <t>$20,001 plus</t>
  </si>
  <si>
    <t>BEA</t>
  </si>
  <si>
    <t>Bond Elite Account</t>
  </si>
  <si>
    <t>BEAB1</t>
  </si>
  <si>
    <t>BEAB2</t>
  </si>
  <si>
    <t>SMSF</t>
  </si>
  <si>
    <t>ANZ SMSF Cash Hub Account</t>
  </si>
  <si>
    <t>The interest rate is tiered. This means that the balance of your account on each day determines the interest rate that applies to the whole balance of your account on that day.&lt;br&gt;&lt;br&gt;Any advice does not take into account your personal needs and financial circumstances and you should consider whether it is appropriate for you. ANZ recommends you read the ANZ Savings and Transaction Product Terms and Conditions and the Financial Services Guide which are available at anz.com or by calling &lt;b&gt;13 13 14&lt;/b&gt;, before deciding whether to acquire, or continue to hold, the product. Please refer to ANZ Personal Banking Account Fees and Charges for fees and charges that apply.&lt;br&gt;</t>
  </si>
  <si>
    <t>SMSFB1</t>
  </si>
  <si>
    <t>SMSFB2</t>
  </si>
  <si>
    <t>$10,000+</t>
  </si>
  <si>
    <t>V2B</t>
  </si>
  <si>
    <t>ANZ V2+ Broking</t>
  </si>
  <si>
    <t>&lt;b&gt;Important Information&lt;/b&gt;&lt;br/&gt;The ANZ V2+Broking account is only available to the holder or beneficiary of a CMC Markets Trading Account which is operated through an adviser appointed by the holder or beneficiary of the CMC Markets Trading Account.&lt;br/&gt;&lt;br/&gt;For all enquiries regarding ANZ V2+Broking please call 1800 282 345 or contact your relationship manager.&lt;br/&gt;&lt;br/&gt;Consider if this product is appropriate for you. ANZ recommends you read the &lt;a target="_blank" href="https://www.anz.com.au/content/dam/anzcomau/documents/pdf/savings-transaction-products-tcs.pdf"&gt;Terms and Conditions&lt;/a&gt; and the &lt;a target="_blank" href="https://www.anz.com.au/content/dam/anzcomau/documents/pdf/financial_services_guide.pdf"&gt;Financial Services Guide&lt;/a&gt; which are available at anz.com before acquiring this product.</t>
  </si>
  <si>
    <t>V2BB</t>
  </si>
  <si>
    <t>PCC</t>
  </si>
  <si>
    <t>Credit cards</t>
  </si>
  <si>
    <t>http://www.anz.com/personal/credit-cards/</t>
  </si>
  <si>
    <t>ALRM</t>
  </si>
  <si>
    <t>ANZ Low Rate</t>
  </si>
  <si>
    <t>Any advice does not take into account your personal needs and financial circumstances and you should consider whether it is appropriate for you.  ANZ recommends you read the Terms and Conditions and the &lt;a target="_blank" href="/documents/AU/aboutANZ/FinancialServicesGuide.pdf"&gt;Financial Services Guide (PDF 512kB)&lt;/a&gt; which are available at anz.com or by calling &lt;b&gt;13 13 14&lt;/b&gt;, before deciding whether to acquire, or continue to hold, the product current as at</t>
  </si>
  <si>
    <t>ALRMP</t>
  </si>
  <si>
    <t>Purchases</t>
  </si>
  <si>
    <t>ALRMB</t>
  </si>
  <si>
    <t>Balance Transfer</t>
  </si>
  <si>
    <t>20.24</t>
  </si>
  <si>
    <t>ALRMC</t>
  </si>
  <si>
    <t>Cash Advances</t>
  </si>
  <si>
    <t>ALRP</t>
  </si>
  <si>
    <t>ANZ Low Rate Platinum</t>
  </si>
  <si>
    <t>All applications for credit are subject to ANZ's credit assessment criteria.</t>
  </si>
  <si>
    <t>ALRPP</t>
  </si>
  <si>
    <t>11.49</t>
  </si>
  <si>
    <t>ALRPBT</t>
  </si>
  <si>
    <t>21.74</t>
  </si>
  <si>
    <t>ALRPC</t>
  </si>
  <si>
    <t>ABV</t>
  </si>
  <si>
    <t>ANZ Balance Visa</t>
  </si>
  <si>
    <t>ABVP</t>
  </si>
  <si>
    <t>13.99</t>
  </si>
  <si>
    <t>ABVB</t>
  </si>
  <si>
    <t>ABVC</t>
  </si>
  <si>
    <t>AF</t>
  </si>
  <si>
    <t>ANZ First</t>
  </si>
  <si>
    <t>AFP</t>
  </si>
  <si>
    <t>AFB</t>
  </si>
  <si>
    <t>AFC</t>
  </si>
  <si>
    <t>AP</t>
  </si>
  <si>
    <t>APP</t>
  </si>
  <si>
    <t>APB</t>
  </si>
  <si>
    <t>APC</t>
  </si>
  <si>
    <t>AFF</t>
  </si>
  <si>
    <t>ANZ Frequent Flyer</t>
  </si>
  <si>
    <t>AFFCP</t>
  </si>
  <si>
    <t>AFFCB</t>
  </si>
  <si>
    <t>AFFCC</t>
  </si>
  <si>
    <t>AFFG</t>
  </si>
  <si>
    <t>ANZ Frequent Flyer Gold</t>
  </si>
  <si>
    <t>AFFGP</t>
  </si>
  <si>
    <t>19.99</t>
  </si>
  <si>
    <t>AFFGB</t>
  </si>
  <si>
    <t>AFFGC</t>
  </si>
  <si>
    <t>AFFP</t>
  </si>
  <si>
    <t>AFFPP</t>
  </si>
  <si>
    <t>AFFPB</t>
  </si>
  <si>
    <t>AFFPC</t>
  </si>
  <si>
    <t>AFFB</t>
  </si>
  <si>
    <t>AFFBP</t>
  </si>
  <si>
    <t>AFFBB</t>
  </si>
  <si>
    <t>AFFBC</t>
  </si>
  <si>
    <t>ARV</t>
  </si>
  <si>
    <t>ANZ Rewards</t>
  </si>
  <si>
    <t>ARVCP</t>
  </si>
  <si>
    <t>ARVCB</t>
  </si>
  <si>
    <t>ARVCC</t>
  </si>
  <si>
    <t>ARVP</t>
  </si>
  <si>
    <t>ARVPP</t>
  </si>
  <si>
    <t>ARVPB</t>
  </si>
  <si>
    <t>ARVPC</t>
  </si>
  <si>
    <t>ARTA</t>
  </si>
  <si>
    <t>ARTAP</t>
  </si>
  <si>
    <t>ARTAB</t>
  </si>
  <si>
    <t>ARTAC</t>
  </si>
  <si>
    <t>ARB</t>
  </si>
  <si>
    <t>ARBP</t>
  </si>
  <si>
    <t>ARBB</t>
  </si>
  <si>
    <t>ARBC</t>
  </si>
  <si>
    <t>ABC</t>
  </si>
  <si>
    <t>ANZ Bankcard</t>
  </si>
  <si>
    <t>ABCP</t>
  </si>
  <si>
    <t>17.89</t>
  </si>
  <si>
    <t>ABCB</t>
  </si>
  <si>
    <t>ABCC</t>
  </si>
  <si>
    <t>LIMC</t>
  </si>
  <si>
    <t>ANZ Low Interest MasterCard</t>
  </si>
  <si>
    <t>LIMCP</t>
  </si>
  <si>
    <t>15.64</t>
  </si>
  <si>
    <t>LIMCB</t>
  </si>
  <si>
    <t>LIMCC</t>
  </si>
  <si>
    <t>AFLI</t>
  </si>
  <si>
    <t>ANZ First - Low Interest</t>
  </si>
  <si>
    <t>AFLIP</t>
  </si>
  <si>
    <t>14.14</t>
  </si>
  <si>
    <t>AFLIB</t>
  </si>
  <si>
    <t>AFLIC</t>
  </si>
  <si>
    <t>AFDM</t>
  </si>
  <si>
    <t>ANZ Free Days MasterCard</t>
  </si>
  <si>
    <t>AFDMP</t>
  </si>
  <si>
    <t>19.14</t>
  </si>
  <si>
    <t>AFDMB</t>
  </si>
  <si>
    <t>20.99</t>
  </si>
  <si>
    <t>AFDMC</t>
  </si>
  <si>
    <t>AVP</t>
  </si>
  <si>
    <t>ANZ Visa PAYCARD</t>
  </si>
  <si>
    <t>AVPP</t>
  </si>
  <si>
    <t>17.64</t>
  </si>
  <si>
    <t>AVPB</t>
  </si>
  <si>
    <t>AVPC</t>
  </si>
  <si>
    <t>RVPC</t>
  </si>
  <si>
    <t>ANZ Rewards Visa PAYCARD</t>
  </si>
  <si>
    <t>RVPCP</t>
  </si>
  <si>
    <t>18.50</t>
  </si>
  <si>
    <t>RVPCB</t>
  </si>
  <si>
    <t>RVPCC</t>
  </si>
  <si>
    <t>CCIR</t>
  </si>
  <si>
    <t>ANZ Credit Card Index Rate</t>
  </si>
  <si>
    <t>19.39</t>
  </si>
  <si>
    <t>PIL</t>
  </si>
  <si>
    <t>Margin loans</t>
  </si>
  <si>
    <t>http://www.anz.com/personal/investments-advice/investment-loans/investment-lending/</t>
  </si>
  <si>
    <t>This information forms part of the Product Disclosure Statement "&lt;a href='/personal/investments-advice/products-services/investment-lending/apply-investment-lending'&gt;ANZ Share Investment Loan Product Disclosure Statement&lt;/a&gt;".</t>
  </si>
  <si>
    <t>MLFR</t>
  </si>
  <si>
    <t>ANZ Share Investment Loan Fixed Rate</t>
  </si>
  <si>
    <t>MLFRB1</t>
  </si>
  <si>
    <t>$20,000 - $249,999</t>
  </si>
  <si>
    <t>MLFRB2</t>
  </si>
  <si>
    <t>$250,000-$499,999</t>
  </si>
  <si>
    <t>MLFRB3</t>
  </si>
  <si>
    <t>$500,000+</t>
  </si>
  <si>
    <t>MLVR</t>
  </si>
  <si>
    <t>ANZ Share Investment Loan Variable Rate</t>
  </si>
  <si>
    <t>MLVRV</t>
  </si>
  <si>
    <t>5.88</t>
  </si>
  <si>
    <t>CIB</t>
  </si>
  <si>
    <t>Corporate interest rate benchmarks</t>
  </si>
  <si>
    <t>http://www.anz.com/corporate/products-services/transaction-services/deposits-liquidity-management/</t>
  </si>
  <si>
    <t>AIB</t>
  </si>
  <si>
    <t>Australian Dollar - ANZ Interest Rate Benchmarks</t>
  </si>
  <si>
    <t>AIBCCR</t>
  </si>
  <si>
    <t>ANZ Calculated Cash Rate (CCR)</t>
  </si>
  <si>
    <t>AIBOCR</t>
  </si>
  <si>
    <t>ANZ Official Cash Rate (OCR)</t>
  </si>
  <si>
    <t>AIBREF</t>
  </si>
  <si>
    <t>ANZ Reference Rate</t>
  </si>
  <si>
    <t>HVFCA</t>
  </si>
  <si>
    <t>Foreign Currency Interest Rate Benchmarks - ANZ Credit Interest Rate</t>
  </si>
  <si>
    <t>Currency</t>
  </si>
  <si>
    <t>EUR</t>
  </si>
  <si>
    <t>JPY</t>
  </si>
  <si>
    <t>CHF</t>
  </si>
  <si>
    <t>DKK</t>
  </si>
  <si>
    <t>CNY</t>
  </si>
  <si>
    <t>HKD</t>
  </si>
  <si>
    <t>SGD</t>
  </si>
  <si>
    <t>FIBOCR</t>
  </si>
  <si>
    <t>Foreign Currency - Central Bank Rates</t>
  </si>
  <si>
    <t>OCRGBP</t>
  </si>
  <si>
    <t>Bank of England (GBP)</t>
  </si>
  <si>
    <t>OCRNZD</t>
  </si>
  <si>
    <t>Reserve Bank of New Zealand (NZD)</t>
  </si>
  <si>
    <t>OCRUSD</t>
  </si>
  <si>
    <t>Federal Reserve Bank (USD)</t>
  </si>
  <si>
    <t>FCAAPR</t>
  </si>
  <si>
    <t>Foreign Currency Interest Rate Benchmark - ANZ Published Rate</t>
  </si>
  <si>
    <t>FJDAPR</t>
  </si>
  <si>
    <t>FJD</t>
  </si>
  <si>
    <t>0.000</t>
  </si>
  <si>
    <t>AEDAPR</t>
  </si>
  <si>
    <t>AED</t>
  </si>
  <si>
    <t>CADAPR</t>
  </si>
  <si>
    <t>CAD</t>
  </si>
  <si>
    <t>CHFAPR</t>
  </si>
  <si>
    <t>CNYAPR</t>
  </si>
  <si>
    <t>EURAPR</t>
  </si>
  <si>
    <t>GBPAPR</t>
  </si>
  <si>
    <t>GBP</t>
  </si>
  <si>
    <t>HKDAPR</t>
  </si>
  <si>
    <t>JPYAPR</t>
  </si>
  <si>
    <t>NZDAPR</t>
  </si>
  <si>
    <t>NZD</t>
  </si>
  <si>
    <t>USDAPR</t>
  </si>
  <si>
    <t>USD</t>
  </si>
  <si>
    <t>SGDAPR</t>
  </si>
  <si>
    <t>DKKAPR</t>
  </si>
  <si>
    <t>ZARAPR</t>
  </si>
  <si>
    <t>ZAR</t>
  </si>
  <si>
    <t>NOKAPR</t>
  </si>
  <si>
    <t>NOK</t>
  </si>
  <si>
    <t>SEKAPR</t>
  </si>
  <si>
    <t>SEK</t>
  </si>
  <si>
    <t>BDA</t>
  </si>
  <si>
    <t>Business deposit accounts</t>
  </si>
  <si>
    <t>http://www.anz.com/small-business/products-services/accounts/</t>
  </si>
  <si>
    <t>BDR</t>
  </si>
  <si>
    <t>Business Deposit Rate</t>
  </si>
  <si>
    <t>BDRV</t>
  </si>
  <si>
    <t>BAE</t>
  </si>
  <si>
    <t>This product is no longer for sale. Terms and Conditions, Fees and charges apply.</t>
  </si>
  <si>
    <t>BAEB1</t>
  </si>
  <si>
    <t>Nominal Rate</t>
  </si>
  <si>
    <t>$0 - $4,999</t>
  </si>
  <si>
    <t>BAEB2</t>
  </si>
  <si>
    <t>$5,000 - $9,999</t>
  </si>
  <si>
    <t>BAEB3</t>
  </si>
  <si>
    <t>BAEB4</t>
  </si>
  <si>
    <t>BAEB5</t>
  </si>
  <si>
    <t>BAEB6</t>
  </si>
  <si>
    <t>BAEB7</t>
  </si>
  <si>
    <t>BAEB8</t>
  </si>
  <si>
    <t>$500,000 and over</t>
  </si>
  <si>
    <t>BACM</t>
  </si>
  <si>
    <t>&lt;b&gt;This product is no longer for sale.&lt;/b&gt;&lt;br&gt;&lt;br&gt;Terms and conditions available on application. Fees and charges apply.</t>
  </si>
  <si>
    <t>BACMB1N</t>
  </si>
  <si>
    <t>$0 - $1,999</t>
  </si>
  <si>
    <t>BACMB1Y</t>
  </si>
  <si>
    <t>Yield Rate</t>
  </si>
  <si>
    <t>BACMB2N</t>
  </si>
  <si>
    <t>$2,000 - $4,999</t>
  </si>
  <si>
    <t>BACMB2Y</t>
  </si>
  <si>
    <t>BACMB3N</t>
  </si>
  <si>
    <t>$5,000 - $19,999</t>
  </si>
  <si>
    <t>BACMB3Y</t>
  </si>
  <si>
    <t>BACMB4N</t>
  </si>
  <si>
    <t>BACMB4Y</t>
  </si>
  <si>
    <t>BACMB5N</t>
  </si>
  <si>
    <t>$50,000 and over</t>
  </si>
  <si>
    <t>BACMB5Y</t>
  </si>
  <si>
    <t>BAOS</t>
  </si>
  <si>
    <t>ANZ Business Online Saver</t>
  </si>
  <si>
    <t>BAOSB1N</t>
  </si>
  <si>
    <t>BAOSB1Y</t>
  </si>
  <si>
    <t>BAOSB2N</t>
  </si>
  <si>
    <t>$5,000 and over</t>
  </si>
  <si>
    <t>BAOSB2Y</t>
  </si>
  <si>
    <t>BAPC</t>
  </si>
  <si>
    <t>BAPCB1N</t>
  </si>
  <si>
    <t>$0 - $19,999</t>
  </si>
  <si>
    <t>BAPCB1Y</t>
  </si>
  <si>
    <t>BAPCB2N</t>
  </si>
  <si>
    <t>$20,000 - $99,999</t>
  </si>
  <si>
    <t>BAPCB2Y</t>
  </si>
  <si>
    <t>BAPCB3N</t>
  </si>
  <si>
    <t>$100,000 and over</t>
  </si>
  <si>
    <t>BAPCB3Y</t>
  </si>
  <si>
    <t>BAPS</t>
  </si>
  <si>
    <t>BAPSB1N</t>
  </si>
  <si>
    <t>BAPSB1Y</t>
  </si>
  <si>
    <t>BAPSB2N</t>
  </si>
  <si>
    <t>BAPSB2Y</t>
  </si>
  <si>
    <t>BAWB</t>
  </si>
  <si>
    <t>Wholesale Banking</t>
  </si>
  <si>
    <t>BAWBC</t>
  </si>
  <si>
    <t>Cheque Account Interest</t>
  </si>
  <si>
    <t>SDA</t>
  </si>
  <si>
    <t>Security Deposit Account</t>
  </si>
  <si>
    <t>SDAV</t>
  </si>
  <si>
    <t>BSA</t>
  </si>
  <si>
    <t>Business savings accounts</t>
  </si>
  <si>
    <t>ABNTD</t>
  </si>
  <si>
    <t>ANZ Business Notice Term Deposit</t>
  </si>
  <si>
    <t>BNTDIML2M</t>
  </si>
  <si>
    <t>BNTDMIL2M</t>
  </si>
  <si>
    <t>BNTDQIL2M</t>
  </si>
  <si>
    <t>BNTDHIL2M</t>
  </si>
  <si>
    <t>BNTDAIL2M</t>
  </si>
  <si>
    <t>BNTDIML3M</t>
  </si>
  <si>
    <t>BNTDMIL3M</t>
  </si>
  <si>
    <t>BNTDIML4M</t>
  </si>
  <si>
    <t>BNTDMIL4M</t>
  </si>
  <si>
    <t>BNTDIML5M</t>
  </si>
  <si>
    <t>BNTDMIL5M</t>
  </si>
  <si>
    <t>BNTDQIL5M</t>
  </si>
  <si>
    <t>BNTDIML6M</t>
  </si>
  <si>
    <t>BNTDMIL6M</t>
  </si>
  <si>
    <t>BNTDQILH6M</t>
  </si>
  <si>
    <t>BNTDIML7M</t>
  </si>
  <si>
    <t>BNTDMIL7M</t>
  </si>
  <si>
    <t>BNTDQIL7M</t>
  </si>
  <si>
    <t>BNTDHIL7M</t>
  </si>
  <si>
    <t>BNTDIML8M</t>
  </si>
  <si>
    <t>BNTDMIL8M</t>
  </si>
  <si>
    <t>BNTDQIL8M</t>
  </si>
  <si>
    <t>BNTDHIL8M</t>
  </si>
  <si>
    <t>BNTDIML9M</t>
  </si>
  <si>
    <t>BNTDMIL9M</t>
  </si>
  <si>
    <t>BNTDQIL9M</t>
  </si>
  <si>
    <t>BNTDHIL9M</t>
  </si>
  <si>
    <t>BNTDIML10M</t>
  </si>
  <si>
    <t>BNTDMIL10M</t>
  </si>
  <si>
    <t>BNTDQIL10M</t>
  </si>
  <si>
    <t>BNTDHIL10M</t>
  </si>
  <si>
    <t>BNTDIML11M</t>
  </si>
  <si>
    <t>BNTDMIL11M</t>
  </si>
  <si>
    <t>BNTDQIL11M</t>
  </si>
  <si>
    <t>BNTDHIL11M</t>
  </si>
  <si>
    <t>BNTDIML12M</t>
  </si>
  <si>
    <t>BNTDMIL12M</t>
  </si>
  <si>
    <t>BNTDQIL12M</t>
  </si>
  <si>
    <t>BNTDHIL12M</t>
  </si>
  <si>
    <t>BNTDMIL18M</t>
  </si>
  <si>
    <t>BNTDQIL18M</t>
  </si>
  <si>
    <t>BNTDHIL18M</t>
  </si>
  <si>
    <t>BNTDAIL18M</t>
  </si>
  <si>
    <t>BNTDMIL24M</t>
  </si>
  <si>
    <t>BNTDQIL24M</t>
  </si>
  <si>
    <t>BNTDHIL24M</t>
  </si>
  <si>
    <t>BNTDAIL24M</t>
  </si>
  <si>
    <t>BNTDMIL36M</t>
  </si>
  <si>
    <t>BNTDQIL36M</t>
  </si>
  <si>
    <t>BNTDHIL36M</t>
  </si>
  <si>
    <t>BNTDAIL36M</t>
  </si>
  <si>
    <t>BNTDMIL48M</t>
  </si>
  <si>
    <t>BNTDQIL48M</t>
  </si>
  <si>
    <t>BNTDHIL48M</t>
  </si>
  <si>
    <t>BNTDAIL48M</t>
  </si>
  <si>
    <t>BNTDMIL60M</t>
  </si>
  <si>
    <t>BNTDQIL60M</t>
  </si>
  <si>
    <t>BNTDHIL60M</t>
  </si>
  <si>
    <t>BNTDAIL60M</t>
  </si>
  <si>
    <t>BNTDMI60M</t>
  </si>
  <si>
    <t>BNTDQI60M</t>
  </si>
  <si>
    <t>BNTDHI60M</t>
  </si>
  <si>
    <t>BNTDAI60M</t>
  </si>
  <si>
    <t>BFDA</t>
  </si>
  <si>
    <t>Farm management deposit accounts</t>
  </si>
  <si>
    <t>http://www.anz.com/small-business/agribusiness/investing-now-later/farm-management-deposits/</t>
  </si>
  <si>
    <t>FMDC</t>
  </si>
  <si>
    <t>FMDCB1</t>
  </si>
  <si>
    <t>$1,000 - $29,999</t>
  </si>
  <si>
    <t>FMDCB2</t>
  </si>
  <si>
    <t>$30,000 - $49,999</t>
  </si>
  <si>
    <t>FMDCB3</t>
  </si>
  <si>
    <t>FMDCB4</t>
  </si>
  <si>
    <t>$100,000-$199,999</t>
  </si>
  <si>
    <t>FMDCB5</t>
  </si>
  <si>
    <t>$200,000-$399,999</t>
  </si>
  <si>
    <t>FMDCB6</t>
  </si>
  <si>
    <t>$400,000-$800,000</t>
  </si>
  <si>
    <t>FMDT</t>
  </si>
  <si>
    <t>Farm Management Deposit Fixed Term</t>
  </si>
  <si>
    <t>FMDTB1M3</t>
  </si>
  <si>
    <t>3 months &lt; 6months</t>
  </si>
  <si>
    <t>FMDTB1M6</t>
  </si>
  <si>
    <t>6 months &lt; 12 months</t>
  </si>
  <si>
    <t>FMDTB1M12</t>
  </si>
  <si>
    <t>12 months &lt; 18 months</t>
  </si>
  <si>
    <t>FMDTB1M24</t>
  </si>
  <si>
    <t>18 months &lt; 36 months</t>
  </si>
  <si>
    <t>FMDTB1M36</t>
  </si>
  <si>
    <t>36 months</t>
  </si>
  <si>
    <t>FNDTB2M3</t>
  </si>
  <si>
    <t>FMDTB2M6</t>
  </si>
  <si>
    <t>FMDTB2M12</t>
  </si>
  <si>
    <t>FMDTB2M24</t>
  </si>
  <si>
    <t>FNDTB2M36</t>
  </si>
  <si>
    <t>FNDTB3M3</t>
  </si>
  <si>
    <t>FMDTB3M6</t>
  </si>
  <si>
    <t>FMDTB3M12</t>
  </si>
  <si>
    <t>FMDTB3M24</t>
  </si>
  <si>
    <t>FNDTB3M36</t>
  </si>
  <si>
    <t>FNDTB4M3</t>
  </si>
  <si>
    <t>$100,000 - $199,999</t>
  </si>
  <si>
    <t>FMDTB4M6</t>
  </si>
  <si>
    <t>FMDTB4M12</t>
  </si>
  <si>
    <t>FMDTB4M24</t>
  </si>
  <si>
    <t>FNDTB4M36</t>
  </si>
  <si>
    <t>FNDTB5M3</t>
  </si>
  <si>
    <t>$200,000 - $399,999</t>
  </si>
  <si>
    <t>FMDTB5M6</t>
  </si>
  <si>
    <t>FMDTB5M12</t>
  </si>
  <si>
    <t>FMDTB5M24</t>
  </si>
  <si>
    <t>FNDTB5M36</t>
  </si>
  <si>
    <t>FNDTB6M3</t>
  </si>
  <si>
    <t>$400,000 - $800,000</t>
  </si>
  <si>
    <t>FMDTB6M6</t>
  </si>
  <si>
    <t>FMDTB6M12</t>
  </si>
  <si>
    <t>FMDTB6M24</t>
  </si>
  <si>
    <t>FNDTB6M36</t>
  </si>
  <si>
    <t>CBBF</t>
  </si>
  <si>
    <t>Business finance</t>
  </si>
  <si>
    <t>http://www.anz.com/small-business/products-services/finance-loans/</t>
  </si>
  <si>
    <t>BFML</t>
  </si>
  <si>
    <t>ANZ Business Mortgage Loan Fixed Rates</t>
  </si>
  <si>
    <t>The Rates shown apply for interest paid monthly in arrears. The Rates applicable for interest paid quarterly, semi-annually or anually and in advance are available on application at any ANZ Branch.&lt;p&gt;Terms and conditions available on application. Fees and charges apply.&lt;/p&gt;</t>
  </si>
  <si>
    <t>BFMLY1</t>
  </si>
  <si>
    <t>4.98</t>
  </si>
  <si>
    <t>BFMLY2</t>
  </si>
  <si>
    <t>4.87</t>
  </si>
  <si>
    <t>BFMLY3</t>
  </si>
  <si>
    <t>5.02</t>
  </si>
  <si>
    <t>BFMLY4</t>
  </si>
  <si>
    <t>5.04</t>
  </si>
  <si>
    <t>BFMLY5</t>
  </si>
  <si>
    <t>BFMLY7</t>
  </si>
  <si>
    <t>5.30</t>
  </si>
  <si>
    <t>BFMLY10</t>
  </si>
  <si>
    <t>5.59</t>
  </si>
  <si>
    <t>OBL</t>
  </si>
  <si>
    <t>Online Business Lending</t>
  </si>
  <si>
    <t>BFOBLV</t>
  </si>
  <si>
    <t>Online Business Loan (Variable)</t>
  </si>
  <si>
    <t>BFOBLF</t>
  </si>
  <si>
    <t>Online Business Loan (Fixed)</t>
  </si>
  <si>
    <t>BFOBO</t>
  </si>
  <si>
    <t>Online Business Overdraft</t>
  </si>
  <si>
    <t>BVR</t>
  </si>
  <si>
    <t>ANZ Business Variable Rates</t>
  </si>
  <si>
    <t>The ANZ Business Mortgage Loan and ANZ Business Saver Loan must be secured by residential property.&lt;br&gt;&lt;br&gt; &lt;a href='https://www.anz.com.au/business/help-support/terms-conditions/' target='_blank'&gt;Terms and Conditions&lt;/a&gt; and &lt;a href=' https://www.anz.com.au/business/help-support/terms-conditions/' target='_blank'&gt;Fees and charges&lt;/a&gt; apply.</t>
  </si>
  <si>
    <t>BVSIV</t>
  </si>
  <si>
    <t>Business Saver Index</t>
  </si>
  <si>
    <t>Business Mortgage Index</t>
  </si>
  <si>
    <t>BASI</t>
  </si>
  <si>
    <t>Business Advantage Secured Index</t>
  </si>
  <si>
    <t>BVCIV</t>
  </si>
  <si>
    <t>Business Credit Facility Index</t>
  </si>
  <si>
    <t>Retail Index</t>
  </si>
  <si>
    <t>BVRRV</t>
  </si>
  <si>
    <t>Reference Rate</t>
  </si>
  <si>
    <t>BVAIV</t>
  </si>
  <si>
    <t>Fully Drawn Advance Variable Rate Index</t>
  </si>
  <si>
    <t>BAUI</t>
  </si>
  <si>
    <t>Business Advantage Unsecured Index</t>
  </si>
  <si>
    <t>BVFIL63</t>
  </si>
  <si>
    <t>Funding Index (BBSY reset &gt; 63  days)</t>
  </si>
  <si>
    <t>BVFIG63</t>
  </si>
  <si>
    <t>Funding Index (BBSY reset &lt;=  63 days)</t>
  </si>
  <si>
    <t>SMERLSEC</t>
  </si>
  <si>
    <t>SMERLUNSEC</t>
  </si>
  <si>
    <t>SMERLAF</t>
  </si>
  <si>
    <t>CBCC</t>
  </si>
  <si>
    <t>Commercial cards</t>
  </si>
  <si>
    <t>http://www.anz.com/small-business/products-services/credit-cards/</t>
  </si>
  <si>
    <t>BOLR</t>
  </si>
  <si>
    <t>ANZ Business Low Rate</t>
  </si>
  <si>
    <t>BOLRP</t>
  </si>
  <si>
    <t>12.99</t>
  </si>
  <si>
    <t>BOLRC</t>
  </si>
  <si>
    <t>14.49</t>
  </si>
  <si>
    <t>BOFD</t>
  </si>
  <si>
    <t>ANZ Business 55 Interest Free Days</t>
  </si>
  <si>
    <t>BOFDP</t>
  </si>
  <si>
    <t>17.74</t>
  </si>
  <si>
    <t>BOFDC</t>
  </si>
  <si>
    <t>19.24</t>
  </si>
  <si>
    <t>BORO</t>
  </si>
  <si>
    <t>ANZ Business Rewards Options</t>
  </si>
  <si>
    <t>BOROP</t>
  </si>
  <si>
    <t>BOROC</t>
  </si>
  <si>
    <t>ABB</t>
  </si>
  <si>
    <t>ANZ Business Black</t>
  </si>
  <si>
    <t>ABBP</t>
  </si>
  <si>
    <t>ABBC</t>
  </si>
  <si>
    <t>BOCR</t>
  </si>
  <si>
    <t>ANZ Business Cash Rewards</t>
  </si>
  <si>
    <t>This product is no longer available for sale. Terms and conditions, fees and charges apply.</t>
  </si>
  <si>
    <t>BOCRP</t>
  </si>
  <si>
    <t>18.99</t>
  </si>
  <si>
    <t>BOCRC</t>
  </si>
  <si>
    <t>20.34</t>
  </si>
  <si>
    <t>ANZ Visa Purchasing &amp; Corporate Cards</t>
  </si>
  <si>
    <t>Late Payment Fee  only charged if full payment is not received by the payment due date.&lt;br&gt;&lt;br&gt;Terms and conditions available on application. Fees and charges apply.</t>
  </si>
  <si>
    <t>AVPCC</t>
  </si>
  <si>
    <t>17.99</t>
  </si>
  <si>
    <t>(charged from date of transaction)</t>
  </si>
  <si>
    <t>AVPCF</t>
  </si>
  <si>
    <t>Late Payment Fee</t>
  </si>
  <si>
    <t>3.00</t>
  </si>
  <si>
    <t>% of the outstanding closing balance</t>
  </si>
  <si>
    <t>(only charged if full payment is not received by the payment due date)</t>
  </si>
  <si>
    <t>COB</t>
  </si>
  <si>
    <t>Corporate overdraft base rates</t>
  </si>
  <si>
    <t>APR</t>
  </si>
  <si>
    <t>ANZ Prime Rate</t>
  </si>
  <si>
    <t>JPY rounded to 2 decimal points.&lt;p&gt;Terms and conditions available on application. Fees and charges apply.&lt;/p&gt;</t>
  </si>
  <si>
    <t>APREUR</t>
  </si>
  <si>
    <t>APRGBP</t>
  </si>
  <si>
    <t>APRHKD</t>
  </si>
  <si>
    <t>5.00</t>
  </si>
  <si>
    <t>APRJPY</t>
  </si>
  <si>
    <t>APRNZD</t>
  </si>
  <si>
    <t>APRSGD</t>
  </si>
  <si>
    <t>APRUSD</t>
  </si>
  <si>
    <t>APRCAD1</t>
  </si>
  <si>
    <t>CNYOD</t>
  </si>
  <si>
    <t>OD</t>
  </si>
  <si>
    <t>Onedirect</t>
  </si>
  <si>
    <t>Friday, 12 August 2016</t>
  </si>
  <si>
    <t>12/08/2016 7:52:58 AM</t>
  </si>
  <si>
    <t>http://www.onedirect.com.au</t>
  </si>
  <si>
    <t>OVL</t>
  </si>
  <si>
    <t>one direct variable loan</t>
  </si>
  <si>
    <t>OVLV</t>
  </si>
  <si>
    <t>4.48</t>
  </si>
  <si>
    <t>ODVLC</t>
  </si>
  <si>
    <t>*taxScheduleEnd</t>
  </si>
  <si>
    <t>*debtLevyScheduleEnd</t>
  </si>
  <si>
    <t>*medicareLevyScheduleEnd</t>
  </si>
  <si>
    <t>*medicareLevySurchargeScheduleSingleEnd</t>
  </si>
  <si>
    <t>*medicareLevySurchargeScheduleFamilyEnd</t>
  </si>
  <si>
    <t>BRODIES PLAINS</t>
  </si>
  <si>
    <t>BUKKULLA</t>
  </si>
  <si>
    <t>CHERRY TREE HILL</t>
  </si>
  <si>
    <t>COPETON</t>
  </si>
  <si>
    <t>ELSMORE</t>
  </si>
  <si>
    <t>GILGAI</t>
  </si>
  <si>
    <t>GRAMAN</t>
  </si>
  <si>
    <t>GUM FLAT</t>
  </si>
  <si>
    <t>HOWELL</t>
  </si>
  <si>
    <t>INVERELL</t>
  </si>
  <si>
    <t>KINGS PLAINS</t>
  </si>
  <si>
    <t>LITTLE PLAIN</t>
  </si>
  <si>
    <t>LONG PLAIN</t>
  </si>
  <si>
    <t>MOUNT RUSSELL</t>
  </si>
  <si>
    <t>NEWSTEAD</t>
  </si>
  <si>
    <t>NULLAMANNA</t>
  </si>
  <si>
    <t>OAKWOOD</t>
  </si>
  <si>
    <t>PARADISE</t>
  </si>
  <si>
    <t>ROB ROY</t>
  </si>
  <si>
    <t>SE - Company Wages</t>
  </si>
  <si>
    <t>ATO Income</t>
  </si>
  <si>
    <t>Prior Year ATO Income</t>
  </si>
  <si>
    <t>Print Outputs</t>
  </si>
  <si>
    <t>Payslip</t>
  </si>
  <si>
    <t>6.36</t>
  </si>
  <si>
    <t>5.84</t>
  </si>
  <si>
    <t>6.26</t>
  </si>
  <si>
    <t>ANZ Business Essentials</t>
  </si>
  <si>
    <t>BLPVR</t>
  </si>
  <si>
    <t>BL</t>
  </si>
  <si>
    <t>BLSVR</t>
  </si>
  <si>
    <t>Special Variable Interest Rate</t>
  </si>
  <si>
    <t>This is an estimate only. It is provided for illustrative purposes only and is based on the accuracy of the information provided. It does not constitute a quote. All applications for credit are subject to ANZ's normal credit approval criteria. Results are based on amortised scheduled repayments and, once any discount or fixed rate period expires, the current variable rate is applied for the remainder of the loan term (unless another fixed rate period is taken). For interest only loans, once the interest only period expires, the loan will revert to a variable rate loan for the remainder of the loan term (unless another fixed rate period is taken). At the end of the interest only period, minimum repayment amounts may increase to cover principal and interest. This page is for broker/lender use only and should not be displayed to customers.</t>
  </si>
  <si>
    <t>1 to less than 2 months</t>
  </si>
  <si>
    <t>2 to less than 3 months</t>
  </si>
  <si>
    <t>3 to less than 4 months</t>
  </si>
  <si>
    <t>4 to less than 5 months</t>
  </si>
  <si>
    <t>5 to less than 6 months</t>
  </si>
  <si>
    <t>6 to less than 7 months</t>
  </si>
  <si>
    <t>7 to less than 8 months</t>
  </si>
  <si>
    <t>8 to less than 9 months</t>
  </si>
  <si>
    <t>9 to less than 10 months</t>
  </si>
  <si>
    <t>10 to less than 11 months</t>
  </si>
  <si>
    <t>11 to less than 12 months</t>
  </si>
  <si>
    <t>12 to less than 24 months</t>
  </si>
  <si>
    <t>18 &lt; 24 months* (NOT IN USE)</t>
  </si>
  <si>
    <t>24 to less than 36 months</t>
  </si>
  <si>
    <t>36 to less than 48 months</t>
  </si>
  <si>
    <t>48 to less than or equal to 60 months</t>
  </si>
  <si>
    <t>60 months* (NOT IN USE)</t>
  </si>
  <si>
    <t>7 days to less than 1 month</t>
  </si>
  <si>
    <t>15-08-2021</t>
  </si>
  <si>
    <t>01-07-2021</t>
  </si>
  <si>
    <t>Comparison rate calculated on a loan amount of $150,000 over a term of 25 years based on monthly repayments. These rates are for secured loans only.&lt;br/&gt;&lt;br/&gt;&lt;b&gt;For interest only variable loans, the comparison rates are based on an initial 5 year interest only term. For fixed rate interest only loans, the comparison rates are based on an initial interest only period equal in term to the fixed period.&lt;br/&gt;&lt;br/&gt; Applications for credit subject to approval. Terms and conditions available on application. Fees and charges apply. Australian credit licence number 234527.&lt;br/&gt;&lt;br/&gt;</t>
  </si>
  <si>
    <t>Comparison rate calculated on a loan amount of $150,000 over a term of 25 years based on monthly repayments. These rates are for secured loans only.&lt;br/&gt;&lt;br/&gt;&lt;b&gt; For interest only variable loans, the comparison rates are based on an initial 5 year interest only term. For fixed rate interest only loans, the comparison rates are based on an initial interest only period equal in term to the fixed period.&lt;br/&gt;&lt;br/&gt; Applications for credit subject to approval. Terms and conditions available on application. Fees and charges apply. Australian credit licence number 234527.&lt;br/&gt;&lt;br/&gt;</t>
  </si>
  <si>
    <t>Comparison rates are calculated on the basis of secured loan of $150,000 over a 25 year term. &lt;br/&gt;&lt;br/&gt;  For interest only variable loans, the comparison rates are based on an initial 5 year interest only term.&lt;br/&gt;&lt;br/&gt; Applications for credit subject to approval. Terms and conditions available on application. Fees and charges apply. Australian credit licence number 234527.&lt;br/&gt;&lt;br/&gt;</t>
  </si>
  <si>
    <t>ANZ Breakfree Package is no longer offered for sale. Annual package fee of $395 will be waived if it falls due from 12 February 2022 as the ANZ Breakfree Package will be discontinued on or about 10 September 2022 and Breakfree benefits will cease to apply.</t>
  </si>
  <si>
    <t>Comparison rate calculated on a loan amount of $150,000 over a term of 25 years based on monthly repayments. These rates are for secured loans only..&lt;/b&gt;&lt;br /&gt;&lt;br /&gt;For interest only variable loans, the comparison rates are based on an initial 5 year interest only term.&lt;br/&gt;&lt;br/&gt; Applications for credit subject to approval. Terms and conditions available on application. Fees and charges apply. Australian credit licence number 234527.&lt;br/&gt;&lt;br/&gt;</t>
  </si>
  <si>
    <t>Comparison rate calculated on a loan amount of $150,000 over a term of 25 years based on monthly repayments. These rates are for secured loans only.&lt;/b&gt;&lt;br /&gt;&lt;br /&gt;For interest only variable loans, the comparison rates are based on an initial 5 year interest only term. For fixed rate interest only loans, the comparison rates are based on an initial interest only period equal in term to the fixed period.&lt;br/&gt;&lt;br/&gt; Applications for credit subject to approval. Terms and conditions available on application. Fees and charges apply. Australian credit licence number 234527.&lt;br/&gt;&lt;br/&gt;</t>
  </si>
  <si>
    <t>Comparison rate calculated on a loan amount of $150,000 over a term of 25 years based on monthly repayments. These rates are for secured loans only.. &lt;br/&gt;&lt;br/&gt;For interest only variable loans, the comparison rates are based on an initial 5 year interest only term. For fixed rate interest only loans, the comparison rates are based on an initial interest only period equal in term to the fixed period.&lt;br/&gt;&lt;br/&gt; Applications for credit subject to approval. Terms and conditions available on application. Fees and charges apply. Australian credit licence number 234527.&lt;br/&gt;&lt;br/&gt;</t>
  </si>
  <si>
    <t>Comparison rate calculated on a loan amount of $150,000 over a term of 25 years based on monthly repayments. These rates are for secured loans only. b&gt;&lt;br /&gt;&lt;br /&gt;For interest only variable loans, the comparison rates are based on an initial 5 year interest only term.&lt;br/&gt;&lt;br/&gt; Applications for credit subject to approval. Terms and conditions available on application. Fees and charges apply. Australian credit licence number 234527&lt;br/&gt;</t>
  </si>
  <si>
    <t>Comparison rates calculated on secured loan of $150000 over 25 yr term with monthly repayments.&lt;br&gt;&lt;br&gt; Applications for credit subject to approval. Terms and conditions available on application. Fees and charges apply. Australian credit licence number 234527.&lt;br/&gt;&lt;br/&gt;</t>
  </si>
  <si>
    <t>The Rates shown apply for interest paid yearly in advance. The Rates applicable for interest paid monthly, quarterly or semi - annually in advance are available on application at any ANZ Branch. &lt;br/&gt;&lt;br/&gt; Applications for credit subject to approval. Terms and conditions available on application. Fees and charges apply. Australian credit licence number 234527.&lt;br/&gt;&lt;br/&gt;</t>
  </si>
  <si>
    <t>6.49</t>
  </si>
  <si>
    <t>6.34</t>
  </si>
  <si>
    <t>"RSTA", "RLUO"</t>
  </si>
  <si>
    <t>"RSTD"</t>
  </si>
  <si>
    <t>"9999"</t>
  </si>
  <si>
    <t>PHL.PHLHD.HOO80PIR</t>
  </si>
  <si>
    <t>HL_GT80_RATE</t>
  </si>
  <si>
    <t>RIL_GT80_RATE</t>
  </si>
  <si>
    <t>5.19</t>
  </si>
  <si>
    <t>5.14</t>
  </si>
  <si>
    <t>5.34</t>
  </si>
  <si>
    <t>5.29</t>
  </si>
  <si>
    <t>Increase / Decrease</t>
  </si>
  <si>
    <t>X216</t>
  </si>
  <si>
    <t>TSTL</t>
  </si>
  <si>
    <t>Test Loan</t>
  </si>
  <si>
    <t>TSUB</t>
  </si>
  <si>
    <t>TESTCO1</t>
  </si>
  <si>
    <t>TESTCO2</t>
  </si>
  <si>
    <t>TESTCO3</t>
  </si>
  <si>
    <t>TESTCO4</t>
  </si>
  <si>
    <t>TESTCO5</t>
  </si>
  <si>
    <t>12 to less than 18 months</t>
  </si>
  <si>
    <t>18 to less than 24 months</t>
  </si>
  <si>
    <t>60 months (NOT IN USE)</t>
  </si>
  <si>
    <t>Base rate $1 - $499</t>
  </si>
  <si>
    <t>Base rate $500 - $2,999</t>
  </si>
  <si>
    <t>Base rate $3,000 - $4,999</t>
  </si>
  <si>
    <t>Base rate $5,000 - $9,999</t>
  </si>
  <si>
    <t>Base rate $10,000 - $19,999</t>
  </si>
  <si>
    <t>X217</t>
  </si>
  <si>
    <t>MSG  &lt;= WARNING</t>
  </si>
  <si>
    <t>WARN  &lt;= FROM</t>
  </si>
  <si>
    <t>DTI_LESS_THAN</t>
  </si>
  <si>
    <t>DTI TO USE</t>
  </si>
  <si>
    <t>JUST EXISTING</t>
  </si>
  <si>
    <t>&gt;= 6</t>
  </si>
  <si>
    <t>&lt; 6</t>
  </si>
  <si>
    <t>EXISTING DEBTS</t>
  </si>
  <si>
    <t>NEW DEBTS</t>
  </si>
  <si>
    <t>Base DTI off</t>
  </si>
  <si>
    <t>6.51</t>
  </si>
  <si>
    <t>7.51</t>
  </si>
  <si>
    <t>8.51</t>
  </si>
  <si>
    <t>9.51</t>
  </si>
  <si>
    <t>DTI KNOWN</t>
  </si>
  <si>
    <t>All SoPs</t>
  </si>
  <si>
    <t>Export to SOP</t>
  </si>
  <si>
    <t>Export to SoP</t>
  </si>
  <si>
    <t>X218</t>
  </si>
  <si>
    <t>Interest rates are subject to change without notice.&lt;br /&gt;&lt;br /&gt;Fixed interest rates shown are for a term of 6-12 months.&lt;br /&gt;&lt;br /&gt;If you opt to pay in arrears, interest will be charged at 0.25% p.a higher than if you prepay interest.&lt;br /&gt;&lt;br /&gt;</t>
  </si>
  <si>
    <t>6.39</t>
  </si>
  <si>
    <t>6.79</t>
  </si>
  <si>
    <t>3.24</t>
  </si>
  <si>
    <t>5.64</t>
  </si>
  <si>
    <t>6.84</t>
  </si>
  <si>
    <t>5.49</t>
  </si>
  <si>
    <t>6.04</t>
  </si>
  <si>
    <t>5.17</t>
  </si>
  <si>
    <t>6.24</t>
  </si>
  <si>
    <t>TOTAL OTHER LOANS</t>
  </si>
  <si>
    <t># LMI LOANS</t>
  </si>
  <si>
    <t>ANZ's normal credit criteria apply to each application. Applicants need to be at least 18 years of age and demonstrate capacity to afford to repay.&lt;br&gt;&lt;br&gt; Terms and conditions are available on application. Fees and charges apply.</t>
  </si>
  <si>
    <t>PLVRI3</t>
  </si>
  <si>
    <t>PLVRC3</t>
  </si>
  <si>
    <t>PLVRI5</t>
  </si>
  <si>
    <t>PLVRC5</t>
  </si>
  <si>
    <t>PLVRI4</t>
  </si>
  <si>
    <t>PLVRC4</t>
  </si>
  <si>
    <t>PLVRI2</t>
  </si>
  <si>
    <t>PLVRC2</t>
  </si>
  <si>
    <t>PLVRI1</t>
  </si>
  <si>
    <t>PLVRC1</t>
  </si>
  <si>
    <t>PLFRI3</t>
  </si>
  <si>
    <t>PLFRC3</t>
  </si>
  <si>
    <t>PLFRI5</t>
  </si>
  <si>
    <t>PLFRC5</t>
  </si>
  <si>
    <t>PLFRI4</t>
  </si>
  <si>
    <t>PLFRC4</t>
  </si>
  <si>
    <t>PLFRI2</t>
  </si>
  <si>
    <t>PLFRC2</t>
  </si>
  <si>
    <t>PLFRI1</t>
  </si>
  <si>
    <t>PLFRC1</t>
  </si>
  <si>
    <t>Variable Rate (V3)</t>
  </si>
  <si>
    <t>FROM</t>
  </si>
  <si>
    <t>Variable Rate (V4)</t>
  </si>
  <si>
    <t>Variable Rate (V2)</t>
  </si>
  <si>
    <t>TO</t>
  </si>
  <si>
    <t>Fixed Rate (F3)</t>
  </si>
  <si>
    <t>Fixed Rate (F4)</t>
  </si>
  <si>
    <t>Fixed Rate (F2)</t>
  </si>
  <si>
    <t>5.69</t>
  </si>
  <si>
    <t>5.54</t>
  </si>
  <si>
    <t>5.94</t>
  </si>
  <si>
    <t>6.64</t>
  </si>
  <si>
    <t>6.14</t>
  </si>
  <si>
    <t>5.99</t>
  </si>
  <si>
    <t>6.09</t>
  </si>
  <si>
    <t>5.32</t>
  </si>
  <si>
    <t>6.19</t>
  </si>
  <si>
    <t>6.29</t>
  </si>
  <si>
    <t>6.99</t>
  </si>
  <si>
    <t>6.61</t>
  </si>
  <si>
    <t>6.94</t>
  </si>
  <si>
    <t>5.89</t>
  </si>
  <si>
    <t>6.59</t>
  </si>
  <si>
    <t>5.79</t>
  </si>
  <si>
    <t>5.44</t>
  </si>
  <si>
    <t>6.44</t>
  </si>
  <si>
    <t>6.74</t>
  </si>
  <si>
    <t>6.76</t>
  </si>
  <si>
    <t>5.56</t>
  </si>
  <si>
    <t>5.74</t>
  </si>
  <si>
    <t>4.77</t>
  </si>
  <si>
    <t>6.54</t>
  </si>
  <si>
    <t>6.69</t>
  </si>
  <si>
    <t>6.05</t>
  </si>
  <si>
    <t>6.80</t>
  </si>
  <si>
    <t>7.41</t>
  </si>
  <si>
    <t>1.25</t>
  </si>
  <si>
    <t>ACT_GROUP_2</t>
  </si>
  <si>
    <t>Owner Occupier</t>
  </si>
  <si>
    <t>Conveyance Duty</t>
  </si>
  <si>
    <t>2022-07-24T00:00:00Z</t>
  </si>
  <si>
    <t>X220</t>
  </si>
  <si>
    <t>X219</t>
  </si>
  <si>
    <t>X222</t>
  </si>
  <si>
    <t>OO IO &lt;6 DTI LIMIT</t>
  </si>
  <si>
    <t>OO P&amp;I &lt;6 DTI LIMIT</t>
  </si>
  <si>
    <t>INV IO &lt;6 DTI LIMIT</t>
  </si>
  <si>
    <t>INV P&amp;I &lt;6 DTI LIMIT</t>
  </si>
  <si>
    <t>Spousal_Buffer</t>
  </si>
  <si>
    <t>X223</t>
  </si>
  <si>
    <t>SPOUSE</t>
  </si>
  <si>
    <t>None</t>
  </si>
  <si>
    <t>Earns Income</t>
  </si>
  <si>
    <t>No Income</t>
  </si>
  <si>
    <t>Future Housing</t>
  </si>
  <si>
    <t>Loan amount</t>
  </si>
  <si>
    <t xml:space="preserve">Loan amount (excl LMI): </t>
  </si>
  <si>
    <t>LOCK RATE</t>
  </si>
  <si>
    <t>LOCK RATE CALC</t>
  </si>
  <si>
    <t>CALC_VERSION</t>
  </si>
  <si>
    <t>LOCK_RATE_V9_220604</t>
  </si>
  <si>
    <t>PURPOSE</t>
  </si>
  <si>
    <t>Owner Occupied</t>
  </si>
  <si>
    <t>&gt; 80%</t>
  </si>
  <si>
    <t>Not Breakfree</t>
  </si>
  <si>
    <t>&lt;= 70%</t>
  </si>
  <si>
    <t>&lt;= 80%</t>
  </si>
  <si>
    <t>TODAY</t>
  </si>
  <si>
    <t>RATE LOOKUP</t>
  </si>
  <si>
    <t xml:space="preserve">          Lock Rate Calculator</t>
  </si>
  <si>
    <t>Your Loan Information</t>
  </si>
  <si>
    <t xml:space="preserve">Loan amount: </t>
  </si>
  <si>
    <t>does this include LMI?</t>
  </si>
  <si>
    <t>Fixed Term:</t>
  </si>
  <si>
    <t>Owner Occupier/Investor:</t>
  </si>
  <si>
    <t>P&amp;I/IO:</t>
  </si>
  <si>
    <t xml:space="preserve">Current Interest Rate (% p.a.) </t>
  </si>
  <si>
    <t>Lock Rate Fee:</t>
  </si>
  <si>
    <t>If you pay the lock rate fee</t>
  </si>
  <si>
    <t>Current Interest Rate:</t>
  </si>
  <si>
    <t>Estimated total interest over the fixed period:</t>
  </si>
  <si>
    <t>If you do not pay the lock rate fee and the rate increases</t>
  </si>
  <si>
    <t>If rate changes:</t>
  </si>
  <si>
    <t>Your new rate based on current rates:</t>
  </si>
  <si>
    <t>Total estimated repayment increase over fixed term</t>
  </si>
  <si>
    <t>Total estimated saving over fixed period if lock rate taken</t>
  </si>
  <si>
    <t>If you pay the lock rate fee and the rate decreases and you would like to take the lower rate:</t>
  </si>
  <si>
    <t>If rate decreases and you would like to take the lower rate, you can break the lock by forfeiting the Lock Rate Fee:</t>
  </si>
  <si>
    <t>Important Information:</t>
  </si>
  <si>
    <t xml:space="preserve">
All applications for credit are subject to ANZ's credit approval criteria. Terms and Conditions apply and are available on application. Fees, charges and eligibility criteria apply.
This is an estimate for illustrative purposes only and is based on the limited information provided. It does not constitute an offer of credit. To apply for an ANZ Home Loan you must complete an application. This shows your estimated repayments based on the loan amount, loan type &amp; loan term selected over a term of 30 years based on monthly repayments.
The estimated repayment amount does not include any fees or charges. Terms and conditions apply to lock rate. 
Results are based on approximate amortised scheduled repayments and do not take into account interest rate changes or other events that may change repayment amounts on a loan.
For fixed rate loans, once the fixed rate period expires, the loan reverts to a variable rate loan and repayment amounts will change.
For interest only loans, once the interest only period expires, the loan will revert to the applicable variable rate loan for the remainder of the loan term (unless another interest only period is taken). At the end of the interest only period, minimum repayment amounts may increase to cover principal and interest. Interest only loans are not for everyone and you should consider if this is the right strategy for you.
ANZ Home Loans are available for periods between 1 and 30 years. 
ANZ Home Loans are available for a minimum of $20,000.
For ANZ Fixed Rate loans, you can make early or additional repayments up to a set available tolerance amount (the lesser of 5% of the loan amount at the start of the current fixed rate period or $5,000) each year of the fixed rate period, without triggering an Early Repayment Cost.  An Early Repayment Cost may be incurred if, during the fixed rate period, the available tolerance amount is exceeded, the loan is fully repaid or refinanced, or ANZ agrees to change the interest rate at your request. Please be aware that Early Repayment Costs can be very large. Terms and Conditions apply please refer to the ANZ Consumer Lending Terms and Conditions and 'ANZ Fixed Rate Loans - What happens if you repay some or all of it early?'. Alternatively please visit any ANZ branch or phone the Home Loan Hotline on 1800 100 641, 8:00am to 8:00pm (AEST), Monday to Friday, 8:00am to 6:00pm (AEST) Saturdays and Sundays.</t>
  </si>
  <si>
    <t>X224</t>
  </si>
  <si>
    <t>LOCK_RATE_FEE</t>
  </si>
  <si>
    <t>X221</t>
  </si>
  <si>
    <t xml:space="preserve">                 Construction Loan Repayment Calculator</t>
  </si>
  <si>
    <t>Construction Loan Details</t>
  </si>
  <si>
    <t>Progress Payments during Construction</t>
  </si>
  <si>
    <t>Building Contract Value</t>
  </si>
  <si>
    <t>Stages</t>
  </si>
  <si>
    <t>Invoice 
Amount</t>
  </si>
  <si>
    <t>Customer
Contribution</t>
  </si>
  <si>
    <t>Additional Funds to Borrow</t>
  </si>
  <si>
    <t>Progress
Payment</t>
  </si>
  <si>
    <t>Funds 
Available</t>
  </si>
  <si>
    <t>Loan 
Balance</t>
  </si>
  <si>
    <t>Monthly IO
Repayment</t>
  </si>
  <si>
    <t>Customer Contribution</t>
  </si>
  <si>
    <t xml:space="preserve">- </t>
  </si>
  <si>
    <t>Deposit</t>
  </si>
  <si>
    <t>Total Loan Required</t>
  </si>
  <si>
    <t>Base</t>
  </si>
  <si>
    <t>Frame</t>
  </si>
  <si>
    <t>Existing Land/Home Loan?</t>
  </si>
  <si>
    <t>Lockup</t>
  </si>
  <si>
    <t>Fixing</t>
  </si>
  <si>
    <t>Final</t>
  </si>
  <si>
    <t>Repayments after Construction</t>
  </si>
  <si>
    <t>4.72</t>
  </si>
  <si>
    <t>6.71</t>
  </si>
  <si>
    <t>5.65</t>
  </si>
  <si>
    <t>6.62</t>
  </si>
  <si>
    <t>5.86</t>
  </si>
  <si>
    <t>5.35</t>
  </si>
  <si>
    <t>5.53</t>
  </si>
  <si>
    <t>5.60</t>
  </si>
  <si>
    <t>7.27</t>
  </si>
  <si>
    <t>5.38</t>
  </si>
  <si>
    <t>5.46</t>
  </si>
  <si>
    <t>6.70</t>
  </si>
  <si>
    <t>6.23</t>
  </si>
  <si>
    <t>5.58</t>
  </si>
  <si>
    <t>6.55</t>
  </si>
  <si>
    <t>$</t>
  </si>
  <si>
    <t>%</t>
  </si>
  <si>
    <t>YOUR LOAN DETAILS</t>
  </si>
  <si>
    <t>PROGRESS PAYMENTS
DURING CONSTRUCTION</t>
  </si>
  <si>
    <t>REPAYMENTS AFTER CONSTRUCTION</t>
  </si>
  <si>
    <t xml:space="preserve">Lender Name  </t>
  </si>
  <si>
    <t>Building contract value</t>
  </si>
  <si>
    <t xml:space="preserve">  % p.a.</t>
  </si>
  <si>
    <t>Land loan/ existing home loan</t>
  </si>
  <si>
    <t xml:space="preserve">%  </t>
  </si>
  <si>
    <t xml:space="preserve">$  </t>
  </si>
  <si>
    <t>ANZ contribution</t>
  </si>
  <si>
    <t>Your contribution</t>
  </si>
  <si>
    <t>Progress Payment amount</t>
  </si>
  <si>
    <t xml:space="preserve">Date  </t>
  </si>
  <si>
    <t xml:space="preserve">Phone  </t>
  </si>
  <si>
    <t xml:space="preserve">Email  </t>
  </si>
  <si>
    <t>Additional funds to borrow</t>
  </si>
  <si>
    <t>Interest 
rate</t>
  </si>
  <si>
    <t>Your loan balance</t>
  </si>
  <si>
    <t>Also includes land loan and other borrowed funds</t>
  </si>
  <si>
    <t>Your monthly Interest Only repayments during construction – up to 24 months</t>
  </si>
  <si>
    <t>Loan balance at end of build</t>
  </si>
  <si>
    <t>Based on 30-year loan term, the estimated monthly repayment is:</t>
  </si>
  <si>
    <t xml:space="preserve">if Principal and Interest    </t>
  </si>
  <si>
    <t xml:space="preserve">if Interest Only*    </t>
  </si>
  <si>
    <r>
      <t xml:space="preserve">Important Information: </t>
    </r>
    <r>
      <rPr>
        <sz val="6.5"/>
        <color rgb="FF000000"/>
        <rFont val="Arial"/>
        <family val="2"/>
      </rPr>
      <t>This summary is a guide only and intended as a tool to help you with your construction loan plans. It is provided for illustrative and educational purposes only. Any figures listed are preliminary indicative estimates and calculations only based on the accuracy of the information you have provided to us at the date of this document, which has not been verified by ANZ. It is not an offer for finance, a credit contract or application for an ANZ product. Applications for credit are subject to ANZ’s credit approval criteria. Terms and conditions, and fees and charges apply. This summary is not personal advice and ANZ takes no responsibility for any error or omission. ANZ will not be keeping a copy of this document.</t>
    </r>
  </si>
  <si>
    <t>CONSTRUCTION LOAN CALC</t>
  </si>
  <si>
    <t>LENDER NAME</t>
  </si>
  <si>
    <t>LENDER EMAIL</t>
  </si>
  <si>
    <t>LENDER PHONE</t>
  </si>
  <si>
    <t>ANZ Business Cash Management (NOT IN USE)</t>
  </si>
  <si>
    <t>ANZ Premium Business Cash (NOT IN USE)</t>
  </si>
  <si>
    <t>6.98</t>
  </si>
  <si>
    <t>X225</t>
  </si>
  <si>
    <t>PL_OTHER_INCOME_SENSITIVITY_MULTIPLIER</t>
  </si>
  <si>
    <t>RETURN ROW</t>
  </si>
  <si>
    <t>ConLoan</t>
  </si>
  <si>
    <t>F</t>
  </si>
  <si>
    <t>NEXT HOME</t>
  </si>
  <si>
    <t>NEXT HOME CALC</t>
  </si>
  <si>
    <t>X226</t>
  </si>
  <si>
    <t>Usable_Equity_LVR</t>
  </si>
  <si>
    <t>X227</t>
  </si>
  <si>
    <t>X228</t>
  </si>
  <si>
    <t>Loan Required for Land?</t>
  </si>
  <si>
    <t>New South Wales</t>
  </si>
  <si>
    <t>Australian Capital Territory</t>
  </si>
  <si>
    <t>STATE_LABEL</t>
  </si>
  <si>
    <t>Queensland</t>
  </si>
  <si>
    <t>South Australia</t>
  </si>
  <si>
    <t>Tasmania</t>
  </si>
  <si>
    <t>Victoria</t>
  </si>
  <si>
    <t>Western Australia</t>
  </si>
  <si>
    <t>Northern Territory</t>
  </si>
  <si>
    <t>X229</t>
  </si>
  <si>
    <t>Estimated sale price</t>
  </si>
  <si>
    <t>X230</t>
  </si>
  <si>
    <t>X231</t>
  </si>
  <si>
    <t>X232</t>
  </si>
  <si>
    <t>X233</t>
  </si>
  <si>
    <t>X234</t>
  </si>
  <si>
    <t>KITCHEN</t>
  </si>
  <si>
    <t>BATHROOM</t>
  </si>
  <si>
    <t>TOILET</t>
  </si>
  <si>
    <t>ENSUITE</t>
  </si>
  <si>
    <t>PAINT EXTERIOR</t>
  </si>
  <si>
    <t>DECKING</t>
  </si>
  <si>
    <t>SELLING COSTS</t>
  </si>
  <si>
    <t>RENOVATION COSTS</t>
  </si>
  <si>
    <t>AGENT_COMMISSION</t>
  </si>
  <si>
    <t>CONVEYANCING</t>
  </si>
  <si>
    <t>STYLING</t>
  </si>
  <si>
    <t>MOVING</t>
  </si>
  <si>
    <t>MARKETING</t>
  </si>
  <si>
    <t>AUCTION</t>
  </si>
  <si>
    <t>X235</t>
  </si>
  <si>
    <t>X236</t>
  </si>
  <si>
    <t>X237</t>
  </si>
  <si>
    <t>X238</t>
  </si>
  <si>
    <t>X239</t>
  </si>
  <si>
    <t>X240</t>
  </si>
  <si>
    <t>STATE LABELS</t>
  </si>
  <si>
    <t>DISCHARGE</t>
  </si>
  <si>
    <t>X241</t>
  </si>
  <si>
    <t>X242</t>
  </si>
  <si>
    <t>X243</t>
  </si>
  <si>
    <t>COMPARISON CODE</t>
  </si>
  <si>
    <t>X244</t>
  </si>
  <si>
    <t>Standard Variable Rate</t>
  </si>
  <si>
    <t>X245</t>
  </si>
  <si>
    <t>Simplicity PLUS special offer discount*</t>
  </si>
  <si>
    <t>Simplicity PLUS special offer discount 70% or less LVR*</t>
  </si>
  <si>
    <t>Simplicity PLUS special offer discount 80% or less LVR*</t>
  </si>
  <si>
    <t>Standard Variable Rate 80% or less LVR</t>
  </si>
  <si>
    <t>2 years Fixed</t>
  </si>
  <si>
    <t>3 years Fixed</t>
  </si>
  <si>
    <t>1 year Fixed 80% or less LVR</t>
  </si>
  <si>
    <t>2 years Fixed 80% or less LVR</t>
  </si>
  <si>
    <t>3 years Fixed 80% or less LVR</t>
  </si>
  <si>
    <t>NEW LENDING MIN</t>
  </si>
  <si>
    <t>NEW LENDING MAX</t>
  </si>
  <si>
    <t>X246</t>
  </si>
  <si>
    <t>X247</t>
  </si>
  <si>
    <t>X248</t>
  </si>
  <si>
    <t>X249</t>
  </si>
  <si>
    <t>LVR MIN</t>
  </si>
  <si>
    <t>LVR MAX</t>
  </si>
  <si>
    <t>ANZ Business Mortgage Loan Fixed Rates (NOT IN USE)</t>
  </si>
  <si>
    <t>ANZ Business Loan (NOT IN USE)</t>
  </si>
  <si>
    <t>SME Recovery Loan Scheme SI A-C (NOT IN USE)</t>
  </si>
  <si>
    <t>SME Recovery Loan Scheme SI D-G (NOT IN USE)</t>
  </si>
  <si>
    <t>X250</t>
  </si>
  <si>
    <t>Custom Rate</t>
  </si>
  <si>
    <t>6.38</t>
  </si>
  <si>
    <t>4.93</t>
  </si>
  <si>
    <t>5.06</t>
  </si>
  <si>
    <t>5.13</t>
  </si>
  <si>
    <t>5.22</t>
  </si>
  <si>
    <t>5.33</t>
  </si>
  <si>
    <t>6.85</t>
  </si>
  <si>
    <t>6.77</t>
  </si>
  <si>
    <t>6.13</t>
  </si>
  <si>
    <t>7.04</t>
  </si>
  <si>
    <t>7.01</t>
  </si>
  <si>
    <t>7.24</t>
  </si>
  <si>
    <t>4.90</t>
  </si>
  <si>
    <t>5.12</t>
  </si>
  <si>
    <t>4.80</t>
  </si>
  <si>
    <t>4.92</t>
  </si>
  <si>
    <t>4.97</t>
  </si>
  <si>
    <t>4.82</t>
  </si>
  <si>
    <t>4.50</t>
  </si>
  <si>
    <t>4.96</t>
  </si>
  <si>
    <t>6.32</t>
  </si>
  <si>
    <t>6.67</t>
  </si>
  <si>
    <t>6.07</t>
  </si>
  <si>
    <t>6.12</t>
  </si>
  <si>
    <t>7.02</t>
  </si>
  <si>
    <t>7.25</t>
  </si>
  <si>
    <t>7.20</t>
  </si>
  <si>
    <t>6.56</t>
  </si>
  <si>
    <t>5.91</t>
  </si>
  <si>
    <t>5.81</t>
  </si>
  <si>
    <t>5.71</t>
  </si>
  <si>
    <t>5.76</t>
  </si>
  <si>
    <t>5.61</t>
  </si>
  <si>
    <t>5.66</t>
  </si>
  <si>
    <t>5.80</t>
  </si>
  <si>
    <t>5.97</t>
  </si>
  <si>
    <t>6.66</t>
  </si>
  <si>
    <t>6.95</t>
  </si>
  <si>
    <t>6.58</t>
  </si>
  <si>
    <t>6.60</t>
  </si>
  <si>
    <t>6.63</t>
  </si>
  <si>
    <t>7.42</t>
  </si>
  <si>
    <t>5.10</t>
  </si>
  <si>
    <t>5.45</t>
  </si>
  <si>
    <t>5.55</t>
  </si>
  <si>
    <t>5.43</t>
  </si>
  <si>
    <t>5.83</t>
  </si>
  <si>
    <t>6.92</t>
  </si>
  <si>
    <t>5.68</t>
  </si>
  <si>
    <t>6.57</t>
  </si>
  <si>
    <t>7.38</t>
  </si>
  <si>
    <t>5.39</t>
  </si>
  <si>
    <t>5.52</t>
  </si>
  <si>
    <t>6.42</t>
  </si>
  <si>
    <t>7.14</t>
  </si>
  <si>
    <t>* Interest Only payments can only continue following construction for a total of 5 years on Owner Occupier loans and 10 years for Investment loans, and the interest only period starts from the first progressive payment. If you decide making interest only payments is right for you, your payments will be lower during the interest only period, but you will have to repay the principal down the track and you may pay more over the life of the loan.</t>
  </si>
  <si>
    <t>0.75</t>
  </si>
  <si>
    <t>LOANS</t>
  </si>
  <si>
    <t>START ROW</t>
  </si>
  <si>
    <t>COUNT ROWS</t>
  </si>
  <si>
    <t>ITEMS</t>
  </si>
  <si>
    <t>CUM COUNT</t>
  </si>
  <si>
    <t>CUM SELECT</t>
  </si>
  <si>
    <t>SHEET REF</t>
  </si>
  <si>
    <t>IIAL</t>
  </si>
  <si>
    <t>ANZ Fixed Home Loan (LVR &gt; 80) - Breakfree Package (NOT IN USE)</t>
  </si>
  <si>
    <t>ANZ Fixed Home Loan - Index Rates</t>
  </si>
  <si>
    <t>ANZ Breakfree Package (NOT IN USE)</t>
  </si>
  <si>
    <t>Breakfree Discounted interest rates (NOT IN USE)</t>
  </si>
  <si>
    <t>Breakfree Discounted Special Interest Rates (NOT IN USE)</t>
  </si>
  <si>
    <t>Fixed LVR Special Interest Rate (non-Breakfree) (NOT IN USE)</t>
  </si>
  <si>
    <t>ANZ Equity Manager (No Longer Offered)</t>
  </si>
  <si>
    <t>ANZ Breakfree Home Loan Package (NOT IN USE)</t>
  </si>
  <si>
    <t>ANZ Home Equity Loan (No Longer offered)</t>
  </si>
  <si>
    <t>ANZ Fixed Residential Investment Loan (LVR &gt;80) - Breakfree Package (NOT IN USE)</t>
  </si>
  <si>
    <t>ANZ Fixed Residential Investment Loan - Index Rates</t>
  </si>
  <si>
    <t>ANZ Interest in Advance - Yearly (LVR &lt;=80%) (NOT IN USE)</t>
  </si>
  <si>
    <t>ANZ Interest in Advance Loan - Index Rates</t>
  </si>
  <si>
    <t>&lt;b&gt;This product is no longer available for sale.&lt;/b&gt;&lt;p&gt;Terms and conditions available on application. Fees and charges apply.&lt;/p&gt;</t>
  </si>
  <si>
    <t>IIA1INDEX</t>
  </si>
  <si>
    <t>IIA1COMP</t>
  </si>
  <si>
    <t>IIA2INDEX</t>
  </si>
  <si>
    <t>IIA2COMP</t>
  </si>
  <si>
    <t>IIA3INDEX</t>
  </si>
  <si>
    <t>IIA3COMP</t>
  </si>
  <si>
    <t>IIA4INDEX</t>
  </si>
  <si>
    <t>IIA4COMP</t>
  </si>
  <si>
    <t>IIA5INDEX</t>
  </si>
  <si>
    <t>IIA5COMP</t>
  </si>
  <si>
    <t>IIA7INDEX</t>
  </si>
  <si>
    <t>IIA7COMP</t>
  </si>
  <si>
    <t>IIA10INDEX</t>
  </si>
  <si>
    <t>IIA10COMP</t>
  </si>
  <si>
    <t>ANZ Equity Manager (&gt;80%) (NOT IN USE)</t>
  </si>
  <si>
    <t>ANZ Equity Manager (&lt;=80%) (NOT IN USE)</t>
  </si>
  <si>
    <t>1 Year</t>
  </si>
  <si>
    <t>2 Years</t>
  </si>
  <si>
    <t>3 Years</t>
  </si>
  <si>
    <t>4 Years</t>
  </si>
  <si>
    <t>5 Years</t>
  </si>
  <si>
    <t>7 Years</t>
  </si>
  <si>
    <t>10 Years</t>
  </si>
  <si>
    <t>Asset Finance Rapid Replacement</t>
  </si>
  <si>
    <t>7.19</t>
  </si>
  <si>
    <t>6.96</t>
  </si>
  <si>
    <t>CURRENT HOME DETAILS</t>
  </si>
  <si>
    <t>NEW HOME DETAILS</t>
  </si>
  <si>
    <t xml:space="preserve">=  Funds from sale                                                                                                                                                                                                                                           </t>
  </si>
  <si>
    <t>LOAN STRUCTURE</t>
  </si>
  <si>
    <t>New home
loan needed</t>
  </si>
  <si>
    <t>Bridging Loan</t>
  </si>
  <si>
    <t xml:space="preserve">$ </t>
  </si>
  <si>
    <t>Ongoing Loan</t>
  </si>
  <si>
    <t>SAVINGS REQUIRED</t>
  </si>
  <si>
    <t>Total savings required</t>
  </si>
  <si>
    <t>Property price*</t>
  </si>
  <si>
    <t>Property Purchase Price</t>
  </si>
  <si>
    <r>
      <t xml:space="preserve">*Property price reflects both land costs and any associated construction costs.
**This estimated amount is for sale fees such as agent commission and includes a buffer for the actual sale price. For your new home, purchase fees cover costs such as stamp duty, solicitor fees etc.
</t>
    </r>
    <r>
      <rPr>
        <b/>
        <sz val="6.5"/>
        <color theme="1"/>
        <rFont val="Arial"/>
        <family val="2"/>
      </rPr>
      <t>Important Information</t>
    </r>
    <r>
      <rPr>
        <sz val="6.5"/>
        <color theme="1"/>
        <rFont val="Arial"/>
        <family val="2"/>
      </rPr>
      <t>: This summary is a guide only and intended as a tool to help you with your bridging loan plans. It is provided for illustrative and educational purposes only. Any figures listed are preliminary indicative estimates and calculations only based on the accuracy of the information you have provided to us at the date of this document, which has not been verified by ANZ. It is not an offer for finance, a credit contract or application for an ANZ product. Applications for credit are subject to ANZ’s credit approval criteria. Eligibility criteria applies to qualify for a Bridging Loan. Terms and conditions, and fees and charges apply. This summary is not personal advice and ANZ takes no responsibility for any error or omission. ANZ will not be keeping a copy of this document.
Australia and New Zealand Banking Group Limited (ANZ) ABN 11 005 357 522. Australian Credit Licence Number 234527</t>
    </r>
  </si>
  <si>
    <t>Ongoing Loan is on the new home and is based on the estimated sale price of current home</t>
  </si>
  <si>
    <r>
      <rPr>
        <b/>
        <sz val="9"/>
        <color theme="1"/>
        <rFont val="Arial"/>
        <family val="2"/>
      </rPr>
      <t>–</t>
    </r>
    <r>
      <rPr>
        <sz val="9"/>
        <color theme="1"/>
        <rFont val="Arial"/>
        <family val="2"/>
      </rPr>
      <t xml:space="preserve">  Customer 
    funded deposit</t>
    </r>
  </si>
  <si>
    <r>
      <rPr>
        <b/>
        <sz val="9"/>
        <color theme="1"/>
        <rFont val="Arial"/>
        <family val="2"/>
      </rPr>
      <t>–</t>
    </r>
    <r>
      <rPr>
        <sz val="9"/>
        <color theme="1"/>
        <rFont val="Arial"/>
        <family val="2"/>
      </rPr>
      <t xml:space="preserve">  Sale fees**</t>
    </r>
  </si>
  <si>
    <t xml:space="preserve">Outstanding Loan 
amount on current home </t>
  </si>
  <si>
    <t>Bridging Finance can provide the flexibility to buy your new home up to 12 months before you sell and settle on your current home.</t>
  </si>
  <si>
    <t>Total lending during your
Bridging Period (Peak debt)</t>
  </si>
  <si>
    <t>Bridging Period</t>
  </si>
  <si>
    <t xml:space="preserve">months  </t>
  </si>
  <si>
    <t>Evidence of these savings is required to demonstrate that you can make repayments on the Peak debt during your Bridging Period. The maximum Bridging Period 
is 12 months. The total savings required is based on your Bridging Period and is in addition to your deposit required for your new home.</t>
  </si>
  <si>
    <t>ANZ BRIDGING LOAN CONVERSATION SUMMARY</t>
  </si>
  <si>
    <r>
      <rPr>
        <b/>
        <sz val="9"/>
        <color theme="1"/>
        <rFont val="Arial"/>
        <family val="2"/>
      </rPr>
      <t>+</t>
    </r>
    <r>
      <rPr>
        <sz val="9"/>
        <color theme="1"/>
        <rFont val="Arial"/>
        <family val="2"/>
      </rPr>
      <t xml:space="preserve">  Purchase fees</t>
    </r>
  </si>
  <si>
    <t>ANZ Interest in Advance Loan - Yearly (NOT IN USE)</t>
  </si>
  <si>
    <t>3.50</t>
  </si>
  <si>
    <t>Depending on how you have structured your Bridging Loan you’ll likely need to manage multiple repayments during the bridging period. Repayments covering both your current home and new home commence from the Bridging Loan draw-down date and continue until the settlement of the current home sale. Once you’ve sold your current property and paid off your Bridging Loan, you’ll continue to make repayments on your ongoing lending.</t>
  </si>
  <si>
    <t xml:space="preserve">=  New Home
    Loan Needed                                                                                                                                                                                                                                </t>
  </si>
  <si>
    <t xml:space="preserve">                 Security Swap Calculator</t>
  </si>
  <si>
    <t>Loan Details</t>
  </si>
  <si>
    <t>Outstanding loan amount</t>
  </si>
  <si>
    <t>Current Home Details</t>
  </si>
  <si>
    <t>New Home Details</t>
  </si>
  <si>
    <t>Sale price</t>
  </si>
  <si>
    <t xml:space="preserve">+ </t>
  </si>
  <si>
    <t>Purchase price</t>
  </si>
  <si>
    <t>Sale fees</t>
  </si>
  <si>
    <t>Purchase fees</t>
  </si>
  <si>
    <t>Funds from sale</t>
  </si>
  <si>
    <t>Funds required for purchase</t>
  </si>
  <si>
    <t>Current LVR</t>
  </si>
  <si>
    <t>New LVR</t>
  </si>
  <si>
    <t>Surplus/shortfall funds</t>
  </si>
  <si>
    <t>An ANZ Security Swap enables you to move your home loan from one property to another of similar value without the need for a new home loan application.
The loan amount must stay the same or be reduced as part of the swap.</t>
  </si>
  <si>
    <t>OUTSTANDING LOAN AMOUNT</t>
  </si>
  <si>
    <t>–  Sale fees**</t>
  </si>
  <si>
    <t>+  Purchase fees**</t>
  </si>
  <si>
    <t>–  Loan amount</t>
  </si>
  <si>
    <t>–  Funds from sale</t>
  </si>
  <si>
    <t xml:space="preserve">=  Funds
    from sale                                                                                                                                                                                                                                           </t>
  </si>
  <si>
    <t xml:space="preserve">=  Funds required
    for purchase                                                                                                                                                                                                                                </t>
  </si>
  <si>
    <t>Current Loan to Value (LVR) Ratio</t>
  </si>
  <si>
    <t xml:space="preserve">New Loan to
Value (LVR) Ratio                                                                                                                                                                                                                             </t>
  </si>
  <si>
    <t>SUMMARY</t>
  </si>
  <si>
    <t xml:space="preserve">    Outstanding 
    loan amount</t>
  </si>
  <si>
    <t xml:space="preserve">– </t>
  </si>
  <si>
    <t>Surplus funds
available</t>
  </si>
  <si>
    <t xml:space="preserve">= </t>
  </si>
  <si>
    <t>or</t>
  </si>
  <si>
    <t>Additional funds
to contribute *</t>
  </si>
  <si>
    <t>Your LVR and surplus funds position are considered as part of determining whether you are eligible for a Security Swap.</t>
  </si>
  <si>
    <r>
      <t xml:space="preserve">You are responsible for the deposit on your new home, make sure to discuss this with your lender.
*If additional funds are required for the Security Swap, you may need to contribute cash. Talk to your lender to discuss options.
**This estimated amount is for sale fees such as agent commission. For your new home, purchase fees cover costs such as stamp duty, solicitor fees etc.
</t>
    </r>
    <r>
      <rPr>
        <b/>
        <sz val="6.5"/>
        <color theme="1"/>
        <rFont val="Arial"/>
        <family val="2"/>
      </rPr>
      <t>Important Information</t>
    </r>
    <r>
      <rPr>
        <sz val="6.5"/>
        <color theme="1"/>
        <rFont val="Arial"/>
        <family val="2"/>
      </rPr>
      <t>: This summary is a guide only and intended as a tool to help you with your security swap plans. It is provided for illustrative and educational purposes only. Any figures listed are preliminary indicative estimates and calculations only based on the accuracy of the information you have provided to us at the date of this document, which has not been verified by ANZ. It is not an offer for finance, a credit contract or application for an ANZ product. Applications for credit are subject to ANZ’s credit approval criteria. Terms and conditions, and fees and charges apply. This summary is not personal advice and ANZ takes no responsibility for any error or omission. ANZ will not be keeping a copy of this document.
Australia and New Zealand Banking Group Limited (ANZ) ABN 11 005 357 522. Australian Credit Licence Number 234527.</t>
    </r>
  </si>
  <si>
    <t>X251</t>
  </si>
  <si>
    <t>X252</t>
  </si>
  <si>
    <t>X253</t>
  </si>
  <si>
    <t>"RMDS"</t>
  </si>
  <si>
    <t>"RCOT"</t>
  </si>
  <si>
    <t>WARN_MAX_LVR_EXC_LMI</t>
  </si>
  <si>
    <t>WARN_MAX_LVR_INC_LMI</t>
  </si>
  <si>
    <t>SS_CC_Prch_Costs</t>
  </si>
  <si>
    <t>Fee Calculator</t>
  </si>
  <si>
    <t>M</t>
  </si>
  <si>
    <t>X255</t>
  </si>
  <si>
    <t>X254</t>
  </si>
  <si>
    <t>ANZ Prime Cash Management Account (No Longer Available)</t>
  </si>
  <si>
    <t>3.93</t>
  </si>
  <si>
    <t>3.94</t>
  </si>
  <si>
    <t>3.96</t>
  </si>
  <si>
    <t>4.00</t>
  </si>
  <si>
    <t>1.21</t>
  </si>
  <si>
    <t>1.36</t>
  </si>
  <si>
    <t>X258</t>
  </si>
  <si>
    <t>PROPERTY TAX AVAILABLE</t>
  </si>
  <si>
    <t>X263</t>
  </si>
  <si>
    <t>DTI_Warning</t>
  </si>
  <si>
    <t>DTI_Non_Investor_Max</t>
  </si>
  <si>
    <t>X256</t>
  </si>
  <si>
    <t>DTI_Investor_Max</t>
  </si>
  <si>
    <t>X257</t>
  </si>
  <si>
    <t>Finance LMI?</t>
  </si>
  <si>
    <t>DTI Inc LMI</t>
  </si>
  <si>
    <t>DTI Exc LMI</t>
  </si>
  <si>
    <t>Investor Items</t>
  </si>
  <si>
    <t>DTI Inc  LMI</t>
  </si>
  <si>
    <t>RENTAL</t>
  </si>
  <si>
    <t>PROPERTY TAX RATES</t>
  </si>
  <si>
    <t>RENTALS</t>
  </si>
  <si>
    <t>APPINVLOANS</t>
  </si>
  <si>
    <t>AppInvestmentLoansNRentals</t>
  </si>
  <si>
    <t>Foreign purchaser surcharge</t>
  </si>
  <si>
    <t>9.20</t>
  </si>
  <si>
    <t>9.15</t>
  </si>
  <si>
    <t>9.10</t>
  </si>
  <si>
    <t>&lt;em&gt;ANZ@Work program bonus rate is not available to new customers.&lt;/em&gt;&lt;br&gt;&lt;br&gt;Bonus rate is subject to eligibility criteria. You will be eligible to receive the bonus rate for a particular month if the set minimum deposit (currently AUD$10) and no withdrawals, fees or charges are processed to your account on or before the last business day of that calendar month, and after the last business day of the previous calendar month. Certain eligible accounts may receive higher bonus rates than those displayed.&lt;br&gt;&lt;br&gt;&lt;b&gt;Important Information&lt;/b&gt;&lt;br&gt;Any advice does not take into account your personal needs and financial circumstances. Consider whether appropriate for you.  ANZ recommends you read the Terms and Conditions and the &lt;a target="_blank" href=https://www.anz.com.au/content/dam/anzcomau/documents/pdf/financial_services_guide.pdf&gt;Financial Services Guide (PDF 512kB)&lt;/a&gt; available at anz.com or by calling 13 13 14, before deciding whether to acquire, or continue to hold, the product.</t>
  </si>
  <si>
    <t>SPSIP100</t>
  </si>
  <si>
    <t>SPSCP100</t>
  </si>
  <si>
    <t>SPSIIO100</t>
  </si>
  <si>
    <t>SPSCIO100</t>
  </si>
  <si>
    <t>SOVR100</t>
  </si>
  <si>
    <t>SOVRC100</t>
  </si>
  <si>
    <t>SOVRIO100</t>
  </si>
  <si>
    <t>SOVRCIO100</t>
  </si>
  <si>
    <t>Index Rate</t>
  </si>
  <si>
    <t>LVR 0 &amp;#8804; 60%</t>
  </si>
  <si>
    <t>LVR 60.01 &amp;#8804; 70%</t>
  </si>
  <si>
    <t>LVR 70.01 &amp;#8804; 80%</t>
  </si>
  <si>
    <t>LVR 80.01 &amp;#8804; 90%</t>
  </si>
  <si>
    <t>LVR &gt;90%</t>
  </si>
  <si>
    <t>*OTH_PROPERTY_TYPE_START</t>
  </si>
  <si>
    <t>Business Loan Promo Variable Rate</t>
  </si>
  <si>
    <t>Home Loans</t>
  </si>
  <si>
    <t>Business Loans</t>
  </si>
  <si>
    <t>Standard Variable 80% or less LVR</t>
  </si>
  <si>
    <t>Residential investment</t>
  </si>
  <si>
    <t>INITIAL RATE SUB SECTION</t>
  </si>
  <si>
    <t>SUBSEQUENT RATE SUB SECTION</t>
  </si>
  <si>
    <t>INITIAL RATE DATA SECTION</t>
  </si>
  <si>
    <t>SUBSEQUENT RATE DATA SECTION</t>
  </si>
  <si>
    <t>4 years Fixed 80% or less LVR</t>
  </si>
  <si>
    <t>5 years Fixed 80% or less LVR</t>
  </si>
  <si>
    <t>4 years Fixed</t>
  </si>
  <si>
    <t>5 years Fixed</t>
  </si>
  <si>
    <t>7 years Fixed 80% or less LVR</t>
  </si>
  <si>
    <t>10 years Fixed 80% or less LVR</t>
  </si>
  <si>
    <t>7 years Fixed</t>
  </si>
  <si>
    <t>10 years Fixed</t>
  </si>
  <si>
    <t>X259</t>
  </si>
  <si>
    <t>X260</t>
  </si>
  <si>
    <t>X261</t>
  </si>
  <si>
    <t>X262</t>
  </si>
  <si>
    <t>X264</t>
  </si>
  <si>
    <t>X265</t>
  </si>
  <si>
    <t>COMPARISON RATE</t>
  </si>
  <si>
    <t>FIXED TERM</t>
  </si>
  <si>
    <t>X266</t>
  </si>
  <si>
    <t>1 year Interest only</t>
  </si>
  <si>
    <t>2 years Interest only</t>
  </si>
  <si>
    <t>3 years Interest only</t>
  </si>
  <si>
    <t>4 years Interest only</t>
  </si>
  <si>
    <t>5 years Interest only</t>
  </si>
  <si>
    <t>7 years Interest only</t>
  </si>
  <si>
    <t>10 years Interest only</t>
  </si>
  <si>
    <t>FIXED_IO_TERM</t>
  </si>
  <si>
    <t>PAYMENT TYPE</t>
  </si>
  <si>
    <t>IM LOOKING FOR</t>
  </si>
  <si>
    <t>ANZ.COM REPAYMENT CALC PRODUCT LISTS</t>
  </si>
  <si>
    <t>ANZ.COM REPAYMENT CALC LISTS</t>
  </si>
  <si>
    <t>OO PAYMENT TYPE</t>
  </si>
  <si>
    <t>INV PAYMENT TYPE</t>
  </si>
  <si>
    <t>CALCULATOR</t>
  </si>
  <si>
    <t>PRODUCT_NAME</t>
  </si>
  <si>
    <t>NEW_LENDING</t>
  </si>
  <si>
    <t>Custom Fixed Rate</t>
  </si>
  <si>
    <t>Custom Variable Rate</t>
  </si>
  <si>
    <t>FIXED_TERM</t>
  </si>
  <si>
    <t>6 years Interest only</t>
  </si>
  <si>
    <t>8 years Interest only</t>
  </si>
  <si>
    <t>9 years Interest only</t>
  </si>
  <si>
    <t>Business Bank Secured Rate</t>
  </si>
  <si>
    <t>Business Bank UnSecured Rate</t>
  </si>
  <si>
    <t>X268</t>
  </si>
  <si>
    <t>X267</t>
  </si>
  <si>
    <t>Business Loan</t>
  </si>
  <si>
    <t>4.35</t>
  </si>
  <si>
    <t>EXISTING INV LOANS</t>
  </si>
  <si>
    <t>TOTAL INV LOANS</t>
  </si>
  <si>
    <t>Rate Sheet</t>
  </si>
  <si>
    <t>Estimated sale price for property</t>
  </si>
  <si>
    <t>Test File Locations</t>
  </si>
  <si>
    <t>\\svrau530csm00\Home Owners Tribe\5.  Portfolio\PRODUCT DESIGN\0. Portfolio Management\ANZ.com calculators\05. Test Automation Files</t>
  </si>
  <si>
    <t>Personal Loans</t>
  </si>
  <si>
    <t>1.45</t>
  </si>
  <si>
    <t>7.39</t>
  </si>
  <si>
    <t>4.10</t>
  </si>
  <si>
    <t>RATE CHANGE CALC LISTS</t>
  </si>
  <si>
    <t>PLEASE SELECT</t>
  </si>
  <si>
    <t>I know my new rate</t>
  </si>
  <si>
    <t>I know the amount my rate will increase/decrease by</t>
  </si>
  <si>
    <t>MY NEW INTEREST RATE IS</t>
  </si>
  <si>
    <t>Increasing</t>
  </si>
  <si>
    <t>Decreasing</t>
  </si>
  <si>
    <t>COMPARISION</t>
  </si>
  <si>
    <t>An outstanding</t>
  </si>
  <si>
    <t>A great</t>
  </si>
  <si>
    <t>A good</t>
  </si>
  <si>
    <t>An average</t>
  </si>
  <si>
    <t>A poor</t>
  </si>
  <si>
    <t>RATE CHANGE CALC</t>
  </si>
  <si>
    <t>X269</t>
  </si>
  <si>
    <t>X270</t>
  </si>
  <si>
    <t>X271</t>
  </si>
  <si>
    <t>X272</t>
  </si>
  <si>
    <t>X273</t>
  </si>
  <si>
    <t>X274</t>
  </si>
  <si>
    <t>X275</t>
  </si>
  <si>
    <t>Please Select</t>
  </si>
  <si>
    <t>Default Index</t>
  </si>
  <si>
    <t>Default Margin</t>
  </si>
  <si>
    <t>Increment Change</t>
  </si>
  <si>
    <t>Default Amount</t>
  </si>
  <si>
    <t>Min Amount</t>
  </si>
  <si>
    <t>Max Amount</t>
  </si>
  <si>
    <t>Default Term</t>
  </si>
  <si>
    <t>X276</t>
  </si>
  <si>
    <t>X277</t>
  </si>
  <si>
    <t xml:space="preserve">HOO80PIR </t>
  </si>
  <si>
    <t>Max Rate</t>
  </si>
  <si>
    <t>Min Rate</t>
  </si>
  <si>
    <t>X278</t>
  </si>
  <si>
    <t>X279</t>
  </si>
  <si>
    <t>Friday, 31 March 2023</t>
  </si>
  <si>
    <t>31/03/2023 3:33:22 PM</t>
  </si>
  <si>
    <t>9.23</t>
  </si>
  <si>
    <t>RATE CHANGE</t>
  </si>
  <si>
    <t>PRL.ILA.IIA1INDEX</t>
  </si>
  <si>
    <t>PRL.ILA.IIA2INDEX</t>
  </si>
  <si>
    <t>PRL.ILA.IIA3INDEX</t>
  </si>
  <si>
    <t>PRL.ILA.IIA4INDEX</t>
  </si>
  <si>
    <t>PRL.ILA.IIA5INDEX</t>
  </si>
  <si>
    <t>PRL.ILA.IIA7INDEX</t>
  </si>
  <si>
    <t>PRL.ILA.IIA10INDEX</t>
  </si>
  <si>
    <t>EMCR</t>
  </si>
  <si>
    <t>EMDR</t>
  </si>
  <si>
    <t>ANZ Equity Manager (Credit Interest)</t>
  </si>
  <si>
    <t>Daily balance</t>
  </si>
  <si>
    <t>Credit interest rate</t>
  </si>
  <si>
    <t>Debit interest rate</t>
  </si>
  <si>
    <t>EMACR1</t>
  </si>
  <si>
    <t>EMACR2</t>
  </si>
  <si>
    <t>EMACR3</t>
  </si>
  <si>
    <t>EMADR1</t>
  </si>
  <si>
    <t>7.94</t>
  </si>
  <si>
    <t>7.79</t>
  </si>
  <si>
    <t>7.28</t>
  </si>
  <si>
    <t>7.99</t>
  </si>
  <si>
    <t>7.59</t>
  </si>
  <si>
    <t>$100,000+</t>
  </si>
  <si>
    <t>Ownership</t>
  </si>
  <si>
    <t>LIABILITY OVERVIEW</t>
  </si>
  <si>
    <t>Party / Security</t>
  </si>
  <si>
    <t>Party Lookup</t>
  </si>
  <si>
    <t>Multiple/Other Securities</t>
  </si>
  <si>
    <t>NOT IN USE</t>
  </si>
  <si>
    <t>Parties</t>
  </si>
  <si>
    <t>Income (AUD)</t>
  </si>
  <si>
    <t xml:space="preserve">SELECT ASSETS SECURING THIS LIABILITY </t>
  </si>
  <si>
    <t>(EXCLUDE WHOLLY OWNED GUARANTOR ASSETS)</t>
  </si>
  <si>
    <t>Security Source</t>
  </si>
  <si>
    <t>Security ID</t>
  </si>
  <si>
    <t>LINKED SECURITIES</t>
  </si>
  <si>
    <t>Used Security ID</t>
  </si>
  <si>
    <t>Loan Cell ID</t>
  </si>
  <si>
    <t>Lookup</t>
  </si>
  <si>
    <t>Linked IDs</t>
  </si>
  <si>
    <t>Security Summary</t>
  </si>
  <si>
    <t>Number OO</t>
  </si>
  <si>
    <t>Number Securities</t>
  </si>
  <si>
    <t>Number INV</t>
  </si>
  <si>
    <t>Priority</t>
  </si>
  <si>
    <t>SECURITY LOOKUP</t>
  </si>
  <si>
    <t>SECURITY ARRAY</t>
  </si>
  <si>
    <t>Total Number of Securities</t>
  </si>
  <si>
    <t>Update Row</t>
  </si>
  <si>
    <t>Number Deductible</t>
  </si>
  <si>
    <t>3.20</t>
  </si>
  <si>
    <t>3.90</t>
  </si>
  <si>
    <t>4.25</t>
  </si>
  <si>
    <t>Linked Securities</t>
  </si>
  <si>
    <t>Security Name Lookup</t>
  </si>
  <si>
    <t>Number of Links</t>
  </si>
  <si>
    <t>Refresh Securities</t>
  </si>
  <si>
    <t>Property Ownership</t>
  </si>
  <si>
    <t>Duplicate Row</t>
  </si>
  <si>
    <t>Lauren</t>
  </si>
  <si>
    <t>Kew</t>
  </si>
  <si>
    <t>Order</t>
  </si>
  <si>
    <t>A461:M461</t>
  </si>
  <si>
    <t>Item</t>
  </si>
  <si>
    <t>Q461:AC461</t>
  </si>
  <si>
    <t>AG461:AS461</t>
  </si>
  <si>
    <t>AW461:BI461</t>
  </si>
  <si>
    <t>D461:J461</t>
  </si>
  <si>
    <t>T461:Z461</t>
  </si>
  <si>
    <t>AJ461:AP461</t>
  </si>
  <si>
    <t>AZ461:BF461</t>
  </si>
  <si>
    <t>ACTIVE ROWS</t>
  </si>
  <si>
    <t>SP_UNDER80</t>
  </si>
  <si>
    <t>SPI_UNDER80</t>
  </si>
  <si>
    <t>PRL.ISP.SOVR80</t>
  </si>
  <si>
    <t>PHL.SP.SPSI69</t>
  </si>
  <si>
    <t>Redraw</t>
  </si>
  <si>
    <t>P&amp;I Term Y|M</t>
  </si>
  <si>
    <t>Term Y|M</t>
  </si>
  <si>
    <t>Monday, 19 June 2023</t>
  </si>
  <si>
    <t>19/06/2023 5:50:32 PM</t>
  </si>
  <si>
    <t>Test Sub-Section</t>
  </si>
  <si>
    <t>8.18</t>
  </si>
  <si>
    <t>7.98</t>
  </si>
  <si>
    <t>8.04</t>
  </si>
  <si>
    <t>9.24</t>
  </si>
  <si>
    <t>8.24</t>
  </si>
  <si>
    <t>8.64</t>
  </si>
  <si>
    <t>7.71</t>
  </si>
  <si>
    <t>7.84</t>
  </si>
  <si>
    <t>8.13</t>
  </si>
  <si>
    <t>SA_GROUP_2</t>
  </si>
  <si>
    <t>INV PROPERTY EXPENSE</t>
  </si>
  <si>
    <t>3.15</t>
  </si>
  <si>
    <t>3.14</t>
  </si>
  <si>
    <t>3.18</t>
  </si>
  <si>
    <t>3.19</t>
  </si>
  <si>
    <t>3.55</t>
  </si>
  <si>
    <t>3.51</t>
  </si>
  <si>
    <t>3.52</t>
  </si>
  <si>
    <t>3.53</t>
  </si>
  <si>
    <t>7.09</t>
  </si>
  <si>
    <t>6.90</t>
  </si>
  <si>
    <t>7.13</t>
  </si>
  <si>
    <t>7.50</t>
  </si>
  <si>
    <t>"RSTD","RSTA","RLUO", "RCOT", "RRUL", "RRU2"</t>
  </si>
  <si>
    <t>"RCOT", "RRUL", "RRU2"</t>
  </si>
  <si>
    <t>"RRUL", "RRU2"</t>
  </si>
  <si>
    <t>QBR</t>
  </si>
  <si>
    <t>ANZ Qantas Business Rewards</t>
  </si>
  <si>
    <t>QBRP</t>
  </si>
  <si>
    <t>QBRC</t>
  </si>
  <si>
    <t>20.58</t>
  </si>
  <si>
    <t>13.74</t>
  </si>
  <si>
    <t>21.99</t>
  </si>
  <si>
    <t>Simplicity PLUS special offer discount 60% or less LVR*</t>
  </si>
  <si>
    <t>Max LVR Limit Inc LMI</t>
  </si>
  <si>
    <t>8.19</t>
  </si>
  <si>
    <t>7.53</t>
  </si>
  <si>
    <t>Unlinked LMI Lending</t>
  </si>
  <si>
    <t>3.60</t>
  </si>
  <si>
    <t>3.58</t>
  </si>
  <si>
    <t>Thursday, 5 October 2023</t>
  </si>
  <si>
    <t>5/10/2023 1:44:21 PM</t>
  </si>
  <si>
    <t>LOAN_LIMITS</t>
  </si>
  <si>
    <t>X280</t>
  </si>
  <si>
    <t>X281</t>
  </si>
  <si>
    <t>LMI_MASTER_TCL_LIMIT</t>
  </si>
  <si>
    <t>LMI_ONAPP_TCL_LIMIT</t>
  </si>
  <si>
    <t>"Refinance Non-ANZ investment loan", "Refinance Non-ANZ Loan"</t>
  </si>
  <si>
    <t>X282</t>
  </si>
  <si>
    <t>*LMI_APP_LOAN_THRESHOLDS</t>
  </si>
  <si>
    <t>X283</t>
  </si>
  <si>
    <t>X284</t>
  </si>
  <si>
    <t>X285</t>
  </si>
  <si>
    <t>X286</t>
  </si>
  <si>
    <t>X287</t>
  </si>
  <si>
    <t>X288</t>
  </si>
  <si>
    <t>"RSTD", "RSTA", "RRUL", "RRU2", "RCOT"</t>
  </si>
  <si>
    <t>"RSTD", "RSTA", "RCOT"</t>
  </si>
  <si>
    <t>Rural Resi Housing 10-50 hectares</t>
  </si>
  <si>
    <t>Rural Resi Land - Not Serviced</t>
  </si>
  <si>
    <t>Rural Resi Serviced Land 2-10 hectares</t>
  </si>
  <si>
    <t>0702091100</t>
  </si>
  <si>
    <t>CHG0702091 - Test Section 1</t>
  </si>
  <si>
    <t>0702091110</t>
  </si>
  <si>
    <t>0672342120</t>
  </si>
  <si>
    <t>0714635140</t>
  </si>
  <si>
    <t>ANZ Business Extra 50 (NOT IN USE)</t>
  </si>
  <si>
    <t>CHG0702091 - Test Sub Section 1</t>
  </si>
  <si>
    <t>CHG0672342 - Test Sub Section 2</t>
  </si>
  <si>
    <t>CHG0714635 Rolled Back - Test Sub Section 4</t>
  </si>
  <si>
    <t>Test Section 4</t>
  </si>
  <si>
    <t>0702091111</t>
  </si>
  <si>
    <t>0672342121</t>
  </si>
  <si>
    <t>0714635141</t>
  </si>
  <si>
    <t>0714635142</t>
  </si>
  <si>
    <t>CHG0702091 - Test Rate 1</t>
  </si>
  <si>
    <t>CHG0672342 - Test Rate 1</t>
  </si>
  <si>
    <t>Standard rate</t>
  </si>
  <si>
    <t>9.19</t>
  </si>
  <si>
    <t>8.90</t>
  </si>
  <si>
    <t>7.05</t>
  </si>
  <si>
    <t>7.08</t>
  </si>
  <si>
    <t>9.49</t>
  </si>
  <si>
    <t>9.36</t>
  </si>
  <si>
    <t>8.89</t>
  </si>
  <si>
    <t>7.00</t>
  </si>
  <si>
    <t>7.55</t>
  </si>
  <si>
    <t>8.00</t>
  </si>
  <si>
    <t>3.40</t>
  </si>
  <si>
    <t>3.37</t>
  </si>
  <si>
    <t>3.38</t>
  </si>
  <si>
    <t>5.67</t>
  </si>
  <si>
    <t>0.14</t>
  </si>
  <si>
    <t>0.22</t>
  </si>
  <si>
    <t>7 to less than 9 months</t>
  </si>
  <si>
    <t>8 to less than 9 months (NOT IN USE)</t>
  </si>
  <si>
    <t>9 to less than 12 months</t>
  </si>
  <si>
    <t>10 to less than 11 months (NOT IN USE)</t>
  </si>
  <si>
    <t>11 to less than 12 months (NOT IN USE)</t>
  </si>
  <si>
    <t>CHG0714635 Rolled Back - Test Rate 1</t>
  </si>
  <si>
    <t>CHG0714635 Rolled Back - Test Rate 2</t>
  </si>
  <si>
    <t>CCPL</t>
  </si>
  <si>
    <t>CCPL SPOUSAL BUFFER SWITCH</t>
  </si>
  <si>
    <t>Personal Insurance</t>
  </si>
  <si>
    <t>Gifts &amp; Donations</t>
  </si>
  <si>
    <t>Investment Property Expenses</t>
  </si>
  <si>
    <t>HECS/HELP payments</t>
  </si>
  <si>
    <t>Voluntary Superannuation contributions</t>
  </si>
  <si>
    <t>TV &amp; Communications</t>
  </si>
  <si>
    <t>Public Transport &amp; Vehicle Running Costs</t>
  </si>
  <si>
    <t>Vehicle Insurance</t>
  </si>
  <si>
    <t>Utilities</t>
  </si>
  <si>
    <t>Garden &amp; Housekeeping services</t>
  </si>
  <si>
    <t>Lifestyle</t>
  </si>
  <si>
    <t>Personal</t>
  </si>
  <si>
    <t>Childcare &amp; Public Education</t>
  </si>
  <si>
    <t>Health</t>
  </si>
  <si>
    <t>Professional Costs and Services</t>
  </si>
  <si>
    <t>Household</t>
  </si>
  <si>
    <t>Childcare &amp; Public Edu.</t>
  </si>
  <si>
    <t>Professional Services</t>
  </si>
  <si>
    <t>Other Loan</t>
  </si>
  <si>
    <t>Fixed PL</t>
  </si>
  <si>
    <t>Var PL</t>
  </si>
  <si>
    <t>CCPL_Household</t>
  </si>
  <si>
    <t>CCPL_TV</t>
  </si>
  <si>
    <t>CCPL_Groceries</t>
  </si>
  <si>
    <t>CCPL_Personal</t>
  </si>
  <si>
    <t>CCPL_Lifestyle</t>
  </si>
  <si>
    <t>CCPL_Transport</t>
  </si>
  <si>
    <t>CCPL_Childcare</t>
  </si>
  <si>
    <t>CCPL_Health</t>
  </si>
  <si>
    <t>CCPL_ProfService</t>
  </si>
  <si>
    <t>CCPL_Private</t>
  </si>
  <si>
    <t>CCPL_Maintenance</t>
  </si>
  <si>
    <t>CCPL_OtherExp</t>
  </si>
  <si>
    <t>Spousal / Child Maintenance</t>
  </si>
  <si>
    <t>CCPL_PersonalIns</t>
  </si>
  <si>
    <t>Pet Grooming, Vet fees &amp; medicines</t>
  </si>
  <si>
    <t>Movies &amp; music &amp; Event tickets</t>
  </si>
  <si>
    <t>CCPL SoP</t>
  </si>
  <si>
    <t>*INCOME_SUBTYPE_START</t>
  </si>
  <si>
    <t>*INCOME_SUBTYPE_END</t>
  </si>
  <si>
    <t>CCPL TAX FACTOR</t>
  </si>
  <si>
    <t>X290</t>
  </si>
  <si>
    <t>CCPL_SHORTSTAY_MULTIPLIER</t>
  </si>
  <si>
    <t>CCPL_TAXABLE</t>
  </si>
  <si>
    <t>CCPL_ALLOWED</t>
  </si>
  <si>
    <t>CCPL COUNT ROW</t>
  </si>
  <si>
    <t>APPLICATION INPUTS</t>
  </si>
  <si>
    <t>RENTAL_SENSITIVITY_MULTIPLIER_CCARDS</t>
  </si>
  <si>
    <t>CC_APP_FIELD</t>
  </si>
  <si>
    <t>PL_APP_FIELD</t>
  </si>
  <si>
    <t>Gov</t>
  </si>
  <si>
    <t>Gross</t>
  </si>
  <si>
    <t>CCPL _ INC IN TAX</t>
  </si>
  <si>
    <t>PAYG</t>
  </si>
  <si>
    <t>CCPL_SENSITISED EXPENSE</t>
  </si>
  <si>
    <t>CCPL_ASSET DERIVED</t>
  </si>
  <si>
    <t>MAX_PL</t>
  </si>
  <si>
    <t>MAX_CC</t>
  </si>
  <si>
    <t>X291</t>
  </si>
  <si>
    <t>X292</t>
  </si>
  <si>
    <t>SALARY CREDITS</t>
  </si>
  <si>
    <t>NUMBER</t>
  </si>
  <si>
    <t>Salary Credits</t>
  </si>
  <si>
    <t>TAX STATUS</t>
  </si>
  <si>
    <t>is Fixed?</t>
  </si>
  <si>
    <t>eval(prod.getIsFixedInterest()==$param)</t>
  </si>
  <si>
    <t>MinTML - Minimum Total Mortgage Lending Amount</t>
  </si>
  <si>
    <t>eval(isWithinMinAmt(ceu.getTotalMortgageLimitsAmount(),"$param", ceu, CampaignEligibilityUtil.TML, true))</t>
  </si>
  <si>
    <t>LO_DOC</t>
  </si>
  <si>
    <t>loDoc</t>
  </si>
  <si>
    <t>contractAmountThresholdMax</t>
  </si>
  <si>
    <t>LOAN LIMITATION</t>
  </si>
  <si>
    <t>SEC LIMITATION</t>
  </si>
  <si>
    <t>MIN LOAN AMOUNT</t>
  </si>
  <si>
    <t>X289</t>
  </si>
  <si>
    <t>LUXURY</t>
  </si>
  <si>
    <t>X072</t>
  </si>
  <si>
    <t>Base Income Calc</t>
  </si>
  <si>
    <t>Base Income</t>
  </si>
  <si>
    <t>X293</t>
  </si>
  <si>
    <t>X294</t>
  </si>
  <si>
    <t>CREDIT_RATING_WORDS</t>
  </si>
  <si>
    <t>X295</t>
  </si>
  <si>
    <t>X296</t>
  </si>
  <si>
    <t>RATE CODE</t>
  </si>
  <si>
    <t>X297</t>
  </si>
  <si>
    <t>X298</t>
  </si>
  <si>
    <t>Poor</t>
  </si>
  <si>
    <t>Fair</t>
  </si>
  <si>
    <t>Average</t>
  </si>
  <si>
    <t>Good</t>
  </si>
  <si>
    <t>Great</t>
  </si>
  <si>
    <t>Outstanding</t>
  </si>
  <si>
    <t>CREDIT_RATING_VALUE_LOW</t>
  </si>
  <si>
    <t>CREDIT_RATING_VALUE_HIGH</t>
  </si>
  <si>
    <t>Prefix</t>
  </si>
  <si>
    <t>An</t>
  </si>
  <si>
    <t>A</t>
  </si>
  <si>
    <t>*CREDIT_SCORE_START</t>
  </si>
  <si>
    <t>*CREDIT_SCORE_END</t>
  </si>
  <si>
    <t>COMPARISSON RATE</t>
  </si>
  <si>
    <t>X299</t>
  </si>
  <si>
    <t>Emergency Services Policy</t>
  </si>
  <si>
    <t>X300</t>
  </si>
  <si>
    <t>5.47</t>
  </si>
  <si>
    <t>Thursday, 22 February 2024</t>
  </si>
  <si>
    <t>22/02/2024 7:19:34 AM</t>
  </si>
  <si>
    <t>0746686150</t>
  </si>
  <si>
    <t>0758839160</t>
  </si>
  <si>
    <t>CHG0746686 Rolled Back - Test SubSection 5</t>
  </si>
  <si>
    <t>CHG0758839 - Test Sub-Section 6</t>
  </si>
  <si>
    <t>SuBSection 5</t>
  </si>
  <si>
    <t>Test Sub-Section 6</t>
  </si>
  <si>
    <t>0746686151</t>
  </si>
  <si>
    <t>074668615</t>
  </si>
  <si>
    <t>0758839161</t>
  </si>
  <si>
    <t>0758839162</t>
  </si>
  <si>
    <t>ANZ V2 PLUS retail (No longer for sale)</t>
  </si>
  <si>
    <t>Premium rate</t>
  </si>
  <si>
    <t>17.54</t>
  </si>
  <si>
    <t>3.83</t>
  </si>
  <si>
    <t>3.84</t>
  </si>
  <si>
    <t>3.86</t>
  </si>
  <si>
    <t>4.31</t>
  </si>
  <si>
    <t>4.33</t>
  </si>
  <si>
    <t>1 month</t>
  </si>
  <si>
    <t>2 months</t>
  </si>
  <si>
    <t>PL_VAR_SENSITIVITY_RATE</t>
  </si>
  <si>
    <t>PL_FIX_SENSITIVITY_RATE</t>
  </si>
  <si>
    <t>X301</t>
  </si>
  <si>
    <t>X302</t>
  </si>
  <si>
    <t>PL_VAR_ONLINE_SENSITIVITY_RATE</t>
  </si>
  <si>
    <t>PL_FIX_ONLINE_SENSITIVITY_RATE</t>
  </si>
  <si>
    <t>X303</t>
  </si>
  <si>
    <t>X304</t>
  </si>
  <si>
    <t>PL BPC</t>
  </si>
  <si>
    <t>PL RATES</t>
  </si>
  <si>
    <t>&lt;b&gt;* From 16 June 2024, interest will no longer be earnt on balances over $50,000 in an ANZ Access Advantage account.*&lt;/b&gt;&lt;br/&gt;&lt;br/&gt;&lt;br/&gt;Any advice does not take into account your personal needs and financial circumstances and you should consider whether it is appropriate for you.  ANZ recommends you read the &lt;a target="_blank" href="https://www.anz.com.au/content/dam/anzcomau/documents/pdf/savings-transaction-products-tcs.pdf"&gt;Terms and Conditions (PDF 444kB)&lt;/a&gt; and the &lt;a target="_blank" href="https://www.anz.com.au/content/dam/anzcomau/documents/pdf/financial_services_guide.pdf"&gt;Financial Services Guide (PDF 512kB)&lt;/a&gt; which are available at anz.com or by calling &lt;b&gt;13 13 14&lt;/b&gt;, before deciding whether to acquire, or continue to hold, the product.</t>
  </si>
  <si>
    <t>CCPL_BASE_INCOME_VOLATILITY</t>
  </si>
  <si>
    <t>X305</t>
  </si>
  <si>
    <t>CCPL_SAL_CREDITS_VOLATILITY</t>
  </si>
  <si>
    <t>X306</t>
  </si>
  <si>
    <t>HECS/HELP</t>
  </si>
  <si>
    <t>Net Employment</t>
  </si>
  <si>
    <t>*taxScheduleStart</t>
  </si>
  <si>
    <t>*debtLevyScheduleStart</t>
  </si>
  <si>
    <t>*medicareLevyScheduleStart</t>
  </si>
  <si>
    <t>*medicareLevySurchargeScheduleSingleStart</t>
  </si>
  <si>
    <t>*medicareLevySurchargeScheduleFamilyStart</t>
  </si>
  <si>
    <t>Start</t>
  </si>
  <si>
    <t>End</t>
  </si>
  <si>
    <t>Rows</t>
  </si>
  <si>
    <t>*taxSchedule</t>
  </si>
  <si>
    <t>*debtLevySchedule</t>
  </si>
  <si>
    <t>*medicareLevySchedule</t>
  </si>
  <si>
    <t>*medicareLevySurchargeScheduleSingle</t>
  </si>
  <si>
    <t>*medicareLevySurchargeScheduleFamily</t>
  </si>
  <si>
    <t>TAX VALUES</t>
  </si>
  <si>
    <t>Value</t>
  </si>
  <si>
    <t>[Record]</t>
  </si>
  <si>
    <t>[List]</t>
  </si>
  <si>
    <t>3000000</t>
  </si>
  <si>
    <t>750000</t>
  </si>
  <si>
    <t>535</t>
  </si>
  <si>
    <t>7.5</t>
  </si>
  <si>
    <t>8</t>
  </si>
  <si>
    <t>0.07</t>
  </si>
  <si>
    <t>0</t>
  </si>
  <si>
    <t>15</t>
  </si>
  <si>
    <t>0.25</t>
  </si>
  <si>
    <t>400000</t>
  </si>
  <si>
    <t>1000</t>
  </si>
  <si>
    <t>9900000</t>
  </si>
  <si>
    <t>25</t>
  </si>
  <si>
    <t>0.8</t>
  </si>
  <si>
    <t>X308</t>
  </si>
  <si>
    <t>X309</t>
  </si>
  <si>
    <t>CCPL VERSION NUMBER</t>
  </si>
  <si>
    <t>HL CALC VERSION NUMBER</t>
  </si>
  <si>
    <t xml:space="preserve">                Home Loan Fee Calculator</t>
  </si>
  <si>
    <t xml:space="preserve">                Repayment Calculator</t>
  </si>
  <si>
    <t xml:space="preserve">                LMI Qualifier</t>
  </si>
  <si>
    <t xml:space="preserve">                Home Loan UMI Calculator</t>
  </si>
  <si>
    <t>Craca</t>
  </si>
  <si>
    <t>ANZ Land Loan (NOT IN USE)</t>
  </si>
  <si>
    <t>Low Risk</t>
  </si>
  <si>
    <r>
      <rPr>
        <sz val="11"/>
        <color rgb="FF004165"/>
        <rFont val="Arial"/>
        <family val="2"/>
      </rPr>
      <t>Two Loans need to be set up on the system as follows:</t>
    </r>
    <r>
      <rPr>
        <sz val="11"/>
        <color theme="1"/>
        <rFont val="Arial"/>
        <family val="2"/>
      </rPr>
      <t xml:space="preserve">
</t>
    </r>
    <r>
      <rPr>
        <b/>
        <sz val="10"/>
        <color rgb="FF494949"/>
        <rFont val="Arial"/>
        <family val="2"/>
      </rPr>
      <t xml:space="preserve">Bridging Loan </t>
    </r>
    <r>
      <rPr>
        <sz val="10"/>
        <color rgb="FF494949"/>
        <rFont val="Arial"/>
        <family val="2"/>
      </rPr>
      <t xml:space="preserve">- This is the amount shown in the New Bridging Loan field above. This loan is secured by both properties and paid out on the sale of the existing property (Max. 12 month loan term with Interest Only repayments)
</t>
    </r>
    <r>
      <rPr>
        <b/>
        <sz val="10"/>
        <color rgb="FF494949"/>
        <rFont val="Arial"/>
        <family val="2"/>
      </rPr>
      <t xml:space="preserve">Residual Loan </t>
    </r>
    <r>
      <rPr>
        <sz val="10"/>
        <color rgb="FF494949"/>
        <rFont val="Arial"/>
        <family val="2"/>
      </rPr>
      <t xml:space="preserve">- This is the amount shown in the New Residual Loan field above. This loan is secured by the new property only and is on-going. UMI on Total Residual Debt (after bridging) should be positive to proceed with this loan. (Max. 30 years loan term). If Residual Loan is not applicable, then set up only the Bridging Loan application </t>
    </r>
  </si>
  <si>
    <r>
      <rPr>
        <i/>
        <sz val="9"/>
        <color rgb="FF494949"/>
        <rFont val="Arial"/>
        <family val="2"/>
      </rPr>
      <t>Plus</t>
    </r>
    <r>
      <rPr>
        <sz val="9"/>
        <color rgb="FF494949"/>
        <rFont val="Arial"/>
        <family val="2"/>
      </rPr>
      <t xml:space="preserve"> Loan for new property</t>
    </r>
  </si>
  <si>
    <r>
      <t>Maximum bridging component</t>
    </r>
    <r>
      <rPr>
        <sz val="9"/>
        <color rgb="FF494949"/>
        <rFont val="Arial"/>
        <family val="2"/>
      </rPr>
      <t xml:space="preserve"> (net proceeds from sale)</t>
    </r>
  </si>
  <si>
    <t>Your ANZ Cost Profile</t>
  </si>
  <si>
    <t>X310</t>
  </si>
  <si>
    <t>Rates are not available in conjunction with any other bonus or special interest rate offer. The Interest rates shown are for ANZ Term Deposit investments of between $5,000 to $1,999,999. To obtain interest rates for investments of $2,000,000 or more, call 1800 008 177 from 8am to 8pm Monday to Friday. If you make an early withdrawal, a $30 administration fee and an interest reduction will apply in respect of the money withdrawn early. At the end of the term, if you have not told us what you want us to do with your funds, we will reinvest them in a new ANZ Term Deposit for the same term but at the interest rate applicable at the time of reinvestment. This interest rate may be lower than the interest rate on your maturing ANZ Term Deposit. You can contact us on maturity of your ANZ Term Deposit to confirm interest rates that will apply upon reinvestment. ANZ recommends you read the Terms and Conditions and the Financial Services Guide before acquiring the product.</t>
  </si>
  <si>
    <t>Rates are not available in conjunction with any other bonus or special interest rate offer. The interest rates shown are for Advance Notice Term Deposit investments of between $5,000 to $1,999,999. To obtain rates for investments of $2,000,000 or more, please call 1800 008 177 between 8am and 8pm Monday to Friday. To make an early withdrawal from an ANZ Advance Notice Term Deposit account, you must provide 31 days notice to ANZ and a $30 administration fee and an interest reduction will apply in respect of the funds withdrawn early. The interest rate applicable upon reinvestment may be lower than the interest rate on your maturing term deposit. You can contact us on maturity of your ANZ Advance Notice to confirm interest rates that will apply upon reinvestment. ANZ recommends you read the Terms and Conditions and the Financial Services Guide before acquiring the product.</t>
  </si>
  <si>
    <t>ACTIVE PARAMETER FILE REFERENCES</t>
  </si>
  <si>
    <t>* Please Note: Other State Government rebates/concessions may be available. Refer to the relevant government website for more information. </t>
  </si>
  <si>
    <t>Use your UMI Calculator to determine the following values</t>
  </si>
  <si>
    <t>X312</t>
  </si>
  <si>
    <t>X311</t>
  </si>
  <si>
    <t>HL_BASE_INCOME_VOLATILITY</t>
  </si>
  <si>
    <t>HL_SAL_CREDITS_VOLATILITY</t>
  </si>
  <si>
    <t>2024-07-08T00:00:00Z</t>
  </si>
  <si>
    <t>STAMP DUTY (WITH CONCESSIONS)</t>
  </si>
  <si>
    <t>6 or above</t>
  </si>
  <si>
    <t>IRREGULAR TYPES</t>
  </si>
  <si>
    <t>"Metro", "MixVIC","Regional"</t>
  </si>
  <si>
    <t xml:space="preserve">                ANZ Home Loan Calculator</t>
  </si>
  <si>
    <t>Employment Type</t>
  </si>
  <si>
    <t>Lease / HP Charge</t>
  </si>
  <si>
    <t>Non-Standard Addback</t>
  </si>
  <si>
    <t>Not Ongoing Liability</t>
  </si>
  <si>
    <t>Inst Asset Writeoff</t>
  </si>
  <si>
    <t>14.62</t>
  </si>
  <si>
    <t>10.99</t>
  </si>
  <si>
    <t>11.65</t>
  </si>
  <si>
    <t>18.59</t>
  </si>
  <si>
    <t>SOP</t>
  </si>
  <si>
    <t>Taxable Addback</t>
  </si>
  <si>
    <t>Non-Taxable Addback</t>
  </si>
  <si>
    <t>Taxable Sacrifice</t>
  </si>
  <si>
    <t>Non-Taxable Sacrifice</t>
  </si>
  <si>
    <t>Select Type</t>
  </si>
  <si>
    <t>SelectType</t>
  </si>
  <si>
    <t>SE - Trust (Comp ATF)</t>
  </si>
  <si>
    <t>SE - Trust (Ind ATF)</t>
  </si>
  <si>
    <t>3.39</t>
  </si>
  <si>
    <t>3.47</t>
  </si>
  <si>
    <t>3.48</t>
  </si>
  <si>
    <t>3.57</t>
  </si>
  <si>
    <t>NPBT/Loss</t>
  </si>
  <si>
    <t>X313</t>
  </si>
  <si>
    <t>HL_LMI_SE_NPBT_VOLATILITY</t>
  </si>
  <si>
    <t>HL_LMI_SE_NPBT_SENSITISATION</t>
  </si>
  <si>
    <t>X314</t>
  </si>
  <si>
    <t>Volatility Shading</t>
  </si>
  <si>
    <t>2024-09-23T00:00:00Z</t>
  </si>
  <si>
    <t>Tanya</t>
  </si>
  <si>
    <t>LMI App?</t>
  </si>
  <si>
    <t>Entity</t>
  </si>
  <si>
    <t>Trading Entity 2</t>
  </si>
  <si>
    <t>Trading Entity 3</t>
  </si>
  <si>
    <t>Trading Entity 4</t>
  </si>
  <si>
    <t>Volatility</t>
  </si>
  <si>
    <t>Shading Thereshold</t>
  </si>
  <si>
    <t>Unshaded Income</t>
  </si>
  <si>
    <t>Income Subjected To Shading</t>
  </si>
  <si>
    <t>20% Shading</t>
  </si>
  <si>
    <t>Deduct</t>
  </si>
  <si>
    <t>7302024170822|</t>
  </si>
  <si>
    <t>Adjusted NPBT</t>
  </si>
  <si>
    <t>Tom</t>
  </si>
  <si>
    <t>MULTI ENTITY CALCULATOR</t>
  </si>
  <si>
    <t>Applicant 5</t>
  </si>
  <si>
    <t>Applicant 6</t>
  </si>
  <si>
    <t>Applicant 7</t>
  </si>
  <si>
    <t>Applicant 8</t>
  </si>
  <si>
    <t>Multi Entity</t>
  </si>
  <si>
    <t>Mty_Ent</t>
  </si>
  <si>
    <t>Trading Entity</t>
  </si>
  <si>
    <t>G</t>
  </si>
  <si>
    <t>ADJUST LMI ROW RETURN</t>
  </si>
  <si>
    <t>ENTITY TYPE</t>
  </si>
  <si>
    <t>SoP 1'!D10</t>
  </si>
  <si>
    <t>SoP 1'!D11</t>
  </si>
  <si>
    <t>SoP 2'!D10</t>
  </si>
  <si>
    <t>SoP 2'!D11</t>
  </si>
  <si>
    <t>SoP 3'!D10</t>
  </si>
  <si>
    <t>SoP 3'!D11</t>
  </si>
  <si>
    <t>SoP 4'!D10</t>
  </si>
  <si>
    <t>SoP 4'!D11</t>
  </si>
  <si>
    <t>Multi Entity Calc</t>
  </si>
  <si>
    <t>Prior Year NPBT</t>
  </si>
  <si>
    <t>Current Year NPBT</t>
  </si>
  <si>
    <t>Toby</t>
  </si>
  <si>
    <t>Applicant 3</t>
  </si>
  <si>
    <t>Applicant 4</t>
  </si>
  <si>
    <t>SalCred</t>
  </si>
  <si>
    <t>Credit 1</t>
  </si>
  <si>
    <t>Credit 2</t>
  </si>
  <si>
    <t>Credit 3</t>
  </si>
  <si>
    <t>Most Recent</t>
  </si>
  <si>
    <t>3 mths</t>
  </si>
  <si>
    <t>6 mths</t>
  </si>
  <si>
    <t>Average:</t>
  </si>
  <si>
    <t>Bridging</t>
  </si>
  <si>
    <t>BaseInc</t>
  </si>
  <si>
    <t>Borrowing Power</t>
  </si>
  <si>
    <t>INV</t>
  </si>
  <si>
    <t>"2024", "2025", "2026", "2063", "2090", "2095", "2110", "3186"</t>
  </si>
  <si>
    <t>"2023", "2027", "2028", "2029", "2030", "2088", "2108", "3142"</t>
  </si>
  <si>
    <t>Base Income Calculator</t>
  </si>
  <si>
    <t>Annual Base Income:</t>
  </si>
  <si>
    <t>Annualised YTD:</t>
  </si>
  <si>
    <t>Irregular Annual Income:</t>
  </si>
  <si>
    <t>Apply irregular as</t>
  </si>
  <si>
    <t>No Adults</t>
  </si>
  <si>
    <t>No Dependants</t>
  </si>
  <si>
    <t>Linked Sheet</t>
  </si>
  <si>
    <t>Annual irregular/bonus income of $17119 detected, please allocate as required</t>
  </si>
  <si>
    <t>Supports</t>
  </si>
  <si>
    <t>No Support</t>
  </si>
  <si>
    <t>CCPL_Utilities</t>
  </si>
  <si>
    <t>&lt;br/&gt;Any advice does not take into account your personal needs and financial circumstances and you should consider whether it is appropriate for you.  ANZ recommends you read the &lt;a target="_blank" href="https://www.anz.com.au/support/business/terms-conditions/"&gt;Terms and Conditions (PDF 444kB)&lt;/a&gt; and the &lt;a target="_blank" href="https://www.anz.com.au/content/dam/anzcomau/documents/pdf/financial_services_guide.pdf"&gt;Financial Services Guide (PDF 512kB)&lt;/a&gt; which are available at anz.com or by calling &lt;b&gt;13 13 14&lt;/b&gt;, before deciding whether to acquire, or continue to hold, the product. Fees, charges and eligibility criteria apply.</t>
  </si>
  <si>
    <t>Tuesday, 8 October 2024</t>
  </si>
  <si>
    <t>8/10/2024 8:10:35 AM</t>
  </si>
  <si>
    <t>8.01</t>
  </si>
  <si>
    <t>7.86</t>
  </si>
  <si>
    <t>7.15</t>
  </si>
  <si>
    <t>8.65</t>
  </si>
  <si>
    <t>8.22</t>
  </si>
  <si>
    <t>7.89</t>
  </si>
  <si>
    <t>7.17</t>
  </si>
  <si>
    <t>8.94</t>
  </si>
  <si>
    <t>3.35</t>
  </si>
  <si>
    <t>3.34</t>
  </si>
  <si>
    <t>3.80</t>
  </si>
  <si>
    <t>3.75</t>
  </si>
  <si>
    <t>3.74</t>
  </si>
  <si>
    <t>4.12</t>
  </si>
  <si>
    <t>4.14</t>
  </si>
  <si>
    <t>4.16</t>
  </si>
  <si>
    <t>4.20</t>
  </si>
  <si>
    <t>3.06</t>
  </si>
  <si>
    <t>3.08</t>
  </si>
  <si>
    <t>3.10</t>
  </si>
  <si>
    <t>1.15</t>
  </si>
  <si>
    <t>3.69</t>
  </si>
  <si>
    <t>3.70</t>
  </si>
  <si>
    <t>3.72</t>
  </si>
  <si>
    <t>2024-12-08T00:00:00Z</t>
  </si>
  <si>
    <t>OO Land Tax</t>
  </si>
  <si>
    <t>PPR Ongoing Run Cost</t>
  </si>
  <si>
    <t>Primary Residence Ongoing Running Costs</t>
  </si>
  <si>
    <t>0.45</t>
  </si>
  <si>
    <t>6.81</t>
  </si>
  <si>
    <t>7.35</t>
  </si>
  <si>
    <t>7.62</t>
  </si>
  <si>
    <t>7.91</t>
  </si>
  <si>
    <t>7.72</t>
  </si>
  <si>
    <t>7.45</t>
  </si>
  <si>
    <t>7.48</t>
  </si>
  <si>
    <t>7.21</t>
  </si>
  <si>
    <t>7.73</t>
  </si>
  <si>
    <t>Trading Entity 1</t>
  </si>
  <si>
    <t>Prior Year Profit</t>
  </si>
  <si>
    <t>Current Year profit</t>
  </si>
  <si>
    <t>Applicants</t>
  </si>
  <si>
    <t>Applicant Ownership</t>
  </si>
  <si>
    <t>Household (excluding Land Tax)</t>
  </si>
  <si>
    <t>Sensitised Mnthly Min</t>
  </si>
  <si>
    <t>Customer Mnthly Inv Exp</t>
  </si>
  <si>
    <t>Wednesday, 29 January 2025</t>
  </si>
  <si>
    <t>29/01/2025 2:59:07 PM</t>
  </si>
  <si>
    <t>Bonus rate is subject to eligibility criteria. You will be eligible to receive the bonus rate for a particular month if the set minimum deposit (single deposit of $10) and no withdrawals, fees or charges are processed to your account on or before the last business day of that calendar month, and after the last business day of the previous calendar month. Certain eligible accounts may receive higher bonus rates than those displayed. For details of your current bonus rate, contact ANZ on 13 13 14. &lt;br&gt;&lt;br&gt;&lt;b&gt;Important Information&lt;/b&gt;&lt;br&gt;Any advice does not take into account your personal needs and financial circumstances. Consider whether appropriate for you.  ANZ recommends you read the Terms and Conditions and the &lt;a target="_blank" href="https://www.anz.com.au/content/dam/anzcomau/documents/pdf/financial_services_guide.pdf"&gt;Financial Services Guide (PDF 512kB)&lt;/a&gt; available at anz.com or by calling &lt;b&gt;13 13 14&lt;/b&gt;, before deciding whether to acquire, or continue to hold, the product.</t>
  </si>
  <si>
    <t>Interest is banded and paid every three months. Please refer to the ANZ Saving &amp; Transaction Products Terms and Conditions for further details.&lt;br/&gt;&lt;br/&gt;Any advice does not take into account your personal needs and financial circumstances and you should consider whether it is appropriate for you.  ANZ recommends you read the &lt;a target="_blank" href="https://www.anz.com.au/content/dam/anzcomau/documents/pdf/savings-transaction-products-tcs.pdf"&gt;Terms and Conditions (PDF 444kB)&lt;/a&gt; and the &lt;a target="_blank" href="https://www.anz.com.au/content/dam/anzcomau/documents/pdf/financial_services_guide.pdf"&gt;Financial Services Guide (PDF 512kB)&lt;/a&gt; which are available at anz.com or by calling &lt;b&gt;13 13 14&lt;/b&gt;, before deciding whether to acquire, or continue to hold, the product.</t>
  </si>
  <si>
    <t>Interest is banded and paid every three months. Please refer to the ANZ Saving &amp; Transaction Products Terms and Conditions for further details. This product is no longer available to new business.&lt;br/&gt;&lt;br/&gt;Any advice does not take into account your personal needs and financial circumstances and you should consider whether it is appropriate for you.  ANZ recommends you read the &lt;a target="_blank" href="https://www.anz.com.au/content/dam/anzcomau/documents/pdf/savings-transaction-products-tcs.pdf"&gt;Terms and Conditions (PDF 444kB)&lt;/a&gt; and the &lt;a target="_blank" href="https://www.anz.com.au/content/dam/anzcomau/documents/pdf/financial_services_guide.pdf"&gt;Financial Services Guide (PDF 512kB)&lt;/a&gt; which are available at anz.com or by calling &lt;b&gt;13 13 14&lt;/b&gt;, before deciding whether to acquire, or continue to hold, the product.</t>
  </si>
  <si>
    <t>BAOSB3N</t>
  </si>
  <si>
    <t>BAOSB4N</t>
  </si>
  <si>
    <t>BAOSB5N</t>
  </si>
  <si>
    <t>2.99</t>
  </si>
  <si>
    <t>3.49</t>
  </si>
  <si>
    <t>3.56</t>
  </si>
  <si>
    <t>4.25-4.50</t>
  </si>
  <si>
    <t>8.50</t>
  </si>
  <si>
    <t>5.25</t>
  </si>
  <si>
    <t>$25,000 - $249,999</t>
  </si>
  <si>
    <t>CCPL_Calc_V06_250225</t>
  </si>
  <si>
    <t>2025-02-25T00:00:00Z</t>
  </si>
  <si>
    <t>HL_Calc_V54_250405</t>
  </si>
  <si>
    <t>Friday, 28 February 2025</t>
  </si>
  <si>
    <t>Friday, 7 March 2025</t>
  </si>
  <si>
    <t>Saturday, 1 March 2025</t>
  </si>
  <si>
    <t>28/02/2025 6:59:37 AM</t>
  </si>
  <si>
    <t>7/03/2025 7:39:41 AM</t>
  </si>
  <si>
    <t>7/03/2025 7:42:54 AM</t>
  </si>
  <si>
    <t>7/03/2025 6:41:21 AM</t>
  </si>
  <si>
    <t>7/03/2025 6:30:07 AM</t>
  </si>
  <si>
    <t>1/03/2025 10:36:50 PM</t>
  </si>
  <si>
    <t>ANZ Farm Management Deposit Variable Account</t>
  </si>
  <si>
    <t>8.39</t>
  </si>
  <si>
    <t>7.93</t>
  </si>
  <si>
    <t>7.83</t>
  </si>
  <si>
    <t>7.61</t>
  </si>
  <si>
    <t>7.87</t>
  </si>
  <si>
    <t>7.74</t>
  </si>
  <si>
    <t>6.68</t>
  </si>
  <si>
    <t>6.93</t>
  </si>
  <si>
    <t>6.73</t>
  </si>
  <si>
    <t>6.65</t>
  </si>
  <si>
    <t>7.18</t>
  </si>
  <si>
    <t>6.88</t>
  </si>
  <si>
    <t>6.86</t>
  </si>
  <si>
    <t>7.56</t>
  </si>
  <si>
    <t>10.01</t>
  </si>
  <si>
    <t>10.09</t>
  </si>
  <si>
    <t>8.99</t>
  </si>
  <si>
    <t>9.11</t>
  </si>
  <si>
    <t>8.43</t>
  </si>
  <si>
    <t>8.46</t>
  </si>
  <si>
    <t>8.20</t>
  </si>
  <si>
    <t>8.07</t>
  </si>
  <si>
    <t>8.03</t>
  </si>
  <si>
    <t>8.06</t>
  </si>
  <si>
    <t>6.72</t>
  </si>
  <si>
    <t>7.33</t>
  </si>
  <si>
    <t>7.23</t>
  </si>
  <si>
    <t>7.26</t>
  </si>
  <si>
    <t>7.11</t>
  </si>
  <si>
    <t>7.36</t>
  </si>
  <si>
    <t>7.58</t>
  </si>
  <si>
    <t>6.91</t>
  </si>
  <si>
    <t>8.42</t>
  </si>
  <si>
    <t>15.95</t>
  </si>
  <si>
    <t>20.10</t>
  </si>
  <si>
    <t>11.95</t>
  </si>
  <si>
    <t>3.85</t>
  </si>
  <si>
    <t>1.65</t>
  </si>
  <si>
    <t>2.25</t>
  </si>
  <si>
    <t>2.05</t>
  </si>
  <si>
    <t>12.03</t>
  </si>
  <si>
    <t>1.75</t>
  </si>
  <si>
    <t>9.85</t>
  </si>
  <si>
    <t>10.35</t>
  </si>
  <si>
    <t>11.28</t>
  </si>
  <si>
    <t>12.15</t>
  </si>
  <si>
    <t>9.35</t>
  </si>
  <si>
    <t>2.20</t>
  </si>
  <si>
    <t>5.20</t>
  </si>
  <si>
    <t>0.99</t>
  </si>
  <si>
    <t>OO 100% | 8.39% | 30Y</t>
  </si>
  <si>
    <t>J26</t>
  </si>
  <si>
    <t>2025-04-06T00:00:00Z</t>
  </si>
  <si>
    <t>BRCF</t>
  </si>
  <si>
    <t>*BRCFEnd</t>
  </si>
  <si>
    <t>*BRCFStart</t>
  </si>
  <si>
    <t>X315</t>
  </si>
  <si>
    <t>COUNTRY</t>
  </si>
  <si>
    <t>CURRENCY DESCRIPTION</t>
  </si>
  <si>
    <t>AUD</t>
  </si>
  <si>
    <t>X316</t>
  </si>
  <si>
    <t>X319</t>
  </si>
  <si>
    <t>X320</t>
  </si>
  <si>
    <t>4.09</t>
  </si>
  <si>
    <t>3.79</t>
  </si>
  <si>
    <r>
      <t>Deductible?</t>
    </r>
    <r>
      <rPr>
        <sz val="10"/>
        <color theme="0"/>
        <rFont val="Verdana"/>
        <family val="2"/>
      </rPr>
      <t>____</t>
    </r>
  </si>
  <si>
    <t>$G$112</t>
  </si>
  <si>
    <t>a 50% b 25%</t>
  </si>
  <si>
    <t>$G$18</t>
  </si>
  <si>
    <t>a 25% b 25%</t>
  </si>
  <si>
    <t>GOVERNMENT FEES</t>
  </si>
  <si>
    <t>Effective Date - Government Fees</t>
  </si>
  <si>
    <t>ROUND DIVISOR</t>
  </si>
  <si>
    <t>ANSWER DIVISOR</t>
  </si>
  <si>
    <t>ROUND ANSWER</t>
  </si>
  <si>
    <t>resultRoundingGranularity</t>
  </si>
  <si>
    <t>resultRoundingDirection</t>
  </si>
  <si>
    <t>down</t>
  </si>
  <si>
    <t>NO DEPENDANTS</t>
  </si>
  <si>
    <t>GROSS INCOME THRESHOLD</t>
  </si>
  <si>
    <t>noOfDependent</t>
  </si>
  <si>
    <t>grossIncomeThreshold</t>
  </si>
  <si>
    <t>ARS</t>
  </si>
  <si>
    <t>ARGENTINA</t>
  </si>
  <si>
    <t>Argentine Peso</t>
  </si>
  <si>
    <t>ARGENTINA (ARS)</t>
  </si>
  <si>
    <t>AUSTRALIA</t>
  </si>
  <si>
    <t>Australian Dollar</t>
  </si>
  <si>
    <t>AUSTRALIA (AUD)</t>
  </si>
  <si>
    <t>BSD</t>
  </si>
  <si>
    <t>BAHAMAS</t>
  </si>
  <si>
    <t>Bahamian Dollar</t>
  </si>
  <si>
    <t>BAHAMAS (BSD)</t>
  </si>
  <si>
    <t>BHD</t>
  </si>
  <si>
    <t>BAHRAIN</t>
  </si>
  <si>
    <t>Bahraini Dinar</t>
  </si>
  <si>
    <t>BAHRAIN (BHD)</t>
  </si>
  <si>
    <t>BDT</t>
  </si>
  <si>
    <t>BANGLADESH</t>
  </si>
  <si>
    <t>Taka</t>
  </si>
  <si>
    <t>BANGLADESH (BDT)</t>
  </si>
  <si>
    <t>BBD</t>
  </si>
  <si>
    <t>BARBADOS</t>
  </si>
  <si>
    <t>Barbados Dollar</t>
  </si>
  <si>
    <t>BARBADOS (BBD)</t>
  </si>
  <si>
    <t>BMD</t>
  </si>
  <si>
    <t>BERMUDA</t>
  </si>
  <si>
    <t>Bermudian Dollar</t>
  </si>
  <si>
    <t>BERMUDA (BMD)</t>
  </si>
  <si>
    <t>BWP</t>
  </si>
  <si>
    <t>BOTSWANA</t>
  </si>
  <si>
    <t>Pula</t>
  </si>
  <si>
    <t>BOTSWANA (BWP)</t>
  </si>
  <si>
    <t>BRL</t>
  </si>
  <si>
    <t>BRAZIL</t>
  </si>
  <si>
    <t>Brazilian Real</t>
  </si>
  <si>
    <t>BRAZIL (BRL)</t>
  </si>
  <si>
    <t>BND</t>
  </si>
  <si>
    <t>BRUNEI</t>
  </si>
  <si>
    <t>Brunei Dollar</t>
  </si>
  <si>
    <t>BRUNEI (BND)</t>
  </si>
  <si>
    <t>BGN</t>
  </si>
  <si>
    <t>BULGARIA</t>
  </si>
  <si>
    <t>Bulgarian Lev</t>
  </si>
  <si>
    <t>BULGARIA (BGN)</t>
  </si>
  <si>
    <t>KHR</t>
  </si>
  <si>
    <t>CAMBODIA</t>
  </si>
  <si>
    <t>Riel</t>
  </si>
  <si>
    <t>CAMBODIA (KHR)</t>
  </si>
  <si>
    <t>CANADA</t>
  </si>
  <si>
    <t>Canadian Dollar</t>
  </si>
  <si>
    <t>CANADA (CAD)</t>
  </si>
  <si>
    <t>CLP</t>
  </si>
  <si>
    <t>CHILE</t>
  </si>
  <si>
    <t>Chilean Peso</t>
  </si>
  <si>
    <t>CHILE (CLP)</t>
  </si>
  <si>
    <t>CNH</t>
  </si>
  <si>
    <t>CHINA (Offshore)</t>
  </si>
  <si>
    <t>Chinese Yuan (HK)</t>
  </si>
  <si>
    <t>CHINA (Offshore) (CNH)</t>
  </si>
  <si>
    <t>CHINA</t>
  </si>
  <si>
    <t>Yuan Renminbi</t>
  </si>
  <si>
    <t>CHINA (CNY)</t>
  </si>
  <si>
    <t>COP</t>
  </si>
  <si>
    <t>COLOMBIA</t>
  </si>
  <si>
    <t>Colombian Peso</t>
  </si>
  <si>
    <t>COLOMBIA (COP)</t>
  </si>
  <si>
    <t>HRK</t>
  </si>
  <si>
    <t>CROATIA</t>
  </si>
  <si>
    <t>Croatian Kuna</t>
  </si>
  <si>
    <t>CROATIA (HRK)</t>
  </si>
  <si>
    <t>CZK</t>
  </si>
  <si>
    <t>CZECH REPUBLIC</t>
  </si>
  <si>
    <t>Czech Koruna</t>
  </si>
  <si>
    <t>CZECH REPUBLIC (CZK)</t>
  </si>
  <si>
    <t>CDF</t>
  </si>
  <si>
    <t>DEM. REPUBLIC OF CONGO</t>
  </si>
  <si>
    <t>Congolese Franc</t>
  </si>
  <si>
    <t>DEM. REPUBLIC OF CONGO (CDF)</t>
  </si>
  <si>
    <t>DENMARK</t>
  </si>
  <si>
    <t>Danish Krone</t>
  </si>
  <si>
    <t>DENMARK (DKK)</t>
  </si>
  <si>
    <t>EGP</t>
  </si>
  <si>
    <t>EGYPT</t>
  </si>
  <si>
    <t>Egyptian Pound</t>
  </si>
  <si>
    <t>EGYPT (EGP)</t>
  </si>
  <si>
    <t>EUROPEAN CURRENCY UNIT</t>
  </si>
  <si>
    <t>Euro</t>
  </si>
  <si>
    <t>EUROPEAN CURRENCY UNIT (EUR)</t>
  </si>
  <si>
    <t>FIJI</t>
  </si>
  <si>
    <t>Fiji Dollar</t>
  </si>
  <si>
    <t>FIJI (FJD)</t>
  </si>
  <si>
    <t>XPF</t>
  </si>
  <si>
    <t>FRENCH POLYNESIA</t>
  </si>
  <si>
    <t>CFP Franc</t>
  </si>
  <si>
    <t>FRENCH POLYNESIA (XPF)</t>
  </si>
  <si>
    <t>XAU</t>
  </si>
  <si>
    <t>GOLD</t>
  </si>
  <si>
    <t>Gold</t>
  </si>
  <si>
    <t>GOLD (XAU)</t>
  </si>
  <si>
    <t>HONG KONG</t>
  </si>
  <si>
    <t>Hong Kong Dollar</t>
  </si>
  <si>
    <t>HONG KONG (HKD)</t>
  </si>
  <si>
    <t>HUF</t>
  </si>
  <si>
    <t>HUNGARY</t>
  </si>
  <si>
    <t>Forint</t>
  </si>
  <si>
    <t>HUNGARY (HUF)</t>
  </si>
  <si>
    <t>INR</t>
  </si>
  <si>
    <t>INDIA</t>
  </si>
  <si>
    <t>Indian Rupee</t>
  </si>
  <si>
    <t>INDIA (INR)</t>
  </si>
  <si>
    <t>IDR</t>
  </si>
  <si>
    <t>INDONESIA</t>
  </si>
  <si>
    <t>Rupiah</t>
  </si>
  <si>
    <t>INDONESIA (IDR)</t>
  </si>
  <si>
    <t>IQD</t>
  </si>
  <si>
    <t>IRAQ</t>
  </si>
  <si>
    <t>Iraqi Dinar</t>
  </si>
  <si>
    <t>IRAQ (IQD)</t>
  </si>
  <si>
    <t>ILS</t>
  </si>
  <si>
    <t>ISRAEL</t>
  </si>
  <si>
    <t>New Israeli Sheqel</t>
  </si>
  <si>
    <t>ISRAEL (ILS)</t>
  </si>
  <si>
    <t>XOF</t>
  </si>
  <si>
    <t>IVORY COAST</t>
  </si>
  <si>
    <t>CFA Franc BCEAO</t>
  </si>
  <si>
    <t>IVORY COAST (XOF)</t>
  </si>
  <si>
    <t>JAPAN</t>
  </si>
  <si>
    <t>Yen</t>
  </si>
  <si>
    <t>JAPAN (JPY)</t>
  </si>
  <si>
    <t>JOD</t>
  </si>
  <si>
    <t>JORDAN</t>
  </si>
  <si>
    <t>Jordanian Dinar</t>
  </si>
  <si>
    <t>JORDAN (JOD)</t>
  </si>
  <si>
    <t>KES</t>
  </si>
  <si>
    <t>KENYA</t>
  </si>
  <si>
    <t>Kenyan Shilling</t>
  </si>
  <si>
    <t>KENYA (KES)</t>
  </si>
  <si>
    <t>KWD</t>
  </si>
  <si>
    <t>KUWAIT</t>
  </si>
  <si>
    <t>Kuwaiti Dinar</t>
  </si>
  <si>
    <t>KUWAIT (KWD)</t>
  </si>
  <si>
    <t>LAK</t>
  </si>
  <si>
    <t>LAOS</t>
  </si>
  <si>
    <t>Kip</t>
  </si>
  <si>
    <t>LAOS (LAK)</t>
  </si>
  <si>
    <t>MOP</t>
  </si>
  <si>
    <t>MACAU</t>
  </si>
  <si>
    <t>Pataca</t>
  </si>
  <si>
    <t>MACAU (MOP)</t>
  </si>
  <si>
    <t>MWK</t>
  </si>
  <si>
    <t xml:space="preserve">MALAWI </t>
  </si>
  <si>
    <t>Kwacha</t>
  </si>
  <si>
    <t>MALAWI  (MWK)</t>
  </si>
  <si>
    <t>MYR</t>
  </si>
  <si>
    <t>MALAYSIA</t>
  </si>
  <si>
    <t>Malaysian Ringgit</t>
  </si>
  <si>
    <t>MALAYSIA (MYR)</t>
  </si>
  <si>
    <t>MUR</t>
  </si>
  <si>
    <t>MAURITIUS</t>
  </si>
  <si>
    <t>Mauritius Rupee</t>
  </si>
  <si>
    <t>MAURITIUS (MUR)</t>
  </si>
  <si>
    <t>MXN</t>
  </si>
  <si>
    <t>MEXICO</t>
  </si>
  <si>
    <t>Mexican Peso</t>
  </si>
  <si>
    <t>MEXICO (MXN)</t>
  </si>
  <si>
    <t>MMK</t>
  </si>
  <si>
    <t>MYANMAR</t>
  </si>
  <si>
    <t>Kyat</t>
  </si>
  <si>
    <t>MYANMAR (MMK)</t>
  </si>
  <si>
    <t>NPR</t>
  </si>
  <si>
    <t>NEPAL</t>
  </si>
  <si>
    <t>Nepalese Rupee</t>
  </si>
  <si>
    <t>NEPAL (NPR)</t>
  </si>
  <si>
    <t>NEW ZEALAND</t>
  </si>
  <si>
    <t>New Zealand Dollar</t>
  </si>
  <si>
    <t>NEW ZEALAND (NZD)</t>
  </si>
  <si>
    <t>NGN</t>
  </si>
  <si>
    <t>NIGERIA</t>
  </si>
  <si>
    <t>Naira</t>
  </si>
  <si>
    <t>NIGERIA (NGN)</t>
  </si>
  <si>
    <t>NORWAY</t>
  </si>
  <si>
    <t>Norwegian Krone</t>
  </si>
  <si>
    <t>NORWAY (NOK)</t>
  </si>
  <si>
    <t>OMR</t>
  </si>
  <si>
    <t>OMAN</t>
  </si>
  <si>
    <t>Rial Omani</t>
  </si>
  <si>
    <t>OMAN (OMR)</t>
  </si>
  <si>
    <t>PKR</t>
  </si>
  <si>
    <t>PAKISTAN</t>
  </si>
  <si>
    <t>Pakistan Rupee</t>
  </si>
  <si>
    <t>PAKISTAN (PKR)</t>
  </si>
  <si>
    <t>XPD</t>
  </si>
  <si>
    <t>PALLADIUM</t>
  </si>
  <si>
    <t>Palladium</t>
  </si>
  <si>
    <t>PALLADIUM (XPD)</t>
  </si>
  <si>
    <t>PGK</t>
  </si>
  <si>
    <t>PAPUA NEW GUINEA</t>
  </si>
  <si>
    <t>Kina</t>
  </si>
  <si>
    <t>PAPUA NEW GUINEA (PGK)</t>
  </si>
  <si>
    <t>PEN</t>
  </si>
  <si>
    <t>PERU</t>
  </si>
  <si>
    <t>Nuevo Sol</t>
  </si>
  <si>
    <t>PERU (PEN)</t>
  </si>
  <si>
    <t>PHP</t>
  </si>
  <si>
    <t>PHILIPPINES</t>
  </si>
  <si>
    <t>Philippine Peso</t>
  </si>
  <si>
    <t>PHILIPPINES (PHP)</t>
  </si>
  <si>
    <t>XPT</t>
  </si>
  <si>
    <t>PLATINUM</t>
  </si>
  <si>
    <t>Platinum</t>
  </si>
  <si>
    <t>PLATINUM (XPT)</t>
  </si>
  <si>
    <t>PLN</t>
  </si>
  <si>
    <t>POLAND</t>
  </si>
  <si>
    <t>Zloty</t>
  </si>
  <si>
    <t>POLAND (PLN)</t>
  </si>
  <si>
    <t>QAR</t>
  </si>
  <si>
    <t>QATAR</t>
  </si>
  <si>
    <t>Qatari Rial</t>
  </si>
  <si>
    <t>QATAR (QAR)</t>
  </si>
  <si>
    <t>RON</t>
  </si>
  <si>
    <t>ROMANIA</t>
  </si>
  <si>
    <t>New Romanian Leu</t>
  </si>
  <si>
    <t>ROMANIA (RON)</t>
  </si>
  <si>
    <t>RUB</t>
  </si>
  <si>
    <t>RUSSIAN FEDERATION</t>
  </si>
  <si>
    <t>Russian Ruble</t>
  </si>
  <si>
    <t>RUSSIAN FEDERATION (RUB)</t>
  </si>
  <si>
    <t>WST</t>
  </si>
  <si>
    <t>WESTERN SAMOA</t>
  </si>
  <si>
    <t>Tala</t>
  </si>
  <si>
    <t>WESTERN SAMOA (WST)</t>
  </si>
  <si>
    <t>SAR</t>
  </si>
  <si>
    <t>SAUDI ARABIA</t>
  </si>
  <si>
    <t>Saudi Riyal</t>
  </si>
  <si>
    <t>SAUDI ARABIA (SAR)</t>
  </si>
  <si>
    <t>SCR</t>
  </si>
  <si>
    <t>SEYCHELLES ISLANDS</t>
  </si>
  <si>
    <t>Seychelles Rupee</t>
  </si>
  <si>
    <t>SEYCHELLES ISLANDS (SCR)</t>
  </si>
  <si>
    <t>SLL</t>
  </si>
  <si>
    <t>SIERRA LEONE</t>
  </si>
  <si>
    <t>Leone</t>
  </si>
  <si>
    <t>SIERRA LEONE (SLL)</t>
  </si>
  <si>
    <t>XAG</t>
  </si>
  <si>
    <t>SILVER</t>
  </si>
  <si>
    <t>Silver</t>
  </si>
  <si>
    <t>SILVER (XAG)</t>
  </si>
  <si>
    <t xml:space="preserve">SINGAPORE </t>
  </si>
  <si>
    <t>Singapore Dollar</t>
  </si>
  <si>
    <t>SINGAPORE  (SGD)</t>
  </si>
  <si>
    <t>SBD</t>
  </si>
  <si>
    <t>SOLOMON ISLANDS</t>
  </si>
  <si>
    <t>Solomon Islands Dollar</t>
  </si>
  <si>
    <t>SOLOMON ISLANDS (SBD)</t>
  </si>
  <si>
    <t>SOUTH AFRICA</t>
  </si>
  <si>
    <t>Rand</t>
  </si>
  <si>
    <t>SOUTH AFRICA (ZAR)</t>
  </si>
  <si>
    <t>KRW</t>
  </si>
  <si>
    <t>SOUTH KOREA</t>
  </si>
  <si>
    <t>Won</t>
  </si>
  <si>
    <t>SOUTH KOREA (KRW)</t>
  </si>
  <si>
    <t>LKR</t>
  </si>
  <si>
    <t>SRI LANKA</t>
  </si>
  <si>
    <t>Sri Lanka Rupee</t>
  </si>
  <si>
    <t>SRI LANKA (LKR)</t>
  </si>
  <si>
    <t>SWEDEN</t>
  </si>
  <si>
    <t>Swedish Krona</t>
  </si>
  <si>
    <t>SWEDEN (SEK)</t>
  </si>
  <si>
    <t>SWITZERLAND</t>
  </si>
  <si>
    <t>Swiss Franc</t>
  </si>
  <si>
    <t>SWITZERLAND (CHF)</t>
  </si>
  <si>
    <t>TWD</t>
  </si>
  <si>
    <t>TAIWAN</t>
  </si>
  <si>
    <t>New Taiwan Dollar</t>
  </si>
  <si>
    <t>TAIWAN (TWD)</t>
  </si>
  <si>
    <t>TZS</t>
  </si>
  <si>
    <t>TANZANIA</t>
  </si>
  <si>
    <t>Tanzanian Shilling</t>
  </si>
  <si>
    <t>TANZANIA (TZS)</t>
  </si>
  <si>
    <t>THB</t>
  </si>
  <si>
    <t>THAILAND</t>
  </si>
  <si>
    <t>Baht</t>
  </si>
  <si>
    <t>THAILAND (THB)</t>
  </si>
  <si>
    <t>TONGA</t>
  </si>
  <si>
    <t>Pa’anga</t>
  </si>
  <si>
    <t>TONGA (TOP)</t>
  </si>
  <si>
    <t>TND</t>
  </si>
  <si>
    <t>TUNISIA</t>
  </si>
  <si>
    <t>Tunisian Dinar</t>
  </si>
  <si>
    <t>TUNISIA (TND)</t>
  </si>
  <si>
    <t>TRY</t>
  </si>
  <si>
    <t>TURKEY</t>
  </si>
  <si>
    <t>Turkish Lira</t>
  </si>
  <si>
    <t>TURKEY (TRY)</t>
  </si>
  <si>
    <t>UGX</t>
  </si>
  <si>
    <t>UGANDA</t>
  </si>
  <si>
    <t>Uganda Shilling</t>
  </si>
  <si>
    <t>UGANDA (UGX)</t>
  </si>
  <si>
    <t>UAH</t>
  </si>
  <si>
    <t>UKRAINE</t>
  </si>
  <si>
    <t>Hryvnia</t>
  </si>
  <si>
    <t>UKRAINE (UAH)</t>
  </si>
  <si>
    <t>UNITED ARAB EMIRATES</t>
  </si>
  <si>
    <t>UAE Dirham</t>
  </si>
  <si>
    <t>UNITED ARAB EMIRATES (AED)</t>
  </si>
  <si>
    <t>UNITED KINGDOM</t>
  </si>
  <si>
    <t>Pound Sterling</t>
  </si>
  <si>
    <t>UNITED KINGDOM (GBP)</t>
  </si>
  <si>
    <t>UNITED STATES OF AMERICA</t>
  </si>
  <si>
    <t>US Dollar</t>
  </si>
  <si>
    <t>UNITED STATES OF AMERICA (USD)</t>
  </si>
  <si>
    <t>UYU</t>
  </si>
  <si>
    <t>URUGUAY</t>
  </si>
  <si>
    <t>Peso Uruguayo</t>
  </si>
  <si>
    <t>URUGUAY (UYU)</t>
  </si>
  <si>
    <t>VUV</t>
  </si>
  <si>
    <t>VANUATU</t>
  </si>
  <si>
    <t>Vatu</t>
  </si>
  <si>
    <t>VANUATU (VUV)</t>
  </si>
  <si>
    <t>VND</t>
  </si>
  <si>
    <t>VIETNAM</t>
  </si>
  <si>
    <t>Dong</t>
  </si>
  <si>
    <t>VIETNAM (VND)</t>
  </si>
  <si>
    <t>ZMW</t>
  </si>
  <si>
    <t>ZAMBIA</t>
  </si>
  <si>
    <t>Zambian Kwacha</t>
  </si>
  <si>
    <t>ZAMBIA (ZMW)</t>
  </si>
  <si>
    <t>ZWL</t>
  </si>
  <si>
    <t>ZIMBABWE</t>
  </si>
  <si>
    <t>Zimbabwe Dollar</t>
  </si>
  <si>
    <t>ZIMBABWE (ZWL)</t>
  </si>
  <si>
    <t>LAST USED</t>
  </si>
  <si>
    <t>Friday, 21 March 2025</t>
  </si>
  <si>
    <t>Thursday, 20 March 2025</t>
  </si>
  <si>
    <t>21/03/2025 7:41:23 AM</t>
  </si>
  <si>
    <t>21/03/2025 7:41:25 AM</t>
  </si>
  <si>
    <t>20/03/2025 2:21:21 PM</t>
  </si>
  <si>
    <t>8.49</t>
  </si>
  <si>
    <t>7.43</t>
  </si>
  <si>
    <t>Tuesday, 25 March 2025</t>
  </si>
  <si>
    <t>25/03/2025 6:52:38 AM</t>
  </si>
  <si>
    <t>3.25</t>
  </si>
  <si>
    <t>3.23</t>
  </si>
  <si>
    <t>4.44</t>
  </si>
  <si>
    <t>4.46</t>
  </si>
  <si>
    <t>3.65</t>
  </si>
  <si>
    <t>3.66</t>
  </si>
  <si>
    <t>3.68</t>
  </si>
  <si>
    <t>3.64</t>
  </si>
  <si>
    <t>3.67</t>
  </si>
  <si>
    <t>141</t>
  </si>
  <si>
    <t>CCPL_Calc_V07_250405</t>
  </si>
  <si>
    <t>Fan Jiang</t>
  </si>
  <si>
    <t>Sifei Liu</t>
  </si>
  <si>
    <t>Fan Jiang 50% Sifei Liu 50%</t>
  </si>
  <si>
    <t>OO 100% | 5.62% | 30Y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</si>
</sst>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Red]\-&quot;$&quot;#,##0"/>
    <numFmt numFmtId="165" formatCode="_-&quot;$&quot;* #,##0.00_-;\-&quot;$&quot;* #,##0.00_-;_-&quot;$&quot;* &quot;-&quot;??_-;_-@_-"/>
    <numFmt numFmtId="166" formatCode="&quot;$&quot;#,##0.00"/>
    <numFmt numFmtId="167" formatCode="&quot;$&quot;#,##0.00;[Red]&quot;$&quot;#,##0.00"/>
    <numFmt numFmtId="168" formatCode="_(&quot;$&quot;* #,##0_);_(&quot;$&quot;* \(#,##0\);_(&quot;$&quot;* &quot;-&quot;??_);_(@_)"/>
    <numFmt numFmtId="169" formatCode="&quot;$&quot;#,##0"/>
    <numFmt numFmtId="170" formatCode="0.0"/>
    <numFmt numFmtId="171" formatCode="0.0%"/>
    <numFmt numFmtId="172" formatCode="0.000"/>
    <numFmt numFmtId="173" formatCode="0.0000"/>
    <numFmt numFmtId="174" formatCode="0.000000"/>
    <numFmt numFmtId="175" formatCode="d/mm/yyyy;@"/>
    <numFmt numFmtId="176" formatCode="_-&quot;$&quot;* #,##0_-;\-&quot;$&quot;* #,##0_-;_-&quot;$&quot;* &quot;-&quot;??_-;_-@_-"/>
    <numFmt numFmtId="177" formatCode="[$-C09]d\ mmmm\ yyyy;@"/>
    <numFmt numFmtId="178" formatCode="_(&quot;$&quot;* #,##0_);_(&quot;$&quot;* \(#,##0\);_(&quot;$&quot;* 0_);_(@_)"/>
    <numFmt numFmtId="179" formatCode="_(&quot;$&quot;* #,##0_);_(&quot;$&quot;* \(#,##0\);_(_);_(@_)"/>
    <numFmt numFmtId="180" formatCode="0.000000000000000E+00"/>
    <numFmt numFmtId="181" formatCode="0.000000000000E+00"/>
    <numFmt numFmtId="182" formatCode="0.000%"/>
    <numFmt numFmtId="183" formatCode="&quot;$&quot;#,##0.0000"/>
  </numFmts>
  <fonts count="194">
    <font>
      <sz val="10"/>
      <color theme="1"/>
      <name val="Verdana"/>
      <family val="2"/>
    </font>
    <font>
      <sz val="10"/>
      <color theme="1"/>
      <name val="Verdana"/>
      <family val="2"/>
    </font>
    <font>
      <sz val="10"/>
      <color rgb="FF006100"/>
      <name val="Verdana"/>
      <family val="2"/>
    </font>
    <font>
      <b/>
      <sz val="10"/>
      <color theme="1"/>
      <name val="Verdana"/>
      <family val="2"/>
    </font>
    <font>
      <sz val="10"/>
      <color theme="0"/>
      <name val="Verdana"/>
      <family val="2"/>
    </font>
    <font>
      <sz val="11"/>
      <color theme="1"/>
      <name val="Calibri"/>
      <family val="2"/>
      <scheme val="minor"/>
    </font>
    <font>
      <sz val="11"/>
      <color theme="0"/>
      <name val="Calibri"/>
      <family val="2"/>
      <scheme val="minor"/>
    </font>
    <font>
      <b/>
      <sz val="12"/>
      <color rgb="FF004165"/>
      <name val="Arial"/>
      <family val="2"/>
    </font>
    <font>
      <sz val="12"/>
      <color rgb="FF004165"/>
      <name val="Arial"/>
      <family val="2"/>
    </font>
    <font>
      <sz val="10"/>
      <color theme="1" tint="0.249977111117893"/>
      <name val="Arial"/>
      <family val="2"/>
    </font>
    <font>
      <sz val="9"/>
      <color theme="1" tint="0.249977111117893"/>
      <name val="Arial"/>
      <family val="2"/>
    </font>
    <font>
      <sz val="8"/>
      <color theme="1"/>
      <name val="Tahoma"/>
      <family val="2"/>
    </font>
    <font>
      <b/>
      <sz val="9"/>
      <color theme="1" tint="0.249977111117893"/>
      <name val="Arial"/>
      <family val="2"/>
    </font>
    <font>
      <sz val="8"/>
      <color rgb="FFFF0000"/>
      <name val="Tahoma"/>
      <family val="2"/>
    </font>
    <font>
      <b/>
      <sz val="10"/>
      <color theme="1" tint="0.249977111117893"/>
      <name val="Arial"/>
      <family val="2"/>
    </font>
    <font>
      <sz val="11"/>
      <color rgb="FF004165"/>
      <name val="Arial"/>
      <family val="2"/>
    </font>
    <font>
      <b/>
      <sz val="11"/>
      <color rgb="FF004165"/>
      <name val="Arial"/>
      <family val="2"/>
    </font>
    <font>
      <sz val="11"/>
      <color theme="4" tint="0.39997558519241921"/>
      <name val="Arial"/>
      <family val="2"/>
    </font>
    <font>
      <b/>
      <sz val="10"/>
      <color theme="1" tint="0.249977111117893"/>
      <name val="Calibri"/>
      <family val="2"/>
      <scheme val="minor"/>
    </font>
    <font>
      <sz val="16"/>
      <color rgb="FFFFFFFF"/>
      <name val="Arial"/>
      <family val="2"/>
    </font>
    <font>
      <sz val="12"/>
      <color rgb="FFFFFFFF"/>
      <name val="Arial"/>
      <family val="2"/>
    </font>
    <font>
      <sz val="11"/>
      <color rgb="FF666666"/>
      <name val="Arial"/>
      <family val="2"/>
    </font>
    <font>
      <sz val="14"/>
      <color rgb="FF004165"/>
      <name val="Arial"/>
      <family val="2"/>
    </font>
    <font>
      <sz val="14"/>
      <color theme="0"/>
      <name val="Arial"/>
      <family val="2"/>
    </font>
    <font>
      <sz val="10"/>
      <color theme="1"/>
      <name val="Arial"/>
      <family val="2"/>
    </font>
    <font>
      <b/>
      <sz val="14"/>
      <color rgb="FF004165"/>
      <name val="Arial"/>
      <family val="2"/>
    </font>
    <font>
      <sz val="18"/>
      <color rgb="FFFFFFFF"/>
      <name val="Arial"/>
      <family val="2"/>
    </font>
    <font>
      <sz val="9"/>
      <color theme="1" tint="0.249977111117893"/>
      <name val="Calibri"/>
      <family val="2"/>
      <scheme val="minor"/>
    </font>
    <font>
      <b/>
      <sz val="11"/>
      <color rgb="FF007DBA"/>
      <name val="Arial"/>
      <family val="2"/>
    </font>
    <font>
      <b/>
      <sz val="9"/>
      <color rgb="FF004165"/>
      <name val="Arial"/>
      <family val="2"/>
    </font>
    <font>
      <sz val="9"/>
      <color theme="1"/>
      <name val="Calibri"/>
      <family val="2"/>
      <scheme val="minor"/>
    </font>
    <font>
      <sz val="11"/>
      <color theme="0"/>
      <name val="Arial"/>
      <family val="2"/>
    </font>
    <font>
      <sz val="11"/>
      <color theme="1" tint="0.249977111117893"/>
      <name val="Arial"/>
      <family val="2"/>
    </font>
    <font>
      <sz val="11"/>
      <color theme="1" tint="0.249977111117893"/>
      <name val="Calibri"/>
      <family val="2"/>
      <scheme val="minor"/>
    </font>
    <font>
      <sz val="9"/>
      <color theme="0"/>
      <name val="Arial"/>
      <family val="2"/>
    </font>
    <font>
      <sz val="9"/>
      <color rgb="FF004165"/>
      <name val="Arial"/>
      <family val="2"/>
    </font>
    <font>
      <sz val="2"/>
      <color theme="0"/>
      <name val="Arial"/>
      <family val="2"/>
    </font>
    <font>
      <sz val="8"/>
      <color rgb="FF00B0F0"/>
      <name val="Arial"/>
      <family val="2"/>
    </font>
    <font>
      <sz val="9"/>
      <color theme="0"/>
      <name val="Calibri"/>
      <family val="2"/>
      <scheme val="minor"/>
    </font>
    <font>
      <sz val="9"/>
      <color rgb="FF666666"/>
      <name val="Arial"/>
      <family val="2"/>
    </font>
    <font>
      <b/>
      <sz val="9"/>
      <color theme="1" tint="0.249977111117893"/>
      <name val="Calibri"/>
      <family val="2"/>
      <scheme val="minor"/>
    </font>
    <font>
      <sz val="11"/>
      <color rgb="FF004165"/>
      <name val="Calibri"/>
      <family val="2"/>
      <scheme val="minor"/>
    </font>
    <font>
      <sz val="12"/>
      <color theme="1"/>
      <name val="Calibri"/>
      <family val="2"/>
      <scheme val="minor"/>
    </font>
    <font>
      <b/>
      <sz val="16"/>
      <color rgb="FF004165"/>
      <name val="Arial"/>
      <family val="2"/>
    </font>
    <font>
      <b/>
      <sz val="20"/>
      <color rgb="FF004165"/>
      <name val="Arial"/>
      <family val="2"/>
    </font>
    <font>
      <sz val="17"/>
      <color rgb="FF004165"/>
      <name val="Arial"/>
      <family val="2"/>
    </font>
    <font>
      <sz val="14"/>
      <color theme="1"/>
      <name val="Calibri"/>
      <family val="2"/>
      <scheme val="minor"/>
    </font>
    <font>
      <sz val="10"/>
      <color rgb="FF004165"/>
      <name val="Arial"/>
      <family val="2"/>
    </font>
    <font>
      <sz val="16"/>
      <color rgb="FF004165"/>
      <name val="Arial"/>
      <family val="2"/>
    </font>
    <font>
      <sz val="11"/>
      <color rgb="FF494949"/>
      <name val="Arial"/>
      <family val="2"/>
    </font>
    <font>
      <sz val="17"/>
      <color theme="0"/>
      <name val="Arial"/>
      <family val="2"/>
    </font>
    <font>
      <sz val="8"/>
      <color rgb="FF666666"/>
      <name val="Calibri"/>
      <family val="2"/>
      <scheme val="minor"/>
    </font>
    <font>
      <sz val="1"/>
      <color theme="0"/>
      <name val="Arial"/>
      <family val="2"/>
    </font>
    <font>
      <sz val="10"/>
      <color rgb="FF1F497D"/>
      <name val="Verdana"/>
      <family val="2"/>
    </font>
    <font>
      <sz val="9"/>
      <color theme="0" tint="-4.9989318521683403E-2"/>
      <name val="Calibri"/>
      <family val="2"/>
      <scheme val="minor"/>
    </font>
    <font>
      <sz val="10"/>
      <color theme="0"/>
      <name val="Arial"/>
      <family val="2"/>
    </font>
    <font>
      <sz val="10"/>
      <color theme="1" tint="0.249977111117893"/>
      <name val="Calibri"/>
      <family val="2"/>
      <scheme val="minor"/>
    </font>
    <font>
      <sz val="10"/>
      <color rgb="FF666666"/>
      <name val="Arial"/>
      <family val="2"/>
    </font>
    <font>
      <sz val="11"/>
      <color theme="0" tint="-0.499984740745262"/>
      <name val="Arial"/>
      <family val="2"/>
    </font>
    <font>
      <sz val="36"/>
      <color rgb="FF72A314"/>
      <name val="Calibri"/>
      <family val="2"/>
      <scheme val="minor"/>
    </font>
    <font>
      <sz val="16"/>
      <color rgb="FF72A314"/>
      <name val="Calibri"/>
      <family val="2"/>
      <scheme val="minor"/>
    </font>
    <font>
      <sz val="11"/>
      <color indexed="17"/>
      <name val="Calibri"/>
      <family val="2"/>
    </font>
    <font>
      <sz val="11"/>
      <color theme="1" tint="0.249977111117893"/>
      <name val="Calibri"/>
      <family val="2"/>
    </font>
    <font>
      <sz val="11"/>
      <color theme="2" tint="-0.749992370372631"/>
      <name val="Calibri"/>
      <family val="2"/>
    </font>
    <font>
      <sz val="11"/>
      <color theme="5"/>
      <name val="Calibri"/>
      <family val="2"/>
      <scheme val="minor"/>
    </font>
    <font>
      <sz val="12"/>
      <color theme="1"/>
      <name val="Times New Roman"/>
      <family val="1"/>
    </font>
    <font>
      <sz val="11"/>
      <color theme="1"/>
      <name val="Verdana"/>
      <family val="2"/>
    </font>
    <font>
      <sz val="11"/>
      <color theme="5" tint="-0.249977111117893"/>
      <name val="Calibri"/>
      <family val="2"/>
      <scheme val="minor"/>
    </font>
    <font>
      <b/>
      <sz val="11"/>
      <color theme="4" tint="-0.499984740745262"/>
      <name val="Calibri"/>
      <family val="2"/>
      <scheme val="minor"/>
    </font>
    <font>
      <b/>
      <sz val="11"/>
      <color theme="1"/>
      <name val="Calibri"/>
      <family val="2"/>
      <scheme val="minor"/>
    </font>
    <font>
      <sz val="11"/>
      <color theme="2" tint="-0.749992370372631"/>
      <name val="Calibri"/>
      <family val="2"/>
      <scheme val="minor"/>
    </font>
    <font>
      <sz val="11"/>
      <color theme="4" tint="-0.499984740745262"/>
      <name val="Calibri"/>
      <family val="2"/>
    </font>
    <font>
      <u/>
      <sz val="11"/>
      <color theme="10"/>
      <name val="Calibri"/>
      <family val="2"/>
      <scheme val="minor"/>
    </font>
    <font>
      <sz val="11"/>
      <color theme="1" tint="0.34998626667073579"/>
      <name val="Calibri"/>
      <family val="2"/>
      <scheme val="minor"/>
    </font>
    <font>
      <b/>
      <sz val="10"/>
      <color rgb="FF004165"/>
      <name val="Arial"/>
      <family val="2"/>
    </font>
    <font>
      <b/>
      <sz val="8"/>
      <color indexed="81"/>
      <name val="Tahoma"/>
      <family val="2"/>
    </font>
    <font>
      <sz val="8"/>
      <color indexed="81"/>
      <name val="Tahoma"/>
      <family val="2"/>
    </font>
    <font>
      <b/>
      <sz val="10"/>
      <color rgb="FF007DBA"/>
      <name val="Arial"/>
      <family val="2"/>
    </font>
    <font>
      <sz val="8"/>
      <color rgb="FF666666"/>
      <name val="Arial"/>
      <family val="2"/>
    </font>
    <font>
      <sz val="8"/>
      <color theme="1" tint="0.249977111117893"/>
      <name val="Arial"/>
      <family val="2"/>
    </font>
    <font>
      <b/>
      <sz val="10"/>
      <color rgb="FF666666"/>
      <name val="Arial"/>
      <family val="2"/>
    </font>
    <font>
      <sz val="8"/>
      <color rgb="FF494949"/>
      <name val="Arial"/>
      <family val="2"/>
    </font>
    <font>
      <b/>
      <sz val="9"/>
      <color theme="0"/>
      <name val="Arial"/>
      <family val="2"/>
    </font>
    <font>
      <i/>
      <sz val="9"/>
      <color rgb="FF666666"/>
      <name val="Arial"/>
      <family val="2"/>
    </font>
    <font>
      <sz val="10"/>
      <name val="Verdana"/>
      <family val="2"/>
    </font>
    <font>
      <i/>
      <sz val="8.5"/>
      <color theme="0"/>
      <name val="Verdana"/>
      <family val="2"/>
    </font>
    <font>
      <i/>
      <sz val="8"/>
      <color theme="1" tint="0.249977111117893"/>
      <name val="Arial"/>
      <family val="2"/>
    </font>
    <font>
      <i/>
      <sz val="9"/>
      <color theme="2" tint="-0.499984740745262"/>
      <name val="Arial"/>
      <family val="2"/>
    </font>
    <font>
      <i/>
      <sz val="10"/>
      <color theme="2" tint="-0.499984740745262"/>
      <name val="Verdana"/>
      <family val="2"/>
    </font>
    <font>
      <i/>
      <sz val="8"/>
      <color rgb="FFC00000"/>
      <name val="Arial"/>
      <family val="2"/>
    </font>
    <font>
      <sz val="6"/>
      <color theme="1"/>
      <name val="Verdana"/>
      <family val="2"/>
    </font>
    <font>
      <sz val="8"/>
      <name val="Verdana"/>
      <family val="2"/>
    </font>
    <font>
      <b/>
      <sz val="9"/>
      <color rgb="FF666666"/>
      <name val="Arial"/>
      <family val="2"/>
    </font>
    <font>
      <i/>
      <sz val="10"/>
      <color theme="1"/>
      <name val="Verdana"/>
      <family val="2"/>
    </font>
    <font>
      <sz val="9"/>
      <color rgb="FF404040"/>
      <name val="Calibri"/>
      <family val="2"/>
      <scheme val="minor"/>
    </font>
    <font>
      <i/>
      <sz val="9.5"/>
      <color theme="2" tint="-0.499984740745262"/>
      <name val="Verdana"/>
      <family val="2"/>
    </font>
    <font>
      <sz val="11"/>
      <color theme="1"/>
      <name val="Arial"/>
      <family val="2"/>
    </font>
    <font>
      <sz val="9"/>
      <color theme="1" tint="0.499984740745262"/>
      <name val="Arial"/>
      <family val="2"/>
    </font>
    <font>
      <sz val="8"/>
      <color theme="1" tint="0.499984740745262"/>
      <name val="Calibri"/>
      <family val="2"/>
      <scheme val="minor"/>
    </font>
    <font>
      <u/>
      <sz val="8"/>
      <color theme="10"/>
      <name val="Calibri"/>
      <family val="2"/>
      <scheme val="minor"/>
    </font>
    <font>
      <sz val="9"/>
      <color theme="1"/>
      <name val="Arial"/>
      <family val="2"/>
    </font>
    <font>
      <b/>
      <sz val="11"/>
      <color indexed="8"/>
      <name val="Calibri"/>
      <family val="2"/>
    </font>
    <font>
      <b/>
      <sz val="11"/>
      <color theme="0"/>
      <name val="Calibri"/>
      <family val="2"/>
      <scheme val="minor"/>
    </font>
    <font>
      <sz val="10"/>
      <color theme="2" tint="-0.749992370372631"/>
      <name val="Arial Unicode MS"/>
      <family val="2"/>
    </font>
    <font>
      <sz val="11"/>
      <color indexed="9"/>
      <name val="Calibri"/>
      <family val="2"/>
    </font>
    <font>
      <vertAlign val="superscript"/>
      <sz val="10"/>
      <color theme="1" tint="0.249977111117893"/>
      <name val="Calibri"/>
      <family val="2"/>
    </font>
    <font>
      <sz val="10"/>
      <color theme="1" tint="0.249977111117893"/>
      <name val="Calibri"/>
      <family val="2"/>
    </font>
    <font>
      <sz val="11"/>
      <name val="Calibri"/>
      <family val="2"/>
    </font>
    <font>
      <vertAlign val="superscript"/>
      <sz val="10"/>
      <color theme="1"/>
      <name val="Verdana"/>
      <family val="2"/>
    </font>
    <font>
      <sz val="10"/>
      <name val="Arial"/>
      <family val="2"/>
    </font>
    <font>
      <b/>
      <sz val="9"/>
      <color indexed="81"/>
      <name val="Tahoma"/>
      <family val="2"/>
    </font>
    <font>
      <sz val="9"/>
      <color indexed="81"/>
      <name val="Tahoma"/>
      <family val="2"/>
    </font>
    <font>
      <sz val="9"/>
      <color theme="5"/>
      <name val="Calibri"/>
      <family val="2"/>
      <scheme val="minor"/>
    </font>
    <font>
      <sz val="8"/>
      <color theme="5"/>
      <name val="Arial"/>
      <family val="2"/>
    </font>
    <font>
      <u/>
      <sz val="10"/>
      <color theme="10"/>
      <name val="Verdana"/>
      <family val="2"/>
    </font>
    <font>
      <sz val="8"/>
      <color theme="5"/>
      <name val="Calibri"/>
      <family val="2"/>
      <scheme val="minor"/>
    </font>
    <font>
      <b/>
      <sz val="8"/>
      <color theme="0"/>
      <name val="Calibri"/>
      <family val="2"/>
      <scheme val="minor"/>
    </font>
    <font>
      <sz val="10"/>
      <color rgb="FFFFFFFF"/>
      <name val="Arial"/>
      <family val="2"/>
    </font>
    <font>
      <b/>
      <sz val="10"/>
      <color rgb="FF003366"/>
      <name val="Verdana"/>
      <family val="2"/>
    </font>
    <font>
      <b/>
      <sz val="11"/>
      <color indexed="9"/>
      <name val="Calibri"/>
      <family val="2"/>
    </font>
    <font>
      <sz val="16"/>
      <color rgb="FF262626"/>
      <name val="Arial"/>
      <family val="2"/>
    </font>
    <font>
      <sz val="11"/>
      <color rgb="FF595959"/>
      <name val="Arial"/>
      <family val="2"/>
    </font>
    <font>
      <sz val="10"/>
      <color rgb="FFFFFFFF"/>
      <name val="Verdana"/>
      <family val="2"/>
    </font>
    <font>
      <sz val="9"/>
      <color rgb="FF595959"/>
      <name val="Verdana"/>
      <family val="2"/>
    </font>
    <font>
      <sz val="10"/>
      <color rgb="FF44546A"/>
      <name val="Verdana"/>
      <family val="2"/>
    </font>
    <font>
      <sz val="11"/>
      <color rgb="FF333F4F"/>
      <name val="Arial"/>
      <family val="2"/>
    </font>
    <font>
      <sz val="11"/>
      <name val="Calibri"/>
      <family val="2"/>
      <scheme val="minor"/>
    </font>
    <font>
      <sz val="10"/>
      <color theme="2" tint="-0.499984740745262"/>
      <name val="Verdana"/>
      <family val="2"/>
    </font>
    <font>
      <sz val="8"/>
      <color theme="0"/>
      <name val="Arial"/>
      <family val="2"/>
    </font>
    <font>
      <sz val="9"/>
      <color theme="1" tint="0.34998626667073579"/>
      <name val="Arial"/>
      <family val="2"/>
    </font>
    <font>
      <b/>
      <sz val="8"/>
      <color theme="1"/>
      <name val="Myriad Pro Light"/>
      <family val="2"/>
    </font>
    <font>
      <b/>
      <sz val="9"/>
      <color theme="0"/>
      <name val="Myriad Pro"/>
      <family val="2"/>
    </font>
    <font>
      <b/>
      <sz val="8"/>
      <color theme="1"/>
      <name val="Arial"/>
      <family val="2"/>
    </font>
    <font>
      <b/>
      <sz val="8"/>
      <color theme="1"/>
      <name val="Arial Narrow"/>
      <family val="2"/>
    </font>
    <font>
      <sz val="8"/>
      <color theme="1"/>
      <name val="Arial"/>
      <family val="2"/>
    </font>
    <font>
      <sz val="7"/>
      <color theme="1"/>
      <name val="Arial Narrow"/>
      <family val="2"/>
    </font>
    <font>
      <b/>
      <sz val="17.5"/>
      <color theme="0"/>
      <name val="Gotham"/>
      <family val="3"/>
    </font>
    <font>
      <b/>
      <sz val="9"/>
      <color rgb="FF2D2D2D"/>
      <name val="Arial"/>
      <family val="2"/>
    </font>
    <font>
      <b/>
      <sz val="9"/>
      <color theme="1"/>
      <name val="Arial"/>
      <family val="2"/>
    </font>
    <font>
      <b/>
      <sz val="11"/>
      <color theme="0"/>
      <name val="Myriad Pro"/>
      <family val="2"/>
    </font>
    <font>
      <b/>
      <sz val="15"/>
      <color theme="1"/>
      <name val="Arial"/>
      <family val="2"/>
    </font>
    <font>
      <sz val="7"/>
      <color theme="1"/>
      <name val="Arial"/>
      <family val="2"/>
    </font>
    <font>
      <sz val="6.5"/>
      <color theme="1"/>
      <name val="Arial"/>
      <family val="2"/>
    </font>
    <font>
      <b/>
      <sz val="6.5"/>
      <color rgb="FF000000"/>
      <name val="Arial"/>
      <family val="2"/>
    </font>
    <font>
      <sz val="6.5"/>
      <color rgb="FF000000"/>
      <name val="Arial"/>
      <family val="2"/>
    </font>
    <font>
      <i/>
      <sz val="8"/>
      <color rgb="FFFF0000"/>
      <name val="Arial"/>
      <family val="2"/>
    </font>
    <font>
      <b/>
      <sz val="11"/>
      <color theme="0"/>
      <name val="Arial"/>
      <family val="2"/>
    </font>
    <font>
      <b/>
      <sz val="6.5"/>
      <color theme="1"/>
      <name val="Arial"/>
      <family val="2"/>
    </font>
    <font>
      <sz val="6.4"/>
      <color theme="1"/>
      <name val="Arial"/>
      <family val="2"/>
    </font>
    <font>
      <b/>
      <sz val="17"/>
      <color theme="0"/>
      <name val="Arial"/>
      <family val="2"/>
    </font>
    <font>
      <i/>
      <sz val="9"/>
      <color theme="5"/>
      <name val="Arial"/>
      <family val="2"/>
    </font>
    <font>
      <b/>
      <sz val="10"/>
      <color theme="1"/>
      <name val="Arial"/>
      <family val="2"/>
    </font>
    <font>
      <i/>
      <sz val="9"/>
      <color theme="1"/>
      <name val="Arial"/>
      <family val="2"/>
    </font>
    <font>
      <b/>
      <sz val="12"/>
      <color theme="0"/>
      <name val="Arial"/>
      <family val="2"/>
    </font>
    <font>
      <sz val="9"/>
      <color theme="4" tint="0.39997558519241921"/>
      <name val="Arial"/>
      <family val="2"/>
    </font>
    <font>
      <b/>
      <sz val="16"/>
      <color theme="1"/>
      <name val="Calibri"/>
      <family val="2"/>
      <scheme val="minor"/>
    </font>
    <font>
      <b/>
      <sz val="10"/>
      <color theme="0"/>
      <name val="Calibri"/>
      <family val="2"/>
      <scheme val="minor"/>
    </font>
    <font>
      <sz val="11"/>
      <color rgb="FF343434"/>
      <name val="Lato"/>
      <family val="2"/>
    </font>
    <font>
      <sz val="9"/>
      <color rgb="FF494949"/>
      <name val="Arial"/>
      <family val="2"/>
    </font>
    <font>
      <sz val="11"/>
      <color rgb="FF494949"/>
      <name val="Calibri"/>
      <family val="2"/>
      <scheme val="minor"/>
    </font>
    <font>
      <sz val="9"/>
      <color rgb="FF494949"/>
      <name val="Calibri"/>
      <family val="2"/>
      <scheme val="minor"/>
    </font>
    <font>
      <sz val="10"/>
      <color rgb="FF494949"/>
      <name val="Arial"/>
      <family val="2"/>
    </font>
    <font>
      <b/>
      <sz val="10"/>
      <color rgb="FF494949"/>
      <name val="Arial"/>
      <family val="2"/>
    </font>
    <font>
      <i/>
      <sz val="10"/>
      <color rgb="FF494949"/>
      <name val="Arial"/>
      <family val="2"/>
    </font>
    <font>
      <sz val="11"/>
      <color theme="1" tint="0.34998626667073579"/>
      <name val="Arial"/>
      <family val="2"/>
    </font>
    <font>
      <b/>
      <sz val="16"/>
      <color rgb="FFFFFFFF"/>
      <name val="Arial"/>
      <family val="2"/>
    </font>
    <font>
      <sz val="8"/>
      <color rgb="FF494949"/>
      <name val="Calibri"/>
      <family val="2"/>
      <scheme val="minor"/>
    </font>
    <font>
      <b/>
      <sz val="9"/>
      <color rgb="FF494949"/>
      <name val="Arial"/>
      <family val="2"/>
    </font>
    <font>
      <i/>
      <sz val="9"/>
      <color rgb="FF494949"/>
      <name val="Arial"/>
      <family val="2"/>
    </font>
    <font>
      <b/>
      <sz val="11"/>
      <color rgb="FF494949"/>
      <name val="Calibri"/>
      <family val="2"/>
      <scheme val="minor"/>
    </font>
    <font>
      <sz val="10"/>
      <color rgb="FF494949"/>
      <name val="Verdana"/>
      <family val="2"/>
    </font>
    <font>
      <sz val="9"/>
      <color rgb="FF595959"/>
      <name val="Arial"/>
      <family val="2"/>
    </font>
    <font>
      <i/>
      <sz val="8"/>
      <color rgb="FF494949"/>
      <name val="Arial"/>
      <family val="2"/>
    </font>
    <font>
      <sz val="11"/>
      <color rgb="FFF7F7F7"/>
      <name val="Calibri"/>
      <family val="2"/>
      <scheme val="minor"/>
    </font>
    <font>
      <b/>
      <sz val="9"/>
      <color rgb="FFF7F7F7"/>
      <name val="Arial"/>
      <family val="2"/>
    </font>
    <font>
      <sz val="14"/>
      <color rgb="FFF7F7F7"/>
      <name val="Arial"/>
      <family val="2"/>
    </font>
    <font>
      <i/>
      <sz val="8"/>
      <color rgb="FFF7F7F7"/>
      <name val="Arial"/>
      <family val="2"/>
    </font>
    <font>
      <sz val="9"/>
      <color rgb="FFF7F7F7"/>
      <name val="Arial"/>
      <family val="2"/>
    </font>
    <font>
      <sz val="11"/>
      <color rgb="FFF7F7F7"/>
      <name val="Arial"/>
      <family val="2"/>
    </font>
    <font>
      <sz val="9"/>
      <color rgb="FF404040"/>
      <name val="Arial"/>
      <family val="2"/>
    </font>
    <font>
      <b/>
      <sz val="10"/>
      <color rgb="FFD90000"/>
      <name val="Arial"/>
      <family val="2"/>
    </font>
    <font>
      <sz val="9"/>
      <color rgb="FF007402"/>
      <name val="Arial"/>
      <family val="2"/>
    </font>
    <font>
      <sz val="36"/>
      <color rgb="FF007402"/>
      <name val="Calibri"/>
      <family val="2"/>
      <scheme val="minor"/>
    </font>
    <font>
      <sz val="16"/>
      <color rgb="FF007402"/>
      <name val="Calibri"/>
      <family val="2"/>
      <scheme val="minor"/>
    </font>
    <font>
      <sz val="14"/>
      <color rgb="FF19252D"/>
      <name val="Open Sans"/>
      <family val="2"/>
    </font>
    <font>
      <u/>
      <sz val="8"/>
      <color theme="10"/>
      <name val="Arial"/>
      <family val="2"/>
    </font>
    <font>
      <sz val="8"/>
      <color rgb="FFF36D00"/>
      <name val="Arial"/>
      <family val="2"/>
    </font>
    <font>
      <b/>
      <sz val="10"/>
      <color rgb="FF494949"/>
      <name val="Verdana"/>
      <family val="2"/>
    </font>
    <font>
      <b/>
      <sz val="10"/>
      <color rgb="FFF36D00"/>
      <name val="Arial"/>
      <family val="2"/>
    </font>
    <font>
      <sz val="11"/>
      <color rgb="FF000000"/>
      <name val="Calibri"/>
      <family val="2"/>
    </font>
    <font>
      <b/>
      <sz val="11"/>
      <color rgb="FF203764"/>
      <name val="Calibri"/>
      <family val="2"/>
    </font>
    <font>
      <b/>
      <sz val="11"/>
      <color rgb="FFFFFFFF"/>
      <name val="Calibri"/>
      <family val="2"/>
    </font>
    <font>
      <sz val="11"/>
      <color rgb="FFFFFFFF"/>
      <name val="Calibri"/>
      <family val="2"/>
    </font>
    <font>
      <sz val="11"/>
      <color rgb="FF3A3838"/>
      <name val="Calibri"/>
      <family val="2"/>
    </font>
  </fonts>
  <fills count="63">
    <fill>
      <patternFill patternType="none"/>
    </fill>
    <fill>
      <patternFill patternType="gray125"/>
    </fill>
    <fill>
      <patternFill patternType="solid">
        <fgColor rgb="FFC6EFCE"/>
      </patternFill>
    </fill>
    <fill>
      <patternFill patternType="solid">
        <fgColor theme="0" tint="-4.9989318521683403E-2"/>
        <bgColor indexed="64"/>
      </patternFill>
    </fill>
    <fill>
      <patternFill patternType="solid">
        <fgColor theme="0"/>
        <bgColor indexed="64"/>
      </patternFill>
    </fill>
    <fill>
      <patternFill patternType="solid">
        <fgColor rgb="FF004165"/>
        <bgColor indexed="64"/>
      </patternFill>
    </fill>
    <fill>
      <patternFill patternType="solid">
        <fgColor rgb="FFD9EAAD"/>
        <bgColor indexed="64"/>
      </patternFill>
    </fill>
    <fill>
      <patternFill patternType="solid">
        <fgColor indexed="42"/>
      </patternFill>
    </fill>
    <fill>
      <patternFill patternType="solid">
        <fgColor rgb="FFFF00FF"/>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B3EBFF"/>
        <bgColor indexed="64"/>
      </patternFill>
    </fill>
    <fill>
      <patternFill patternType="solid">
        <fgColor rgb="FF0070C0"/>
        <bgColor indexed="64"/>
      </patternFill>
    </fill>
    <fill>
      <patternFill patternType="solid">
        <fgColor rgb="FFFFFF99"/>
        <bgColor indexed="64"/>
      </patternFill>
    </fill>
    <fill>
      <patternFill patternType="solid">
        <fgColor theme="8" tint="-0.499984740745262"/>
        <bgColor indexed="64"/>
      </patternFill>
    </fill>
    <fill>
      <patternFill patternType="solid">
        <fgColor rgb="FF92D050"/>
        <bgColor indexed="64"/>
      </patternFill>
    </fill>
    <fill>
      <patternFill patternType="solid">
        <fgColor theme="5"/>
        <bgColor indexed="64"/>
      </patternFill>
    </fill>
    <fill>
      <patternFill patternType="solid">
        <fgColor rgb="FF00B0F0"/>
        <bgColor indexed="64"/>
      </patternFill>
    </fill>
    <fill>
      <patternFill patternType="solid">
        <fgColor theme="2" tint="-0.749992370372631"/>
        <bgColor indexed="64"/>
      </patternFill>
    </fill>
    <fill>
      <patternFill patternType="solid">
        <fgColor theme="9"/>
        <bgColor indexed="64"/>
      </patternFill>
    </fill>
    <fill>
      <patternFill patternType="solid">
        <fgColor rgb="FFFFFF00"/>
        <bgColor indexed="64"/>
      </patternFill>
    </fill>
    <fill>
      <patternFill patternType="solid">
        <fgColor rgb="FF69D8FF"/>
        <bgColor indexed="64"/>
      </patternFill>
    </fill>
    <fill>
      <patternFill patternType="solid">
        <fgColor theme="1" tint="0.34998626667073579"/>
        <bgColor indexed="64"/>
      </patternFill>
    </fill>
    <fill>
      <patternFill patternType="solid">
        <fgColor indexed="62"/>
      </patternFill>
    </fill>
    <fill>
      <patternFill patternType="solid">
        <fgColor theme="2" tint="-0.249977111117893"/>
        <bgColor indexed="64"/>
      </patternFill>
    </fill>
    <fill>
      <patternFill patternType="solid">
        <fgColor rgb="FFFF9999"/>
        <bgColor indexed="64"/>
      </patternFill>
    </fill>
    <fill>
      <patternFill patternType="solid">
        <fgColor rgb="FFFFFFFF"/>
        <bgColor indexed="64"/>
      </patternFill>
    </fill>
    <fill>
      <patternFill patternType="solid">
        <fgColor theme="6" tint="0.39997558519241921"/>
        <bgColor indexed="64"/>
      </patternFill>
    </fill>
    <fill>
      <patternFill patternType="solid">
        <fgColor rgb="FFFFC000"/>
        <bgColor indexed="64"/>
      </patternFill>
    </fill>
    <fill>
      <patternFill patternType="solid">
        <fgColor rgb="FF00FF00"/>
        <bgColor indexed="64"/>
      </patternFill>
    </fill>
    <fill>
      <patternFill patternType="solid">
        <fgColor theme="9" tint="0.39997558519241921"/>
        <bgColor indexed="64"/>
      </patternFill>
    </fill>
    <fill>
      <patternFill patternType="solid">
        <fgColor rgb="FF004165"/>
        <bgColor rgb="FF000000"/>
      </patternFill>
    </fill>
    <fill>
      <patternFill patternType="solid">
        <fgColor rgb="FFFFFFFF"/>
        <bgColor rgb="FF000000"/>
      </patternFill>
    </fill>
    <fill>
      <patternFill patternType="solid">
        <fgColor rgb="FF004063"/>
        <bgColor indexed="64"/>
      </patternFill>
    </fill>
    <fill>
      <patternFill patternType="solid">
        <fgColor rgb="FFE8EFF3"/>
        <bgColor indexed="64"/>
      </patternFill>
    </fill>
    <fill>
      <patternFill patternType="solid">
        <fgColor rgb="FFCADBE5"/>
        <bgColor indexed="64"/>
      </patternFill>
    </fill>
    <fill>
      <patternFill patternType="solid">
        <fgColor rgb="FFEBF3F7"/>
        <bgColor indexed="64"/>
      </patternFill>
    </fill>
    <fill>
      <patternFill patternType="solid">
        <fgColor theme="1" tint="0.249977111117893"/>
        <bgColor indexed="64"/>
      </patternFill>
    </fill>
    <fill>
      <patternFill patternType="solid">
        <fgColor theme="7"/>
        <bgColor indexed="64"/>
      </patternFill>
    </fill>
    <fill>
      <patternFill patternType="solid">
        <fgColor theme="4" tint="-0.249977111117893"/>
        <bgColor indexed="64"/>
      </patternFill>
    </fill>
    <fill>
      <patternFill patternType="solid">
        <fgColor rgb="FFCCDFEA"/>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rgb="FFF0FAFF"/>
        <bgColor indexed="64"/>
      </patternFill>
    </fill>
    <fill>
      <patternFill patternType="solid">
        <fgColor rgb="FFE0E0E0"/>
        <bgColor indexed="64"/>
      </patternFill>
    </fill>
    <fill>
      <patternFill patternType="solid">
        <fgColor rgb="FFF7F7F7"/>
        <bgColor indexed="64"/>
      </patternFill>
    </fill>
    <fill>
      <patternFill patternType="solid">
        <fgColor rgb="FFF36D00"/>
        <bgColor indexed="64"/>
      </patternFill>
    </fill>
    <fill>
      <patternFill patternType="solid">
        <fgColor rgb="FFF7F7F7"/>
        <bgColor rgb="FF000000"/>
      </patternFill>
    </fill>
    <fill>
      <patternFill patternType="solid">
        <fgColor rgb="FFC2E3C2"/>
        <bgColor indexed="64"/>
      </patternFill>
    </fill>
    <fill>
      <patternFill patternType="solid">
        <fgColor rgb="FFFFCCCC"/>
        <bgColor indexed="64"/>
      </patternFill>
    </fill>
    <fill>
      <patternFill patternType="solid">
        <fgColor rgb="FF70AD47"/>
        <bgColor rgb="FF000000"/>
      </patternFill>
    </fill>
    <fill>
      <patternFill patternType="solid">
        <fgColor rgb="FF3A3838"/>
        <bgColor rgb="FF000000"/>
      </patternFill>
    </fill>
    <fill>
      <patternFill patternType="solid">
        <fgColor rgb="FF0070C0"/>
        <bgColor rgb="FF000000"/>
      </patternFill>
    </fill>
    <fill>
      <patternFill patternType="solid">
        <fgColor rgb="FF00B0F0"/>
        <bgColor rgb="FF000000"/>
      </patternFill>
    </fill>
    <fill>
      <patternFill patternType="solid">
        <fgColor rgb="FF8EA9DB"/>
        <bgColor rgb="FF000000"/>
      </patternFill>
    </fill>
    <fill>
      <patternFill patternType="solid">
        <fgColor rgb="FF92D050"/>
        <bgColor rgb="FF000000"/>
      </patternFill>
    </fill>
  </fills>
  <borders count="154">
    <border>
      <left/>
      <right/>
      <top/>
      <bottom/>
      <diagonal/>
    </border>
    <border>
      <left style="thin">
        <color rgb="FFC2CDD8"/>
      </left>
      <right/>
      <top style="thin">
        <color rgb="FFC2CDD8"/>
      </top>
      <bottom/>
      <diagonal/>
    </border>
    <border>
      <left/>
      <right/>
      <top style="thin">
        <color rgb="FFC2CDD8"/>
      </top>
      <bottom/>
      <diagonal/>
    </border>
    <border>
      <left/>
      <right style="thin">
        <color rgb="FFC2CDD8"/>
      </right>
      <top style="thin">
        <color rgb="FFC2CDD8"/>
      </top>
      <bottom/>
      <diagonal/>
    </border>
    <border>
      <left style="thin">
        <color rgb="FFC2CDD8"/>
      </left>
      <right/>
      <top/>
      <bottom/>
      <diagonal/>
    </border>
    <border>
      <left/>
      <right style="thin">
        <color rgb="FFC2CDD8"/>
      </right>
      <top/>
      <bottom/>
      <diagonal/>
    </border>
    <border>
      <left style="thin">
        <color rgb="FFC2CDD8"/>
      </left>
      <right style="thin">
        <color rgb="FFC2CDD8"/>
      </right>
      <top style="thin">
        <color rgb="FFC2CDD8"/>
      </top>
      <bottom style="thin">
        <color rgb="FFC2CDD8"/>
      </bottom>
      <diagonal/>
    </border>
    <border>
      <left style="thin">
        <color rgb="FFC2CDD8"/>
      </left>
      <right/>
      <top/>
      <bottom style="thin">
        <color rgb="FFC2CDD8"/>
      </bottom>
      <diagonal/>
    </border>
    <border>
      <left/>
      <right/>
      <top/>
      <bottom style="thin">
        <color rgb="FFC2CDD8"/>
      </bottom>
      <diagonal/>
    </border>
    <border>
      <left/>
      <right style="thin">
        <color rgb="FFC2CDD8"/>
      </right>
      <top/>
      <bottom style="thin">
        <color rgb="FFC2CDD8"/>
      </bottom>
      <diagonal/>
    </border>
    <border>
      <left style="thin">
        <color rgb="FFC2CDD8"/>
      </left>
      <right/>
      <top style="thin">
        <color rgb="FFC2CDD8"/>
      </top>
      <bottom style="thin">
        <color rgb="FFC2CDD8"/>
      </bottom>
      <diagonal/>
    </border>
    <border>
      <left/>
      <right style="thin">
        <color rgb="FFC2CDD8"/>
      </right>
      <top style="thin">
        <color rgb="FFC2CDD8"/>
      </top>
      <bottom style="thin">
        <color rgb="FFC2CDD8"/>
      </bottom>
      <diagonal/>
    </border>
    <border>
      <left/>
      <right/>
      <top style="thin">
        <color rgb="FF72A314"/>
      </top>
      <bottom/>
      <diagonal/>
    </border>
    <border>
      <left/>
      <right/>
      <top/>
      <bottom style="thin">
        <color rgb="FF72A314"/>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medium">
        <color theme="1" tint="0.34998626667073579"/>
      </top>
      <bottom style="thin">
        <color theme="1" tint="0.34998626667073579"/>
      </bottom>
      <diagonal/>
    </border>
    <border>
      <left style="thin">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top style="thin">
        <color theme="1" tint="0.34998626667073579"/>
      </top>
      <bottom style="medium">
        <color theme="1" tint="0.34998626667073579"/>
      </bottom>
      <diagonal/>
    </border>
    <border>
      <left style="thin">
        <color theme="1" tint="0.34998626667073579"/>
      </left>
      <right style="thin">
        <color theme="1" tint="0.34998626667073579"/>
      </right>
      <top style="thin">
        <color theme="1" tint="0.34998626667073579"/>
      </top>
      <bottom style="medium">
        <color theme="1" tint="0.34998626667073579"/>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rgb="FFC2CDD8"/>
      </left>
      <right style="thin">
        <color rgb="FFC2CDD8"/>
      </right>
      <top/>
      <bottom/>
      <diagonal/>
    </border>
    <border>
      <left style="thin">
        <color rgb="FFC2CDD8"/>
      </left>
      <right style="thin">
        <color rgb="FFC2CDD8"/>
      </right>
      <top/>
      <bottom style="thin">
        <color rgb="FFC2CDD8"/>
      </bottom>
      <diagonal/>
    </border>
    <border>
      <left/>
      <right/>
      <top style="thick">
        <color theme="0" tint="-0.499984740745262"/>
      </top>
      <bottom/>
      <diagonal/>
    </border>
    <border>
      <left/>
      <right/>
      <top/>
      <bottom style="thick">
        <color theme="0" tint="-0.499984740745262"/>
      </bottom>
      <diagonal/>
    </border>
    <border>
      <left style="thick">
        <color theme="0" tint="-0.499984740745262"/>
      </left>
      <right/>
      <top style="thick">
        <color theme="0" tint="-0.499984740745262"/>
      </top>
      <bottom/>
      <diagonal/>
    </border>
    <border>
      <left style="thick">
        <color theme="0" tint="-0.499984740745262"/>
      </left>
      <right/>
      <top/>
      <bottom/>
      <diagonal/>
    </border>
    <border>
      <left style="thin">
        <color rgb="FFC2CDD8"/>
      </left>
      <right style="thin">
        <color rgb="FFC2CDD8"/>
      </right>
      <top style="thick">
        <color theme="0" tint="-0.499984740745262"/>
      </top>
      <bottom style="thin">
        <color rgb="FFC2CDD8"/>
      </bottom>
      <diagonal/>
    </border>
    <border>
      <left style="thin">
        <color rgb="FFC2CDD8"/>
      </left>
      <right style="thin">
        <color rgb="FFC2CDD8"/>
      </right>
      <top style="thin">
        <color rgb="FFC2CDD8"/>
      </top>
      <bottom style="thick">
        <color theme="0" tint="-0.499984740745262"/>
      </bottom>
      <diagonal/>
    </border>
    <border>
      <left style="thin">
        <color rgb="FFC2CDD8"/>
      </left>
      <right style="thin">
        <color rgb="FFC2CDD8"/>
      </right>
      <top style="thin">
        <color rgb="FFC2CDD8"/>
      </top>
      <bottom/>
      <diagonal/>
    </border>
    <border>
      <left/>
      <right/>
      <top style="thin">
        <color theme="1" tint="0.34998626667073579"/>
      </top>
      <bottom/>
      <diagonal/>
    </border>
    <border>
      <left style="thin">
        <color theme="1" tint="0.34998626667073579"/>
      </left>
      <right/>
      <top/>
      <bottom/>
      <diagonal/>
    </border>
    <border>
      <left style="thin">
        <color theme="1" tint="0.34998626667073579"/>
      </left>
      <right style="thin">
        <color theme="1" tint="0.34998626667073579"/>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style="thin">
        <color theme="1" tint="0.24994659260841701"/>
      </right>
      <top style="thin">
        <color theme="1" tint="0.24994659260841701"/>
      </top>
      <bottom style="medium">
        <color indexed="64"/>
      </bottom>
      <diagonal/>
    </border>
    <border>
      <left/>
      <right style="thin">
        <color theme="1" tint="0.34998626667073579"/>
      </right>
      <top/>
      <bottom/>
      <diagonal/>
    </border>
    <border>
      <left style="medium">
        <color indexed="64"/>
      </left>
      <right style="thin">
        <color theme="1" tint="0.34998626667073579"/>
      </right>
      <top style="medium">
        <color indexed="64"/>
      </top>
      <bottom style="thin">
        <color theme="1" tint="0.34998626667073579"/>
      </bottom>
      <diagonal/>
    </border>
    <border>
      <left style="thin">
        <color theme="1" tint="0.34998626667073579"/>
      </left>
      <right style="thin">
        <color theme="1" tint="0.34998626667073579"/>
      </right>
      <top style="medium">
        <color indexed="64"/>
      </top>
      <bottom style="thin">
        <color theme="1" tint="0.34998626667073579"/>
      </bottom>
      <diagonal/>
    </border>
    <border>
      <left style="thin">
        <color theme="1" tint="0.34998626667073579"/>
      </left>
      <right style="medium">
        <color indexed="64"/>
      </right>
      <top style="medium">
        <color indexed="64"/>
      </top>
      <bottom style="thin">
        <color theme="1" tint="0.34998626667073579"/>
      </bottom>
      <diagonal/>
    </border>
    <border>
      <left style="medium">
        <color indexed="64"/>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indexed="64"/>
      </right>
      <top style="thin">
        <color theme="1" tint="0.34998626667073579"/>
      </top>
      <bottom style="thin">
        <color theme="1" tint="0.34998626667073579"/>
      </bottom>
      <diagonal/>
    </border>
    <border>
      <left style="medium">
        <color indexed="64"/>
      </left>
      <right style="thin">
        <color theme="1" tint="0.34998626667073579"/>
      </right>
      <top style="thin">
        <color theme="1" tint="0.34998626667073579"/>
      </top>
      <bottom style="medium">
        <color indexed="64"/>
      </bottom>
      <diagonal/>
    </border>
    <border>
      <left style="thin">
        <color theme="1" tint="0.34998626667073579"/>
      </left>
      <right style="thin">
        <color theme="1" tint="0.34998626667073579"/>
      </right>
      <top style="thin">
        <color theme="1" tint="0.34998626667073579"/>
      </top>
      <bottom style="medium">
        <color indexed="64"/>
      </bottom>
      <diagonal/>
    </border>
    <border>
      <left style="thin">
        <color theme="1" tint="0.34998626667073579"/>
      </left>
      <right style="medium">
        <color indexed="64"/>
      </right>
      <top style="thin">
        <color theme="1" tint="0.34998626667073579"/>
      </top>
      <bottom style="medium">
        <color indexed="64"/>
      </bottom>
      <diagonal/>
    </border>
    <border>
      <left style="medium">
        <color indexed="64"/>
      </left>
      <right style="thin">
        <color theme="1" tint="0.34998626667073579"/>
      </right>
      <top style="thin">
        <color theme="1" tint="0.34998626667073579"/>
      </top>
      <bottom/>
      <diagonal/>
    </border>
    <border>
      <left style="thin">
        <color theme="1" tint="0.34998626667073579"/>
      </left>
      <right style="medium">
        <color indexed="64"/>
      </right>
      <top style="thin">
        <color theme="1" tint="0.34998626667073579"/>
      </top>
      <bottom/>
      <diagonal/>
    </border>
    <border>
      <left style="medium">
        <color indexed="64"/>
      </left>
      <right style="thin">
        <color theme="1" tint="0.34998626667073579"/>
      </right>
      <top/>
      <bottom style="thin">
        <color theme="1" tint="0.34998626667073579"/>
      </bottom>
      <diagonal/>
    </border>
    <border>
      <left style="thin">
        <color theme="1" tint="0.34998626667073579"/>
      </left>
      <right style="medium">
        <color indexed="64"/>
      </right>
      <top/>
      <bottom style="thin">
        <color theme="1" tint="0.34998626667073579"/>
      </bottom>
      <diagonal/>
    </border>
    <border>
      <left style="medium">
        <color indexed="64"/>
      </left>
      <right style="thin">
        <color theme="1" tint="0.34998626667073579"/>
      </right>
      <top style="medium">
        <color indexed="64"/>
      </top>
      <bottom style="medium">
        <color indexed="64"/>
      </bottom>
      <diagonal/>
    </border>
    <border>
      <left style="thin">
        <color theme="1" tint="0.34998626667073579"/>
      </left>
      <right style="thin">
        <color theme="1" tint="0.34998626667073579"/>
      </right>
      <top style="medium">
        <color indexed="64"/>
      </top>
      <bottom style="medium">
        <color indexed="64"/>
      </bottom>
      <diagonal/>
    </border>
    <border>
      <left style="thin">
        <color theme="1" tint="0.34998626667073579"/>
      </left>
      <right style="medium">
        <color indexed="64"/>
      </right>
      <top style="medium">
        <color indexed="64"/>
      </top>
      <bottom style="medium">
        <color indexed="64"/>
      </bottom>
      <diagonal/>
    </border>
    <border>
      <left style="thin">
        <color rgb="FFB9C9D0"/>
      </left>
      <right style="thin">
        <color rgb="FFB9C9D0"/>
      </right>
      <top style="thin">
        <color rgb="FFB9C9D0"/>
      </top>
      <bottom style="thin">
        <color rgb="FFB9C9D0"/>
      </bottom>
      <diagonal/>
    </border>
    <border>
      <left style="medium">
        <color indexed="64"/>
      </left>
      <right style="thin">
        <color theme="1" tint="0.34998626667073579"/>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24994659260841701"/>
      </top>
      <bottom style="thin">
        <color theme="1" tint="0.24994659260841701"/>
      </bottom>
      <diagonal/>
    </border>
    <border>
      <left style="thin">
        <color theme="1" tint="0.34998626667073579"/>
      </left>
      <right style="medium">
        <color indexed="64"/>
      </right>
      <top style="thin">
        <color theme="1" tint="0.24994659260841701"/>
      </top>
      <bottom style="thin">
        <color theme="1" tint="0.24994659260841701"/>
      </bottom>
      <diagonal/>
    </border>
    <border>
      <left style="medium">
        <color indexed="64"/>
      </left>
      <right style="thin">
        <color theme="1" tint="0.34998626667073579"/>
      </right>
      <top style="thin">
        <color theme="1" tint="0.24994659260841701"/>
      </top>
      <bottom style="medium">
        <color indexed="64"/>
      </bottom>
      <diagonal/>
    </border>
    <border>
      <left style="thin">
        <color theme="1" tint="0.34998626667073579"/>
      </left>
      <right style="thin">
        <color theme="1" tint="0.34998626667073579"/>
      </right>
      <top style="thin">
        <color theme="1" tint="0.24994659260841701"/>
      </top>
      <bottom style="medium">
        <color indexed="64"/>
      </bottom>
      <diagonal/>
    </border>
    <border>
      <left style="thin">
        <color theme="1" tint="0.34998626667073579"/>
      </left>
      <right style="medium">
        <color indexed="64"/>
      </right>
      <top style="thin">
        <color theme="1" tint="0.24994659260841701"/>
      </top>
      <bottom style="medium">
        <color indexed="64"/>
      </bottom>
      <diagonal/>
    </border>
    <border>
      <left style="medium">
        <color indexed="64"/>
      </left>
      <right style="thin">
        <color theme="1" tint="0.34998626667073579"/>
      </right>
      <top style="medium">
        <color indexed="64"/>
      </top>
      <bottom style="thin">
        <color theme="1" tint="0.24994659260841701"/>
      </bottom>
      <diagonal/>
    </border>
    <border>
      <left style="thin">
        <color theme="1" tint="0.34998626667073579"/>
      </left>
      <right style="thin">
        <color theme="1" tint="0.34998626667073579"/>
      </right>
      <top style="medium">
        <color indexed="64"/>
      </top>
      <bottom style="thin">
        <color theme="1" tint="0.24994659260841701"/>
      </bottom>
      <diagonal/>
    </border>
    <border>
      <left style="thin">
        <color theme="1" tint="0.34998626667073579"/>
      </left>
      <right style="medium">
        <color indexed="64"/>
      </right>
      <top style="medium">
        <color indexed="64"/>
      </top>
      <bottom style="thin">
        <color theme="1" tint="0.24994659260841701"/>
      </bottom>
      <diagonal/>
    </border>
    <border>
      <left style="medium">
        <color indexed="64"/>
      </left>
      <right style="thin">
        <color theme="1" tint="0.34998626667073579"/>
      </right>
      <top style="thin">
        <color theme="1" tint="0.24994659260841701"/>
      </top>
      <bottom style="medium">
        <color theme="1" tint="0.24994659260841701"/>
      </bottom>
      <diagonal/>
    </border>
    <border>
      <left style="thin">
        <color theme="1" tint="0.34998626667073579"/>
      </left>
      <right style="thin">
        <color theme="1" tint="0.34998626667073579"/>
      </right>
      <top style="thin">
        <color theme="1" tint="0.24994659260841701"/>
      </top>
      <bottom style="medium">
        <color theme="1" tint="0.24994659260841701"/>
      </bottom>
      <diagonal/>
    </border>
    <border>
      <left style="thin">
        <color theme="1" tint="0.34998626667073579"/>
      </left>
      <right style="medium">
        <color indexed="64"/>
      </right>
      <top style="thin">
        <color theme="1" tint="0.24994659260841701"/>
      </top>
      <bottom style="medium">
        <color theme="1" tint="0.24994659260841701"/>
      </bottom>
      <diagonal/>
    </border>
    <border>
      <left style="medium">
        <color indexed="64"/>
      </left>
      <right style="thin">
        <color indexed="64"/>
      </right>
      <top style="medium">
        <color theme="1" tint="0.34998626667073579"/>
      </top>
      <bottom style="thin">
        <color theme="1" tint="0.34998626667073579"/>
      </bottom>
      <diagonal/>
    </border>
    <border>
      <left style="thin">
        <color indexed="64"/>
      </left>
      <right style="thin">
        <color indexed="64"/>
      </right>
      <top style="medium">
        <color theme="1" tint="0.34998626667073579"/>
      </top>
      <bottom style="thin">
        <color theme="1" tint="0.34998626667073579"/>
      </bottom>
      <diagonal/>
    </border>
    <border>
      <left style="thin">
        <color indexed="64"/>
      </left>
      <right style="medium">
        <color indexed="64"/>
      </right>
      <top style="medium">
        <color theme="1" tint="0.34998626667073579"/>
      </top>
      <bottom style="thin">
        <color theme="1" tint="0.34998626667073579"/>
      </bottom>
      <diagonal/>
    </border>
    <border>
      <left style="medium">
        <color indexed="64"/>
      </left>
      <right style="thin">
        <color indexed="64"/>
      </right>
      <top style="medium">
        <color indexed="64"/>
      </top>
      <bottom style="thin">
        <color theme="1" tint="0.24994659260841701"/>
      </bottom>
      <diagonal/>
    </border>
    <border>
      <left style="thin">
        <color indexed="64"/>
      </left>
      <right style="thin">
        <color indexed="64"/>
      </right>
      <top style="medium">
        <color indexed="64"/>
      </top>
      <bottom style="thin">
        <color theme="1" tint="0.24994659260841701"/>
      </bottom>
      <diagonal/>
    </border>
    <border>
      <left style="thin">
        <color indexed="64"/>
      </left>
      <right style="medium">
        <color indexed="64"/>
      </right>
      <top style="medium">
        <color indexed="64"/>
      </top>
      <bottom style="thin">
        <color theme="1" tint="0.24994659260841701"/>
      </bottom>
      <diagonal/>
    </border>
    <border>
      <left style="medium">
        <color indexed="64"/>
      </left>
      <right style="thin">
        <color theme="1" tint="0.34998626667073579"/>
      </right>
      <top style="medium">
        <color theme="1" tint="0.24994659260841701"/>
      </top>
      <bottom style="thin">
        <color theme="1" tint="0.34998626667073579"/>
      </bottom>
      <diagonal/>
    </border>
    <border>
      <left style="thin">
        <color theme="1" tint="0.34998626667073579"/>
      </left>
      <right style="thin">
        <color theme="1" tint="0.34998626667073579"/>
      </right>
      <top style="medium">
        <color theme="1" tint="0.24994659260841701"/>
      </top>
      <bottom style="thin">
        <color theme="1" tint="0.34998626667073579"/>
      </bottom>
      <diagonal/>
    </border>
    <border>
      <left style="thin">
        <color theme="1" tint="0.34998626667073579"/>
      </left>
      <right style="medium">
        <color indexed="64"/>
      </right>
      <top style="medium">
        <color theme="1" tint="0.24994659260841701"/>
      </top>
      <bottom style="thin">
        <color theme="1" tint="0.34998626667073579"/>
      </bottom>
      <diagonal/>
    </border>
    <border>
      <left style="medium">
        <color indexed="64"/>
      </left>
      <right style="thin">
        <color theme="1" tint="0.34998626667073579"/>
      </right>
      <top style="thin">
        <color theme="1" tint="0.34998626667073579"/>
      </top>
      <bottom style="medium">
        <color theme="1" tint="0.24994659260841701"/>
      </bottom>
      <diagonal/>
    </border>
    <border>
      <left style="thin">
        <color theme="1" tint="0.34998626667073579"/>
      </left>
      <right style="thin">
        <color theme="1" tint="0.34998626667073579"/>
      </right>
      <top style="thin">
        <color theme="1" tint="0.34998626667073579"/>
      </top>
      <bottom style="medium">
        <color theme="1" tint="0.24994659260841701"/>
      </bottom>
      <diagonal/>
    </border>
    <border>
      <left style="thin">
        <color theme="1" tint="0.34998626667073579"/>
      </left>
      <right style="medium">
        <color indexed="64"/>
      </right>
      <top style="thin">
        <color theme="1" tint="0.34998626667073579"/>
      </top>
      <bottom style="medium">
        <color theme="1" tint="0.24994659260841701"/>
      </bottom>
      <diagonal/>
    </border>
    <border>
      <left style="medium">
        <color theme="1" tint="0.24994659260841701"/>
      </left>
      <right style="thin">
        <color theme="1" tint="0.34998626667073579"/>
      </right>
      <top style="medium">
        <color theme="1" tint="0.24994659260841701"/>
      </top>
      <bottom style="thin">
        <color theme="1" tint="0.24994659260841701"/>
      </bottom>
      <diagonal/>
    </border>
    <border>
      <left style="thin">
        <color theme="1" tint="0.34998626667073579"/>
      </left>
      <right style="thin">
        <color theme="1" tint="0.34998626667073579"/>
      </right>
      <top style="medium">
        <color theme="1" tint="0.24994659260841701"/>
      </top>
      <bottom style="thin">
        <color theme="1" tint="0.24994659260841701"/>
      </bottom>
      <diagonal/>
    </border>
    <border>
      <left style="thin">
        <color theme="1" tint="0.34998626667073579"/>
      </left>
      <right style="medium">
        <color theme="1" tint="0.24994659260841701"/>
      </right>
      <top style="medium">
        <color theme="1" tint="0.24994659260841701"/>
      </top>
      <bottom style="thin">
        <color theme="1" tint="0.24994659260841701"/>
      </bottom>
      <diagonal/>
    </border>
    <border>
      <left style="medium">
        <color theme="1" tint="0.24994659260841701"/>
      </left>
      <right style="thin">
        <color theme="1" tint="0.34998626667073579"/>
      </right>
      <top style="thin">
        <color theme="1" tint="0.24994659260841701"/>
      </top>
      <bottom style="thin">
        <color theme="1" tint="0.24994659260841701"/>
      </bottom>
      <diagonal/>
    </border>
    <border>
      <left style="thin">
        <color theme="1" tint="0.34998626667073579"/>
      </left>
      <right style="medium">
        <color theme="1" tint="0.24994659260841701"/>
      </right>
      <top style="thin">
        <color theme="1" tint="0.24994659260841701"/>
      </top>
      <bottom style="thin">
        <color theme="1" tint="0.24994659260841701"/>
      </bottom>
      <diagonal/>
    </border>
    <border>
      <left style="medium">
        <color theme="1" tint="0.24994659260841701"/>
      </left>
      <right style="thin">
        <color theme="1" tint="0.34998626667073579"/>
      </right>
      <top style="thin">
        <color theme="1" tint="0.24994659260841701"/>
      </top>
      <bottom style="medium">
        <color theme="1" tint="0.24994659260841701"/>
      </bottom>
      <diagonal/>
    </border>
    <border>
      <left style="thin">
        <color theme="1" tint="0.34998626667073579"/>
      </left>
      <right style="medium">
        <color theme="1" tint="0.24994659260841701"/>
      </right>
      <top style="thin">
        <color theme="1" tint="0.24994659260841701"/>
      </top>
      <bottom style="medium">
        <color theme="1" tint="0.24994659260841701"/>
      </bottom>
      <diagonal/>
    </border>
    <border>
      <left style="medium">
        <color indexed="64"/>
      </left>
      <right style="thin">
        <color theme="1" tint="0.34998626667073579"/>
      </right>
      <top style="medium">
        <color theme="1" tint="0.24994659260841701"/>
      </top>
      <bottom style="thin">
        <color theme="1" tint="0.24994659260841701"/>
      </bottom>
      <diagonal/>
    </border>
    <border>
      <left style="thin">
        <color theme="1" tint="0.34998626667073579"/>
      </left>
      <right style="medium">
        <color indexed="64"/>
      </right>
      <top style="medium">
        <color theme="1" tint="0.24994659260841701"/>
      </top>
      <bottom style="thin">
        <color theme="1" tint="0.24994659260841701"/>
      </bottom>
      <diagonal/>
    </border>
    <border>
      <left style="medium">
        <color theme="1" tint="0.24994659260841701"/>
      </left>
      <right style="thin">
        <color theme="1" tint="0.34998626667073579"/>
      </right>
      <top style="thin">
        <color theme="1" tint="0.24994659260841701"/>
      </top>
      <bottom/>
      <diagonal/>
    </border>
    <border>
      <left style="thin">
        <color theme="1" tint="0.34998626667073579"/>
      </left>
      <right style="thin">
        <color theme="1" tint="0.34998626667073579"/>
      </right>
      <top style="thin">
        <color theme="1" tint="0.24994659260841701"/>
      </top>
      <bottom/>
      <diagonal/>
    </border>
    <border>
      <left style="thin">
        <color theme="1" tint="0.34998626667073579"/>
      </left>
      <right style="medium">
        <color theme="1" tint="0.24994659260841701"/>
      </right>
      <top style="thin">
        <color theme="1" tint="0.24994659260841701"/>
      </top>
      <bottom/>
      <diagonal/>
    </border>
    <border>
      <left style="medium">
        <color theme="1" tint="0.24994659260841701"/>
      </left>
      <right style="thin">
        <color theme="1" tint="0.34998626667073579"/>
      </right>
      <top/>
      <bottom style="thin">
        <color theme="1" tint="0.24994659260841701"/>
      </bottom>
      <diagonal/>
    </border>
    <border>
      <left style="thin">
        <color theme="1" tint="0.34998626667073579"/>
      </left>
      <right style="thin">
        <color theme="1" tint="0.34998626667073579"/>
      </right>
      <top/>
      <bottom style="thin">
        <color theme="1" tint="0.24994659260841701"/>
      </bottom>
      <diagonal/>
    </border>
    <border>
      <left style="thin">
        <color theme="1" tint="0.34998626667073579"/>
      </left>
      <right style="medium">
        <color theme="1" tint="0.24994659260841701"/>
      </right>
      <top/>
      <bottom style="thin">
        <color theme="1" tint="0.24994659260841701"/>
      </bottom>
      <diagonal/>
    </border>
    <border>
      <left style="medium">
        <color theme="1" tint="0.24994659260841701"/>
      </left>
      <right style="thin">
        <color theme="1" tint="0.34998626667073579"/>
      </right>
      <top/>
      <bottom style="medium">
        <color theme="1" tint="0.24994659260841701"/>
      </bottom>
      <diagonal/>
    </border>
    <border>
      <left style="thin">
        <color theme="1" tint="0.34998626667073579"/>
      </left>
      <right style="thin">
        <color theme="1" tint="0.34998626667073579"/>
      </right>
      <top/>
      <bottom style="medium">
        <color theme="1" tint="0.24994659260841701"/>
      </bottom>
      <diagonal/>
    </border>
    <border>
      <left style="thin">
        <color theme="1" tint="0.34998626667073579"/>
      </left>
      <right style="medium">
        <color theme="1" tint="0.24994659260841701"/>
      </right>
      <top/>
      <bottom style="medium">
        <color theme="1" tint="0.2499465926084170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1" tint="0.34998626667073579"/>
      </left>
      <right style="thin">
        <color theme="1" tint="0.34998626667073579"/>
      </right>
      <top style="thin">
        <color indexed="64"/>
      </top>
      <bottom style="thin">
        <color indexed="64"/>
      </bottom>
      <diagonal/>
    </border>
    <border>
      <left style="thin">
        <color theme="1" tint="0.34998626667073579"/>
      </left>
      <right style="thin">
        <color theme="1" tint="0.34998626667073579"/>
      </right>
      <top style="thin">
        <color indexed="64"/>
      </top>
      <bottom style="medium">
        <color indexed="64"/>
      </bottom>
      <diagonal/>
    </border>
    <border>
      <left style="medium">
        <color indexed="64"/>
      </left>
      <right style="thin">
        <color theme="1" tint="0.34998626667073579"/>
      </right>
      <top/>
      <bottom style="thin">
        <color theme="1" tint="0.24994659260841701"/>
      </bottom>
      <diagonal/>
    </border>
    <border>
      <left style="thin">
        <color theme="1" tint="0.34998626667073579"/>
      </left>
      <right style="medium">
        <color indexed="64"/>
      </right>
      <top/>
      <bottom style="thin">
        <color theme="1" tint="0.2499465926084170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E0E0E0"/>
      </left>
      <right style="thin">
        <color rgb="FFE0E0E0"/>
      </right>
      <top style="thin">
        <color rgb="FFE0E0E0"/>
      </top>
      <bottom style="thin">
        <color rgb="FFE0E0E0"/>
      </bottom>
      <diagonal/>
    </border>
    <border>
      <left style="thin">
        <color rgb="FFE0E0E0"/>
      </left>
      <right/>
      <top style="thin">
        <color rgb="FFE0E0E0"/>
      </top>
      <bottom/>
      <diagonal/>
    </border>
    <border>
      <left/>
      <right/>
      <top style="thin">
        <color rgb="FFE0E0E0"/>
      </top>
      <bottom/>
      <diagonal/>
    </border>
    <border>
      <left/>
      <right style="thin">
        <color rgb="FFE0E0E0"/>
      </right>
      <top style="thin">
        <color rgb="FFE0E0E0"/>
      </top>
      <bottom/>
      <diagonal/>
    </border>
    <border>
      <left style="thin">
        <color rgb="FFE0E0E0"/>
      </left>
      <right/>
      <top/>
      <bottom/>
      <diagonal/>
    </border>
    <border>
      <left/>
      <right style="thin">
        <color rgb="FFE0E0E0"/>
      </right>
      <top/>
      <bottom/>
      <diagonal/>
    </border>
    <border>
      <left style="thin">
        <color rgb="FFE0E0E0"/>
      </left>
      <right/>
      <top/>
      <bottom style="thin">
        <color rgb="FFE0E0E0"/>
      </bottom>
      <diagonal/>
    </border>
    <border>
      <left/>
      <right/>
      <top/>
      <bottom style="thin">
        <color rgb="FFE0E0E0"/>
      </bottom>
      <diagonal/>
    </border>
    <border>
      <left/>
      <right style="thin">
        <color rgb="FFE0E0E0"/>
      </right>
      <top/>
      <bottom style="thin">
        <color rgb="FFE0E0E0"/>
      </bottom>
      <diagonal/>
    </border>
    <border>
      <left style="thin">
        <color rgb="FFE0E0E0"/>
      </left>
      <right/>
      <top style="thin">
        <color rgb="FFE0E0E0"/>
      </top>
      <bottom style="thin">
        <color rgb="FFE0E0E0"/>
      </bottom>
      <diagonal/>
    </border>
    <border>
      <left/>
      <right style="thin">
        <color rgb="FFE0E0E0"/>
      </right>
      <top style="thin">
        <color rgb="FFE0E0E0"/>
      </top>
      <bottom style="thin">
        <color rgb="FFE0E0E0"/>
      </bottom>
      <diagonal/>
    </border>
    <border>
      <left style="thick">
        <color rgb="FFE0E0E0"/>
      </left>
      <right style="thin">
        <color rgb="FFE0E0E0"/>
      </right>
      <top style="thin">
        <color rgb="FFE0E0E0"/>
      </top>
      <bottom style="thin">
        <color rgb="FFE0E0E0"/>
      </bottom>
      <diagonal/>
    </border>
    <border>
      <left style="thin">
        <color rgb="FFE0E0E0"/>
      </left>
      <right style="thick">
        <color rgb="FFE0E0E0"/>
      </right>
      <top style="thin">
        <color rgb="FFE0E0E0"/>
      </top>
      <bottom style="thin">
        <color rgb="FFE0E0E0"/>
      </bottom>
      <diagonal/>
    </border>
    <border>
      <left/>
      <right/>
      <top style="thin">
        <color rgb="FFE0E0E0"/>
      </top>
      <bottom style="thin">
        <color rgb="FFE0E0E0"/>
      </bottom>
      <diagonal/>
    </border>
    <border>
      <left style="thin">
        <color rgb="FFE0E0E0"/>
      </left>
      <right style="thin">
        <color rgb="FFC2CDD8"/>
      </right>
      <top/>
      <bottom/>
      <diagonal/>
    </border>
    <border>
      <left style="thin">
        <color rgb="FFC2CDD8"/>
      </left>
      <right/>
      <top style="thin">
        <color rgb="FFE0E0E0"/>
      </top>
      <bottom/>
      <diagonal/>
    </border>
    <border>
      <left style="thin">
        <color rgb="FFE0E0E0"/>
      </left>
      <right style="thin">
        <color rgb="FFC2CDD8"/>
      </right>
      <top/>
      <bottom style="thin">
        <color rgb="FFE0E0E0"/>
      </bottom>
      <diagonal/>
    </border>
    <border>
      <left style="thin">
        <color rgb="FFE0E0E0"/>
      </left>
      <right style="thin">
        <color rgb="FFE0E0E0"/>
      </right>
      <top style="thin">
        <color rgb="FFE0E0E0"/>
      </top>
      <bottom/>
      <diagonal/>
    </border>
    <border>
      <left style="thin">
        <color rgb="FFE0E0E0"/>
      </left>
      <right style="thin">
        <color rgb="FFE0E0E0"/>
      </right>
      <top/>
      <bottom/>
      <diagonal/>
    </border>
    <border>
      <left style="thin">
        <color rgb="FFE0E0E0"/>
      </left>
      <right style="thin">
        <color rgb="FFE0E0E0"/>
      </right>
      <top style="thin">
        <color theme="0" tint="-0.24994659260841701"/>
      </top>
      <bottom style="thin">
        <color theme="0" tint="-0.24994659260841701"/>
      </bottom>
      <diagonal/>
    </border>
    <border>
      <left style="thin">
        <color rgb="FF007402"/>
      </left>
      <right/>
      <top style="thin">
        <color rgb="FF007402"/>
      </top>
      <bottom/>
      <diagonal/>
    </border>
    <border>
      <left/>
      <right/>
      <top style="thin">
        <color rgb="FF007402"/>
      </top>
      <bottom/>
      <diagonal/>
    </border>
    <border>
      <left/>
      <right style="thin">
        <color rgb="FF007402"/>
      </right>
      <top style="thin">
        <color rgb="FF007402"/>
      </top>
      <bottom/>
      <diagonal/>
    </border>
    <border>
      <left style="thin">
        <color rgb="FF007402"/>
      </left>
      <right/>
      <top/>
      <bottom/>
      <diagonal/>
    </border>
    <border>
      <left/>
      <right style="thin">
        <color rgb="FF007402"/>
      </right>
      <top/>
      <bottom/>
      <diagonal/>
    </border>
    <border>
      <left style="thin">
        <color rgb="FF007402"/>
      </left>
      <right/>
      <top/>
      <bottom style="thin">
        <color rgb="FF007402"/>
      </bottom>
      <diagonal/>
    </border>
    <border>
      <left/>
      <right/>
      <top/>
      <bottom style="thin">
        <color rgb="FF007402"/>
      </bottom>
      <diagonal/>
    </border>
    <border>
      <left/>
      <right style="thin">
        <color rgb="FF007402"/>
      </right>
      <top/>
      <bottom style="thin">
        <color rgb="FF007402"/>
      </bottom>
      <diagonal/>
    </border>
    <border>
      <left style="thin">
        <color rgb="FFC2CDD8"/>
      </left>
      <right/>
      <top style="thin">
        <color rgb="FFC2CDD8"/>
      </top>
      <bottom style="thin">
        <color theme="1" tint="0.34998626667073579"/>
      </bottom>
      <diagonal/>
    </border>
    <border>
      <left/>
      <right/>
      <top style="thin">
        <color rgb="FFC2CDD8"/>
      </top>
      <bottom style="thin">
        <color theme="1" tint="0.34998626667073579"/>
      </bottom>
      <diagonal/>
    </border>
    <border>
      <left/>
      <right style="thin">
        <color rgb="FFC2CDD8"/>
      </right>
      <top style="thin">
        <color rgb="FFC2CDD8"/>
      </top>
      <bottom style="thin">
        <color theme="1" tint="0.34998626667073579"/>
      </bottom>
      <diagonal/>
    </border>
    <border>
      <left style="thin">
        <color rgb="FFE0E0E0"/>
      </left>
      <right style="thin">
        <color rgb="FFE0E0E0"/>
      </right>
      <top/>
      <bottom style="thin">
        <color rgb="FFE0E0E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595959"/>
      </left>
      <right style="thin">
        <color rgb="FF595959"/>
      </right>
      <top style="thin">
        <color rgb="FF595959"/>
      </top>
      <bottom style="thin">
        <color rgb="FF595959"/>
      </bottom>
      <diagonal/>
    </border>
    <border>
      <left/>
      <right style="thin">
        <color rgb="FF595959"/>
      </right>
      <top style="thin">
        <color rgb="FF595959"/>
      </top>
      <bottom style="thin">
        <color rgb="FF595959"/>
      </bottom>
      <diagonal/>
    </border>
    <border>
      <left style="thin">
        <color rgb="FF595959"/>
      </left>
      <right style="thin">
        <color rgb="FF595959"/>
      </right>
      <top/>
      <bottom style="thin">
        <color rgb="FF595959"/>
      </bottom>
      <diagonal/>
    </border>
    <border>
      <left/>
      <right style="thin">
        <color rgb="FF595959"/>
      </right>
      <top/>
      <bottom style="thin">
        <color rgb="FF595959"/>
      </bottom>
      <diagonal/>
    </border>
  </borders>
  <cellStyleXfs count="20">
    <xf numFmtId="0" fontId="0" fillId="0" borderId="0"/>
    <xf numFmtId="0" fontId="2" fillId="2" borderId="0" applyNumberFormat="0" applyBorder="0" applyAlignment="0" applyProtection="0"/>
    <xf numFmtId="9" fontId="5" fillId="0" borderId="0" applyFont="0" applyFill="0" applyBorder="0" applyAlignment="0" applyProtection="0"/>
    <xf numFmtId="0" fontId="5" fillId="0" borderId="0"/>
    <xf numFmtId="0" fontId="1" fillId="0" borderId="0"/>
    <xf numFmtId="44" fontId="5" fillId="0" borderId="0" applyFont="0" applyFill="0" applyBorder="0" applyAlignment="0" applyProtection="0"/>
    <xf numFmtId="0" fontId="61" fillId="7" borderId="0" applyNumberFormat="0" applyBorder="0" applyAlignment="0" applyProtection="0"/>
    <xf numFmtId="0" fontId="72" fillId="0" borderId="0" applyNumberFormat="0" applyFill="0" applyBorder="0" applyAlignment="0" applyProtection="0"/>
    <xf numFmtId="0" fontId="1" fillId="0" borderId="0"/>
    <xf numFmtId="0" fontId="5" fillId="0" borderId="0"/>
    <xf numFmtId="0" fontId="104" fillId="28" borderId="0" applyNumberFormat="0" applyBorder="0" applyAlignment="0" applyProtection="0"/>
    <xf numFmtId="0" fontId="1" fillId="0" borderId="0"/>
    <xf numFmtId="0" fontId="109" fillId="0" borderId="0"/>
    <xf numFmtId="0" fontId="1" fillId="0" borderId="0"/>
    <xf numFmtId="0" fontId="84" fillId="0" borderId="0"/>
    <xf numFmtId="0" fontId="1" fillId="0" borderId="0"/>
    <xf numFmtId="9" fontId="1" fillId="0" borderId="0" applyFont="0" applyFill="0" applyBorder="0" applyAlignment="0" applyProtection="0"/>
    <xf numFmtId="0" fontId="114" fillId="0" borderId="0" applyNumberForma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1631">
    <xf numFmtId="0" fontId="0" fillId="0" borderId="0" xfId="0"/>
    <xf numFmtId="0" fontId="5" fillId="0" borderId="0" xfId="3" applyProtection="1">
      <protection locked="0"/>
    </xf>
    <xf numFmtId="0" fontId="5" fillId="0" borderId="0" xfId="3"/>
    <xf numFmtId="166" fontId="6" fillId="0" borderId="0" xfId="3" applyNumberFormat="1" applyFont="1"/>
    <xf numFmtId="0" fontId="5" fillId="0" borderId="2" xfId="3" applyBorder="1"/>
    <xf numFmtId="0" fontId="5" fillId="0" borderId="3" xfId="3" applyBorder="1"/>
    <xf numFmtId="0" fontId="5" fillId="3" borderId="5" xfId="3" applyFill="1" applyBorder="1"/>
    <xf numFmtId="0" fontId="8" fillId="4" borderId="0" xfId="3" applyFont="1" applyFill="1" applyAlignment="1">
      <alignment horizontal="left" vertical="center"/>
    </xf>
    <xf numFmtId="0" fontId="9" fillId="0" borderId="0" xfId="3" applyFont="1" applyAlignment="1">
      <alignment vertical="center"/>
    </xf>
    <xf numFmtId="14" fontId="10" fillId="0" borderId="6" xfId="3" applyNumberFormat="1" applyFont="1" applyBorder="1" applyAlignment="1" applyProtection="1">
      <alignment horizontal="right" vertical="center" indent="1"/>
      <protection locked="0"/>
    </xf>
    <xf numFmtId="0" fontId="11" fillId="0" borderId="0" xfId="4" applyFont="1"/>
    <xf numFmtId="14" fontId="12" fillId="0" borderId="6" xfId="3" applyNumberFormat="1" applyFont="1" applyBorder="1" applyAlignment="1" applyProtection="1">
      <alignment horizontal="center" vertical="center"/>
      <protection locked="0"/>
    </xf>
    <xf numFmtId="10" fontId="10" fillId="0" borderId="6" xfId="2" applyNumberFormat="1" applyFont="1" applyBorder="1" applyAlignment="1" applyProtection="1">
      <alignment horizontal="right" vertical="center" indent="1"/>
      <protection locked="0"/>
    </xf>
    <xf numFmtId="14" fontId="10" fillId="0" borderId="6" xfId="3" applyNumberFormat="1" applyFont="1" applyBorder="1" applyAlignment="1" applyProtection="1">
      <alignment horizontal="center" vertical="center"/>
      <protection locked="0"/>
    </xf>
    <xf numFmtId="17" fontId="10" fillId="0" borderId="6" xfId="3" applyNumberFormat="1" applyFont="1" applyBorder="1" applyAlignment="1" applyProtection="1">
      <alignment horizontal="center" vertical="center"/>
      <protection locked="0"/>
    </xf>
    <xf numFmtId="0" fontId="13" fillId="0" borderId="0" xfId="4" applyFont="1"/>
    <xf numFmtId="166" fontId="10" fillId="0" borderId="6" xfId="3" applyNumberFormat="1" applyFont="1" applyBorder="1" applyAlignment="1" applyProtection="1">
      <alignment horizontal="right" vertical="center" indent="1"/>
      <protection locked="0"/>
    </xf>
    <xf numFmtId="0" fontId="14" fillId="0" borderId="0" xfId="3" applyFont="1" applyAlignment="1">
      <alignment horizontal="left" vertical="center"/>
    </xf>
    <xf numFmtId="166" fontId="12" fillId="3" borderId="6" xfId="3" applyNumberFormat="1" applyFont="1" applyFill="1" applyBorder="1" applyAlignment="1" applyProtection="1">
      <alignment horizontal="right" vertical="center" indent="1"/>
      <protection locked="0"/>
    </xf>
    <xf numFmtId="0" fontId="11" fillId="0" borderId="0" xfId="4" applyFont="1" applyAlignment="1">
      <alignment horizontal="left"/>
    </xf>
    <xf numFmtId="0" fontId="5" fillId="0" borderId="9" xfId="3" applyBorder="1"/>
    <xf numFmtId="0" fontId="5" fillId="4" borderId="3" xfId="3" applyFill="1" applyBorder="1"/>
    <xf numFmtId="0" fontId="5" fillId="4" borderId="5" xfId="3" applyFill="1" applyBorder="1"/>
    <xf numFmtId="0" fontId="6" fillId="0" borderId="0" xfId="3" applyFont="1"/>
    <xf numFmtId="0" fontId="17" fillId="0" borderId="0" xfId="3" applyFont="1" applyAlignment="1">
      <alignment vertical="center"/>
    </xf>
    <xf numFmtId="166" fontId="9" fillId="0" borderId="6" xfId="3" applyNumberFormat="1" applyFont="1" applyBorder="1" applyAlignment="1" applyProtection="1">
      <alignment horizontal="left" vertical="center" indent="1"/>
      <protection locked="0"/>
    </xf>
    <xf numFmtId="166" fontId="21" fillId="3" borderId="6" xfId="3" applyNumberFormat="1" applyFont="1" applyFill="1" applyBorder="1" applyAlignment="1">
      <alignment horizontal="left" vertical="center" indent="1"/>
    </xf>
    <xf numFmtId="0" fontId="5" fillId="3" borderId="0" xfId="3" applyFill="1"/>
    <xf numFmtId="0" fontId="22" fillId="3" borderId="0" xfId="3" applyFont="1" applyFill="1" applyAlignment="1">
      <alignment vertical="center" wrapText="1"/>
    </xf>
    <xf numFmtId="0" fontId="5" fillId="4" borderId="2" xfId="3" applyFill="1" applyBorder="1"/>
    <xf numFmtId="166" fontId="23" fillId="4" borderId="0" xfId="3" applyNumberFormat="1" applyFont="1" applyFill="1" applyAlignment="1">
      <alignment horizontal="right" vertical="center"/>
    </xf>
    <xf numFmtId="2" fontId="5" fillId="0" borderId="0" xfId="3" applyNumberFormat="1"/>
    <xf numFmtId="0" fontId="21" fillId="0" borderId="0" xfId="3" applyFont="1" applyAlignment="1">
      <alignment vertical="center"/>
    </xf>
    <xf numFmtId="0" fontId="5" fillId="4" borderId="8" xfId="3" applyFill="1" applyBorder="1"/>
    <xf numFmtId="0" fontId="5" fillId="4" borderId="0" xfId="3" applyFill="1"/>
    <xf numFmtId="0" fontId="26" fillId="0" borderId="0" xfId="3" applyFont="1" applyAlignment="1">
      <alignment vertical="center" wrapText="1"/>
    </xf>
    <xf numFmtId="0" fontId="10" fillId="0" borderId="0" xfId="3" applyFont="1" applyAlignment="1">
      <alignment vertical="center"/>
    </xf>
    <xf numFmtId="0" fontId="21" fillId="0" borderId="0" xfId="3" applyFont="1" applyAlignment="1" applyProtection="1">
      <alignment vertical="center"/>
      <protection hidden="1"/>
    </xf>
    <xf numFmtId="0" fontId="5" fillId="4" borderId="5" xfId="3" applyFill="1" applyBorder="1" applyProtection="1">
      <protection hidden="1"/>
    </xf>
    <xf numFmtId="0" fontId="10" fillId="0" borderId="0" xfId="3" applyFont="1" applyAlignment="1" applyProtection="1">
      <alignment vertical="center"/>
      <protection hidden="1"/>
    </xf>
    <xf numFmtId="0" fontId="5" fillId="0" borderId="0" xfId="3" applyProtection="1">
      <protection hidden="1"/>
    </xf>
    <xf numFmtId="0" fontId="10" fillId="3" borderId="6" xfId="3" applyFont="1" applyFill="1" applyBorder="1" applyAlignment="1" applyProtection="1">
      <alignment horizontal="left" vertical="center"/>
      <protection hidden="1"/>
    </xf>
    <xf numFmtId="8" fontId="28" fillId="4" borderId="0" xfId="3" applyNumberFormat="1" applyFont="1" applyFill="1" applyAlignment="1">
      <alignment horizontal="right" vertical="center"/>
    </xf>
    <xf numFmtId="0" fontId="29" fillId="4" borderId="0" xfId="3" applyFont="1" applyFill="1" applyAlignment="1" applyProtection="1">
      <alignment horizontal="left" vertical="center"/>
      <protection hidden="1"/>
    </xf>
    <xf numFmtId="8" fontId="28" fillId="4" borderId="0" xfId="3" applyNumberFormat="1" applyFont="1" applyFill="1" applyAlignment="1">
      <alignment horizontal="left" vertical="center"/>
    </xf>
    <xf numFmtId="0" fontId="5" fillId="0" borderId="0" xfId="3" applyAlignment="1">
      <alignment horizontal="left"/>
    </xf>
    <xf numFmtId="166" fontId="21" fillId="0" borderId="0" xfId="3" applyNumberFormat="1" applyFont="1" applyAlignment="1">
      <alignment horizontal="left" vertical="center" indent="1"/>
    </xf>
    <xf numFmtId="0" fontId="27" fillId="4" borderId="0" xfId="3" applyFont="1" applyFill="1" applyProtection="1">
      <protection hidden="1"/>
    </xf>
    <xf numFmtId="0" fontId="31" fillId="0" borderId="0" xfId="3" applyFont="1" applyAlignment="1">
      <alignment vertical="center"/>
    </xf>
    <xf numFmtId="0" fontId="32" fillId="0" borderId="0" xfId="3" applyFont="1" applyAlignment="1">
      <alignment vertical="center"/>
    </xf>
    <xf numFmtId="0" fontId="33" fillId="0" borderId="0" xfId="3" applyFont="1"/>
    <xf numFmtId="0" fontId="32" fillId="0" borderId="0" xfId="3" applyFont="1" applyAlignment="1" applyProtection="1">
      <alignment vertical="center"/>
      <protection hidden="1"/>
    </xf>
    <xf numFmtId="166" fontId="35" fillId="4" borderId="0" xfId="3" applyNumberFormat="1" applyFont="1" applyFill="1" applyAlignment="1" applyProtection="1">
      <alignment horizontal="right" vertical="center"/>
      <protection hidden="1"/>
    </xf>
    <xf numFmtId="166" fontId="10" fillId="3" borderId="6" xfId="3" applyNumberFormat="1" applyFont="1" applyFill="1" applyBorder="1" applyAlignment="1">
      <alignment horizontal="left" vertical="center" indent="1"/>
    </xf>
    <xf numFmtId="166" fontId="5" fillId="0" borderId="0" xfId="3" applyNumberFormat="1"/>
    <xf numFmtId="166" fontId="21" fillId="0" borderId="0" xfId="3" applyNumberFormat="1" applyFont="1" applyAlignment="1">
      <alignment horizontal="right" vertical="center" indent="1"/>
    </xf>
    <xf numFmtId="166" fontId="15" fillId="4" borderId="0" xfId="3" applyNumberFormat="1" applyFont="1" applyFill="1" applyAlignment="1" applyProtection="1">
      <alignment horizontal="right" vertical="center"/>
      <protection hidden="1"/>
    </xf>
    <xf numFmtId="0" fontId="21" fillId="0" borderId="0" xfId="3" applyFont="1" applyAlignment="1">
      <alignment horizontal="left" vertical="center" indent="1"/>
    </xf>
    <xf numFmtId="0" fontId="21" fillId="0" borderId="0" xfId="3" applyFont="1" applyAlignment="1">
      <alignment horizontal="center" vertical="center"/>
    </xf>
    <xf numFmtId="8" fontId="16" fillId="4" borderId="0" xfId="3" applyNumberFormat="1" applyFont="1" applyFill="1" applyAlignment="1" applyProtection="1">
      <alignment horizontal="right" vertical="center"/>
      <protection hidden="1"/>
    </xf>
    <xf numFmtId="166" fontId="0" fillId="0" borderId="0" xfId="2" applyNumberFormat="1" applyFont="1"/>
    <xf numFmtId="10" fontId="5" fillId="0" borderId="0" xfId="3" applyNumberFormat="1"/>
    <xf numFmtId="10" fontId="39" fillId="0" borderId="0" xfId="2" applyNumberFormat="1" applyFont="1" applyFill="1" applyBorder="1" applyAlignment="1">
      <alignment horizontal="right" vertical="center" indent="1"/>
    </xf>
    <xf numFmtId="0" fontId="21" fillId="4" borderId="0" xfId="3" applyFont="1" applyFill="1" applyAlignment="1">
      <alignment horizontal="center" vertical="center"/>
    </xf>
    <xf numFmtId="10" fontId="21" fillId="4" borderId="0" xfId="2" applyNumberFormat="1" applyFont="1" applyFill="1" applyBorder="1" applyAlignment="1">
      <alignment horizontal="right" vertical="center" indent="1"/>
    </xf>
    <xf numFmtId="10" fontId="21" fillId="0" borderId="0" xfId="2" applyNumberFormat="1" applyFont="1" applyFill="1" applyBorder="1" applyAlignment="1">
      <alignment horizontal="right" vertical="center" indent="1"/>
    </xf>
    <xf numFmtId="0" fontId="6" fillId="4" borderId="0" xfId="3" applyFont="1" applyFill="1"/>
    <xf numFmtId="0" fontId="5" fillId="0" borderId="0" xfId="3" applyAlignment="1">
      <alignment horizontal="right"/>
    </xf>
    <xf numFmtId="0" fontId="43" fillId="4" borderId="0" xfId="3" applyFont="1" applyFill="1" applyAlignment="1">
      <alignment horizontal="left" vertical="center"/>
    </xf>
    <xf numFmtId="0" fontId="5" fillId="0" borderId="0" xfId="3" quotePrefix="1"/>
    <xf numFmtId="0" fontId="5" fillId="4" borderId="3" xfId="3" applyFill="1" applyBorder="1" applyProtection="1">
      <protection hidden="1"/>
    </xf>
    <xf numFmtId="0" fontId="22" fillId="4" borderId="0" xfId="3" applyFont="1" applyFill="1" applyAlignment="1">
      <alignment vertical="center"/>
    </xf>
    <xf numFmtId="0" fontId="8" fillId="4" borderId="0" xfId="3" applyFont="1" applyFill="1" applyAlignment="1">
      <alignment vertical="center"/>
    </xf>
    <xf numFmtId="0" fontId="22" fillId="4" borderId="2" xfId="3" applyFont="1" applyFill="1" applyBorder="1" applyAlignment="1">
      <alignment vertical="center"/>
    </xf>
    <xf numFmtId="0" fontId="15" fillId="4" borderId="0" xfId="3" applyFont="1" applyFill="1" applyAlignment="1" applyProtection="1">
      <alignment horizontal="right" vertical="center"/>
      <protection hidden="1"/>
    </xf>
    <xf numFmtId="4" fontId="53" fillId="0" borderId="0" xfId="3" applyNumberFormat="1" applyFont="1"/>
    <xf numFmtId="167" fontId="5" fillId="0" borderId="0" xfId="3" applyNumberFormat="1"/>
    <xf numFmtId="10" fontId="15" fillId="4" borderId="0" xfId="2" applyNumberFormat="1" applyFont="1" applyFill="1" applyBorder="1" applyAlignment="1" applyProtection="1">
      <alignment horizontal="right" vertical="center"/>
      <protection hidden="1"/>
    </xf>
    <xf numFmtId="8" fontId="5" fillId="0" borderId="0" xfId="3" applyNumberFormat="1"/>
    <xf numFmtId="0" fontId="26" fillId="5" borderId="0" xfId="3" applyFont="1" applyFill="1" applyAlignment="1">
      <alignment vertical="center" wrapText="1"/>
    </xf>
    <xf numFmtId="0" fontId="9" fillId="0" borderId="6" xfId="3" applyFont="1" applyBorder="1" applyAlignment="1" applyProtection="1">
      <alignment horizontal="left" vertical="center" indent="1"/>
      <protection locked="0"/>
    </xf>
    <xf numFmtId="0" fontId="22" fillId="4" borderId="0" xfId="3" applyFont="1" applyFill="1" applyAlignment="1">
      <alignment horizontal="left" vertical="center"/>
    </xf>
    <xf numFmtId="10" fontId="21" fillId="3" borderId="6" xfId="2" applyNumberFormat="1" applyFont="1" applyFill="1" applyBorder="1" applyAlignment="1">
      <alignment horizontal="right" vertical="center" indent="1"/>
    </xf>
    <xf numFmtId="10" fontId="21" fillId="3" borderId="0" xfId="2" applyNumberFormat="1" applyFont="1" applyFill="1" applyBorder="1" applyAlignment="1">
      <alignment horizontal="right" vertical="center" indent="1"/>
    </xf>
    <xf numFmtId="0" fontId="22" fillId="3" borderId="0" xfId="3" applyFont="1" applyFill="1" applyAlignment="1">
      <alignment vertical="center"/>
    </xf>
    <xf numFmtId="10" fontId="7" fillId="0" borderId="0" xfId="3" applyNumberFormat="1" applyFont="1" applyAlignment="1" applyProtection="1">
      <alignment horizontal="left" vertical="center"/>
      <protection hidden="1"/>
    </xf>
    <xf numFmtId="8" fontId="7" fillId="0" borderId="0" xfId="3" applyNumberFormat="1" applyFont="1" applyAlignment="1" applyProtection="1">
      <alignment horizontal="left" vertical="center"/>
      <protection hidden="1"/>
    </xf>
    <xf numFmtId="0" fontId="9" fillId="0" borderId="0" xfId="3" applyFont="1"/>
    <xf numFmtId="0" fontId="5" fillId="6" borderId="12" xfId="3" applyFill="1" applyBorder="1"/>
    <xf numFmtId="0" fontId="5" fillId="6" borderId="0" xfId="3" applyFill="1"/>
    <xf numFmtId="0" fontId="49" fillId="6" borderId="13" xfId="3" applyFont="1" applyFill="1" applyBorder="1" applyAlignment="1">
      <alignment horizontal="left" vertical="center" wrapText="1"/>
    </xf>
    <xf numFmtId="0" fontId="49" fillId="0" borderId="8" xfId="3" applyFont="1" applyBorder="1" applyAlignment="1">
      <alignment vertical="center" wrapText="1"/>
    </xf>
    <xf numFmtId="0" fontId="55" fillId="0" borderId="0" xfId="3" applyFont="1" applyAlignment="1">
      <alignment vertical="center"/>
    </xf>
    <xf numFmtId="0" fontId="31" fillId="0" borderId="0" xfId="3" applyFont="1" applyAlignment="1" applyProtection="1">
      <alignment horizontal="left" vertical="center"/>
      <protection locked="0"/>
    </xf>
    <xf numFmtId="166" fontId="55" fillId="0" borderId="0" xfId="3" applyNumberFormat="1" applyFont="1" applyAlignment="1" applyProtection="1">
      <alignment horizontal="left" vertical="center" indent="1"/>
      <protection locked="0"/>
    </xf>
    <xf numFmtId="166" fontId="9" fillId="0" borderId="6" xfId="3" applyNumberFormat="1" applyFont="1" applyBorder="1" applyAlignment="1" applyProtection="1">
      <alignment horizontal="right" vertical="center" indent="1"/>
      <protection locked="0"/>
    </xf>
    <xf numFmtId="166" fontId="57" fillId="0" borderId="0" xfId="3" applyNumberFormat="1" applyFont="1" applyAlignment="1" applyProtection="1">
      <alignment horizontal="left" vertical="center" indent="1"/>
      <protection hidden="1"/>
    </xf>
    <xf numFmtId="0" fontId="57" fillId="0" borderId="0" xfId="3" applyFont="1" applyAlignment="1" applyProtection="1">
      <alignment horizontal="left" vertical="center" indent="1"/>
      <protection locked="0"/>
    </xf>
    <xf numFmtId="0" fontId="57" fillId="0" borderId="0" xfId="3" applyFont="1" applyAlignment="1" applyProtection="1">
      <alignment horizontal="left" vertical="center" indent="1"/>
      <protection hidden="1"/>
    </xf>
    <xf numFmtId="166" fontId="57" fillId="0" borderId="0" xfId="3" applyNumberFormat="1" applyFont="1" applyAlignment="1" applyProtection="1">
      <alignment horizontal="left" vertical="center" indent="1"/>
      <protection locked="0"/>
    </xf>
    <xf numFmtId="0" fontId="5" fillId="0" borderId="6" xfId="3" applyBorder="1"/>
    <xf numFmtId="0" fontId="61" fillId="7" borderId="0" xfId="6" applyProtection="1">
      <protection hidden="1"/>
    </xf>
    <xf numFmtId="1" fontId="63" fillId="9" borderId="15" xfId="6" applyNumberFormat="1" applyFont="1" applyFill="1" applyBorder="1"/>
    <xf numFmtId="1" fontId="63" fillId="9" borderId="16" xfId="6" applyNumberFormat="1" applyFont="1" applyFill="1" applyBorder="1"/>
    <xf numFmtId="1" fontId="63" fillId="9" borderId="17" xfId="6" applyNumberFormat="1" applyFont="1" applyFill="1" applyBorder="1"/>
    <xf numFmtId="0" fontId="64" fillId="0" borderId="0" xfId="3" applyFont="1"/>
    <xf numFmtId="0" fontId="63" fillId="10" borderId="18" xfId="6" applyFont="1" applyFill="1" applyBorder="1"/>
    <xf numFmtId="0" fontId="63" fillId="10" borderId="19" xfId="6" applyFont="1" applyFill="1" applyBorder="1"/>
    <xf numFmtId="0" fontId="5" fillId="11" borderId="15" xfId="3" applyFill="1" applyBorder="1"/>
    <xf numFmtId="0" fontId="63" fillId="10" borderId="15" xfId="6" applyFont="1" applyFill="1" applyBorder="1"/>
    <xf numFmtId="0" fontId="63" fillId="10" borderId="14" xfId="6" applyFont="1" applyFill="1" applyBorder="1"/>
    <xf numFmtId="0" fontId="63" fillId="0" borderId="15" xfId="6" applyFont="1" applyFill="1" applyBorder="1"/>
    <xf numFmtId="0" fontId="63" fillId="0" borderId="14" xfId="6" applyFont="1" applyFill="1" applyBorder="1"/>
    <xf numFmtId="0" fontId="63" fillId="12" borderId="15" xfId="6" applyFont="1" applyFill="1" applyBorder="1"/>
    <xf numFmtId="0" fontId="63" fillId="12" borderId="14" xfId="6" applyFont="1" applyFill="1" applyBorder="1"/>
    <xf numFmtId="0" fontId="6" fillId="5" borderId="6" xfId="3" applyFont="1" applyFill="1" applyBorder="1"/>
    <xf numFmtId="0" fontId="8" fillId="4" borderId="6" xfId="3" applyFont="1" applyFill="1" applyBorder="1" applyAlignment="1">
      <alignment horizontal="left" vertical="center"/>
    </xf>
    <xf numFmtId="0" fontId="5" fillId="13" borderId="6" xfId="3" applyFill="1" applyBorder="1"/>
    <xf numFmtId="0" fontId="63" fillId="0" borderId="20" xfId="6" applyFont="1" applyFill="1" applyBorder="1"/>
    <xf numFmtId="0" fontId="63" fillId="0" borderId="21" xfId="6" applyFont="1" applyFill="1" applyBorder="1"/>
    <xf numFmtId="0" fontId="63" fillId="12" borderId="22" xfId="6" applyFont="1" applyFill="1" applyBorder="1"/>
    <xf numFmtId="0" fontId="63" fillId="12" borderId="23" xfId="6" applyFont="1" applyFill="1" applyBorder="1"/>
    <xf numFmtId="0" fontId="63" fillId="12" borderId="24" xfId="6" applyFont="1" applyFill="1" applyBorder="1"/>
    <xf numFmtId="0" fontId="63" fillId="12" borderId="25" xfId="6" applyFont="1" applyFill="1" applyBorder="1"/>
    <xf numFmtId="0" fontId="67" fillId="0" borderId="0" xfId="3" applyFont="1"/>
    <xf numFmtId="0" fontId="63" fillId="0" borderId="22" xfId="6" applyFont="1" applyFill="1" applyBorder="1"/>
    <xf numFmtId="0" fontId="63" fillId="0" borderId="23" xfId="6" applyFont="1" applyFill="1" applyBorder="1"/>
    <xf numFmtId="0" fontId="63" fillId="0" borderId="24" xfId="6" applyFont="1" applyFill="1" applyBorder="1"/>
    <xf numFmtId="0" fontId="63" fillId="0" borderId="25" xfId="6" applyFont="1" applyFill="1" applyBorder="1"/>
    <xf numFmtId="0" fontId="5" fillId="3" borderId="15" xfId="3" applyFill="1" applyBorder="1"/>
    <xf numFmtId="0" fontId="8" fillId="4" borderId="6" xfId="3" applyFont="1" applyFill="1" applyBorder="1" applyAlignment="1">
      <alignment vertical="center"/>
    </xf>
    <xf numFmtId="0" fontId="63" fillId="12" borderId="17" xfId="6" applyFont="1" applyFill="1" applyBorder="1"/>
    <xf numFmtId="0" fontId="68" fillId="0" borderId="0" xfId="3" applyFont="1"/>
    <xf numFmtId="0" fontId="63" fillId="12" borderId="18" xfId="6" applyFont="1" applyFill="1" applyBorder="1"/>
    <xf numFmtId="0" fontId="63" fillId="12" borderId="19" xfId="6" applyFont="1" applyFill="1" applyBorder="1"/>
    <xf numFmtId="0" fontId="5" fillId="11" borderId="14" xfId="3" applyFill="1" applyBorder="1"/>
    <xf numFmtId="0" fontId="5" fillId="3" borderId="14" xfId="3" applyFill="1" applyBorder="1"/>
    <xf numFmtId="0" fontId="69" fillId="0" borderId="0" xfId="3" applyFont="1"/>
    <xf numFmtId="0" fontId="70" fillId="14" borderId="14" xfId="3" applyFont="1" applyFill="1" applyBorder="1"/>
    <xf numFmtId="0" fontId="61" fillId="7" borderId="26" xfId="6" applyBorder="1"/>
    <xf numFmtId="0" fontId="61" fillId="7" borderId="27" xfId="6" applyBorder="1"/>
    <xf numFmtId="0" fontId="5" fillId="15" borderId="28" xfId="3" applyFill="1" applyBorder="1"/>
    <xf numFmtId="0" fontId="5" fillId="0" borderId="14" xfId="3" applyBorder="1"/>
    <xf numFmtId="10" fontId="71" fillId="16" borderId="14" xfId="2" applyNumberFormat="1" applyFont="1" applyFill="1" applyBorder="1"/>
    <xf numFmtId="0" fontId="72" fillId="0" borderId="0" xfId="7"/>
    <xf numFmtId="0" fontId="6" fillId="17" borderId="14" xfId="3" applyFont="1" applyFill="1" applyBorder="1"/>
    <xf numFmtId="10" fontId="71" fillId="18" borderId="14" xfId="2" applyNumberFormat="1" applyFont="1" applyFill="1" applyBorder="1"/>
    <xf numFmtId="0" fontId="63" fillId="0" borderId="14" xfId="6" applyNumberFormat="1" applyFont="1" applyFill="1" applyBorder="1"/>
    <xf numFmtId="0" fontId="73" fillId="0" borderId="14" xfId="3" applyFont="1" applyBorder="1"/>
    <xf numFmtId="0" fontId="73" fillId="0" borderId="0" xfId="3" applyFont="1"/>
    <xf numFmtId="0" fontId="6" fillId="19" borderId="0" xfId="3" applyFont="1" applyFill="1"/>
    <xf numFmtId="0" fontId="73" fillId="13" borderId="14" xfId="3" applyFont="1" applyFill="1" applyBorder="1" applyAlignment="1">
      <alignment wrapText="1"/>
    </xf>
    <xf numFmtId="0" fontId="33" fillId="0" borderId="28" xfId="3" applyFont="1" applyBorder="1"/>
    <xf numFmtId="0" fontId="62" fillId="4" borderId="22" xfId="6" applyFont="1" applyFill="1" applyBorder="1"/>
    <xf numFmtId="166" fontId="39" fillId="3" borderId="6" xfId="3" applyNumberFormat="1" applyFont="1" applyFill="1" applyBorder="1" applyAlignment="1">
      <alignment horizontal="left" vertical="center" indent="1"/>
    </xf>
    <xf numFmtId="166" fontId="39" fillId="3" borderId="29" xfId="3" applyNumberFormat="1" applyFont="1" applyFill="1" applyBorder="1" applyAlignment="1">
      <alignment horizontal="left" vertical="center" indent="1"/>
    </xf>
    <xf numFmtId="0" fontId="5" fillId="20" borderId="0" xfId="3" applyFill="1"/>
    <xf numFmtId="0" fontId="22" fillId="4" borderId="0" xfId="3" applyFont="1" applyFill="1" applyAlignment="1">
      <alignment horizontal="left" vertical="center" wrapText="1"/>
    </xf>
    <xf numFmtId="0" fontId="16" fillId="4" borderId="0" xfId="3" applyFont="1" applyFill="1" applyAlignment="1">
      <alignment horizontal="left" vertical="center"/>
    </xf>
    <xf numFmtId="166" fontId="21" fillId="0" borderId="6" xfId="3" applyNumberFormat="1" applyFont="1" applyBorder="1" applyAlignment="1">
      <alignment horizontal="left" vertical="center" indent="1"/>
    </xf>
    <xf numFmtId="0" fontId="21" fillId="0" borderId="6" xfId="3" applyFont="1" applyBorder="1" applyAlignment="1">
      <alignment horizontal="right" vertical="center" indent="1"/>
    </xf>
    <xf numFmtId="0" fontId="74" fillId="4" borderId="0" xfId="3" applyFont="1" applyFill="1" applyAlignment="1">
      <alignment horizontal="left" vertical="center"/>
    </xf>
    <xf numFmtId="0" fontId="16" fillId="4" borderId="10" xfId="3" applyFont="1" applyFill="1" applyBorder="1" applyAlignment="1">
      <alignment horizontal="left" vertical="center"/>
    </xf>
    <xf numFmtId="0" fontId="16" fillId="4" borderId="11" xfId="3" applyFont="1" applyFill="1" applyBorder="1" applyAlignment="1">
      <alignment horizontal="left" vertical="center"/>
    </xf>
    <xf numFmtId="0" fontId="5" fillId="0" borderId="11" xfId="3" applyBorder="1"/>
    <xf numFmtId="0" fontId="16" fillId="4" borderId="10" xfId="3" applyFont="1" applyFill="1" applyBorder="1" applyAlignment="1">
      <alignment horizontal="left" vertical="center" wrapText="1"/>
    </xf>
    <xf numFmtId="0" fontId="74" fillId="4" borderId="6" xfId="3" applyFont="1" applyFill="1" applyBorder="1" applyAlignment="1">
      <alignment horizontal="left" vertical="center"/>
    </xf>
    <xf numFmtId="0" fontId="5" fillId="0" borderId="30" xfId="3" applyBorder="1"/>
    <xf numFmtId="0" fontId="9" fillId="3" borderId="6" xfId="3" applyFont="1" applyFill="1" applyBorder="1" applyAlignment="1">
      <alignment horizontal="right" vertical="center" indent="1"/>
    </xf>
    <xf numFmtId="166" fontId="9" fillId="3" borderId="6" xfId="3" applyNumberFormat="1" applyFont="1" applyFill="1" applyBorder="1" applyAlignment="1">
      <alignment horizontal="left" vertical="center" indent="1"/>
    </xf>
    <xf numFmtId="0" fontId="9" fillId="0" borderId="6" xfId="3" applyFont="1" applyBorder="1" applyAlignment="1" applyProtection="1">
      <alignment horizontal="right" vertical="center" indent="1"/>
      <protection locked="0"/>
    </xf>
    <xf numFmtId="0" fontId="5" fillId="0" borderId="31" xfId="3" applyBorder="1"/>
    <xf numFmtId="17" fontId="10" fillId="0" borderId="0" xfId="3" applyNumberFormat="1" applyFont="1" applyAlignment="1" applyProtection="1">
      <alignment horizontal="center" vertical="center"/>
      <protection locked="0"/>
    </xf>
    <xf numFmtId="166" fontId="12" fillId="3" borderId="30" xfId="3" applyNumberFormat="1" applyFont="1" applyFill="1" applyBorder="1" applyAlignment="1">
      <alignment horizontal="right" vertical="center" indent="1"/>
    </xf>
    <xf numFmtId="166" fontId="11" fillId="0" borderId="0" xfId="4" applyNumberFormat="1" applyFont="1" applyAlignment="1" applyProtection="1">
      <alignment horizontal="right" indent="1"/>
      <protection hidden="1"/>
    </xf>
    <xf numFmtId="166" fontId="12" fillId="3" borderId="6" xfId="3" applyNumberFormat="1" applyFont="1" applyFill="1" applyBorder="1" applyAlignment="1">
      <alignment horizontal="right" vertical="center" indent="1"/>
    </xf>
    <xf numFmtId="0" fontId="5" fillId="0" borderId="32" xfId="3" applyBorder="1"/>
    <xf numFmtId="166" fontId="10" fillId="0" borderId="0" xfId="3" applyNumberFormat="1" applyFont="1" applyAlignment="1" applyProtection="1">
      <alignment horizontal="right" vertical="center" indent="1"/>
      <protection locked="0"/>
    </xf>
    <xf numFmtId="0" fontId="5" fillId="0" borderId="33" xfId="3" applyBorder="1"/>
    <xf numFmtId="0" fontId="5" fillId="0" borderId="34" xfId="3" applyBorder="1"/>
    <xf numFmtId="17" fontId="9" fillId="0" borderId="0" xfId="3" applyNumberFormat="1" applyFont="1" applyAlignment="1">
      <alignment horizontal="right" vertical="center" indent="1"/>
    </xf>
    <xf numFmtId="0" fontId="33" fillId="0" borderId="33" xfId="3" applyFont="1" applyBorder="1"/>
    <xf numFmtId="0" fontId="74" fillId="4" borderId="35" xfId="3" applyFont="1" applyFill="1" applyBorder="1" applyAlignment="1">
      <alignment horizontal="left" vertical="center"/>
    </xf>
    <xf numFmtId="0" fontId="33" fillId="0" borderId="34" xfId="3" applyFont="1" applyBorder="1"/>
    <xf numFmtId="0" fontId="9" fillId="0" borderId="6" xfId="3" applyFont="1" applyBorder="1" applyAlignment="1">
      <alignment vertical="center"/>
    </xf>
    <xf numFmtId="14" fontId="10" fillId="0" borderId="11" xfId="3" applyNumberFormat="1" applyFont="1" applyBorder="1" applyAlignment="1" applyProtection="1">
      <alignment horizontal="right" vertical="center" indent="1"/>
      <protection locked="0"/>
    </xf>
    <xf numFmtId="166" fontId="9" fillId="3" borderId="10" xfId="3" applyNumberFormat="1" applyFont="1" applyFill="1" applyBorder="1" applyAlignment="1">
      <alignment horizontal="left" vertical="center" indent="1"/>
    </xf>
    <xf numFmtId="166" fontId="9" fillId="0" borderId="11" xfId="3" applyNumberFormat="1" applyFont="1" applyBorder="1" applyAlignment="1" applyProtection="1">
      <alignment horizontal="left" vertical="center" indent="1"/>
      <protection locked="0"/>
    </xf>
    <xf numFmtId="0" fontId="5" fillId="0" borderId="36" xfId="3" applyBorder="1"/>
    <xf numFmtId="10" fontId="77" fillId="4" borderId="0" xfId="2" applyNumberFormat="1" applyFont="1" applyFill="1" applyBorder="1" applyAlignment="1" applyProtection="1">
      <alignment horizontal="right"/>
      <protection hidden="1"/>
    </xf>
    <xf numFmtId="0" fontId="57" fillId="0" borderId="0" xfId="3" applyFont="1" applyAlignment="1">
      <alignment vertical="center"/>
    </xf>
    <xf numFmtId="0" fontId="5" fillId="0" borderId="0" xfId="3" applyAlignment="1">
      <alignment horizontal="center"/>
    </xf>
    <xf numFmtId="168" fontId="0" fillId="0" borderId="0" xfId="5" applyNumberFormat="1" applyFont="1" applyBorder="1"/>
    <xf numFmtId="168" fontId="1" fillId="0" borderId="0" xfId="5" applyNumberFormat="1" applyFont="1" applyBorder="1"/>
    <xf numFmtId="168" fontId="0" fillId="0" borderId="0" xfId="5" applyNumberFormat="1" applyFont="1" applyBorder="1" applyProtection="1"/>
    <xf numFmtId="0" fontId="39" fillId="0" borderId="0" xfId="3" applyFont="1"/>
    <xf numFmtId="168" fontId="10" fillId="4" borderId="0" xfId="5" applyNumberFormat="1" applyFont="1" applyFill="1" applyBorder="1" applyAlignment="1" applyProtection="1">
      <alignment horizontal="right"/>
      <protection locked="0"/>
    </xf>
    <xf numFmtId="168" fontId="0" fillId="0" borderId="0" xfId="5" applyNumberFormat="1" applyFont="1" applyFill="1" applyBorder="1" applyAlignment="1" applyProtection="1">
      <alignment horizontal="right"/>
    </xf>
    <xf numFmtId="169" fontId="10" fillId="3" borderId="6" xfId="3" applyNumberFormat="1" applyFont="1" applyFill="1" applyBorder="1" applyAlignment="1" applyProtection="1">
      <alignment horizontal="right" vertical="center" indent="1"/>
      <protection hidden="1"/>
    </xf>
    <xf numFmtId="168" fontId="0" fillId="4" borderId="0" xfId="5" applyNumberFormat="1" applyFont="1" applyFill="1" applyBorder="1" applyProtection="1">
      <protection hidden="1"/>
    </xf>
    <xf numFmtId="168" fontId="0" fillId="0" borderId="0" xfId="5" applyNumberFormat="1" applyFont="1" applyBorder="1" applyProtection="1">
      <protection hidden="1"/>
    </xf>
    <xf numFmtId="169" fontId="87" fillId="0" borderId="0" xfId="5" applyNumberFormat="1" applyFont="1" applyBorder="1" applyAlignment="1" applyProtection="1">
      <alignment horizontal="right" vertical="center"/>
      <protection hidden="1"/>
    </xf>
    <xf numFmtId="168" fontId="88" fillId="0" borderId="0" xfId="5" applyNumberFormat="1" applyFont="1" applyBorder="1" applyAlignment="1" applyProtection="1">
      <alignment horizontal="right"/>
      <protection hidden="1"/>
    </xf>
    <xf numFmtId="168" fontId="84" fillId="0" borderId="0" xfId="5" applyNumberFormat="1" applyFont="1" applyBorder="1" applyProtection="1">
      <protection hidden="1"/>
    </xf>
    <xf numFmtId="0" fontId="94" fillId="0" borderId="0" xfId="3" applyFont="1" applyAlignment="1">
      <alignment horizontal="left" vertical="center"/>
    </xf>
    <xf numFmtId="0" fontId="33" fillId="0" borderId="14" xfId="3" applyFont="1" applyBorder="1"/>
    <xf numFmtId="0" fontId="101" fillId="0" borderId="0" xfId="3" applyFont="1" applyAlignment="1">
      <alignment horizontal="left"/>
    </xf>
    <xf numFmtId="2" fontId="6" fillId="22" borderId="14" xfId="3" applyNumberFormat="1" applyFont="1" applyFill="1" applyBorder="1"/>
    <xf numFmtId="0" fontId="102" fillId="23" borderId="14" xfId="3" applyFont="1" applyFill="1" applyBorder="1"/>
    <xf numFmtId="2" fontId="102" fillId="24" borderId="14" xfId="3" applyNumberFormat="1" applyFont="1" applyFill="1" applyBorder="1" applyAlignment="1">
      <alignment horizontal="center"/>
    </xf>
    <xf numFmtId="2" fontId="102" fillId="23" borderId="14" xfId="3" applyNumberFormat="1" applyFont="1" applyFill="1" applyBorder="1" applyAlignment="1">
      <alignment horizontal="center"/>
    </xf>
    <xf numFmtId="2" fontId="6" fillId="22" borderId="19" xfId="3" applyNumberFormat="1" applyFont="1" applyFill="1" applyBorder="1"/>
    <xf numFmtId="0" fontId="63" fillId="0" borderId="14" xfId="6" quotePrefix="1" applyNumberFormat="1" applyFont="1" applyFill="1" applyBorder="1"/>
    <xf numFmtId="14" fontId="63" fillId="0" borderId="14" xfId="6" applyNumberFormat="1" applyFont="1" applyFill="1" applyBorder="1"/>
    <xf numFmtId="0" fontId="101" fillId="0" borderId="0" xfId="3" applyFont="1" applyAlignment="1">
      <alignment horizontal="center"/>
    </xf>
    <xf numFmtId="0" fontId="63" fillId="12" borderId="14" xfId="6" applyNumberFormat="1" applyFont="1" applyFill="1" applyBorder="1"/>
    <xf numFmtId="49" fontId="63" fillId="0" borderId="14" xfId="6" applyNumberFormat="1" applyFont="1" applyFill="1" applyBorder="1"/>
    <xf numFmtId="49" fontId="63" fillId="12" borderId="14" xfId="6" applyNumberFormat="1" applyFont="1" applyFill="1" applyBorder="1"/>
    <xf numFmtId="0" fontId="103" fillId="14" borderId="14" xfId="3" applyFont="1" applyFill="1" applyBorder="1" applyAlignment="1">
      <alignment vertical="center"/>
    </xf>
    <xf numFmtId="1" fontId="72" fillId="0" borderId="14" xfId="7" applyNumberFormat="1" applyFill="1" applyBorder="1"/>
    <xf numFmtId="1" fontId="72" fillId="12" borderId="14" xfId="7" applyNumberFormat="1" applyFill="1" applyBorder="1"/>
    <xf numFmtId="0" fontId="63" fillId="25" borderId="14" xfId="6" applyFont="1" applyFill="1" applyBorder="1"/>
    <xf numFmtId="2" fontId="102" fillId="26" borderId="14" xfId="3" applyNumberFormat="1" applyFont="1" applyFill="1" applyBorder="1" applyAlignment="1">
      <alignment horizontal="center"/>
    </xf>
    <xf numFmtId="22" fontId="5" fillId="0" borderId="0" xfId="3" applyNumberFormat="1"/>
    <xf numFmtId="0" fontId="6" fillId="27" borderId="14" xfId="3" applyFont="1" applyFill="1" applyBorder="1"/>
    <xf numFmtId="2" fontId="6" fillId="17" borderId="14" xfId="3" applyNumberFormat="1" applyFont="1" applyFill="1" applyBorder="1"/>
    <xf numFmtId="0" fontId="104" fillId="17" borderId="14" xfId="10" applyFill="1" applyBorder="1" applyAlignment="1">
      <alignment horizontal="left"/>
    </xf>
    <xf numFmtId="0" fontId="6" fillId="22" borderId="14" xfId="3" applyFont="1" applyFill="1" applyBorder="1"/>
    <xf numFmtId="0" fontId="70" fillId="29" borderId="14" xfId="3" applyFont="1" applyFill="1" applyBorder="1"/>
    <xf numFmtId="1" fontId="63" fillId="0" borderId="14" xfId="6" applyNumberFormat="1" applyFont="1" applyFill="1" applyBorder="1"/>
    <xf numFmtId="0" fontId="63" fillId="12" borderId="14" xfId="6" applyFont="1" applyFill="1" applyBorder="1" applyAlignment="1">
      <alignment wrapText="1"/>
    </xf>
    <xf numFmtId="0" fontId="63" fillId="0" borderId="14" xfId="6" applyFont="1" applyFill="1" applyBorder="1" applyAlignment="1">
      <alignment wrapText="1"/>
    </xf>
    <xf numFmtId="0" fontId="63" fillId="4" borderId="14" xfId="6" applyFont="1" applyFill="1" applyBorder="1"/>
    <xf numFmtId="169" fontId="104" fillId="17" borderId="14" xfId="10" applyNumberFormat="1" applyFill="1" applyBorder="1" applyAlignment="1">
      <alignment horizontal="left"/>
    </xf>
    <xf numFmtId="1" fontId="63" fillId="0" borderId="15" xfId="6" applyNumberFormat="1" applyFont="1" applyFill="1" applyBorder="1"/>
    <xf numFmtId="1" fontId="63" fillId="12" borderId="15" xfId="6" applyNumberFormat="1" applyFont="1" applyFill="1" applyBorder="1"/>
    <xf numFmtId="1" fontId="63" fillId="12" borderId="14" xfId="6" applyNumberFormat="1" applyFont="1" applyFill="1" applyBorder="1"/>
    <xf numFmtId="0" fontId="63" fillId="0" borderId="14" xfId="6" applyFont="1" applyFill="1" applyBorder="1" applyAlignment="1">
      <alignment horizontal="center"/>
    </xf>
    <xf numFmtId="0" fontId="63" fillId="12" borderId="14" xfId="6" applyFont="1" applyFill="1" applyBorder="1" applyAlignment="1">
      <alignment horizontal="center"/>
    </xf>
    <xf numFmtId="0" fontId="104" fillId="22" borderId="14" xfId="10" applyFill="1" applyBorder="1" applyAlignment="1">
      <alignment horizontal="left"/>
    </xf>
    <xf numFmtId="170" fontId="63" fillId="0" borderId="14" xfId="6" applyNumberFormat="1" applyFont="1" applyFill="1" applyBorder="1"/>
    <xf numFmtId="170" fontId="63" fillId="12" borderId="14" xfId="6" applyNumberFormat="1" applyFont="1" applyFill="1" applyBorder="1"/>
    <xf numFmtId="0" fontId="6" fillId="17" borderId="19" xfId="3" applyFont="1" applyFill="1" applyBorder="1"/>
    <xf numFmtId="0" fontId="6" fillId="22" borderId="19" xfId="3" applyFont="1" applyFill="1" applyBorder="1"/>
    <xf numFmtId="2" fontId="63" fillId="0" borderId="14" xfId="6" applyNumberFormat="1" applyFont="1" applyFill="1" applyBorder="1"/>
    <xf numFmtId="0" fontId="5" fillId="12" borderId="14" xfId="3" applyFill="1" applyBorder="1"/>
    <xf numFmtId="2" fontId="102" fillId="23" borderId="14" xfId="3" applyNumberFormat="1" applyFont="1" applyFill="1" applyBorder="1" applyAlignment="1">
      <alignment horizontal="left"/>
    </xf>
    <xf numFmtId="1" fontId="63" fillId="9" borderId="38" xfId="6" applyNumberFormat="1" applyFont="1" applyFill="1" applyBorder="1"/>
    <xf numFmtId="0" fontId="104" fillId="17" borderId="15" xfId="10" applyFill="1" applyBorder="1" applyAlignment="1">
      <alignment horizontal="left"/>
    </xf>
    <xf numFmtId="0" fontId="104" fillId="22" borderId="17" xfId="10" applyFill="1" applyBorder="1" applyAlignment="1">
      <alignment horizontal="left"/>
    </xf>
    <xf numFmtId="0" fontId="104" fillId="22" borderId="39" xfId="10" applyFill="1" applyBorder="1" applyAlignment="1">
      <alignment horizontal="left"/>
    </xf>
    <xf numFmtId="0" fontId="70" fillId="14" borderId="21" xfId="3" applyFont="1" applyFill="1" applyBorder="1"/>
    <xf numFmtId="0" fontId="70" fillId="14" borderId="15" xfId="3" applyFont="1" applyFill="1" applyBorder="1"/>
    <xf numFmtId="0" fontId="70" fillId="14" borderId="17" xfId="3" applyFont="1" applyFill="1" applyBorder="1"/>
    <xf numFmtId="0" fontId="63" fillId="0" borderId="19" xfId="6" applyFont="1" applyFill="1" applyBorder="1"/>
    <xf numFmtId="0" fontId="63" fillId="0" borderId="15" xfId="6" applyNumberFormat="1" applyFont="1" applyFill="1" applyBorder="1"/>
    <xf numFmtId="0" fontId="63" fillId="0" borderId="17" xfId="6" applyFont="1" applyFill="1" applyBorder="1"/>
    <xf numFmtId="0" fontId="63" fillId="12" borderId="15" xfId="6" applyNumberFormat="1" applyFont="1" applyFill="1" applyBorder="1"/>
    <xf numFmtId="0" fontId="63" fillId="0" borderId="0" xfId="6" applyFont="1" applyFill="1" applyBorder="1"/>
    <xf numFmtId="9" fontId="5" fillId="0" borderId="0" xfId="3" applyNumberFormat="1"/>
    <xf numFmtId="2" fontId="63" fillId="12" borderId="15" xfId="6" applyNumberFormat="1" applyFont="1" applyFill="1" applyBorder="1"/>
    <xf numFmtId="2" fontId="63" fillId="12" borderId="14" xfId="6" applyNumberFormat="1" applyFont="1" applyFill="1" applyBorder="1"/>
    <xf numFmtId="2" fontId="63" fillId="0" borderId="15" xfId="6" applyNumberFormat="1" applyFont="1" applyFill="1" applyBorder="1"/>
    <xf numFmtId="2" fontId="102" fillId="22" borderId="14" xfId="3" applyNumberFormat="1" applyFont="1" applyFill="1" applyBorder="1" applyAlignment="1">
      <alignment horizontal="center"/>
    </xf>
    <xf numFmtId="0" fontId="62" fillId="0" borderId="14" xfId="6" applyFont="1" applyFill="1" applyBorder="1"/>
    <xf numFmtId="0" fontId="62" fillId="12" borderId="14" xfId="6" applyFont="1" applyFill="1" applyBorder="1"/>
    <xf numFmtId="49" fontId="63" fillId="0" borderId="15" xfId="6" quotePrefix="1" applyNumberFormat="1" applyFont="1" applyFill="1" applyBorder="1" applyAlignment="1">
      <alignment horizontal="right"/>
    </xf>
    <xf numFmtId="0" fontId="1" fillId="0" borderId="0" xfId="11"/>
    <xf numFmtId="49" fontId="63" fillId="12" borderId="15" xfId="6" applyNumberFormat="1" applyFont="1" applyFill="1" applyBorder="1" applyAlignment="1">
      <alignment horizontal="right"/>
    </xf>
    <xf numFmtId="0" fontId="63" fillId="32" borderId="14" xfId="6" applyFont="1" applyFill="1" applyBorder="1"/>
    <xf numFmtId="49" fontId="63" fillId="0" borderId="15" xfId="6" applyNumberFormat="1" applyFont="1" applyFill="1" applyBorder="1" applyAlignment="1">
      <alignment horizontal="right"/>
    </xf>
    <xf numFmtId="49" fontId="63" fillId="12" borderId="15" xfId="6" quotePrefix="1" applyNumberFormat="1" applyFont="1" applyFill="1" applyBorder="1" applyAlignment="1">
      <alignment horizontal="right"/>
    </xf>
    <xf numFmtId="0" fontId="63" fillId="12" borderId="15" xfId="6" applyNumberFormat="1" applyFont="1" applyFill="1" applyBorder="1" applyAlignment="1">
      <alignment horizontal="right"/>
    </xf>
    <xf numFmtId="0" fontId="63" fillId="0" borderId="15" xfId="6" applyNumberFormat="1" applyFont="1" applyFill="1" applyBorder="1" applyAlignment="1">
      <alignment horizontal="right"/>
    </xf>
    <xf numFmtId="0" fontId="63" fillId="8" borderId="14" xfId="6" applyFont="1" applyFill="1" applyBorder="1"/>
    <xf numFmtId="10" fontId="63" fillId="0" borderId="14" xfId="2" applyNumberFormat="1" applyFont="1" applyFill="1" applyBorder="1" applyAlignment="1"/>
    <xf numFmtId="10" fontId="63" fillId="0" borderId="14" xfId="2" applyNumberFormat="1" applyFont="1" applyFill="1" applyBorder="1"/>
    <xf numFmtId="0" fontId="63" fillId="0" borderId="14" xfId="6" applyFont="1" applyFill="1" applyBorder="1" applyAlignment="1">
      <alignment horizontal="left"/>
    </xf>
    <xf numFmtId="10" fontId="63" fillId="12" borderId="14" xfId="2" applyNumberFormat="1" applyFont="1" applyFill="1" applyBorder="1" applyAlignment="1"/>
    <xf numFmtId="10" fontId="63" fillId="12" borderId="14" xfId="2" applyNumberFormat="1" applyFont="1" applyFill="1" applyBorder="1"/>
    <xf numFmtId="0" fontId="63" fillId="30" borderId="14" xfId="6" applyFont="1" applyFill="1" applyBorder="1" applyAlignment="1">
      <alignment horizontal="left"/>
    </xf>
    <xf numFmtId="0" fontId="63" fillId="0" borderId="15" xfId="6" applyNumberFormat="1" applyFont="1" applyFill="1" applyBorder="1" applyAlignment="1">
      <alignment horizontal="center"/>
    </xf>
    <xf numFmtId="0" fontId="63" fillId="12" borderId="15" xfId="6" applyNumberFormat="1" applyFont="1" applyFill="1" applyBorder="1" applyAlignment="1">
      <alignment horizontal="center"/>
    </xf>
    <xf numFmtId="0" fontId="63" fillId="0" borderId="15" xfId="6" applyFont="1" applyFill="1" applyBorder="1" applyAlignment="1">
      <alignment horizontal="left"/>
    </xf>
    <xf numFmtId="0" fontId="63" fillId="0" borderId="14" xfId="6" applyFont="1" applyFill="1" applyBorder="1" applyAlignment="1">
      <alignment horizontal="right"/>
    </xf>
    <xf numFmtId="49" fontId="63" fillId="12" borderId="15" xfId="6" applyNumberFormat="1" applyFont="1" applyFill="1" applyBorder="1" applyAlignment="1">
      <alignment horizontal="left"/>
    </xf>
    <xf numFmtId="49" fontId="63" fillId="12" borderId="15" xfId="6" applyNumberFormat="1" applyFont="1" applyFill="1" applyBorder="1" applyAlignment="1">
      <alignment horizontal="center"/>
    </xf>
    <xf numFmtId="49" fontId="63" fillId="12" borderId="14" xfId="6" applyNumberFormat="1" applyFont="1" applyFill="1" applyBorder="1" applyAlignment="1">
      <alignment horizontal="right"/>
    </xf>
    <xf numFmtId="0" fontId="104" fillId="27" borderId="14" xfId="10" applyFill="1" applyBorder="1" applyAlignment="1">
      <alignment horizontal="left"/>
    </xf>
    <xf numFmtId="0" fontId="63" fillId="0" borderId="15" xfId="6" quotePrefix="1" applyFont="1" applyFill="1" applyBorder="1"/>
    <xf numFmtId="10" fontId="63" fillId="0" borderId="0" xfId="6" applyNumberFormat="1" applyFont="1" applyFill="1" applyBorder="1"/>
    <xf numFmtId="0" fontId="63" fillId="12" borderId="15" xfId="6" quotePrefix="1" applyFont="1" applyFill="1" applyBorder="1"/>
    <xf numFmtId="0" fontId="107" fillId="0" borderId="0" xfId="3" applyFont="1" applyAlignment="1">
      <alignment horizontal="center"/>
    </xf>
    <xf numFmtId="14" fontId="107" fillId="0" borderId="0" xfId="3" applyNumberFormat="1" applyFont="1" applyAlignment="1">
      <alignment horizontal="center"/>
    </xf>
    <xf numFmtId="4" fontId="107" fillId="0" borderId="0" xfId="3" applyNumberFormat="1" applyFont="1"/>
    <xf numFmtId="0" fontId="107" fillId="0" borderId="0" xfId="3" applyFont="1"/>
    <xf numFmtId="9" fontId="107" fillId="0" borderId="0" xfId="2" applyFont="1" applyFill="1" applyBorder="1"/>
    <xf numFmtId="0" fontId="107" fillId="0" borderId="0" xfId="3" applyFont="1" applyAlignment="1">
      <alignment horizontal="center" vertical="center"/>
    </xf>
    <xf numFmtId="0" fontId="104" fillId="17" borderId="19" xfId="10" applyFill="1" applyBorder="1" applyAlignment="1">
      <alignment horizontal="left"/>
    </xf>
    <xf numFmtId="0" fontId="63" fillId="0" borderId="14" xfId="6" applyFont="1" applyFill="1" applyBorder="1" applyAlignment="1"/>
    <xf numFmtId="0" fontId="63" fillId="0" borderId="15" xfId="6" applyFont="1" applyFill="1" applyBorder="1" applyAlignment="1">
      <alignment wrapText="1"/>
    </xf>
    <xf numFmtId="2" fontId="6" fillId="23" borderId="14" xfId="3" applyNumberFormat="1" applyFont="1" applyFill="1" applyBorder="1" applyAlignment="1">
      <alignment horizontal="left"/>
    </xf>
    <xf numFmtId="14" fontId="63" fillId="12" borderId="14" xfId="6" applyNumberFormat="1" applyFont="1" applyFill="1" applyBorder="1"/>
    <xf numFmtId="0" fontId="72" fillId="12" borderId="15" xfId="7" applyFill="1" applyBorder="1"/>
    <xf numFmtId="0" fontId="72" fillId="12" borderId="0" xfId="7" applyFill="1" applyAlignment="1">
      <alignment vertical="center"/>
    </xf>
    <xf numFmtId="0" fontId="72" fillId="0" borderId="0" xfId="7" applyAlignment="1">
      <alignment vertical="center"/>
    </xf>
    <xf numFmtId="0" fontId="63" fillId="25" borderId="15" xfId="6" applyFont="1" applyFill="1" applyBorder="1"/>
    <xf numFmtId="0" fontId="63" fillId="12" borderId="15" xfId="6" applyFont="1" applyFill="1" applyBorder="1" applyAlignment="1">
      <alignment horizontal="left" wrapText="1"/>
    </xf>
    <xf numFmtId="0" fontId="63" fillId="12" borderId="14" xfId="6" applyFont="1" applyFill="1" applyBorder="1" applyAlignment="1"/>
    <xf numFmtId="0" fontId="63" fillId="33" borderId="15" xfId="6" applyFont="1" applyFill="1" applyBorder="1"/>
    <xf numFmtId="0" fontId="63" fillId="34" borderId="15" xfId="6" applyFont="1" applyFill="1" applyBorder="1"/>
    <xf numFmtId="0" fontId="63" fillId="12" borderId="14" xfId="6" applyFont="1" applyFill="1" applyBorder="1" applyAlignment="1">
      <alignment horizontal="right"/>
    </xf>
    <xf numFmtId="0" fontId="63" fillId="0" borderId="16" xfId="6" applyFont="1" applyFill="1" applyBorder="1"/>
    <xf numFmtId="0" fontId="63" fillId="12" borderId="16" xfId="6" applyFont="1" applyFill="1" applyBorder="1"/>
    <xf numFmtId="9" fontId="63" fillId="12" borderId="14" xfId="6" applyNumberFormat="1" applyFont="1" applyFill="1" applyBorder="1"/>
    <xf numFmtId="9" fontId="63" fillId="0" borderId="14" xfId="6" applyNumberFormat="1" applyFont="1" applyFill="1" applyBorder="1"/>
    <xf numFmtId="0" fontId="63" fillId="0" borderId="40" xfId="6" applyFont="1" applyFill="1" applyBorder="1"/>
    <xf numFmtId="0" fontId="109" fillId="0" borderId="0" xfId="12"/>
    <xf numFmtId="0" fontId="104" fillId="22" borderId="14" xfId="10" applyFill="1" applyBorder="1" applyAlignment="1">
      <alignment horizontal="left" wrapText="1"/>
    </xf>
    <xf numFmtId="0" fontId="84" fillId="0" borderId="0" xfId="3" applyFont="1" applyAlignment="1">
      <alignment horizontal="center" vertical="center"/>
    </xf>
    <xf numFmtId="166" fontId="33" fillId="0" borderId="14" xfId="3" applyNumberFormat="1" applyFont="1" applyBorder="1"/>
    <xf numFmtId="166" fontId="33" fillId="0" borderId="19" xfId="3" applyNumberFormat="1" applyFont="1" applyBorder="1"/>
    <xf numFmtId="0" fontId="84" fillId="0" borderId="0" xfId="14"/>
    <xf numFmtId="0" fontId="84" fillId="25" borderId="0" xfId="14" applyFill="1"/>
    <xf numFmtId="0" fontId="84" fillId="0" borderId="0" xfId="14" quotePrefix="1"/>
    <xf numFmtId="2" fontId="84" fillId="0" borderId="0" xfId="14" applyNumberFormat="1"/>
    <xf numFmtId="0" fontId="4" fillId="17" borderId="0" xfId="14" applyFont="1" applyFill="1"/>
    <xf numFmtId="172" fontId="63" fillId="0" borderId="23" xfId="6" applyNumberFormat="1" applyFont="1" applyFill="1" applyBorder="1"/>
    <xf numFmtId="172" fontId="63" fillId="12" borderId="14" xfId="6" applyNumberFormat="1" applyFont="1" applyFill="1" applyBorder="1"/>
    <xf numFmtId="172" fontId="63" fillId="0" borderId="14" xfId="6" applyNumberFormat="1" applyFont="1" applyFill="1" applyBorder="1"/>
    <xf numFmtId="172" fontId="63" fillId="12" borderId="25" xfId="6" applyNumberFormat="1" applyFont="1" applyFill="1" applyBorder="1"/>
    <xf numFmtId="2" fontId="63" fillId="12" borderId="25" xfId="6" applyNumberFormat="1" applyFont="1" applyFill="1" applyBorder="1"/>
    <xf numFmtId="2" fontId="63" fillId="0" borderId="23" xfId="6" applyNumberFormat="1" applyFont="1" applyFill="1" applyBorder="1"/>
    <xf numFmtId="0" fontId="63" fillId="0" borderId="23" xfId="6" applyNumberFormat="1" applyFont="1" applyFill="1" applyBorder="1"/>
    <xf numFmtId="0" fontId="63" fillId="12" borderId="25" xfId="6" applyNumberFormat="1" applyFont="1" applyFill="1" applyBorder="1"/>
    <xf numFmtId="172" fontId="84" fillId="0" borderId="0" xfId="14" applyNumberFormat="1"/>
    <xf numFmtId="166" fontId="84" fillId="0" borderId="0" xfId="14" applyNumberFormat="1"/>
    <xf numFmtId="0" fontId="1" fillId="0" borderId="0" xfId="15"/>
    <xf numFmtId="49" fontId="1" fillId="0" borderId="0" xfId="15" applyNumberFormat="1"/>
    <xf numFmtId="173" fontId="63" fillId="0" borderId="14" xfId="6" applyNumberFormat="1" applyFont="1" applyFill="1" applyBorder="1"/>
    <xf numFmtId="9" fontId="34" fillId="0" borderId="0" xfId="2" applyFont="1" applyFill="1" applyBorder="1" applyAlignment="1" applyProtection="1">
      <alignment horizontal="left" vertical="center" indent="1"/>
      <protection locked="0"/>
    </xf>
    <xf numFmtId="0" fontId="0" fillId="0" borderId="0" xfId="0" pivotButton="1"/>
    <xf numFmtId="0" fontId="0" fillId="0" borderId="0" xfId="0" applyAlignment="1">
      <alignment horizontal="left"/>
    </xf>
    <xf numFmtId="0" fontId="10" fillId="3" borderId="6" xfId="3" applyFont="1" applyFill="1" applyBorder="1" applyAlignment="1">
      <alignment horizontal="left" vertical="center" indent="1"/>
    </xf>
    <xf numFmtId="1" fontId="84" fillId="0" borderId="0" xfId="14" applyNumberFormat="1"/>
    <xf numFmtId="0" fontId="62" fillId="0" borderId="41" xfId="6" applyFont="1" applyFill="1" applyBorder="1" applyAlignment="1" applyProtection="1">
      <alignment horizontal="left"/>
    </xf>
    <xf numFmtId="0" fontId="62" fillId="0" borderId="42" xfId="6" applyFont="1" applyFill="1" applyBorder="1" applyAlignment="1" applyProtection="1">
      <alignment horizontal="left"/>
    </xf>
    <xf numFmtId="173" fontId="5" fillId="0" borderId="0" xfId="3" applyNumberFormat="1"/>
    <xf numFmtId="174" fontId="5" fillId="0" borderId="0" xfId="3" applyNumberFormat="1"/>
    <xf numFmtId="0" fontId="116" fillId="5" borderId="0" xfId="3" applyFont="1" applyFill="1" applyAlignment="1">
      <alignment horizontal="center" vertical="center"/>
    </xf>
    <xf numFmtId="2" fontId="0" fillId="0" borderId="0" xfId="0" applyNumberFormat="1"/>
    <xf numFmtId="0" fontId="119" fillId="17" borderId="21" xfId="10" applyFont="1" applyFill="1" applyBorder="1" applyAlignment="1">
      <alignment horizontal="left"/>
    </xf>
    <xf numFmtId="0" fontId="104" fillId="22" borderId="43" xfId="10" applyFill="1" applyBorder="1" applyAlignment="1">
      <alignment horizontal="left"/>
    </xf>
    <xf numFmtId="0" fontId="104" fillId="17" borderId="40" xfId="10" applyFill="1" applyBorder="1" applyAlignment="1">
      <alignment horizontal="left"/>
    </xf>
    <xf numFmtId="10" fontId="63" fillId="0" borderId="0" xfId="16" applyNumberFormat="1" applyFont="1" applyFill="1" applyBorder="1"/>
    <xf numFmtId="175" fontId="63" fillId="0" borderId="14" xfId="6" applyNumberFormat="1" applyFont="1" applyFill="1" applyBorder="1"/>
    <xf numFmtId="0" fontId="0" fillId="0" borderId="0" xfId="0" applyProtection="1">
      <protection hidden="1"/>
    </xf>
    <xf numFmtId="166" fontId="0" fillId="0" borderId="0" xfId="0" applyNumberFormat="1"/>
    <xf numFmtId="2" fontId="63" fillId="10" borderId="14" xfId="6" applyNumberFormat="1" applyFont="1" applyFill="1" applyBorder="1"/>
    <xf numFmtId="0" fontId="5" fillId="0" borderId="0" xfId="3" applyAlignment="1" applyProtection="1">
      <alignment horizontal="right"/>
      <protection hidden="1"/>
    </xf>
    <xf numFmtId="10" fontId="39" fillId="0" borderId="0" xfId="16" applyNumberFormat="1" applyFont="1" applyBorder="1" applyAlignment="1" applyProtection="1">
      <alignment vertical="center"/>
      <protection hidden="1"/>
    </xf>
    <xf numFmtId="0" fontId="126" fillId="0" borderId="0" xfId="3" applyFont="1"/>
    <xf numFmtId="0" fontId="0" fillId="0" borderId="0" xfId="0" applyAlignment="1" applyProtection="1">
      <alignment horizontal="right"/>
      <protection hidden="1"/>
    </xf>
    <xf numFmtId="0" fontId="4" fillId="0" borderId="0" xfId="0" applyFont="1" applyProtection="1">
      <protection locked="0"/>
    </xf>
    <xf numFmtId="0" fontId="0" fillId="38" borderId="0" xfId="0" applyFill="1"/>
    <xf numFmtId="0" fontId="0" fillId="39" borderId="0" xfId="0" applyFill="1"/>
    <xf numFmtId="0" fontId="0" fillId="4" borderId="0" xfId="0" applyFill="1"/>
    <xf numFmtId="0" fontId="0" fillId="5" borderId="0" xfId="0" applyFill="1"/>
    <xf numFmtId="0" fontId="0" fillId="40" borderId="0" xfId="0" applyFill="1"/>
    <xf numFmtId="0" fontId="131" fillId="5" borderId="0" xfId="0" applyFont="1" applyFill="1" applyAlignment="1">
      <alignment horizontal="left" vertical="center" wrapText="1"/>
    </xf>
    <xf numFmtId="0" fontId="134" fillId="40" borderId="0" xfId="0" applyFont="1" applyFill="1" applyAlignment="1">
      <alignment horizontal="right" vertical="center"/>
    </xf>
    <xf numFmtId="0" fontId="133" fillId="40" borderId="0" xfId="0" applyFont="1" applyFill="1" applyAlignment="1">
      <alignment horizontal="left" indent="1"/>
    </xf>
    <xf numFmtId="0" fontId="135" fillId="40" borderId="0" xfId="0" applyFont="1" applyFill="1"/>
    <xf numFmtId="0" fontId="136" fillId="38" borderId="0" xfId="0" applyFont="1" applyFill="1" applyAlignment="1">
      <alignment horizontal="left" vertical="center" indent="2"/>
    </xf>
    <xf numFmtId="0" fontId="137" fillId="0" borderId="0" xfId="0" applyFont="1" applyAlignment="1">
      <alignment horizontal="right" vertical="center"/>
    </xf>
    <xf numFmtId="0" fontId="100" fillId="0" borderId="0" xfId="0" applyFont="1"/>
    <xf numFmtId="0" fontId="100" fillId="4" borderId="0" xfId="0" applyFont="1" applyFill="1"/>
    <xf numFmtId="0" fontId="138" fillId="4" borderId="0" xfId="0" applyFont="1" applyFill="1" applyAlignment="1">
      <alignment horizontal="right" vertical="center"/>
    </xf>
    <xf numFmtId="0" fontId="139" fillId="38" borderId="0" xfId="0" applyFont="1" applyFill="1" applyAlignment="1">
      <alignment vertical="center"/>
    </xf>
    <xf numFmtId="0" fontId="0" fillId="41" borderId="0" xfId="0" applyFill="1"/>
    <xf numFmtId="0" fontId="132" fillId="41" borderId="0" xfId="0" applyFont="1" applyFill="1"/>
    <xf numFmtId="0" fontId="138" fillId="41" borderId="0" xfId="0" applyFont="1" applyFill="1" applyAlignment="1">
      <alignment horizontal="right" vertical="center"/>
    </xf>
    <xf numFmtId="0" fontId="130" fillId="41" borderId="0" xfId="0" applyFont="1" applyFill="1" applyAlignment="1">
      <alignment wrapText="1"/>
    </xf>
    <xf numFmtId="0" fontId="0" fillId="41" borderId="0" xfId="0" applyFill="1" applyAlignment="1">
      <alignment vertical="center"/>
    </xf>
    <xf numFmtId="0" fontId="132" fillId="41" borderId="0" xfId="0" applyFont="1" applyFill="1" applyAlignment="1">
      <alignment vertical="center" wrapText="1"/>
    </xf>
    <xf numFmtId="0" fontId="140" fillId="41" borderId="0" xfId="0" applyFont="1" applyFill="1" applyAlignment="1">
      <alignment horizontal="center" vertical="center"/>
    </xf>
    <xf numFmtId="0" fontId="138" fillId="41" borderId="0" xfId="0" applyFont="1" applyFill="1" applyAlignment="1">
      <alignment vertical="center"/>
    </xf>
    <xf numFmtId="0" fontId="138" fillId="40" borderId="0" xfId="0" applyFont="1" applyFill="1" applyAlignment="1">
      <alignment horizontal="left" vertical="top"/>
    </xf>
    <xf numFmtId="169" fontId="100" fillId="4" borderId="0" xfId="0" applyNumberFormat="1" applyFont="1" applyFill="1" applyAlignment="1">
      <alignment horizontal="center" vertical="center"/>
    </xf>
    <xf numFmtId="0" fontId="138" fillId="41" borderId="0" xfId="0" applyFont="1" applyFill="1" applyAlignment="1">
      <alignment horizontal="left" vertical="center"/>
    </xf>
    <xf numFmtId="2" fontId="102" fillId="42" borderId="14" xfId="3" applyNumberFormat="1" applyFont="1" applyFill="1" applyBorder="1" applyAlignment="1">
      <alignment horizontal="center"/>
    </xf>
    <xf numFmtId="0" fontId="138" fillId="41" borderId="0" xfId="0" applyFont="1" applyFill="1" applyAlignment="1">
      <alignment horizontal="left" wrapText="1"/>
    </xf>
    <xf numFmtId="49" fontId="0" fillId="0" borderId="0" xfId="15" applyNumberFormat="1" applyFont="1"/>
    <xf numFmtId="169" fontId="100" fillId="4" borderId="0" xfId="0" applyNumberFormat="1" applyFont="1" applyFill="1" applyAlignment="1">
      <alignment horizontal="left" vertical="center" indent="1"/>
    </xf>
    <xf numFmtId="2" fontId="100" fillId="4" borderId="0" xfId="16" applyNumberFormat="1" applyFont="1" applyFill="1" applyAlignment="1">
      <alignment horizontal="center" vertical="center"/>
    </xf>
    <xf numFmtId="2" fontId="5" fillId="13" borderId="6" xfId="3" applyNumberFormat="1" applyFill="1" applyBorder="1"/>
    <xf numFmtId="0" fontId="6" fillId="44" borderId="0" xfId="3" applyFont="1" applyFill="1"/>
    <xf numFmtId="0" fontId="102" fillId="44" borderId="0" xfId="3" applyFont="1" applyFill="1"/>
    <xf numFmtId="0" fontId="24" fillId="0" borderId="0" xfId="0" applyFont="1"/>
    <xf numFmtId="0" fontId="137" fillId="0" borderId="0" xfId="0" applyFont="1" applyAlignment="1">
      <alignment horizontal="left" vertical="center"/>
    </xf>
    <xf numFmtId="0" fontId="137" fillId="0" borderId="0" xfId="0" applyFont="1" applyAlignment="1">
      <alignment vertical="center"/>
    </xf>
    <xf numFmtId="0" fontId="24" fillId="38" borderId="0" xfId="0" applyFont="1" applyFill="1"/>
    <xf numFmtId="0" fontId="24" fillId="41" borderId="0" xfId="0" applyFont="1" applyFill="1"/>
    <xf numFmtId="0" fontId="24" fillId="4" borderId="0" xfId="0" applyFont="1" applyFill="1"/>
    <xf numFmtId="0" fontId="24" fillId="41" borderId="0" xfId="0" applyFont="1" applyFill="1" applyAlignment="1">
      <alignment horizontal="center" vertical="center"/>
    </xf>
    <xf numFmtId="0" fontId="146" fillId="38" borderId="0" xfId="0" applyFont="1" applyFill="1" applyAlignment="1">
      <alignment vertical="center"/>
    </xf>
    <xf numFmtId="0" fontId="100" fillId="41" borderId="0" xfId="0" applyFont="1" applyFill="1"/>
    <xf numFmtId="0" fontId="24" fillId="41" borderId="0" xfId="0" applyFont="1" applyFill="1" applyAlignment="1">
      <alignment horizontal="right"/>
    </xf>
    <xf numFmtId="0" fontId="24" fillId="45" borderId="0" xfId="0" applyFont="1" applyFill="1"/>
    <xf numFmtId="0" fontId="134" fillId="0" borderId="0" xfId="0" applyFont="1" applyAlignment="1">
      <alignment vertical="top"/>
    </xf>
    <xf numFmtId="0" fontId="138" fillId="45" borderId="0" xfId="0" applyFont="1" applyFill="1" applyAlignment="1">
      <alignment vertical="center" wrapText="1"/>
    </xf>
    <xf numFmtId="49" fontId="5" fillId="0" borderId="0" xfId="3" applyNumberFormat="1"/>
    <xf numFmtId="0" fontId="100" fillId="41" borderId="0" xfId="0" applyFont="1" applyFill="1" applyAlignment="1">
      <alignment horizontal="left" vertical="center" wrapText="1"/>
    </xf>
    <xf numFmtId="0" fontId="138" fillId="41" borderId="0" xfId="0" applyFont="1" applyFill="1" applyAlignment="1">
      <alignment horizontal="center" vertical="center" wrapText="1"/>
    </xf>
    <xf numFmtId="0" fontId="138" fillId="41" borderId="0" xfId="0" quotePrefix="1" applyFont="1" applyFill="1" applyAlignment="1">
      <alignment vertical="center" wrapText="1"/>
    </xf>
    <xf numFmtId="0" fontId="100" fillId="41" borderId="0" xfId="0" applyFont="1" applyFill="1" applyAlignment="1">
      <alignment horizontal="left" vertical="center"/>
    </xf>
    <xf numFmtId="0" fontId="100" fillId="41" borderId="0" xfId="0" applyFont="1" applyFill="1" applyAlignment="1">
      <alignment vertical="center" wrapText="1"/>
    </xf>
    <xf numFmtId="0" fontId="138" fillId="45" borderId="0" xfId="0" applyFont="1" applyFill="1" applyAlignment="1">
      <alignment horizontal="left" vertical="center" wrapText="1"/>
    </xf>
    <xf numFmtId="0" fontId="24" fillId="45" borderId="0" xfId="0" applyFont="1" applyFill="1" applyAlignment="1">
      <alignment wrapText="1"/>
    </xf>
    <xf numFmtId="0" fontId="134" fillId="45" borderId="0" xfId="0" applyFont="1" applyFill="1" applyAlignment="1">
      <alignment vertical="center" wrapText="1"/>
    </xf>
    <xf numFmtId="0" fontId="100" fillId="41" borderId="0" xfId="0" applyFont="1" applyFill="1" applyAlignment="1">
      <alignment horizontal="center" vertical="center"/>
    </xf>
    <xf numFmtId="0" fontId="100" fillId="41" borderId="0" xfId="0" applyFont="1" applyFill="1" applyAlignment="1">
      <alignment horizontal="right" vertical="center"/>
    </xf>
    <xf numFmtId="0" fontId="138" fillId="41" borderId="0" xfId="0" quotePrefix="1" applyFont="1" applyFill="1" applyAlignment="1">
      <alignment horizontal="center" vertical="center" wrapText="1"/>
    </xf>
    <xf numFmtId="0" fontId="24" fillId="45" borderId="0" xfId="0" applyFont="1" applyFill="1" applyAlignment="1">
      <alignment horizontal="left"/>
    </xf>
    <xf numFmtId="0" fontId="138" fillId="4" borderId="0" xfId="0" applyFont="1" applyFill="1" applyAlignment="1">
      <alignment horizontal="left" vertical="center"/>
    </xf>
    <xf numFmtId="0" fontId="146" fillId="41" borderId="0" xfId="0" applyFont="1" applyFill="1" applyAlignment="1">
      <alignment vertical="center"/>
    </xf>
    <xf numFmtId="0" fontId="146" fillId="41" borderId="0" xfId="0" applyFont="1" applyFill="1" applyAlignment="1">
      <alignment horizontal="left" vertical="center" indent="1"/>
    </xf>
    <xf numFmtId="0" fontId="24" fillId="41" borderId="0" xfId="0" applyFont="1" applyFill="1" applyAlignment="1">
      <alignment wrapText="1"/>
    </xf>
    <xf numFmtId="0" fontId="142" fillId="45" borderId="0" xfId="0" applyFont="1" applyFill="1" applyAlignment="1">
      <alignment vertical="center" wrapText="1"/>
    </xf>
    <xf numFmtId="0" fontId="138" fillId="41" borderId="0" xfId="0" applyFont="1" applyFill="1" applyAlignment="1">
      <alignment vertical="center" wrapText="1"/>
    </xf>
    <xf numFmtId="0" fontId="134" fillId="0" borderId="0" xfId="0" applyFont="1" applyAlignment="1">
      <alignment horizontal="right" vertical="center"/>
    </xf>
    <xf numFmtId="0" fontId="100" fillId="45" borderId="0" xfId="0" applyFont="1" applyFill="1" applyAlignment="1">
      <alignment horizontal="left" vertical="center"/>
    </xf>
    <xf numFmtId="0" fontId="24" fillId="41" borderId="0" xfId="0" applyFont="1" applyFill="1" applyAlignment="1">
      <alignment horizontal="left"/>
    </xf>
    <xf numFmtId="0" fontId="100" fillId="41" borderId="0" xfId="0" applyFont="1" applyFill="1" applyAlignment="1">
      <alignment vertical="center"/>
    </xf>
    <xf numFmtId="0" fontId="0" fillId="0" borderId="0" xfId="0" applyAlignment="1">
      <alignment horizontal="right"/>
    </xf>
    <xf numFmtId="0" fontId="150" fillId="0" borderId="0" xfId="3" quotePrefix="1" applyFont="1" applyAlignment="1" applyProtection="1">
      <alignment horizontal="left" vertical="center"/>
      <protection hidden="1"/>
    </xf>
    <xf numFmtId="171" fontId="129" fillId="0" borderId="0" xfId="16" applyNumberFormat="1" applyFont="1" applyBorder="1" applyAlignment="1" applyProtection="1">
      <alignment vertical="center"/>
      <protection hidden="1"/>
    </xf>
    <xf numFmtId="178" fontId="0" fillId="0" borderId="0" xfId="0" applyNumberFormat="1"/>
    <xf numFmtId="0" fontId="138" fillId="45" borderId="0" xfId="0" quotePrefix="1" applyFont="1" applyFill="1" applyAlignment="1">
      <alignment vertical="center" wrapText="1"/>
    </xf>
    <xf numFmtId="0" fontId="24" fillId="45" borderId="0" xfId="0" applyFont="1" applyFill="1" applyAlignment="1">
      <alignment horizontal="center" vertical="center"/>
    </xf>
    <xf numFmtId="0" fontId="24" fillId="41" borderId="0" xfId="0" applyFont="1" applyFill="1" applyAlignment="1">
      <alignment horizontal="left" vertical="center"/>
    </xf>
    <xf numFmtId="0" fontId="151" fillId="45" borderId="0" xfId="0" quotePrefix="1" applyFont="1" applyFill="1" applyAlignment="1">
      <alignment horizontal="center" vertical="center"/>
    </xf>
    <xf numFmtId="0" fontId="152" fillId="45" borderId="0" xfId="0" applyFont="1" applyFill="1" applyAlignment="1">
      <alignment horizontal="center" vertical="center"/>
    </xf>
    <xf numFmtId="0" fontId="100" fillId="45" borderId="0" xfId="0" applyFont="1" applyFill="1"/>
    <xf numFmtId="0" fontId="63" fillId="12" borderId="44" xfId="6" applyFont="1" applyFill="1" applyBorder="1"/>
    <xf numFmtId="0" fontId="63" fillId="12" borderId="45" xfId="6" applyFont="1" applyFill="1" applyBorder="1"/>
    <xf numFmtId="0" fontId="63" fillId="12" borderId="46" xfId="6" applyFont="1" applyFill="1" applyBorder="1"/>
    <xf numFmtId="0" fontId="63" fillId="0" borderId="47" xfId="6" applyFont="1" applyFill="1" applyBorder="1"/>
    <xf numFmtId="1" fontId="63" fillId="0" borderId="48" xfId="6" applyNumberFormat="1" applyFont="1" applyFill="1" applyBorder="1"/>
    <xf numFmtId="0" fontId="63" fillId="12" borderId="47" xfId="6" applyFont="1" applyFill="1" applyBorder="1"/>
    <xf numFmtId="0" fontId="63" fillId="12" borderId="48" xfId="6" applyFont="1" applyFill="1" applyBorder="1"/>
    <xf numFmtId="0" fontId="63" fillId="0" borderId="21" xfId="6" applyNumberFormat="1" applyFont="1" applyFill="1" applyBorder="1"/>
    <xf numFmtId="1" fontId="63" fillId="0" borderId="21" xfId="6" applyNumberFormat="1" applyFont="1" applyFill="1" applyBorder="1"/>
    <xf numFmtId="0" fontId="63" fillId="0" borderId="49" xfId="6" applyFont="1" applyFill="1" applyBorder="1"/>
    <xf numFmtId="0" fontId="63" fillId="0" borderId="50" xfId="6" applyNumberFormat="1" applyFont="1" applyFill="1" applyBorder="1"/>
    <xf numFmtId="0" fontId="63" fillId="0" borderId="50" xfId="6" applyFont="1" applyFill="1" applyBorder="1"/>
    <xf numFmtId="1" fontId="63" fillId="0" borderId="50" xfId="6" applyNumberFormat="1" applyFont="1" applyFill="1" applyBorder="1"/>
    <xf numFmtId="1" fontId="63" fillId="0" borderId="51" xfId="6" applyNumberFormat="1" applyFont="1" applyFill="1" applyBorder="1"/>
    <xf numFmtId="0" fontId="63" fillId="12" borderId="54" xfId="6" applyFont="1" applyFill="1" applyBorder="1"/>
    <xf numFmtId="0" fontId="63" fillId="12" borderId="55" xfId="6" applyFont="1" applyFill="1" applyBorder="1"/>
    <xf numFmtId="0" fontId="63" fillId="0" borderId="44" xfId="6" applyFont="1" applyFill="1" applyBorder="1"/>
    <xf numFmtId="0" fontId="63" fillId="0" borderId="45" xfId="6" applyNumberFormat="1" applyFont="1" applyFill="1" applyBorder="1"/>
    <xf numFmtId="0" fontId="63" fillId="0" borderId="45" xfId="6" applyFont="1" applyFill="1" applyBorder="1"/>
    <xf numFmtId="1" fontId="63" fillId="0" borderId="45" xfId="6" applyNumberFormat="1" applyFont="1" applyFill="1" applyBorder="1"/>
    <xf numFmtId="1" fontId="63" fillId="0" borderId="46" xfId="6" applyNumberFormat="1" applyFont="1" applyFill="1" applyBorder="1"/>
    <xf numFmtId="0" fontId="63" fillId="12" borderId="49" xfId="6" applyFont="1" applyFill="1" applyBorder="1"/>
    <xf numFmtId="0" fontId="63" fillId="12" borderId="50" xfId="6" applyFont="1" applyFill="1" applyBorder="1"/>
    <xf numFmtId="0" fontId="63" fillId="12" borderId="51" xfId="6" applyFont="1" applyFill="1" applyBorder="1"/>
    <xf numFmtId="0" fontId="63" fillId="4" borderId="48" xfId="6" applyFont="1" applyFill="1" applyBorder="1"/>
    <xf numFmtId="0" fontId="63" fillId="0" borderId="56" xfId="6" applyFont="1" applyFill="1" applyBorder="1"/>
    <xf numFmtId="0" fontId="63" fillId="0" borderId="57" xfId="6" applyNumberFormat="1" applyFont="1" applyFill="1" applyBorder="1"/>
    <xf numFmtId="0" fontId="63" fillId="0" borderId="57" xfId="6" applyFont="1" applyFill="1" applyBorder="1"/>
    <xf numFmtId="1" fontId="63" fillId="0" borderId="57" xfId="6" applyNumberFormat="1" applyFont="1" applyFill="1" applyBorder="1"/>
    <xf numFmtId="1" fontId="63" fillId="0" borderId="58" xfId="6" applyNumberFormat="1" applyFont="1" applyFill="1" applyBorder="1"/>
    <xf numFmtId="0" fontId="63" fillId="0" borderId="19" xfId="6" applyNumberFormat="1" applyFont="1" applyFill="1" applyBorder="1"/>
    <xf numFmtId="1" fontId="63" fillId="0" borderId="19" xfId="6" applyNumberFormat="1" applyFont="1" applyFill="1" applyBorder="1"/>
    <xf numFmtId="1" fontId="63" fillId="0" borderId="55" xfId="6" applyNumberFormat="1" applyFont="1" applyFill="1" applyBorder="1"/>
    <xf numFmtId="0" fontId="63" fillId="0" borderId="54" xfId="6" applyFont="1" applyFill="1" applyBorder="1"/>
    <xf numFmtId="0" fontId="63" fillId="12" borderId="52" xfId="6" applyFont="1" applyFill="1" applyBorder="1"/>
    <xf numFmtId="0" fontId="63" fillId="12" borderId="21" xfId="6" applyFont="1" applyFill="1" applyBorder="1"/>
    <xf numFmtId="0" fontId="63" fillId="12" borderId="53" xfId="6" applyFont="1" applyFill="1" applyBorder="1"/>
    <xf numFmtId="0" fontId="63" fillId="12" borderId="50" xfId="6" applyNumberFormat="1" applyFont="1" applyFill="1" applyBorder="1"/>
    <xf numFmtId="1" fontId="63" fillId="12" borderId="50" xfId="6" applyNumberFormat="1" applyFont="1" applyFill="1" applyBorder="1"/>
    <xf numFmtId="1" fontId="63" fillId="12" borderId="51" xfId="6" applyNumberFormat="1" applyFont="1" applyFill="1" applyBorder="1"/>
    <xf numFmtId="0" fontId="63" fillId="4" borderId="45" xfId="6" applyFont="1" applyFill="1" applyBorder="1"/>
    <xf numFmtId="0" fontId="63" fillId="4" borderId="50" xfId="6" applyFont="1" applyFill="1" applyBorder="1"/>
    <xf numFmtId="0" fontId="63" fillId="4" borderId="19" xfId="6" applyFont="1" applyFill="1" applyBorder="1"/>
    <xf numFmtId="0" fontId="63" fillId="12" borderId="21" xfId="6" applyNumberFormat="1" applyFont="1" applyFill="1" applyBorder="1"/>
    <xf numFmtId="1" fontId="63" fillId="12" borderId="21" xfId="6" applyNumberFormat="1" applyFont="1" applyFill="1" applyBorder="1"/>
    <xf numFmtId="0" fontId="63" fillId="0" borderId="52" xfId="6" applyFont="1" applyFill="1" applyBorder="1"/>
    <xf numFmtId="0" fontId="63" fillId="12" borderId="19" xfId="6" applyNumberFormat="1" applyFont="1" applyFill="1" applyBorder="1"/>
    <xf numFmtId="1" fontId="63" fillId="12" borderId="19" xfId="6" applyNumberFormat="1" applyFont="1" applyFill="1" applyBorder="1"/>
    <xf numFmtId="166" fontId="10" fillId="3" borderId="6" xfId="3" applyNumberFormat="1" applyFont="1" applyFill="1" applyBorder="1" applyAlignment="1">
      <alignment horizontal="right" vertical="center" indent="1"/>
    </xf>
    <xf numFmtId="0" fontId="6" fillId="4" borderId="0" xfId="3" applyFont="1" applyFill="1" applyProtection="1">
      <protection hidden="1"/>
    </xf>
    <xf numFmtId="1" fontId="63" fillId="0" borderId="23" xfId="6" applyNumberFormat="1" applyFont="1" applyFill="1" applyBorder="1"/>
    <xf numFmtId="0" fontId="63" fillId="0" borderId="25" xfId="6" applyNumberFormat="1" applyFont="1" applyFill="1" applyBorder="1"/>
    <xf numFmtId="1" fontId="63" fillId="0" borderId="25" xfId="6" applyNumberFormat="1" applyFont="1" applyFill="1" applyBorder="1"/>
    <xf numFmtId="166" fontId="33" fillId="25" borderId="14" xfId="3" applyNumberFormat="1" applyFont="1" applyFill="1" applyBorder="1"/>
    <xf numFmtId="166" fontId="33" fillId="12" borderId="14" xfId="3" applyNumberFormat="1" applyFont="1" applyFill="1" applyBorder="1"/>
    <xf numFmtId="166" fontId="33" fillId="0" borderId="0" xfId="3" applyNumberFormat="1" applyFont="1"/>
    <xf numFmtId="0" fontId="33" fillId="12" borderId="14" xfId="3" applyFont="1" applyFill="1" applyBorder="1"/>
    <xf numFmtId="166" fontId="9" fillId="0" borderId="0" xfId="3" applyNumberFormat="1" applyFont="1" applyAlignment="1" applyProtection="1">
      <alignment horizontal="left" vertical="center" indent="1"/>
      <protection hidden="1"/>
    </xf>
    <xf numFmtId="49" fontId="1" fillId="25" borderId="0" xfId="15" applyNumberFormat="1" applyFill="1"/>
    <xf numFmtId="0" fontId="1" fillId="25" borderId="0" xfId="15" applyFill="1"/>
    <xf numFmtId="1" fontId="63" fillId="12" borderId="25" xfId="6" applyNumberFormat="1" applyFont="1" applyFill="1" applyBorder="1"/>
    <xf numFmtId="0" fontId="63" fillId="46" borderId="14" xfId="6" applyFont="1" applyFill="1" applyBorder="1"/>
    <xf numFmtId="0" fontId="63" fillId="0" borderId="14" xfId="6" quotePrefix="1" applyFont="1" applyFill="1" applyBorder="1"/>
    <xf numFmtId="0" fontId="74" fillId="0" borderId="0" xfId="3" applyFont="1" applyAlignment="1">
      <alignment horizontal="left" vertical="center"/>
    </xf>
    <xf numFmtId="0" fontId="4" fillId="0" borderId="6" xfId="0" applyFont="1" applyBorder="1" applyAlignment="1" applyProtection="1">
      <alignment horizontal="center" vertical="center"/>
      <protection locked="0"/>
    </xf>
    <xf numFmtId="9" fontId="15" fillId="4" borderId="0" xfId="16" applyFont="1" applyFill="1" applyAlignment="1" applyProtection="1">
      <alignment horizontal="right" vertical="center"/>
      <protection hidden="1"/>
    </xf>
    <xf numFmtId="9" fontId="10" fillId="3" borderId="6" xfId="16" applyFont="1" applyFill="1" applyBorder="1" applyAlignment="1" applyProtection="1">
      <alignment horizontal="right" vertical="center" indent="1"/>
      <protection hidden="1"/>
    </xf>
    <xf numFmtId="0" fontId="10" fillId="3" borderId="6" xfId="3" applyFont="1" applyFill="1" applyBorder="1" applyAlignment="1">
      <alignment horizontal="center" vertical="center"/>
    </xf>
    <xf numFmtId="1" fontId="10" fillId="3" borderId="6" xfId="3" applyNumberFormat="1" applyFont="1" applyFill="1" applyBorder="1" applyAlignment="1">
      <alignment horizontal="center" vertical="center"/>
    </xf>
    <xf numFmtId="9" fontId="15" fillId="4" borderId="0" xfId="16" applyFont="1" applyFill="1" applyAlignment="1" applyProtection="1">
      <alignment horizontal="left" vertical="center"/>
      <protection hidden="1"/>
    </xf>
    <xf numFmtId="9" fontId="6" fillId="0" borderId="0" xfId="3" applyNumberFormat="1" applyFont="1" applyProtection="1">
      <protection hidden="1"/>
    </xf>
    <xf numFmtId="0" fontId="100" fillId="0" borderId="0" xfId="3" applyFont="1"/>
    <xf numFmtId="0" fontId="100" fillId="0" borderId="0" xfId="3" quotePrefix="1" applyFont="1"/>
    <xf numFmtId="0" fontId="5" fillId="3" borderId="59" xfId="3" applyFill="1" applyBorder="1"/>
    <xf numFmtId="1" fontId="5" fillId="3" borderId="59" xfId="3" applyNumberFormat="1" applyFill="1" applyBorder="1"/>
    <xf numFmtId="0" fontId="100" fillId="3" borderId="59" xfId="3" applyFont="1" applyFill="1" applyBorder="1"/>
    <xf numFmtId="0" fontId="10" fillId="47" borderId="59" xfId="3" applyFont="1" applyFill="1" applyBorder="1" applyAlignment="1">
      <alignment vertical="center"/>
    </xf>
    <xf numFmtId="0" fontId="10" fillId="48" borderId="59" xfId="3" applyFont="1" applyFill="1" applyBorder="1" applyAlignment="1">
      <alignment vertical="center"/>
    </xf>
    <xf numFmtId="0" fontId="155" fillId="0" borderId="0" xfId="3" applyFont="1"/>
    <xf numFmtId="0" fontId="100" fillId="4" borderId="59" xfId="3" applyFont="1" applyFill="1" applyBorder="1"/>
    <xf numFmtId="0" fontId="16" fillId="4" borderId="7" xfId="3" applyFont="1" applyFill="1" applyBorder="1" applyAlignment="1">
      <alignment horizontal="right" vertical="center"/>
    </xf>
    <xf numFmtId="0" fontId="16" fillId="0" borderId="1" xfId="3" applyFont="1" applyBorder="1" applyAlignment="1">
      <alignment horizontal="left" vertical="center"/>
    </xf>
    <xf numFmtId="0" fontId="5" fillId="0" borderId="59" xfId="3" applyBorder="1"/>
    <xf numFmtId="0" fontId="16" fillId="4" borderId="59" xfId="3" applyFont="1" applyFill="1" applyBorder="1" applyAlignment="1">
      <alignment horizontal="left" vertical="center"/>
    </xf>
    <xf numFmtId="0" fontId="10" fillId="3" borderId="59" xfId="3" applyFont="1" applyFill="1" applyBorder="1" applyAlignment="1">
      <alignment horizontal="left" vertical="center" indent="1"/>
    </xf>
    <xf numFmtId="8" fontId="10" fillId="3" borderId="59" xfId="2" applyNumberFormat="1" applyFont="1" applyFill="1" applyBorder="1" applyAlignment="1">
      <alignment horizontal="right" vertical="center" indent="1"/>
    </xf>
    <xf numFmtId="166" fontId="10" fillId="3" borderId="59" xfId="2" applyNumberFormat="1" applyFont="1" applyFill="1" applyBorder="1" applyAlignment="1">
      <alignment horizontal="right" vertical="center" indent="1"/>
    </xf>
    <xf numFmtId="0" fontId="10" fillId="3" borderId="59" xfId="3" applyFont="1" applyFill="1" applyBorder="1"/>
    <xf numFmtId="0" fontId="10" fillId="0" borderId="10" xfId="3" applyFont="1" applyBorder="1" applyAlignment="1" applyProtection="1">
      <alignment horizontal="left" vertical="center" indent="1"/>
      <protection locked="0"/>
    </xf>
    <xf numFmtId="0" fontId="63" fillId="4" borderId="17" xfId="6" applyFont="1" applyFill="1" applyBorder="1"/>
    <xf numFmtId="0" fontId="39" fillId="0" borderId="0" xfId="3" applyFont="1" applyAlignment="1">
      <alignment horizontal="center" vertical="center"/>
    </xf>
    <xf numFmtId="8" fontId="10" fillId="0" borderId="0" xfId="2" applyNumberFormat="1" applyFont="1" applyFill="1" applyBorder="1" applyAlignment="1" applyProtection="1">
      <alignment vertical="center"/>
      <protection hidden="1"/>
    </xf>
    <xf numFmtId="8" fontId="10" fillId="0" borderId="0" xfId="2" applyNumberFormat="1" applyFont="1" applyFill="1" applyBorder="1" applyAlignment="1" applyProtection="1">
      <alignment horizontal="right" vertical="center" indent="1"/>
      <protection hidden="1"/>
    </xf>
    <xf numFmtId="166" fontId="35" fillId="4" borderId="0" xfId="3" applyNumberFormat="1" applyFont="1" applyFill="1" applyAlignment="1" applyProtection="1">
      <alignment horizontal="right" vertical="center"/>
      <protection locked="0" hidden="1"/>
    </xf>
    <xf numFmtId="6" fontId="5" fillId="0" borderId="0" xfId="3" applyNumberFormat="1"/>
    <xf numFmtId="0" fontId="157" fillId="0" borderId="0" xfId="0" applyFont="1"/>
    <xf numFmtId="180" fontId="5" fillId="0" borderId="0" xfId="3" applyNumberFormat="1"/>
    <xf numFmtId="181" fontId="100" fillId="3" borderId="59" xfId="3" applyNumberFormat="1" applyFont="1" applyFill="1" applyBorder="1"/>
    <xf numFmtId="166" fontId="35" fillId="4" borderId="0" xfId="3" applyNumberFormat="1" applyFont="1" applyFill="1" applyAlignment="1" applyProtection="1">
      <alignment horizontal="left" vertical="center" indent="6"/>
      <protection hidden="1"/>
    </xf>
    <xf numFmtId="1" fontId="63" fillId="0" borderId="53" xfId="6" applyNumberFormat="1" applyFont="1" applyFill="1" applyBorder="1"/>
    <xf numFmtId="0" fontId="63" fillId="12" borderId="60" xfId="6" applyFont="1" applyFill="1" applyBorder="1"/>
    <xf numFmtId="0" fontId="63" fillId="12" borderId="61" xfId="6" applyFont="1" applyFill="1" applyBorder="1"/>
    <xf numFmtId="0" fontId="63" fillId="0" borderId="61" xfId="6" applyFont="1" applyFill="1" applyBorder="1"/>
    <xf numFmtId="0" fontId="63" fillId="12" borderId="62" xfId="6" applyFont="1" applyFill="1" applyBorder="1"/>
    <xf numFmtId="0" fontId="63" fillId="0" borderId="60" xfId="6" applyFont="1" applyFill="1" applyBorder="1"/>
    <xf numFmtId="0" fontId="63" fillId="0" borderId="61" xfId="6" applyNumberFormat="1" applyFont="1" applyFill="1" applyBorder="1"/>
    <xf numFmtId="1" fontId="63" fillId="0" borderId="61" xfId="6" applyNumberFormat="1" applyFont="1" applyFill="1" applyBorder="1"/>
    <xf numFmtId="0" fontId="63" fillId="4" borderId="61" xfId="6" applyFont="1" applyFill="1" applyBorder="1"/>
    <xf numFmtId="1" fontId="63" fillId="0" borderId="62" xfId="6" applyNumberFormat="1" applyFont="1" applyFill="1" applyBorder="1"/>
    <xf numFmtId="0" fontId="63" fillId="12" borderId="63" xfId="6" applyFont="1" applyFill="1" applyBorder="1"/>
    <xf numFmtId="0" fontId="63" fillId="12" borderId="64" xfId="6" applyFont="1" applyFill="1" applyBorder="1"/>
    <xf numFmtId="0" fontId="63" fillId="0" borderId="64" xfId="6" applyFont="1" applyFill="1" applyBorder="1"/>
    <xf numFmtId="0" fontId="63" fillId="12" borderId="65" xfId="6" applyFont="1" applyFill="1" applyBorder="1"/>
    <xf numFmtId="0" fontId="63" fillId="0" borderId="66" xfId="6" applyFont="1" applyFill="1" applyBorder="1"/>
    <xf numFmtId="0" fontId="63" fillId="0" borderId="67" xfId="6" applyNumberFormat="1" applyFont="1" applyFill="1" applyBorder="1"/>
    <xf numFmtId="0" fontId="63" fillId="0" borderId="67" xfId="6" applyFont="1" applyFill="1" applyBorder="1"/>
    <xf numFmtId="0" fontId="63" fillId="0" borderId="68" xfId="6" applyFont="1" applyFill="1" applyBorder="1"/>
    <xf numFmtId="0" fontId="63" fillId="0" borderId="63" xfId="6" applyFont="1" applyFill="1" applyBorder="1"/>
    <xf numFmtId="0" fontId="63" fillId="0" borderId="64" xfId="6" applyNumberFormat="1" applyFont="1" applyFill="1" applyBorder="1"/>
    <xf numFmtId="1" fontId="63" fillId="0" borderId="64" xfId="6" applyNumberFormat="1" applyFont="1" applyFill="1" applyBorder="1"/>
    <xf numFmtId="1" fontId="63" fillId="0" borderId="65" xfId="6" applyNumberFormat="1" applyFont="1" applyFill="1" applyBorder="1"/>
    <xf numFmtId="0" fontId="63" fillId="12" borderId="61" xfId="6" applyNumberFormat="1" applyFont="1" applyFill="1" applyBorder="1"/>
    <xf numFmtId="1" fontId="63" fillId="12" borderId="61" xfId="6" applyNumberFormat="1" applyFont="1" applyFill="1" applyBorder="1"/>
    <xf numFmtId="1" fontId="63" fillId="12" borderId="62" xfId="6" applyNumberFormat="1" applyFont="1" applyFill="1" applyBorder="1"/>
    <xf numFmtId="0" fontId="63" fillId="0" borderId="62" xfId="6" applyFont="1" applyFill="1" applyBorder="1"/>
    <xf numFmtId="0" fontId="63" fillId="12" borderId="69" xfId="6" applyFont="1" applyFill="1" applyBorder="1"/>
    <xf numFmtId="0" fontId="63" fillId="12" borderId="70" xfId="6" applyNumberFormat="1" applyFont="1" applyFill="1" applyBorder="1"/>
    <xf numFmtId="0" fontId="63" fillId="12" borderId="70" xfId="6" applyFont="1" applyFill="1" applyBorder="1"/>
    <xf numFmtId="1" fontId="63" fillId="12" borderId="70" xfId="6" applyNumberFormat="1" applyFont="1" applyFill="1" applyBorder="1"/>
    <xf numFmtId="1" fontId="63" fillId="12" borderId="71" xfId="6" applyNumberFormat="1" applyFont="1" applyFill="1" applyBorder="1"/>
    <xf numFmtId="0" fontId="63" fillId="0" borderId="72" xfId="6" applyFont="1" applyFill="1" applyBorder="1"/>
    <xf numFmtId="0" fontId="63" fillId="0" borderId="73" xfId="6" applyNumberFormat="1" applyFont="1" applyFill="1" applyBorder="1"/>
    <xf numFmtId="0" fontId="63" fillId="0" borderId="73" xfId="6" applyFont="1" applyFill="1" applyBorder="1"/>
    <xf numFmtId="1" fontId="63" fillId="0" borderId="73" xfId="6" applyNumberFormat="1" applyFont="1" applyFill="1" applyBorder="1"/>
    <xf numFmtId="1" fontId="63" fillId="0" borderId="74" xfId="6" applyNumberFormat="1" applyFont="1" applyFill="1" applyBorder="1"/>
    <xf numFmtId="0" fontId="63" fillId="12" borderId="75" xfId="6" applyFont="1" applyFill="1" applyBorder="1"/>
    <xf numFmtId="0" fontId="63" fillId="12" borderId="76" xfId="6" applyFont="1" applyFill="1" applyBorder="1"/>
    <xf numFmtId="0" fontId="63" fillId="12" borderId="77" xfId="6" applyFont="1" applyFill="1" applyBorder="1"/>
    <xf numFmtId="0" fontId="63" fillId="0" borderId="78" xfId="6" applyFont="1" applyFill="1" applyBorder="1"/>
    <xf numFmtId="0" fontId="63" fillId="0" borderId="79" xfId="6" applyNumberFormat="1" applyFont="1" applyFill="1" applyBorder="1"/>
    <xf numFmtId="0" fontId="63" fillId="0" borderId="79" xfId="6" applyFont="1" applyFill="1" applyBorder="1"/>
    <xf numFmtId="1" fontId="63" fillId="0" borderId="79" xfId="6" applyNumberFormat="1" applyFont="1" applyFill="1" applyBorder="1"/>
    <xf numFmtId="0" fontId="63" fillId="4" borderId="79" xfId="6" applyFont="1" applyFill="1" applyBorder="1"/>
    <xf numFmtId="1" fontId="63" fillId="0" borderId="80" xfId="6" applyNumberFormat="1" applyFont="1" applyFill="1" applyBorder="1"/>
    <xf numFmtId="0" fontId="63" fillId="12" borderId="81" xfId="6" applyFont="1" applyFill="1" applyBorder="1"/>
    <xf numFmtId="0" fontId="63" fillId="12" borderId="82" xfId="6" applyFont="1" applyFill="1" applyBorder="1"/>
    <xf numFmtId="0" fontId="63" fillId="12" borderId="83" xfId="6" applyFont="1" applyFill="1" applyBorder="1"/>
    <xf numFmtId="0" fontId="63" fillId="12" borderId="84" xfId="6" applyFont="1" applyFill="1" applyBorder="1"/>
    <xf numFmtId="0" fontId="63" fillId="12" borderId="85" xfId="6" applyNumberFormat="1" applyFont="1" applyFill="1" applyBorder="1"/>
    <xf numFmtId="0" fontId="63" fillId="12" borderId="85" xfId="6" applyFont="1" applyFill="1" applyBorder="1"/>
    <xf numFmtId="1" fontId="63" fillId="12" borderId="85" xfId="6" applyNumberFormat="1" applyFont="1" applyFill="1" applyBorder="1"/>
    <xf numFmtId="1" fontId="63" fillId="12" borderId="86" xfId="6" applyNumberFormat="1" applyFont="1" applyFill="1" applyBorder="1"/>
    <xf numFmtId="0" fontId="63" fillId="0" borderId="87" xfId="6" applyFont="1" applyFill="1" applyBorder="1"/>
    <xf numFmtId="0" fontId="63" fillId="0" borderId="88" xfId="6" applyFont="1" applyFill="1" applyBorder="1"/>
    <xf numFmtId="0" fontId="63" fillId="12" borderId="87" xfId="6" applyFont="1" applyFill="1" applyBorder="1"/>
    <xf numFmtId="1" fontId="63" fillId="12" borderId="88" xfId="6" applyNumberFormat="1" applyFont="1" applyFill="1" applyBorder="1"/>
    <xf numFmtId="0" fontId="63" fillId="0" borderId="89" xfId="6" applyFont="1" applyFill="1" applyBorder="1"/>
    <xf numFmtId="0" fontId="63" fillId="0" borderId="70" xfId="6" applyNumberFormat="1" applyFont="1" applyFill="1" applyBorder="1"/>
    <xf numFmtId="0" fontId="63" fillId="0" borderId="70" xfId="6" applyFont="1" applyFill="1" applyBorder="1"/>
    <xf numFmtId="1" fontId="63" fillId="0" borderId="70" xfId="6" applyNumberFormat="1" applyFont="1" applyFill="1" applyBorder="1"/>
    <xf numFmtId="1" fontId="63" fillId="0" borderId="90" xfId="6" applyNumberFormat="1" applyFont="1" applyFill="1" applyBorder="1"/>
    <xf numFmtId="0" fontId="63" fillId="12" borderId="89" xfId="6" applyFont="1" applyFill="1" applyBorder="1"/>
    <xf numFmtId="0" fontId="63" fillId="12" borderId="90" xfId="6" applyFont="1" applyFill="1" applyBorder="1"/>
    <xf numFmtId="0" fontId="63" fillId="12" borderId="91" xfId="6" applyFont="1" applyFill="1" applyBorder="1"/>
    <xf numFmtId="0" fontId="63" fillId="12" borderId="92" xfId="6" applyFont="1" applyFill="1" applyBorder="1"/>
    <xf numFmtId="0" fontId="63" fillId="49" borderId="45" xfId="6" applyFont="1" applyFill="1" applyBorder="1"/>
    <xf numFmtId="0" fontId="63" fillId="49" borderId="14" xfId="6" applyFont="1" applyFill="1" applyBorder="1"/>
    <xf numFmtId="0" fontId="63" fillId="49" borderId="21" xfId="6" applyFont="1" applyFill="1" applyBorder="1"/>
    <xf numFmtId="0" fontId="63" fillId="49" borderId="79" xfId="6" applyFont="1" applyFill="1" applyBorder="1"/>
    <xf numFmtId="0" fontId="63" fillId="49" borderId="82" xfId="6" applyFont="1" applyFill="1" applyBorder="1"/>
    <xf numFmtId="0" fontId="63" fillId="12" borderId="78" xfId="6" applyFont="1" applyFill="1" applyBorder="1"/>
    <xf numFmtId="0" fontId="63" fillId="12" borderId="79" xfId="6" applyFont="1" applyFill="1" applyBorder="1"/>
    <xf numFmtId="0" fontId="63" fillId="12" borderId="80" xfId="6" applyFont="1" applyFill="1" applyBorder="1"/>
    <xf numFmtId="182" fontId="5" fillId="0" borderId="0" xfId="16" applyNumberFormat="1" applyFont="1"/>
    <xf numFmtId="183" fontId="5" fillId="0" borderId="0" xfId="3" applyNumberFormat="1"/>
    <xf numFmtId="0" fontId="63" fillId="0" borderId="93" xfId="6" applyFont="1" applyFill="1" applyBorder="1"/>
    <xf numFmtId="0" fontId="63" fillId="0" borderId="94" xfId="6" applyFont="1" applyFill="1" applyBorder="1"/>
    <xf numFmtId="0" fontId="63" fillId="0" borderId="95" xfId="6" applyFont="1" applyFill="1" applyBorder="1"/>
    <xf numFmtId="0" fontId="63" fillId="0" borderId="96" xfId="6" applyFont="1" applyFill="1" applyBorder="1"/>
    <xf numFmtId="0" fontId="63" fillId="0" borderId="84" xfId="6" applyFont="1" applyFill="1" applyBorder="1"/>
    <xf numFmtId="0" fontId="63" fillId="0" borderId="97" xfId="6" applyFont="1" applyFill="1" applyBorder="1"/>
    <xf numFmtId="0" fontId="63" fillId="0" borderId="85" xfId="6" applyNumberFormat="1" applyFont="1" applyFill="1" applyBorder="1"/>
    <xf numFmtId="0" fontId="63" fillId="0" borderId="85" xfId="6" applyFont="1" applyFill="1" applyBorder="1"/>
    <xf numFmtId="1" fontId="63" fillId="0" borderId="85" xfId="6" applyNumberFormat="1" applyFont="1" applyFill="1" applyBorder="1"/>
    <xf numFmtId="0" fontId="63" fillId="0" borderId="98" xfId="6" applyFont="1" applyFill="1" applyBorder="1"/>
    <xf numFmtId="1" fontId="63" fillId="12" borderId="90" xfId="6" applyNumberFormat="1" applyFont="1" applyFill="1" applyBorder="1"/>
    <xf numFmtId="0" fontId="63" fillId="0" borderId="90" xfId="6" applyFont="1" applyFill="1" applyBorder="1"/>
    <xf numFmtId="0" fontId="63" fillId="0" borderId="99" xfId="6" applyFont="1" applyFill="1" applyBorder="1"/>
    <xf numFmtId="0" fontId="63" fillId="0" borderId="100" xfId="6" applyFont="1" applyFill="1" applyBorder="1"/>
    <xf numFmtId="0" fontId="63" fillId="0" borderId="101" xfId="6" applyFont="1" applyFill="1" applyBorder="1"/>
    <xf numFmtId="0" fontId="63" fillId="12" borderId="105" xfId="6" applyFont="1" applyFill="1" applyBorder="1"/>
    <xf numFmtId="0" fontId="63" fillId="12" borderId="106" xfId="6" applyFont="1" applyFill="1" applyBorder="1"/>
    <xf numFmtId="0" fontId="63" fillId="12" borderId="107" xfId="6" applyFont="1" applyFill="1" applyBorder="1"/>
    <xf numFmtId="0" fontId="63" fillId="0" borderId="108" xfId="6" applyFont="1" applyFill="1" applyBorder="1"/>
    <xf numFmtId="0" fontId="63" fillId="0" borderId="108" xfId="6" applyNumberFormat="1" applyFont="1" applyFill="1" applyBorder="1"/>
    <xf numFmtId="1" fontId="63" fillId="0" borderId="108" xfId="6" applyNumberFormat="1" applyFont="1" applyFill="1" applyBorder="1"/>
    <xf numFmtId="0" fontId="63" fillId="0" borderId="109" xfId="6" applyFont="1" applyFill="1" applyBorder="1"/>
    <xf numFmtId="0" fontId="63" fillId="0" borderId="109" xfId="6" applyNumberFormat="1" applyFont="1" applyFill="1" applyBorder="1"/>
    <xf numFmtId="1" fontId="63" fillId="0" borderId="109" xfId="6" applyNumberFormat="1" applyFont="1" applyFill="1" applyBorder="1"/>
    <xf numFmtId="0" fontId="63" fillId="0" borderId="102" xfId="6" applyFont="1" applyFill="1" applyBorder="1"/>
    <xf numFmtId="0" fontId="63" fillId="0" borderId="103" xfId="6" applyFont="1" applyFill="1" applyBorder="1"/>
    <xf numFmtId="0" fontId="63" fillId="0" borderId="104" xfId="6" applyFont="1" applyFill="1" applyBorder="1"/>
    <xf numFmtId="0" fontId="63" fillId="25" borderId="14" xfId="6" applyNumberFormat="1" applyFont="1" applyFill="1" applyBorder="1"/>
    <xf numFmtId="2" fontId="63" fillId="0" borderId="14" xfId="6" applyNumberFormat="1" applyFont="1" applyFill="1" applyBorder="1" applyAlignment="1">
      <alignment horizontal="right" indent="1"/>
    </xf>
    <xf numFmtId="0" fontId="63" fillId="0" borderId="110" xfId="6" applyFont="1" applyFill="1" applyBorder="1"/>
    <xf numFmtId="0" fontId="63" fillId="0" borderId="97" xfId="6" applyNumberFormat="1" applyFont="1" applyFill="1" applyBorder="1"/>
    <xf numFmtId="1" fontId="63" fillId="0" borderId="97" xfId="6" applyNumberFormat="1" applyFont="1" applyFill="1" applyBorder="1"/>
    <xf numFmtId="0" fontId="63" fillId="4" borderId="97" xfId="6" applyFont="1" applyFill="1" applyBorder="1"/>
    <xf numFmtId="1" fontId="63" fillId="0" borderId="111" xfId="6" applyNumberFormat="1" applyFont="1" applyFill="1" applyBorder="1"/>
    <xf numFmtId="0" fontId="63" fillId="0" borderId="106" xfId="6" applyFont="1" applyFill="1" applyBorder="1"/>
    <xf numFmtId="0" fontId="63" fillId="0" borderId="106" xfId="6" applyNumberFormat="1" applyFont="1" applyFill="1" applyBorder="1"/>
    <xf numFmtId="1" fontId="63" fillId="0" borderId="106" xfId="6" applyNumberFormat="1" applyFont="1" applyFill="1" applyBorder="1"/>
    <xf numFmtId="0" fontId="63" fillId="4" borderId="106" xfId="6" applyFont="1" applyFill="1" applyBorder="1"/>
    <xf numFmtId="0" fontId="63" fillId="0" borderId="103" xfId="6" applyNumberFormat="1" applyFont="1" applyFill="1" applyBorder="1"/>
    <xf numFmtId="1" fontId="63" fillId="0" borderId="103" xfId="6" applyNumberFormat="1" applyFont="1" applyFill="1" applyBorder="1"/>
    <xf numFmtId="0" fontId="63" fillId="4" borderId="103" xfId="6" applyFont="1" applyFill="1" applyBorder="1"/>
    <xf numFmtId="1" fontId="63" fillId="0" borderId="104" xfId="6" applyNumberFormat="1" applyFont="1" applyFill="1" applyBorder="1"/>
    <xf numFmtId="0" fontId="63" fillId="0" borderId="105" xfId="6" applyFont="1" applyFill="1" applyBorder="1"/>
    <xf numFmtId="1" fontId="63" fillId="0" borderId="107" xfId="6" applyNumberFormat="1" applyFont="1" applyFill="1" applyBorder="1"/>
    <xf numFmtId="0" fontId="63" fillId="12" borderId="112" xfId="6" applyFont="1" applyFill="1" applyBorder="1"/>
    <xf numFmtId="0" fontId="63" fillId="12" borderId="113" xfId="6" applyFont="1" applyFill="1" applyBorder="1"/>
    <xf numFmtId="0" fontId="63" fillId="12" borderId="114" xfId="6" applyFont="1" applyFill="1" applyBorder="1"/>
    <xf numFmtId="0" fontId="63" fillId="12" borderId="102" xfId="6" applyFont="1" applyFill="1" applyBorder="1"/>
    <xf numFmtId="0" fontId="63" fillId="12" borderId="103" xfId="6" applyFont="1" applyFill="1" applyBorder="1"/>
    <xf numFmtId="0" fontId="63" fillId="49" borderId="103" xfId="6" applyFont="1" applyFill="1" applyBorder="1"/>
    <xf numFmtId="0" fontId="63" fillId="12" borderId="103" xfId="6" applyFont="1" applyFill="1" applyBorder="1" applyAlignment="1">
      <alignment wrapText="1"/>
    </xf>
    <xf numFmtId="0" fontId="63" fillId="12" borderId="104" xfId="6" applyFont="1" applyFill="1" applyBorder="1"/>
    <xf numFmtId="0" fontId="63" fillId="49" borderId="106" xfId="6" applyFont="1" applyFill="1" applyBorder="1"/>
    <xf numFmtId="0" fontId="63" fillId="12" borderId="106" xfId="6" applyFont="1" applyFill="1" applyBorder="1" applyAlignment="1">
      <alignment wrapText="1"/>
    </xf>
    <xf numFmtId="0" fontId="63" fillId="0" borderId="106" xfId="6" applyFont="1" applyFill="1" applyBorder="1" applyAlignment="1">
      <alignment wrapText="1"/>
    </xf>
    <xf numFmtId="0" fontId="63" fillId="12" borderId="106" xfId="6" applyNumberFormat="1" applyFont="1" applyFill="1" applyBorder="1"/>
    <xf numFmtId="1" fontId="63" fillId="12" borderId="106" xfId="6" applyNumberFormat="1" applyFont="1" applyFill="1" applyBorder="1"/>
    <xf numFmtId="1" fontId="63" fillId="12" borderId="107" xfId="6" applyNumberFormat="1" applyFont="1" applyFill="1" applyBorder="1"/>
    <xf numFmtId="0" fontId="63" fillId="12" borderId="113" xfId="6" applyNumberFormat="1" applyFont="1" applyFill="1" applyBorder="1"/>
    <xf numFmtId="0" fontId="63" fillId="49" borderId="113" xfId="6" applyFont="1" applyFill="1" applyBorder="1"/>
    <xf numFmtId="1" fontId="63" fillId="12" borderId="113" xfId="6" applyNumberFormat="1" applyFont="1" applyFill="1" applyBorder="1"/>
    <xf numFmtId="0" fontId="63" fillId="12" borderId="113" xfId="6" applyFont="1" applyFill="1" applyBorder="1" applyAlignment="1">
      <alignment wrapText="1"/>
    </xf>
    <xf numFmtId="1" fontId="63" fillId="12" borderId="114" xfId="6" applyNumberFormat="1" applyFont="1" applyFill="1" applyBorder="1"/>
    <xf numFmtId="166" fontId="10" fillId="0" borderId="0" xfId="3" applyNumberFormat="1" applyFont="1" applyAlignment="1">
      <alignment horizontal="left" vertical="center" indent="1"/>
    </xf>
    <xf numFmtId="166" fontId="10" fillId="46" borderId="6" xfId="3" applyNumberFormat="1" applyFont="1" applyFill="1" applyBorder="1" applyAlignment="1">
      <alignment horizontal="left" vertical="center" indent="1"/>
    </xf>
    <xf numFmtId="166" fontId="10" fillId="13" borderId="6" xfId="3" applyNumberFormat="1" applyFont="1" applyFill="1" applyBorder="1" applyAlignment="1">
      <alignment horizontal="left" vertical="center" indent="1"/>
    </xf>
    <xf numFmtId="7" fontId="5" fillId="0" borderId="0" xfId="3" applyNumberFormat="1"/>
    <xf numFmtId="0" fontId="63" fillId="33" borderId="14" xfId="6" applyFont="1" applyFill="1" applyBorder="1"/>
    <xf numFmtId="0" fontId="6" fillId="21" borderId="0" xfId="3" applyFont="1" applyFill="1"/>
    <xf numFmtId="0" fontId="104" fillId="22" borderId="19" xfId="10" applyFill="1" applyBorder="1" applyAlignment="1">
      <alignment horizontal="left"/>
    </xf>
    <xf numFmtId="166" fontId="9" fillId="4" borderId="10" xfId="3" applyNumberFormat="1" applyFont="1" applyFill="1" applyBorder="1" applyAlignment="1">
      <alignment horizontal="left" vertical="center" indent="1"/>
    </xf>
    <xf numFmtId="1" fontId="63" fillId="10" borderId="14" xfId="6" applyNumberFormat="1" applyFont="1" applyFill="1" applyBorder="1"/>
    <xf numFmtId="0" fontId="63" fillId="47" borderId="14" xfId="6" applyFont="1" applyFill="1" applyBorder="1"/>
    <xf numFmtId="4" fontId="5" fillId="0" borderId="0" xfId="3" applyNumberFormat="1"/>
    <xf numFmtId="2" fontId="102" fillId="43" borderId="14" xfId="3" applyNumberFormat="1" applyFont="1" applyFill="1" applyBorder="1" applyAlignment="1">
      <alignment horizontal="center"/>
    </xf>
    <xf numFmtId="1" fontId="63" fillId="25" borderId="14" xfId="6" applyNumberFormat="1" applyFont="1" applyFill="1" applyBorder="1"/>
    <xf numFmtId="2" fontId="63" fillId="25" borderId="14" xfId="6" applyNumberFormat="1" applyFont="1" applyFill="1" applyBorder="1"/>
    <xf numFmtId="172" fontId="63" fillId="25" borderId="25" xfId="6" applyNumberFormat="1" applyFont="1" applyFill="1" applyBorder="1"/>
    <xf numFmtId="2" fontId="63" fillId="25" borderId="23" xfId="6" applyNumberFormat="1" applyFont="1" applyFill="1" applyBorder="1"/>
    <xf numFmtId="2" fontId="63" fillId="25" borderId="25" xfId="6" applyNumberFormat="1" applyFont="1" applyFill="1" applyBorder="1"/>
    <xf numFmtId="0" fontId="62" fillId="8" borderId="17" xfId="6" applyFont="1" applyFill="1" applyBorder="1"/>
    <xf numFmtId="0" fontId="5" fillId="0" borderId="41" xfId="3" applyBorder="1"/>
    <xf numFmtId="0" fontId="64" fillId="0" borderId="41" xfId="3" applyFont="1" applyBorder="1"/>
    <xf numFmtId="0" fontId="63" fillId="12" borderId="41" xfId="6" applyFont="1" applyFill="1" applyBorder="1"/>
    <xf numFmtId="0" fontId="63" fillId="0" borderId="41" xfId="6" applyFont="1" applyFill="1" applyBorder="1"/>
    <xf numFmtId="0" fontId="5" fillId="22" borderId="41" xfId="3" applyFill="1" applyBorder="1"/>
    <xf numFmtId="0" fontId="5" fillId="3" borderId="122" xfId="3" applyFill="1" applyBorder="1"/>
    <xf numFmtId="0" fontId="45" fillId="4" borderId="116" xfId="3" applyFont="1" applyFill="1" applyBorder="1" applyAlignment="1">
      <alignment vertical="center"/>
    </xf>
    <xf numFmtId="0" fontId="45" fillId="4" borderId="117" xfId="3" applyFont="1" applyFill="1" applyBorder="1" applyAlignment="1">
      <alignment vertical="center"/>
    </xf>
    <xf numFmtId="0" fontId="5" fillId="4" borderId="118" xfId="3" applyFill="1" applyBorder="1"/>
    <xf numFmtId="0" fontId="5" fillId="4" borderId="121" xfId="3" applyFill="1" applyBorder="1"/>
    <xf numFmtId="0" fontId="49" fillId="0" borderId="123" xfId="3" applyFont="1" applyBorder="1" applyAlignment="1">
      <alignment horizontal="left" vertical="center" wrapText="1"/>
    </xf>
    <xf numFmtId="0" fontId="5" fillId="4" borderId="116" xfId="3" applyFill="1" applyBorder="1"/>
    <xf numFmtId="0" fontId="5" fillId="4" borderId="117" xfId="3" applyFill="1" applyBorder="1"/>
    <xf numFmtId="0" fontId="5" fillId="0" borderId="119" xfId="3" applyBorder="1"/>
    <xf numFmtId="0" fontId="5" fillId="4" borderId="120" xfId="3" applyFill="1" applyBorder="1"/>
    <xf numFmtId="0" fontId="5" fillId="4" borderId="122" xfId="3" applyFill="1" applyBorder="1"/>
    <xf numFmtId="0" fontId="5" fillId="4" borderId="123" xfId="3" applyFill="1" applyBorder="1"/>
    <xf numFmtId="166" fontId="57" fillId="0" borderId="115" xfId="3" applyNumberFormat="1" applyFont="1" applyBorder="1" applyAlignment="1" applyProtection="1">
      <alignment horizontal="right" vertical="center" indent="1"/>
      <protection locked="0"/>
    </xf>
    <xf numFmtId="0" fontId="34" fillId="0" borderId="115" xfId="3" applyFont="1" applyBorder="1" applyAlignment="1" applyProtection="1">
      <alignment horizontal="center" vertical="center"/>
      <protection locked="0"/>
    </xf>
    <xf numFmtId="0" fontId="57" fillId="0" borderId="115" xfId="3" applyFont="1" applyBorder="1" applyAlignment="1" applyProtection="1">
      <alignment horizontal="left" vertical="center" indent="1"/>
      <protection locked="0"/>
    </xf>
    <xf numFmtId="0" fontId="57" fillId="4" borderId="115" xfId="3" applyFont="1" applyFill="1" applyBorder="1" applyAlignment="1" applyProtection="1">
      <alignment horizontal="center" vertical="center"/>
      <protection locked="0"/>
    </xf>
    <xf numFmtId="10" fontId="57" fillId="4" borderId="115" xfId="2" applyNumberFormat="1" applyFont="1" applyFill="1" applyBorder="1" applyAlignment="1" applyProtection="1">
      <alignment horizontal="right" vertical="center" indent="1"/>
      <protection locked="0"/>
    </xf>
    <xf numFmtId="0" fontId="57" fillId="4" borderId="124" xfId="3" applyFont="1" applyFill="1" applyBorder="1" applyAlignment="1" applyProtection="1">
      <alignment horizontal="center" vertical="center"/>
      <protection locked="0"/>
    </xf>
    <xf numFmtId="10" fontId="57" fillId="0" borderId="125" xfId="2" applyNumberFormat="1" applyFont="1" applyFill="1" applyBorder="1" applyAlignment="1" applyProtection="1">
      <alignment horizontal="center" vertical="center"/>
      <protection locked="0"/>
    </xf>
    <xf numFmtId="0" fontId="161" fillId="0" borderId="0" xfId="3" applyFont="1" applyAlignment="1">
      <alignment vertical="center"/>
    </xf>
    <xf numFmtId="0" fontId="45" fillId="4" borderId="119" xfId="3" applyFont="1" applyFill="1" applyBorder="1" applyAlignment="1">
      <alignment vertical="center"/>
    </xf>
    <xf numFmtId="0" fontId="45" fillId="4" borderId="0" xfId="3" applyFont="1" applyFill="1" applyAlignment="1">
      <alignment vertical="center"/>
    </xf>
    <xf numFmtId="0" fontId="5" fillId="0" borderId="122" xfId="3" applyBorder="1"/>
    <xf numFmtId="166" fontId="57" fillId="50" borderId="115" xfId="3" applyNumberFormat="1" applyFont="1" applyFill="1" applyBorder="1" applyAlignment="1" applyProtection="1">
      <alignment horizontal="right" vertical="center" indent="1"/>
      <protection hidden="1"/>
    </xf>
    <xf numFmtId="166" fontId="80" fillId="50" borderId="115" xfId="3" applyNumberFormat="1" applyFont="1" applyFill="1" applyBorder="1" applyAlignment="1" applyProtection="1">
      <alignment horizontal="left" vertical="center"/>
      <protection hidden="1"/>
    </xf>
    <xf numFmtId="0" fontId="5" fillId="52" borderId="116" xfId="3" applyFill="1" applyBorder="1"/>
    <xf numFmtId="0" fontId="5" fillId="52" borderId="117" xfId="3" applyFill="1" applyBorder="1"/>
    <xf numFmtId="0" fontId="5" fillId="52" borderId="118" xfId="3" applyFill="1" applyBorder="1"/>
    <xf numFmtId="0" fontId="5" fillId="52" borderId="119" xfId="3" applyFill="1" applyBorder="1"/>
    <xf numFmtId="0" fontId="5" fillId="52" borderId="121" xfId="3" applyFill="1" applyBorder="1"/>
    <xf numFmtId="0" fontId="5" fillId="52" borderId="0" xfId="3" applyFill="1"/>
    <xf numFmtId="0" fontId="5" fillId="52" borderId="120" xfId="3" applyFill="1" applyBorder="1"/>
    <xf numFmtId="0" fontId="5" fillId="52" borderId="123" xfId="3" applyFill="1" applyBorder="1"/>
    <xf numFmtId="0" fontId="5" fillId="52" borderId="122" xfId="3" applyFill="1" applyBorder="1"/>
    <xf numFmtId="9" fontId="55" fillId="4" borderId="0" xfId="16" applyFont="1" applyFill="1" applyBorder="1" applyAlignment="1" applyProtection="1">
      <alignment horizontal="left" vertical="center" indent="1"/>
      <protection locked="0" hidden="1"/>
    </xf>
    <xf numFmtId="0" fontId="26" fillId="5" borderId="0" xfId="3" applyFont="1" applyFill="1" applyAlignment="1">
      <alignment horizontal="left" vertical="center" wrapText="1"/>
    </xf>
    <xf numFmtId="0" fontId="78" fillId="0" borderId="0" xfId="3" applyFont="1" applyAlignment="1">
      <alignment vertical="top"/>
    </xf>
    <xf numFmtId="0" fontId="5" fillId="4" borderId="119" xfId="3" applyFill="1" applyBorder="1"/>
    <xf numFmtId="0" fontId="5" fillId="0" borderId="117" xfId="3" applyBorder="1"/>
    <xf numFmtId="0" fontId="5" fillId="0" borderId="118" xfId="3" applyBorder="1"/>
    <xf numFmtId="0" fontId="96" fillId="0" borderId="0" xfId="3" applyFont="1"/>
    <xf numFmtId="0" fontId="96" fillId="52" borderId="116" xfId="3" applyFont="1" applyFill="1" applyBorder="1"/>
    <xf numFmtId="0" fontId="96" fillId="52" borderId="117" xfId="3" applyFont="1" applyFill="1" applyBorder="1"/>
    <xf numFmtId="0" fontId="96" fillId="52" borderId="118" xfId="3" applyFont="1" applyFill="1" applyBorder="1"/>
    <xf numFmtId="0" fontId="96" fillId="52" borderId="119" xfId="3" applyFont="1" applyFill="1" applyBorder="1"/>
    <xf numFmtId="0" fontId="96" fillId="52" borderId="120" xfId="3" applyFont="1" applyFill="1" applyBorder="1"/>
    <xf numFmtId="0" fontId="96" fillId="52" borderId="0" xfId="3" applyFont="1" applyFill="1"/>
    <xf numFmtId="0" fontId="96" fillId="4" borderId="116" xfId="3" applyFont="1" applyFill="1" applyBorder="1"/>
    <xf numFmtId="0" fontId="96" fillId="4" borderId="117" xfId="3" applyFont="1" applyFill="1" applyBorder="1"/>
    <xf numFmtId="0" fontId="96" fillId="4" borderId="118" xfId="3" applyFont="1" applyFill="1" applyBorder="1"/>
    <xf numFmtId="0" fontId="96" fillId="0" borderId="119" xfId="3" applyFont="1" applyBorder="1"/>
    <xf numFmtId="0" fontId="96" fillId="4" borderId="0" xfId="3" applyFont="1" applyFill="1"/>
    <xf numFmtId="0" fontId="31" fillId="4" borderId="0" xfId="3" applyFont="1" applyFill="1"/>
    <xf numFmtId="0" fontId="96" fillId="4" borderId="120" xfId="3" applyFont="1" applyFill="1" applyBorder="1"/>
    <xf numFmtId="2" fontId="96" fillId="0" borderId="0" xfId="3" applyNumberFormat="1" applyFont="1"/>
    <xf numFmtId="0" fontId="24" fillId="4" borderId="0" xfId="3" applyFont="1" applyFill="1"/>
    <xf numFmtId="0" fontId="24" fillId="4" borderId="0" xfId="3" applyFont="1" applyFill="1" applyProtection="1">
      <protection hidden="1"/>
    </xf>
    <xf numFmtId="0" fontId="96" fillId="4" borderId="121" xfId="3" applyFont="1" applyFill="1" applyBorder="1"/>
    <xf numFmtId="0" fontId="96" fillId="4" borderId="122" xfId="3" applyFont="1" applyFill="1" applyBorder="1"/>
    <xf numFmtId="0" fontId="96" fillId="4" borderId="123" xfId="3" applyFont="1" applyFill="1" applyBorder="1"/>
    <xf numFmtId="0" fontId="96" fillId="52" borderId="121" xfId="3" applyFont="1" applyFill="1" applyBorder="1"/>
    <xf numFmtId="0" fontId="96" fillId="52" borderId="122" xfId="3" applyFont="1" applyFill="1" applyBorder="1"/>
    <xf numFmtId="0" fontId="96" fillId="52" borderId="123" xfId="3" applyFont="1" applyFill="1" applyBorder="1"/>
    <xf numFmtId="0" fontId="96" fillId="0" borderId="0" xfId="0" applyFont="1" applyAlignment="1">
      <alignment vertical="center"/>
    </xf>
    <xf numFmtId="166" fontId="96" fillId="0" borderId="0" xfId="3" applyNumberFormat="1" applyFont="1"/>
    <xf numFmtId="0" fontId="96" fillId="0" borderId="0" xfId="3" quotePrefix="1" applyFont="1"/>
    <xf numFmtId="166" fontId="96" fillId="0" borderId="0" xfId="0" applyNumberFormat="1" applyFont="1" applyAlignment="1">
      <alignment vertical="center"/>
    </xf>
    <xf numFmtId="8" fontId="96" fillId="0" borderId="0" xfId="3" applyNumberFormat="1" applyFont="1"/>
    <xf numFmtId="0" fontId="96" fillId="3" borderId="117" xfId="3" applyFont="1" applyFill="1" applyBorder="1"/>
    <xf numFmtId="0" fontId="22" fillId="52" borderId="0" xfId="3" applyFont="1" applyFill="1"/>
    <xf numFmtId="0" fontId="22" fillId="52" borderId="0" xfId="3" applyFont="1" applyFill="1" applyAlignment="1">
      <alignment vertical="center"/>
    </xf>
    <xf numFmtId="0" fontId="96" fillId="3" borderId="0" xfId="3" applyFont="1" applyFill="1"/>
    <xf numFmtId="0" fontId="96" fillId="4" borderId="119" xfId="3" applyFont="1" applyFill="1" applyBorder="1"/>
    <xf numFmtId="0" fontId="8" fillId="4" borderId="0" xfId="3" applyFont="1" applyFill="1" applyAlignment="1">
      <alignment vertical="center" wrapText="1"/>
    </xf>
    <xf numFmtId="0" fontId="161" fillId="0" borderId="115" xfId="3" applyFont="1" applyBorder="1" applyAlignment="1" applyProtection="1">
      <alignment horizontal="left" vertical="center" indent="1"/>
      <protection locked="0"/>
    </xf>
    <xf numFmtId="0" fontId="161" fillId="4" borderId="0" xfId="3" applyFont="1" applyFill="1" applyAlignment="1">
      <alignment vertical="center" wrapText="1"/>
    </xf>
    <xf numFmtId="8" fontId="47" fillId="4" borderId="0" xfId="3" applyNumberFormat="1" applyFont="1" applyFill="1" applyAlignment="1" applyProtection="1">
      <alignment horizontal="right" vertical="center"/>
      <protection hidden="1"/>
    </xf>
    <xf numFmtId="2" fontId="164" fillId="4" borderId="120" xfId="3" applyNumberFormat="1" applyFont="1" applyFill="1" applyBorder="1" applyAlignment="1">
      <alignment wrapText="1"/>
    </xf>
    <xf numFmtId="166" fontId="161" fillId="0" borderId="115" xfId="3" applyNumberFormat="1" applyFont="1" applyBorder="1" applyAlignment="1" applyProtection="1">
      <alignment horizontal="left" vertical="center" indent="1"/>
      <protection locked="0"/>
    </xf>
    <xf numFmtId="0" fontId="55" fillId="0" borderId="0" xfId="3" applyFont="1" applyProtection="1">
      <protection locked="0"/>
    </xf>
    <xf numFmtId="0" fontId="151" fillId="4" borderId="0" xfId="3" applyFont="1" applyFill="1" applyAlignment="1" applyProtection="1">
      <alignment vertical="center"/>
      <protection hidden="1"/>
    </xf>
    <xf numFmtId="0" fontId="161" fillId="0" borderId="0" xfId="3" applyFont="1" applyAlignment="1">
      <alignment horizontal="left" vertical="center"/>
    </xf>
    <xf numFmtId="0" fontId="162" fillId="4" borderId="0" xfId="3" applyFont="1" applyFill="1" applyAlignment="1">
      <alignment vertical="center" wrapText="1"/>
    </xf>
    <xf numFmtId="8" fontId="22" fillId="4" borderId="0" xfId="3" applyNumberFormat="1" applyFont="1" applyFill="1" applyAlignment="1" applyProtection="1">
      <alignment vertical="center"/>
      <protection hidden="1"/>
    </xf>
    <xf numFmtId="0" fontId="96" fillId="4" borderId="0" xfId="3" applyFont="1" applyFill="1" applyAlignment="1" applyProtection="1">
      <alignment vertical="center"/>
      <protection hidden="1"/>
    </xf>
    <xf numFmtId="0" fontId="81" fillId="0" borderId="0" xfId="3" applyFont="1" applyAlignment="1">
      <alignment vertical="top"/>
    </xf>
    <xf numFmtId="0" fontId="164" fillId="3" borderId="17" xfId="3" applyFont="1" applyFill="1" applyBorder="1" applyAlignment="1">
      <alignment wrapText="1"/>
    </xf>
    <xf numFmtId="0" fontId="164" fillId="3" borderId="14" xfId="3" applyFont="1" applyFill="1" applyBorder="1" applyAlignment="1">
      <alignment wrapText="1"/>
    </xf>
    <xf numFmtId="0" fontId="31" fillId="4" borderId="0" xfId="3" applyFont="1" applyFill="1" applyProtection="1">
      <protection hidden="1"/>
    </xf>
    <xf numFmtId="0" fontId="81" fillId="52" borderId="122" xfId="3" applyFont="1" applyFill="1" applyBorder="1" applyAlignment="1">
      <alignment horizontal="right"/>
    </xf>
    <xf numFmtId="0" fontId="24" fillId="0" borderId="0" xfId="3" applyFont="1" applyProtection="1">
      <protection locked="0"/>
    </xf>
    <xf numFmtId="0" fontId="24" fillId="4" borderId="0" xfId="3" applyFont="1" applyFill="1" applyProtection="1">
      <protection locked="0"/>
    </xf>
    <xf numFmtId="0" fontId="55" fillId="0" borderId="0" xfId="3" applyFont="1" applyAlignment="1" applyProtection="1">
      <alignment vertical="center"/>
      <protection hidden="1"/>
    </xf>
    <xf numFmtId="0" fontId="56" fillId="0" borderId="0" xfId="3" applyFont="1"/>
    <xf numFmtId="2" fontId="153" fillId="4" borderId="0" xfId="3" applyNumberFormat="1" applyFont="1" applyFill="1" applyAlignment="1" applyProtection="1">
      <alignment horizontal="left" vertical="center" indent="1"/>
      <protection hidden="1"/>
    </xf>
    <xf numFmtId="0" fontId="153" fillId="4" borderId="0" xfId="3" applyFont="1" applyFill="1" applyAlignment="1" applyProtection="1">
      <alignment horizontal="left" vertical="center" indent="1"/>
      <protection hidden="1"/>
    </xf>
    <xf numFmtId="0" fontId="115" fillId="0" borderId="0" xfId="3" applyFont="1" applyProtection="1">
      <protection hidden="1"/>
    </xf>
    <xf numFmtId="10" fontId="153" fillId="0" borderId="0" xfId="3" applyNumberFormat="1" applyFont="1" applyAlignment="1" applyProtection="1">
      <alignment horizontal="left" vertical="center"/>
      <protection hidden="1"/>
    </xf>
    <xf numFmtId="0" fontId="42" fillId="0" borderId="0" xfId="3" applyFont="1"/>
    <xf numFmtId="0" fontId="49" fillId="0" borderId="122" xfId="3" applyFont="1" applyBorder="1" applyAlignment="1">
      <alignment horizontal="left" vertical="center"/>
    </xf>
    <xf numFmtId="0" fontId="49" fillId="0" borderId="122" xfId="3" applyFont="1" applyBorder="1" applyAlignment="1">
      <alignment horizontal="left" vertical="center" wrapText="1"/>
    </xf>
    <xf numFmtId="10" fontId="21" fillId="4" borderId="11" xfId="2" applyNumberFormat="1" applyFont="1" applyFill="1" applyBorder="1" applyAlignment="1">
      <alignment horizontal="right" vertical="center" indent="1"/>
    </xf>
    <xf numFmtId="0" fontId="5" fillId="0" borderId="121" xfId="3" applyBorder="1"/>
    <xf numFmtId="0" fontId="6" fillId="4" borderId="119" xfId="3" applyFont="1" applyFill="1" applyBorder="1"/>
    <xf numFmtId="0" fontId="5" fillId="4" borderId="122" xfId="3" applyFill="1" applyBorder="1" applyAlignment="1">
      <alignment horizontal="left"/>
    </xf>
    <xf numFmtId="0" fontId="113" fillId="4" borderId="122" xfId="3" applyFont="1" applyFill="1" applyBorder="1" applyAlignment="1" applyProtection="1">
      <alignment horizontal="left" vertical="top"/>
      <protection hidden="1"/>
    </xf>
    <xf numFmtId="2" fontId="7" fillId="4" borderId="0" xfId="3" applyNumberFormat="1" applyFont="1" applyFill="1" applyAlignment="1" applyProtection="1">
      <alignment horizontal="center" vertical="top"/>
      <protection hidden="1"/>
    </xf>
    <xf numFmtId="0" fontId="57" fillId="0" borderId="0" xfId="3" applyFont="1" applyAlignment="1" applyProtection="1">
      <alignment horizontal="center" vertical="center"/>
      <protection locked="0"/>
    </xf>
    <xf numFmtId="0" fontId="161" fillId="0" borderId="115" xfId="3" quotePrefix="1" applyFont="1" applyBorder="1" applyAlignment="1" applyProtection="1">
      <alignment horizontal="center" vertical="center"/>
      <protection locked="0"/>
    </xf>
    <xf numFmtId="0" fontId="161" fillId="0" borderId="115" xfId="3" applyFont="1" applyBorder="1" applyAlignment="1" applyProtection="1">
      <alignment horizontal="left" vertical="center" indent="1"/>
      <protection locked="0" hidden="1"/>
    </xf>
    <xf numFmtId="166" fontId="161" fillId="0" borderId="115" xfId="3" applyNumberFormat="1" applyFont="1" applyBorder="1" applyAlignment="1" applyProtection="1">
      <alignment horizontal="right" vertical="center" indent="1"/>
      <protection locked="0"/>
    </xf>
    <xf numFmtId="0" fontId="161" fillId="0" borderId="0" xfId="3" applyFont="1" applyAlignment="1">
      <alignment horizontal="right" vertical="center" indent="1"/>
    </xf>
    <xf numFmtId="0" fontId="159" fillId="0" borderId="0" xfId="3" applyFont="1"/>
    <xf numFmtId="0" fontId="51" fillId="52" borderId="122" xfId="3" applyFont="1" applyFill="1" applyBorder="1" applyAlignment="1">
      <alignment horizontal="right"/>
    </xf>
    <xf numFmtId="0" fontId="48" fillId="52" borderId="0" xfId="3" applyFont="1" applyFill="1" applyAlignment="1">
      <alignment vertical="center" wrapText="1"/>
    </xf>
    <xf numFmtId="0" fontId="58" fillId="52" borderId="0" xfId="3" applyFont="1" applyFill="1" applyAlignment="1">
      <alignment horizontal="left" vertical="center"/>
    </xf>
    <xf numFmtId="0" fontId="9" fillId="52" borderId="0" xfId="3" applyFont="1" applyFill="1" applyAlignment="1">
      <alignment horizontal="left" vertical="center"/>
    </xf>
    <xf numFmtId="0" fontId="48" fillId="52" borderId="0" xfId="3" applyFont="1" applyFill="1" applyAlignment="1">
      <alignment horizontal="left" vertical="center" wrapText="1"/>
    </xf>
    <xf numFmtId="0" fontId="60" fillId="4" borderId="116" xfId="3" applyFont="1" applyFill="1" applyBorder="1" applyAlignment="1" applyProtection="1">
      <alignment horizontal="left" vertical="center" indent="2"/>
      <protection hidden="1"/>
    </xf>
    <xf numFmtId="0" fontId="32" fillId="0" borderId="117" xfId="3" applyFont="1" applyBorder="1" applyAlignment="1" applyProtection="1">
      <alignment vertical="center"/>
      <protection hidden="1"/>
    </xf>
    <xf numFmtId="0" fontId="5" fillId="4" borderId="117" xfId="3" applyFill="1" applyBorder="1" applyProtection="1">
      <protection hidden="1"/>
    </xf>
    <xf numFmtId="0" fontId="60" fillId="4" borderId="121" xfId="3" applyFont="1" applyFill="1" applyBorder="1" applyAlignment="1" applyProtection="1">
      <alignment horizontal="left" vertical="center" indent="2"/>
      <protection hidden="1"/>
    </xf>
    <xf numFmtId="0" fontId="32" fillId="0" borderId="122" xfId="3" applyFont="1" applyBorder="1" applyAlignment="1" applyProtection="1">
      <alignment vertical="center"/>
      <protection hidden="1"/>
    </xf>
    <xf numFmtId="0" fontId="5" fillId="4" borderId="122" xfId="3" applyFill="1" applyBorder="1" applyProtection="1">
      <protection hidden="1"/>
    </xf>
    <xf numFmtId="0" fontId="20" fillId="5" borderId="0" xfId="3" applyFont="1" applyFill="1" applyAlignment="1">
      <alignment horizontal="right" vertical="center" wrapText="1"/>
    </xf>
    <xf numFmtId="0" fontId="19" fillId="5" borderId="0" xfId="3" applyFont="1" applyFill="1" applyAlignment="1">
      <alignment vertical="center" wrapText="1"/>
    </xf>
    <xf numFmtId="166" fontId="24" fillId="4" borderId="0" xfId="3" applyNumberFormat="1" applyFont="1" applyFill="1" applyAlignment="1">
      <alignment horizontal="left" vertical="top" wrapText="1" indent="1"/>
    </xf>
    <xf numFmtId="0" fontId="22" fillId="52" borderId="0" xfId="3" applyFont="1" applyFill="1" applyAlignment="1">
      <alignment vertical="center" wrapText="1"/>
    </xf>
    <xf numFmtId="0" fontId="158" fillId="0" borderId="0" xfId="3" applyFont="1" applyAlignment="1">
      <alignment vertical="center"/>
    </xf>
    <xf numFmtId="0" fontId="5" fillId="4" borderId="0" xfId="3" applyFill="1" applyProtection="1">
      <protection hidden="1"/>
    </xf>
    <xf numFmtId="166" fontId="5" fillId="0" borderId="0" xfId="3" applyNumberFormat="1" applyProtection="1">
      <protection hidden="1"/>
    </xf>
    <xf numFmtId="0" fontId="27" fillId="0" borderId="0" xfId="3" applyFont="1"/>
    <xf numFmtId="166" fontId="5" fillId="4" borderId="0" xfId="3" applyNumberFormat="1" applyFill="1"/>
    <xf numFmtId="166" fontId="23" fillId="4" borderId="0" xfId="3" applyNumberFormat="1" applyFont="1" applyFill="1" applyAlignment="1" applyProtection="1">
      <alignment horizontal="right" vertical="center"/>
      <protection hidden="1"/>
    </xf>
    <xf numFmtId="166" fontId="6" fillId="0" borderId="0" xfId="3" applyNumberFormat="1" applyFont="1" applyProtection="1">
      <protection hidden="1"/>
    </xf>
    <xf numFmtId="0" fontId="158" fillId="0" borderId="0" xfId="3" applyFont="1" applyAlignment="1" applyProtection="1">
      <alignment vertical="center"/>
      <protection hidden="1"/>
    </xf>
    <xf numFmtId="0" fontId="33" fillId="4" borderId="0" xfId="3" applyFont="1" applyFill="1" applyProtection="1">
      <protection hidden="1"/>
    </xf>
    <xf numFmtId="0" fontId="17" fillId="0" borderId="0" xfId="3" applyFont="1" applyAlignment="1" applyProtection="1">
      <alignment vertical="center"/>
      <protection locked="0"/>
    </xf>
    <xf numFmtId="166" fontId="112" fillId="0" borderId="0" xfId="3" applyNumberFormat="1" applyFont="1" applyProtection="1">
      <protection hidden="1"/>
    </xf>
    <xf numFmtId="166" fontId="37" fillId="0" borderId="0" xfId="3" applyNumberFormat="1" applyFont="1" applyAlignment="1">
      <alignment horizontal="left" vertical="center"/>
    </xf>
    <xf numFmtId="166" fontId="38" fillId="0" borderId="0" xfId="3" applyNumberFormat="1" applyFont="1"/>
    <xf numFmtId="0" fontId="30" fillId="0" borderId="0" xfId="3" applyFont="1"/>
    <xf numFmtId="166" fontId="39" fillId="0" borderId="0" xfId="3" applyNumberFormat="1" applyFont="1" applyAlignment="1" applyProtection="1">
      <alignment horizontal="right" vertical="center" indent="1"/>
      <protection hidden="1"/>
    </xf>
    <xf numFmtId="0" fontId="30" fillId="0" borderId="0" xfId="3" applyFont="1" applyProtection="1">
      <protection hidden="1"/>
    </xf>
    <xf numFmtId="166" fontId="6" fillId="0" borderId="0" xfId="3" applyNumberFormat="1" applyFont="1" applyAlignment="1" applyProtection="1">
      <alignment horizontal="right"/>
      <protection hidden="1"/>
    </xf>
    <xf numFmtId="0" fontId="27" fillId="4" borderId="0" xfId="3" applyFont="1" applyFill="1"/>
    <xf numFmtId="0" fontId="38" fillId="4" borderId="0" xfId="3" applyFont="1" applyFill="1"/>
    <xf numFmtId="166" fontId="21" fillId="4" borderId="0" xfId="3" applyNumberFormat="1" applyFont="1" applyFill="1" applyAlignment="1">
      <alignment horizontal="left" vertical="center" indent="1"/>
    </xf>
    <xf numFmtId="0" fontId="40" fillId="4" borderId="0" xfId="3" applyFont="1" applyFill="1"/>
    <xf numFmtId="166" fontId="21" fillId="0" borderId="0" xfId="3" applyNumberFormat="1" applyFont="1" applyAlignment="1" applyProtection="1">
      <alignment horizontal="right" vertical="center" indent="1"/>
      <protection hidden="1"/>
    </xf>
    <xf numFmtId="0" fontId="41" fillId="4" borderId="0" xfId="3" applyFont="1" applyFill="1" applyAlignment="1" applyProtection="1">
      <alignment horizontal="right"/>
      <protection hidden="1"/>
    </xf>
    <xf numFmtId="0" fontId="5" fillId="4" borderId="0" xfId="3" applyFill="1" applyAlignment="1" applyProtection="1">
      <alignment horizontal="right"/>
      <protection hidden="1"/>
    </xf>
    <xf numFmtId="166" fontId="21" fillId="0" borderId="0" xfId="3" applyNumberFormat="1" applyFont="1" applyAlignment="1">
      <alignment vertical="center"/>
    </xf>
    <xf numFmtId="0" fontId="15" fillId="4" borderId="0" xfId="3" applyFont="1" applyFill="1" applyAlignment="1">
      <alignment horizontal="left" vertical="center"/>
    </xf>
    <xf numFmtId="0" fontId="39" fillId="0" borderId="0" xfId="3" applyFont="1" applyAlignment="1">
      <alignment horizontal="left" vertical="center" indent="1"/>
    </xf>
    <xf numFmtId="166" fontId="10" fillId="4" borderId="0" xfId="3" applyNumberFormat="1" applyFont="1" applyFill="1" applyAlignment="1">
      <alignment horizontal="left" vertical="center" indent="1"/>
    </xf>
    <xf numFmtId="166" fontId="39" fillId="0" borderId="0" xfId="3" applyNumberFormat="1" applyFont="1" applyAlignment="1">
      <alignment horizontal="right" vertical="center" indent="1"/>
    </xf>
    <xf numFmtId="166" fontId="39" fillId="0" borderId="0" xfId="3" applyNumberFormat="1" applyFont="1" applyAlignment="1">
      <alignment horizontal="center" vertical="center"/>
    </xf>
    <xf numFmtId="0" fontId="39" fillId="4" borderId="0" xfId="3" applyFont="1" applyFill="1" applyAlignment="1">
      <alignment horizontal="center" vertical="center"/>
    </xf>
    <xf numFmtId="0" fontId="39" fillId="0" borderId="0" xfId="3" applyFont="1" applyAlignment="1" applyProtection="1">
      <alignment vertical="center"/>
      <protection hidden="1"/>
    </xf>
    <xf numFmtId="0" fontId="30" fillId="4" borderId="0" xfId="3" applyFont="1" applyFill="1" applyProtection="1">
      <protection hidden="1"/>
    </xf>
    <xf numFmtId="0" fontId="30" fillId="4" borderId="0" xfId="3" applyFont="1" applyFill="1"/>
    <xf numFmtId="0" fontId="15" fillId="4" borderId="0" xfId="3" applyFont="1" applyFill="1" applyAlignment="1">
      <alignment vertical="center"/>
    </xf>
    <xf numFmtId="0" fontId="10" fillId="0" borderId="0" xfId="3" applyFont="1" applyAlignment="1" applyProtection="1">
      <alignment vertical="center"/>
      <protection locked="0"/>
    </xf>
    <xf numFmtId="166" fontId="31" fillId="4" borderId="0" xfId="3" applyNumberFormat="1" applyFont="1" applyFill="1" applyAlignment="1" applyProtection="1">
      <alignment horizontal="right" vertical="center"/>
      <protection hidden="1"/>
    </xf>
    <xf numFmtId="166" fontId="23" fillId="4" borderId="0" xfId="3" applyNumberFormat="1" applyFont="1" applyFill="1" applyAlignment="1" applyProtection="1">
      <alignment vertical="center" wrapText="1"/>
      <protection hidden="1"/>
    </xf>
    <xf numFmtId="0" fontId="38" fillId="0" borderId="0" xfId="3" applyFont="1"/>
    <xf numFmtId="0" fontId="38" fillId="4" borderId="0" xfId="3" applyFont="1" applyFill="1" applyAlignment="1">
      <alignment horizontal="right"/>
    </xf>
    <xf numFmtId="0" fontId="27" fillId="0" borderId="0" xfId="3" applyFont="1" applyAlignment="1">
      <alignment horizontal="right"/>
    </xf>
    <xf numFmtId="0" fontId="27" fillId="4" borderId="0" xfId="3" applyFont="1" applyFill="1" applyAlignment="1">
      <alignment horizontal="right"/>
    </xf>
    <xf numFmtId="0" fontId="27" fillId="4" borderId="0" xfId="3" applyFont="1" applyFill="1" applyAlignment="1" applyProtection="1">
      <alignment horizontal="right"/>
      <protection hidden="1"/>
    </xf>
    <xf numFmtId="0" fontId="38" fillId="0" borderId="0" xfId="3" applyFont="1" applyAlignment="1">
      <alignment horizontal="right"/>
    </xf>
    <xf numFmtId="0" fontId="38" fillId="4" borderId="0" xfId="3" applyFont="1" applyFill="1" applyAlignment="1" applyProtection="1">
      <alignment horizontal="right"/>
      <protection hidden="1"/>
    </xf>
    <xf numFmtId="0" fontId="31" fillId="0" borderId="0" xfId="3" applyFont="1" applyAlignment="1">
      <alignment horizontal="left" vertical="center" indent="1"/>
    </xf>
    <xf numFmtId="2" fontId="6" fillId="4" borderId="0" xfId="3" applyNumberFormat="1" applyFont="1" applyFill="1"/>
    <xf numFmtId="0" fontId="6" fillId="4" borderId="0" xfId="3" applyFont="1" applyFill="1" applyAlignment="1">
      <alignment horizontal="right"/>
    </xf>
    <xf numFmtId="0" fontId="5" fillId="4" borderId="0" xfId="3" applyFill="1" applyAlignment="1">
      <alignment horizontal="right"/>
    </xf>
    <xf numFmtId="0" fontId="15" fillId="4" borderId="0" xfId="3" applyFont="1" applyFill="1" applyAlignment="1">
      <alignment horizontal="left" vertical="center" wrapText="1"/>
    </xf>
    <xf numFmtId="0" fontId="113" fillId="0" borderId="0" xfId="3" applyFont="1" applyAlignment="1" applyProtection="1">
      <alignment horizontal="left" indent="1"/>
      <protection hidden="1"/>
    </xf>
    <xf numFmtId="0" fontId="30" fillId="0" borderId="0" xfId="3" applyFont="1" applyAlignment="1">
      <alignment horizontal="right"/>
    </xf>
    <xf numFmtId="0" fontId="30" fillId="4" borderId="0" xfId="3" applyFont="1" applyFill="1" applyAlignment="1">
      <alignment horizontal="right"/>
    </xf>
    <xf numFmtId="0" fontId="44" fillId="4" borderId="0" xfId="3" applyFont="1" applyFill="1" applyAlignment="1">
      <alignment horizontal="left" vertical="center"/>
    </xf>
    <xf numFmtId="0" fontId="31" fillId="0" borderId="0" xfId="3" applyFont="1" applyAlignment="1" applyProtection="1">
      <alignment vertical="center"/>
      <protection locked="0"/>
    </xf>
    <xf numFmtId="8" fontId="44" fillId="4" borderId="0" xfId="3" applyNumberFormat="1" applyFont="1" applyFill="1" applyAlignment="1" applyProtection="1">
      <alignment horizontal="right" vertical="center"/>
      <protection hidden="1"/>
    </xf>
    <xf numFmtId="7" fontId="31" fillId="0" borderId="0" xfId="3" applyNumberFormat="1" applyFont="1" applyAlignment="1" applyProtection="1">
      <alignment vertical="center"/>
      <protection locked="0"/>
    </xf>
    <xf numFmtId="8" fontId="8" fillId="4" borderId="0" xfId="3" applyNumberFormat="1" applyFont="1" applyFill="1" applyAlignment="1">
      <alignment horizontal="right" vertical="center"/>
    </xf>
    <xf numFmtId="2" fontId="8" fillId="4" borderId="0" xfId="3" applyNumberFormat="1" applyFont="1" applyFill="1" applyAlignment="1" applyProtection="1">
      <alignment horizontal="right" vertical="center"/>
      <protection hidden="1"/>
    </xf>
    <xf numFmtId="0" fontId="5" fillId="4" borderId="0" xfId="3" quotePrefix="1" applyFill="1"/>
    <xf numFmtId="0" fontId="5" fillId="52" borderId="0" xfId="3" applyFill="1" applyProtection="1">
      <protection hidden="1"/>
    </xf>
    <xf numFmtId="0" fontId="25" fillId="4" borderId="0" xfId="3" applyFont="1" applyFill="1" applyAlignment="1">
      <alignment horizontal="left" vertical="center"/>
    </xf>
    <xf numFmtId="0" fontId="46" fillId="0" borderId="0" xfId="3" applyFont="1"/>
    <xf numFmtId="0" fontId="45" fillId="4" borderId="0" xfId="3" applyFont="1" applyFill="1" applyAlignment="1" applyProtection="1">
      <alignment vertical="center"/>
      <protection hidden="1"/>
    </xf>
    <xf numFmtId="0" fontId="6" fillId="0" borderId="0" xfId="3" applyFont="1" applyProtection="1">
      <protection hidden="1"/>
    </xf>
    <xf numFmtId="2" fontId="47" fillId="4" borderId="0" xfId="3" applyNumberFormat="1" applyFont="1" applyFill="1" applyAlignment="1" applyProtection="1">
      <alignment horizontal="right" vertical="center"/>
      <protection hidden="1"/>
    </xf>
    <xf numFmtId="8" fontId="48" fillId="4" borderId="0" xfId="3" applyNumberFormat="1" applyFont="1" applyFill="1" applyAlignment="1" applyProtection="1">
      <alignment horizontal="right" vertical="center"/>
      <protection hidden="1"/>
    </xf>
    <xf numFmtId="2" fontId="48" fillId="4" borderId="0" xfId="3" applyNumberFormat="1" applyFont="1" applyFill="1" applyAlignment="1" applyProtection="1">
      <alignment horizontal="right" vertical="center"/>
      <protection hidden="1"/>
    </xf>
    <xf numFmtId="0" fontId="5" fillId="4" borderId="120" xfId="3" applyFill="1" applyBorder="1" applyProtection="1">
      <protection hidden="1"/>
    </xf>
    <xf numFmtId="0" fontId="30" fillId="0" borderId="119" xfId="3" applyFont="1" applyBorder="1"/>
    <xf numFmtId="166" fontId="31" fillId="0" borderId="119" xfId="3" applyNumberFormat="1" applyFont="1" applyBorder="1" applyAlignment="1">
      <alignment vertical="center"/>
    </xf>
    <xf numFmtId="0" fontId="6" fillId="0" borderId="119" xfId="3" applyFont="1" applyBorder="1"/>
    <xf numFmtId="0" fontId="5" fillId="4" borderId="120" xfId="3" applyFill="1" applyBorder="1" applyAlignment="1">
      <alignment horizontal="right"/>
    </xf>
    <xf numFmtId="0" fontId="5" fillId="4" borderId="120" xfId="3" applyFill="1" applyBorder="1" applyAlignment="1" applyProtection="1">
      <alignment horizontal="right"/>
      <protection hidden="1"/>
    </xf>
    <xf numFmtId="0" fontId="79" fillId="4" borderId="122" xfId="3" applyFont="1" applyFill="1" applyBorder="1" applyAlignment="1" applyProtection="1">
      <alignment horizontal="right" vertical="top"/>
      <protection hidden="1"/>
    </xf>
    <xf numFmtId="0" fontId="5" fillId="4" borderId="123" xfId="3" applyFill="1" applyBorder="1" applyProtection="1">
      <protection hidden="1"/>
    </xf>
    <xf numFmtId="0" fontId="10" fillId="0" borderId="115" xfId="3" applyFont="1" applyBorder="1" applyAlignment="1" applyProtection="1">
      <alignment horizontal="left" vertical="center" indent="1"/>
      <protection hidden="1"/>
    </xf>
    <xf numFmtId="166" fontId="10" fillId="0" borderId="115" xfId="3" applyNumberFormat="1" applyFont="1" applyBorder="1" applyAlignment="1" applyProtection="1">
      <alignment horizontal="right" vertical="center" indent="1"/>
      <protection locked="0"/>
    </xf>
    <xf numFmtId="166" fontId="10" fillId="4" borderId="115" xfId="3" applyNumberFormat="1" applyFont="1" applyFill="1" applyBorder="1" applyAlignment="1" applyProtection="1">
      <alignment horizontal="left" vertical="center" indent="1"/>
      <protection locked="0"/>
    </xf>
    <xf numFmtId="0" fontId="10" fillId="0" borderId="115" xfId="3" applyFont="1" applyBorder="1" applyAlignment="1" applyProtection="1">
      <alignment horizontal="left" vertical="center" indent="1"/>
      <protection locked="0"/>
    </xf>
    <xf numFmtId="0" fontId="10" fillId="0" borderId="115" xfId="3" applyFont="1" applyBorder="1" applyAlignment="1" applyProtection="1">
      <alignment horizontal="center" vertical="center"/>
      <protection locked="0"/>
    </xf>
    <xf numFmtId="10" fontId="10" fillId="4" borderId="115" xfId="2" applyNumberFormat="1" applyFont="1" applyFill="1" applyBorder="1" applyAlignment="1" applyProtection="1">
      <alignment horizontal="right" vertical="center" indent="1"/>
      <protection locked="0"/>
    </xf>
    <xf numFmtId="166" fontId="158" fillId="4" borderId="115" xfId="3" applyNumberFormat="1" applyFont="1" applyFill="1" applyBorder="1" applyAlignment="1" applyProtection="1">
      <alignment horizontal="left" vertical="center" indent="1"/>
      <protection locked="0"/>
    </xf>
    <xf numFmtId="166" fontId="158" fillId="0" borderId="115" xfId="3" applyNumberFormat="1" applyFont="1" applyBorder="1" applyAlignment="1" applyProtection="1">
      <alignment horizontal="right" vertical="center" indent="1"/>
      <protection locked="0"/>
    </xf>
    <xf numFmtId="166" fontId="158" fillId="0" borderId="115" xfId="3" applyNumberFormat="1" applyFont="1" applyBorder="1" applyAlignment="1" applyProtection="1">
      <alignment horizontal="left" vertical="center" indent="1"/>
      <protection locked="0"/>
    </xf>
    <xf numFmtId="166" fontId="10" fillId="0" borderId="0" xfId="3" applyNumberFormat="1" applyFont="1" applyAlignment="1">
      <alignment horizontal="right" vertical="center" indent="1"/>
    </xf>
    <xf numFmtId="0" fontId="158" fillId="0" borderId="115" xfId="3" applyFont="1" applyBorder="1" applyAlignment="1" applyProtection="1">
      <alignment horizontal="left" vertical="center" indent="1"/>
      <protection locked="0"/>
    </xf>
    <xf numFmtId="0" fontId="10" fillId="0" borderId="0" xfId="3" applyFont="1" applyAlignment="1" applyProtection="1">
      <alignment horizontal="left" vertical="center" indent="1"/>
      <protection locked="0"/>
    </xf>
    <xf numFmtId="0" fontId="63" fillId="51" borderId="15" xfId="6" applyFont="1" applyFill="1" applyBorder="1"/>
    <xf numFmtId="0" fontId="63" fillId="51" borderId="14" xfId="6" applyFont="1" applyFill="1" applyBorder="1"/>
    <xf numFmtId="0" fontId="63" fillId="51" borderId="108" xfId="6" applyFont="1" applyFill="1" applyBorder="1"/>
    <xf numFmtId="166" fontId="10" fillId="0" borderId="115" xfId="3" applyNumberFormat="1" applyFont="1" applyBorder="1" applyAlignment="1" applyProtection="1">
      <alignment horizontal="left" vertical="center" indent="1"/>
      <protection locked="0"/>
    </xf>
    <xf numFmtId="8" fontId="8" fillId="4" borderId="0" xfId="3" applyNumberFormat="1" applyFont="1" applyFill="1" applyAlignment="1" applyProtection="1">
      <alignment horizontal="right" vertical="center"/>
      <protection hidden="1"/>
    </xf>
    <xf numFmtId="0" fontId="158" fillId="52" borderId="115" xfId="3" applyFont="1" applyFill="1" applyBorder="1" applyAlignment="1" applyProtection="1">
      <alignment horizontal="left" vertical="center" indent="1"/>
      <protection hidden="1"/>
    </xf>
    <xf numFmtId="0" fontId="27" fillId="52" borderId="115" xfId="3" applyFont="1" applyFill="1" applyBorder="1"/>
    <xf numFmtId="0" fontId="34" fillId="52" borderId="115" xfId="3" applyFont="1" applyFill="1" applyBorder="1" applyAlignment="1">
      <alignment horizontal="center" vertical="center"/>
    </xf>
    <xf numFmtId="14" fontId="10" fillId="52" borderId="115" xfId="3" applyNumberFormat="1" applyFont="1" applyFill="1" applyBorder="1" applyAlignment="1" applyProtection="1">
      <alignment horizontal="right" vertical="center" indent="1"/>
      <protection locked="0"/>
    </xf>
    <xf numFmtId="0" fontId="10" fillId="52" borderId="115" xfId="3" applyFont="1" applyFill="1" applyBorder="1" applyAlignment="1" applyProtection="1">
      <alignment horizontal="left" vertical="center" indent="1"/>
      <protection hidden="1"/>
    </xf>
    <xf numFmtId="166" fontId="10" fillId="52" borderId="115" xfId="3" applyNumberFormat="1" applyFont="1" applyFill="1" applyBorder="1" applyAlignment="1" applyProtection="1">
      <alignment horizontal="right" vertical="center" indent="1"/>
      <protection hidden="1"/>
    </xf>
    <xf numFmtId="166" fontId="34" fillId="52" borderId="115" xfId="3" applyNumberFormat="1" applyFont="1" applyFill="1" applyBorder="1" applyAlignment="1" applyProtection="1">
      <alignment horizontal="right" vertical="center" indent="1"/>
      <protection hidden="1"/>
    </xf>
    <xf numFmtId="0" fontId="10" fillId="52" borderId="115" xfId="3" applyFont="1" applyFill="1" applyBorder="1" applyAlignment="1">
      <alignment horizontal="center" vertical="center"/>
    </xf>
    <xf numFmtId="10" fontId="10" fillId="52" borderId="115" xfId="2" applyNumberFormat="1" applyFont="1" applyFill="1" applyBorder="1" applyAlignment="1" applyProtection="1">
      <alignment horizontal="right" vertical="center" indent="1"/>
      <protection hidden="1"/>
    </xf>
    <xf numFmtId="166" fontId="10" fillId="52" borderId="115" xfId="3" applyNumberFormat="1" applyFont="1" applyFill="1" applyBorder="1" applyAlignment="1">
      <alignment horizontal="left" vertical="center" indent="1"/>
    </xf>
    <xf numFmtId="0" fontId="10" fillId="52" borderId="115" xfId="3" applyFont="1" applyFill="1" applyBorder="1" applyAlignment="1" applyProtection="1">
      <alignment horizontal="left" vertical="center"/>
      <protection hidden="1"/>
    </xf>
    <xf numFmtId="0" fontId="10" fillId="52" borderId="125" xfId="3" applyFont="1" applyFill="1" applyBorder="1" applyAlignment="1" applyProtection="1">
      <alignment horizontal="left" vertical="center"/>
      <protection hidden="1"/>
    </xf>
    <xf numFmtId="0" fontId="10" fillId="52" borderId="115" xfId="3" applyFont="1" applyFill="1" applyBorder="1" applyAlignment="1" applyProtection="1">
      <alignment horizontal="center" vertical="center"/>
      <protection hidden="1"/>
    </xf>
    <xf numFmtId="166" fontId="10" fillId="52" borderId="115" xfId="3" applyNumberFormat="1" applyFont="1" applyFill="1" applyBorder="1" applyAlignment="1" applyProtection="1">
      <alignment horizontal="center" vertical="center"/>
      <protection hidden="1"/>
    </xf>
    <xf numFmtId="166" fontId="10" fillId="52" borderId="115" xfId="2" applyNumberFormat="1" applyFont="1" applyFill="1" applyBorder="1" applyAlignment="1" applyProtection="1">
      <alignment horizontal="right" vertical="center" indent="1"/>
      <protection hidden="1"/>
    </xf>
    <xf numFmtId="166" fontId="158" fillId="52" borderId="115" xfId="3" applyNumberFormat="1" applyFont="1" applyFill="1" applyBorder="1" applyAlignment="1" applyProtection="1">
      <alignment horizontal="right" vertical="center" indent="1"/>
      <protection hidden="1"/>
    </xf>
    <xf numFmtId="0" fontId="10" fillId="52" borderId="0" xfId="3" applyFont="1" applyFill="1" applyAlignment="1" applyProtection="1">
      <alignment horizontal="left" vertical="center"/>
      <protection hidden="1"/>
    </xf>
    <xf numFmtId="166" fontId="5" fillId="4" borderId="122" xfId="3" applyNumberFormat="1" applyFill="1" applyBorder="1"/>
    <xf numFmtId="0" fontId="5" fillId="0" borderId="122" xfId="3" applyBorder="1" applyProtection="1">
      <protection hidden="1"/>
    </xf>
    <xf numFmtId="0" fontId="5" fillId="0" borderId="116" xfId="3" applyBorder="1"/>
    <xf numFmtId="166" fontId="21" fillId="0" borderId="117" xfId="3" applyNumberFormat="1" applyFont="1" applyBorder="1" applyAlignment="1">
      <alignment horizontal="left" vertical="center" indent="1"/>
    </xf>
    <xf numFmtId="0" fontId="5" fillId="4" borderId="118" xfId="3" applyFill="1" applyBorder="1" applyProtection="1">
      <protection hidden="1"/>
    </xf>
    <xf numFmtId="0" fontId="21" fillId="0" borderId="122" xfId="3" applyFont="1" applyBorder="1" applyAlignment="1">
      <alignment vertical="center"/>
    </xf>
    <xf numFmtId="8" fontId="16" fillId="4" borderId="122" xfId="3" applyNumberFormat="1" applyFont="1" applyFill="1" applyBorder="1" applyAlignment="1" applyProtection="1">
      <alignment horizontal="right" vertical="center"/>
      <protection hidden="1"/>
    </xf>
    <xf numFmtId="0" fontId="5" fillId="4" borderId="122" xfId="3" applyFill="1" applyBorder="1" applyAlignment="1" applyProtection="1">
      <alignment horizontal="right"/>
      <protection hidden="1"/>
    </xf>
    <xf numFmtId="166" fontId="5" fillId="52" borderId="117" xfId="3" applyNumberFormat="1" applyFill="1" applyBorder="1"/>
    <xf numFmtId="0" fontId="5" fillId="52" borderId="117" xfId="3" applyFill="1" applyBorder="1" applyProtection="1">
      <protection hidden="1"/>
    </xf>
    <xf numFmtId="0" fontId="7" fillId="52" borderId="122" xfId="3" applyFont="1" applyFill="1" applyBorder="1" applyAlignment="1">
      <alignment horizontal="left" vertical="center"/>
    </xf>
    <xf numFmtId="166" fontId="5" fillId="52" borderId="122" xfId="3" applyNumberFormat="1" applyFill="1" applyBorder="1"/>
    <xf numFmtId="0" fontId="29" fillId="52" borderId="122" xfId="3" applyFont="1" applyFill="1" applyBorder="1" applyAlignment="1" applyProtection="1">
      <alignment horizontal="left" vertical="center"/>
      <protection hidden="1"/>
    </xf>
    <xf numFmtId="0" fontId="5" fillId="52" borderId="122" xfId="3" applyFill="1" applyBorder="1" applyProtection="1">
      <protection hidden="1"/>
    </xf>
    <xf numFmtId="0" fontId="5" fillId="0" borderId="117" xfId="3" applyBorder="1" applyProtection="1">
      <protection hidden="1"/>
    </xf>
    <xf numFmtId="0" fontId="7" fillId="52" borderId="0" xfId="3" applyFont="1" applyFill="1" applyAlignment="1">
      <alignment horizontal="left" vertical="center"/>
    </xf>
    <xf numFmtId="0" fontId="7" fillId="0" borderId="117" xfId="3" applyFont="1" applyBorder="1" applyAlignment="1">
      <alignment horizontal="left" vertical="center"/>
    </xf>
    <xf numFmtId="0" fontId="25" fillId="0" borderId="117" xfId="3" applyFont="1" applyBorder="1" applyAlignment="1">
      <alignment horizontal="right" vertical="center"/>
    </xf>
    <xf numFmtId="0" fontId="74" fillId="4" borderId="122" xfId="3" applyFont="1" applyFill="1" applyBorder="1" applyAlignment="1">
      <alignment horizontal="left" vertical="center"/>
    </xf>
    <xf numFmtId="0" fontId="31" fillId="0" borderId="122" xfId="3" applyFont="1" applyBorder="1" applyAlignment="1">
      <alignment vertical="center"/>
    </xf>
    <xf numFmtId="0" fontId="42" fillId="52" borderId="117" xfId="3" applyFont="1" applyFill="1" applyBorder="1"/>
    <xf numFmtId="0" fontId="21" fillId="52" borderId="117" xfId="3" applyFont="1" applyFill="1" applyBorder="1" applyAlignment="1">
      <alignment vertical="center"/>
    </xf>
    <xf numFmtId="0" fontId="21" fillId="52" borderId="117" xfId="3" applyFont="1" applyFill="1" applyBorder="1" applyAlignment="1" applyProtection="1">
      <alignment vertical="center"/>
      <protection hidden="1"/>
    </xf>
    <xf numFmtId="166" fontId="21" fillId="52" borderId="0" xfId="3" applyNumberFormat="1" applyFont="1" applyFill="1" applyAlignment="1">
      <alignment vertical="center"/>
    </xf>
    <xf numFmtId="0" fontId="21" fillId="52" borderId="0" xfId="3" applyFont="1" applyFill="1" applyAlignment="1">
      <alignment vertical="center"/>
    </xf>
    <xf numFmtId="0" fontId="21" fillId="52" borderId="0" xfId="3" applyFont="1" applyFill="1" applyAlignment="1" applyProtection="1">
      <alignment vertical="center"/>
      <protection hidden="1"/>
    </xf>
    <xf numFmtId="0" fontId="7" fillId="0" borderId="116" xfId="3" applyFont="1" applyBorder="1" applyAlignment="1">
      <alignment horizontal="left" vertical="center"/>
    </xf>
    <xf numFmtId="166" fontId="21" fillId="0" borderId="117" xfId="3" applyNumberFormat="1" applyFont="1" applyBorder="1" applyAlignment="1">
      <alignment vertical="center"/>
    </xf>
    <xf numFmtId="0" fontId="21" fillId="0" borderId="117" xfId="3" applyFont="1" applyBorder="1" applyAlignment="1">
      <alignment vertical="center"/>
    </xf>
    <xf numFmtId="0" fontId="21" fillId="0" borderId="117" xfId="3" applyFont="1" applyBorder="1" applyAlignment="1" applyProtection="1">
      <alignment vertical="center"/>
      <protection hidden="1"/>
    </xf>
    <xf numFmtId="0" fontId="5" fillId="0" borderId="118" xfId="3" applyBorder="1" applyProtection="1">
      <protection hidden="1"/>
    </xf>
    <xf numFmtId="0" fontId="29" fillId="0" borderId="0" xfId="3" applyFont="1" applyAlignment="1" applyProtection="1">
      <alignment horizontal="left"/>
      <protection hidden="1"/>
    </xf>
    <xf numFmtId="0" fontId="5" fillId="52" borderId="0" xfId="3" applyFill="1" applyAlignment="1">
      <alignment horizontal="left"/>
    </xf>
    <xf numFmtId="166" fontId="21" fillId="52" borderId="0" xfId="3" applyNumberFormat="1" applyFont="1" applyFill="1" applyAlignment="1">
      <alignment horizontal="left" vertical="center" indent="1"/>
    </xf>
    <xf numFmtId="0" fontId="6" fillId="52" borderId="0" xfId="3" applyFont="1" applyFill="1"/>
    <xf numFmtId="0" fontId="5" fillId="52" borderId="117" xfId="3" applyFill="1" applyBorder="1" applyAlignment="1">
      <alignment horizontal="left"/>
    </xf>
    <xf numFmtId="166" fontId="21" fillId="52" borderId="117" xfId="3" applyNumberFormat="1" applyFont="1" applyFill="1" applyBorder="1" applyAlignment="1">
      <alignment horizontal="left" vertical="center" indent="1"/>
    </xf>
    <xf numFmtId="0" fontId="6" fillId="52" borderId="117" xfId="3" applyFont="1" applyFill="1" applyBorder="1"/>
    <xf numFmtId="0" fontId="5" fillId="4" borderId="117" xfId="3" applyFill="1" applyBorder="1" applyAlignment="1">
      <alignment horizontal="left"/>
    </xf>
    <xf numFmtId="0" fontId="6" fillId="0" borderId="117" xfId="3" applyFont="1" applyBorder="1"/>
    <xf numFmtId="0" fontId="45" fillId="52" borderId="0" xfId="3" applyFont="1" applyFill="1" applyAlignment="1">
      <alignment vertical="center"/>
    </xf>
    <xf numFmtId="0" fontId="50" fillId="52" borderId="0" xfId="3" applyFont="1" applyFill="1" applyAlignment="1">
      <alignment vertical="center"/>
    </xf>
    <xf numFmtId="0" fontId="49" fillId="52" borderId="0" xfId="3" applyFont="1" applyFill="1" applyAlignment="1">
      <alignment horizontal="left" vertical="center" wrapText="1"/>
    </xf>
    <xf numFmtId="0" fontId="5" fillId="3" borderId="117" xfId="3" applyFill="1" applyBorder="1"/>
    <xf numFmtId="0" fontId="41" fillId="4" borderId="0" xfId="3" applyFont="1" applyFill="1" applyProtection="1">
      <protection hidden="1"/>
    </xf>
    <xf numFmtId="166" fontId="39" fillId="4" borderId="0" xfId="3" applyNumberFormat="1" applyFont="1" applyFill="1" applyAlignment="1">
      <alignment horizontal="left" vertical="center" indent="1"/>
    </xf>
    <xf numFmtId="166" fontId="27" fillId="4" borderId="0" xfId="3" applyNumberFormat="1" applyFont="1" applyFill="1" applyAlignment="1">
      <alignment horizontal="right"/>
    </xf>
    <xf numFmtId="0" fontId="10" fillId="0" borderId="0" xfId="3" applyFont="1" applyAlignment="1">
      <alignment horizontal="right" vertical="center"/>
    </xf>
    <xf numFmtId="8" fontId="7" fillId="4" borderId="0" xfId="3" applyNumberFormat="1" applyFont="1" applyFill="1" applyAlignment="1" applyProtection="1">
      <alignment horizontal="right" vertical="center"/>
      <protection hidden="1"/>
    </xf>
    <xf numFmtId="2" fontId="48" fillId="4" borderId="0" xfId="3" applyNumberFormat="1" applyFont="1" applyFill="1" applyAlignment="1">
      <alignment horizontal="right" vertical="center"/>
    </xf>
    <xf numFmtId="0" fontId="43" fillId="52" borderId="0" xfId="3" applyFont="1" applyFill="1" applyAlignment="1">
      <alignment horizontal="left" vertical="center" wrapText="1"/>
    </xf>
    <xf numFmtId="0" fontId="29" fillId="0" borderId="0" xfId="3" applyFont="1" applyAlignment="1" applyProtection="1">
      <alignment horizontal="left" vertical="center"/>
      <protection hidden="1"/>
    </xf>
    <xf numFmtId="0" fontId="113" fillId="4" borderId="122" xfId="3" applyFont="1" applyFill="1" applyBorder="1" applyAlignment="1" applyProtection="1">
      <alignment horizontal="right" vertical="top"/>
      <protection hidden="1"/>
    </xf>
    <xf numFmtId="0" fontId="45" fillId="4" borderId="117" xfId="3" applyFont="1" applyFill="1" applyBorder="1" applyAlignment="1" applyProtection="1">
      <alignment vertical="center"/>
      <protection hidden="1"/>
    </xf>
    <xf numFmtId="0" fontId="113" fillId="4" borderId="122" xfId="3" applyFont="1" applyFill="1" applyBorder="1" applyAlignment="1" applyProtection="1">
      <alignment horizontal="left" vertical="center"/>
      <protection hidden="1"/>
    </xf>
    <xf numFmtId="0" fontId="49" fillId="0" borderId="122" xfId="3" applyFont="1" applyBorder="1" applyAlignment="1" applyProtection="1">
      <alignment horizontal="left" vertical="center" wrapText="1"/>
      <protection hidden="1"/>
    </xf>
    <xf numFmtId="0" fontId="49" fillId="0" borderId="123" xfId="3" applyFont="1" applyBorder="1" applyAlignment="1" applyProtection="1">
      <alignment horizontal="left" vertical="center" wrapText="1"/>
      <protection hidden="1"/>
    </xf>
    <xf numFmtId="0" fontId="158" fillId="0" borderId="115" xfId="3" applyFont="1" applyBorder="1" applyAlignment="1" applyProtection="1">
      <alignment horizontal="left" vertical="center" indent="1"/>
      <protection hidden="1"/>
    </xf>
    <xf numFmtId="0" fontId="158" fillId="0" borderId="0" xfId="3" quotePrefix="1" applyFont="1" applyAlignment="1" applyProtection="1">
      <alignment horizontal="right" vertical="center"/>
      <protection hidden="1"/>
    </xf>
    <xf numFmtId="0" fontId="158" fillId="0" borderId="0" xfId="3" applyFont="1" applyAlignment="1">
      <alignment horizontal="right" vertical="center"/>
    </xf>
    <xf numFmtId="0" fontId="158" fillId="0" borderId="115" xfId="3" applyFont="1" applyBorder="1" applyAlignment="1" applyProtection="1">
      <alignment horizontal="center" vertical="center"/>
      <protection locked="0"/>
    </xf>
    <xf numFmtId="10" fontId="158" fillId="4" borderId="115" xfId="2" applyNumberFormat="1" applyFont="1" applyFill="1" applyBorder="1" applyAlignment="1" applyProtection="1">
      <alignment horizontal="right" vertical="center" indent="1"/>
      <protection locked="0"/>
    </xf>
    <xf numFmtId="10" fontId="158" fillId="52" borderId="115" xfId="2" applyNumberFormat="1" applyFont="1" applyFill="1" applyBorder="1" applyAlignment="1" applyProtection="1">
      <alignment horizontal="right" vertical="center" indent="1"/>
      <protection hidden="1"/>
    </xf>
    <xf numFmtId="0" fontId="10" fillId="52" borderId="124" xfId="3" applyFont="1" applyFill="1" applyBorder="1" applyAlignment="1" applyProtection="1">
      <alignment horizontal="center" vertical="center"/>
      <protection hidden="1"/>
    </xf>
    <xf numFmtId="166" fontId="158" fillId="52" borderId="115" xfId="3" applyNumberFormat="1" applyFont="1" applyFill="1" applyBorder="1" applyAlignment="1">
      <alignment horizontal="left" vertical="center" indent="1"/>
    </xf>
    <xf numFmtId="0" fontId="54" fillId="52" borderId="115" xfId="3" applyFont="1" applyFill="1" applyBorder="1"/>
    <xf numFmtId="166" fontId="39" fillId="0" borderId="0" xfId="3" applyNumberFormat="1" applyFont="1" applyAlignment="1">
      <alignment horizontal="left" vertical="center" indent="1"/>
    </xf>
    <xf numFmtId="0" fontId="5" fillId="3" borderId="116" xfId="3" applyFill="1" applyBorder="1"/>
    <xf numFmtId="0" fontId="5" fillId="3" borderId="118" xfId="3" applyFill="1" applyBorder="1"/>
    <xf numFmtId="0" fontId="5" fillId="3" borderId="119" xfId="3" applyFill="1" applyBorder="1"/>
    <xf numFmtId="0" fontId="5" fillId="3" borderId="120" xfId="3" applyFill="1" applyBorder="1"/>
    <xf numFmtId="0" fontId="10" fillId="0" borderId="0" xfId="3" quotePrefix="1" applyFont="1" applyAlignment="1" applyProtection="1">
      <alignment horizontal="right" vertical="center"/>
      <protection hidden="1"/>
    </xf>
    <xf numFmtId="1" fontId="10" fillId="0" borderId="115" xfId="3" applyNumberFormat="1" applyFont="1" applyBorder="1" applyAlignment="1" applyProtection="1">
      <alignment horizontal="left" vertical="center" indent="1"/>
      <protection locked="0"/>
    </xf>
    <xf numFmtId="0" fontId="39" fillId="0" borderId="0" xfId="3" applyFont="1" applyAlignment="1" applyProtection="1">
      <alignment horizontal="left" vertical="center" indent="1"/>
      <protection hidden="1"/>
    </xf>
    <xf numFmtId="10" fontId="10" fillId="0" borderId="115" xfId="2" applyNumberFormat="1" applyFont="1" applyFill="1" applyBorder="1" applyAlignment="1" applyProtection="1">
      <alignment horizontal="right" vertical="center" indent="1"/>
      <protection locked="0"/>
    </xf>
    <xf numFmtId="166" fontId="10" fillId="3" borderId="37" xfId="3" applyNumberFormat="1" applyFont="1" applyFill="1" applyBorder="1" applyAlignment="1" applyProtection="1">
      <alignment horizontal="right" vertical="center" indent="1"/>
      <protection hidden="1"/>
    </xf>
    <xf numFmtId="10" fontId="10" fillId="52" borderId="115" xfId="3" applyNumberFormat="1" applyFont="1" applyFill="1" applyBorder="1" applyAlignment="1" applyProtection="1">
      <alignment horizontal="right" vertical="center" indent="1"/>
      <protection hidden="1"/>
    </xf>
    <xf numFmtId="166" fontId="10" fillId="52" borderId="124" xfId="3" applyNumberFormat="1" applyFont="1" applyFill="1" applyBorder="1" applyAlignment="1" applyProtection="1">
      <alignment horizontal="right" vertical="center" indent="1"/>
      <protection hidden="1"/>
    </xf>
    <xf numFmtId="0" fontId="10" fillId="52" borderId="125" xfId="3" applyFont="1" applyFill="1" applyBorder="1" applyAlignment="1" applyProtection="1">
      <alignment horizontal="center" vertical="center"/>
      <protection hidden="1"/>
    </xf>
    <xf numFmtId="166" fontId="10" fillId="52" borderId="124" xfId="3" applyNumberFormat="1" applyFont="1" applyFill="1" applyBorder="1" applyAlignment="1" applyProtection="1">
      <alignment horizontal="center" vertical="center"/>
      <protection hidden="1"/>
    </xf>
    <xf numFmtId="166" fontId="10" fillId="52" borderId="125" xfId="3" applyNumberFormat="1" applyFont="1" applyFill="1" applyBorder="1" applyAlignment="1" applyProtection="1">
      <alignment horizontal="right" vertical="center" indent="1"/>
      <protection hidden="1"/>
    </xf>
    <xf numFmtId="0" fontId="10" fillId="52" borderId="124" xfId="3" applyFont="1" applyFill="1" applyBorder="1" applyAlignment="1" applyProtection="1">
      <alignment horizontal="left" vertical="center"/>
      <protection hidden="1"/>
    </xf>
    <xf numFmtId="0" fontId="10" fillId="52" borderId="128" xfId="3" applyFont="1" applyFill="1" applyBorder="1" applyAlignment="1" applyProtection="1">
      <alignment horizontal="left" vertical="center"/>
      <protection hidden="1"/>
    </xf>
    <xf numFmtId="0" fontId="30" fillId="52" borderId="115" xfId="3" applyFont="1" applyFill="1" applyBorder="1"/>
    <xf numFmtId="0" fontId="33" fillId="0" borderId="0" xfId="3" applyFont="1" applyProtection="1">
      <protection hidden="1"/>
    </xf>
    <xf numFmtId="166" fontId="27" fillId="0" borderId="0" xfId="3" applyNumberFormat="1" applyFont="1" applyAlignment="1">
      <alignment horizontal="right"/>
    </xf>
    <xf numFmtId="0" fontId="10" fillId="0" borderId="0" xfId="3" applyFont="1" applyAlignment="1" applyProtection="1">
      <alignment horizontal="left" vertical="center"/>
      <protection hidden="1"/>
    </xf>
    <xf numFmtId="0" fontId="161" fillId="52" borderId="115" xfId="3" applyFont="1" applyFill="1" applyBorder="1" applyAlignment="1">
      <alignment vertical="center"/>
    </xf>
    <xf numFmtId="166" fontId="10" fillId="0" borderId="10" xfId="3" applyNumberFormat="1" applyFont="1" applyBorder="1" applyAlignment="1" applyProtection="1">
      <alignment horizontal="left" vertical="center" indent="1"/>
      <protection locked="0"/>
    </xf>
    <xf numFmtId="0" fontId="84" fillId="0" borderId="0" xfId="0" applyFont="1"/>
    <xf numFmtId="0" fontId="92" fillId="0" borderId="0" xfId="3" applyFont="1" applyAlignment="1">
      <alignment horizontal="right" vertical="center"/>
    </xf>
    <xf numFmtId="0" fontId="39" fillId="0" borderId="0" xfId="3" applyFont="1" applyAlignment="1">
      <alignment vertical="center"/>
    </xf>
    <xf numFmtId="0" fontId="39" fillId="0" borderId="0" xfId="3" quotePrefix="1" applyFont="1" applyAlignment="1" applyProtection="1">
      <alignment vertical="center"/>
      <protection hidden="1"/>
    </xf>
    <xf numFmtId="0" fontId="92" fillId="0" borderId="0" xfId="3" quotePrefix="1" applyFont="1" applyAlignment="1" applyProtection="1">
      <alignment horizontal="right" vertical="center"/>
      <protection hidden="1"/>
    </xf>
    <xf numFmtId="0" fontId="92" fillId="0" borderId="0" xfId="3" applyFont="1" applyAlignment="1" applyProtection="1">
      <alignment horizontal="right" vertical="center"/>
      <protection hidden="1"/>
    </xf>
    <xf numFmtId="0" fontId="0" fillId="0" borderId="116" xfId="0" applyBorder="1"/>
    <xf numFmtId="0" fontId="0" fillId="0" borderId="117" xfId="0" applyBorder="1"/>
    <xf numFmtId="0" fontId="0" fillId="0" borderId="117" xfId="0" applyBorder="1" applyAlignment="1">
      <alignment horizontal="right"/>
    </xf>
    <xf numFmtId="0" fontId="0" fillId="0" borderId="118" xfId="0" applyBorder="1"/>
    <xf numFmtId="0" fontId="0" fillId="0" borderId="119" xfId="0" applyBorder="1"/>
    <xf numFmtId="0" fontId="0" fillId="0" borderId="120" xfId="0" applyBorder="1"/>
    <xf numFmtId="0" fontId="128" fillId="0" borderId="120" xfId="0" applyFont="1" applyBorder="1" applyAlignment="1">
      <alignment vertical="top" wrapText="1"/>
    </xf>
    <xf numFmtId="0" fontId="0" fillId="0" borderId="121" xfId="0" applyBorder="1"/>
    <xf numFmtId="0" fontId="0" fillId="0" borderId="122" xfId="0" applyBorder="1"/>
    <xf numFmtId="0" fontId="128" fillId="0" borderId="123" xfId="0" applyFont="1" applyBorder="1" applyAlignment="1">
      <alignment vertical="top" wrapText="1"/>
    </xf>
    <xf numFmtId="0" fontId="0" fillId="0" borderId="123" xfId="0" applyBorder="1"/>
    <xf numFmtId="178" fontId="129" fillId="0" borderId="0" xfId="3" applyNumberFormat="1" applyFont="1" applyAlignment="1" applyProtection="1">
      <alignment vertical="center"/>
      <protection hidden="1"/>
    </xf>
    <xf numFmtId="0" fontId="0" fillId="52" borderId="120" xfId="0" applyFill="1" applyBorder="1"/>
    <xf numFmtId="0" fontId="0" fillId="52" borderId="123" xfId="0" applyFill="1" applyBorder="1"/>
    <xf numFmtId="0" fontId="5" fillId="52" borderId="117" xfId="3" applyFill="1" applyBorder="1" applyAlignment="1">
      <alignment horizontal="right"/>
    </xf>
    <xf numFmtId="0" fontId="0" fillId="52" borderId="119" xfId="0" applyFill="1" applyBorder="1"/>
    <xf numFmtId="0" fontId="0" fillId="52" borderId="121" xfId="0" applyFill="1" applyBorder="1"/>
    <xf numFmtId="0" fontId="98" fillId="52" borderId="122" xfId="7" applyFont="1" applyFill="1" applyBorder="1" applyProtection="1"/>
    <xf numFmtId="0" fontId="51" fillId="52" borderId="122" xfId="3" applyFont="1" applyFill="1" applyBorder="1" applyAlignment="1" applyProtection="1">
      <alignment horizontal="right"/>
      <protection hidden="1"/>
    </xf>
    <xf numFmtId="0" fontId="22" fillId="52" borderId="0" xfId="3" applyFont="1" applyFill="1" applyAlignment="1">
      <alignment horizontal="left" vertical="center" wrapText="1" indent="1"/>
    </xf>
    <xf numFmtId="0" fontId="0" fillId="52" borderId="0" xfId="0" applyFill="1"/>
    <xf numFmtId="0" fontId="39" fillId="52" borderId="0" xfId="3" quotePrefix="1" applyFont="1" applyFill="1" applyAlignment="1">
      <alignment vertical="center"/>
    </xf>
    <xf numFmtId="178" fontId="39" fillId="52" borderId="0" xfId="3" applyNumberFormat="1" applyFont="1" applyFill="1" applyAlignment="1">
      <alignment vertical="center"/>
    </xf>
    <xf numFmtId="0" fontId="0" fillId="52" borderId="0" xfId="0" applyFill="1" applyAlignment="1">
      <alignment horizontal="right"/>
    </xf>
    <xf numFmtId="0" fontId="5" fillId="52" borderId="0" xfId="3" applyFill="1" applyAlignment="1">
      <alignment horizontal="right"/>
    </xf>
    <xf numFmtId="0" fontId="97" fillId="52" borderId="0" xfId="3" applyFont="1" applyFill="1" applyAlignment="1">
      <alignment vertical="center" wrapText="1"/>
    </xf>
    <xf numFmtId="0" fontId="166" fillId="52" borderId="122" xfId="3" applyFont="1" applyFill="1" applyBorder="1" applyAlignment="1" applyProtection="1">
      <alignment horizontal="right"/>
      <protection hidden="1"/>
    </xf>
    <xf numFmtId="0" fontId="158" fillId="0" borderId="0" xfId="3" quotePrefix="1" applyFont="1" applyAlignment="1">
      <alignment vertical="center"/>
    </xf>
    <xf numFmtId="0" fontId="158" fillId="0" borderId="0" xfId="3" quotePrefix="1" applyFont="1" applyAlignment="1" applyProtection="1">
      <alignment vertical="center"/>
      <protection hidden="1"/>
    </xf>
    <xf numFmtId="0" fontId="167" fillId="0" borderId="0" xfId="3" quotePrefix="1" applyFont="1" applyAlignment="1">
      <alignment vertical="center"/>
    </xf>
    <xf numFmtId="178" fontId="167" fillId="0" borderId="128" xfId="3" applyNumberFormat="1" applyFont="1" applyBorder="1" applyAlignment="1">
      <alignment vertical="center"/>
    </xf>
    <xf numFmtId="178" fontId="158" fillId="52" borderId="115" xfId="3" applyNumberFormat="1" applyFont="1" applyFill="1" applyBorder="1" applyAlignment="1">
      <alignment vertical="center"/>
    </xf>
    <xf numFmtId="171" fontId="158" fillId="52" borderId="115" xfId="16" applyNumberFormat="1" applyFont="1" applyFill="1" applyBorder="1" applyAlignment="1" applyProtection="1">
      <alignment vertical="center"/>
      <protection hidden="1"/>
    </xf>
    <xf numFmtId="178" fontId="167" fillId="0" borderId="128" xfId="3" applyNumberFormat="1" applyFont="1" applyBorder="1" applyAlignment="1" applyProtection="1">
      <alignment vertical="center"/>
      <protection hidden="1"/>
    </xf>
    <xf numFmtId="178" fontId="158" fillId="52" borderId="115" xfId="3" applyNumberFormat="1" applyFont="1" applyFill="1" applyBorder="1" applyAlignment="1" applyProtection="1">
      <alignment vertical="center"/>
      <protection hidden="1"/>
    </xf>
    <xf numFmtId="178" fontId="158" fillId="0" borderId="115" xfId="3" applyNumberFormat="1" applyFont="1" applyBorder="1" applyAlignment="1" applyProtection="1">
      <alignment vertical="center"/>
      <protection locked="0" hidden="1"/>
    </xf>
    <xf numFmtId="178" fontId="158" fillId="0" borderId="115" xfId="3" applyNumberFormat="1" applyFont="1" applyBorder="1" applyAlignment="1" applyProtection="1">
      <alignment vertical="center"/>
      <protection locked="0"/>
    </xf>
    <xf numFmtId="0" fontId="167" fillId="0" borderId="0" xfId="3" quotePrefix="1" applyFont="1" applyAlignment="1" applyProtection="1">
      <alignment vertical="center"/>
      <protection hidden="1"/>
    </xf>
    <xf numFmtId="0" fontId="158" fillId="0" borderId="0" xfId="3" quotePrefix="1" applyFont="1" applyAlignment="1" applyProtection="1">
      <alignment horizontal="left" vertical="center"/>
      <protection hidden="1"/>
    </xf>
    <xf numFmtId="0" fontId="167" fillId="0" borderId="0" xfId="3" quotePrefix="1" applyFont="1" applyAlignment="1" applyProtection="1">
      <alignment horizontal="right" vertical="center"/>
      <protection hidden="1"/>
    </xf>
    <xf numFmtId="0" fontId="82" fillId="53" borderId="0" xfId="3" applyFont="1" applyFill="1" applyAlignment="1">
      <alignment horizontal="center" vertical="center" wrapText="1"/>
    </xf>
    <xf numFmtId="0" fontId="5" fillId="3" borderId="0" xfId="3" applyFill="1" applyProtection="1">
      <protection hidden="1"/>
    </xf>
    <xf numFmtId="0" fontId="5" fillId="4" borderId="116" xfId="3" applyFill="1" applyBorder="1" applyProtection="1">
      <protection hidden="1"/>
    </xf>
    <xf numFmtId="0" fontId="5" fillId="4" borderId="119" xfId="3" applyFill="1" applyBorder="1" applyProtection="1">
      <protection hidden="1"/>
    </xf>
    <xf numFmtId="0" fontId="5" fillId="52" borderId="120" xfId="3" applyFill="1" applyBorder="1" applyProtection="1">
      <protection hidden="1"/>
    </xf>
    <xf numFmtId="0" fontId="5" fillId="52" borderId="118" xfId="3" applyFill="1" applyBorder="1" applyProtection="1">
      <protection hidden="1"/>
    </xf>
    <xf numFmtId="0" fontId="22" fillId="52" borderId="0" xfId="3" applyFont="1" applyFill="1" applyAlignment="1" applyProtection="1">
      <alignment vertical="center" wrapText="1"/>
      <protection hidden="1"/>
    </xf>
    <xf numFmtId="0" fontId="98" fillId="52" borderId="122" xfId="7" applyFont="1" applyFill="1" applyBorder="1" applyProtection="1">
      <protection hidden="1"/>
    </xf>
    <xf numFmtId="0" fontId="5" fillId="52" borderId="4" xfId="3" applyFill="1" applyBorder="1" applyProtection="1">
      <protection hidden="1"/>
    </xf>
    <xf numFmtId="0" fontId="0" fillId="52" borderId="0" xfId="0" applyFill="1" applyProtection="1">
      <protection hidden="1"/>
    </xf>
    <xf numFmtId="0" fontId="22" fillId="52" borderId="0" xfId="3" applyFont="1" applyFill="1" applyProtection="1">
      <protection hidden="1"/>
    </xf>
    <xf numFmtId="0" fontId="45" fillId="52" borderId="0" xfId="3" applyFont="1" applyFill="1" applyAlignment="1" applyProtection="1">
      <alignment vertical="center"/>
      <protection hidden="1"/>
    </xf>
    <xf numFmtId="0" fontId="0" fillId="52" borderId="4" xfId="0" applyFill="1" applyBorder="1" applyProtection="1">
      <protection hidden="1"/>
    </xf>
    <xf numFmtId="0" fontId="5" fillId="4" borderId="117" xfId="3" applyFill="1" applyBorder="1" applyAlignment="1" applyProtection="1">
      <alignment horizontal="right"/>
      <protection hidden="1"/>
    </xf>
    <xf numFmtId="0" fontId="39" fillId="0" borderId="119" xfId="3" quotePrefix="1" applyFont="1" applyBorder="1" applyAlignment="1" applyProtection="1">
      <alignment vertical="center"/>
      <protection hidden="1"/>
    </xf>
    <xf numFmtId="179" fontId="158" fillId="0" borderId="0" xfId="3" applyNumberFormat="1" applyFont="1" applyAlignment="1" applyProtection="1">
      <alignment horizontal="right" vertical="center" indent="1"/>
      <protection hidden="1"/>
    </xf>
    <xf numFmtId="178" fontId="158" fillId="0" borderId="0" xfId="3" applyNumberFormat="1" applyFont="1" applyAlignment="1" applyProtection="1">
      <alignment horizontal="right" vertical="center"/>
      <protection hidden="1"/>
    </xf>
    <xf numFmtId="178" fontId="167" fillId="0" borderId="0" xfId="3" applyNumberFormat="1" applyFont="1" applyAlignment="1" applyProtection="1">
      <alignment horizontal="right" vertical="center" indent="1"/>
      <protection hidden="1"/>
    </xf>
    <xf numFmtId="178" fontId="158" fillId="0" borderId="0" xfId="3" applyNumberFormat="1" applyFont="1" applyAlignment="1" applyProtection="1">
      <alignment horizontal="right" vertical="center" indent="1"/>
      <protection hidden="1"/>
    </xf>
    <xf numFmtId="0" fontId="0" fillId="0" borderId="119" xfId="0" applyBorder="1" applyProtection="1">
      <protection hidden="1"/>
    </xf>
    <xf numFmtId="0" fontId="127" fillId="0" borderId="0" xfId="0" applyFont="1" applyProtection="1">
      <protection hidden="1"/>
    </xf>
    <xf numFmtId="178" fontId="167" fillId="0" borderId="0" xfId="3" applyNumberFormat="1" applyFont="1" applyAlignment="1" applyProtection="1">
      <alignment horizontal="right" vertical="center"/>
      <protection hidden="1"/>
    </xf>
    <xf numFmtId="178" fontId="170" fillId="0" borderId="0" xfId="0" applyNumberFormat="1" applyFont="1" applyProtection="1">
      <protection hidden="1"/>
    </xf>
    <xf numFmtId="0" fontId="39" fillId="0" borderId="0" xfId="3" quotePrefix="1" applyFont="1" applyAlignment="1" applyProtection="1">
      <alignment horizontal="right" vertical="center"/>
      <protection hidden="1"/>
    </xf>
    <xf numFmtId="0" fontId="145" fillId="0" borderId="0" xfId="3" applyFont="1" applyAlignment="1" applyProtection="1">
      <alignment horizontal="left" vertical="center" indent="1"/>
      <protection hidden="1"/>
    </xf>
    <xf numFmtId="178" fontId="0" fillId="0" borderId="0" xfId="0" applyNumberFormat="1" applyProtection="1">
      <protection hidden="1"/>
    </xf>
    <xf numFmtId="0" fontId="39" fillId="0" borderId="121" xfId="3" quotePrefix="1" applyFont="1" applyBorder="1" applyAlignment="1" applyProtection="1">
      <alignment vertical="center"/>
      <protection hidden="1"/>
    </xf>
    <xf numFmtId="0" fontId="39" fillId="0" borderId="122" xfId="3" quotePrefix="1" applyFont="1" applyBorder="1" applyAlignment="1" applyProtection="1">
      <alignment vertical="center"/>
      <protection hidden="1"/>
    </xf>
    <xf numFmtId="0" fontId="39" fillId="52" borderId="0" xfId="3" quotePrefix="1" applyFont="1" applyFill="1" applyAlignment="1" applyProtection="1">
      <alignment vertical="center"/>
      <protection hidden="1"/>
    </xf>
    <xf numFmtId="0" fontId="0" fillId="0" borderId="116" xfId="0" applyBorder="1" applyProtection="1">
      <protection hidden="1"/>
    </xf>
    <xf numFmtId="0" fontId="0" fillId="0" borderId="117" xfId="0" applyBorder="1" applyProtection="1">
      <protection hidden="1"/>
    </xf>
    <xf numFmtId="0" fontId="0" fillId="0" borderId="117" xfId="0" applyBorder="1" applyAlignment="1" applyProtection="1">
      <alignment horizontal="right"/>
      <protection hidden="1"/>
    </xf>
    <xf numFmtId="0" fontId="0" fillId="0" borderId="118" xfId="0" applyBorder="1" applyProtection="1">
      <protection hidden="1"/>
    </xf>
    <xf numFmtId="0" fontId="128" fillId="0" borderId="120" xfId="0" applyFont="1" applyBorder="1" applyAlignment="1" applyProtection="1">
      <alignment vertical="top" wrapText="1"/>
      <protection hidden="1"/>
    </xf>
    <xf numFmtId="0" fontId="0" fillId="0" borderId="121" xfId="0" applyBorder="1" applyProtection="1">
      <protection hidden="1"/>
    </xf>
    <xf numFmtId="0" fontId="0" fillId="0" borderId="122" xfId="0" applyBorder="1" applyProtection="1">
      <protection hidden="1"/>
    </xf>
    <xf numFmtId="0" fontId="128" fillId="0" borderId="123" xfId="0" applyFont="1" applyBorder="1" applyAlignment="1" applyProtection="1">
      <alignment vertical="top" wrapText="1"/>
      <protection hidden="1"/>
    </xf>
    <xf numFmtId="178" fontId="39" fillId="52" borderId="0" xfId="3" applyNumberFormat="1" applyFont="1" applyFill="1" applyAlignment="1" applyProtection="1">
      <alignment vertical="center"/>
      <protection hidden="1"/>
    </xf>
    <xf numFmtId="0" fontId="167" fillId="0" borderId="0" xfId="3" applyFont="1" applyAlignment="1" applyProtection="1">
      <alignment horizontal="right" vertical="center"/>
      <protection hidden="1"/>
    </xf>
    <xf numFmtId="0" fontId="5" fillId="0" borderId="119" xfId="3" applyBorder="1" applyProtection="1">
      <protection hidden="1"/>
    </xf>
    <xf numFmtId="0" fontId="158" fillId="0" borderId="0" xfId="3" quotePrefix="1" applyFont="1" applyAlignment="1" applyProtection="1">
      <alignment vertical="top"/>
      <protection hidden="1"/>
    </xf>
    <xf numFmtId="0" fontId="5" fillId="0" borderId="120" xfId="3" applyBorder="1" applyProtection="1">
      <protection hidden="1"/>
    </xf>
    <xf numFmtId="0" fontId="158" fillId="0" borderId="0" xfId="3" quotePrefix="1" applyFont="1" applyProtection="1">
      <protection hidden="1"/>
    </xf>
    <xf numFmtId="0" fontId="0" fillId="0" borderId="120" xfId="0" applyBorder="1" applyProtection="1">
      <protection hidden="1"/>
    </xf>
    <xf numFmtId="2" fontId="4" fillId="0" borderId="0" xfId="0" applyNumberFormat="1" applyFont="1" applyProtection="1">
      <protection hidden="1"/>
    </xf>
    <xf numFmtId="0" fontId="0" fillId="0" borderId="123" xfId="0" applyBorder="1" applyProtection="1">
      <protection hidden="1"/>
    </xf>
    <xf numFmtId="0" fontId="167" fillId="0" borderId="122" xfId="3" quotePrefix="1" applyFont="1" applyBorder="1" applyAlignment="1" applyProtection="1">
      <alignment vertical="center"/>
      <protection hidden="1"/>
    </xf>
    <xf numFmtId="0" fontId="169" fillId="4" borderId="122" xfId="3" applyFont="1" applyFill="1" applyBorder="1" applyProtection="1">
      <protection hidden="1"/>
    </xf>
    <xf numFmtId="178" fontId="167" fillId="0" borderId="122" xfId="3" applyNumberFormat="1" applyFont="1" applyBorder="1" applyAlignment="1" applyProtection="1">
      <alignment vertical="center"/>
      <protection hidden="1"/>
    </xf>
    <xf numFmtId="10" fontId="39" fillId="0" borderId="115" xfId="16" applyNumberFormat="1" applyFont="1" applyBorder="1" applyAlignment="1" applyProtection="1">
      <alignment vertical="center"/>
      <protection locked="0" hidden="1"/>
    </xf>
    <xf numFmtId="178" fontId="158" fillId="0" borderId="115" xfId="3" applyNumberFormat="1" applyFont="1" applyBorder="1" applyAlignment="1" applyProtection="1">
      <alignment horizontal="right" vertical="center" indent="1"/>
      <protection locked="0" hidden="1"/>
    </xf>
    <xf numFmtId="0" fontId="6" fillId="0" borderId="0" xfId="3" applyFont="1" applyAlignment="1" applyProtection="1">
      <alignment horizontal="right"/>
      <protection hidden="1"/>
    </xf>
    <xf numFmtId="0" fontId="167" fillId="0" borderId="0" xfId="3" quotePrefix="1" applyFont="1" applyAlignment="1" applyProtection="1">
      <alignment horizontal="left" vertical="center"/>
      <protection hidden="1"/>
    </xf>
    <xf numFmtId="9" fontId="167" fillId="0" borderId="0" xfId="3" applyNumberFormat="1" applyFont="1" applyAlignment="1" applyProtection="1">
      <alignment horizontal="center" vertical="center"/>
      <protection hidden="1"/>
    </xf>
    <xf numFmtId="178" fontId="167" fillId="0" borderId="0" xfId="3" applyNumberFormat="1" applyFont="1" applyAlignment="1" applyProtection="1">
      <alignment horizontal="center" vertical="center"/>
      <protection hidden="1"/>
    </xf>
    <xf numFmtId="0" fontId="39" fillId="0" borderId="117" xfId="3" quotePrefix="1" applyFont="1" applyBorder="1" applyAlignment="1" applyProtection="1">
      <alignment vertical="center"/>
      <protection hidden="1"/>
    </xf>
    <xf numFmtId="0" fontId="6" fillId="0" borderId="117" xfId="3" applyFont="1" applyBorder="1" applyProtection="1">
      <protection hidden="1"/>
    </xf>
    <xf numFmtId="0" fontId="129" fillId="0" borderId="117" xfId="3" applyFont="1" applyBorder="1" applyAlignment="1" applyProtection="1">
      <alignment horizontal="left" indent="3"/>
      <protection hidden="1"/>
    </xf>
    <xf numFmtId="0" fontId="129" fillId="4" borderId="117" xfId="3" applyFont="1" applyFill="1" applyBorder="1" applyAlignment="1" applyProtection="1">
      <alignment horizontal="right" vertical="center" indent="2"/>
      <protection hidden="1"/>
    </xf>
    <xf numFmtId="178" fontId="12" fillId="0" borderId="117" xfId="3" applyNumberFormat="1" applyFont="1" applyBorder="1" applyAlignment="1" applyProtection="1">
      <alignment horizontal="right" vertical="center" indent="1"/>
      <protection hidden="1"/>
    </xf>
    <xf numFmtId="0" fontId="158" fillId="0" borderId="122" xfId="3" quotePrefix="1" applyFont="1" applyBorder="1" applyAlignment="1" applyProtection="1">
      <alignment vertical="center"/>
      <protection hidden="1"/>
    </xf>
    <xf numFmtId="9" fontId="158" fillId="0" borderId="122" xfId="3" applyNumberFormat="1" applyFont="1" applyBorder="1" applyAlignment="1" applyProtection="1">
      <alignment horizontal="center" vertical="center"/>
      <protection hidden="1"/>
    </xf>
    <xf numFmtId="178" fontId="158" fillId="0" borderId="122" xfId="3" applyNumberFormat="1" applyFont="1" applyBorder="1" applyAlignment="1" applyProtection="1">
      <alignment horizontal="center" vertical="center"/>
      <protection hidden="1"/>
    </xf>
    <xf numFmtId="179" fontId="158" fillId="0" borderId="122" xfId="3" applyNumberFormat="1" applyFont="1" applyBorder="1" applyAlignment="1" applyProtection="1">
      <alignment horizontal="right" vertical="center" indent="1"/>
      <protection hidden="1"/>
    </xf>
    <xf numFmtId="178" fontId="158" fillId="0" borderId="122" xfId="3" applyNumberFormat="1" applyFont="1" applyBorder="1" applyAlignment="1" applyProtection="1">
      <alignment horizontal="right" vertical="center" indent="1"/>
      <protection hidden="1"/>
    </xf>
    <xf numFmtId="178" fontId="158" fillId="0" borderId="122" xfId="3" applyNumberFormat="1" applyFont="1" applyBorder="1" applyAlignment="1" applyProtection="1">
      <alignment horizontal="right" vertical="center"/>
      <protection hidden="1"/>
    </xf>
    <xf numFmtId="0" fontId="5" fillId="0" borderId="116" xfId="3" applyBorder="1" applyProtection="1">
      <protection hidden="1"/>
    </xf>
    <xf numFmtId="0" fontId="5" fillId="52" borderId="130" xfId="3" applyFill="1" applyBorder="1" applyProtection="1">
      <protection hidden="1"/>
    </xf>
    <xf numFmtId="0" fontId="5" fillId="52" borderId="117" xfId="3" applyFill="1" applyBorder="1" applyAlignment="1" applyProtection="1">
      <alignment horizontal="right"/>
      <protection hidden="1"/>
    </xf>
    <xf numFmtId="0" fontId="126" fillId="0" borderId="119" xfId="3" applyFont="1" applyBorder="1" applyProtection="1">
      <protection hidden="1"/>
    </xf>
    <xf numFmtId="0" fontId="5" fillId="52" borderId="0" xfId="3" applyFill="1" applyAlignment="1" applyProtection="1">
      <alignment horizontal="right"/>
      <protection hidden="1"/>
    </xf>
    <xf numFmtId="0" fontId="82" fillId="53" borderId="0" xfId="3" applyFont="1" applyFill="1" applyAlignment="1" applyProtection="1">
      <alignment horizontal="center" vertical="center" wrapText="1"/>
      <protection hidden="1"/>
    </xf>
    <xf numFmtId="0" fontId="6" fillId="0" borderId="119" xfId="3" applyFont="1" applyBorder="1" applyProtection="1">
      <protection hidden="1"/>
    </xf>
    <xf numFmtId="0" fontId="126" fillId="0" borderId="119" xfId="3" applyFont="1" applyBorder="1"/>
    <xf numFmtId="0" fontId="0" fillId="52" borderId="120" xfId="0" applyFill="1" applyBorder="1" applyProtection="1">
      <protection hidden="1"/>
    </xf>
    <xf numFmtId="0" fontId="84" fillId="0" borderId="129" xfId="0" applyFont="1" applyBorder="1" applyProtection="1">
      <protection hidden="1"/>
    </xf>
    <xf numFmtId="0" fontId="0" fillId="0" borderId="129" xfId="0" applyBorder="1" applyProtection="1">
      <protection hidden="1"/>
    </xf>
    <xf numFmtId="0" fontId="0" fillId="52" borderId="0" xfId="0" applyFill="1" applyAlignment="1" applyProtection="1">
      <alignment horizontal="right"/>
      <protection hidden="1"/>
    </xf>
    <xf numFmtId="0" fontId="4" fillId="0" borderId="129" xfId="0" applyFont="1" applyBorder="1" applyProtection="1">
      <protection hidden="1"/>
    </xf>
    <xf numFmtId="0" fontId="0" fillId="0" borderId="131" xfId="0" applyBorder="1" applyProtection="1">
      <protection hidden="1"/>
    </xf>
    <xf numFmtId="0" fontId="0" fillId="52" borderId="122" xfId="0" applyFill="1" applyBorder="1" applyProtection="1">
      <protection hidden="1"/>
    </xf>
    <xf numFmtId="0" fontId="0" fillId="52" borderId="123" xfId="0" applyFill="1" applyBorder="1" applyProtection="1">
      <protection hidden="1"/>
    </xf>
    <xf numFmtId="0" fontId="19" fillId="36" borderId="0" xfId="0" applyFont="1" applyFill="1" applyAlignment="1">
      <alignment vertical="center" wrapText="1"/>
    </xf>
    <xf numFmtId="0" fontId="165" fillId="36" borderId="0" xfId="0" applyFont="1" applyFill="1" applyAlignment="1">
      <alignment horizontal="left" vertical="center"/>
    </xf>
    <xf numFmtId="0" fontId="120" fillId="36" borderId="0" xfId="0" applyFont="1" applyFill="1" applyAlignment="1">
      <alignment vertical="center" wrapText="1"/>
    </xf>
    <xf numFmtId="0" fontId="117" fillId="36" borderId="0" xfId="0" applyFont="1" applyFill="1" applyAlignment="1" applyProtection="1">
      <alignment horizontal="right" vertical="center"/>
      <protection hidden="1"/>
    </xf>
    <xf numFmtId="0" fontId="117" fillId="36" borderId="0" xfId="0" applyFont="1" applyFill="1" applyAlignment="1">
      <alignment vertical="center" wrapText="1"/>
    </xf>
    <xf numFmtId="0" fontId="122" fillId="0" borderId="0" xfId="0" applyFont="1"/>
    <xf numFmtId="0" fontId="123" fillId="0" borderId="0" xfId="0" applyFont="1"/>
    <xf numFmtId="0" fontId="8" fillId="37" borderId="0" xfId="0" applyFont="1" applyFill="1" applyAlignment="1">
      <alignment horizontal="left" vertical="center"/>
    </xf>
    <xf numFmtId="165" fontId="0" fillId="0" borderId="0" xfId="0" applyNumberFormat="1"/>
    <xf numFmtId="0" fontId="124" fillId="0" borderId="0" xfId="0" applyFont="1"/>
    <xf numFmtId="0" fontId="15" fillId="37" borderId="0" xfId="0" applyFont="1" applyFill="1" applyAlignment="1">
      <alignment horizontal="left" vertical="center"/>
    </xf>
    <xf numFmtId="0" fontId="125" fillId="0" borderId="0" xfId="0" quotePrefix="1" applyFont="1" applyProtection="1">
      <protection hidden="1"/>
    </xf>
    <xf numFmtId="10" fontId="125" fillId="0" borderId="0" xfId="0" applyNumberFormat="1" applyFont="1" applyProtection="1">
      <protection hidden="1"/>
    </xf>
    <xf numFmtId="165" fontId="125" fillId="0" borderId="0" xfId="0" applyNumberFormat="1" applyFont="1" applyProtection="1">
      <protection hidden="1"/>
    </xf>
    <xf numFmtId="0" fontId="22" fillId="37" borderId="0" xfId="0" applyFont="1" applyFill="1" applyAlignment="1">
      <alignment vertical="center"/>
    </xf>
    <xf numFmtId="0" fontId="45" fillId="37" borderId="0" xfId="0" applyFont="1" applyFill="1" applyAlignment="1">
      <alignment vertical="center"/>
    </xf>
    <xf numFmtId="0" fontId="0" fillId="37" borderId="0" xfId="0" applyFill="1"/>
    <xf numFmtId="0" fontId="0" fillId="37" borderId="116" xfId="0" applyFill="1" applyBorder="1"/>
    <xf numFmtId="0" fontId="0" fillId="37" borderId="117" xfId="0" applyFill="1" applyBorder="1"/>
    <xf numFmtId="0" fontId="0" fillId="37" borderId="118" xfId="0" applyFill="1" applyBorder="1"/>
    <xf numFmtId="0" fontId="0" fillId="37" borderId="121" xfId="0" applyFill="1" applyBorder="1"/>
    <xf numFmtId="0" fontId="0" fillId="37" borderId="122" xfId="0" applyFill="1" applyBorder="1"/>
    <xf numFmtId="0" fontId="0" fillId="37" borderId="123" xfId="0" applyFill="1" applyBorder="1"/>
    <xf numFmtId="0" fontId="0" fillId="37" borderId="119" xfId="0" applyFill="1" applyBorder="1"/>
    <xf numFmtId="0" fontId="45" fillId="37" borderId="119" xfId="0" applyFont="1" applyFill="1" applyBorder="1" applyAlignment="1">
      <alignment vertical="center"/>
    </xf>
    <xf numFmtId="0" fontId="0" fillId="37" borderId="120" xfId="0" applyFill="1" applyBorder="1"/>
    <xf numFmtId="0" fontId="0" fillId="37" borderId="119" xfId="0" applyFill="1" applyBorder="1" applyAlignment="1">
      <alignment wrapText="1"/>
    </xf>
    <xf numFmtId="0" fontId="118" fillId="0" borderId="119" xfId="0" applyFont="1" applyBorder="1"/>
    <xf numFmtId="0" fontId="122" fillId="0" borderId="0" xfId="0" applyFont="1" applyAlignment="1" applyProtection="1">
      <alignment horizontal="right" vertical="center"/>
      <protection locked="0"/>
    </xf>
    <xf numFmtId="14" fontId="81" fillId="0" borderId="0" xfId="0" applyNumberFormat="1" applyFont="1" applyProtection="1">
      <protection hidden="1"/>
    </xf>
    <xf numFmtId="0" fontId="49" fillId="50" borderId="115" xfId="0" applyFont="1" applyFill="1" applyBorder="1" applyProtection="1">
      <protection hidden="1"/>
    </xf>
    <xf numFmtId="0" fontId="161" fillId="50" borderId="115" xfId="0" applyFont="1" applyFill="1" applyBorder="1" applyAlignment="1" applyProtection="1">
      <alignment horizontal="center" vertical="center" wrapText="1"/>
      <protection hidden="1"/>
    </xf>
    <xf numFmtId="0" fontId="161" fillId="50" borderId="115" xfId="0" applyFont="1" applyFill="1" applyBorder="1" applyAlignment="1" applyProtection="1">
      <alignment vertical="center" wrapText="1"/>
      <protection hidden="1"/>
    </xf>
    <xf numFmtId="0" fontId="0" fillId="54" borderId="116" xfId="0" applyFill="1" applyBorder="1"/>
    <xf numFmtId="0" fontId="0" fillId="54" borderId="117" xfId="0" applyFill="1" applyBorder="1"/>
    <xf numFmtId="0" fontId="0" fillId="54" borderId="118" xfId="0" applyFill="1" applyBorder="1"/>
    <xf numFmtId="0" fontId="0" fillId="54" borderId="119" xfId="0" applyFill="1" applyBorder="1"/>
    <xf numFmtId="0" fontId="0" fillId="54" borderId="121" xfId="0" applyFill="1" applyBorder="1"/>
    <xf numFmtId="0" fontId="0" fillId="54" borderId="0" xfId="0" applyFill="1"/>
    <xf numFmtId="0" fontId="0" fillId="54" borderId="120" xfId="0" applyFill="1" applyBorder="1"/>
    <xf numFmtId="0" fontId="22" fillId="54" borderId="0" xfId="0" applyFont="1" applyFill="1" applyAlignment="1">
      <alignment vertical="center" wrapText="1"/>
    </xf>
    <xf numFmtId="0" fontId="0" fillId="54" borderId="123" xfId="0" applyFill="1" applyBorder="1"/>
    <xf numFmtId="0" fontId="0" fillId="54" borderId="122" xfId="0" applyFill="1" applyBorder="1"/>
    <xf numFmtId="0" fontId="51" fillId="54" borderId="122" xfId="3" applyFont="1" applyFill="1" applyBorder="1" applyAlignment="1" applyProtection="1">
      <alignment horizontal="right"/>
      <protection hidden="1"/>
    </xf>
    <xf numFmtId="0" fontId="22" fillId="54" borderId="0" xfId="0" applyFont="1" applyFill="1" applyAlignment="1">
      <alignment vertical="center"/>
    </xf>
    <xf numFmtId="0" fontId="161" fillId="0" borderId="115" xfId="0" quotePrefix="1" applyFont="1" applyBorder="1" applyProtection="1">
      <protection hidden="1"/>
    </xf>
    <xf numFmtId="10" fontId="161" fillId="0" borderId="115" xfId="0" applyNumberFormat="1" applyFont="1" applyBorder="1" applyProtection="1">
      <protection hidden="1"/>
    </xf>
    <xf numFmtId="176" fontId="161" fillId="0" borderId="115" xfId="0" applyNumberFormat="1" applyFont="1" applyBorder="1" applyAlignment="1" applyProtection="1">
      <alignment horizontal="left"/>
      <protection hidden="1"/>
    </xf>
    <xf numFmtId="164" fontId="161" fillId="0" borderId="115" xfId="0" applyNumberFormat="1" applyFont="1" applyBorder="1" applyProtection="1">
      <protection hidden="1"/>
    </xf>
    <xf numFmtId="166" fontId="158" fillId="54" borderId="124" xfId="0" applyNumberFormat="1" applyFont="1" applyFill="1" applyBorder="1" applyAlignment="1">
      <alignment horizontal="left" vertical="center" indent="1"/>
    </xf>
    <xf numFmtId="166" fontId="158" fillId="54" borderId="128" xfId="0" applyNumberFormat="1" applyFont="1" applyFill="1" applyBorder="1" applyAlignment="1">
      <alignment vertical="center"/>
    </xf>
    <xf numFmtId="166" fontId="158" fillId="54" borderId="125" xfId="0" applyNumberFormat="1" applyFont="1" applyFill="1" applyBorder="1" applyAlignment="1">
      <alignment vertical="center"/>
    </xf>
    <xf numFmtId="166" fontId="158" fillId="54" borderId="115" xfId="0" applyNumberFormat="1" applyFont="1" applyFill="1" applyBorder="1" applyAlignment="1">
      <alignment horizontal="left" vertical="center" indent="1"/>
    </xf>
    <xf numFmtId="10" fontId="16" fillId="0" borderId="0" xfId="0" applyNumberFormat="1" applyFont="1" applyAlignment="1" applyProtection="1">
      <alignment horizontal="right" vertical="center"/>
      <protection hidden="1"/>
    </xf>
    <xf numFmtId="169" fontId="16" fillId="0" borderId="0" xfId="18" applyNumberFormat="1" applyFont="1" applyFill="1" applyBorder="1" applyAlignment="1" applyProtection="1">
      <alignment horizontal="right" vertical="center"/>
      <protection hidden="1"/>
    </xf>
    <xf numFmtId="0" fontId="66" fillId="0" borderId="0" xfId="0" applyFont="1" applyProtection="1">
      <protection hidden="1"/>
    </xf>
    <xf numFmtId="169" fontId="171" fillId="0" borderId="115" xfId="18" applyNumberFormat="1" applyFont="1" applyFill="1" applyBorder="1" applyAlignment="1" applyProtection="1">
      <alignment vertical="center"/>
      <protection locked="0"/>
    </xf>
    <xf numFmtId="0" fontId="47" fillId="37" borderId="0" xfId="0" applyFont="1" applyFill="1" applyAlignment="1">
      <alignment horizontal="left" vertical="center"/>
    </xf>
    <xf numFmtId="14" fontId="158" fillId="0" borderId="0" xfId="0" applyNumberFormat="1" applyFont="1" applyProtection="1">
      <protection hidden="1"/>
    </xf>
    <xf numFmtId="0" fontId="158" fillId="0" borderId="0" xfId="0" applyFont="1"/>
    <xf numFmtId="177" fontId="158" fillId="0" borderId="0" xfId="0" applyNumberFormat="1" applyFont="1" applyAlignment="1" applyProtection="1">
      <alignment horizontal="center" wrapText="1"/>
      <protection hidden="1"/>
    </xf>
    <xf numFmtId="14" fontId="158" fillId="0" borderId="0" xfId="0" applyNumberFormat="1" applyFont="1" applyAlignment="1" applyProtection="1">
      <alignment wrapText="1"/>
      <protection hidden="1"/>
    </xf>
    <xf numFmtId="164" fontId="162" fillId="0" borderId="115" xfId="0" applyNumberFormat="1" applyFont="1" applyBorder="1" applyAlignment="1" applyProtection="1">
      <alignment horizontal="right"/>
      <protection hidden="1"/>
    </xf>
    <xf numFmtId="0" fontId="22" fillId="3" borderId="0" xfId="3" applyFont="1" applyFill="1" applyAlignment="1" applyProtection="1">
      <alignment horizontal="left" vertical="center" wrapText="1"/>
      <protection hidden="1"/>
    </xf>
    <xf numFmtId="0" fontId="39" fillId="0" borderId="0" xfId="3" applyFont="1" applyAlignment="1">
      <alignment horizontal="right" vertical="center"/>
    </xf>
    <xf numFmtId="0" fontId="3" fillId="0" borderId="0" xfId="3" applyFont="1"/>
    <xf numFmtId="169" fontId="16" fillId="4" borderId="0" xfId="3" applyNumberFormat="1" applyFont="1" applyFill="1" applyAlignment="1" applyProtection="1">
      <alignment horizontal="right" vertical="center"/>
      <protection hidden="1"/>
    </xf>
    <xf numFmtId="0" fontId="39" fillId="0" borderId="0" xfId="3" applyFont="1" applyAlignment="1">
      <alignment horizontal="left" vertical="center"/>
    </xf>
    <xf numFmtId="0" fontId="85" fillId="0" borderId="0" xfId="3" applyFont="1" applyAlignment="1" applyProtection="1">
      <alignment horizontal="right" vertical="top"/>
      <protection hidden="1"/>
    </xf>
    <xf numFmtId="0" fontId="39" fillId="0" borderId="0" xfId="3" applyFont="1" applyAlignment="1">
      <alignment wrapText="1"/>
    </xf>
    <xf numFmtId="0" fontId="86" fillId="0" borderId="0" xfId="3" applyFont="1" applyAlignment="1">
      <alignment horizontal="right"/>
    </xf>
    <xf numFmtId="0" fontId="87" fillId="0" borderId="0" xfId="3" applyFont="1" applyAlignment="1">
      <alignment vertical="top" wrapText="1"/>
    </xf>
    <xf numFmtId="0" fontId="83" fillId="0" borderId="0" xfId="3" applyFont="1" applyAlignment="1">
      <alignment horizontal="right" vertical="center"/>
    </xf>
    <xf numFmtId="168" fontId="88" fillId="0" borderId="0" xfId="3" applyNumberFormat="1" applyFont="1" applyAlignment="1" applyProtection="1">
      <alignment horizontal="right"/>
      <protection hidden="1"/>
    </xf>
    <xf numFmtId="0" fontId="88" fillId="0" borderId="0" xfId="3" applyFont="1" applyAlignment="1" applyProtection="1">
      <alignment vertical="top" wrapText="1"/>
      <protection hidden="1"/>
    </xf>
    <xf numFmtId="168" fontId="87" fillId="0" borderId="0" xfId="3" applyNumberFormat="1" applyFont="1" applyAlignment="1" applyProtection="1">
      <alignment horizontal="left" vertical="center"/>
      <protection hidden="1"/>
    </xf>
    <xf numFmtId="0" fontId="89" fillId="0" borderId="0" xfId="3" applyFont="1" applyAlignment="1" applyProtection="1">
      <alignment horizontal="left" vertical="top" wrapText="1"/>
      <protection hidden="1"/>
    </xf>
    <xf numFmtId="0" fontId="90" fillId="0" borderId="0" xfId="3" applyFont="1" applyProtection="1">
      <protection hidden="1"/>
    </xf>
    <xf numFmtId="0" fontId="91" fillId="0" borderId="0" xfId="3" applyFont="1"/>
    <xf numFmtId="0" fontId="92" fillId="0" borderId="0" xfId="3" applyFont="1" applyAlignment="1">
      <alignment horizontal="right" indent="1"/>
    </xf>
    <xf numFmtId="0" fontId="93" fillId="0" borderId="0" xfId="3" applyFont="1"/>
    <xf numFmtId="0" fontId="83" fillId="0" borderId="0" xfId="3" applyFont="1" applyAlignment="1">
      <alignment vertical="top" wrapText="1"/>
    </xf>
    <xf numFmtId="168" fontId="84" fillId="0" borderId="0" xfId="3" applyNumberFormat="1" applyFont="1" applyProtection="1">
      <protection hidden="1"/>
    </xf>
    <xf numFmtId="0" fontId="95" fillId="0" borderId="0" xfId="3" applyFont="1" applyAlignment="1">
      <alignment vertical="top" wrapText="1"/>
    </xf>
    <xf numFmtId="169" fontId="10" fillId="0" borderId="0" xfId="3" applyNumberFormat="1" applyFont="1" applyAlignment="1" applyProtection="1">
      <alignment horizontal="right" vertical="center" indent="1"/>
      <protection hidden="1"/>
    </xf>
    <xf numFmtId="0" fontId="5" fillId="0" borderId="120" xfId="3" applyBorder="1"/>
    <xf numFmtId="0" fontId="5" fillId="0" borderId="123" xfId="3" applyBorder="1"/>
    <xf numFmtId="0" fontId="98" fillId="52" borderId="122" xfId="7" applyFont="1" applyFill="1" applyBorder="1"/>
    <xf numFmtId="0" fontId="99" fillId="52" borderId="122" xfId="7" applyFont="1" applyFill="1" applyBorder="1"/>
    <xf numFmtId="0" fontId="173" fillId="52" borderId="0" xfId="3" applyFont="1" applyFill="1" applyProtection="1">
      <protection hidden="1"/>
    </xf>
    <xf numFmtId="0" fontId="174" fillId="52" borderId="0" xfId="3" applyFont="1" applyFill="1" applyAlignment="1" applyProtection="1">
      <alignment horizontal="center" vertical="center" wrapText="1"/>
      <protection hidden="1"/>
    </xf>
    <xf numFmtId="0" fontId="177" fillId="52" borderId="0" xfId="3" applyFont="1" applyFill="1" applyProtection="1">
      <protection hidden="1"/>
    </xf>
    <xf numFmtId="9" fontId="177" fillId="52" borderId="0" xfId="2" applyFont="1" applyFill="1" applyBorder="1" applyAlignment="1" applyProtection="1">
      <alignment horizontal="right" indent="1"/>
      <protection hidden="1"/>
    </xf>
    <xf numFmtId="0" fontId="177" fillId="52" borderId="0" xfId="3" applyFont="1" applyFill="1" applyAlignment="1" applyProtection="1">
      <alignment horizontal="right" vertical="center" indent="1"/>
      <protection hidden="1"/>
    </xf>
    <xf numFmtId="0" fontId="177" fillId="52" borderId="0" xfId="3" applyFont="1" applyFill="1" applyAlignment="1" applyProtection="1">
      <alignment vertical="top" wrapText="1"/>
      <protection hidden="1"/>
    </xf>
    <xf numFmtId="0" fontId="177" fillId="52" borderId="0" xfId="3" applyFont="1" applyFill="1" applyAlignment="1" applyProtection="1">
      <alignment horizontal="left" vertical="center"/>
      <protection hidden="1"/>
    </xf>
    <xf numFmtId="169" fontId="177" fillId="52" borderId="0" xfId="3" applyNumberFormat="1" applyFont="1" applyFill="1" applyAlignment="1" applyProtection="1">
      <alignment horizontal="right" vertical="center" indent="1"/>
      <protection hidden="1"/>
    </xf>
    <xf numFmtId="169" fontId="178" fillId="52" borderId="0" xfId="3" applyNumberFormat="1" applyFont="1" applyFill="1" applyAlignment="1" applyProtection="1">
      <alignment horizontal="right" vertical="center"/>
      <protection hidden="1"/>
    </xf>
    <xf numFmtId="168" fontId="34" fillId="4" borderId="0" xfId="5" applyNumberFormat="1" applyFont="1" applyFill="1" applyBorder="1" applyAlignment="1" applyProtection="1">
      <alignment horizontal="left"/>
      <protection locked="0"/>
    </xf>
    <xf numFmtId="9" fontId="10" fillId="3" borderId="132" xfId="2" applyFont="1" applyFill="1" applyBorder="1" applyAlignment="1" applyProtection="1">
      <alignment horizontal="right" vertical="center" indent="1"/>
      <protection hidden="1"/>
    </xf>
    <xf numFmtId="0" fontId="34" fillId="0" borderId="0" xfId="5" applyNumberFormat="1" applyFont="1" applyFill="1" applyBorder="1" applyAlignment="1" applyProtection="1">
      <alignment horizontal="center"/>
      <protection hidden="1"/>
    </xf>
    <xf numFmtId="0" fontId="158" fillId="0" borderId="0" xfId="3" applyFont="1" applyAlignment="1">
      <alignment horizontal="left"/>
    </xf>
    <xf numFmtId="169" fontId="158" fillId="3" borderId="115" xfId="3" applyNumberFormat="1" applyFont="1" applyFill="1" applyBorder="1" applyAlignment="1" applyProtection="1">
      <alignment horizontal="right" vertical="center" indent="1"/>
      <protection hidden="1"/>
    </xf>
    <xf numFmtId="0" fontId="158" fillId="3" borderId="132" xfId="3" applyFont="1" applyFill="1" applyBorder="1" applyAlignment="1" applyProtection="1">
      <alignment horizontal="right" vertical="center" indent="1"/>
      <protection hidden="1"/>
    </xf>
    <xf numFmtId="169" fontId="158" fillId="4" borderId="115" xfId="3" applyNumberFormat="1" applyFont="1" applyFill="1" applyBorder="1" applyAlignment="1" applyProtection="1">
      <alignment horizontal="right" vertical="center" indent="1"/>
      <protection locked="0" hidden="1"/>
    </xf>
    <xf numFmtId="0" fontId="172" fillId="0" borderId="0" xfId="3" applyFont="1" applyAlignment="1">
      <alignment vertical="top"/>
    </xf>
    <xf numFmtId="166" fontId="158" fillId="4" borderId="115" xfId="3" applyNumberFormat="1" applyFont="1" applyFill="1" applyBorder="1" applyAlignment="1" applyProtection="1">
      <alignment horizontal="right" vertical="center" indent="1"/>
      <protection locked="0" hidden="1"/>
    </xf>
    <xf numFmtId="169" fontId="158" fillId="3" borderId="132" xfId="3" applyNumberFormat="1" applyFont="1" applyFill="1" applyBorder="1" applyAlignment="1" applyProtection="1">
      <alignment horizontal="right" vertical="center" indent="1"/>
      <protection hidden="1"/>
    </xf>
    <xf numFmtId="0" fontId="158" fillId="0" borderId="0" xfId="3" applyFont="1" applyAlignment="1">
      <alignment horizontal="right" indent="1"/>
    </xf>
    <xf numFmtId="0" fontId="168" fillId="0" borderId="0" xfId="3" applyFont="1" applyAlignment="1">
      <alignment horizontal="right" indent="1"/>
    </xf>
    <xf numFmtId="0" fontId="168" fillId="0" borderId="0" xfId="3" applyFont="1" applyAlignment="1">
      <alignment horizontal="right" vertical="center"/>
    </xf>
    <xf numFmtId="169" fontId="168" fillId="0" borderId="0" xfId="5" applyNumberFormat="1" applyFont="1" applyBorder="1" applyAlignment="1" applyProtection="1">
      <alignment horizontal="right"/>
      <protection hidden="1"/>
    </xf>
    <xf numFmtId="169" fontId="158" fillId="3" borderId="133" xfId="3" applyNumberFormat="1" applyFont="1" applyFill="1" applyBorder="1" applyAlignment="1" applyProtection="1">
      <alignment horizontal="right" vertical="center" indent="1"/>
      <protection hidden="1"/>
    </xf>
    <xf numFmtId="0" fontId="158" fillId="0" borderId="0" xfId="3" applyFont="1"/>
    <xf numFmtId="169" fontId="158" fillId="4" borderId="115" xfId="3" applyNumberFormat="1" applyFont="1" applyFill="1" applyBorder="1" applyAlignment="1" applyProtection="1">
      <alignment horizontal="right" vertical="center" indent="1"/>
      <protection locked="0"/>
    </xf>
    <xf numFmtId="0" fontId="158" fillId="4" borderId="115" xfId="5" applyNumberFormat="1" applyFont="1" applyFill="1" applyBorder="1" applyAlignment="1" applyProtection="1">
      <alignment horizontal="center"/>
      <protection locked="0"/>
    </xf>
    <xf numFmtId="0" fontId="158" fillId="0" borderId="115" xfId="5" applyNumberFormat="1" applyFont="1" applyFill="1" applyBorder="1" applyAlignment="1" applyProtection="1">
      <alignment horizontal="center"/>
      <protection locked="0"/>
    </xf>
    <xf numFmtId="9" fontId="158" fillId="3" borderId="115" xfId="3" applyNumberFormat="1" applyFont="1" applyFill="1" applyBorder="1" applyAlignment="1" applyProtection="1">
      <alignment horizontal="center"/>
      <protection hidden="1"/>
    </xf>
    <xf numFmtId="9" fontId="158" fillId="3" borderId="115" xfId="2" applyFont="1" applyFill="1" applyBorder="1" applyAlignment="1" applyProtection="1">
      <alignment horizontal="right" vertical="center" indent="1"/>
      <protection hidden="1"/>
    </xf>
    <xf numFmtId="169" fontId="158" fillId="0" borderId="115" xfId="3" applyNumberFormat="1" applyFont="1" applyBorder="1" applyAlignment="1" applyProtection="1">
      <alignment horizontal="right" vertical="center" indent="1"/>
      <protection locked="0" hidden="1"/>
    </xf>
    <xf numFmtId="0" fontId="81" fillId="52" borderId="0" xfId="3" applyFont="1" applyFill="1" applyAlignment="1">
      <alignment horizontal="left" vertical="center" wrapText="1"/>
    </xf>
    <xf numFmtId="0" fontId="57" fillId="52" borderId="115" xfId="3" applyFont="1" applyFill="1" applyBorder="1" applyAlignment="1" applyProtection="1">
      <alignment horizontal="center" vertical="center"/>
      <protection locked="0"/>
    </xf>
    <xf numFmtId="10" fontId="57" fillId="52" borderId="126" xfId="2" applyNumberFormat="1" applyFont="1" applyFill="1" applyBorder="1" applyAlignment="1" applyProtection="1">
      <alignment horizontal="right" vertical="center" indent="1"/>
      <protection hidden="1"/>
    </xf>
    <xf numFmtId="10" fontId="57" fillId="52" borderId="127" xfId="2" applyNumberFormat="1" applyFont="1" applyFill="1" applyBorder="1" applyAlignment="1" applyProtection="1">
      <alignment horizontal="right" vertical="center" indent="1"/>
      <protection hidden="1"/>
    </xf>
    <xf numFmtId="10" fontId="57" fillId="52" borderId="115" xfId="2" applyNumberFormat="1" applyFont="1" applyFill="1" applyBorder="1" applyAlignment="1" applyProtection="1">
      <alignment horizontal="right" vertical="center" indent="1"/>
      <protection locked="0"/>
    </xf>
    <xf numFmtId="0" fontId="49" fillId="52" borderId="0" xfId="3" applyFont="1" applyFill="1" applyAlignment="1">
      <alignment vertical="center" wrapText="1"/>
    </xf>
    <xf numFmtId="0" fontId="18" fillId="0" borderId="0" xfId="3" applyFont="1"/>
    <xf numFmtId="166" fontId="9" fillId="3" borderId="10" xfId="3" applyNumberFormat="1" applyFont="1" applyFill="1" applyBorder="1" applyAlignment="1" applyProtection="1">
      <alignment horizontal="left" vertical="center" indent="1"/>
      <protection hidden="1"/>
    </xf>
    <xf numFmtId="166" fontId="9" fillId="0" borderId="115" xfId="3" applyNumberFormat="1" applyFont="1" applyBorder="1" applyAlignment="1" applyProtection="1">
      <alignment horizontal="left" vertical="center" indent="1"/>
      <protection locked="0"/>
    </xf>
    <xf numFmtId="166" fontId="9" fillId="3" borderId="7" xfId="3" applyNumberFormat="1" applyFont="1" applyFill="1" applyBorder="1" applyAlignment="1" applyProtection="1">
      <alignment horizontal="left" vertical="center" indent="1"/>
      <protection hidden="1"/>
    </xf>
    <xf numFmtId="0" fontId="49" fillId="0" borderId="0" xfId="3" applyFont="1" applyAlignment="1">
      <alignment vertical="center"/>
    </xf>
    <xf numFmtId="0" fontId="162" fillId="0" borderId="0" xfId="3" applyFont="1"/>
    <xf numFmtId="166" fontId="161" fillId="50" borderId="115" xfId="3" applyNumberFormat="1" applyFont="1" applyFill="1" applyBorder="1" applyAlignment="1" applyProtection="1">
      <alignment horizontal="right" vertical="center" indent="1"/>
      <protection hidden="1"/>
    </xf>
    <xf numFmtId="166" fontId="161" fillId="50" borderId="115" xfId="3" applyNumberFormat="1" applyFont="1" applyFill="1" applyBorder="1" applyAlignment="1">
      <alignment horizontal="left" vertical="center" indent="1"/>
    </xf>
    <xf numFmtId="166" fontId="161" fillId="52" borderId="115" xfId="3" applyNumberFormat="1" applyFont="1" applyFill="1" applyBorder="1" applyAlignment="1" applyProtection="1">
      <alignment horizontal="left" vertical="center" indent="1"/>
      <protection hidden="1"/>
    </xf>
    <xf numFmtId="0" fontId="8" fillId="4" borderId="0" xfId="3" applyFont="1" applyFill="1" applyAlignment="1">
      <alignment horizontal="left"/>
    </xf>
    <xf numFmtId="0" fontId="35" fillId="4" borderId="0" xfId="3" applyFont="1" applyFill="1" applyAlignment="1">
      <alignment horizontal="left"/>
    </xf>
    <xf numFmtId="0" fontId="154" fillId="0" borderId="0" xfId="3" applyFont="1" applyAlignment="1">
      <alignment vertical="center"/>
    </xf>
    <xf numFmtId="0" fontId="156" fillId="0" borderId="0" xfId="3" applyFont="1"/>
    <xf numFmtId="0" fontId="4" fillId="0" borderId="30" xfId="0" applyFont="1" applyBorder="1" applyAlignment="1" applyProtection="1">
      <alignment horizontal="center" vertical="center"/>
      <protection locked="0"/>
    </xf>
    <xf numFmtId="0" fontId="4" fillId="0" borderId="115" xfId="0" applyFont="1" applyBorder="1" applyAlignment="1" applyProtection="1">
      <alignment horizontal="center" vertical="center"/>
      <protection locked="0"/>
    </xf>
    <xf numFmtId="166" fontId="158" fillId="52" borderId="115" xfId="3" applyNumberFormat="1" applyFont="1" applyFill="1" applyBorder="1" applyAlignment="1" applyProtection="1">
      <alignment horizontal="left" vertical="center" indent="1"/>
      <protection hidden="1"/>
    </xf>
    <xf numFmtId="0" fontId="27" fillId="0" borderId="0" xfId="3" applyFont="1" applyProtection="1">
      <protection hidden="1"/>
    </xf>
    <xf numFmtId="0" fontId="160" fillId="0" borderId="0" xfId="3" applyFont="1" applyProtection="1">
      <protection hidden="1"/>
    </xf>
    <xf numFmtId="166" fontId="179" fillId="54" borderId="115" xfId="0" applyNumberFormat="1" applyFont="1" applyFill="1" applyBorder="1" applyAlignment="1" applyProtection="1">
      <alignment horizontal="left" vertical="center" indent="1"/>
      <protection hidden="1"/>
    </xf>
    <xf numFmtId="169" fontId="121" fillId="0" borderId="115" xfId="18" applyNumberFormat="1" applyFont="1" applyFill="1" applyBorder="1" applyAlignment="1" applyProtection="1">
      <alignment vertical="center"/>
      <protection hidden="1"/>
    </xf>
    <xf numFmtId="166" fontId="180" fillId="0" borderId="0" xfId="18" applyNumberFormat="1" applyFont="1" applyFill="1" applyBorder="1" applyAlignment="1" applyProtection="1">
      <alignment horizontal="right" vertical="center"/>
      <protection hidden="1"/>
    </xf>
    <xf numFmtId="10" fontId="181" fillId="0" borderId="0" xfId="2" applyNumberFormat="1" applyFont="1" applyFill="1" applyBorder="1" applyAlignment="1" applyProtection="1">
      <alignment horizontal="center"/>
      <protection hidden="1"/>
    </xf>
    <xf numFmtId="0" fontId="181" fillId="0" borderId="0" xfId="3" applyFont="1" applyProtection="1">
      <protection hidden="1"/>
    </xf>
    <xf numFmtId="169" fontId="181" fillId="55" borderId="134" xfId="1" applyNumberFormat="1" applyFont="1" applyFill="1" applyBorder="1" applyAlignment="1" applyProtection="1">
      <alignment horizontal="right" indent="1"/>
      <protection hidden="1"/>
    </xf>
    <xf numFmtId="0" fontId="48" fillId="55" borderId="0" xfId="3" applyFont="1" applyFill="1" applyAlignment="1" applyProtection="1">
      <alignment vertical="center"/>
      <protection hidden="1"/>
    </xf>
    <xf numFmtId="0" fontId="59" fillId="55" borderId="0" xfId="3" applyFont="1" applyFill="1" applyAlignment="1">
      <alignment vertical="center"/>
    </xf>
    <xf numFmtId="0" fontId="5" fillId="55" borderId="0" xfId="3" applyFill="1"/>
    <xf numFmtId="0" fontId="32" fillId="55" borderId="0" xfId="3" applyFont="1" applyFill="1" applyAlignment="1" applyProtection="1">
      <alignment vertical="center"/>
      <protection hidden="1"/>
    </xf>
    <xf numFmtId="0" fontId="5" fillId="55" borderId="135" xfId="3" applyFill="1" applyBorder="1"/>
    <xf numFmtId="0" fontId="5" fillId="55" borderId="136" xfId="3" applyFill="1" applyBorder="1"/>
    <xf numFmtId="0" fontId="5" fillId="55" borderId="137" xfId="3" applyFill="1" applyBorder="1"/>
    <xf numFmtId="0" fontId="5" fillId="55" borderId="138" xfId="3" applyFill="1" applyBorder="1"/>
    <xf numFmtId="0" fontId="5" fillId="55" borderId="139" xfId="3" applyFill="1" applyBorder="1"/>
    <xf numFmtId="0" fontId="5" fillId="55" borderId="140" xfId="3" applyFill="1" applyBorder="1"/>
    <xf numFmtId="0" fontId="49" fillId="55" borderId="141" xfId="3" applyFont="1" applyFill="1" applyBorder="1" applyAlignment="1">
      <alignment horizontal="left" vertical="center"/>
    </xf>
    <xf numFmtId="0" fontId="49" fillId="55" borderId="142" xfId="3" applyFont="1" applyFill="1" applyBorder="1" applyAlignment="1">
      <alignment horizontal="left" vertical="center" wrapText="1"/>
    </xf>
    <xf numFmtId="0" fontId="183" fillId="4" borderId="119" xfId="3" applyFont="1" applyFill="1" applyBorder="1" applyAlignment="1" applyProtection="1">
      <alignment horizontal="left" vertical="center" indent="2"/>
      <protection hidden="1"/>
    </xf>
    <xf numFmtId="0" fontId="10" fillId="0" borderId="117" xfId="3" applyFont="1" applyBorder="1" applyAlignment="1" applyProtection="1">
      <alignment horizontal="left" vertical="center" indent="1"/>
      <protection hidden="1"/>
    </xf>
    <xf numFmtId="166" fontId="34" fillId="0" borderId="117" xfId="3" applyNumberFormat="1" applyFont="1" applyBorder="1" applyAlignment="1" applyProtection="1">
      <alignment horizontal="right" vertical="center" indent="1"/>
      <protection hidden="1"/>
    </xf>
    <xf numFmtId="0" fontId="158" fillId="0" borderId="117" xfId="3" applyFont="1" applyBorder="1" applyAlignment="1" applyProtection="1">
      <alignment horizontal="left" vertical="center" indent="1"/>
      <protection hidden="1"/>
    </xf>
    <xf numFmtId="0" fontId="38" fillId="0" borderId="0" xfId="3" applyFont="1" applyAlignment="1" applyProtection="1">
      <alignment horizontal="right"/>
      <protection hidden="1"/>
    </xf>
    <xf numFmtId="166" fontId="161" fillId="52" borderId="115" xfId="3" applyNumberFormat="1" applyFont="1" applyFill="1" applyBorder="1" applyAlignment="1" applyProtection="1">
      <alignment horizontal="center" vertical="center"/>
      <protection hidden="1"/>
    </xf>
    <xf numFmtId="0" fontId="161" fillId="52" borderId="115" xfId="3" applyFont="1" applyFill="1" applyBorder="1" applyAlignment="1" applyProtection="1">
      <alignment horizontal="left" vertical="center" indent="1"/>
      <protection hidden="1"/>
    </xf>
    <xf numFmtId="0" fontId="10" fillId="52" borderId="6" xfId="3" applyFont="1" applyFill="1" applyBorder="1" applyAlignment="1">
      <alignment horizontal="left" vertical="center" indent="1"/>
    </xf>
    <xf numFmtId="166" fontId="10" fillId="52" borderId="6" xfId="3" applyNumberFormat="1" applyFont="1" applyFill="1" applyBorder="1" applyAlignment="1">
      <alignment horizontal="right" vertical="center" indent="1"/>
    </xf>
    <xf numFmtId="166" fontId="10" fillId="52" borderId="6" xfId="3" applyNumberFormat="1" applyFont="1" applyFill="1" applyBorder="1" applyAlignment="1">
      <alignment horizontal="left" vertical="center" indent="1"/>
    </xf>
    <xf numFmtId="178" fontId="39" fillId="0" borderId="122" xfId="3" applyNumberFormat="1" applyFont="1" applyBorder="1" applyAlignment="1" applyProtection="1">
      <alignment vertical="center"/>
      <protection hidden="1"/>
    </xf>
    <xf numFmtId="9" fontId="158" fillId="0" borderId="6" xfId="3" applyNumberFormat="1" applyFont="1" applyBorder="1" applyAlignment="1" applyProtection="1">
      <alignment horizontal="center" vertical="center"/>
      <protection locked="0" hidden="1"/>
    </xf>
    <xf numFmtId="9" fontId="158" fillId="0" borderId="37" xfId="3" applyNumberFormat="1" applyFont="1" applyBorder="1" applyAlignment="1" applyProtection="1">
      <alignment horizontal="center" vertical="center"/>
      <protection locked="0" hidden="1"/>
    </xf>
    <xf numFmtId="0" fontId="63" fillId="3" borderId="14" xfId="6" applyFont="1" applyFill="1" applyBorder="1"/>
    <xf numFmtId="0" fontId="62" fillId="3" borderId="14" xfId="6" applyFont="1" applyFill="1" applyBorder="1"/>
    <xf numFmtId="0" fontId="6" fillId="21" borderId="143" xfId="3" applyFont="1" applyFill="1" applyBorder="1"/>
    <xf numFmtId="0" fontId="6" fillId="21" borderId="144" xfId="3" applyFont="1" applyFill="1" applyBorder="1"/>
    <xf numFmtId="0" fontId="6" fillId="21" borderId="145" xfId="3" applyFont="1" applyFill="1" applyBorder="1"/>
    <xf numFmtId="0" fontId="63" fillId="20" borderId="14" xfId="6" applyFont="1" applyFill="1" applyBorder="1"/>
    <xf numFmtId="0" fontId="63" fillId="20" borderId="15" xfId="6" applyFont="1" applyFill="1" applyBorder="1"/>
    <xf numFmtId="0" fontId="184" fillId="31" borderId="0" xfId="0" applyFont="1" applyFill="1" applyAlignment="1">
      <alignment vertical="top" wrapText="1"/>
    </xf>
    <xf numFmtId="0" fontId="63" fillId="35" borderId="14" xfId="6" applyFont="1" applyFill="1" applyBorder="1"/>
    <xf numFmtId="0" fontId="177" fillId="52" borderId="115" xfId="3" applyFont="1" applyFill="1" applyBorder="1" applyAlignment="1">
      <alignment horizontal="center" vertical="center"/>
    </xf>
    <xf numFmtId="0" fontId="5" fillId="13" borderId="0" xfId="3" applyFill="1"/>
    <xf numFmtId="0" fontId="10" fillId="52" borderId="115" xfId="3" applyFont="1" applyFill="1" applyBorder="1" applyAlignment="1" applyProtection="1">
      <alignment horizontal="left" vertical="center" indent="1"/>
      <protection locked="0" hidden="1"/>
    </xf>
    <xf numFmtId="0" fontId="185" fillId="0" borderId="0" xfId="17" quotePrefix="1" applyFont="1" applyAlignment="1">
      <alignment horizontal="left" vertical="top"/>
    </xf>
    <xf numFmtId="0" fontId="10" fillId="0" borderId="115" xfId="3" applyFont="1" applyBorder="1" applyAlignment="1" applyProtection="1">
      <alignment horizontal="left" vertical="center" indent="1"/>
      <protection locked="0" hidden="1"/>
    </xf>
    <xf numFmtId="166" fontId="31" fillId="0" borderId="119" xfId="3" applyNumberFormat="1" applyFont="1" applyBorder="1" applyAlignment="1">
      <alignment vertical="center" wrapText="1"/>
    </xf>
    <xf numFmtId="166" fontId="9" fillId="0" borderId="0" xfId="3" applyNumberFormat="1" applyFont="1" applyAlignment="1">
      <alignment horizontal="left" vertical="center" indent="1"/>
    </xf>
    <xf numFmtId="166" fontId="10" fillId="52" borderId="115" xfId="3" applyNumberFormat="1" applyFont="1" applyFill="1" applyBorder="1" applyAlignment="1">
      <alignment horizontal="right" vertical="center" indent="1"/>
    </xf>
    <xf numFmtId="166" fontId="10" fillId="0" borderId="0" xfId="3" applyNumberFormat="1" applyFont="1" applyAlignment="1" applyProtection="1">
      <alignment horizontal="right" vertical="center" indent="1"/>
      <protection hidden="1"/>
    </xf>
    <xf numFmtId="166" fontId="186" fillId="0" borderId="0" xfId="3" applyNumberFormat="1" applyFont="1" applyAlignment="1" applyProtection="1">
      <alignment horizontal="left" vertical="center"/>
      <protection hidden="1"/>
    </xf>
    <xf numFmtId="166" fontId="114" fillId="0" borderId="0" xfId="17" applyNumberFormat="1" applyBorder="1"/>
    <xf numFmtId="166" fontId="114" fillId="0" borderId="0" xfId="17" quotePrefix="1" applyNumberFormat="1" applyBorder="1"/>
    <xf numFmtId="166" fontId="52" fillId="0" borderId="119" xfId="3" applyNumberFormat="1" applyFont="1" applyBorder="1" applyAlignment="1">
      <alignment vertical="center" wrapText="1"/>
    </xf>
    <xf numFmtId="166" fontId="36" fillId="0" borderId="119" xfId="3" applyNumberFormat="1" applyFont="1" applyBorder="1" applyAlignment="1">
      <alignment vertical="center" wrapText="1"/>
    </xf>
    <xf numFmtId="166" fontId="10" fillId="52" borderId="115" xfId="3" applyNumberFormat="1" applyFont="1" applyFill="1" applyBorder="1" applyAlignment="1" applyProtection="1">
      <alignment horizontal="right" vertical="center" indent="1" shrinkToFit="1"/>
      <protection hidden="1"/>
    </xf>
    <xf numFmtId="2" fontId="10" fillId="52" borderId="115" xfId="3" applyNumberFormat="1" applyFont="1" applyFill="1" applyBorder="1" applyAlignment="1" applyProtection="1">
      <alignment horizontal="right" vertical="center" indent="1" shrinkToFit="1"/>
      <protection hidden="1"/>
    </xf>
    <xf numFmtId="166" fontId="158" fillId="52" borderId="115" xfId="3" applyNumberFormat="1" applyFont="1" applyFill="1" applyBorder="1" applyAlignment="1" applyProtection="1">
      <alignment horizontal="right" vertical="center" indent="1" shrinkToFit="1"/>
      <protection hidden="1"/>
    </xf>
    <xf numFmtId="2" fontId="158" fillId="52" borderId="115" xfId="3" applyNumberFormat="1" applyFont="1" applyFill="1" applyBorder="1" applyAlignment="1" applyProtection="1">
      <alignment horizontal="right" vertical="center" indent="1" shrinkToFit="1"/>
      <protection hidden="1"/>
    </xf>
    <xf numFmtId="166" fontId="34" fillId="0" borderId="117" xfId="3" applyNumberFormat="1" applyFont="1" applyBorder="1" applyAlignment="1" applyProtection="1">
      <alignment horizontal="right" vertical="center" indent="1" shrinkToFit="1"/>
      <protection hidden="1"/>
    </xf>
    <xf numFmtId="2" fontId="34" fillId="0" borderId="117" xfId="3" applyNumberFormat="1" applyFont="1" applyBorder="1" applyAlignment="1" applyProtection="1">
      <alignment horizontal="right" vertical="center" indent="1" shrinkToFit="1"/>
      <protection hidden="1"/>
    </xf>
    <xf numFmtId="8" fontId="158" fillId="0" borderId="115" xfId="2" applyNumberFormat="1" applyFont="1" applyFill="1" applyBorder="1" applyAlignment="1" applyProtection="1">
      <alignment horizontal="right" vertical="center" indent="1" shrinkToFit="1"/>
      <protection hidden="1"/>
    </xf>
    <xf numFmtId="166" fontId="158" fillId="0" borderId="115" xfId="2" applyNumberFormat="1" applyFont="1" applyFill="1" applyBorder="1" applyAlignment="1" applyProtection="1">
      <alignment horizontal="right" vertical="center" indent="1" shrinkToFit="1"/>
      <protection hidden="1"/>
    </xf>
    <xf numFmtId="0" fontId="158" fillId="0" borderId="115" xfId="3" applyFont="1" applyBorder="1" applyAlignment="1" applyProtection="1">
      <alignment horizontal="left" vertical="center" indent="1" shrinkToFit="1"/>
      <protection hidden="1"/>
    </xf>
    <xf numFmtId="8" fontId="47" fillId="4" borderId="0" xfId="3" applyNumberFormat="1" applyFont="1" applyFill="1" applyAlignment="1" applyProtection="1">
      <alignment horizontal="right" vertical="center" shrinkToFit="1"/>
      <protection hidden="1"/>
    </xf>
    <xf numFmtId="8" fontId="35" fillId="4" borderId="0" xfId="3" applyNumberFormat="1" applyFont="1" applyFill="1" applyAlignment="1" applyProtection="1">
      <alignment horizontal="right" vertical="center" shrinkToFit="1"/>
      <protection hidden="1"/>
    </xf>
    <xf numFmtId="9" fontId="34" fillId="0" borderId="0" xfId="2" applyFont="1" applyFill="1" applyBorder="1" applyAlignment="1" applyProtection="1">
      <alignment horizontal="left" vertical="center" indent="1"/>
    </xf>
    <xf numFmtId="10" fontId="158" fillId="0" borderId="115" xfId="2" applyNumberFormat="1" applyFont="1" applyFill="1" applyBorder="1" applyAlignment="1" applyProtection="1">
      <alignment horizontal="right" vertical="center" indent="1"/>
      <protection locked="0"/>
    </xf>
    <xf numFmtId="9" fontId="34" fillId="0" borderId="120" xfId="2" applyFont="1" applyFill="1" applyBorder="1" applyAlignment="1" applyProtection="1">
      <alignment horizontal="left" vertical="center" indent="1"/>
    </xf>
    <xf numFmtId="169" fontId="10" fillId="4" borderId="128" xfId="3" applyNumberFormat="1" applyFont="1" applyFill="1" applyBorder="1" applyAlignment="1" applyProtection="1">
      <alignment horizontal="right" vertical="center" indent="1"/>
      <protection hidden="1"/>
    </xf>
    <xf numFmtId="0" fontId="176" fillId="0" borderId="122" xfId="3" applyFont="1" applyBorder="1" applyAlignment="1">
      <alignment horizontal="right" vertical="top"/>
    </xf>
    <xf numFmtId="0" fontId="176" fillId="52" borderId="0" xfId="3" applyFont="1" applyFill="1" applyAlignment="1" applyProtection="1">
      <alignment horizontal="left" vertical="top" wrapText="1"/>
      <protection hidden="1"/>
    </xf>
    <xf numFmtId="10" fontId="10" fillId="52" borderId="115" xfId="16" applyNumberFormat="1" applyFont="1" applyFill="1" applyBorder="1" applyAlignment="1" applyProtection="1">
      <alignment horizontal="right" vertical="center" indent="1"/>
      <protection hidden="1"/>
    </xf>
    <xf numFmtId="0" fontId="186" fillId="0" borderId="0" xfId="3" applyFont="1" applyAlignment="1" applyProtection="1">
      <alignment horizontal="left" vertical="center"/>
      <protection hidden="1"/>
    </xf>
    <xf numFmtId="0" fontId="63" fillId="24" borderId="14" xfId="6" applyFont="1" applyFill="1" applyBorder="1"/>
    <xf numFmtId="0" fontId="10" fillId="52" borderId="115" xfId="3" applyFont="1" applyFill="1" applyBorder="1" applyAlignment="1" applyProtection="1">
      <alignment horizontal="left" vertical="center"/>
      <protection locked="0" hidden="1"/>
    </xf>
    <xf numFmtId="9" fontId="0" fillId="0" borderId="0" xfId="16" applyFont="1"/>
    <xf numFmtId="44" fontId="0" fillId="0" borderId="0" xfId="0" applyNumberFormat="1"/>
    <xf numFmtId="0" fontId="158" fillId="52" borderId="115" xfId="3" quotePrefix="1" applyFont="1" applyFill="1" applyBorder="1" applyAlignment="1" applyProtection="1">
      <alignment horizontal="left" vertical="center" indent="1"/>
      <protection hidden="1"/>
    </xf>
    <xf numFmtId="0" fontId="10" fillId="3" borderId="59" xfId="3" quotePrefix="1" applyFont="1" applyFill="1" applyBorder="1"/>
    <xf numFmtId="0" fontId="5" fillId="4" borderId="128" xfId="3" applyFill="1" applyBorder="1"/>
    <xf numFmtId="0" fontId="158" fillId="52" borderId="115" xfId="3" quotePrefix="1" applyFont="1" applyFill="1" applyBorder="1" applyAlignment="1" applyProtection="1">
      <alignment horizontal="left" vertical="center"/>
      <protection hidden="1"/>
    </xf>
    <xf numFmtId="7" fontId="158" fillId="0" borderId="115" xfId="0" applyNumberFormat="1" applyFont="1" applyBorder="1" applyAlignment="1" applyProtection="1">
      <alignment horizontal="center" vertical="center"/>
      <protection locked="0"/>
    </xf>
    <xf numFmtId="0" fontId="158" fillId="0" borderId="115" xfId="0" applyFont="1" applyBorder="1" applyAlignment="1" applyProtection="1">
      <alignment horizontal="center" vertical="center"/>
      <protection locked="0"/>
    </xf>
    <xf numFmtId="7" fontId="158" fillId="0" borderId="115" xfId="18" applyNumberFormat="1" applyFont="1" applyFill="1" applyBorder="1" applyAlignment="1" applyProtection="1">
      <alignment vertical="center"/>
      <protection locked="0"/>
    </xf>
    <xf numFmtId="44" fontId="158" fillId="0" borderId="115" xfId="18" applyFont="1" applyFill="1" applyBorder="1" applyAlignment="1" applyProtection="1">
      <alignment vertical="center"/>
      <protection locked="0"/>
    </xf>
    <xf numFmtId="10" fontId="158" fillId="52" borderId="115" xfId="16" applyNumberFormat="1" applyFont="1" applyFill="1" applyBorder="1" applyAlignment="1" applyProtection="1">
      <alignment vertical="center"/>
      <protection hidden="1"/>
    </xf>
    <xf numFmtId="9" fontId="158" fillId="52" borderId="115" xfId="0" applyNumberFormat="1" applyFont="1" applyFill="1" applyBorder="1" applyAlignment="1" applyProtection="1">
      <alignment vertical="center"/>
      <protection hidden="1"/>
    </xf>
    <xf numFmtId="44" fontId="158" fillId="52" borderId="115" xfId="18" applyFont="1" applyFill="1" applyBorder="1" applyAlignment="1" applyProtection="1">
      <alignment vertical="center"/>
      <protection hidden="1"/>
    </xf>
    <xf numFmtId="0" fontId="0" fillId="0" borderId="0" xfId="0" applyAlignment="1">
      <alignment vertical="center"/>
    </xf>
    <xf numFmtId="0" fontId="100" fillId="0" borderId="0" xfId="0" applyFont="1" applyAlignment="1">
      <alignment vertical="center"/>
    </xf>
    <xf numFmtId="9" fontId="158" fillId="0" borderId="115" xfId="0" applyNumberFormat="1" applyFont="1" applyBorder="1" applyAlignment="1" applyProtection="1">
      <alignment vertical="center"/>
      <protection locked="0"/>
    </xf>
    <xf numFmtId="9" fontId="158" fillId="0" borderId="115" xfId="0" applyNumberFormat="1" applyFont="1" applyBorder="1" applyAlignment="1">
      <alignment vertical="center"/>
    </xf>
    <xf numFmtId="0" fontId="170" fillId="0" borderId="128" xfId="0" applyFont="1" applyBorder="1" applyAlignment="1">
      <alignment vertical="center"/>
    </xf>
    <xf numFmtId="0" fontId="158" fillId="0" borderId="0" xfId="0" applyFont="1" applyAlignment="1">
      <alignment vertical="center"/>
    </xf>
    <xf numFmtId="44" fontId="158" fillId="52" borderId="115" xfId="0" applyNumberFormat="1" applyFont="1" applyFill="1" applyBorder="1" applyAlignment="1" applyProtection="1">
      <alignment vertical="center"/>
      <protection hidden="1"/>
    </xf>
    <xf numFmtId="0" fontId="0" fillId="0" borderId="0" xfId="0" applyAlignment="1">
      <alignment horizontal="left" vertical="center" indent="1"/>
    </xf>
    <xf numFmtId="0" fontId="170" fillId="0" borderId="0" xfId="0" applyFont="1" applyAlignment="1">
      <alignment horizontal="left" vertical="center" indent="1"/>
    </xf>
    <xf numFmtId="10" fontId="10" fillId="52" borderId="0" xfId="16" applyNumberFormat="1" applyFont="1" applyFill="1" applyBorder="1" applyAlignment="1" applyProtection="1">
      <alignment horizontal="right" vertical="center" indent="1"/>
      <protection hidden="1"/>
    </xf>
    <xf numFmtId="0" fontId="5" fillId="0" borderId="147" xfId="3" applyBorder="1" applyAlignment="1">
      <alignment horizontal="center" vertical="center"/>
    </xf>
    <xf numFmtId="0" fontId="5" fillId="0" borderId="148" xfId="3" applyBorder="1" applyAlignment="1">
      <alignment horizontal="center" vertical="center"/>
    </xf>
    <xf numFmtId="0" fontId="5" fillId="0" borderId="149" xfId="3" applyBorder="1" applyAlignment="1">
      <alignment horizontal="center" vertical="center"/>
    </xf>
    <xf numFmtId="0" fontId="5" fillId="0" borderId="147" xfId="3" applyBorder="1"/>
    <xf numFmtId="0" fontId="5" fillId="0" borderId="148" xfId="3" applyBorder="1"/>
    <xf numFmtId="0" fontId="5" fillId="0" borderId="149" xfId="3" applyBorder="1"/>
    <xf numFmtId="0" fontId="158" fillId="52" borderId="147" xfId="3" quotePrefix="1" applyFont="1" applyFill="1" applyBorder="1" applyAlignment="1" applyProtection="1">
      <alignment horizontal="left" vertical="center" indent="1"/>
      <protection hidden="1"/>
    </xf>
    <xf numFmtId="0" fontId="158" fillId="52" borderId="148" xfId="3" quotePrefix="1" applyFont="1" applyFill="1" applyBorder="1" applyAlignment="1" applyProtection="1">
      <alignment horizontal="left" vertical="center" indent="1"/>
      <protection hidden="1"/>
    </xf>
    <xf numFmtId="0" fontId="158" fillId="52" borderId="149" xfId="3" quotePrefix="1" applyFont="1" applyFill="1" applyBorder="1" applyAlignment="1" applyProtection="1">
      <alignment horizontal="left" vertical="center" indent="1"/>
      <protection hidden="1"/>
    </xf>
    <xf numFmtId="166" fontId="161" fillId="0" borderId="124" xfId="3" applyNumberFormat="1" applyFont="1" applyBorder="1" applyAlignment="1" applyProtection="1">
      <alignment horizontal="right" vertical="center" indent="1"/>
      <protection hidden="1"/>
    </xf>
    <xf numFmtId="14" fontId="161" fillId="0" borderId="115" xfId="3" applyNumberFormat="1" applyFont="1" applyBorder="1" applyAlignment="1" applyProtection="1">
      <alignment horizontal="left" vertical="center" indent="1"/>
      <protection locked="0"/>
    </xf>
    <xf numFmtId="166" fontId="161" fillId="0" borderId="0" xfId="3" applyNumberFormat="1" applyFont="1" applyAlignment="1" applyProtection="1">
      <alignment horizontal="right" vertical="center" indent="1"/>
      <protection hidden="1"/>
    </xf>
    <xf numFmtId="166" fontId="161" fillId="0" borderId="125" xfId="3" applyNumberFormat="1" applyFont="1" applyBorder="1" applyAlignment="1" applyProtection="1">
      <alignment horizontal="right" vertical="center" indent="3"/>
      <protection hidden="1"/>
    </xf>
    <xf numFmtId="166" fontId="161" fillId="0" borderId="0" xfId="3" applyNumberFormat="1" applyFont="1" applyAlignment="1" applyProtection="1">
      <alignment horizontal="left" vertical="center" indent="1"/>
      <protection hidden="1"/>
    </xf>
    <xf numFmtId="166" fontId="158" fillId="0" borderId="0" xfId="3" applyNumberFormat="1" applyFont="1" applyAlignment="1">
      <alignment horizontal="right" vertical="center" indent="1"/>
    </xf>
    <xf numFmtId="166" fontId="161" fillId="0" borderId="0" xfId="3" applyNumberFormat="1" applyFont="1" applyAlignment="1">
      <alignment horizontal="left" vertical="center" indent="1"/>
    </xf>
    <xf numFmtId="14" fontId="161" fillId="0" borderId="0" xfId="3" applyNumberFormat="1" applyFont="1" applyAlignment="1" applyProtection="1">
      <alignment horizontal="left" vertical="center" indent="1"/>
      <protection hidden="1"/>
    </xf>
    <xf numFmtId="166" fontId="158" fillId="0" borderId="0" xfId="3" applyNumberFormat="1" applyFont="1" applyAlignment="1" applyProtection="1">
      <alignment horizontal="right" vertical="center" indent="1"/>
      <protection hidden="1"/>
    </xf>
    <xf numFmtId="0" fontId="162" fillId="0" borderId="0" xfId="3" applyFont="1" applyProtection="1">
      <protection hidden="1"/>
    </xf>
    <xf numFmtId="0" fontId="63" fillId="56" borderId="14" xfId="6" applyFont="1" applyFill="1" applyBorder="1"/>
    <xf numFmtId="10" fontId="10" fillId="52" borderId="115" xfId="2" applyNumberFormat="1" applyFont="1" applyFill="1" applyBorder="1" applyAlignment="1" applyProtection="1">
      <alignment horizontal="right" vertical="center" indent="1"/>
    </xf>
    <xf numFmtId="0" fontId="158" fillId="52" borderId="115" xfId="3" applyFont="1" applyFill="1" applyBorder="1" applyAlignment="1">
      <alignment horizontal="center" vertical="center"/>
    </xf>
    <xf numFmtId="14" fontId="161" fillId="52" borderId="124" xfId="3" applyNumberFormat="1" applyFont="1" applyFill="1" applyBorder="1" applyAlignment="1" applyProtection="1">
      <alignment horizontal="left" vertical="center" indent="1"/>
      <protection hidden="1"/>
    </xf>
    <xf numFmtId="14" fontId="161" fillId="52" borderId="128" xfId="3" applyNumberFormat="1" applyFont="1" applyFill="1" applyBorder="1" applyAlignment="1" applyProtection="1">
      <alignment horizontal="left" vertical="center" indent="1"/>
      <protection hidden="1"/>
    </xf>
    <xf numFmtId="8" fontId="16" fillId="0" borderId="0" xfId="3" applyNumberFormat="1" applyFont="1" applyAlignment="1" applyProtection="1">
      <alignment horizontal="right" vertical="center"/>
      <protection hidden="1"/>
    </xf>
    <xf numFmtId="166" fontId="158" fillId="0" borderId="0" xfId="3" applyNumberFormat="1" applyFont="1" applyAlignment="1">
      <alignment horizontal="left" vertical="center" indent="1"/>
    </xf>
    <xf numFmtId="0" fontId="161" fillId="0" borderId="115" xfId="3" applyFont="1" applyBorder="1" applyAlignment="1" applyProtection="1">
      <alignment horizontal="center" vertical="center"/>
      <protection locked="0"/>
    </xf>
    <xf numFmtId="166" fontId="161" fillId="0" borderId="115" xfId="3" applyNumberFormat="1" applyFont="1" applyBorder="1" applyAlignment="1" applyProtection="1">
      <alignment horizontal="center" vertical="center"/>
      <protection locked="0"/>
    </xf>
    <xf numFmtId="0" fontId="49" fillId="0" borderId="0" xfId="3" applyFont="1" applyAlignment="1" applyProtection="1">
      <alignment vertical="center"/>
      <protection locked="0"/>
    </xf>
    <xf numFmtId="14" fontId="5" fillId="0" borderId="0" xfId="3" applyNumberFormat="1"/>
    <xf numFmtId="0" fontId="33" fillId="0" borderId="33" xfId="3" applyFont="1" applyBorder="1" applyAlignment="1">
      <alignment horizontal="left" indent="1"/>
    </xf>
    <xf numFmtId="0" fontId="33" fillId="0" borderId="34" xfId="3" applyFont="1" applyBorder="1" applyAlignment="1">
      <alignment horizontal="left" indent="1"/>
    </xf>
    <xf numFmtId="178" fontId="158" fillId="0" borderId="0" xfId="3" applyNumberFormat="1" applyFont="1" applyAlignment="1" applyProtection="1">
      <alignment horizontal="center" vertical="center"/>
      <protection hidden="1"/>
    </xf>
    <xf numFmtId="166" fontId="5" fillId="0" borderId="0" xfId="3" applyNumberFormat="1" applyProtection="1">
      <protection locked="0"/>
    </xf>
    <xf numFmtId="0" fontId="158" fillId="52" borderId="115" xfId="3" applyFont="1" applyFill="1" applyBorder="1" applyAlignment="1">
      <alignment horizontal="left" vertical="center" indent="1"/>
    </xf>
    <xf numFmtId="166" fontId="158" fillId="52" borderId="115" xfId="3" applyNumberFormat="1" applyFont="1" applyFill="1" applyBorder="1" applyAlignment="1">
      <alignment horizontal="right" vertical="center" indent="1"/>
    </xf>
    <xf numFmtId="166" fontId="10" fillId="52" borderId="30" xfId="3" applyNumberFormat="1" applyFont="1" applyFill="1" applyBorder="1" applyAlignment="1">
      <alignment horizontal="right" vertical="center" indent="1"/>
    </xf>
    <xf numFmtId="0" fontId="10" fillId="52" borderId="30" xfId="3" applyFont="1" applyFill="1" applyBorder="1" applyAlignment="1">
      <alignment horizontal="left" vertical="center" indent="1"/>
    </xf>
    <xf numFmtId="166" fontId="10" fillId="52" borderId="30" xfId="3" applyNumberFormat="1" applyFont="1" applyFill="1" applyBorder="1" applyAlignment="1">
      <alignment horizontal="left" vertical="center" indent="1"/>
    </xf>
    <xf numFmtId="0" fontId="10" fillId="0" borderId="7" xfId="3" applyFont="1" applyBorder="1" applyAlignment="1" applyProtection="1">
      <alignment horizontal="left" vertical="center" indent="1"/>
      <protection locked="0"/>
    </xf>
    <xf numFmtId="166" fontId="10" fillId="0" borderId="30" xfId="3" applyNumberFormat="1" applyFont="1" applyBorder="1" applyAlignment="1" applyProtection="1">
      <alignment horizontal="right" vertical="center" indent="1"/>
      <protection locked="0"/>
    </xf>
    <xf numFmtId="166" fontId="10" fillId="0" borderId="7" xfId="3" applyNumberFormat="1" applyFont="1" applyBorder="1" applyAlignment="1" applyProtection="1">
      <alignment horizontal="left" vertical="center" indent="1"/>
      <protection locked="0"/>
    </xf>
    <xf numFmtId="0" fontId="104" fillId="22" borderId="21" xfId="10" applyFill="1" applyBorder="1" applyAlignment="1">
      <alignment horizontal="left"/>
    </xf>
    <xf numFmtId="0" fontId="5" fillId="0" borderId="106" xfId="3" applyBorder="1"/>
    <xf numFmtId="0" fontId="189" fillId="0" borderId="0" xfId="0" applyFont="1"/>
    <xf numFmtId="0" fontId="190" fillId="0" borderId="0" xfId="0" applyFont="1"/>
    <xf numFmtId="2" fontId="191" fillId="57" borderId="150" xfId="0" applyNumberFormat="1" applyFont="1" applyFill="1" applyBorder="1" applyAlignment="1">
      <alignment horizontal="center"/>
    </xf>
    <xf numFmtId="2" fontId="191" fillId="57" borderId="151" xfId="0" applyNumberFormat="1" applyFont="1" applyFill="1" applyBorder="1" applyAlignment="1">
      <alignment horizontal="center"/>
    </xf>
    <xf numFmtId="2" fontId="191" fillId="58" borderId="151" xfId="0" applyNumberFormat="1" applyFont="1" applyFill="1" applyBorder="1" applyAlignment="1">
      <alignment horizontal="center"/>
    </xf>
    <xf numFmtId="0" fontId="192" fillId="59" borderId="152" xfId="0" applyFont="1" applyFill="1" applyBorder="1" applyAlignment="1">
      <alignment horizontal="left"/>
    </xf>
    <xf numFmtId="0" fontId="192" fillId="59" borderId="153" xfId="0" applyFont="1" applyFill="1" applyBorder="1" applyAlignment="1">
      <alignment horizontal="left"/>
    </xf>
    <xf numFmtId="0" fontId="192" fillId="60" borderId="153" xfId="0" applyFont="1" applyFill="1" applyBorder="1" applyAlignment="1">
      <alignment horizontal="left"/>
    </xf>
    <xf numFmtId="0" fontId="192" fillId="60" borderId="152" xfId="0" applyFont="1" applyFill="1" applyBorder="1" applyAlignment="1">
      <alignment horizontal="left"/>
    </xf>
    <xf numFmtId="0" fontId="193" fillId="61" borderId="152" xfId="0" applyFont="1" applyFill="1" applyBorder="1"/>
    <xf numFmtId="0" fontId="193" fillId="61" borderId="153" xfId="0" applyFont="1" applyFill="1" applyBorder="1"/>
    <xf numFmtId="0" fontId="193" fillId="0" borderId="152" xfId="0" applyFont="1" applyBorder="1"/>
    <xf numFmtId="1" fontId="193" fillId="0" borderId="153" xfId="0" applyNumberFormat="1" applyFont="1" applyBorder="1"/>
    <xf numFmtId="0" fontId="193" fillId="62" borderId="153" xfId="0" applyFont="1" applyFill="1" applyBorder="1"/>
    <xf numFmtId="1" fontId="193" fillId="62" borderId="153" xfId="0" applyNumberFormat="1" applyFont="1" applyFill="1" applyBorder="1"/>
    <xf numFmtId="0" fontId="0" fillId="0" borderId="106" xfId="0" applyBorder="1"/>
    <xf numFmtId="0" fontId="5" fillId="35" borderId="106" xfId="3" applyFill="1" applyBorder="1"/>
    <xf numFmtId="169" fontId="192" fillId="59" borderId="150" xfId="0" applyNumberFormat="1" applyFont="1" applyFill="1" applyBorder="1" applyAlignment="1">
      <alignment horizontal="left"/>
    </xf>
    <xf numFmtId="169" fontId="192" fillId="59" borderId="152" xfId="0" applyNumberFormat="1" applyFont="1" applyFill="1" applyBorder="1" applyAlignment="1">
      <alignment horizontal="left"/>
    </xf>
    <xf numFmtId="0" fontId="188" fillId="0" borderId="0" xfId="3" applyFont="1" applyAlignment="1" applyProtection="1">
      <alignment horizontal="center" vertical="center"/>
      <protection hidden="1"/>
    </xf>
    <xf numFmtId="0" fontId="187" fillId="50" borderId="132" xfId="0" applyFont="1" applyFill="1" applyBorder="1" applyAlignment="1">
      <alignment horizontal="center" vertical="center"/>
    </xf>
    <xf numFmtId="0" fontId="187" fillId="50" borderId="133" xfId="0" applyFont="1" applyFill="1" applyBorder="1" applyAlignment="1">
      <alignment horizontal="center" vertical="center"/>
    </xf>
    <xf numFmtId="0" fontId="187" fillId="50" borderId="146" xfId="0" applyFont="1" applyFill="1" applyBorder="1" applyAlignment="1">
      <alignment horizontal="center" vertical="center"/>
    </xf>
    <xf numFmtId="0" fontId="158" fillId="52" borderId="115" xfId="3" applyFont="1" applyFill="1" applyBorder="1" applyAlignment="1" applyProtection="1">
      <alignment horizontal="left" vertical="center" indent="1"/>
      <protection hidden="1"/>
    </xf>
    <xf numFmtId="0" fontId="158" fillId="0" borderId="0" xfId="3" applyFont="1" applyAlignment="1">
      <alignment vertical="center"/>
    </xf>
    <xf numFmtId="166" fontId="158" fillId="52" borderId="115" xfId="3" applyNumberFormat="1" applyFont="1" applyFill="1" applyBorder="1" applyAlignment="1" applyProtection="1">
      <alignment horizontal="left" vertical="center" indent="1"/>
      <protection hidden="1"/>
    </xf>
    <xf numFmtId="0" fontId="165" fillId="5" borderId="0" xfId="3" applyFont="1" applyFill="1" applyAlignment="1">
      <alignment horizontal="left" vertical="center" wrapText="1"/>
    </xf>
    <xf numFmtId="0" fontId="22" fillId="52" borderId="0" xfId="3" applyFont="1" applyFill="1" applyAlignment="1">
      <alignment horizontal="left" vertical="center" wrapText="1"/>
    </xf>
    <xf numFmtId="0" fontId="10" fillId="52" borderId="124" xfId="3" applyFont="1" applyFill="1" applyBorder="1" applyAlignment="1" applyProtection="1">
      <alignment horizontal="left" vertical="center" indent="1"/>
      <protection hidden="1"/>
    </xf>
    <xf numFmtId="0" fontId="10" fillId="52" borderId="128" xfId="3" applyFont="1" applyFill="1" applyBorder="1" applyAlignment="1" applyProtection="1">
      <alignment horizontal="left" vertical="center" indent="1"/>
      <protection hidden="1"/>
    </xf>
    <xf numFmtId="0" fontId="10" fillId="52" borderId="125" xfId="3" applyFont="1" applyFill="1" applyBorder="1" applyAlignment="1" applyProtection="1">
      <alignment horizontal="left" vertical="center" indent="1"/>
      <protection hidden="1"/>
    </xf>
    <xf numFmtId="0" fontId="7" fillId="52" borderId="122" xfId="3" applyFont="1" applyFill="1" applyBorder="1" applyAlignment="1">
      <alignment horizontal="left" vertical="center" wrapText="1"/>
    </xf>
    <xf numFmtId="0" fontId="10" fillId="52" borderId="0" xfId="3" applyFont="1" applyFill="1" applyAlignment="1">
      <alignment horizontal="left" vertical="center" wrapText="1"/>
    </xf>
    <xf numFmtId="0" fontId="10" fillId="0" borderId="115" xfId="3" applyFont="1" applyBorder="1" applyAlignment="1" applyProtection="1">
      <alignment horizontal="left" vertical="center"/>
      <protection locked="0"/>
    </xf>
    <xf numFmtId="8" fontId="8" fillId="4" borderId="0" xfId="3" quotePrefix="1" applyNumberFormat="1" applyFont="1" applyFill="1" applyAlignment="1" applyProtection="1">
      <alignment horizontal="right" vertical="center"/>
      <protection hidden="1"/>
    </xf>
    <xf numFmtId="8" fontId="8" fillId="4" borderId="0" xfId="3" applyNumberFormat="1" applyFont="1" applyFill="1" applyAlignment="1" applyProtection="1">
      <alignment horizontal="right" vertical="center"/>
      <protection hidden="1"/>
    </xf>
    <xf numFmtId="0" fontId="10" fillId="0" borderId="0" xfId="3" applyFont="1" applyAlignment="1">
      <alignment vertical="center"/>
    </xf>
    <xf numFmtId="0" fontId="10" fillId="52" borderId="115" xfId="3" applyFont="1" applyFill="1" applyBorder="1" applyAlignment="1" applyProtection="1">
      <alignment horizontal="left" vertical="center" indent="1"/>
      <protection hidden="1"/>
    </xf>
    <xf numFmtId="166" fontId="10" fillId="0" borderId="115" xfId="3" applyNumberFormat="1" applyFont="1" applyBorder="1" applyAlignment="1" applyProtection="1">
      <alignment horizontal="left" vertical="center" indent="1"/>
      <protection locked="0"/>
    </xf>
    <xf numFmtId="166" fontId="10" fillId="52" borderId="115" xfId="3" applyNumberFormat="1" applyFont="1" applyFill="1" applyBorder="1" applyAlignment="1">
      <alignment horizontal="left" vertical="center" indent="1"/>
    </xf>
    <xf numFmtId="166" fontId="10" fillId="0" borderId="124" xfId="3" applyNumberFormat="1" applyFont="1" applyBorder="1" applyAlignment="1" applyProtection="1">
      <alignment horizontal="left" vertical="center" indent="1"/>
      <protection locked="0"/>
    </xf>
    <xf numFmtId="166" fontId="10" fillId="0" borderId="125" xfId="3" applyNumberFormat="1" applyFont="1" applyBorder="1" applyAlignment="1" applyProtection="1">
      <alignment horizontal="left" vertical="center" indent="1"/>
      <protection locked="0"/>
    </xf>
    <xf numFmtId="166" fontId="10" fillId="0" borderId="115" xfId="3" applyNumberFormat="1" applyFont="1" applyBorder="1" applyAlignment="1" applyProtection="1">
      <alignment horizontal="right" vertical="center" indent="1"/>
      <protection locked="0"/>
    </xf>
    <xf numFmtId="166" fontId="10" fillId="52" borderId="124" xfId="3" applyNumberFormat="1" applyFont="1" applyFill="1" applyBorder="1" applyAlignment="1">
      <alignment horizontal="left" vertical="center" indent="1"/>
    </xf>
    <xf numFmtId="166" fontId="10" fillId="52" borderId="125" xfId="3" applyNumberFormat="1" applyFont="1" applyFill="1" applyBorder="1" applyAlignment="1">
      <alignment horizontal="left" vertical="center" indent="1"/>
    </xf>
    <xf numFmtId="0" fontId="22" fillId="3" borderId="0" xfId="3" applyFont="1" applyFill="1" applyAlignment="1">
      <alignment horizontal="left" vertical="center" wrapText="1"/>
    </xf>
    <xf numFmtId="0" fontId="158" fillId="0" borderId="115" xfId="3" applyFont="1" applyBorder="1" applyAlignment="1" applyProtection="1">
      <alignment horizontal="left" vertical="center"/>
      <protection locked="0"/>
    </xf>
    <xf numFmtId="166" fontId="158" fillId="0" borderId="115" xfId="3" applyNumberFormat="1" applyFont="1" applyBorder="1" applyAlignment="1" applyProtection="1">
      <alignment horizontal="left" vertical="center" indent="1"/>
      <protection locked="0"/>
    </xf>
    <xf numFmtId="0" fontId="7" fillId="52" borderId="0" xfId="3" applyFont="1" applyFill="1" applyAlignment="1">
      <alignment horizontal="left" vertical="center" wrapText="1"/>
    </xf>
    <xf numFmtId="166" fontId="10" fillId="52" borderId="115" xfId="3" applyNumberFormat="1" applyFont="1" applyFill="1" applyBorder="1" applyAlignment="1" applyProtection="1">
      <alignment horizontal="right" vertical="center" indent="1"/>
      <protection locked="0"/>
    </xf>
    <xf numFmtId="0" fontId="158" fillId="52" borderId="0" xfId="3" applyFont="1" applyFill="1" applyAlignment="1">
      <alignment horizontal="left" vertical="center" wrapText="1"/>
    </xf>
    <xf numFmtId="8" fontId="7" fillId="0" borderId="0" xfId="3" applyNumberFormat="1" applyFont="1" applyAlignment="1" applyProtection="1">
      <alignment horizontal="left" vertical="center"/>
      <protection hidden="1"/>
    </xf>
    <xf numFmtId="0" fontId="182" fillId="55" borderId="0" xfId="3" applyFont="1" applyFill="1" applyAlignment="1" applyProtection="1">
      <alignment horizontal="center" vertical="center"/>
      <protection hidden="1"/>
    </xf>
    <xf numFmtId="0" fontId="49" fillId="0" borderId="0" xfId="3" applyFont="1" applyAlignment="1" applyProtection="1">
      <alignment horizontal="left" vertical="center" wrapText="1"/>
      <protection hidden="1"/>
    </xf>
    <xf numFmtId="0" fontId="55" fillId="0" borderId="0" xfId="3" applyFont="1" applyAlignment="1" applyProtection="1">
      <alignment horizontal="center" vertical="center"/>
      <protection locked="0"/>
    </xf>
    <xf numFmtId="10" fontId="7" fillId="0" borderId="0" xfId="2" applyNumberFormat="1" applyFont="1" applyBorder="1" applyAlignment="1" applyProtection="1">
      <alignment horizontal="left" vertical="center"/>
      <protection hidden="1"/>
    </xf>
    <xf numFmtId="0" fontId="163" fillId="4" borderId="0" xfId="3" applyFont="1" applyFill="1" applyAlignment="1">
      <alignment horizontal="left" vertical="center" wrapText="1"/>
    </xf>
    <xf numFmtId="0" fontId="81" fillId="4" borderId="122" xfId="3" applyFont="1" applyFill="1" applyBorder="1" applyAlignment="1">
      <alignment horizontal="left" vertical="top" wrapText="1"/>
    </xf>
    <xf numFmtId="0" fontId="162" fillId="4" borderId="0" xfId="3" applyFont="1" applyFill="1" applyAlignment="1">
      <alignment horizontal="left" vertical="center" wrapText="1"/>
    </xf>
    <xf numFmtId="0" fontId="161" fillId="0" borderId="0" xfId="3" applyFont="1" applyAlignment="1">
      <alignment horizontal="center" vertical="center"/>
    </xf>
    <xf numFmtId="0" fontId="159" fillId="4" borderId="116" xfId="3" applyFont="1" applyFill="1" applyBorder="1" applyAlignment="1" applyProtection="1">
      <alignment horizontal="left" vertical="top" indent="1"/>
      <protection locked="0"/>
    </xf>
    <xf numFmtId="0" fontId="159" fillId="4" borderId="117" xfId="3" applyFont="1" applyFill="1" applyBorder="1" applyAlignment="1" applyProtection="1">
      <alignment horizontal="left" vertical="top" indent="1"/>
      <protection locked="0"/>
    </xf>
    <xf numFmtId="0" fontId="159" fillId="4" borderId="118" xfId="3" applyFont="1" applyFill="1" applyBorder="1" applyAlignment="1" applyProtection="1">
      <alignment horizontal="left" vertical="top" indent="1"/>
      <protection locked="0"/>
    </xf>
    <xf numFmtId="0" fontId="159" fillId="4" borderId="119" xfId="3" applyFont="1" applyFill="1" applyBorder="1" applyAlignment="1" applyProtection="1">
      <alignment horizontal="left" vertical="top" indent="1"/>
      <protection locked="0"/>
    </xf>
    <xf numFmtId="0" fontId="159" fillId="4" borderId="0" xfId="3" applyFont="1" applyFill="1" applyAlignment="1" applyProtection="1">
      <alignment horizontal="left" vertical="top" indent="1"/>
      <protection locked="0"/>
    </xf>
    <xf numFmtId="0" fontId="159" fillId="4" borderId="120" xfId="3" applyFont="1" applyFill="1" applyBorder="1" applyAlignment="1" applyProtection="1">
      <alignment horizontal="left" vertical="top" indent="1"/>
      <protection locked="0"/>
    </xf>
    <xf numFmtId="0" fontId="159" fillId="4" borderId="121" xfId="3" applyFont="1" applyFill="1" applyBorder="1" applyAlignment="1" applyProtection="1">
      <alignment horizontal="left" vertical="top" indent="1"/>
      <protection locked="0"/>
    </xf>
    <xf numFmtId="0" fontId="159" fillId="4" borderId="122" xfId="3" applyFont="1" applyFill="1" applyBorder="1" applyAlignment="1" applyProtection="1">
      <alignment horizontal="left" vertical="top" indent="1"/>
      <protection locked="0"/>
    </xf>
    <xf numFmtId="0" fontId="159" fillId="4" borderId="123" xfId="3" applyFont="1" applyFill="1" applyBorder="1" applyAlignment="1" applyProtection="1">
      <alignment horizontal="left" vertical="top" indent="1"/>
      <protection locked="0"/>
    </xf>
    <xf numFmtId="0" fontId="22" fillId="52" borderId="0" xfId="3" applyFont="1" applyFill="1" applyAlignment="1">
      <alignment horizontal="left" vertical="center" wrapText="1" indent="1"/>
    </xf>
    <xf numFmtId="0" fontId="172" fillId="0" borderId="0" xfId="3" applyFont="1" applyAlignment="1" applyProtection="1">
      <alignment horizontal="left" vertical="center" wrapText="1"/>
      <protection hidden="1"/>
    </xf>
    <xf numFmtId="0" fontId="89" fillId="0" borderId="0" xfId="3" applyFont="1" applyAlignment="1" applyProtection="1">
      <alignment horizontal="left" vertical="top" wrapText="1"/>
      <protection hidden="1"/>
    </xf>
    <xf numFmtId="0" fontId="172" fillId="0" borderId="0" xfId="3" applyFont="1" applyAlignment="1">
      <alignment horizontal="right" vertical="top"/>
    </xf>
    <xf numFmtId="0" fontId="3" fillId="0" borderId="0" xfId="3" applyFont="1" applyAlignment="1">
      <alignment horizontal="center"/>
    </xf>
    <xf numFmtId="0" fontId="172" fillId="0" borderId="0" xfId="3" applyFont="1" applyAlignment="1">
      <alignment horizontal="left" vertical="top" wrapText="1"/>
    </xf>
    <xf numFmtId="0" fontId="158" fillId="0" borderId="0" xfId="3" applyFont="1" applyAlignment="1">
      <alignment horizontal="left"/>
    </xf>
    <xf numFmtId="0" fontId="84" fillId="0" borderId="0" xfId="3" applyFont="1"/>
    <xf numFmtId="0" fontId="175" fillId="52" borderId="0" xfId="3" applyFont="1" applyFill="1" applyAlignment="1" applyProtection="1">
      <alignment horizontal="left" vertical="center" wrapText="1" indent="1"/>
      <protection hidden="1"/>
    </xf>
    <xf numFmtId="0" fontId="96" fillId="0" borderId="0" xfId="3" applyFont="1" applyAlignment="1">
      <alignment horizontal="left" vertical="top" wrapText="1"/>
    </xf>
    <xf numFmtId="0" fontId="176" fillId="52" borderId="0" xfId="3" applyFont="1" applyFill="1" applyAlignment="1" applyProtection="1">
      <alignment horizontal="left" vertical="center" wrapText="1"/>
      <protection hidden="1"/>
    </xf>
    <xf numFmtId="0" fontId="158" fillId="0" borderId="0" xfId="3" applyFont="1"/>
    <xf numFmtId="0" fontId="176" fillId="52" borderId="0" xfId="3" applyFont="1" applyFill="1" applyAlignment="1" applyProtection="1">
      <alignment horizontal="left" vertical="top" wrapText="1"/>
      <protection hidden="1"/>
    </xf>
    <xf numFmtId="168" fontId="158" fillId="4" borderId="124" xfId="5" applyNumberFormat="1" applyFont="1" applyFill="1" applyBorder="1" applyAlignment="1" applyProtection="1">
      <alignment horizontal="right" wrapText="1" indent="1"/>
      <protection locked="0"/>
    </xf>
    <xf numFmtId="168" fontId="158" fillId="4" borderId="125" xfId="5" applyNumberFormat="1" applyFont="1" applyFill="1" applyBorder="1" applyAlignment="1" applyProtection="1">
      <alignment horizontal="right" wrapText="1" indent="1"/>
      <protection locked="0"/>
    </xf>
    <xf numFmtId="0" fontId="177" fillId="52" borderId="0" xfId="3" applyFont="1" applyFill="1" applyAlignment="1" applyProtection="1">
      <alignment horizontal="left" vertical="center" wrapText="1"/>
      <protection hidden="1"/>
    </xf>
    <xf numFmtId="168" fontId="158" fillId="0" borderId="124" xfId="5" applyNumberFormat="1" applyFont="1" applyFill="1" applyBorder="1" applyAlignment="1" applyProtection="1">
      <alignment horizontal="right" wrapText="1" indent="1"/>
      <protection locked="0"/>
    </xf>
    <xf numFmtId="168" fontId="158" fillId="0" borderId="125" xfId="5" applyNumberFormat="1" applyFont="1" applyFill="1" applyBorder="1" applyAlignment="1" applyProtection="1">
      <alignment horizontal="right" wrapText="1" indent="1"/>
      <protection locked="0"/>
    </xf>
    <xf numFmtId="168" fontId="158" fillId="4" borderId="124" xfId="5" applyNumberFormat="1" applyFont="1" applyFill="1" applyBorder="1" applyAlignment="1" applyProtection="1">
      <alignment horizontal="right"/>
      <protection locked="0"/>
    </xf>
    <xf numFmtId="168" fontId="158" fillId="4" borderId="125" xfId="5" applyNumberFormat="1" applyFont="1" applyFill="1" applyBorder="1" applyAlignment="1" applyProtection="1">
      <alignment horizontal="right"/>
      <protection locked="0"/>
    </xf>
    <xf numFmtId="0" fontId="158" fillId="0" borderId="0" xfId="3" applyFont="1" applyAlignment="1">
      <alignment horizontal="left" vertical="center"/>
    </xf>
    <xf numFmtId="168" fontId="158" fillId="4" borderId="124" xfId="5" quotePrefix="1" applyNumberFormat="1" applyFont="1" applyFill="1" applyBorder="1" applyAlignment="1" applyProtection="1">
      <alignment horizontal="right"/>
      <protection locked="0"/>
    </xf>
    <xf numFmtId="168" fontId="158" fillId="4" borderId="125" xfId="5" quotePrefix="1" applyNumberFormat="1" applyFont="1" applyFill="1" applyBorder="1" applyAlignment="1" applyProtection="1">
      <alignment horizontal="right"/>
      <protection locked="0"/>
    </xf>
    <xf numFmtId="0" fontId="158" fillId="0" borderId="124" xfId="3" applyFont="1" applyBorder="1" applyAlignment="1" applyProtection="1">
      <alignment horizontal="right" vertical="center" indent="1"/>
      <protection locked="0"/>
    </xf>
    <xf numFmtId="0" fontId="158" fillId="0" borderId="128" xfId="3" applyFont="1" applyBorder="1" applyAlignment="1" applyProtection="1">
      <alignment horizontal="right" vertical="center" indent="1"/>
      <protection locked="0"/>
    </xf>
    <xf numFmtId="0" fontId="158" fillId="0" borderId="125" xfId="3" applyFont="1" applyBorder="1" applyAlignment="1" applyProtection="1">
      <alignment horizontal="right" vertical="center" indent="1"/>
      <protection locked="0"/>
    </xf>
    <xf numFmtId="0" fontId="149" fillId="0" borderId="0" xfId="0" applyFont="1" applyAlignment="1">
      <alignment horizontal="left" wrapText="1" indent="3"/>
    </xf>
    <xf numFmtId="0" fontId="100" fillId="0" borderId="0" xfId="0" applyFont="1" applyAlignment="1">
      <alignment horizontal="center" vertical="center"/>
    </xf>
    <xf numFmtId="0" fontId="24" fillId="45" borderId="0" xfId="0" applyFont="1" applyFill="1" applyAlignment="1">
      <alignment horizontal="left" vertical="center" wrapText="1"/>
    </xf>
    <xf numFmtId="0" fontId="24" fillId="41" borderId="0" xfId="0" applyFont="1" applyFill="1" applyAlignment="1">
      <alignment wrapText="1"/>
    </xf>
    <xf numFmtId="0" fontId="138" fillId="41" borderId="0" xfId="0" applyFont="1" applyFill="1" applyAlignment="1">
      <alignment vertical="center" wrapText="1"/>
    </xf>
    <xf numFmtId="0" fontId="100" fillId="4" borderId="0" xfId="0" applyFont="1" applyFill="1" applyAlignment="1">
      <alignment horizontal="center" vertical="center"/>
    </xf>
    <xf numFmtId="0" fontId="146" fillId="38" borderId="0" xfId="0" applyFont="1" applyFill="1" applyAlignment="1">
      <alignment horizontal="left" vertical="center" indent="1"/>
    </xf>
    <xf numFmtId="0" fontId="100" fillId="41" borderId="0" xfId="0" applyFont="1" applyFill="1" applyAlignment="1">
      <alignment vertical="center"/>
    </xf>
    <xf numFmtId="0" fontId="100" fillId="41" borderId="0" xfId="0" quotePrefix="1" applyFont="1" applyFill="1" applyAlignment="1">
      <alignment vertical="center"/>
    </xf>
    <xf numFmtId="0" fontId="100" fillId="41" borderId="0" xfId="0" applyFont="1" applyFill="1" applyAlignment="1">
      <alignment vertical="center" wrapText="1"/>
    </xf>
    <xf numFmtId="0" fontId="138" fillId="41" borderId="0" xfId="0" quotePrefix="1" applyFont="1" applyFill="1" applyAlignment="1">
      <alignment vertical="center" wrapText="1"/>
    </xf>
    <xf numFmtId="0" fontId="148" fillId="45" borderId="0" xfId="0" applyFont="1" applyFill="1" applyAlignment="1">
      <alignment horizontal="left" vertical="center" wrapText="1"/>
    </xf>
    <xf numFmtId="0" fontId="100" fillId="41" borderId="0" xfId="0" applyFont="1" applyFill="1" applyAlignment="1">
      <alignment horizontal="left" vertical="center" wrapText="1"/>
    </xf>
    <xf numFmtId="0" fontId="24" fillId="41" borderId="0" xfId="0" applyFont="1" applyFill="1" applyAlignment="1">
      <alignment horizontal="center" vertical="center"/>
    </xf>
    <xf numFmtId="0" fontId="142" fillId="4" borderId="0" xfId="0" applyFont="1" applyFill="1" applyAlignment="1">
      <alignment horizontal="left" vertical="center" wrapText="1"/>
    </xf>
    <xf numFmtId="0" fontId="138" fillId="45" borderId="0" xfId="0" applyFont="1" applyFill="1" applyAlignment="1">
      <alignment horizontal="left" vertical="center" wrapText="1"/>
    </xf>
    <xf numFmtId="0" fontId="100" fillId="0" borderId="0" xfId="0" applyFont="1" applyAlignment="1">
      <alignment horizontal="right" vertical="center"/>
    </xf>
    <xf numFmtId="0" fontId="100" fillId="41" borderId="0" xfId="0" quotePrefix="1" applyFont="1" applyFill="1" applyAlignment="1">
      <alignment vertical="center" wrapText="1"/>
    </xf>
    <xf numFmtId="0" fontId="138" fillId="45" borderId="0" xfId="0" applyFont="1" applyFill="1" applyAlignment="1">
      <alignment vertical="center" wrapText="1"/>
    </xf>
    <xf numFmtId="0" fontId="138" fillId="41" borderId="0" xfId="0" applyFont="1" applyFill="1" applyAlignment="1">
      <alignment horizontal="center" vertical="center"/>
    </xf>
    <xf numFmtId="0" fontId="146" fillId="38" borderId="0" xfId="0" applyFont="1" applyFill="1" applyAlignment="1">
      <alignment vertical="center"/>
    </xf>
    <xf numFmtId="14" fontId="100" fillId="39" borderId="0" xfId="0" applyNumberFormat="1" applyFont="1" applyFill="1" applyAlignment="1">
      <alignment horizontal="center" vertical="center"/>
    </xf>
    <xf numFmtId="0" fontId="24" fillId="0" borderId="0" xfId="0" applyFont="1" applyAlignment="1">
      <alignment horizontal="left" vertical="center" wrapText="1"/>
    </xf>
    <xf numFmtId="0" fontId="100" fillId="39" borderId="0" xfId="0" applyFont="1" applyFill="1" applyAlignment="1">
      <alignment horizontal="center" vertical="center"/>
    </xf>
    <xf numFmtId="0" fontId="137" fillId="0" borderId="0" xfId="0" applyFont="1" applyAlignment="1">
      <alignment vertical="center"/>
    </xf>
    <xf numFmtId="0" fontId="81" fillId="54" borderId="0" xfId="0" applyFont="1" applyFill="1" applyAlignment="1">
      <alignment horizontal="left" vertical="top" wrapText="1"/>
    </xf>
    <xf numFmtId="166" fontId="158" fillId="54" borderId="124" xfId="0" applyNumberFormat="1" applyFont="1" applyFill="1" applyBorder="1" applyAlignment="1">
      <alignment horizontal="left" vertical="center" indent="1"/>
    </xf>
    <xf numFmtId="166" fontId="158" fillId="54" borderId="128" xfId="0" applyNumberFormat="1" applyFont="1" applyFill="1" applyBorder="1" applyAlignment="1">
      <alignment horizontal="left" vertical="center" indent="1"/>
    </xf>
    <xf numFmtId="166" fontId="158" fillId="54" borderId="125" xfId="0" applyNumberFormat="1" applyFont="1" applyFill="1" applyBorder="1" applyAlignment="1">
      <alignment horizontal="left" vertical="center" indent="1"/>
    </xf>
    <xf numFmtId="0" fontId="22" fillId="54" borderId="0" xfId="0" applyFont="1" applyFill="1" applyAlignment="1">
      <alignment horizontal="left" vertical="center" wrapText="1"/>
    </xf>
    <xf numFmtId="10" fontId="161" fillId="0" borderId="115" xfId="0" applyNumberFormat="1" applyFont="1" applyBorder="1" applyAlignment="1" applyProtection="1">
      <alignment horizontal="left"/>
      <protection hidden="1"/>
    </xf>
    <xf numFmtId="0" fontId="81" fillId="0" borderId="122" xfId="0" applyFont="1" applyBorder="1" applyAlignment="1" applyProtection="1">
      <alignment horizontal="left" vertical="top" wrapText="1"/>
      <protection hidden="1"/>
    </xf>
    <xf numFmtId="0" fontId="161" fillId="50" borderId="115" xfId="0" applyFont="1" applyFill="1" applyBorder="1" applyAlignment="1" applyProtection="1">
      <alignment horizontal="left" vertical="center"/>
      <protection hidden="1"/>
    </xf>
    <xf numFmtId="0" fontId="165" fillId="5" borderId="0" xfId="3" applyFont="1" applyFill="1" applyAlignment="1" applyProtection="1">
      <alignment horizontal="left" vertical="center" wrapText="1"/>
      <protection hidden="1"/>
    </xf>
    <xf numFmtId="0" fontId="22" fillId="52" borderId="0" xfId="3" applyFont="1" applyFill="1" applyAlignment="1" applyProtection="1">
      <alignment horizontal="left" vertical="center" wrapText="1" indent="1"/>
      <protection hidden="1"/>
    </xf>
    <xf numFmtId="0" fontId="158" fillId="0" borderId="0" xfId="3" quotePrefix="1" applyFont="1" applyAlignment="1" applyProtection="1">
      <alignment horizontal="left" vertical="center"/>
      <protection hidden="1"/>
    </xf>
    <xf numFmtId="0" fontId="158" fillId="0" borderId="0" xfId="3" quotePrefix="1" applyFont="1" applyAlignment="1" applyProtection="1">
      <alignment horizontal="center" vertical="center" wrapText="1"/>
      <protection hidden="1"/>
    </xf>
    <xf numFmtId="0" fontId="158" fillId="0" borderId="0" xfId="3" quotePrefix="1" applyFont="1" applyAlignment="1" applyProtection="1">
      <alignment horizontal="center" vertical="center"/>
      <protection hidden="1"/>
    </xf>
    <xf numFmtId="0" fontId="99" fillId="52" borderId="122" xfId="7" applyFont="1" applyFill="1" applyBorder="1"/>
    <xf numFmtId="9" fontId="113" fillId="0" borderId="0" xfId="3" applyNumberFormat="1" applyFont="1" applyAlignment="1" applyProtection="1">
      <alignment vertical="center" wrapText="1"/>
      <protection hidden="1"/>
    </xf>
    <xf numFmtId="9" fontId="113" fillId="0" borderId="122" xfId="3" applyNumberFormat="1" applyFont="1" applyBorder="1" applyAlignment="1" applyProtection="1">
      <alignment vertical="center" wrapText="1"/>
      <protection hidden="1"/>
    </xf>
    <xf numFmtId="0" fontId="158" fillId="0" borderId="0" xfId="0" applyFont="1" applyAlignment="1" applyProtection="1">
      <alignment vertical="top" wrapText="1"/>
      <protection hidden="1"/>
    </xf>
    <xf numFmtId="0" fontId="158" fillId="52" borderId="0" xfId="3" applyFont="1" applyFill="1" applyAlignment="1" applyProtection="1">
      <alignment horizontal="left" vertical="center" wrapText="1"/>
      <protection hidden="1"/>
    </xf>
    <xf numFmtId="169" fontId="100" fillId="4" borderId="0" xfId="0" applyNumberFormat="1" applyFont="1" applyFill="1" applyAlignment="1">
      <alignment horizontal="center" vertical="center"/>
    </xf>
    <xf numFmtId="169" fontId="100" fillId="0" borderId="0" xfId="0" applyNumberFormat="1" applyFont="1" applyAlignment="1">
      <alignment horizontal="center" vertical="center"/>
    </xf>
    <xf numFmtId="0" fontId="138" fillId="40" borderId="0" xfId="0" applyFont="1" applyFill="1" applyAlignment="1">
      <alignment wrapText="1"/>
    </xf>
    <xf numFmtId="0" fontId="134" fillId="40" borderId="0" xfId="0" applyFont="1" applyFill="1" applyAlignment="1">
      <alignment horizontal="right" vertical="center"/>
    </xf>
    <xf numFmtId="0" fontId="138" fillId="41" borderId="0" xfId="0" applyFont="1" applyFill="1" applyAlignment="1">
      <alignment horizontal="left" vertical="center"/>
    </xf>
    <xf numFmtId="0" fontId="142" fillId="0" borderId="0" xfId="0" applyFont="1" applyAlignment="1">
      <alignment horizontal="left" vertical="center" wrapText="1"/>
    </xf>
    <xf numFmtId="0" fontId="143" fillId="0" borderId="0" xfId="0" applyFont="1" applyAlignment="1">
      <alignment horizontal="left" vertical="center" wrapText="1"/>
    </xf>
    <xf numFmtId="0" fontId="140" fillId="41" borderId="0" xfId="0" quotePrefix="1" applyFont="1" applyFill="1" applyAlignment="1">
      <alignment horizontal="center" vertical="center"/>
    </xf>
    <xf numFmtId="0" fontId="140" fillId="41" borderId="0" xfId="0" applyFont="1" applyFill="1" applyAlignment="1">
      <alignment horizontal="center" vertical="center"/>
    </xf>
    <xf numFmtId="0" fontId="138" fillId="41" borderId="0" xfId="0" applyFont="1" applyFill="1" applyAlignment="1">
      <alignment horizontal="left" vertical="center" wrapText="1"/>
    </xf>
    <xf numFmtId="9" fontId="100" fillId="4" borderId="0" xfId="0" applyNumberFormat="1" applyFont="1" applyFill="1" applyAlignment="1">
      <alignment horizontal="center" vertical="center"/>
    </xf>
    <xf numFmtId="9" fontId="100" fillId="0" borderId="0" xfId="0" applyNumberFormat="1" applyFont="1" applyAlignment="1">
      <alignment horizontal="center" vertical="center"/>
    </xf>
    <xf numFmtId="0" fontId="139" fillId="5" borderId="0" xfId="0" applyFont="1" applyFill="1" applyAlignment="1">
      <alignment horizontal="left" vertical="center"/>
    </xf>
    <xf numFmtId="0" fontId="100" fillId="39" borderId="0" xfId="0" applyFont="1" applyFill="1" applyAlignment="1">
      <alignment horizontal="left" vertical="center" indent="1"/>
    </xf>
    <xf numFmtId="0" fontId="139" fillId="5" borderId="0" xfId="0" applyFont="1" applyFill="1" applyAlignment="1">
      <alignment horizontal="left" vertical="center" wrapText="1"/>
    </xf>
    <xf numFmtId="0" fontId="137" fillId="0" borderId="0" xfId="0" applyFont="1" applyAlignment="1">
      <alignment horizontal="right" vertical="center"/>
    </xf>
    <xf numFmtId="0" fontId="134" fillId="40" borderId="0" xfId="0" applyFont="1" applyFill="1" applyAlignment="1">
      <alignment vertical="center" wrapText="1"/>
    </xf>
    <xf numFmtId="0" fontId="134" fillId="40" borderId="0" xfId="0" applyFont="1" applyFill="1" applyAlignment="1">
      <alignment horizontal="left" vertical="center" wrapText="1"/>
    </xf>
    <xf numFmtId="0" fontId="138" fillId="40" borderId="0" xfId="0" applyFont="1" applyFill="1"/>
    <xf numFmtId="0" fontId="141" fillId="40" borderId="0" xfId="0" applyFont="1" applyFill="1" applyAlignment="1">
      <alignment horizontal="left" vertical="top"/>
    </xf>
    <xf numFmtId="0" fontId="132" fillId="41" borderId="0" xfId="0" applyFont="1" applyFill="1" applyAlignment="1">
      <alignment horizontal="center"/>
    </xf>
    <xf numFmtId="169" fontId="100" fillId="4" borderId="0" xfId="19" applyNumberFormat="1" applyFont="1" applyFill="1" applyAlignment="1">
      <alignment horizontal="center" vertical="center"/>
    </xf>
    <xf numFmtId="169" fontId="100" fillId="0" borderId="0" xfId="19" applyNumberFormat="1" applyFont="1" applyAlignment="1">
      <alignment horizontal="center" vertical="center"/>
    </xf>
    <xf numFmtId="49" fontId="100" fillId="39" borderId="0" xfId="0" applyNumberFormat="1" applyFont="1" applyFill="1" applyAlignment="1">
      <alignment horizontal="left" vertical="center" indent="1"/>
    </xf>
    <xf numFmtId="169" fontId="100" fillId="4" borderId="0" xfId="0" applyNumberFormat="1" applyFont="1" applyFill="1" applyAlignment="1">
      <alignment horizontal="left" vertical="center" wrapText="1" indent="1"/>
    </xf>
    <xf numFmtId="14" fontId="100" fillId="39" borderId="0" xfId="0" applyNumberFormat="1" applyFont="1" applyFill="1" applyAlignment="1">
      <alignment horizontal="left" vertical="center" indent="1"/>
    </xf>
    <xf numFmtId="0" fontId="138" fillId="4" borderId="0" xfId="0" applyFont="1" applyFill="1" applyAlignment="1">
      <alignment horizontal="right" vertical="center"/>
    </xf>
    <xf numFmtId="0" fontId="150" fillId="0" borderId="0" xfId="3" quotePrefix="1" applyFont="1" applyAlignment="1">
      <alignment wrapText="1"/>
    </xf>
    <xf numFmtId="0" fontId="99" fillId="52" borderId="122" xfId="7" applyFont="1" applyFill="1" applyBorder="1" applyProtection="1"/>
    <xf numFmtId="0" fontId="25" fillId="52" borderId="0" xfId="3" applyFont="1" applyFill="1" applyAlignment="1">
      <alignment horizontal="left" vertical="center" wrapText="1" indent="1"/>
    </xf>
    <xf numFmtId="0" fontId="150" fillId="0" borderId="0" xfId="3" quotePrefix="1" applyFont="1" applyAlignment="1" applyProtection="1">
      <alignment horizontal="left" vertical="center" wrapText="1"/>
      <protection hidden="1"/>
    </xf>
    <xf numFmtId="0" fontId="158" fillId="52" borderId="0" xfId="3" applyFont="1" applyFill="1" applyAlignment="1">
      <alignment vertical="center" wrapText="1"/>
    </xf>
    <xf numFmtId="0" fontId="100" fillId="45" borderId="0" xfId="0" applyFont="1" applyFill="1" applyAlignment="1">
      <alignment wrapText="1"/>
    </xf>
    <xf numFmtId="3" fontId="100" fillId="4" borderId="0" xfId="0" applyNumberFormat="1" applyFont="1" applyFill="1" applyAlignment="1">
      <alignment horizontal="center" vertical="center"/>
    </xf>
    <xf numFmtId="0" fontId="24" fillId="45" borderId="0" xfId="0" applyFont="1" applyFill="1" applyAlignment="1">
      <alignment horizontal="center"/>
    </xf>
    <xf numFmtId="0" fontId="142" fillId="4" borderId="0" xfId="0" applyFont="1" applyFill="1" applyAlignment="1">
      <alignment horizontal="left" vertical="top" wrapText="1"/>
    </xf>
    <xf numFmtId="3" fontId="100" fillId="0" borderId="0" xfId="0" applyNumberFormat="1" applyFont="1" applyAlignment="1">
      <alignment horizontal="center" vertical="center"/>
    </xf>
    <xf numFmtId="0" fontId="138" fillId="45" borderId="0" xfId="0" applyFont="1" applyFill="1" applyAlignment="1">
      <alignment wrapText="1"/>
    </xf>
    <xf numFmtId="170" fontId="100" fillId="4" borderId="0" xfId="0" applyNumberFormat="1" applyFont="1" applyFill="1" applyAlignment="1">
      <alignment horizontal="center" vertical="center"/>
    </xf>
    <xf numFmtId="0" fontId="138" fillId="45" borderId="0" xfId="0" quotePrefix="1" applyFont="1" applyFill="1" applyAlignment="1">
      <alignment vertical="center" wrapText="1"/>
    </xf>
    <xf numFmtId="0" fontId="100" fillId="41" borderId="0" xfId="0" quotePrefix="1" applyFont="1" applyFill="1" applyAlignment="1">
      <alignment horizontal="left" vertical="center"/>
    </xf>
    <xf numFmtId="49" fontId="100" fillId="39" borderId="0" xfId="0" applyNumberFormat="1" applyFont="1" applyFill="1" applyAlignment="1">
      <alignment horizontal="center" vertical="center"/>
    </xf>
    <xf numFmtId="0" fontId="24" fillId="0" borderId="0" xfId="0" applyFont="1" applyAlignment="1">
      <alignment horizontal="left" wrapText="1"/>
    </xf>
    <xf numFmtId="0" fontId="146" fillId="38" borderId="0" xfId="0" applyFont="1" applyFill="1" applyAlignment="1">
      <alignment horizontal="left" vertical="center"/>
    </xf>
    <xf numFmtId="0" fontId="10" fillId="52" borderId="115" xfId="3" applyFont="1" applyFill="1" applyBorder="1" applyAlignment="1" applyProtection="1">
      <alignment horizontal="center" vertical="center"/>
    </xf>
    <xf numFmtId="0" fontId="10" fillId="0" borderId="115" xfId="3" applyFont="1" applyFill="1" applyBorder="1" applyAlignment="1" applyProtection="1">
      <alignment horizontal="center" vertical="center"/>
      <protection locked="0"/>
    </xf>
    <xf numFmtId="0" fontId="158" fillId="0" borderId="115" xfId="3" applyFont="1" applyFill="1" applyBorder="1" applyAlignment="1" applyProtection="1">
      <alignment horizontal="center" vertical="center"/>
      <protection locked="0"/>
    </xf>
  </cellXfs>
  <cellStyles count="20">
    <cellStyle name="Accent1_Captured Items" xfId="10" xr:uid="{74898CD0-0482-4BA1-B602-5ADFC56AC7B7}"/>
    <cellStyle name="Comma" xfId="19" builtinId="3"/>
    <cellStyle name="Currency" xfId="18" builtinId="4"/>
    <cellStyle name="Currency 2" xfId="5" xr:uid="{E8310A32-F7E7-46AD-912F-BA721C51EF0B}"/>
    <cellStyle name="Good" xfId="1" builtinId="26"/>
    <cellStyle name="Good_Captured Items" xfId="6" xr:uid="{2A3B438D-7726-42E5-9A4D-5B6FF6E4C676}"/>
    <cellStyle name="Hyperlink" xfId="17" builtinId="8"/>
    <cellStyle name="Hyperlink 2" xfId="7" xr:uid="{F3F777AA-F3F8-4A2B-9EBF-150A53D6BD65}"/>
    <cellStyle name="Normal" xfId="0" builtinId="0"/>
    <cellStyle name="Normal 18 4" xfId="13" xr:uid="{26365DD8-F413-439A-A029-ADE04F1970C4}"/>
    <cellStyle name="Normal 2" xfId="3" xr:uid="{97916A49-86B0-44CA-96C3-00F5731E59AE}"/>
    <cellStyle name="Normal 2 2" xfId="14" xr:uid="{075D0308-4FC0-47C4-9C85-5265022D81F5}"/>
    <cellStyle name="Normal 21" xfId="15" xr:uid="{21975AC0-F491-486B-9719-309895DBF85A}"/>
    <cellStyle name="Normal 24" xfId="11" xr:uid="{7D285CBC-2C38-4AA6-A431-6D044A1C1749}"/>
    <cellStyle name="Normal 26" xfId="12" xr:uid="{46560F3F-7885-49A0-AE54-70CE2BB3F3FA}"/>
    <cellStyle name="Normal 27" xfId="4" xr:uid="{2A709445-AEC0-4000-A269-8D0A517A84D8}"/>
    <cellStyle name="Normal 30 2" xfId="8" xr:uid="{6581147C-6C69-4BDF-B5C1-45A1ECB24962}"/>
    <cellStyle name="Normal 9" xfId="9" xr:uid="{C58A3946-E618-4E79-B192-40579D70A3ED}"/>
    <cellStyle name="Percent" xfId="16" builtinId="5"/>
    <cellStyle name="Percent 2" xfId="2" xr:uid="{02ACDDE8-5CD4-426F-9E39-785B83D09E39}"/>
  </cellStyles>
  <dxfs count="691">
    <dxf>
      <font>
        <color rgb="FF007402"/>
      </font>
      <fill>
        <patternFill>
          <bgColor theme="0"/>
        </patternFill>
      </fill>
    </dxf>
    <dxf>
      <font>
        <color rgb="FFB60000"/>
      </font>
      <fill>
        <patternFill>
          <bgColor theme="0"/>
        </patternFill>
      </fill>
    </dxf>
    <dxf>
      <fill>
        <patternFill>
          <bgColor rgb="FFF6C2C2"/>
        </patternFill>
      </fill>
    </dxf>
    <dxf>
      <font>
        <color rgb="FFB60000"/>
      </font>
    </dxf>
    <dxf>
      <font>
        <color rgb="FF007402"/>
      </font>
      <fill>
        <patternFill patternType="none">
          <bgColor auto="1"/>
        </patternFill>
      </fill>
    </dxf>
    <dxf>
      <font>
        <color rgb="FFB60000"/>
      </font>
    </dxf>
    <dxf>
      <font>
        <color rgb="FFFFFFFF"/>
      </font>
      <fill>
        <patternFill>
          <bgColor rgb="FFFFFFFF"/>
        </patternFill>
      </fill>
      <border>
        <left/>
        <right/>
        <top/>
        <bottom/>
        <vertical/>
        <horizontal/>
      </border>
    </dxf>
    <dxf>
      <font>
        <color rgb="FF007402"/>
      </font>
    </dxf>
    <dxf>
      <font>
        <color rgb="FFD90000"/>
      </font>
    </dxf>
    <dxf>
      <fill>
        <patternFill>
          <bgColor rgb="FFF6C2C2"/>
        </patternFill>
      </fill>
    </dxf>
    <dxf>
      <fill>
        <patternFill>
          <bgColor rgb="FFF6C2C2"/>
        </patternFill>
      </fill>
    </dxf>
    <dxf>
      <fill>
        <patternFill>
          <bgColor rgb="FFF7F7F7"/>
        </patternFill>
      </fill>
      <border>
        <left style="thin">
          <color rgb="FFE0E0E0"/>
        </left>
        <right style="thin">
          <color rgb="FFE0E0E0"/>
        </right>
        <top style="thin">
          <color rgb="FFE0E0E0"/>
        </top>
        <bottom style="thin">
          <color rgb="FFE0E0E0"/>
        </bottom>
        <vertical/>
        <horizontal/>
      </border>
    </dxf>
    <dxf>
      <font>
        <color theme="0"/>
      </font>
      <fill>
        <patternFill>
          <bgColor theme="0"/>
        </patternFill>
      </fill>
      <border>
        <left/>
        <right/>
        <top/>
        <bottom/>
        <vertical/>
        <horizontal/>
      </border>
    </dxf>
    <dxf>
      <font>
        <color rgb="FFB60000"/>
      </font>
      <fill>
        <patternFill>
          <bgColor rgb="FFF6C2C2"/>
        </patternFill>
      </fill>
    </dxf>
    <dxf>
      <font>
        <color rgb="FF007402"/>
      </font>
      <fill>
        <patternFill>
          <bgColor rgb="FFC2E3C2"/>
        </patternFill>
      </fill>
    </dxf>
    <dxf>
      <font>
        <color rgb="FFB60000"/>
      </font>
      <fill>
        <patternFill>
          <bgColor rgb="FFF6C2C2"/>
        </patternFill>
      </fill>
    </dxf>
    <dxf>
      <font>
        <color rgb="FF007402"/>
      </font>
      <fill>
        <patternFill>
          <bgColor rgb="FFC2E3C2"/>
        </patternFill>
      </fill>
    </dxf>
    <dxf>
      <font>
        <color rgb="FFB60000"/>
      </font>
      <fill>
        <patternFill>
          <bgColor rgb="FFF6C2C2"/>
        </patternFill>
      </fill>
    </dxf>
    <dxf>
      <font>
        <color rgb="FF007402"/>
      </font>
      <fill>
        <patternFill>
          <bgColor rgb="FFC2E3C2"/>
        </patternFill>
      </fill>
    </dxf>
    <dxf>
      <font>
        <b val="0"/>
        <i/>
        <color theme="2" tint="-0.499984740745262"/>
      </font>
    </dxf>
    <dxf>
      <font>
        <color rgb="FF007402"/>
      </font>
      <fill>
        <patternFill>
          <bgColor rgb="FFC2E3C2"/>
        </patternFill>
      </fill>
    </dxf>
    <dxf>
      <font>
        <color rgb="FFB60000"/>
      </font>
      <fill>
        <patternFill>
          <bgColor rgb="FFF6C2C2"/>
        </patternFill>
      </fill>
    </dxf>
    <dxf>
      <font>
        <color rgb="FFB60000"/>
      </font>
      <fill>
        <patternFill>
          <bgColor rgb="FFF6C2C2"/>
        </patternFill>
      </fill>
    </dxf>
    <dxf>
      <font>
        <color rgb="FFB60000"/>
      </font>
      <fill>
        <patternFill>
          <bgColor rgb="FFF6C2C2"/>
        </patternFill>
      </fill>
    </dxf>
    <dxf>
      <font>
        <color rgb="FFB60000"/>
      </font>
      <fill>
        <patternFill>
          <bgColor rgb="FFF6C2C2"/>
        </patternFill>
      </fill>
    </dxf>
    <dxf>
      <font>
        <b val="0"/>
        <i/>
        <color theme="2" tint="-0.499984740745262"/>
      </font>
    </dxf>
    <dxf>
      <font>
        <color rgb="FFB60000"/>
      </font>
    </dxf>
    <dxf>
      <font>
        <color rgb="FFB60000"/>
      </font>
    </dxf>
    <dxf>
      <font>
        <color rgb="FFB60000"/>
      </font>
      <fill>
        <patternFill>
          <bgColor rgb="FFF6C2C2"/>
        </patternFill>
      </fill>
    </dxf>
    <dxf>
      <font>
        <color rgb="FF007402"/>
      </font>
      <fill>
        <patternFill>
          <bgColor rgb="FFC2E3C2"/>
        </patternFill>
      </fill>
    </dxf>
    <dxf>
      <font>
        <b/>
        <i val="0"/>
        <u/>
        <color rgb="FFFF0000"/>
      </font>
    </dxf>
    <dxf>
      <fill>
        <patternFill patternType="none">
          <bgColor auto="1"/>
        </patternFill>
      </fill>
    </dxf>
    <dxf>
      <fill>
        <patternFill>
          <bgColor rgb="FFF6C2C2"/>
        </patternFill>
      </fill>
    </dxf>
    <dxf>
      <fill>
        <patternFill>
          <bgColor rgb="FFF6C2C2"/>
        </patternFill>
      </fill>
    </dxf>
    <dxf>
      <fill>
        <patternFill>
          <bgColor rgb="FFF6C2C2"/>
        </patternFill>
      </fill>
    </dxf>
    <dxf>
      <fill>
        <patternFill>
          <bgColor rgb="FFF7F7F7"/>
        </patternFill>
      </fill>
    </dxf>
    <dxf>
      <font>
        <color rgb="FF494949"/>
      </font>
      <border>
        <left style="thin">
          <color rgb="FFE0E0E0"/>
        </left>
        <right style="thin">
          <color rgb="FFE0E0E0"/>
        </right>
        <top style="thin">
          <color rgb="FFE0E0E0"/>
        </top>
        <bottom style="thin">
          <color rgb="FFE0E0E0"/>
        </bottom>
        <vertical/>
        <horizontal/>
      </border>
    </dxf>
    <dxf>
      <font>
        <color rgb="FF494949"/>
      </font>
      <border>
        <left style="thin">
          <color rgb="FFE0E0E0"/>
        </left>
        <right style="thin">
          <color rgb="FFE0E0E0"/>
        </right>
        <top style="thin">
          <color rgb="FFE0E0E0"/>
        </top>
        <bottom style="thin">
          <color rgb="FFE0E0E0"/>
        </bottom>
        <vertical/>
        <horizontal/>
      </border>
    </dxf>
    <dxf>
      <font>
        <color rgb="FF494949"/>
      </font>
    </dxf>
    <dxf>
      <font>
        <b/>
        <i val="0"/>
        <color rgb="FFF36D00"/>
      </font>
    </dxf>
    <dxf>
      <font>
        <b/>
        <i val="0"/>
        <color rgb="FFB60000"/>
      </font>
    </dxf>
    <dxf>
      <font>
        <b/>
        <i val="0"/>
        <color rgb="FFB60000"/>
      </font>
    </dxf>
    <dxf>
      <font>
        <b/>
        <i val="0"/>
        <color rgb="FFF36D00"/>
      </font>
    </dxf>
    <dxf>
      <font>
        <b/>
        <i val="0"/>
        <color rgb="FFB60000"/>
      </font>
    </dxf>
    <dxf>
      <font>
        <b/>
        <i val="0"/>
        <color rgb="FFB60000"/>
      </font>
    </dxf>
    <dxf>
      <fill>
        <patternFill>
          <bgColor rgb="FFF6C2C2"/>
        </patternFill>
      </fill>
    </dxf>
    <dxf>
      <fill>
        <patternFill>
          <bgColor rgb="FFF6C2C2"/>
        </patternFill>
      </fill>
    </dxf>
    <dxf>
      <font>
        <color theme="0"/>
      </font>
    </dxf>
    <dxf>
      <font>
        <color theme="0"/>
      </font>
    </dxf>
    <dxf>
      <font>
        <color theme="0"/>
      </font>
    </dxf>
    <dxf>
      <fill>
        <patternFill>
          <bgColor rgb="FFF6C2C2"/>
        </patternFill>
      </fill>
    </dxf>
    <dxf>
      <fill>
        <patternFill>
          <bgColor rgb="FFF6C2C2"/>
        </patternFill>
      </fill>
      <border>
        <bottom style="thin">
          <color rgb="FFEE9B8F"/>
        </bottom>
        <vertical/>
        <horizontal/>
      </border>
    </dxf>
    <dxf>
      <fill>
        <patternFill>
          <bgColor rgb="FFF6C2C2"/>
        </patternFill>
      </fill>
      <border>
        <top style="thin">
          <color rgb="FFEE9B8F"/>
        </top>
        <vertical/>
        <horizontal/>
      </border>
    </dxf>
    <dxf>
      <font>
        <color rgb="FFB60000"/>
      </font>
    </dxf>
    <dxf>
      <fill>
        <patternFill>
          <bgColor theme="7" tint="0.59996337778862885"/>
        </patternFill>
      </fill>
    </dxf>
    <dxf>
      <fill>
        <patternFill>
          <bgColor theme="7" tint="0.59996337778862885"/>
        </patternFill>
      </fill>
      <border>
        <left style="thin">
          <color rgb="FFFFC000"/>
        </left>
        <bottom style="thin">
          <color rgb="FFFFC000"/>
        </bottom>
        <vertical/>
        <horizontal/>
      </border>
    </dxf>
    <dxf>
      <fill>
        <patternFill>
          <bgColor rgb="FFF6C2C2"/>
        </patternFill>
      </fill>
      <border>
        <left style="thin">
          <color rgb="FFEE9B8F"/>
        </left>
        <bottom style="thin">
          <color rgb="FFEE9B8F"/>
        </bottom>
        <vertical/>
        <horizontal/>
      </border>
    </dxf>
    <dxf>
      <fill>
        <patternFill>
          <bgColor theme="7" tint="0.59996337778862885"/>
        </patternFill>
      </fill>
      <border>
        <right style="thin">
          <color rgb="FFFFC000"/>
        </right>
        <bottom style="thin">
          <color rgb="FFFFC000"/>
        </bottom>
        <vertical/>
        <horizontal/>
      </border>
    </dxf>
    <dxf>
      <fill>
        <patternFill>
          <bgColor rgb="FFF6C2C2"/>
        </patternFill>
      </fill>
      <border>
        <right style="thin">
          <color rgb="FFEE9B8F"/>
        </right>
        <bottom style="thin">
          <color rgb="FFEE9B8F"/>
        </bottom>
        <vertical/>
        <horizontal/>
      </border>
    </dxf>
    <dxf>
      <fill>
        <patternFill>
          <bgColor theme="7" tint="0.59996337778862885"/>
        </patternFill>
      </fill>
      <border>
        <right style="thin">
          <color rgb="FFFFC000"/>
        </right>
        <top style="thin">
          <color rgb="FFFFC000"/>
        </top>
        <vertical/>
        <horizontal/>
      </border>
    </dxf>
    <dxf>
      <fill>
        <patternFill>
          <bgColor rgb="FFF6C2C2"/>
        </patternFill>
      </fill>
      <border>
        <right style="thin">
          <color rgb="FFEE9B8F"/>
        </right>
        <top style="thin">
          <color rgb="FFEE9B8F"/>
        </top>
        <vertical/>
        <horizontal/>
      </border>
    </dxf>
    <dxf>
      <fill>
        <patternFill>
          <bgColor theme="7" tint="0.59996337778862885"/>
        </patternFill>
      </fill>
      <border>
        <left style="thin">
          <color rgb="FFFFC000"/>
        </left>
        <top style="thin">
          <color rgb="FFFFC000"/>
        </top>
        <vertical/>
        <horizontal/>
      </border>
    </dxf>
    <dxf>
      <fill>
        <patternFill>
          <bgColor rgb="FFF6C2C2"/>
        </patternFill>
      </fill>
      <border>
        <left style="thin">
          <color rgb="FFEE9B8F"/>
        </left>
        <top style="thin">
          <color rgb="FFEE9B8F"/>
        </top>
        <vertical/>
        <horizontal/>
      </border>
    </dxf>
    <dxf>
      <fill>
        <patternFill>
          <bgColor theme="7" tint="0.59996337778862885"/>
        </patternFill>
      </fill>
      <border>
        <right style="thin">
          <color rgb="FFFFC000"/>
        </right>
        <vertical/>
        <horizontal/>
      </border>
    </dxf>
    <dxf>
      <fill>
        <patternFill>
          <bgColor rgb="FFF6C2C2"/>
        </patternFill>
      </fill>
      <border>
        <right style="thin">
          <color rgb="FFEE9B8F"/>
        </right>
        <vertical/>
        <horizontal/>
      </border>
    </dxf>
    <dxf>
      <fill>
        <patternFill>
          <bgColor theme="7" tint="0.59996337778862885"/>
        </patternFill>
      </fill>
      <border>
        <left style="thin">
          <color rgb="FFFFC000"/>
        </left>
        <vertical/>
        <horizontal/>
      </border>
    </dxf>
    <dxf>
      <fill>
        <patternFill>
          <bgColor rgb="FFF6C2C2"/>
        </patternFill>
      </fill>
      <border>
        <left style="thin">
          <color rgb="FFEE9B8F"/>
        </left>
        <vertical/>
        <horizontal/>
      </border>
    </dxf>
    <dxf>
      <fill>
        <patternFill>
          <bgColor theme="7" tint="0.59996337778862885"/>
        </patternFill>
      </fill>
      <border>
        <bottom style="thin">
          <color rgb="FFFFC000"/>
        </bottom>
        <vertical/>
        <horizontal/>
      </border>
    </dxf>
    <dxf>
      <fill>
        <patternFill>
          <bgColor theme="7" tint="0.59996337778862885"/>
        </patternFill>
      </fill>
      <border>
        <top style="thin">
          <color rgb="FFFFC000"/>
        </top>
        <vertical/>
        <horizontal/>
      </border>
    </dxf>
    <dxf>
      <font>
        <color rgb="FFF36D00"/>
      </font>
    </dxf>
    <dxf>
      <font>
        <b val="0"/>
        <i val="0"/>
        <strike val="0"/>
        <condense val="0"/>
        <extend val="0"/>
        <outline val="0"/>
        <shadow val="0"/>
        <u val="none"/>
        <vertAlign val="baseline"/>
        <sz val="11"/>
        <color theme="2" tint="-0.749992370372631"/>
        <name val="Calibri"/>
        <scheme val="none"/>
      </font>
      <numFmt numFmtId="14" formatCode="0.00%"/>
      <fill>
        <patternFill patternType="none">
          <fgColor indexed="64"/>
          <bgColor auto="1"/>
        </patternFill>
      </fill>
    </dxf>
    <dxf>
      <font>
        <b val="0"/>
        <i val="0"/>
        <strike val="0"/>
        <condense val="0"/>
        <extend val="0"/>
        <outline val="0"/>
        <shadow val="0"/>
        <u val="none"/>
        <vertAlign val="baseline"/>
        <sz val="11"/>
        <color theme="2" tint="-0.749992370372631"/>
        <name val="Calibri"/>
        <scheme val="none"/>
      </font>
      <fill>
        <patternFill patternType="none">
          <fgColor indexed="64"/>
          <bgColor auto="1"/>
        </patternFill>
      </fill>
    </dxf>
    <dxf>
      <font>
        <b val="0"/>
        <i val="0"/>
        <strike val="0"/>
        <condense val="0"/>
        <extend val="0"/>
        <outline val="0"/>
        <shadow val="0"/>
        <u val="none"/>
        <vertAlign val="baseline"/>
        <sz val="11"/>
        <color theme="2" tint="-0.749992370372631"/>
        <name val="Calibri"/>
        <scheme val="none"/>
      </font>
      <fill>
        <patternFill patternType="none">
          <fgColor indexed="64"/>
          <bgColor auto="1"/>
        </patternFill>
      </fill>
    </dxf>
    <dxf>
      <font>
        <b val="0"/>
        <i val="0"/>
        <strike val="0"/>
        <condense val="0"/>
        <extend val="0"/>
        <outline val="0"/>
        <shadow val="0"/>
        <u val="none"/>
        <vertAlign val="baseline"/>
        <sz val="11"/>
        <color theme="2" tint="-0.749992370372631"/>
        <name val="Calibri"/>
        <scheme val="none"/>
      </font>
      <fill>
        <patternFill patternType="none">
          <fgColor indexed="64"/>
          <bgColor auto="1"/>
        </patternFill>
      </fill>
    </dxf>
    <dxf>
      <font>
        <b val="0"/>
        <i val="0"/>
        <strike val="0"/>
        <condense val="0"/>
        <extend val="0"/>
        <outline val="0"/>
        <shadow val="0"/>
        <u val="none"/>
        <vertAlign val="baseline"/>
        <sz val="11"/>
        <color theme="2" tint="-0.749992370372631"/>
        <name val="Calibri"/>
        <scheme val="none"/>
      </font>
      <fill>
        <patternFill patternType="none">
          <fgColor indexed="64"/>
          <bgColor auto="1"/>
        </patternFill>
      </fill>
    </dxf>
    <dxf>
      <font>
        <b val="0"/>
        <i val="0"/>
        <strike val="0"/>
        <condense val="0"/>
        <extend val="0"/>
        <outline val="0"/>
        <shadow val="0"/>
        <u val="none"/>
        <vertAlign val="baseline"/>
        <sz val="11"/>
        <color theme="2" tint="-0.749992370372631"/>
        <name val="Calibri"/>
        <scheme val="none"/>
      </font>
      <fill>
        <patternFill patternType="none">
          <fgColor indexed="64"/>
          <bgColor auto="1"/>
        </patternFill>
      </fill>
    </dxf>
    <dxf>
      <font>
        <b val="0"/>
        <i val="0"/>
        <strike val="0"/>
        <condense val="0"/>
        <extend val="0"/>
        <outline val="0"/>
        <shadow val="0"/>
        <u val="none"/>
        <vertAlign val="baseline"/>
        <sz val="11"/>
        <color theme="2" tint="-0.749992370372631"/>
        <name val="Calibri"/>
        <scheme val="none"/>
      </font>
      <fill>
        <patternFill patternType="none">
          <fgColor indexed="64"/>
          <bgColor auto="1"/>
        </patternFill>
      </fill>
    </dxf>
    <dxf>
      <border outline="0">
        <top style="thin">
          <color theme="1" tint="0.34998626667073579"/>
        </top>
      </border>
    </dxf>
    <dxf>
      <border outline="0">
        <left style="thin">
          <color theme="1" tint="0.34998626667073579"/>
        </left>
        <right style="thin">
          <color theme="1" tint="0.34998626667073579"/>
        </right>
        <top style="thin">
          <color theme="1" tint="0.34998626667073579"/>
        </top>
        <bottom style="thin">
          <color theme="1" tint="0.34998626667073579"/>
        </bottom>
      </border>
    </dxf>
    <dxf>
      <font>
        <b val="0"/>
        <i val="0"/>
        <strike val="0"/>
        <condense val="0"/>
        <extend val="0"/>
        <outline val="0"/>
        <shadow val="0"/>
        <u val="none"/>
        <vertAlign val="baseline"/>
        <sz val="11"/>
        <color theme="2" tint="-0.749992370372631"/>
        <name val="Calibri"/>
        <scheme val="none"/>
      </font>
      <fill>
        <patternFill patternType="none">
          <fgColor indexed="64"/>
          <bgColor auto="1"/>
        </patternFill>
      </fill>
    </dxf>
    <dxf>
      <border outline="0">
        <bottom style="thin">
          <color theme="1" tint="0.34998626667073579"/>
        </bottom>
      </border>
    </dxf>
    <dxf>
      <fill>
        <patternFill patternType="solid">
          <fgColor indexed="64"/>
          <bgColor rgb="FF0070C0"/>
        </patternFill>
      </fill>
      <alignment horizontal="left" vertical="bottom" textRotation="0" wrapText="0" indent="0" justifyLastLine="0" shrinkToFit="0" readingOrder="0"/>
      <border diagonalUp="0" diagonalDown="0" outline="0">
        <left style="thin">
          <color theme="1" tint="0.34998626667073579"/>
        </left>
        <right style="thin">
          <color theme="1" tint="0.34998626667073579"/>
        </right>
        <top/>
        <bottom/>
      </border>
    </dxf>
    <dxf>
      <fill>
        <patternFill>
          <bgColor rgb="FFF7F7F7"/>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ont>
        <b/>
        <i val="0"/>
        <color rgb="FFF36D00"/>
      </font>
    </dxf>
    <dxf>
      <font>
        <b/>
        <i val="0"/>
        <color rgb="FFB60000"/>
      </font>
    </dxf>
    <dxf>
      <font>
        <b/>
        <i val="0"/>
        <color rgb="FFB60000"/>
      </font>
    </dxf>
    <dxf>
      <font>
        <b/>
        <i val="0"/>
        <color rgb="FFF36D00"/>
      </font>
    </dxf>
    <dxf>
      <font>
        <b/>
        <i val="0"/>
        <color rgb="FFB60000"/>
      </font>
    </dxf>
    <dxf>
      <font>
        <b/>
        <i val="0"/>
        <color rgb="FFB60000"/>
      </font>
    </dxf>
    <dxf>
      <fill>
        <patternFill>
          <bgColor rgb="FFFFCCCC"/>
        </patternFill>
      </fill>
    </dxf>
    <dxf>
      <fill>
        <patternFill>
          <bgColor rgb="FFFFCCCC"/>
        </patternFill>
      </fill>
    </dxf>
    <dxf>
      <fill>
        <patternFill>
          <bgColor rgb="FFF6C2C2"/>
        </patternFill>
      </fill>
    </dxf>
    <dxf>
      <fill>
        <patternFill>
          <bgColor rgb="FFF6C2C2"/>
        </patternFill>
      </fill>
    </dxf>
    <dxf>
      <fill>
        <patternFill>
          <bgColor rgb="FFF6C2C2"/>
        </patternFill>
      </fill>
    </dxf>
    <dxf>
      <border>
        <left style="thin">
          <color rgb="FFE0E0E0"/>
        </left>
        <right style="thin">
          <color rgb="FFE0E0E0"/>
        </right>
        <top style="thin">
          <color rgb="FFE0E0E0"/>
        </top>
        <bottom style="thin">
          <color rgb="FFE0E0E0"/>
        </bottom>
        <vertical/>
        <horizontal/>
      </border>
    </dxf>
    <dxf>
      <font>
        <b val="0"/>
        <i val="0"/>
        <color theme="0" tint="-0.34998626667073579"/>
      </font>
    </dxf>
    <dxf>
      <fill>
        <patternFill>
          <bgColor rgb="FFFFCCCC"/>
        </patternFill>
      </fill>
    </dxf>
    <dxf>
      <fill>
        <patternFill>
          <bgColor rgb="FFF6C2C2"/>
        </patternFill>
      </fill>
    </dxf>
    <dxf>
      <font>
        <color theme="1" tint="0.24994659260841701"/>
      </font>
      <border>
        <left style="thin">
          <color rgb="FFE0E0E0"/>
        </left>
        <right style="thin">
          <color rgb="FFE0E0E0"/>
        </right>
        <top style="thin">
          <color rgb="FFE0E0E0"/>
        </top>
        <bottom style="thin">
          <color rgb="FFE0E0E0"/>
        </bottom>
        <vertical/>
        <horizontal/>
      </border>
    </dxf>
    <dxf>
      <font>
        <b val="0"/>
        <i val="0"/>
        <color theme="0" tint="-0.34998626667073579"/>
      </font>
    </dxf>
    <dxf>
      <fill>
        <patternFill>
          <bgColor rgb="FFFFCCCC"/>
        </patternFill>
      </fill>
    </dxf>
    <dxf>
      <font>
        <color rgb="FF494949"/>
      </font>
      <fill>
        <patternFill>
          <bgColor rgb="FFF6C2C2"/>
        </patternFill>
      </fill>
    </dxf>
    <dxf>
      <fill>
        <patternFill>
          <bgColor rgb="FFF6C2C2"/>
        </patternFill>
      </fill>
    </dxf>
    <dxf>
      <fill>
        <patternFill>
          <bgColor rgb="FFF6C2C2"/>
        </patternFill>
      </fill>
    </dxf>
    <dxf>
      <font>
        <color rgb="FFB60000"/>
      </font>
    </dxf>
    <dxf>
      <fill>
        <patternFill>
          <bgColor rgb="FFF6C2C2"/>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ont>
        <color rgb="FF494949"/>
      </font>
    </dxf>
    <dxf>
      <font>
        <color rgb="FF004165"/>
      </font>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7F7F7"/>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border>
        <left style="thin">
          <color rgb="FFE0E0E0"/>
        </left>
        <right style="thin">
          <color rgb="FFE0E0E0"/>
        </right>
        <top style="thin">
          <color rgb="FFE0E0E0"/>
        </top>
        <bottom style="thin">
          <color rgb="FFE0E0E0"/>
        </bottom>
      </border>
    </dxf>
    <dxf>
      <fill>
        <patternFill>
          <bgColor rgb="FFF6C2C2"/>
        </patternFill>
      </fill>
    </dxf>
    <dxf>
      <font>
        <color theme="0"/>
      </font>
      <fill>
        <patternFill>
          <bgColor theme="0"/>
        </patternFill>
      </fill>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border>
        <left style="thin">
          <color rgb="FFE0E0E0"/>
        </left>
        <right style="thin">
          <color rgb="FFE0E0E0"/>
        </right>
        <top style="thin">
          <color rgb="FFE0E0E0"/>
        </top>
        <bottom style="thin">
          <color rgb="FFE0E0E0"/>
        </bottom>
        <vertical/>
        <horizontal/>
      </border>
    </dxf>
    <dxf>
      <fill>
        <patternFill>
          <bgColor rgb="FFF7F7F7"/>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ont>
        <b/>
        <i val="0"/>
        <color rgb="FFF36D00"/>
      </font>
    </dxf>
    <dxf>
      <font>
        <b/>
        <i val="0"/>
        <color rgb="FFC00000"/>
      </font>
    </dxf>
    <dxf>
      <font>
        <b/>
        <i val="0"/>
        <color rgb="FFB60000"/>
      </font>
    </dxf>
    <dxf>
      <font>
        <b/>
        <i val="0"/>
        <color rgb="FFF36D00"/>
      </font>
    </dxf>
    <dxf>
      <font>
        <b/>
        <i val="0"/>
        <color rgb="FFC00000"/>
      </font>
    </dxf>
    <dxf>
      <font>
        <b/>
        <i val="0"/>
        <color rgb="FFC00000"/>
      </font>
    </dxf>
    <dxf>
      <font>
        <b/>
        <i val="0"/>
        <color rgb="FFF36D00"/>
      </font>
    </dxf>
    <dxf>
      <font>
        <b/>
        <i val="0"/>
        <color rgb="FFC00000"/>
      </font>
    </dxf>
    <dxf>
      <font>
        <b/>
        <i val="0"/>
        <color rgb="FFC00000"/>
      </font>
    </dxf>
    <dxf>
      <fill>
        <patternFill>
          <bgColor rgb="FFFFCCCC"/>
        </patternFill>
      </fill>
    </dxf>
    <dxf>
      <fill>
        <patternFill>
          <bgColor rgb="FFFFCCCC"/>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border>
        <left style="thin">
          <color rgb="FFE0E0E0"/>
        </left>
        <right style="thin">
          <color rgb="FFE0E0E0"/>
        </right>
        <top style="thin">
          <color rgb="FFE0E0E0"/>
        </top>
        <bottom style="thin">
          <color rgb="FFE0E0E0"/>
        </bottom>
        <vertical/>
        <horizontal/>
      </border>
    </dxf>
    <dxf>
      <fill>
        <patternFill>
          <bgColor rgb="FFF6C2C2"/>
        </patternFill>
      </fill>
    </dxf>
    <dxf>
      <font>
        <color theme="1" tint="0.24994659260841701"/>
      </font>
      <border>
        <left style="thin">
          <color rgb="FFE0E0E0"/>
        </left>
        <right style="thin">
          <color rgb="FFE0E0E0"/>
        </right>
        <top style="thin">
          <color rgb="FFE0E0E0"/>
        </top>
        <bottom style="thin">
          <color rgb="FFE0E0E0"/>
        </bottom>
        <vertical/>
        <horizontal/>
      </border>
    </dxf>
    <dxf>
      <font>
        <b val="0"/>
        <i val="0"/>
        <color theme="0" tint="-0.34998626667073579"/>
      </font>
    </dxf>
    <dxf>
      <fill>
        <patternFill>
          <bgColor rgb="FFFFCCCC"/>
        </patternFill>
      </fill>
    </dxf>
    <dxf>
      <fill>
        <patternFill>
          <bgColor rgb="FFF6C2C2"/>
        </patternFill>
      </fill>
    </dxf>
    <dxf>
      <font>
        <color rgb="FF494949"/>
      </font>
      <fill>
        <patternFill>
          <bgColor rgb="FFF6C2C2"/>
        </patternFill>
      </fill>
    </dxf>
    <dxf>
      <fill>
        <patternFill>
          <bgColor rgb="FFF6C2C2"/>
        </patternFill>
      </fill>
    </dxf>
    <dxf>
      <font>
        <color rgb="FFB60000"/>
      </font>
    </dxf>
    <dxf>
      <font>
        <color rgb="FF494949"/>
      </font>
    </dxf>
    <dxf>
      <fill>
        <patternFill>
          <bgColor rgb="FFF6C2C2"/>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7F7F7"/>
        </patternFill>
      </fill>
    </dxf>
    <dxf>
      <fill>
        <patternFill>
          <bgColor rgb="FFF6C2C2"/>
        </patternFill>
      </fill>
    </dxf>
    <dxf>
      <border>
        <left style="thin">
          <color rgb="FFE0E0E0"/>
        </left>
        <right style="thin">
          <color rgb="FFE0E0E0"/>
        </right>
        <top style="thin">
          <color rgb="FFE0E0E0"/>
        </top>
        <bottom style="thin">
          <color rgb="FFE0E0E0"/>
        </bottom>
      </border>
    </dxf>
    <dxf>
      <fill>
        <patternFill>
          <bgColor rgb="FFF6C2C2"/>
        </patternFill>
      </fill>
    </dxf>
    <dxf>
      <font>
        <color theme="0"/>
      </font>
      <fill>
        <patternFill>
          <bgColor theme="0"/>
        </patternFill>
      </fill>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ill>
        <patternFill>
          <bgColor rgb="FFF6C2C2"/>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border>
        <left style="thin">
          <color rgb="FFE0E0E0"/>
        </left>
        <right style="thin">
          <color rgb="FFE0E0E0"/>
        </right>
        <top style="thin">
          <color rgb="FFE0E0E0"/>
        </top>
        <bottom style="thin">
          <color rgb="FFE0E0E0"/>
        </bottom>
        <vertical/>
        <horizontal/>
      </border>
    </dxf>
    <dxf>
      <border>
        <left style="thin">
          <color rgb="FFE0E0E0"/>
        </left>
        <right style="thin">
          <color rgb="FFE0E0E0"/>
        </right>
        <top style="thin">
          <color rgb="FFE0E0E0"/>
        </top>
        <bottom style="thin">
          <color rgb="FFE0E0E0"/>
        </bottom>
        <vertical/>
        <horizontal/>
      </border>
    </dxf>
    <dxf>
      <font>
        <color rgb="FF004165"/>
      </font>
    </dxf>
    <dxf>
      <font>
        <color rgb="FF004165"/>
      </font>
    </dxf>
    <dxf>
      <font>
        <color rgb="FF004165"/>
      </font>
    </dxf>
    <dxf>
      <font>
        <b/>
        <i val="0"/>
        <color rgb="FFF36D00"/>
      </font>
    </dxf>
    <dxf>
      <font>
        <b/>
        <i val="0"/>
        <color rgb="FFB60000"/>
      </font>
    </dxf>
    <dxf>
      <font>
        <b/>
        <i val="0"/>
        <color rgb="FFB60000"/>
      </font>
    </dxf>
    <dxf>
      <font>
        <b/>
        <i val="0"/>
        <color rgb="FFF36D00"/>
      </font>
    </dxf>
    <dxf>
      <font>
        <b/>
        <i val="0"/>
        <color rgb="FFB60000"/>
      </font>
    </dxf>
    <dxf>
      <font>
        <b/>
        <i val="0"/>
        <color rgb="FFB60000"/>
      </font>
    </dxf>
    <dxf>
      <fill>
        <patternFill>
          <bgColor rgb="FFF7F7F7"/>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ont>
        <b/>
        <i val="0"/>
        <color rgb="FFF36D00"/>
      </font>
    </dxf>
    <dxf>
      <font>
        <b/>
        <i val="0"/>
        <color rgb="FFB60000"/>
      </font>
    </dxf>
    <dxf>
      <font>
        <b/>
        <i val="0"/>
        <color rgb="FFB60000"/>
      </font>
    </dxf>
    <dxf>
      <font>
        <b/>
        <i val="0"/>
        <color rgb="FFF36D00"/>
      </font>
    </dxf>
    <dxf>
      <font>
        <b/>
        <i val="0"/>
        <color rgb="FFB60000"/>
      </font>
    </dxf>
    <dxf>
      <font>
        <b/>
        <i val="0"/>
        <color rgb="FFB60000"/>
      </font>
    </dxf>
    <dxf>
      <fill>
        <patternFill>
          <bgColor rgb="FFFFCCCC"/>
        </patternFill>
      </fill>
    </dxf>
    <dxf>
      <fill>
        <patternFill>
          <bgColor rgb="FFFFCCCC"/>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border>
        <left style="thin">
          <color rgb="FFE0E0E0"/>
        </left>
        <right style="thin">
          <color rgb="FFE0E0E0"/>
        </right>
        <top style="thin">
          <color rgb="FFE0E0E0"/>
        </top>
        <bottom style="thin">
          <color rgb="FFE0E0E0"/>
        </bottom>
        <vertical/>
        <horizontal/>
      </border>
    </dxf>
    <dxf>
      <fill>
        <patternFill>
          <bgColor rgb="FFF6C2C2"/>
        </patternFill>
      </fill>
    </dxf>
    <dxf>
      <font>
        <color theme="1" tint="0.24994659260841701"/>
      </font>
      <border>
        <left style="thin">
          <color rgb="FFE0E0E0"/>
        </left>
        <right style="thin">
          <color rgb="FFE0E0E0"/>
        </right>
        <top style="thin">
          <color rgb="FFE0E0E0"/>
        </top>
        <bottom style="thin">
          <color rgb="FFE0E0E0"/>
        </bottom>
        <vertical/>
        <horizontal/>
      </border>
    </dxf>
    <dxf>
      <font>
        <b val="0"/>
        <i val="0"/>
        <color theme="0" tint="-0.34998626667073579"/>
      </font>
    </dxf>
    <dxf>
      <fill>
        <patternFill>
          <bgColor rgb="FFFFCCCC"/>
        </patternFill>
      </fill>
    </dxf>
    <dxf>
      <fill>
        <patternFill>
          <bgColor rgb="FFF6C2C2"/>
        </patternFill>
      </fill>
    </dxf>
    <dxf>
      <font>
        <color rgb="FF494949"/>
      </font>
      <fill>
        <patternFill>
          <bgColor rgb="FFF6C2C2"/>
        </patternFill>
      </fill>
    </dxf>
    <dxf>
      <fill>
        <patternFill>
          <bgColor rgb="FFF6C2C2"/>
        </patternFill>
      </fill>
    </dxf>
    <dxf>
      <font>
        <color rgb="FFB60000"/>
      </font>
    </dxf>
    <dxf>
      <fill>
        <patternFill>
          <bgColor rgb="FFF6C2C2"/>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ill>
        <patternFill>
          <bgColor rgb="FFF6C2C2"/>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7F7F7"/>
        </patternFill>
      </fill>
    </dxf>
    <dxf>
      <border>
        <left style="thin">
          <color rgb="FFE0E0E0"/>
        </left>
        <right style="thin">
          <color rgb="FFE0E0E0"/>
        </right>
        <top style="thin">
          <color rgb="FFE0E0E0"/>
        </top>
        <bottom style="thin">
          <color rgb="FFE0E0E0"/>
        </bottom>
      </border>
    </dxf>
    <dxf>
      <fill>
        <patternFill>
          <bgColor rgb="FFF6C2C2"/>
        </patternFill>
      </fill>
    </dxf>
    <dxf>
      <font>
        <color theme="0"/>
      </font>
      <fill>
        <patternFill>
          <bgColor theme="0"/>
        </patternFill>
      </fill>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font>
        <color rgb="FF494949"/>
      </font>
      <fill>
        <patternFill>
          <bgColor rgb="FFF7F7F7"/>
        </patternFill>
      </fill>
      <border>
        <left style="thin">
          <color rgb="FFE0E0E0"/>
        </left>
        <right style="thin">
          <color rgb="FFE0E0E0"/>
        </right>
        <top style="thin">
          <color rgb="FFE0E0E0"/>
        </top>
        <bottom style="thin">
          <color rgb="FFE0E0E0"/>
        </bottom>
        <vertical/>
        <horizontal/>
      </border>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border>
        <left style="thin">
          <color rgb="FFE0E0E0"/>
        </left>
        <right style="thin">
          <color rgb="FFE0E0E0"/>
        </right>
        <top style="thin">
          <color rgb="FFE0E0E0"/>
        </top>
        <bottom style="thin">
          <color rgb="FFE0E0E0"/>
        </bottom>
        <vertical/>
        <horizontal/>
      </border>
    </dxf>
    <dxf>
      <border>
        <left style="thin">
          <color rgb="FFE0E0E0"/>
        </left>
        <right style="thin">
          <color rgb="FFE0E0E0"/>
        </right>
        <top style="thin">
          <color rgb="FFE0E0E0"/>
        </top>
        <bottom style="thin">
          <color rgb="FFE0E0E0"/>
        </bottom>
        <vertical/>
        <horizontal/>
      </border>
    </dxf>
    <dxf>
      <font>
        <b/>
        <i val="0"/>
        <color rgb="FFF36D00"/>
      </font>
    </dxf>
    <dxf>
      <font>
        <b/>
        <i val="0"/>
        <color rgb="FFB60000"/>
      </font>
    </dxf>
    <dxf>
      <font>
        <b/>
        <i val="0"/>
        <color rgb="FFB60000"/>
      </font>
    </dxf>
    <dxf>
      <font>
        <b/>
        <i val="0"/>
        <color rgb="FFF36D00"/>
      </font>
    </dxf>
    <dxf>
      <font>
        <b/>
        <i val="0"/>
        <color rgb="FFB60000"/>
      </font>
    </dxf>
    <dxf>
      <font>
        <b/>
        <i val="0"/>
        <color rgb="FFB60000"/>
      </font>
    </dxf>
    <dxf>
      <fill>
        <patternFill>
          <bgColor rgb="FFF7F7F7"/>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ont>
        <b/>
        <i val="0"/>
        <color rgb="FFF36D00"/>
      </font>
    </dxf>
    <dxf>
      <font>
        <b/>
        <i val="0"/>
        <color rgb="FFB60000"/>
      </font>
    </dxf>
    <dxf>
      <font>
        <b/>
        <i val="0"/>
        <color rgb="FFB60000"/>
      </font>
    </dxf>
    <dxf>
      <font>
        <b/>
        <i val="0"/>
        <color rgb="FFF36D00"/>
      </font>
    </dxf>
    <dxf>
      <font>
        <b/>
        <i val="0"/>
        <color rgb="FFB60000"/>
      </font>
    </dxf>
    <dxf>
      <font>
        <b/>
        <i val="0"/>
        <color rgb="FFB60000"/>
      </font>
    </dxf>
    <dxf>
      <fill>
        <patternFill>
          <bgColor rgb="FFFFCCCC"/>
        </patternFill>
      </fill>
    </dxf>
    <dxf>
      <fill>
        <patternFill>
          <bgColor rgb="FFFFCCCC"/>
        </patternFill>
      </fill>
    </dxf>
    <dxf>
      <fill>
        <patternFill>
          <bgColor rgb="FFF6C2C2"/>
        </patternFill>
      </fill>
    </dxf>
    <dxf>
      <border>
        <left style="thin">
          <color rgb="FFE0E0E0"/>
        </left>
        <right style="thin">
          <color rgb="FFE0E0E0"/>
        </right>
        <top style="thin">
          <color rgb="FFE0E0E0"/>
        </top>
        <bottom style="thin">
          <color rgb="FFE0E0E0"/>
        </bottom>
        <vertical/>
        <horizontal/>
      </border>
    </dxf>
    <dxf>
      <font>
        <color rgb="FF494949"/>
      </font>
      <fill>
        <patternFill>
          <bgColor rgb="FFF6C2C2"/>
        </patternFill>
      </fill>
    </dxf>
    <dxf>
      <font>
        <b val="0"/>
        <i val="0"/>
        <color theme="0" tint="-0.34998626667073579"/>
      </font>
    </dxf>
    <dxf>
      <fill>
        <patternFill>
          <bgColor rgb="FFFFCCCC"/>
        </patternFill>
      </fill>
    </dxf>
    <dxf>
      <fill>
        <patternFill>
          <bgColor rgb="FFF6C2C2"/>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ont>
        <color rgb="FF494949"/>
      </font>
    </dxf>
    <dxf>
      <fill>
        <patternFill>
          <bgColor rgb="FFF6C2C2"/>
        </patternFill>
      </fill>
    </dxf>
    <dxf>
      <fill>
        <patternFill>
          <bgColor rgb="FFF6C2C2"/>
        </patternFill>
      </fill>
    </dxf>
    <dxf>
      <font>
        <color theme="1" tint="0.24994659260841701"/>
      </font>
      <border>
        <left style="thin">
          <color rgb="FFE0E0E0"/>
        </left>
        <right style="thin">
          <color rgb="FFE0E0E0"/>
        </right>
        <top style="thin">
          <color rgb="FFE0E0E0"/>
        </top>
        <bottom style="thin">
          <color rgb="FFE0E0E0"/>
        </bottom>
        <vertical/>
        <horizontal/>
      </border>
    </dxf>
    <dxf>
      <fill>
        <patternFill patternType="none">
          <bgColor auto="1"/>
        </patternFill>
      </fill>
      <border>
        <left style="thin">
          <color rgb="FFE0E0E0"/>
        </left>
        <right style="thin">
          <color rgb="FFE0E0E0"/>
        </right>
        <top style="thin">
          <color rgb="FFE0E0E0"/>
        </top>
        <bottom style="thin">
          <color rgb="FFE0E0E0"/>
        </bottom>
        <vertical/>
        <horizontal/>
      </border>
    </dxf>
    <dxf>
      <font>
        <color rgb="FF004165"/>
      </font>
    </dxf>
    <dxf>
      <fill>
        <patternFill>
          <bgColor rgb="FFF6C2C2"/>
        </patternFill>
      </fill>
    </dxf>
    <dxf>
      <fill>
        <patternFill>
          <bgColor rgb="FFF6C2C2"/>
        </patternFill>
      </fill>
    </dxf>
    <dxf>
      <fill>
        <patternFill>
          <bgColor rgb="FFFFCCCC"/>
        </patternFill>
      </fill>
    </dxf>
    <dxf>
      <fill>
        <patternFill>
          <bgColor rgb="FFFFCCCC"/>
        </patternFill>
      </fill>
    </dxf>
    <dxf>
      <fill>
        <patternFill>
          <bgColor rgb="FFF6C2C2"/>
        </patternFill>
      </fill>
    </dxf>
    <dxf>
      <border>
        <left style="thin">
          <color rgb="FFE0E0E0"/>
        </left>
        <right style="thin">
          <color rgb="FFE0E0E0"/>
        </right>
        <top style="thin">
          <color rgb="FFE0E0E0"/>
        </top>
        <bottom style="thin">
          <color rgb="FFE0E0E0"/>
        </bottom>
        <vertical/>
        <horizontal/>
      </border>
    </dxf>
    <dxf>
      <font>
        <color rgb="FF494949"/>
      </font>
      <fill>
        <patternFill>
          <bgColor rgb="FFF6C2C2"/>
        </patternFill>
      </fill>
    </dxf>
    <dxf>
      <font>
        <b val="0"/>
        <i val="0"/>
        <color theme="0" tint="-0.34998626667073579"/>
      </font>
    </dxf>
    <dxf>
      <fill>
        <patternFill>
          <bgColor rgb="FFFFCCCC"/>
        </patternFill>
      </fill>
    </dxf>
    <dxf>
      <fill>
        <patternFill>
          <bgColor rgb="FFF6C2C2"/>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ont>
        <color rgb="FF494949"/>
      </font>
    </dxf>
    <dxf>
      <fill>
        <patternFill>
          <bgColor rgb="FFF6C2C2"/>
        </patternFill>
      </fill>
    </dxf>
    <dxf>
      <fill>
        <patternFill>
          <bgColor rgb="FFF6C2C2"/>
        </patternFill>
      </fill>
    </dxf>
    <dxf>
      <font>
        <color theme="1" tint="0.24994659260841701"/>
      </font>
      <border>
        <left style="thin">
          <color rgb="FFE0E0E0"/>
        </left>
        <right style="thin">
          <color rgb="FFE0E0E0"/>
        </right>
        <top style="thin">
          <color rgb="FFE0E0E0"/>
        </top>
        <bottom style="thin">
          <color rgb="FFE0E0E0"/>
        </bottom>
        <vertical/>
        <horizontal/>
      </border>
    </dxf>
    <dxf>
      <fill>
        <patternFill patternType="none">
          <bgColor auto="1"/>
        </patternFill>
      </fill>
      <border>
        <left style="thin">
          <color rgb="FFE0E0E0"/>
        </left>
        <right style="thin">
          <color rgb="FFE0E0E0"/>
        </right>
        <top style="thin">
          <color rgb="FFE0E0E0"/>
        </top>
        <bottom style="thin">
          <color rgb="FFE0E0E0"/>
        </bottom>
        <vertical/>
        <horizontal/>
      </border>
    </dxf>
    <dxf>
      <font>
        <color rgb="FF004165"/>
      </font>
    </dxf>
    <dxf>
      <fill>
        <patternFill>
          <bgColor rgb="FFF6C2C2"/>
        </patternFill>
      </fill>
    </dxf>
    <dxf>
      <fill>
        <patternFill>
          <bgColor rgb="FFF6C2C2"/>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6C2C2"/>
        </patternFill>
      </fill>
    </dxf>
    <dxf>
      <fill>
        <patternFill>
          <bgColor rgb="FFF6C2C2"/>
        </patternFill>
      </fill>
    </dxf>
    <dxf>
      <fill>
        <patternFill>
          <bgColor rgb="FFF6C2C2"/>
        </patternFill>
      </fill>
    </dxf>
    <dxf>
      <fill>
        <patternFill>
          <bgColor rgb="FFF6C2C2"/>
        </patternFill>
      </fill>
    </dxf>
    <dxf>
      <border>
        <left style="thin">
          <color rgb="FFE0E0E0"/>
        </left>
        <right style="thin">
          <color rgb="FFE0E0E0"/>
        </right>
        <top style="thin">
          <color rgb="FFE0E0E0"/>
        </top>
        <bottom style="thin">
          <color rgb="FFE0E0E0"/>
        </bottom>
        <vertical/>
        <horizontal/>
      </border>
    </dxf>
    <dxf>
      <font>
        <color rgb="FF494949"/>
      </font>
      <fill>
        <patternFill>
          <bgColor rgb="FFF6C2C2"/>
        </patternFill>
      </fill>
    </dxf>
    <dxf>
      <font>
        <b val="0"/>
        <i val="0"/>
        <color theme="0" tint="-0.34998626667073579"/>
      </font>
    </dxf>
    <dxf>
      <fill>
        <patternFill>
          <bgColor rgb="FFFFCCCC"/>
        </patternFill>
      </fill>
    </dxf>
    <dxf>
      <fill>
        <patternFill>
          <bgColor rgb="FFF6C2C2"/>
        </patternFill>
      </fill>
    </dxf>
    <dxf>
      <fill>
        <patternFill patternType="none">
          <bgColor auto="1"/>
        </patternFill>
      </fill>
      <border>
        <left style="thin">
          <color rgb="FFE0E0E0"/>
        </left>
        <right style="thin">
          <color rgb="FFE0E0E0"/>
        </right>
        <top style="thin">
          <color rgb="FFE0E0E0"/>
        </top>
        <bottom style="thin">
          <color rgb="FFE0E0E0"/>
        </bottom>
        <vertical/>
        <horizontal/>
      </border>
    </dxf>
    <dxf>
      <fill>
        <patternFill>
          <bgColor rgb="FFF6C2C2"/>
        </patternFill>
      </fill>
    </dxf>
    <dxf>
      <font>
        <color rgb="FF494949"/>
      </font>
    </dxf>
    <dxf>
      <fill>
        <patternFill>
          <bgColor rgb="FFF6C2C2"/>
        </patternFill>
      </fill>
    </dxf>
    <dxf>
      <fill>
        <patternFill>
          <bgColor rgb="FFF6C2C2"/>
        </patternFill>
      </fill>
    </dxf>
    <dxf>
      <font>
        <color theme="1" tint="0.24994659260841701"/>
      </font>
      <border>
        <left style="thin">
          <color rgb="FFE0E0E0"/>
        </left>
        <right style="thin">
          <color rgb="FFE0E0E0"/>
        </right>
        <top style="thin">
          <color rgb="FFE0E0E0"/>
        </top>
        <bottom style="thin">
          <color rgb="FFE0E0E0"/>
        </bottom>
        <vertical/>
        <horizontal/>
      </border>
    </dxf>
    <dxf>
      <fill>
        <patternFill patternType="none">
          <bgColor auto="1"/>
        </patternFill>
      </fill>
      <border>
        <left style="thin">
          <color rgb="FFE0E0E0"/>
        </left>
        <right style="thin">
          <color rgb="FFE0E0E0"/>
        </right>
        <top style="thin">
          <color rgb="FFE0E0E0"/>
        </top>
        <bottom style="thin">
          <color rgb="FFE0E0E0"/>
        </bottom>
        <vertical/>
        <horizontal/>
      </border>
    </dxf>
    <dxf>
      <font>
        <color rgb="FF004165"/>
      </font>
    </dxf>
    <dxf>
      <font>
        <color rgb="FFB60000"/>
      </font>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font>
        <color theme="1" tint="0.24994659260841701"/>
      </font>
      <fill>
        <patternFill>
          <bgColor rgb="FFF7F7F7"/>
        </patternFill>
      </fill>
      <border>
        <left style="thin">
          <color rgb="FFE0E0E0"/>
        </left>
        <right style="thin">
          <color rgb="FFE0E0E0"/>
        </right>
        <top style="thin">
          <color rgb="FFE0E0E0"/>
        </top>
        <bottom style="thin">
          <color rgb="FFE0E0E0"/>
        </bottom>
        <vertical/>
        <horizontal/>
      </border>
    </dxf>
    <dxf>
      <border>
        <left style="thin">
          <color rgb="FFE0E0E0"/>
        </left>
        <right style="thin">
          <color rgb="FFE0E0E0"/>
        </right>
        <top style="thin">
          <color rgb="FFE0E0E0"/>
        </top>
        <bottom style="thin">
          <color rgb="FFE0E0E0"/>
        </bottom>
        <vertical/>
        <horizontal/>
      </border>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theme="0" tint="-4.9989318521683403E-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fill>
        <patternFill>
          <bgColor rgb="FFF6C2C2"/>
        </patternFill>
      </fill>
    </dxf>
    <dxf>
      <border>
        <left style="thin">
          <color rgb="FFE0E0E0"/>
        </left>
        <right style="thin">
          <color rgb="FFE0E0E0"/>
        </right>
        <top style="thin">
          <color rgb="FFE0E0E0"/>
        </top>
        <bottom style="thin">
          <color rgb="FFE0E0E0"/>
        </bottom>
      </border>
    </dxf>
    <dxf>
      <fill>
        <patternFill>
          <bgColor rgb="FFF6C2C2"/>
        </patternFill>
      </fill>
    </dxf>
    <dxf>
      <font>
        <color theme="0"/>
      </font>
      <fill>
        <patternFill>
          <bgColor theme="0"/>
        </patternFill>
      </fill>
    </dxf>
    <dxf>
      <font>
        <color rgb="FF494949"/>
      </font>
      <fill>
        <patternFill>
          <bgColor rgb="FFF7F7F7"/>
        </patternFill>
      </fill>
      <border>
        <left style="thin">
          <color rgb="FFE0E0E0"/>
        </left>
        <right style="thin">
          <color rgb="FFE0E0E0"/>
        </right>
        <top style="thin">
          <color rgb="FFE0E0E0"/>
        </top>
        <bottom style="thin">
          <color rgb="FFE0E0E0"/>
        </bottom>
        <vertical/>
        <horizontal/>
      </border>
    </dxf>
    <dxf>
      <font>
        <color rgb="FF494949"/>
      </font>
      <fill>
        <patternFill>
          <bgColor rgb="FFF7F7F7"/>
        </patternFill>
      </fill>
      <border>
        <left style="thin">
          <color rgb="FFE0E0E0"/>
        </left>
        <right style="thin">
          <color rgb="FFE0E0E0"/>
        </right>
        <top style="thin">
          <color rgb="FFE0E0E0"/>
        </top>
        <bottom style="thin">
          <color rgb="FFE0E0E0"/>
        </bottom>
        <vertical/>
        <horizontal/>
      </border>
    </dxf>
    <dxf>
      <border>
        <left style="thin">
          <color rgb="FFE0E0E0"/>
        </left>
        <right style="thin">
          <color rgb="FFE0E0E0"/>
        </right>
        <top style="thin">
          <color rgb="FFE0E0E0"/>
        </top>
        <bottom style="thin">
          <color rgb="FFE0E0E0"/>
        </bottom>
        <vertical/>
        <horizontal/>
      </border>
    </dxf>
    <dxf>
      <border>
        <left style="thin">
          <color rgb="FFE0E0E0"/>
        </left>
        <right style="thin">
          <color rgb="FFE0E0E0"/>
        </right>
        <top style="thin">
          <color rgb="FFE0E0E0"/>
        </top>
        <bottom style="thin">
          <color rgb="FFE0E0E0"/>
        </bottom>
        <vertical/>
        <horizontal/>
      </border>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rgb="FFF6C2C2"/>
        </patternFill>
      </fill>
    </dxf>
    <dxf>
      <fill>
        <patternFill>
          <bgColor rgb="FFFFCCCC"/>
        </patternFill>
      </fill>
    </dxf>
    <dxf>
      <fill>
        <patternFill>
          <bgColor rgb="FFFFCCCC"/>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theme="8" tint="0.79998168889431442"/>
        </patternFill>
      </fill>
    </dxf>
    <dxf>
      <fill>
        <patternFill>
          <bgColor theme="0" tint="-4.9989318521683403E-2"/>
        </patternFill>
      </fill>
    </dxf>
    <dxf>
      <fill>
        <patternFill>
          <bgColor rgb="FFFFCCCC"/>
        </patternFill>
      </fill>
    </dxf>
    <dxf>
      <fill>
        <patternFill>
          <bgColor theme="0" tint="-4.9989318521683403E-2"/>
        </patternFill>
      </fill>
    </dxf>
    <dxf>
      <fill>
        <patternFill>
          <bgColor rgb="FFFFCCCC"/>
        </patternFill>
      </fill>
    </dxf>
    <dxf>
      <fill>
        <patternFill>
          <bgColor rgb="FFFFCCCC"/>
        </patternFill>
      </fill>
    </dxf>
    <dxf>
      <fill>
        <patternFill>
          <bgColor theme="0" tint="-4.9989318521683403E-2"/>
        </patternFill>
      </fill>
    </dxf>
    <dxf>
      <fill>
        <patternFill>
          <bgColor rgb="FFFFCCCC"/>
        </patternFill>
      </fill>
    </dxf>
    <dxf>
      <fill>
        <patternFill>
          <bgColor rgb="FFF6C2C2"/>
        </patternFill>
      </fill>
    </dxf>
    <dxf>
      <fill>
        <patternFill>
          <bgColor theme="8" tint="0.79998168889431442"/>
        </patternFill>
      </fill>
    </dxf>
    <dxf>
      <fill>
        <patternFill>
          <bgColor rgb="FFF7F7F7"/>
        </patternFill>
      </fill>
    </dxf>
    <dxf>
      <fill>
        <patternFill>
          <bgColor rgb="FFF6C2C2"/>
        </patternFill>
      </fill>
    </dxf>
    <dxf>
      <fill>
        <patternFill>
          <bgColor rgb="FFF7F7F7"/>
        </patternFill>
      </fill>
    </dxf>
    <dxf>
      <fill>
        <patternFill>
          <bgColor rgb="FFF6C2C2"/>
        </patternFill>
      </fill>
    </dxf>
    <dxf>
      <fill>
        <patternFill>
          <bgColor rgb="FFFFE699"/>
        </patternFill>
      </fill>
      <border>
        <left style="thin">
          <color rgb="FFFFC000"/>
        </left>
        <right style="thin">
          <color rgb="FFFFC000"/>
        </right>
        <top style="thin">
          <color rgb="FFFFC000"/>
        </top>
        <bottom style="thin">
          <color rgb="FFFFC000"/>
        </bottom>
        <vertical/>
        <horizontal/>
      </border>
    </dxf>
    <dxf>
      <fill>
        <patternFill>
          <bgColor rgb="FFFFE699"/>
        </patternFill>
      </fill>
      <border>
        <left style="thin">
          <color rgb="FFFFC000"/>
        </left>
        <right style="thin">
          <color rgb="FFFFC000"/>
        </right>
        <top style="thin">
          <color rgb="FFFFC000"/>
        </top>
        <bottom style="thin">
          <color rgb="FFFFC000"/>
        </bottom>
        <vertical/>
        <horizontal/>
      </border>
    </dxf>
  </dxfs>
  <tableStyles count="0" defaultTableStyle="TableStyleMedium2" defaultPivotStyle="PivotStyleLight16"/>
  <colors>
    <mruColors>
      <color rgb="FFFFCCCC"/>
      <color rgb="FFFBFCCE"/>
      <color rgb="FFF6C2C2"/>
      <color rgb="FFF7F7F7"/>
      <color rgb="FFF36D00"/>
      <color rgb="FFFFC000"/>
      <color rgb="FFFFE699"/>
      <color rgb="FFF0FAFF"/>
      <color rgb="FF494949"/>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productdata">
        <xsd:complexType>
          <xsd:sequence minOccurs="0">
            <xsd:element minOccurs="0" nillable="true" name="country" form="unqualified">
              <xsd:complexType>
                <xsd:sequence minOccurs="0">
                  <xsd:element minOccurs="0" nillable="true" name="interestrates" form="unqualified">
                    <xsd:complexType>
                      <xsd:sequence minOccurs="0">
                        <xsd:element minOccurs="0" maxOccurs="unbounded" nillable="true" name="section" form="unqualified">
                          <xsd:complexType>
                            <xsd:sequence minOccurs="0">
                              <xsd:element minOccurs="0" nillable="true" type="xsd:string" name="sectiondescription" form="unqualified"/>
                              <xsd:element minOccurs="0" nillable="true" type="xsd:string" name="sectioneffectivedate" form="unqualified"/>
                              <xsd:element minOccurs="0" nillable="true" type="xsd:string" name="sectioneffectivedateraw" form="unqualified"/>
                              <xsd:element minOccurs="0" nillable="true" type="xsd:string" name="informationurl" form="unqualified"/>
                              <xsd:element minOccurs="0" nillable="true" type="xsd:string" name="sectiondisclaimer" form="unqualified"/>
                              <xsd:element minOccurs="0" maxOccurs="unbounded" nillable="true" name="subsection" form="unqualified">
                                <xsd:complexType>
                                  <xsd:sequence minOccurs="0">
                                    <xsd:element minOccurs="0" nillable="true" type="xsd:string" name="subsectiondescription" form="unqualified"/>
                                    <xsd:element minOccurs="0" nillable="true" type="xsd:string" name="tiergrouptitle1" form="unqualified"/>
                                    <xsd:element minOccurs="0" nillable="true" type="xsd:string" name="tiergrouptitle2" form="unqualified"/>
                                    <xsd:element minOccurs="0" nillable="true" type="xsd:string" name="subsectiondisclaimer" form="unqualified"/>
                                    <xsd:element minOccurs="0" maxOccurs="unbounded" nillable="true" name="baserate" form="unqualified">
                                      <xsd:complexType>
                                        <xsd:sequence minOccurs="0">
                                          <xsd:element minOccurs="0" nillable="true" type="xsd:string" name="ratename" form="unqualified"/>
                                          <xsd:element minOccurs="0" nillable="true" type="xsd:string" name="ratetype" form="unqualified"/>
                                          <xsd:element minOccurs="0" nillable="true" type="xsd:string" name="ratevalue" form="unqualified"/>
                                          <xsd:element minOccurs="0" nillable="true" type="xsd:string" name="ratesuffix" form="unqualified"/>
                                          <xsd:element minOccurs="0" nillable="true" type="xsd:string" name="ratenote" form="unqualified"/>
                                          <xsd:element minOccurs="0" nillable="true" type="xsd:string" name="tiername1" form="unqualified"/>
                                          <xsd:element minOccurs="0" nillable="true" type="xsd:string" name="tiername2" form="unqualified"/>
                                        </xsd:sequence>
                                        <xsd:attribute name="code" form="unqualified" type="xsd:string"/>
                                        <xsd:attribute name="isactive" form="unqualified" type="xsd:integer"/>
                                        <xsd:attribute name="isfordisplay" form="unqualified" type="xsd:integer"/>
                                      </xsd:complexType>
                                    </xsd:element>
                                  </xsd:sequence>
                                  <xsd:attribute name="code" form="unqualified" type="xsd:string"/>
                                  <xsd:attribute name="name" form="unqualified" type="xsd:string"/>
                                  <xsd:attribute name="isactive" form="unqualified" type="xsd:integer"/>
                                  <xsd:attribute name="isfordisplay" form="unqualified" type="xsd:integer"/>
                                </xsd:complexType>
                              </xsd:element>
                            </xsd:sequence>
                            <xsd:attribute name="code" form="unqualified" type="xsd:string"/>
                            <xsd:attribute name="name" form="unqualified" type="xsd:string"/>
                            <xsd:attribute name="isactive" form="unqualified" type="xsd:integer"/>
                            <xsd:attribute name="isfordisplay" form="unqualified" type="xsd:integer"/>
                          </xsd:complexType>
                        </xsd:element>
                      </xsd:sequence>
                    </xsd:complexType>
                  </xsd:element>
                </xsd:sequence>
                <xsd:attribute name="code" form="unqualified" type="xsd:string"/>
                <xsd:attribute name="name" form="unqualified" type="xsd:string"/>
                <xsd:attribute name="isactive" form="unqualified" type="xsd:integer"/>
              </xsd:complexType>
            </xsd:element>
          </xsd:sequence>
        </xsd:complexType>
      </xsd:element>
    </xsd:schema>
  </Schema>
  <Map ID="1" Name="productdata_Map" RootElement="productdata"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xmlMaps" Target="xmlMaps.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148" lockText="1" noThreeD="1"/>
</file>

<file path=xl/ctrlProps/ctrlProp2.xml><?xml version="1.0" encoding="utf-8"?>
<formControlPr xmlns="http://schemas.microsoft.com/office/spreadsheetml/2009/9/main" objectType="CheckBox" fmlaLink="$F$148" lockText="1" noThreeD="1"/>
</file>

<file path=xl/ctrlProps/ctrlProp3.xml><?xml version="1.0" encoding="utf-8"?>
<formControlPr xmlns="http://schemas.microsoft.com/office/spreadsheetml/2009/9/main" objectType="CheckBox" fmlaLink="$F$27" lockText="1" noThreeD="1"/>
</file>

<file path=xl/ctrlProps/ctrlProp4.xml><?xml version="1.0" encoding="utf-8"?>
<formControlPr xmlns="http://schemas.microsoft.com/office/spreadsheetml/2009/9/main" objectType="CheckBox" fmlaLink="$F$28" lockText="1" noThreeD="1"/>
</file>

<file path=xl/ctrlProps/ctrlProp5.xml><?xml version="1.0" encoding="utf-8"?>
<formControlPr xmlns="http://schemas.microsoft.com/office/spreadsheetml/2009/9/main" objectType="CheckBox" fmlaLink="$F$29" lockText="1" noThreeD="1"/>
</file>

<file path=xl/ctrlProps/ctrlProp6.xml><?xml version="1.0" encoding="utf-8"?>
<formControlPr xmlns="http://schemas.microsoft.com/office/spreadsheetml/2009/9/main" objectType="CheckBox" fmlaLink="$I$26" lockText="1" noThreeD="1"/>
</file>

<file path=xl/ctrlProps/ctrlProp7.xml><?xml version="1.0" encoding="utf-8"?>
<formControlPr xmlns="http://schemas.microsoft.com/office/spreadsheetml/2009/9/main" objectType="CheckBox" fmlaLink="$I$27" lockText="1" noThreeD="1"/>
</file>

<file path=xl/ctrlProps/ctrlProp8.xml><?xml version="1.0" encoding="utf-8"?>
<formControlPr xmlns="http://schemas.microsoft.com/office/spreadsheetml/2009/9/main" objectType="CheckBox" fmlaLink="$I$28" lockText="1" noThreeD="1"/>
</file>

<file path=xl/ctrlProps/ctrlProp9.xml><?xml version="1.0" encoding="utf-8"?>
<formControlPr xmlns="http://schemas.microsoft.com/office/spreadsheetml/2009/9/main" objectType="CheckBox" fmlaLink="$I$29" lockText="1" noThreeD="1"/>
</file>

<file path=xl/ctrlProps/ctrlProp10.xml><?xml version="1.0" encoding="utf-8"?>
<formControlPr xmlns="http://schemas.microsoft.com/office/spreadsheetml/2009/9/main" objectType="CheckBox" fmlaLink="$M$29" lockText="1" noThreeD="1"/>
</file>

<file path=xl/ctrlProps/ctrlProp11.xml><?xml version="1.0" encoding="utf-8"?>
<formControlPr xmlns="http://schemas.microsoft.com/office/spreadsheetml/2009/9/main" objectType="CheckBox" fmlaLink="$AC$10" lockText="1" noThreeD="1"/>
</file>

<file path=xl/ctrlProps/ctrlProp12.xml><?xml version="1.0" encoding="utf-8"?>
<formControlPr xmlns="http://schemas.microsoft.com/office/spreadsheetml/2009/9/main" objectType="CheckBox" fmlaLink="$E$103" lockText="1" noThreeD="1"/>
</file>

<file path=xl/ctrlProps/ctrlProp13.xml><?xml version="1.0" encoding="utf-8"?>
<formControlPr xmlns="http://schemas.microsoft.com/office/spreadsheetml/2009/9/main" objectType="CheckBox" fmlaLink="$F$103" lockText="1" noThreeD="1"/>
</file>

<file path=xl/ctrlProps/ctrlProp14.xml><?xml version="1.0" encoding="utf-8"?>
<formControlPr xmlns="http://schemas.microsoft.com/office/spreadsheetml/2009/9/main" objectType="CheckBox" fmlaLink="$F$45" lockText="1" noThreeD="1"/>
</file>

<file path=xl/ctrlProps/ctrlProp15.xml><?xml version="1.0" encoding="utf-8"?>
<formControlPr xmlns="http://schemas.microsoft.com/office/spreadsheetml/2009/9/main" objectType="CheckBox" fmlaLink="$F$46" lockText="1" noThreeD="1"/>
</file>

<file path=xl/ctrlProps/ctrlProp16.xml><?xml version="1.0" encoding="utf-8"?>
<formControlPr xmlns="http://schemas.microsoft.com/office/spreadsheetml/2009/9/main" objectType="CheckBox" fmlaLink="$F$47" lockText="1" noThreeD="1"/>
</file>

<file path=xl/ctrlProps/ctrlProp17.xml><?xml version="1.0" encoding="utf-8"?>
<formControlPr xmlns="http://schemas.microsoft.com/office/spreadsheetml/2009/9/main" objectType="CheckBox" fmlaLink="$I$44" lockText="1" noThreeD="1"/>
</file>

<file path=xl/ctrlProps/ctrlProp18.xml><?xml version="1.0" encoding="utf-8"?>
<formControlPr xmlns="http://schemas.microsoft.com/office/spreadsheetml/2009/9/main" objectType="CheckBox" fmlaLink="$I$45" lockText="1" noThreeD="1"/>
</file>

<file path=xl/ctrlProps/ctrlProp19.xml><?xml version="1.0" encoding="utf-8"?>
<formControlPr xmlns="http://schemas.microsoft.com/office/spreadsheetml/2009/9/main" objectType="CheckBox" fmlaLink="$I$46" lockText="1" noThreeD="1"/>
</file>

<file path=xl/ctrlProps/ctrlProp20.xml><?xml version="1.0" encoding="utf-8"?>
<formControlPr xmlns="http://schemas.microsoft.com/office/spreadsheetml/2009/9/main" objectType="CheckBox" fmlaLink="$I$47" lockText="1" noThreeD="1"/>
</file>

<file path=xl/ctrlProps/ctrlProp21.xml><?xml version="1.0" encoding="utf-8"?>
<formControlPr xmlns="http://schemas.microsoft.com/office/spreadsheetml/2009/9/main" objectType="CheckBox" fmlaLink="$M$47" lockText="1" noThreeD="1"/>
</file>

<file path=xl/ctrlProps/ctrlProp22.xml><?xml version="1.0" encoding="utf-8"?>
<formControlPr xmlns="http://schemas.microsoft.com/office/spreadsheetml/2009/9/main" objectType="CheckBox" fmlaLink="$AC$10" lockText="1" noThreeD="1"/>
</file>

<file path=xl/ctrlProps/ctrlProp23.xml><?xml version="1.0" encoding="utf-8"?>
<formControlPr xmlns="http://schemas.microsoft.com/office/spreadsheetml/2009/9/main" objectType="CheckBox" fmlaLink="$F$63" lockText="1" noThreeD="1"/>
</file>

<file path=xl/ctrlProps/ctrlProp24.xml><?xml version="1.0" encoding="utf-8"?>
<formControlPr xmlns="http://schemas.microsoft.com/office/spreadsheetml/2009/9/main" objectType="CheckBox" fmlaLink="$F$64" lockText="1" noThreeD="1"/>
</file>

<file path=xl/ctrlProps/ctrlProp25.xml><?xml version="1.0" encoding="utf-8"?>
<formControlPr xmlns="http://schemas.microsoft.com/office/spreadsheetml/2009/9/main" objectType="CheckBox" fmlaLink="$F$65" lockText="1" noThreeD="1"/>
</file>

<file path=xl/ctrlProps/ctrlProp26.xml><?xml version="1.0" encoding="utf-8"?>
<formControlPr xmlns="http://schemas.microsoft.com/office/spreadsheetml/2009/9/main" objectType="CheckBox" fmlaLink="$I$62" lockText="1" noThreeD="1"/>
</file>

<file path=xl/ctrlProps/ctrlProp27.xml><?xml version="1.0" encoding="utf-8"?>
<formControlPr xmlns="http://schemas.microsoft.com/office/spreadsheetml/2009/9/main" objectType="CheckBox" fmlaLink="$I$63" lockText="1" noThreeD="1"/>
</file>

<file path=xl/ctrlProps/ctrlProp28.xml><?xml version="1.0" encoding="utf-8"?>
<formControlPr xmlns="http://schemas.microsoft.com/office/spreadsheetml/2009/9/main" objectType="CheckBox" fmlaLink="$I$64" lockText="1" noThreeD="1"/>
</file>

<file path=xl/ctrlProps/ctrlProp29.xml><?xml version="1.0" encoding="utf-8"?>
<formControlPr xmlns="http://schemas.microsoft.com/office/spreadsheetml/2009/9/main" objectType="CheckBox" fmlaLink="$I$65" lockText="1" noThreeD="1"/>
</file>

<file path=xl/ctrlProps/ctrlProp30.xml><?xml version="1.0" encoding="utf-8"?>
<formControlPr xmlns="http://schemas.microsoft.com/office/spreadsheetml/2009/9/main" objectType="CheckBox" fmlaLink="$M$65" lockText="1" noThreeD="1"/>
</file>

<file path=xl/ctrlProps/ctrlProp31.xml><?xml version="1.0" encoding="utf-8"?>
<formControlPr xmlns="http://schemas.microsoft.com/office/spreadsheetml/2009/9/main" objectType="CheckBox" fmlaLink="$AC$10" lockText="1" noThreeD="1"/>
</file>

<file path=xl/ctrlProps/ctrlProp32.xml><?xml version="1.0" encoding="utf-8"?>
<formControlPr xmlns="http://schemas.microsoft.com/office/spreadsheetml/2009/9/main" objectType="CheckBox" fmlaLink="$E$112" lockText="1" noThreeD="1"/>
</file>

<file path=xl/ctrlProps/ctrlProp33.xml><?xml version="1.0" encoding="utf-8"?>
<formControlPr xmlns="http://schemas.microsoft.com/office/spreadsheetml/2009/9/main" objectType="CheckBox" fmlaLink="$F$112" lockText="1" noThreeD="1"/>
</file>

<file path=xl/ctrlProps/ctrlProp34.xml><?xml version="1.0" encoding="utf-8"?>
<formControlPr xmlns="http://schemas.microsoft.com/office/spreadsheetml/2009/9/main" objectType="CheckBox" fmlaLink="$F$27" lockText="1" noThreeD="1"/>
</file>

<file path=xl/ctrlProps/ctrlProp35.xml><?xml version="1.0" encoding="utf-8"?>
<formControlPr xmlns="http://schemas.microsoft.com/office/spreadsheetml/2009/9/main" objectType="CheckBox" fmlaLink="$F$28" lockText="1" noThreeD="1"/>
</file>

<file path=xl/ctrlProps/ctrlProp36.xml><?xml version="1.0" encoding="utf-8"?>
<formControlPr xmlns="http://schemas.microsoft.com/office/spreadsheetml/2009/9/main" objectType="CheckBox" fmlaLink="$F$29" lockText="1" noThreeD="1"/>
</file>

<file path=xl/ctrlProps/ctrlProp37.xml><?xml version="1.0" encoding="utf-8"?>
<formControlPr xmlns="http://schemas.microsoft.com/office/spreadsheetml/2009/9/main" objectType="CheckBox" fmlaLink="$F$27" lockText="1" noThreeD="1"/>
</file>

<file path=xl/ctrlProps/ctrlProp38.xml><?xml version="1.0" encoding="utf-8"?>
<formControlPr xmlns="http://schemas.microsoft.com/office/spreadsheetml/2009/9/main" objectType="CheckBox" fmlaLink="$F$28" lockText="1" noThreeD="1"/>
</file>

<file path=xl/ctrlProps/ctrlProp39.xml><?xml version="1.0" encoding="utf-8"?>
<formControlPr xmlns="http://schemas.microsoft.com/office/spreadsheetml/2009/9/main" objectType="CheckBox" fmlaLink="$F$29" lockText="1" noThreeD="1"/>
</file>

<file path=xl/ctrlProps/ctrlProp40.xml><?xml version="1.0" encoding="utf-8"?>
<formControlPr xmlns="http://schemas.microsoft.com/office/spreadsheetml/2009/9/main" objectType="CheckBox" fmlaLink="$F$27" lockText="1" noThreeD="1"/>
</file>

<file path=xl/ctrlProps/ctrlProp41.xml><?xml version="1.0" encoding="utf-8"?>
<formControlPr xmlns="http://schemas.microsoft.com/office/spreadsheetml/2009/9/main" objectType="CheckBox" fmlaLink="$F$28" lockText="1" noThreeD="1"/>
</file>

<file path=xl/ctrlProps/ctrlProp42.xml><?xml version="1.0" encoding="utf-8"?>
<formControlPr xmlns="http://schemas.microsoft.com/office/spreadsheetml/2009/9/main" objectType="CheckBox" fmlaLink="$F$29" lockText="1" noThreeD="1"/>
</file>

<file path=xl/ctrlProps/ctrlProp43.xml><?xml version="1.0" encoding="utf-8"?>
<formControlPr xmlns="http://schemas.microsoft.com/office/spreadsheetml/2009/9/main" objectType="CheckBox" fmlaLink="$I$26" lockText="1" noThreeD="1"/>
</file>

<file path=xl/ctrlProps/ctrlProp44.xml><?xml version="1.0" encoding="utf-8"?>
<formControlPr xmlns="http://schemas.microsoft.com/office/spreadsheetml/2009/9/main" objectType="CheckBox" fmlaLink="$I$27" lockText="1" noThreeD="1"/>
</file>

<file path=xl/ctrlProps/ctrlProp45.xml><?xml version="1.0" encoding="utf-8"?>
<formControlPr xmlns="http://schemas.microsoft.com/office/spreadsheetml/2009/9/main" objectType="CheckBox" fmlaLink="$I$28" lockText="1" noThreeD="1"/>
</file>

<file path=xl/ctrlProps/ctrlProp46.xml><?xml version="1.0" encoding="utf-8"?>
<formControlPr xmlns="http://schemas.microsoft.com/office/spreadsheetml/2009/9/main" objectType="CheckBox" fmlaLink="$I$29" lockText="1" noThreeD="1"/>
</file>

<file path=xl/ctrlProps/ctrlProp47.xml><?xml version="1.0" encoding="utf-8"?>
<formControlPr xmlns="http://schemas.microsoft.com/office/spreadsheetml/2009/9/main" objectType="CheckBox" fmlaLink="$M$29" lockText="1" noThreeD="1"/>
</file>

<file path=xl/ctrlProps/ctrlProp48.xml><?xml version="1.0" encoding="utf-8"?>
<formControlPr xmlns="http://schemas.microsoft.com/office/spreadsheetml/2009/9/main" objectType="CheckBox" fmlaLink="$AC$10" lockText="1" noThreeD="1"/>
</file>

<file path=xl/ctrlProps/ctrlProp49.xml><?xml version="1.0" encoding="utf-8"?>
<formControlPr xmlns="http://schemas.microsoft.com/office/spreadsheetml/2009/9/main" objectType="CheckBox" checked="Checked" fmlaLink="$AE$17" lockText="1" noThreeD="1"/>
</file>

<file path=xl/ctrlProps/ctrlProp50.xml><?xml version="1.0" encoding="utf-8"?>
<formControlPr xmlns="http://schemas.microsoft.com/office/spreadsheetml/2009/9/main" objectType="CheckBox" checked="Checked" fmlaLink="$AE$17" lockText="1" noThreeD="1"/>
</file>

<file path=xl/ctrlProps/ctrlProp51.xml><?xml version="1.0" encoding="utf-8"?>
<formControlPr xmlns="http://schemas.microsoft.com/office/spreadsheetml/2009/9/main" objectType="CheckBox" fmlaLink="$E$67" lockText="1" noThreeD="1"/>
</file>

<file path=xl/ctrlProps/ctrlProp52.xml><?xml version="1.0" encoding="utf-8"?>
<formControlPr xmlns="http://schemas.microsoft.com/office/spreadsheetml/2009/9/main" objectType="CheckBox" fmlaLink="$F$67" lockText="1" noThreeD="1"/>
</file>

<file path=xl/ctrlProps/ctrlProp53.xml><?xml version="1.0" encoding="utf-8"?>
<formControlPr xmlns="http://schemas.microsoft.com/office/spreadsheetml/2009/9/main" objectType="CheckBox" fmlaLink="$F$27" lockText="1" noThreeD="1"/>
</file>

<file path=xl/ctrlProps/ctrlProp54.xml><?xml version="1.0" encoding="utf-8"?>
<formControlPr xmlns="http://schemas.microsoft.com/office/spreadsheetml/2009/9/main" objectType="CheckBox" fmlaLink="$F$28" lockText="1" noThreeD="1"/>
</file>

<file path=xl/ctrlProps/ctrlProp55.xml><?xml version="1.0" encoding="utf-8"?>
<formControlPr xmlns="http://schemas.microsoft.com/office/spreadsheetml/2009/9/main" objectType="CheckBox" fmlaLink="$F$29" lockText="1" noThreeD="1"/>
</file>

<file path=xl/ctrlProps/ctrlProp56.xml><?xml version="1.0" encoding="utf-8"?>
<formControlPr xmlns="http://schemas.microsoft.com/office/spreadsheetml/2009/9/main" objectType="CheckBox" fmlaLink="$E$67" lockText="1" noThreeD="1"/>
</file>

<file path=xl/ctrlProps/ctrlProp57.xml><?xml version="1.0" encoding="utf-8"?>
<formControlPr xmlns="http://schemas.microsoft.com/office/spreadsheetml/2009/9/main" objectType="CheckBox" fmlaLink="$F$67" lockText="1" noThreeD="1"/>
</file>

<file path=xl/ctrlProps/ctrlProp58.xml><?xml version="1.0" encoding="utf-8"?>
<formControlPr xmlns="http://schemas.microsoft.com/office/spreadsheetml/2009/9/main" objectType="CheckBox" fmlaLink="$E$112" lockText="1" noThreeD="1"/>
</file>

<file path=xl/ctrlProps/ctrlProp59.xml><?xml version="1.0" encoding="utf-8"?>
<formControlPr xmlns="http://schemas.microsoft.com/office/spreadsheetml/2009/9/main" objectType="CheckBox" fmlaLink="$I$26" lockText="1" noThreeD="1"/>
</file>

<file path=xl/ctrlProps/ctrlProp60.xml><?xml version="1.0" encoding="utf-8"?>
<formControlPr xmlns="http://schemas.microsoft.com/office/spreadsheetml/2009/9/main" objectType="CheckBox" fmlaLink="$I$27" lockText="1" noThreeD="1"/>
</file>

<file path=xl/ctrlProps/ctrlProp61.xml><?xml version="1.0" encoding="utf-8"?>
<formControlPr xmlns="http://schemas.microsoft.com/office/spreadsheetml/2009/9/main" objectType="CheckBox" fmlaLink="$I$28" lockText="1" noThreeD="1"/>
</file>

<file path=xl/ctrlProps/ctrlProp62.xml><?xml version="1.0" encoding="utf-8"?>
<formControlPr xmlns="http://schemas.microsoft.com/office/spreadsheetml/2009/9/main" objectType="CheckBox" fmlaLink="$I$29" lockText="1" noThreeD="1"/>
</file>

<file path=xl/ctrlProps/ctrlProp63.xml><?xml version="1.0" encoding="utf-8"?>
<formControlPr xmlns="http://schemas.microsoft.com/office/spreadsheetml/2009/9/main" objectType="CheckBox" fmlaLink="$F$112" lockText="1" noThreeD="1"/>
</file>

<file path=xl/ctrlProps/ctrlProp64.xml><?xml version="1.0" encoding="utf-8"?>
<formControlPr xmlns="http://schemas.microsoft.com/office/spreadsheetml/2009/9/main" objectType="CheckBox" fmlaLink="$M$29" lockText="1" noThreeD="1"/>
</file>

<file path=xl/ctrlProps/ctrlProp65.xml><?xml version="1.0" encoding="utf-8"?>
<formControlPr xmlns="http://schemas.microsoft.com/office/spreadsheetml/2009/9/main" objectType="CheckBox" fmlaLink="$AC$10" lockText="1" noThreeD="1"/>
</file>

<file path=xl/ctrlProps/ctrlProp66.xml><?xml version="1.0" encoding="utf-8"?>
<formControlPr xmlns="http://schemas.microsoft.com/office/spreadsheetml/2009/9/main" objectType="CheckBox" fmlaLink="$AE$17" lockText="1" noThreeD="1"/>
</file>

<file path=xl/ctrlProps/ctrlProp67.xml><?xml version="1.0" encoding="utf-8"?>
<formControlPr xmlns="http://schemas.microsoft.com/office/spreadsheetml/2009/9/main" objectType="CheckBox" fmlaLink="$AE$17" lockText="1" noThreeD="1"/>
</file>

<file path=xl/ctrlProps/ctrlProp68.xml><?xml version="1.0" encoding="utf-8"?>
<formControlPr xmlns="http://schemas.microsoft.com/office/spreadsheetml/2009/9/main" objectType="CheckBox" fmlaLink="$E$112" lockText="1" noThreeD="1"/>
</file>

<file path=xl/ctrlProps/ctrlProp69.xml><?xml version="1.0" encoding="utf-8"?>
<formControlPr xmlns="http://schemas.microsoft.com/office/spreadsheetml/2009/9/main" objectType="CheckBox" fmlaLink="$E$67" lockText="1" noThreeD="1"/>
</file>

<file path=xl/ctrlProps/ctrlProp70.xml><?xml version="1.0" encoding="utf-8"?>
<formControlPr xmlns="http://schemas.microsoft.com/office/spreadsheetml/2009/9/main" objectType="CheckBox" fmlaLink="$F$67" lockText="1" noThreeD="1"/>
</file>

<file path=xl/ctrlProps/ctrlProp71.xml><?xml version="1.0" encoding="utf-8"?>
<formControlPr xmlns="http://schemas.microsoft.com/office/spreadsheetml/2009/9/main" objectType="CheckBox" fmlaLink="$F$112" lockText="1" noThreeD="1"/>
</file>

<file path=xl/ctrlProps/ctrlProp72.xml><?xml version="1.0" encoding="utf-8"?>
<formControlPr xmlns="http://schemas.microsoft.com/office/spreadsheetml/2009/9/main" objectType="CheckBox" fmlaLink="$F$28" lockText="1" noThreeD="1"/>
</file>

<file path=xl/ctrlProps/ctrlProp73.xml><?xml version="1.0" encoding="utf-8"?>
<formControlPr xmlns="http://schemas.microsoft.com/office/spreadsheetml/2009/9/main" objectType="CheckBox" fmlaLink="$F$29" lockText="1" noThreeD="1"/>
</file>

<file path=xl/ctrlProps/ctrlProp74.xml><?xml version="1.0" encoding="utf-8"?>
<formControlPr xmlns="http://schemas.microsoft.com/office/spreadsheetml/2009/9/main" objectType="CheckBox" fmlaLink="$I$26" lockText="1" noThreeD="1"/>
</file>

<file path=xl/ctrlProps/ctrlProp75.xml><?xml version="1.0" encoding="utf-8"?>
<formControlPr xmlns="http://schemas.microsoft.com/office/spreadsheetml/2009/9/main" objectType="CheckBox" fmlaLink="$I$27" lockText="1" noThreeD="1"/>
</file>

<file path=xl/ctrlProps/ctrlProp76.xml><?xml version="1.0" encoding="utf-8"?>
<formControlPr xmlns="http://schemas.microsoft.com/office/spreadsheetml/2009/9/main" objectType="CheckBox" fmlaLink="$I$28" lockText="1" noThreeD="1"/>
</file>

<file path=xl/ctrlProps/ctrlProp77.xml><?xml version="1.0" encoding="utf-8"?>
<formControlPr xmlns="http://schemas.microsoft.com/office/spreadsheetml/2009/9/main" objectType="CheckBox" fmlaLink="$I$29" lockText="1" noThreeD="1"/>
</file>

<file path=xl/ctrlProps/ctrlProp78.xml><?xml version="1.0" encoding="utf-8"?>
<formControlPr xmlns="http://schemas.microsoft.com/office/spreadsheetml/2009/9/main" objectType="CheckBox" fmlaLink="$F$27" lockText="1" noThreeD="1"/>
</file>

<file path=xl/ctrlProps/ctrlProp79.xml><?xml version="1.0" encoding="utf-8"?>
<formControlPr xmlns="http://schemas.microsoft.com/office/spreadsheetml/2009/9/main" objectType="CheckBox" fmlaLink="$F$28" lockText="1" noThreeD="1"/>
</file>

<file path=xl/ctrlProps/ctrlProp80.xml><?xml version="1.0" encoding="utf-8"?>
<formControlPr xmlns="http://schemas.microsoft.com/office/spreadsheetml/2009/9/main" objectType="CheckBox" fmlaLink="$F$29" lockText="1" noThreeD="1"/>
</file>

<file path=xl/ctrlProps/ctrlProp81.xml><?xml version="1.0" encoding="utf-8"?>
<formControlPr xmlns="http://schemas.microsoft.com/office/spreadsheetml/2009/9/main" objectType="CheckBox" fmlaLink="$I$26" lockText="1" noThreeD="1"/>
</file>

<file path=xl/ctrlProps/ctrlProp82.xml><?xml version="1.0" encoding="utf-8"?>
<formControlPr xmlns="http://schemas.microsoft.com/office/spreadsheetml/2009/9/main" objectType="CheckBox" fmlaLink="$I$27" lockText="1" noThreeD="1"/>
</file>

<file path=xl/ctrlProps/ctrlProp83.xml><?xml version="1.0" encoding="utf-8"?>
<formControlPr xmlns="http://schemas.microsoft.com/office/spreadsheetml/2009/9/main" objectType="CheckBox" fmlaLink="$I$28" lockText="1" noThreeD="1"/>
</file>

<file path=xl/ctrlProps/ctrlProp84.xml><?xml version="1.0" encoding="utf-8"?>
<formControlPr xmlns="http://schemas.microsoft.com/office/spreadsheetml/2009/9/main" objectType="CheckBox" fmlaLink="$I$29" lockText="1" noThreeD="1"/>
</file>

<file path=xl/ctrlProps/ctrlProp85.xml><?xml version="1.0" encoding="utf-8"?>
<formControlPr xmlns="http://schemas.microsoft.com/office/spreadsheetml/2009/9/main" objectType="CheckBox" fmlaLink="$F$27" lockText="1" noThreeD="1"/>
</file>

<file path=xl/ctrlProps/ctrlProp86.xml><?xml version="1.0" encoding="utf-8"?>
<formControlPr xmlns="http://schemas.microsoft.com/office/spreadsheetml/2009/9/main" objectType="CheckBox" fmlaLink="$F$28" lockText="1" noThreeD="1"/>
</file>

<file path=xl/ctrlProps/ctrlProp87.xml><?xml version="1.0" encoding="utf-8"?>
<formControlPr xmlns="http://schemas.microsoft.com/office/spreadsheetml/2009/9/main" objectType="CheckBox" fmlaLink="$F$29" lockText="1" noThreeD="1"/>
</file>

<file path=xl/ctrlProps/ctrlProp88.xml><?xml version="1.0" encoding="utf-8"?>
<formControlPr xmlns="http://schemas.microsoft.com/office/spreadsheetml/2009/9/main" objectType="CheckBox" fmlaLink="$I$26" lockText="1" noThreeD="1"/>
</file>

<file path=xl/ctrlProps/ctrlProp89.xml><?xml version="1.0" encoding="utf-8"?>
<formControlPr xmlns="http://schemas.microsoft.com/office/spreadsheetml/2009/9/main" objectType="CheckBox" fmlaLink="$I$27" lockText="1" noThreeD="1"/>
</file>

<file path=xl/ctrlProps/ctrlProp90.xml><?xml version="1.0" encoding="utf-8"?>
<formControlPr xmlns="http://schemas.microsoft.com/office/spreadsheetml/2009/9/main" objectType="CheckBox" fmlaLink="$I$28" lockText="1" noThreeD="1"/>
</file>

<file path=xl/ctrlProps/ctrlProp91.xml><?xml version="1.0" encoding="utf-8"?>
<formControlPr xmlns="http://schemas.microsoft.com/office/spreadsheetml/2009/9/main" objectType="CheckBox" fmlaLink="$I$29" lockText="1" noThreeD="1"/>
</file>

<file path=xl/ctrlProps/ctrlProp92.xml><?xml version="1.0" encoding="utf-8"?>
<formControlPr xmlns="http://schemas.microsoft.com/office/spreadsheetml/2009/9/main" objectType="CheckBox" fmlaLink="$F$27" lockText="1" noThreeD="1"/>
</file>

<file path=xl/ctrlProps/ctrlProp93.xml><?xml version="1.0" encoding="utf-8"?>
<formControlPr xmlns="http://schemas.microsoft.com/office/spreadsheetml/2009/9/main" objectType="CheckBox" fmlaLink="$M$29" lockText="1" noThreeD="1"/>
</file>

<file path=xl/ctrlProps/ctrlProp94.xml><?xml version="1.0" encoding="utf-8"?>
<formControlPr xmlns="http://schemas.microsoft.com/office/spreadsheetml/2009/9/main" objectType="CheckBox" fmlaLink="$AC$10" lockText="1" noThreeD="1"/>
</file>

<file path=xl/ctrlProps/ctrlProp95.xml><?xml version="1.0" encoding="utf-8"?>
<formControlPr xmlns="http://schemas.microsoft.com/office/spreadsheetml/2009/9/main" objectType="CheckBox" fmlaLink="$AE$17" lockText="1" noThreeD="1"/>
</file>

<file path=xl/ctrlProps/ctrlProp96.xml><?xml version="1.0" encoding="utf-8"?>
<formControlPr xmlns="http://schemas.microsoft.com/office/spreadsheetml/2009/9/main" objectType="CheckBox" fmlaLink="$AE$17" lockText="1" noThreeD="1"/>
</file>

<file path=xl/ctrlProps/ctrlProp97.xml><?xml version="1.0" encoding="utf-8"?>
<formControlPr xmlns="http://schemas.microsoft.com/office/spreadsheetml/2009/9/main" objectType="CheckBox" checked="Checked" fmlaLink="$L$24" lockText="1" noThreeD="1"/>
</file>

<file path=xl/ctrlProps/ctrlProp98.xml><?xml version="1.0" encoding="utf-8"?>
<formControlPr xmlns="http://schemas.microsoft.com/office/spreadsheetml/2009/9/main" objectType="CheckBox" fmlaLink="$F$26" lockText="1" noThreeD="1"/>
</file>

<file path=xl/ctrlProps/ctrlProp99.xml><?xml version="1.0" encoding="utf-8"?>
<formControlPr xmlns="http://schemas.microsoft.com/office/spreadsheetml/2009/9/main" objectType="CheckBox" fmlaLink="$H$26" lockText="1" noThreeD="1"/>
</file>

<file path=xl/ctrlProps/ctrlProp100.xml><?xml version="1.0" encoding="utf-8"?>
<formControlPr xmlns="http://schemas.microsoft.com/office/spreadsheetml/2009/9/main" objectType="CheckBox" checked="Checked" fmlaLink="$D$26" lockText="1" noThreeD="1"/>
</file>

<file path=xl/ctrlProps/ctrlProp101.xml><?xml version="1.0" encoding="utf-8"?>
<formControlPr xmlns="http://schemas.microsoft.com/office/spreadsheetml/2009/9/main" objectType="CheckBox" fmlaLink="$L$18" lockText="1" noThreeD="1"/>
</file>

<file path=xl/ctrlProps/ctrlProp102.xml><?xml version="1.0" encoding="utf-8"?>
<formControlPr xmlns="http://schemas.microsoft.com/office/spreadsheetml/2009/9/main" objectType="CheckBox" fmlaLink="$E$10" lockText="1" noThreeD="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sv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svg"/><Relationship Id="rId9" Type="http://schemas.openxmlformats.org/officeDocument/2006/relationships/image" Target="../media/image11.svg"/></Relationships>
</file>

<file path=xl/drawings/_rels/drawing8.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1.svg"/><Relationship Id="rId3" Type="http://schemas.openxmlformats.org/officeDocument/2006/relationships/image" Target="../media/image6.svg"/><Relationship Id="rId7" Type="http://schemas.openxmlformats.org/officeDocument/2006/relationships/image" Target="../media/image2.png"/><Relationship Id="rId12"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3.png"/><Relationship Id="rId11" Type="http://schemas.openxmlformats.org/officeDocument/2006/relationships/image" Target="../media/image13.svg"/><Relationship Id="rId5" Type="http://schemas.openxmlformats.org/officeDocument/2006/relationships/image" Target="../media/image8.svg"/><Relationship Id="rId10" Type="http://schemas.openxmlformats.org/officeDocument/2006/relationships/image" Target="../media/image12.png"/><Relationship Id="rId4" Type="http://schemas.openxmlformats.org/officeDocument/2006/relationships/image" Target="../media/image7.png"/><Relationship Id="rId9" Type="http://schemas.openxmlformats.org/officeDocument/2006/relationships/image" Target="../media/image15.svg"/></Relationships>
</file>

<file path=xl/drawings/_rels/drawing9.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1.svg"/><Relationship Id="rId3" Type="http://schemas.openxmlformats.org/officeDocument/2006/relationships/image" Target="../media/image6.svg"/><Relationship Id="rId7" Type="http://schemas.openxmlformats.org/officeDocument/2006/relationships/image" Target="../media/image2.png"/><Relationship Id="rId12"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3.png"/><Relationship Id="rId11" Type="http://schemas.openxmlformats.org/officeDocument/2006/relationships/image" Target="../media/image13.svg"/><Relationship Id="rId5" Type="http://schemas.openxmlformats.org/officeDocument/2006/relationships/image" Target="../media/image8.svg"/><Relationship Id="rId10" Type="http://schemas.openxmlformats.org/officeDocument/2006/relationships/image" Target="../media/image12.png"/><Relationship Id="rId4" Type="http://schemas.openxmlformats.org/officeDocument/2006/relationships/image" Target="../media/image7.png"/><Relationship Id="rId9" Type="http://schemas.openxmlformats.org/officeDocument/2006/relationships/image" Target="../media/image15.svg"/></Relationships>
</file>

<file path=xl/drawings/_rels/drawing10.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1.svg"/><Relationship Id="rId3" Type="http://schemas.openxmlformats.org/officeDocument/2006/relationships/image" Target="../media/image6.svg"/><Relationship Id="rId7" Type="http://schemas.openxmlformats.org/officeDocument/2006/relationships/image" Target="../media/image2.png"/><Relationship Id="rId12"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3.png"/><Relationship Id="rId11" Type="http://schemas.openxmlformats.org/officeDocument/2006/relationships/image" Target="../media/image15.svg"/><Relationship Id="rId5" Type="http://schemas.openxmlformats.org/officeDocument/2006/relationships/image" Target="../media/image8.svg"/><Relationship Id="rId10" Type="http://schemas.openxmlformats.org/officeDocument/2006/relationships/image" Target="../media/image14.png"/><Relationship Id="rId4" Type="http://schemas.openxmlformats.org/officeDocument/2006/relationships/image" Target="../media/image7.png"/><Relationship Id="rId9" Type="http://schemas.openxmlformats.org/officeDocument/2006/relationships/image" Target="../media/image13.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svg"/><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svg"/><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3.png"/><Relationship Id="rId6" Type="http://schemas.openxmlformats.org/officeDocument/2006/relationships/image" Target="../media/image2.png"/><Relationship Id="rId5" Type="http://schemas.openxmlformats.org/officeDocument/2006/relationships/image" Target="../media/image22.png"/><Relationship Id="rId4"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5.jpeg"/><Relationship Id="rId2" Type="http://schemas.openxmlformats.org/officeDocument/2006/relationships/image" Target="../media/image24.png"/><Relationship Id="rId1" Type="http://schemas.openxmlformats.org/officeDocument/2006/relationships/image" Target="../media/image2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1.png"/><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19.png"/><Relationship Id="rId1" Type="http://schemas.openxmlformats.org/officeDocument/2006/relationships/image" Target="../media/image21.png"/><Relationship Id="rId6" Type="http://schemas.openxmlformats.org/officeDocument/2006/relationships/image" Target="../media/image2.png"/><Relationship Id="rId5" Type="http://schemas.openxmlformats.org/officeDocument/2006/relationships/image" Target="../media/image3.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31.png"/><Relationship Id="rId2" Type="http://schemas.openxmlformats.org/officeDocument/2006/relationships/image" Target="../media/image30.png"/><Relationship Id="rId1" Type="http://schemas.openxmlformats.org/officeDocument/2006/relationships/image" Target="../media/image29.jpg"/><Relationship Id="rId6" Type="http://schemas.openxmlformats.org/officeDocument/2006/relationships/image" Target="../media/image34.jpeg"/><Relationship Id="rId5" Type="http://schemas.openxmlformats.org/officeDocument/2006/relationships/image" Target="../media/image33.png"/><Relationship Id="rId4"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twoCellAnchor>
    <xdr:from>
      <xdr:col>2</xdr:col>
      <xdr:colOff>28574</xdr:colOff>
      <xdr:row>18</xdr:row>
      <xdr:rowOff>47628</xdr:rowOff>
    </xdr:from>
    <xdr:to>
      <xdr:col>3</xdr:col>
      <xdr:colOff>876299</xdr:colOff>
      <xdr:row>18</xdr:row>
      <xdr:rowOff>321948</xdr:rowOff>
    </xdr:to>
    <xdr:sp macro="[0]!Return_to_cell" textlink="">
      <xdr:nvSpPr>
        <xdr:cNvPr id="2" name="btnReturn">
          <a:extLst>
            <a:ext uri="{FF2B5EF4-FFF2-40B4-BE49-F238E27FC236}">
              <a16:creationId xmlns:a16="http://schemas.microsoft.com/office/drawing/2014/main" id="{00000000-0008-0000-0000-000002000000}"/>
            </a:ext>
          </a:extLst>
        </xdr:cNvPr>
        <xdr:cNvSpPr/>
      </xdr:nvSpPr>
      <xdr:spPr>
        <a:xfrm>
          <a:off x="161924" y="2352678"/>
          <a:ext cx="914400" cy="274320"/>
        </a:xfrm>
        <a:prstGeom prst="roundRect">
          <a:avLst/>
        </a:prstGeom>
        <a:solidFill>
          <a:srgbClr val="FFFFFF"/>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72AC"/>
              </a:solidFill>
            </a:rPr>
            <a:t>Return</a:t>
          </a:r>
        </a:p>
      </xdr:txBody>
    </xdr:sp>
    <xdr:clientData/>
  </xdr:twoCellAnchor>
  <xdr:twoCellAnchor>
    <xdr:from>
      <xdr:col>8</xdr:col>
      <xdr:colOff>307179</xdr:colOff>
      <xdr:row>18</xdr:row>
      <xdr:rowOff>47628</xdr:rowOff>
    </xdr:from>
    <xdr:to>
      <xdr:col>9</xdr:col>
      <xdr:colOff>97629</xdr:colOff>
      <xdr:row>18</xdr:row>
      <xdr:rowOff>321948</xdr:rowOff>
    </xdr:to>
    <xdr:sp macro="[0]!SaveBaseIncOnly" textlink="">
      <xdr:nvSpPr>
        <xdr:cNvPr id="3" name="btnUseValue">
          <a:extLst>
            <a:ext uri="{FF2B5EF4-FFF2-40B4-BE49-F238E27FC236}">
              <a16:creationId xmlns:a16="http://schemas.microsoft.com/office/drawing/2014/main" id="{00000000-0008-0000-0000-000003000000}"/>
            </a:ext>
          </a:extLst>
        </xdr:cNvPr>
        <xdr:cNvSpPr/>
      </xdr:nvSpPr>
      <xdr:spPr>
        <a:xfrm>
          <a:off x="5717379" y="2352678"/>
          <a:ext cx="914400" cy="27432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Save &amp; Close</a:t>
          </a:r>
        </a:p>
      </xdr:txBody>
    </xdr:sp>
    <xdr:clientData/>
  </xdr:twoCellAnchor>
  <xdr:twoCellAnchor>
    <xdr:from>
      <xdr:col>7</xdr:col>
      <xdr:colOff>152400</xdr:colOff>
      <xdr:row>18</xdr:row>
      <xdr:rowOff>47625</xdr:rowOff>
    </xdr:from>
    <xdr:to>
      <xdr:col>8</xdr:col>
      <xdr:colOff>266700</xdr:colOff>
      <xdr:row>18</xdr:row>
      <xdr:rowOff>321945</xdr:rowOff>
    </xdr:to>
    <xdr:sp macro="[0]!CmdApplyIrregular" textlink="">
      <xdr:nvSpPr>
        <xdr:cNvPr id="10" name="ApplyValues" hidden="1">
          <a:extLst>
            <a:ext uri="{FF2B5EF4-FFF2-40B4-BE49-F238E27FC236}">
              <a16:creationId xmlns:a16="http://schemas.microsoft.com/office/drawing/2014/main" id="{00000000-0008-0000-0000-00000A000000}"/>
            </a:ext>
          </a:extLst>
        </xdr:cNvPr>
        <xdr:cNvSpPr/>
      </xdr:nvSpPr>
      <xdr:spPr>
        <a:xfrm>
          <a:off x="4076700" y="2257425"/>
          <a:ext cx="914400" cy="274320"/>
        </a:xfrm>
        <a:prstGeom prst="roundRect">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baseline="0">
              <a:solidFill>
                <a:srgbClr val="0072AC"/>
              </a:solidFill>
            </a:rPr>
            <a:t>Apply Values</a:t>
          </a:r>
          <a:endParaRPr lang="en-AU" sz="1000">
            <a:solidFill>
              <a:srgbClr val="0072AC"/>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28574</xdr:colOff>
      <xdr:row>26</xdr:row>
      <xdr:rowOff>47628</xdr:rowOff>
    </xdr:from>
    <xdr:to>
      <xdr:col>3</xdr:col>
      <xdr:colOff>876299</xdr:colOff>
      <xdr:row>26</xdr:row>
      <xdr:rowOff>321948</xdr:rowOff>
    </xdr:to>
    <xdr:sp macro="[0]!Return_to_cell" textlink="">
      <xdr:nvSpPr>
        <xdr:cNvPr id="2" name="btnReturn">
          <a:extLst>
            <a:ext uri="{FF2B5EF4-FFF2-40B4-BE49-F238E27FC236}">
              <a16:creationId xmlns:a16="http://schemas.microsoft.com/office/drawing/2014/main" id="{00000000-0008-0000-0100-000002000000}"/>
            </a:ext>
          </a:extLst>
        </xdr:cNvPr>
        <xdr:cNvSpPr/>
      </xdr:nvSpPr>
      <xdr:spPr>
        <a:xfrm>
          <a:off x="161924" y="4019553"/>
          <a:ext cx="914400" cy="274320"/>
        </a:xfrm>
        <a:prstGeom prst="roundRect">
          <a:avLst/>
        </a:prstGeom>
        <a:solidFill>
          <a:srgbClr val="FFFFFF"/>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72AC"/>
              </a:solidFill>
            </a:rPr>
            <a:t>Return</a:t>
          </a:r>
        </a:p>
      </xdr:txBody>
    </xdr:sp>
    <xdr:clientData/>
  </xdr:twoCellAnchor>
  <xdr:twoCellAnchor>
    <xdr:from>
      <xdr:col>8</xdr:col>
      <xdr:colOff>307179</xdr:colOff>
      <xdr:row>26</xdr:row>
      <xdr:rowOff>47628</xdr:rowOff>
    </xdr:from>
    <xdr:to>
      <xdr:col>9</xdr:col>
      <xdr:colOff>97629</xdr:colOff>
      <xdr:row>26</xdr:row>
      <xdr:rowOff>321948</xdr:rowOff>
    </xdr:to>
    <xdr:sp macro="[0]!Update_cell" textlink="">
      <xdr:nvSpPr>
        <xdr:cNvPr id="3" name="btnUseValue">
          <a:extLst>
            <a:ext uri="{FF2B5EF4-FFF2-40B4-BE49-F238E27FC236}">
              <a16:creationId xmlns:a16="http://schemas.microsoft.com/office/drawing/2014/main" id="{00000000-0008-0000-0100-000003000000}"/>
            </a:ext>
          </a:extLst>
        </xdr:cNvPr>
        <xdr:cNvSpPr/>
      </xdr:nvSpPr>
      <xdr:spPr>
        <a:xfrm>
          <a:off x="4279104" y="4019553"/>
          <a:ext cx="914400" cy="27432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Use Value</a:t>
          </a:r>
        </a:p>
      </xdr:txBody>
    </xdr:sp>
    <xdr:clientData/>
  </xdr:twoCellAnchor>
  <xdr:twoCellAnchor>
    <xdr:from>
      <xdr:col>6</xdr:col>
      <xdr:colOff>76200</xdr:colOff>
      <xdr:row>9</xdr:row>
      <xdr:rowOff>38100</xdr:rowOff>
    </xdr:from>
    <xdr:to>
      <xdr:col>6</xdr:col>
      <xdr:colOff>213360</xdr:colOff>
      <xdr:row>9</xdr:row>
      <xdr:rowOff>175260</xdr:rowOff>
    </xdr:to>
    <xdr:grpSp>
      <xdr:nvGrpSpPr>
        <xdr:cNvPr id="4" name="Radio_6Months">
          <a:extLst>
            <a:ext uri="{FF2B5EF4-FFF2-40B4-BE49-F238E27FC236}">
              <a16:creationId xmlns:a16="http://schemas.microsoft.com/office/drawing/2014/main" id="{00000000-0008-0000-0100-000004000000}"/>
            </a:ext>
          </a:extLst>
        </xdr:cNvPr>
        <xdr:cNvGrpSpPr/>
      </xdr:nvGrpSpPr>
      <xdr:grpSpPr>
        <a:xfrm>
          <a:off x="3365500" y="660400"/>
          <a:ext cx="137160" cy="137160"/>
          <a:chOff x="13096875" y="1219200"/>
          <a:chExt cx="137160" cy="137160"/>
        </a:xfrm>
      </xdr:grpSpPr>
      <xdr:sp macro="" textlink="">
        <xdr:nvSpPr>
          <xdr:cNvPr id="5" name="RD_Dollar">
            <a:extLst>
              <a:ext uri="{FF2B5EF4-FFF2-40B4-BE49-F238E27FC236}">
                <a16:creationId xmlns:a16="http://schemas.microsoft.com/office/drawing/2014/main" id="{00000000-0008-0000-0100-000005000000}"/>
              </a:ext>
            </a:extLst>
          </xdr:cNvPr>
          <xdr:cNvSpPr/>
        </xdr:nvSpPr>
        <xdr:spPr>
          <a:xfrm>
            <a:off x="13096875" y="1219200"/>
            <a:ext cx="137160" cy="137160"/>
          </a:xfrm>
          <a:prstGeom prst="ellipse">
            <a:avLst/>
          </a:prstGeom>
          <a:solidFill>
            <a:schemeClr val="bg1"/>
          </a:solidFill>
          <a:ln w="6350">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ToggleButtonZ" textlink="">
        <xdr:nvSpPr>
          <xdr:cNvPr id="6" name="CRE_False">
            <a:extLst>
              <a:ext uri="{FF2B5EF4-FFF2-40B4-BE49-F238E27FC236}">
                <a16:creationId xmlns:a16="http://schemas.microsoft.com/office/drawing/2014/main" id="{00000000-0008-0000-0100-000006000000}"/>
              </a:ext>
            </a:extLst>
          </xdr:cNvPr>
          <xdr:cNvSpPr/>
        </xdr:nvSpPr>
        <xdr:spPr>
          <a:xfrm>
            <a:off x="13127581" y="1252104"/>
            <a:ext cx="73152" cy="73152"/>
          </a:xfrm>
          <a:prstGeom prst="ellipse">
            <a:avLst/>
          </a:prstGeom>
          <a:solidFill>
            <a:srgbClr val="FFFFFF"/>
          </a:solidFill>
          <a:ln w="6350" cap="flat" cmpd="sng" algn="ctr">
            <a:solidFill>
              <a:srgbClr val="FFFFFF"/>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004165"/>
              </a:solidFill>
            </a:endParaRPr>
          </a:p>
        </xdr:txBody>
      </xdr:sp>
    </xdr:grpSp>
    <xdr:clientData/>
  </xdr:twoCellAnchor>
  <xdr:twoCellAnchor>
    <xdr:from>
      <xdr:col>5</xdr:col>
      <xdr:colOff>295275</xdr:colOff>
      <xdr:row>9</xdr:row>
      <xdr:rowOff>38100</xdr:rowOff>
    </xdr:from>
    <xdr:to>
      <xdr:col>5</xdr:col>
      <xdr:colOff>432435</xdr:colOff>
      <xdr:row>9</xdr:row>
      <xdr:rowOff>175260</xdr:rowOff>
    </xdr:to>
    <xdr:grpSp>
      <xdr:nvGrpSpPr>
        <xdr:cNvPr id="7" name="Radio_3Months">
          <a:extLst>
            <a:ext uri="{FF2B5EF4-FFF2-40B4-BE49-F238E27FC236}">
              <a16:creationId xmlns:a16="http://schemas.microsoft.com/office/drawing/2014/main" id="{00000000-0008-0000-0100-000007000000}"/>
            </a:ext>
          </a:extLst>
        </xdr:cNvPr>
        <xdr:cNvGrpSpPr/>
      </xdr:nvGrpSpPr>
      <xdr:grpSpPr>
        <a:xfrm>
          <a:off x="2543175" y="660400"/>
          <a:ext cx="137160" cy="137160"/>
          <a:chOff x="13382625" y="1219200"/>
          <a:chExt cx="137160" cy="137160"/>
        </a:xfrm>
      </xdr:grpSpPr>
      <xdr:sp macro="" textlink="">
        <xdr:nvSpPr>
          <xdr:cNvPr id="8" name="RD_Percent">
            <a:extLst>
              <a:ext uri="{FF2B5EF4-FFF2-40B4-BE49-F238E27FC236}">
                <a16:creationId xmlns:a16="http://schemas.microsoft.com/office/drawing/2014/main" id="{00000000-0008-0000-0100-000008000000}"/>
              </a:ext>
            </a:extLst>
          </xdr:cNvPr>
          <xdr:cNvSpPr/>
        </xdr:nvSpPr>
        <xdr:spPr>
          <a:xfrm>
            <a:off x="13382625" y="1219200"/>
            <a:ext cx="137160" cy="137160"/>
          </a:xfrm>
          <a:prstGeom prst="ellipse">
            <a:avLst/>
          </a:prstGeom>
          <a:solidFill>
            <a:schemeClr val="bg1"/>
          </a:solidFill>
          <a:ln w="6350">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ToggleButtonZ" textlink="">
        <xdr:nvSpPr>
          <xdr:cNvPr id="9" name="CRE_True">
            <a:extLst>
              <a:ext uri="{FF2B5EF4-FFF2-40B4-BE49-F238E27FC236}">
                <a16:creationId xmlns:a16="http://schemas.microsoft.com/office/drawing/2014/main" id="{00000000-0008-0000-0100-000009000000}"/>
              </a:ext>
            </a:extLst>
          </xdr:cNvPr>
          <xdr:cNvSpPr/>
        </xdr:nvSpPr>
        <xdr:spPr>
          <a:xfrm>
            <a:off x="13415529" y="1252104"/>
            <a:ext cx="73152" cy="73152"/>
          </a:xfrm>
          <a:prstGeom prst="ellipse">
            <a:avLst/>
          </a:prstGeom>
          <a:solidFill>
            <a:srgbClr val="004165"/>
          </a:solidFill>
          <a:ln w="6350" cap="flat" cmpd="sng" algn="ctr">
            <a:solidFill>
              <a:srgbClr val="004165"/>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FFFF"/>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33</xdr:row>
      <xdr:rowOff>47628</xdr:rowOff>
    </xdr:from>
    <xdr:to>
      <xdr:col>3</xdr:col>
      <xdr:colOff>809625</xdr:colOff>
      <xdr:row>33</xdr:row>
      <xdr:rowOff>321948</xdr:rowOff>
    </xdr:to>
    <xdr:sp macro="[0]!Return_to_cell" textlink="">
      <xdr:nvSpPr>
        <xdr:cNvPr id="2" name="btnReturn">
          <a:extLst>
            <a:ext uri="{FF2B5EF4-FFF2-40B4-BE49-F238E27FC236}">
              <a16:creationId xmlns:a16="http://schemas.microsoft.com/office/drawing/2014/main" id="{00000000-0008-0000-0200-000002000000}"/>
            </a:ext>
          </a:extLst>
        </xdr:cNvPr>
        <xdr:cNvSpPr/>
      </xdr:nvSpPr>
      <xdr:spPr>
        <a:xfrm>
          <a:off x="142875" y="4124328"/>
          <a:ext cx="914400" cy="274320"/>
        </a:xfrm>
        <a:prstGeom prst="roundRect">
          <a:avLst/>
        </a:prstGeom>
        <a:solidFill>
          <a:srgbClr val="FFFFFF"/>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72AC"/>
              </a:solidFill>
            </a:rPr>
            <a:t>Return</a:t>
          </a:r>
        </a:p>
      </xdr:txBody>
    </xdr:sp>
    <xdr:clientData/>
  </xdr:twoCellAnchor>
  <xdr:twoCellAnchor>
    <xdr:from>
      <xdr:col>8</xdr:col>
      <xdr:colOff>314325</xdr:colOff>
      <xdr:row>33</xdr:row>
      <xdr:rowOff>47625</xdr:rowOff>
    </xdr:from>
    <xdr:to>
      <xdr:col>9</xdr:col>
      <xdr:colOff>76200</xdr:colOff>
      <xdr:row>33</xdr:row>
      <xdr:rowOff>321945</xdr:rowOff>
    </xdr:to>
    <xdr:sp macro="[0]!Update_cell" textlink="">
      <xdr:nvSpPr>
        <xdr:cNvPr id="11" name="btnSave">
          <a:extLst>
            <a:ext uri="{FF2B5EF4-FFF2-40B4-BE49-F238E27FC236}">
              <a16:creationId xmlns:a16="http://schemas.microsoft.com/office/drawing/2014/main" id="{00000000-0008-0000-0200-00000B000000}"/>
            </a:ext>
          </a:extLst>
        </xdr:cNvPr>
        <xdr:cNvSpPr/>
      </xdr:nvSpPr>
      <xdr:spPr>
        <a:xfrm>
          <a:off x="7305675" y="4124325"/>
          <a:ext cx="914400" cy="27432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chemeClr val="bg1"/>
              </a:solidFill>
            </a:rPr>
            <a:t>Save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48</xdr:row>
      <xdr:rowOff>47628</xdr:rowOff>
    </xdr:from>
    <xdr:to>
      <xdr:col>4</xdr:col>
      <xdr:colOff>352425</xdr:colOff>
      <xdr:row>48</xdr:row>
      <xdr:rowOff>321948</xdr:rowOff>
    </xdr:to>
    <xdr:sp macro="[0]!Return_to_cell" textlink="">
      <xdr:nvSpPr>
        <xdr:cNvPr id="2" name="btnReturn">
          <a:extLst>
            <a:ext uri="{FF2B5EF4-FFF2-40B4-BE49-F238E27FC236}">
              <a16:creationId xmlns:a16="http://schemas.microsoft.com/office/drawing/2014/main" id="{00000000-0008-0000-0300-000002000000}"/>
            </a:ext>
          </a:extLst>
        </xdr:cNvPr>
        <xdr:cNvSpPr/>
      </xdr:nvSpPr>
      <xdr:spPr>
        <a:xfrm>
          <a:off x="133350" y="2362203"/>
          <a:ext cx="914400" cy="274320"/>
        </a:xfrm>
        <a:prstGeom prst="roundRect">
          <a:avLst/>
        </a:prstGeom>
        <a:solidFill>
          <a:srgbClr val="FFFFFF"/>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72AC"/>
              </a:solidFill>
            </a:rPr>
            <a:t>Return</a:t>
          </a:r>
        </a:p>
      </xdr:txBody>
    </xdr:sp>
    <xdr:clientData/>
  </xdr:twoCellAnchor>
  <xdr:twoCellAnchor>
    <xdr:from>
      <xdr:col>10</xdr:col>
      <xdr:colOff>581026</xdr:colOff>
      <xdr:row>48</xdr:row>
      <xdr:rowOff>38103</xdr:rowOff>
    </xdr:from>
    <xdr:to>
      <xdr:col>11</xdr:col>
      <xdr:colOff>95251</xdr:colOff>
      <xdr:row>48</xdr:row>
      <xdr:rowOff>312423</xdr:rowOff>
    </xdr:to>
    <xdr:sp macro="[0]!Update_cell" textlink="">
      <xdr:nvSpPr>
        <xdr:cNvPr id="3" name="btnUseValue">
          <a:extLst>
            <a:ext uri="{FF2B5EF4-FFF2-40B4-BE49-F238E27FC236}">
              <a16:creationId xmlns:a16="http://schemas.microsoft.com/office/drawing/2014/main" id="{00000000-0008-0000-0300-000003000000}"/>
            </a:ext>
          </a:extLst>
        </xdr:cNvPr>
        <xdr:cNvSpPr/>
      </xdr:nvSpPr>
      <xdr:spPr>
        <a:xfrm>
          <a:off x="8801101" y="2352678"/>
          <a:ext cx="914400" cy="27432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chemeClr val="bg1"/>
              </a:solidFill>
            </a:rPr>
            <a:t>Apply</a:t>
          </a:r>
        </a:p>
      </xdr:txBody>
    </xdr:sp>
    <xdr:clientData/>
  </xdr:twoCellAnchor>
  <xdr:twoCellAnchor>
    <xdr:from>
      <xdr:col>3</xdr:col>
      <xdr:colOff>76200</xdr:colOff>
      <xdr:row>46</xdr:row>
      <xdr:rowOff>66675</xdr:rowOff>
    </xdr:from>
    <xdr:to>
      <xdr:col>3</xdr:col>
      <xdr:colOff>227400</xdr:colOff>
      <xdr:row>46</xdr:row>
      <xdr:rowOff>217875</xdr:rowOff>
    </xdr:to>
    <xdr:grpSp>
      <xdr:nvGrpSpPr>
        <xdr:cNvPr id="6" name="btnAddSecurity">
          <a:extLst>
            <a:ext uri="{FF2B5EF4-FFF2-40B4-BE49-F238E27FC236}">
              <a16:creationId xmlns:a16="http://schemas.microsoft.com/office/drawing/2014/main" id="{00000000-0008-0000-0300-000006000000}"/>
            </a:ext>
          </a:extLst>
        </xdr:cNvPr>
        <xdr:cNvGrpSpPr/>
      </xdr:nvGrpSpPr>
      <xdr:grpSpPr>
        <a:xfrm>
          <a:off x="444500" y="2124075"/>
          <a:ext cx="151200" cy="151200"/>
          <a:chOff x="1395033" y="2708672"/>
          <a:chExt cx="180000" cy="180000"/>
        </a:xfrm>
      </xdr:grpSpPr>
      <xdr:sp macro="[0]!Add_Security_Item" textlink="">
        <xdr:nvSpPr>
          <xdr:cNvPr id="7" name="Rounded Rectangle 80">
            <a:extLst>
              <a:ext uri="{FF2B5EF4-FFF2-40B4-BE49-F238E27FC236}">
                <a16:creationId xmlns:a16="http://schemas.microsoft.com/office/drawing/2014/main" id="{00000000-0008-0000-0300-000007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Security_Item" textlink="">
        <xdr:nvSpPr>
          <xdr:cNvPr id="8" name="Plus 81">
            <a:extLst>
              <a:ext uri="{FF2B5EF4-FFF2-40B4-BE49-F238E27FC236}">
                <a16:creationId xmlns:a16="http://schemas.microsoft.com/office/drawing/2014/main" id="{00000000-0008-0000-0300-000008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91295</xdr:colOff>
      <xdr:row>16</xdr:row>
      <xdr:rowOff>42280</xdr:rowOff>
    </xdr:from>
    <xdr:to>
      <xdr:col>3</xdr:col>
      <xdr:colOff>222695</xdr:colOff>
      <xdr:row>16</xdr:row>
      <xdr:rowOff>173680</xdr:rowOff>
    </xdr:to>
    <xdr:sp macro="[0]!Toggle_Tick" textlink="">
      <xdr:nvSpPr>
        <xdr:cNvPr id="40" name="NChk D17" hidden="1">
          <a:extLst>
            <a:ext uri="{FF2B5EF4-FFF2-40B4-BE49-F238E27FC236}">
              <a16:creationId xmlns:a16="http://schemas.microsoft.com/office/drawing/2014/main" id="{00000000-0008-0000-0300-000028000000}"/>
            </a:ext>
          </a:extLst>
        </xdr:cNvPr>
        <xdr:cNvSpPr/>
      </xdr:nvSpPr>
      <xdr:spPr>
        <a:xfrm>
          <a:off x="472295" y="190918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16</xdr:row>
      <xdr:rowOff>36774</xdr:rowOff>
    </xdr:from>
    <xdr:to>
      <xdr:col>3</xdr:col>
      <xdr:colOff>230795</xdr:colOff>
      <xdr:row>16</xdr:row>
      <xdr:rowOff>180774</xdr:rowOff>
    </xdr:to>
    <xdr:pic macro="[0]!Toggle_Tick">
      <xdr:nvPicPr>
        <xdr:cNvPr id="41" name="Tick D17">
          <a:extLst>
            <a:ext uri="{FF2B5EF4-FFF2-40B4-BE49-F238E27FC236}">
              <a16:creationId xmlns:a16="http://schemas.microsoft.com/office/drawing/2014/main" id="{00000000-0008-0000-0300-000029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190367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16</xdr:row>
      <xdr:rowOff>72270</xdr:rowOff>
    </xdr:from>
    <xdr:to>
      <xdr:col>2</xdr:col>
      <xdr:colOff>185805</xdr:colOff>
      <xdr:row>16</xdr:row>
      <xdr:rowOff>157230</xdr:rowOff>
    </xdr:to>
    <xdr:sp macro="[0]!Delete_Security_Item" textlink="">
      <xdr:nvSpPr>
        <xdr:cNvPr id="42" name="DelS_17" descr="Close with solid fill" hidden="1">
          <a:extLst>
            <a:ext uri="{FF2B5EF4-FFF2-40B4-BE49-F238E27FC236}">
              <a16:creationId xmlns:a16="http://schemas.microsoft.com/office/drawing/2014/main" id="{00000000-0008-0000-0300-00002A000000}"/>
            </a:ext>
          </a:extLst>
        </xdr:cNvPr>
        <xdr:cNvSpPr/>
      </xdr:nvSpPr>
      <xdr:spPr>
        <a:xfrm>
          <a:off x="234195" y="193917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17</xdr:row>
      <xdr:rowOff>42280</xdr:rowOff>
    </xdr:from>
    <xdr:to>
      <xdr:col>3</xdr:col>
      <xdr:colOff>222695</xdr:colOff>
      <xdr:row>17</xdr:row>
      <xdr:rowOff>173680</xdr:rowOff>
    </xdr:to>
    <xdr:sp macro="[0]!Toggle_Tick" textlink="">
      <xdr:nvSpPr>
        <xdr:cNvPr id="4" name="NChk D18" hidden="1">
          <a:extLst>
            <a:ext uri="{FF2B5EF4-FFF2-40B4-BE49-F238E27FC236}">
              <a16:creationId xmlns:a16="http://schemas.microsoft.com/office/drawing/2014/main" id="{00000000-0008-0000-0300-000004000000}"/>
            </a:ext>
          </a:extLst>
        </xdr:cNvPr>
        <xdr:cNvSpPr/>
      </xdr:nvSpPr>
      <xdr:spPr>
        <a:xfrm>
          <a:off x="472295" y="169010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17</xdr:row>
      <xdr:rowOff>36774</xdr:rowOff>
    </xdr:from>
    <xdr:to>
      <xdr:col>3</xdr:col>
      <xdr:colOff>230795</xdr:colOff>
      <xdr:row>17</xdr:row>
      <xdr:rowOff>180774</xdr:rowOff>
    </xdr:to>
    <xdr:pic macro="[0]!Toggle_Tick">
      <xdr:nvPicPr>
        <xdr:cNvPr id="5" name="Tick D18">
          <a:extLst>
            <a:ext uri="{FF2B5EF4-FFF2-40B4-BE49-F238E27FC236}">
              <a16:creationId xmlns:a16="http://schemas.microsoft.com/office/drawing/2014/main" id="{00000000-0008-0000-0300-000005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168459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17</xdr:row>
      <xdr:rowOff>72270</xdr:rowOff>
    </xdr:from>
    <xdr:to>
      <xdr:col>2</xdr:col>
      <xdr:colOff>185805</xdr:colOff>
      <xdr:row>17</xdr:row>
      <xdr:rowOff>157230</xdr:rowOff>
    </xdr:to>
    <xdr:sp macro="[0]!Delete_Security_Item" textlink="">
      <xdr:nvSpPr>
        <xdr:cNvPr id="9" name="DelS_18" descr="Close with solid fill">
          <a:extLst>
            <a:ext uri="{FF2B5EF4-FFF2-40B4-BE49-F238E27FC236}">
              <a16:creationId xmlns:a16="http://schemas.microsoft.com/office/drawing/2014/main" id="{00000000-0008-0000-0300-000009000000}"/>
            </a:ext>
          </a:extLst>
        </xdr:cNvPr>
        <xdr:cNvSpPr/>
      </xdr:nvSpPr>
      <xdr:spPr>
        <a:xfrm>
          <a:off x="234195" y="172009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18</xdr:row>
      <xdr:rowOff>42280</xdr:rowOff>
    </xdr:from>
    <xdr:to>
      <xdr:col>3</xdr:col>
      <xdr:colOff>222695</xdr:colOff>
      <xdr:row>18</xdr:row>
      <xdr:rowOff>173680</xdr:rowOff>
    </xdr:to>
    <xdr:sp macro="[0]!Toggle_Tick" textlink="">
      <xdr:nvSpPr>
        <xdr:cNvPr id="10" name="NChk D19">
          <a:extLst>
            <a:ext uri="{FF2B5EF4-FFF2-40B4-BE49-F238E27FC236}">
              <a16:creationId xmlns:a16="http://schemas.microsoft.com/office/drawing/2014/main" id="{00000000-0008-0000-0300-00000A000000}"/>
            </a:ext>
          </a:extLst>
        </xdr:cNvPr>
        <xdr:cNvSpPr/>
      </xdr:nvSpPr>
      <xdr:spPr>
        <a:xfrm>
          <a:off x="472295" y="190918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18</xdr:row>
      <xdr:rowOff>36774</xdr:rowOff>
    </xdr:from>
    <xdr:to>
      <xdr:col>3</xdr:col>
      <xdr:colOff>230795</xdr:colOff>
      <xdr:row>18</xdr:row>
      <xdr:rowOff>180774</xdr:rowOff>
    </xdr:to>
    <xdr:pic macro="[0]!Toggle_Tick">
      <xdr:nvPicPr>
        <xdr:cNvPr id="11" name="Tick D19" hidden="1">
          <a:extLst>
            <a:ext uri="{FF2B5EF4-FFF2-40B4-BE49-F238E27FC236}">
              <a16:creationId xmlns:a16="http://schemas.microsoft.com/office/drawing/2014/main" id="{00000000-0008-0000-0300-00000B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190367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18</xdr:row>
      <xdr:rowOff>72270</xdr:rowOff>
    </xdr:from>
    <xdr:to>
      <xdr:col>2</xdr:col>
      <xdr:colOff>185805</xdr:colOff>
      <xdr:row>18</xdr:row>
      <xdr:rowOff>157230</xdr:rowOff>
    </xdr:to>
    <xdr:sp macro="[0]!Delete_Security_Item" textlink="">
      <xdr:nvSpPr>
        <xdr:cNvPr id="12" name="DelS_19" descr="Close with solid fill" hidden="1">
          <a:extLst>
            <a:ext uri="{FF2B5EF4-FFF2-40B4-BE49-F238E27FC236}">
              <a16:creationId xmlns:a16="http://schemas.microsoft.com/office/drawing/2014/main" id="{00000000-0008-0000-0300-00000C000000}"/>
            </a:ext>
          </a:extLst>
        </xdr:cNvPr>
        <xdr:cNvSpPr/>
      </xdr:nvSpPr>
      <xdr:spPr>
        <a:xfrm>
          <a:off x="234195" y="193917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19</xdr:row>
      <xdr:rowOff>42280</xdr:rowOff>
    </xdr:from>
    <xdr:to>
      <xdr:col>3</xdr:col>
      <xdr:colOff>222695</xdr:colOff>
      <xdr:row>19</xdr:row>
      <xdr:rowOff>173680</xdr:rowOff>
    </xdr:to>
    <xdr:sp macro="[0]!Toggle_Tick" textlink="">
      <xdr:nvSpPr>
        <xdr:cNvPr id="13" name="NChk D20">
          <a:extLst>
            <a:ext uri="{FF2B5EF4-FFF2-40B4-BE49-F238E27FC236}">
              <a16:creationId xmlns:a16="http://schemas.microsoft.com/office/drawing/2014/main" id="{00000000-0008-0000-0300-00000D000000}"/>
            </a:ext>
          </a:extLst>
        </xdr:cNvPr>
        <xdr:cNvSpPr/>
      </xdr:nvSpPr>
      <xdr:spPr>
        <a:xfrm>
          <a:off x="472295" y="212825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19</xdr:row>
      <xdr:rowOff>36774</xdr:rowOff>
    </xdr:from>
    <xdr:to>
      <xdr:col>3</xdr:col>
      <xdr:colOff>230795</xdr:colOff>
      <xdr:row>19</xdr:row>
      <xdr:rowOff>180774</xdr:rowOff>
    </xdr:to>
    <xdr:pic macro="[0]!Toggle_Tick">
      <xdr:nvPicPr>
        <xdr:cNvPr id="14" name="Tick D20" hidden="1">
          <a:extLst>
            <a:ext uri="{FF2B5EF4-FFF2-40B4-BE49-F238E27FC236}">
              <a16:creationId xmlns:a16="http://schemas.microsoft.com/office/drawing/2014/main" id="{00000000-0008-0000-0300-00000E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212274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19</xdr:row>
      <xdr:rowOff>72270</xdr:rowOff>
    </xdr:from>
    <xdr:to>
      <xdr:col>2</xdr:col>
      <xdr:colOff>185805</xdr:colOff>
      <xdr:row>19</xdr:row>
      <xdr:rowOff>157230</xdr:rowOff>
    </xdr:to>
    <xdr:sp macro="[0]!Delete_Security_Item" textlink="">
      <xdr:nvSpPr>
        <xdr:cNvPr id="15" name="DelS_20" descr="Close with solid fill">
          <a:extLst>
            <a:ext uri="{FF2B5EF4-FFF2-40B4-BE49-F238E27FC236}">
              <a16:creationId xmlns:a16="http://schemas.microsoft.com/office/drawing/2014/main" id="{00000000-0008-0000-0300-00000F000000}"/>
            </a:ext>
          </a:extLst>
        </xdr:cNvPr>
        <xdr:cNvSpPr/>
      </xdr:nvSpPr>
      <xdr:spPr>
        <a:xfrm>
          <a:off x="234195" y="215824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20</xdr:row>
      <xdr:rowOff>42280</xdr:rowOff>
    </xdr:from>
    <xdr:to>
      <xdr:col>3</xdr:col>
      <xdr:colOff>222695</xdr:colOff>
      <xdr:row>20</xdr:row>
      <xdr:rowOff>173680</xdr:rowOff>
    </xdr:to>
    <xdr:sp macro="[0]!Toggle_Tick" textlink="">
      <xdr:nvSpPr>
        <xdr:cNvPr id="16" name="NChk D21">
          <a:extLst>
            <a:ext uri="{FF2B5EF4-FFF2-40B4-BE49-F238E27FC236}">
              <a16:creationId xmlns:a16="http://schemas.microsoft.com/office/drawing/2014/main" id="{00000000-0008-0000-0300-000010000000}"/>
            </a:ext>
          </a:extLst>
        </xdr:cNvPr>
        <xdr:cNvSpPr/>
      </xdr:nvSpPr>
      <xdr:spPr>
        <a:xfrm>
          <a:off x="472295" y="234733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20</xdr:row>
      <xdr:rowOff>36774</xdr:rowOff>
    </xdr:from>
    <xdr:to>
      <xdr:col>3</xdr:col>
      <xdr:colOff>230795</xdr:colOff>
      <xdr:row>20</xdr:row>
      <xdr:rowOff>180774</xdr:rowOff>
    </xdr:to>
    <xdr:pic macro="[0]!Toggle_Tick">
      <xdr:nvPicPr>
        <xdr:cNvPr id="17" name="Tick D21" hidden="1">
          <a:extLst>
            <a:ext uri="{FF2B5EF4-FFF2-40B4-BE49-F238E27FC236}">
              <a16:creationId xmlns:a16="http://schemas.microsoft.com/office/drawing/2014/main" id="{00000000-0008-0000-0300-000011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234182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20</xdr:row>
      <xdr:rowOff>72270</xdr:rowOff>
    </xdr:from>
    <xdr:to>
      <xdr:col>2</xdr:col>
      <xdr:colOff>185805</xdr:colOff>
      <xdr:row>20</xdr:row>
      <xdr:rowOff>157230</xdr:rowOff>
    </xdr:to>
    <xdr:sp macro="[0]!Delete_Security_Item" textlink="">
      <xdr:nvSpPr>
        <xdr:cNvPr id="18" name="DelS_21" descr="Close with solid fill">
          <a:extLst>
            <a:ext uri="{FF2B5EF4-FFF2-40B4-BE49-F238E27FC236}">
              <a16:creationId xmlns:a16="http://schemas.microsoft.com/office/drawing/2014/main" id="{00000000-0008-0000-0300-000012000000}"/>
            </a:ext>
          </a:extLst>
        </xdr:cNvPr>
        <xdr:cNvSpPr/>
      </xdr:nvSpPr>
      <xdr:spPr>
        <a:xfrm>
          <a:off x="234195" y="237732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21</xdr:row>
      <xdr:rowOff>42280</xdr:rowOff>
    </xdr:from>
    <xdr:to>
      <xdr:col>3</xdr:col>
      <xdr:colOff>222695</xdr:colOff>
      <xdr:row>21</xdr:row>
      <xdr:rowOff>173680</xdr:rowOff>
    </xdr:to>
    <xdr:sp macro="[0]!Toggle_Tick" textlink="">
      <xdr:nvSpPr>
        <xdr:cNvPr id="19" name="NChk D22">
          <a:extLst>
            <a:ext uri="{FF2B5EF4-FFF2-40B4-BE49-F238E27FC236}">
              <a16:creationId xmlns:a16="http://schemas.microsoft.com/office/drawing/2014/main" id="{00000000-0008-0000-0300-000013000000}"/>
            </a:ext>
          </a:extLst>
        </xdr:cNvPr>
        <xdr:cNvSpPr/>
      </xdr:nvSpPr>
      <xdr:spPr>
        <a:xfrm>
          <a:off x="472295" y="256640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21</xdr:row>
      <xdr:rowOff>36774</xdr:rowOff>
    </xdr:from>
    <xdr:to>
      <xdr:col>3</xdr:col>
      <xdr:colOff>230795</xdr:colOff>
      <xdr:row>21</xdr:row>
      <xdr:rowOff>180774</xdr:rowOff>
    </xdr:to>
    <xdr:pic macro="[0]!Toggle_Tick">
      <xdr:nvPicPr>
        <xdr:cNvPr id="20" name="Tick D22" hidden="1">
          <a:extLst>
            <a:ext uri="{FF2B5EF4-FFF2-40B4-BE49-F238E27FC236}">
              <a16:creationId xmlns:a16="http://schemas.microsoft.com/office/drawing/2014/main" id="{00000000-0008-0000-0300-000014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256089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21</xdr:row>
      <xdr:rowOff>72270</xdr:rowOff>
    </xdr:from>
    <xdr:to>
      <xdr:col>2</xdr:col>
      <xdr:colOff>185805</xdr:colOff>
      <xdr:row>21</xdr:row>
      <xdr:rowOff>157230</xdr:rowOff>
    </xdr:to>
    <xdr:sp macro="[0]!Delete_Security_Item" textlink="">
      <xdr:nvSpPr>
        <xdr:cNvPr id="21" name="DelS_22" descr="Close with solid fill">
          <a:extLst>
            <a:ext uri="{FF2B5EF4-FFF2-40B4-BE49-F238E27FC236}">
              <a16:creationId xmlns:a16="http://schemas.microsoft.com/office/drawing/2014/main" id="{00000000-0008-0000-0300-000015000000}"/>
            </a:ext>
          </a:extLst>
        </xdr:cNvPr>
        <xdr:cNvSpPr/>
      </xdr:nvSpPr>
      <xdr:spPr>
        <a:xfrm>
          <a:off x="234195" y="259639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22</xdr:row>
      <xdr:rowOff>42280</xdr:rowOff>
    </xdr:from>
    <xdr:to>
      <xdr:col>3</xdr:col>
      <xdr:colOff>222695</xdr:colOff>
      <xdr:row>22</xdr:row>
      <xdr:rowOff>173680</xdr:rowOff>
    </xdr:to>
    <xdr:sp macro="[0]!Toggle_Tick" textlink="">
      <xdr:nvSpPr>
        <xdr:cNvPr id="22" name="NChk D23">
          <a:extLst>
            <a:ext uri="{FF2B5EF4-FFF2-40B4-BE49-F238E27FC236}">
              <a16:creationId xmlns:a16="http://schemas.microsoft.com/office/drawing/2014/main" id="{00000000-0008-0000-0300-000016000000}"/>
            </a:ext>
          </a:extLst>
        </xdr:cNvPr>
        <xdr:cNvSpPr/>
      </xdr:nvSpPr>
      <xdr:spPr>
        <a:xfrm>
          <a:off x="472295" y="278548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22</xdr:row>
      <xdr:rowOff>36774</xdr:rowOff>
    </xdr:from>
    <xdr:to>
      <xdr:col>3</xdr:col>
      <xdr:colOff>230795</xdr:colOff>
      <xdr:row>22</xdr:row>
      <xdr:rowOff>180774</xdr:rowOff>
    </xdr:to>
    <xdr:pic macro="[0]!Toggle_Tick">
      <xdr:nvPicPr>
        <xdr:cNvPr id="23" name="Tick D23" hidden="1">
          <a:extLst>
            <a:ext uri="{FF2B5EF4-FFF2-40B4-BE49-F238E27FC236}">
              <a16:creationId xmlns:a16="http://schemas.microsoft.com/office/drawing/2014/main" id="{00000000-0008-0000-0300-000017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277997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22</xdr:row>
      <xdr:rowOff>72270</xdr:rowOff>
    </xdr:from>
    <xdr:to>
      <xdr:col>2</xdr:col>
      <xdr:colOff>185805</xdr:colOff>
      <xdr:row>22</xdr:row>
      <xdr:rowOff>157230</xdr:rowOff>
    </xdr:to>
    <xdr:sp macro="[0]!Delete_Security_Item" textlink="">
      <xdr:nvSpPr>
        <xdr:cNvPr id="24" name="DelS_23" descr="Close with solid fill">
          <a:extLst>
            <a:ext uri="{FF2B5EF4-FFF2-40B4-BE49-F238E27FC236}">
              <a16:creationId xmlns:a16="http://schemas.microsoft.com/office/drawing/2014/main" id="{00000000-0008-0000-0300-000018000000}"/>
            </a:ext>
          </a:extLst>
        </xdr:cNvPr>
        <xdr:cNvSpPr/>
      </xdr:nvSpPr>
      <xdr:spPr>
        <a:xfrm>
          <a:off x="234195" y="281547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23</xdr:row>
      <xdr:rowOff>42280</xdr:rowOff>
    </xdr:from>
    <xdr:to>
      <xdr:col>3</xdr:col>
      <xdr:colOff>222695</xdr:colOff>
      <xdr:row>23</xdr:row>
      <xdr:rowOff>173680</xdr:rowOff>
    </xdr:to>
    <xdr:sp macro="[0]!Toggle_Tick" textlink="">
      <xdr:nvSpPr>
        <xdr:cNvPr id="25" name="NChk D24">
          <a:extLst>
            <a:ext uri="{FF2B5EF4-FFF2-40B4-BE49-F238E27FC236}">
              <a16:creationId xmlns:a16="http://schemas.microsoft.com/office/drawing/2014/main" id="{00000000-0008-0000-0300-000019000000}"/>
            </a:ext>
          </a:extLst>
        </xdr:cNvPr>
        <xdr:cNvSpPr/>
      </xdr:nvSpPr>
      <xdr:spPr>
        <a:xfrm>
          <a:off x="472295" y="300455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23</xdr:row>
      <xdr:rowOff>36774</xdr:rowOff>
    </xdr:from>
    <xdr:to>
      <xdr:col>3</xdr:col>
      <xdr:colOff>230795</xdr:colOff>
      <xdr:row>23</xdr:row>
      <xdr:rowOff>180774</xdr:rowOff>
    </xdr:to>
    <xdr:pic macro="[0]!Toggle_Tick">
      <xdr:nvPicPr>
        <xdr:cNvPr id="26" name="Tick D24" hidden="1">
          <a:extLst>
            <a:ext uri="{FF2B5EF4-FFF2-40B4-BE49-F238E27FC236}">
              <a16:creationId xmlns:a16="http://schemas.microsoft.com/office/drawing/2014/main" id="{00000000-0008-0000-0300-00001A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299904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23</xdr:row>
      <xdr:rowOff>72270</xdr:rowOff>
    </xdr:from>
    <xdr:to>
      <xdr:col>2</xdr:col>
      <xdr:colOff>185805</xdr:colOff>
      <xdr:row>23</xdr:row>
      <xdr:rowOff>157230</xdr:rowOff>
    </xdr:to>
    <xdr:sp macro="[0]!Delete_Security_Item" textlink="">
      <xdr:nvSpPr>
        <xdr:cNvPr id="27" name="DelS_24" descr="Close with solid fill">
          <a:extLst>
            <a:ext uri="{FF2B5EF4-FFF2-40B4-BE49-F238E27FC236}">
              <a16:creationId xmlns:a16="http://schemas.microsoft.com/office/drawing/2014/main" id="{00000000-0008-0000-0300-00001B000000}"/>
            </a:ext>
          </a:extLst>
        </xdr:cNvPr>
        <xdr:cNvSpPr/>
      </xdr:nvSpPr>
      <xdr:spPr>
        <a:xfrm>
          <a:off x="234195" y="303454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24</xdr:row>
      <xdr:rowOff>42280</xdr:rowOff>
    </xdr:from>
    <xdr:to>
      <xdr:col>3</xdr:col>
      <xdr:colOff>222695</xdr:colOff>
      <xdr:row>24</xdr:row>
      <xdr:rowOff>173680</xdr:rowOff>
    </xdr:to>
    <xdr:sp macro="[0]!Toggle_Tick" textlink="">
      <xdr:nvSpPr>
        <xdr:cNvPr id="28" name="NChk D25">
          <a:extLst>
            <a:ext uri="{FF2B5EF4-FFF2-40B4-BE49-F238E27FC236}">
              <a16:creationId xmlns:a16="http://schemas.microsoft.com/office/drawing/2014/main" id="{00000000-0008-0000-0300-00001C000000}"/>
            </a:ext>
          </a:extLst>
        </xdr:cNvPr>
        <xdr:cNvSpPr/>
      </xdr:nvSpPr>
      <xdr:spPr>
        <a:xfrm>
          <a:off x="472295" y="322363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24</xdr:row>
      <xdr:rowOff>36774</xdr:rowOff>
    </xdr:from>
    <xdr:to>
      <xdr:col>3</xdr:col>
      <xdr:colOff>230795</xdr:colOff>
      <xdr:row>24</xdr:row>
      <xdr:rowOff>180774</xdr:rowOff>
    </xdr:to>
    <xdr:pic macro="[0]!Toggle_Tick">
      <xdr:nvPicPr>
        <xdr:cNvPr id="29" name="Tick D25" hidden="1">
          <a:extLst>
            <a:ext uri="{FF2B5EF4-FFF2-40B4-BE49-F238E27FC236}">
              <a16:creationId xmlns:a16="http://schemas.microsoft.com/office/drawing/2014/main" id="{00000000-0008-0000-0300-00001D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321812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24</xdr:row>
      <xdr:rowOff>72270</xdr:rowOff>
    </xdr:from>
    <xdr:to>
      <xdr:col>2</xdr:col>
      <xdr:colOff>185805</xdr:colOff>
      <xdr:row>24</xdr:row>
      <xdr:rowOff>157230</xdr:rowOff>
    </xdr:to>
    <xdr:sp macro="[0]!Delete_Security_Item" textlink="">
      <xdr:nvSpPr>
        <xdr:cNvPr id="30" name="DelS_25" descr="Close with solid fill">
          <a:extLst>
            <a:ext uri="{FF2B5EF4-FFF2-40B4-BE49-F238E27FC236}">
              <a16:creationId xmlns:a16="http://schemas.microsoft.com/office/drawing/2014/main" id="{00000000-0008-0000-0300-00001E000000}"/>
            </a:ext>
          </a:extLst>
        </xdr:cNvPr>
        <xdr:cNvSpPr/>
      </xdr:nvSpPr>
      <xdr:spPr>
        <a:xfrm>
          <a:off x="234195" y="325362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25</xdr:row>
      <xdr:rowOff>42280</xdr:rowOff>
    </xdr:from>
    <xdr:to>
      <xdr:col>3</xdr:col>
      <xdr:colOff>222695</xdr:colOff>
      <xdr:row>25</xdr:row>
      <xdr:rowOff>173680</xdr:rowOff>
    </xdr:to>
    <xdr:sp macro="[0]!Toggle_Tick" textlink="">
      <xdr:nvSpPr>
        <xdr:cNvPr id="31" name="NChk D26">
          <a:extLst>
            <a:ext uri="{FF2B5EF4-FFF2-40B4-BE49-F238E27FC236}">
              <a16:creationId xmlns:a16="http://schemas.microsoft.com/office/drawing/2014/main" id="{00000000-0008-0000-0300-00001F000000}"/>
            </a:ext>
          </a:extLst>
        </xdr:cNvPr>
        <xdr:cNvSpPr/>
      </xdr:nvSpPr>
      <xdr:spPr>
        <a:xfrm>
          <a:off x="472295" y="344270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25</xdr:row>
      <xdr:rowOff>36774</xdr:rowOff>
    </xdr:from>
    <xdr:to>
      <xdr:col>3</xdr:col>
      <xdr:colOff>230795</xdr:colOff>
      <xdr:row>25</xdr:row>
      <xdr:rowOff>180774</xdr:rowOff>
    </xdr:to>
    <xdr:pic macro="[0]!Toggle_Tick">
      <xdr:nvPicPr>
        <xdr:cNvPr id="32" name="Tick D26" hidden="1">
          <a:extLst>
            <a:ext uri="{FF2B5EF4-FFF2-40B4-BE49-F238E27FC236}">
              <a16:creationId xmlns:a16="http://schemas.microsoft.com/office/drawing/2014/main" id="{00000000-0008-0000-0300-000020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343719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25</xdr:row>
      <xdr:rowOff>72270</xdr:rowOff>
    </xdr:from>
    <xdr:to>
      <xdr:col>2</xdr:col>
      <xdr:colOff>185805</xdr:colOff>
      <xdr:row>25</xdr:row>
      <xdr:rowOff>157230</xdr:rowOff>
    </xdr:to>
    <xdr:sp macro="[0]!Delete_Security_Item" textlink="">
      <xdr:nvSpPr>
        <xdr:cNvPr id="33" name="DelS_26" descr="Close with solid fill">
          <a:extLst>
            <a:ext uri="{FF2B5EF4-FFF2-40B4-BE49-F238E27FC236}">
              <a16:creationId xmlns:a16="http://schemas.microsoft.com/office/drawing/2014/main" id="{00000000-0008-0000-0300-000021000000}"/>
            </a:ext>
          </a:extLst>
        </xdr:cNvPr>
        <xdr:cNvSpPr/>
      </xdr:nvSpPr>
      <xdr:spPr>
        <a:xfrm>
          <a:off x="234195" y="347269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26</xdr:row>
      <xdr:rowOff>42280</xdr:rowOff>
    </xdr:from>
    <xdr:to>
      <xdr:col>3</xdr:col>
      <xdr:colOff>222695</xdr:colOff>
      <xdr:row>26</xdr:row>
      <xdr:rowOff>173680</xdr:rowOff>
    </xdr:to>
    <xdr:sp macro="[0]!Toggle_Tick" textlink="">
      <xdr:nvSpPr>
        <xdr:cNvPr id="34" name="NChk D27">
          <a:extLst>
            <a:ext uri="{FF2B5EF4-FFF2-40B4-BE49-F238E27FC236}">
              <a16:creationId xmlns:a16="http://schemas.microsoft.com/office/drawing/2014/main" id="{00000000-0008-0000-0300-000022000000}"/>
            </a:ext>
          </a:extLst>
        </xdr:cNvPr>
        <xdr:cNvSpPr/>
      </xdr:nvSpPr>
      <xdr:spPr>
        <a:xfrm>
          <a:off x="472295" y="366178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26</xdr:row>
      <xdr:rowOff>36774</xdr:rowOff>
    </xdr:from>
    <xdr:to>
      <xdr:col>3</xdr:col>
      <xdr:colOff>230795</xdr:colOff>
      <xdr:row>26</xdr:row>
      <xdr:rowOff>180774</xdr:rowOff>
    </xdr:to>
    <xdr:pic macro="[0]!Toggle_Tick">
      <xdr:nvPicPr>
        <xdr:cNvPr id="35" name="Tick D27" hidden="1">
          <a:extLst>
            <a:ext uri="{FF2B5EF4-FFF2-40B4-BE49-F238E27FC236}">
              <a16:creationId xmlns:a16="http://schemas.microsoft.com/office/drawing/2014/main" id="{00000000-0008-0000-0300-00002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365627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26</xdr:row>
      <xdr:rowOff>72270</xdr:rowOff>
    </xdr:from>
    <xdr:to>
      <xdr:col>2</xdr:col>
      <xdr:colOff>185805</xdr:colOff>
      <xdr:row>26</xdr:row>
      <xdr:rowOff>157230</xdr:rowOff>
    </xdr:to>
    <xdr:sp macro="[0]!Delete_Security_Item" textlink="">
      <xdr:nvSpPr>
        <xdr:cNvPr id="36" name="DelS_27" descr="Close with solid fill">
          <a:extLst>
            <a:ext uri="{FF2B5EF4-FFF2-40B4-BE49-F238E27FC236}">
              <a16:creationId xmlns:a16="http://schemas.microsoft.com/office/drawing/2014/main" id="{00000000-0008-0000-0300-000024000000}"/>
            </a:ext>
          </a:extLst>
        </xdr:cNvPr>
        <xdr:cNvSpPr/>
      </xdr:nvSpPr>
      <xdr:spPr>
        <a:xfrm>
          <a:off x="234195" y="369177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27</xdr:row>
      <xdr:rowOff>42280</xdr:rowOff>
    </xdr:from>
    <xdr:to>
      <xdr:col>3</xdr:col>
      <xdr:colOff>222695</xdr:colOff>
      <xdr:row>27</xdr:row>
      <xdr:rowOff>173680</xdr:rowOff>
    </xdr:to>
    <xdr:sp macro="[0]!Toggle_Tick" textlink="">
      <xdr:nvSpPr>
        <xdr:cNvPr id="37" name="NChk D28">
          <a:extLst>
            <a:ext uri="{FF2B5EF4-FFF2-40B4-BE49-F238E27FC236}">
              <a16:creationId xmlns:a16="http://schemas.microsoft.com/office/drawing/2014/main" id="{00000000-0008-0000-0300-000025000000}"/>
            </a:ext>
          </a:extLst>
        </xdr:cNvPr>
        <xdr:cNvSpPr/>
      </xdr:nvSpPr>
      <xdr:spPr>
        <a:xfrm>
          <a:off x="472295" y="388085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27</xdr:row>
      <xdr:rowOff>36774</xdr:rowOff>
    </xdr:from>
    <xdr:to>
      <xdr:col>3</xdr:col>
      <xdr:colOff>230795</xdr:colOff>
      <xdr:row>27</xdr:row>
      <xdr:rowOff>180774</xdr:rowOff>
    </xdr:to>
    <xdr:pic macro="[0]!Toggle_Tick">
      <xdr:nvPicPr>
        <xdr:cNvPr id="38" name="Tick D28" hidden="1">
          <a:extLst>
            <a:ext uri="{FF2B5EF4-FFF2-40B4-BE49-F238E27FC236}">
              <a16:creationId xmlns:a16="http://schemas.microsoft.com/office/drawing/2014/main" id="{00000000-0008-0000-0300-000026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387534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27</xdr:row>
      <xdr:rowOff>72270</xdr:rowOff>
    </xdr:from>
    <xdr:to>
      <xdr:col>2</xdr:col>
      <xdr:colOff>185805</xdr:colOff>
      <xdr:row>27</xdr:row>
      <xdr:rowOff>157230</xdr:rowOff>
    </xdr:to>
    <xdr:sp macro="[0]!Delete_Security_Item" textlink="">
      <xdr:nvSpPr>
        <xdr:cNvPr id="39" name="DelS_28" descr="Close with solid fill">
          <a:extLst>
            <a:ext uri="{FF2B5EF4-FFF2-40B4-BE49-F238E27FC236}">
              <a16:creationId xmlns:a16="http://schemas.microsoft.com/office/drawing/2014/main" id="{00000000-0008-0000-0300-000027000000}"/>
            </a:ext>
          </a:extLst>
        </xdr:cNvPr>
        <xdr:cNvSpPr/>
      </xdr:nvSpPr>
      <xdr:spPr>
        <a:xfrm>
          <a:off x="234195" y="391084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28</xdr:row>
      <xdr:rowOff>42280</xdr:rowOff>
    </xdr:from>
    <xdr:to>
      <xdr:col>3</xdr:col>
      <xdr:colOff>222695</xdr:colOff>
      <xdr:row>28</xdr:row>
      <xdr:rowOff>173680</xdr:rowOff>
    </xdr:to>
    <xdr:sp macro="[0]!Toggle_Tick" textlink="">
      <xdr:nvSpPr>
        <xdr:cNvPr id="43" name="NChk D29">
          <a:extLst>
            <a:ext uri="{FF2B5EF4-FFF2-40B4-BE49-F238E27FC236}">
              <a16:creationId xmlns:a16="http://schemas.microsoft.com/office/drawing/2014/main" id="{00000000-0008-0000-0300-00002B000000}"/>
            </a:ext>
          </a:extLst>
        </xdr:cNvPr>
        <xdr:cNvSpPr/>
      </xdr:nvSpPr>
      <xdr:spPr>
        <a:xfrm>
          <a:off x="472295" y="409993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28</xdr:row>
      <xdr:rowOff>36774</xdr:rowOff>
    </xdr:from>
    <xdr:to>
      <xdr:col>3</xdr:col>
      <xdr:colOff>230795</xdr:colOff>
      <xdr:row>28</xdr:row>
      <xdr:rowOff>180774</xdr:rowOff>
    </xdr:to>
    <xdr:pic macro="[0]!Toggle_Tick">
      <xdr:nvPicPr>
        <xdr:cNvPr id="44" name="Tick D29" hidden="1">
          <a:extLst>
            <a:ext uri="{FF2B5EF4-FFF2-40B4-BE49-F238E27FC236}">
              <a16:creationId xmlns:a16="http://schemas.microsoft.com/office/drawing/2014/main" id="{00000000-0008-0000-0300-00002C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409442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28</xdr:row>
      <xdr:rowOff>72270</xdr:rowOff>
    </xdr:from>
    <xdr:to>
      <xdr:col>2</xdr:col>
      <xdr:colOff>185805</xdr:colOff>
      <xdr:row>28</xdr:row>
      <xdr:rowOff>157230</xdr:rowOff>
    </xdr:to>
    <xdr:sp macro="[0]!Delete_Security_Item" textlink="">
      <xdr:nvSpPr>
        <xdr:cNvPr id="45" name="DelS_29" descr="Close with solid fill">
          <a:extLst>
            <a:ext uri="{FF2B5EF4-FFF2-40B4-BE49-F238E27FC236}">
              <a16:creationId xmlns:a16="http://schemas.microsoft.com/office/drawing/2014/main" id="{00000000-0008-0000-0300-00002D000000}"/>
            </a:ext>
          </a:extLst>
        </xdr:cNvPr>
        <xdr:cNvSpPr/>
      </xdr:nvSpPr>
      <xdr:spPr>
        <a:xfrm>
          <a:off x="234195" y="412992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29</xdr:row>
      <xdr:rowOff>42280</xdr:rowOff>
    </xdr:from>
    <xdr:to>
      <xdr:col>3</xdr:col>
      <xdr:colOff>222695</xdr:colOff>
      <xdr:row>29</xdr:row>
      <xdr:rowOff>173680</xdr:rowOff>
    </xdr:to>
    <xdr:sp macro="[0]!Toggle_Tick" textlink="">
      <xdr:nvSpPr>
        <xdr:cNvPr id="46" name="NChk D30">
          <a:extLst>
            <a:ext uri="{FF2B5EF4-FFF2-40B4-BE49-F238E27FC236}">
              <a16:creationId xmlns:a16="http://schemas.microsoft.com/office/drawing/2014/main" id="{00000000-0008-0000-0300-00002E000000}"/>
            </a:ext>
          </a:extLst>
        </xdr:cNvPr>
        <xdr:cNvSpPr/>
      </xdr:nvSpPr>
      <xdr:spPr>
        <a:xfrm>
          <a:off x="472295" y="431900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29</xdr:row>
      <xdr:rowOff>36774</xdr:rowOff>
    </xdr:from>
    <xdr:to>
      <xdr:col>3</xdr:col>
      <xdr:colOff>230795</xdr:colOff>
      <xdr:row>29</xdr:row>
      <xdr:rowOff>180774</xdr:rowOff>
    </xdr:to>
    <xdr:pic macro="[0]!Toggle_Tick">
      <xdr:nvPicPr>
        <xdr:cNvPr id="47" name="Tick D30" hidden="1">
          <a:extLst>
            <a:ext uri="{FF2B5EF4-FFF2-40B4-BE49-F238E27FC236}">
              <a16:creationId xmlns:a16="http://schemas.microsoft.com/office/drawing/2014/main" id="{00000000-0008-0000-0300-00002F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431349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29</xdr:row>
      <xdr:rowOff>72270</xdr:rowOff>
    </xdr:from>
    <xdr:to>
      <xdr:col>2</xdr:col>
      <xdr:colOff>185805</xdr:colOff>
      <xdr:row>29</xdr:row>
      <xdr:rowOff>157230</xdr:rowOff>
    </xdr:to>
    <xdr:sp macro="[0]!Delete_Security_Item" textlink="">
      <xdr:nvSpPr>
        <xdr:cNvPr id="48" name="DelS_30" descr="Close with solid fill">
          <a:extLst>
            <a:ext uri="{FF2B5EF4-FFF2-40B4-BE49-F238E27FC236}">
              <a16:creationId xmlns:a16="http://schemas.microsoft.com/office/drawing/2014/main" id="{00000000-0008-0000-0300-000030000000}"/>
            </a:ext>
          </a:extLst>
        </xdr:cNvPr>
        <xdr:cNvSpPr/>
      </xdr:nvSpPr>
      <xdr:spPr>
        <a:xfrm>
          <a:off x="234195" y="434899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30</xdr:row>
      <xdr:rowOff>42280</xdr:rowOff>
    </xdr:from>
    <xdr:to>
      <xdr:col>3</xdr:col>
      <xdr:colOff>222695</xdr:colOff>
      <xdr:row>30</xdr:row>
      <xdr:rowOff>173680</xdr:rowOff>
    </xdr:to>
    <xdr:sp macro="[0]!Toggle_Tick" textlink="">
      <xdr:nvSpPr>
        <xdr:cNvPr id="49" name="NChk D31">
          <a:extLst>
            <a:ext uri="{FF2B5EF4-FFF2-40B4-BE49-F238E27FC236}">
              <a16:creationId xmlns:a16="http://schemas.microsoft.com/office/drawing/2014/main" id="{00000000-0008-0000-0300-000031000000}"/>
            </a:ext>
          </a:extLst>
        </xdr:cNvPr>
        <xdr:cNvSpPr/>
      </xdr:nvSpPr>
      <xdr:spPr>
        <a:xfrm>
          <a:off x="472295" y="453808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30</xdr:row>
      <xdr:rowOff>36774</xdr:rowOff>
    </xdr:from>
    <xdr:to>
      <xdr:col>3</xdr:col>
      <xdr:colOff>230795</xdr:colOff>
      <xdr:row>30</xdr:row>
      <xdr:rowOff>180774</xdr:rowOff>
    </xdr:to>
    <xdr:pic macro="[0]!Toggle_Tick">
      <xdr:nvPicPr>
        <xdr:cNvPr id="50" name="Tick D31" hidden="1">
          <a:extLst>
            <a:ext uri="{FF2B5EF4-FFF2-40B4-BE49-F238E27FC236}">
              <a16:creationId xmlns:a16="http://schemas.microsoft.com/office/drawing/2014/main" id="{00000000-0008-0000-0300-00003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453257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30</xdr:row>
      <xdr:rowOff>72270</xdr:rowOff>
    </xdr:from>
    <xdr:to>
      <xdr:col>2</xdr:col>
      <xdr:colOff>185805</xdr:colOff>
      <xdr:row>30</xdr:row>
      <xdr:rowOff>157230</xdr:rowOff>
    </xdr:to>
    <xdr:sp macro="[0]!Delete_Security_Item" textlink="">
      <xdr:nvSpPr>
        <xdr:cNvPr id="51" name="DelS_31" descr="Close with solid fill">
          <a:extLst>
            <a:ext uri="{FF2B5EF4-FFF2-40B4-BE49-F238E27FC236}">
              <a16:creationId xmlns:a16="http://schemas.microsoft.com/office/drawing/2014/main" id="{00000000-0008-0000-0300-000033000000}"/>
            </a:ext>
          </a:extLst>
        </xdr:cNvPr>
        <xdr:cNvSpPr/>
      </xdr:nvSpPr>
      <xdr:spPr>
        <a:xfrm>
          <a:off x="234195" y="456807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31</xdr:row>
      <xdr:rowOff>42280</xdr:rowOff>
    </xdr:from>
    <xdr:to>
      <xdr:col>3</xdr:col>
      <xdr:colOff>222695</xdr:colOff>
      <xdr:row>31</xdr:row>
      <xdr:rowOff>173680</xdr:rowOff>
    </xdr:to>
    <xdr:sp macro="[0]!Toggle_Tick" textlink="">
      <xdr:nvSpPr>
        <xdr:cNvPr id="52" name="NChk D32">
          <a:extLst>
            <a:ext uri="{FF2B5EF4-FFF2-40B4-BE49-F238E27FC236}">
              <a16:creationId xmlns:a16="http://schemas.microsoft.com/office/drawing/2014/main" id="{00000000-0008-0000-0300-000034000000}"/>
            </a:ext>
          </a:extLst>
        </xdr:cNvPr>
        <xdr:cNvSpPr/>
      </xdr:nvSpPr>
      <xdr:spPr>
        <a:xfrm>
          <a:off x="472295" y="475715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31</xdr:row>
      <xdr:rowOff>36774</xdr:rowOff>
    </xdr:from>
    <xdr:to>
      <xdr:col>3</xdr:col>
      <xdr:colOff>230795</xdr:colOff>
      <xdr:row>31</xdr:row>
      <xdr:rowOff>180774</xdr:rowOff>
    </xdr:to>
    <xdr:pic macro="[0]!Toggle_Tick">
      <xdr:nvPicPr>
        <xdr:cNvPr id="53" name="Tick D32" hidden="1">
          <a:extLst>
            <a:ext uri="{FF2B5EF4-FFF2-40B4-BE49-F238E27FC236}">
              <a16:creationId xmlns:a16="http://schemas.microsoft.com/office/drawing/2014/main" id="{00000000-0008-0000-0300-000035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475164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31</xdr:row>
      <xdr:rowOff>72270</xdr:rowOff>
    </xdr:from>
    <xdr:to>
      <xdr:col>2</xdr:col>
      <xdr:colOff>185805</xdr:colOff>
      <xdr:row>31</xdr:row>
      <xdr:rowOff>157230</xdr:rowOff>
    </xdr:to>
    <xdr:sp macro="[0]!Delete_Security_Item" textlink="">
      <xdr:nvSpPr>
        <xdr:cNvPr id="54" name="DelS_32" descr="Close with solid fill">
          <a:extLst>
            <a:ext uri="{FF2B5EF4-FFF2-40B4-BE49-F238E27FC236}">
              <a16:creationId xmlns:a16="http://schemas.microsoft.com/office/drawing/2014/main" id="{00000000-0008-0000-0300-000036000000}"/>
            </a:ext>
          </a:extLst>
        </xdr:cNvPr>
        <xdr:cNvSpPr/>
      </xdr:nvSpPr>
      <xdr:spPr>
        <a:xfrm>
          <a:off x="234195" y="478714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32</xdr:row>
      <xdr:rowOff>42280</xdr:rowOff>
    </xdr:from>
    <xdr:to>
      <xdr:col>3</xdr:col>
      <xdr:colOff>222695</xdr:colOff>
      <xdr:row>32</xdr:row>
      <xdr:rowOff>173680</xdr:rowOff>
    </xdr:to>
    <xdr:sp macro="[0]!Toggle_Tick" textlink="">
      <xdr:nvSpPr>
        <xdr:cNvPr id="55" name="NChk D33">
          <a:extLst>
            <a:ext uri="{FF2B5EF4-FFF2-40B4-BE49-F238E27FC236}">
              <a16:creationId xmlns:a16="http://schemas.microsoft.com/office/drawing/2014/main" id="{00000000-0008-0000-0300-000037000000}"/>
            </a:ext>
          </a:extLst>
        </xdr:cNvPr>
        <xdr:cNvSpPr/>
      </xdr:nvSpPr>
      <xdr:spPr>
        <a:xfrm>
          <a:off x="472295" y="497623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32</xdr:row>
      <xdr:rowOff>36774</xdr:rowOff>
    </xdr:from>
    <xdr:to>
      <xdr:col>3</xdr:col>
      <xdr:colOff>230795</xdr:colOff>
      <xdr:row>32</xdr:row>
      <xdr:rowOff>180774</xdr:rowOff>
    </xdr:to>
    <xdr:pic macro="[0]!Toggle_Tick">
      <xdr:nvPicPr>
        <xdr:cNvPr id="56" name="Tick D33" hidden="1">
          <a:extLst>
            <a:ext uri="{FF2B5EF4-FFF2-40B4-BE49-F238E27FC236}">
              <a16:creationId xmlns:a16="http://schemas.microsoft.com/office/drawing/2014/main" id="{00000000-0008-0000-0300-000038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497072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32</xdr:row>
      <xdr:rowOff>72270</xdr:rowOff>
    </xdr:from>
    <xdr:to>
      <xdr:col>2</xdr:col>
      <xdr:colOff>185805</xdr:colOff>
      <xdr:row>32</xdr:row>
      <xdr:rowOff>157230</xdr:rowOff>
    </xdr:to>
    <xdr:sp macro="[0]!Delete_Security_Item" textlink="">
      <xdr:nvSpPr>
        <xdr:cNvPr id="57" name="DelS_33" descr="Close with solid fill">
          <a:extLst>
            <a:ext uri="{FF2B5EF4-FFF2-40B4-BE49-F238E27FC236}">
              <a16:creationId xmlns:a16="http://schemas.microsoft.com/office/drawing/2014/main" id="{00000000-0008-0000-0300-000039000000}"/>
            </a:ext>
          </a:extLst>
        </xdr:cNvPr>
        <xdr:cNvSpPr/>
      </xdr:nvSpPr>
      <xdr:spPr>
        <a:xfrm>
          <a:off x="234195" y="500622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33</xdr:row>
      <xdr:rowOff>42280</xdr:rowOff>
    </xdr:from>
    <xdr:to>
      <xdr:col>3</xdr:col>
      <xdr:colOff>222695</xdr:colOff>
      <xdr:row>33</xdr:row>
      <xdr:rowOff>173680</xdr:rowOff>
    </xdr:to>
    <xdr:sp macro="[0]!Toggle_Tick" textlink="">
      <xdr:nvSpPr>
        <xdr:cNvPr id="58" name="NChk D34">
          <a:extLst>
            <a:ext uri="{FF2B5EF4-FFF2-40B4-BE49-F238E27FC236}">
              <a16:creationId xmlns:a16="http://schemas.microsoft.com/office/drawing/2014/main" id="{00000000-0008-0000-0300-00003A000000}"/>
            </a:ext>
          </a:extLst>
        </xdr:cNvPr>
        <xdr:cNvSpPr/>
      </xdr:nvSpPr>
      <xdr:spPr>
        <a:xfrm>
          <a:off x="472295" y="519530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33</xdr:row>
      <xdr:rowOff>36774</xdr:rowOff>
    </xdr:from>
    <xdr:to>
      <xdr:col>3</xdr:col>
      <xdr:colOff>230795</xdr:colOff>
      <xdr:row>33</xdr:row>
      <xdr:rowOff>180774</xdr:rowOff>
    </xdr:to>
    <xdr:pic macro="[0]!Toggle_Tick">
      <xdr:nvPicPr>
        <xdr:cNvPr id="59" name="Tick D34" hidden="1">
          <a:extLst>
            <a:ext uri="{FF2B5EF4-FFF2-40B4-BE49-F238E27FC236}">
              <a16:creationId xmlns:a16="http://schemas.microsoft.com/office/drawing/2014/main" id="{00000000-0008-0000-0300-00003B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518979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33</xdr:row>
      <xdr:rowOff>72270</xdr:rowOff>
    </xdr:from>
    <xdr:to>
      <xdr:col>2</xdr:col>
      <xdr:colOff>185805</xdr:colOff>
      <xdr:row>33</xdr:row>
      <xdr:rowOff>157230</xdr:rowOff>
    </xdr:to>
    <xdr:sp macro="[0]!Delete_Security_Item" textlink="">
      <xdr:nvSpPr>
        <xdr:cNvPr id="60" name="DelS_34" descr="Close with solid fill">
          <a:extLst>
            <a:ext uri="{FF2B5EF4-FFF2-40B4-BE49-F238E27FC236}">
              <a16:creationId xmlns:a16="http://schemas.microsoft.com/office/drawing/2014/main" id="{00000000-0008-0000-0300-00003C000000}"/>
            </a:ext>
          </a:extLst>
        </xdr:cNvPr>
        <xdr:cNvSpPr/>
      </xdr:nvSpPr>
      <xdr:spPr>
        <a:xfrm>
          <a:off x="234195" y="522529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34</xdr:row>
      <xdr:rowOff>42280</xdr:rowOff>
    </xdr:from>
    <xdr:to>
      <xdr:col>3</xdr:col>
      <xdr:colOff>222695</xdr:colOff>
      <xdr:row>34</xdr:row>
      <xdr:rowOff>173680</xdr:rowOff>
    </xdr:to>
    <xdr:sp macro="[0]!Toggle_Tick" textlink="">
      <xdr:nvSpPr>
        <xdr:cNvPr id="61" name="NChk D35">
          <a:extLst>
            <a:ext uri="{FF2B5EF4-FFF2-40B4-BE49-F238E27FC236}">
              <a16:creationId xmlns:a16="http://schemas.microsoft.com/office/drawing/2014/main" id="{00000000-0008-0000-0300-00003D000000}"/>
            </a:ext>
          </a:extLst>
        </xdr:cNvPr>
        <xdr:cNvSpPr/>
      </xdr:nvSpPr>
      <xdr:spPr>
        <a:xfrm>
          <a:off x="472295" y="541438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34</xdr:row>
      <xdr:rowOff>36774</xdr:rowOff>
    </xdr:from>
    <xdr:to>
      <xdr:col>3</xdr:col>
      <xdr:colOff>230795</xdr:colOff>
      <xdr:row>34</xdr:row>
      <xdr:rowOff>180774</xdr:rowOff>
    </xdr:to>
    <xdr:pic macro="[0]!Toggle_Tick">
      <xdr:nvPicPr>
        <xdr:cNvPr id="62" name="Tick D35" hidden="1">
          <a:extLst>
            <a:ext uri="{FF2B5EF4-FFF2-40B4-BE49-F238E27FC236}">
              <a16:creationId xmlns:a16="http://schemas.microsoft.com/office/drawing/2014/main" id="{00000000-0008-0000-0300-00003E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540887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34</xdr:row>
      <xdr:rowOff>72270</xdr:rowOff>
    </xdr:from>
    <xdr:to>
      <xdr:col>2</xdr:col>
      <xdr:colOff>185805</xdr:colOff>
      <xdr:row>34</xdr:row>
      <xdr:rowOff>157230</xdr:rowOff>
    </xdr:to>
    <xdr:sp macro="[0]!Delete_Security_Item" textlink="">
      <xdr:nvSpPr>
        <xdr:cNvPr id="63" name="DelS_35" descr="Close with solid fill">
          <a:extLst>
            <a:ext uri="{FF2B5EF4-FFF2-40B4-BE49-F238E27FC236}">
              <a16:creationId xmlns:a16="http://schemas.microsoft.com/office/drawing/2014/main" id="{00000000-0008-0000-0300-00003F000000}"/>
            </a:ext>
          </a:extLst>
        </xdr:cNvPr>
        <xdr:cNvSpPr/>
      </xdr:nvSpPr>
      <xdr:spPr>
        <a:xfrm>
          <a:off x="234195" y="544437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35</xdr:row>
      <xdr:rowOff>42280</xdr:rowOff>
    </xdr:from>
    <xdr:to>
      <xdr:col>3</xdr:col>
      <xdr:colOff>222695</xdr:colOff>
      <xdr:row>35</xdr:row>
      <xdr:rowOff>173680</xdr:rowOff>
    </xdr:to>
    <xdr:sp macro="[0]!Toggle_Tick" textlink="">
      <xdr:nvSpPr>
        <xdr:cNvPr id="64" name="NChk D36">
          <a:extLst>
            <a:ext uri="{FF2B5EF4-FFF2-40B4-BE49-F238E27FC236}">
              <a16:creationId xmlns:a16="http://schemas.microsoft.com/office/drawing/2014/main" id="{00000000-0008-0000-0300-000040000000}"/>
            </a:ext>
          </a:extLst>
        </xdr:cNvPr>
        <xdr:cNvSpPr/>
      </xdr:nvSpPr>
      <xdr:spPr>
        <a:xfrm>
          <a:off x="472295" y="563345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35</xdr:row>
      <xdr:rowOff>36774</xdr:rowOff>
    </xdr:from>
    <xdr:to>
      <xdr:col>3</xdr:col>
      <xdr:colOff>230795</xdr:colOff>
      <xdr:row>35</xdr:row>
      <xdr:rowOff>180774</xdr:rowOff>
    </xdr:to>
    <xdr:pic macro="[0]!Toggle_Tick">
      <xdr:nvPicPr>
        <xdr:cNvPr id="65" name="Tick D36" hidden="1">
          <a:extLst>
            <a:ext uri="{FF2B5EF4-FFF2-40B4-BE49-F238E27FC236}">
              <a16:creationId xmlns:a16="http://schemas.microsoft.com/office/drawing/2014/main" id="{00000000-0008-0000-0300-000041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562794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35</xdr:row>
      <xdr:rowOff>72270</xdr:rowOff>
    </xdr:from>
    <xdr:to>
      <xdr:col>2</xdr:col>
      <xdr:colOff>185805</xdr:colOff>
      <xdr:row>35</xdr:row>
      <xdr:rowOff>157230</xdr:rowOff>
    </xdr:to>
    <xdr:sp macro="[0]!Delete_Security_Item" textlink="">
      <xdr:nvSpPr>
        <xdr:cNvPr id="66" name="DelS_36" descr="Close with solid fill">
          <a:extLst>
            <a:ext uri="{FF2B5EF4-FFF2-40B4-BE49-F238E27FC236}">
              <a16:creationId xmlns:a16="http://schemas.microsoft.com/office/drawing/2014/main" id="{00000000-0008-0000-0300-000042000000}"/>
            </a:ext>
          </a:extLst>
        </xdr:cNvPr>
        <xdr:cNvSpPr/>
      </xdr:nvSpPr>
      <xdr:spPr>
        <a:xfrm>
          <a:off x="234195" y="566344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36</xdr:row>
      <xdr:rowOff>42280</xdr:rowOff>
    </xdr:from>
    <xdr:to>
      <xdr:col>3</xdr:col>
      <xdr:colOff>222695</xdr:colOff>
      <xdr:row>36</xdr:row>
      <xdr:rowOff>173680</xdr:rowOff>
    </xdr:to>
    <xdr:sp macro="[0]!Toggle_Tick" textlink="">
      <xdr:nvSpPr>
        <xdr:cNvPr id="67" name="NChk D37">
          <a:extLst>
            <a:ext uri="{FF2B5EF4-FFF2-40B4-BE49-F238E27FC236}">
              <a16:creationId xmlns:a16="http://schemas.microsoft.com/office/drawing/2014/main" id="{00000000-0008-0000-0300-000043000000}"/>
            </a:ext>
          </a:extLst>
        </xdr:cNvPr>
        <xdr:cNvSpPr/>
      </xdr:nvSpPr>
      <xdr:spPr>
        <a:xfrm>
          <a:off x="472295" y="585253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36</xdr:row>
      <xdr:rowOff>36774</xdr:rowOff>
    </xdr:from>
    <xdr:to>
      <xdr:col>3</xdr:col>
      <xdr:colOff>230795</xdr:colOff>
      <xdr:row>36</xdr:row>
      <xdr:rowOff>180774</xdr:rowOff>
    </xdr:to>
    <xdr:pic macro="[0]!Toggle_Tick">
      <xdr:nvPicPr>
        <xdr:cNvPr id="68" name="Tick D37" hidden="1">
          <a:extLst>
            <a:ext uri="{FF2B5EF4-FFF2-40B4-BE49-F238E27FC236}">
              <a16:creationId xmlns:a16="http://schemas.microsoft.com/office/drawing/2014/main" id="{00000000-0008-0000-0300-000044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584702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36</xdr:row>
      <xdr:rowOff>72270</xdr:rowOff>
    </xdr:from>
    <xdr:to>
      <xdr:col>2</xdr:col>
      <xdr:colOff>185805</xdr:colOff>
      <xdr:row>36</xdr:row>
      <xdr:rowOff>157230</xdr:rowOff>
    </xdr:to>
    <xdr:sp macro="[0]!Delete_Security_Item" textlink="">
      <xdr:nvSpPr>
        <xdr:cNvPr id="69" name="DelS_37" descr="Close with solid fill">
          <a:extLst>
            <a:ext uri="{FF2B5EF4-FFF2-40B4-BE49-F238E27FC236}">
              <a16:creationId xmlns:a16="http://schemas.microsoft.com/office/drawing/2014/main" id="{00000000-0008-0000-0300-000045000000}"/>
            </a:ext>
          </a:extLst>
        </xdr:cNvPr>
        <xdr:cNvSpPr/>
      </xdr:nvSpPr>
      <xdr:spPr>
        <a:xfrm>
          <a:off x="234195" y="588252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37</xdr:row>
      <xdr:rowOff>42280</xdr:rowOff>
    </xdr:from>
    <xdr:to>
      <xdr:col>3</xdr:col>
      <xdr:colOff>222695</xdr:colOff>
      <xdr:row>37</xdr:row>
      <xdr:rowOff>173680</xdr:rowOff>
    </xdr:to>
    <xdr:sp macro="[0]!Toggle_Tick" textlink="">
      <xdr:nvSpPr>
        <xdr:cNvPr id="70" name="NChk D38">
          <a:extLst>
            <a:ext uri="{FF2B5EF4-FFF2-40B4-BE49-F238E27FC236}">
              <a16:creationId xmlns:a16="http://schemas.microsoft.com/office/drawing/2014/main" id="{00000000-0008-0000-0300-000046000000}"/>
            </a:ext>
          </a:extLst>
        </xdr:cNvPr>
        <xdr:cNvSpPr/>
      </xdr:nvSpPr>
      <xdr:spPr>
        <a:xfrm>
          <a:off x="472295" y="607160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37</xdr:row>
      <xdr:rowOff>36774</xdr:rowOff>
    </xdr:from>
    <xdr:to>
      <xdr:col>3</xdr:col>
      <xdr:colOff>230795</xdr:colOff>
      <xdr:row>37</xdr:row>
      <xdr:rowOff>180774</xdr:rowOff>
    </xdr:to>
    <xdr:pic macro="[0]!Toggle_Tick">
      <xdr:nvPicPr>
        <xdr:cNvPr id="71" name="Tick D38" hidden="1">
          <a:extLst>
            <a:ext uri="{FF2B5EF4-FFF2-40B4-BE49-F238E27FC236}">
              <a16:creationId xmlns:a16="http://schemas.microsoft.com/office/drawing/2014/main" id="{00000000-0008-0000-0300-000047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606609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37</xdr:row>
      <xdr:rowOff>72270</xdr:rowOff>
    </xdr:from>
    <xdr:to>
      <xdr:col>2</xdr:col>
      <xdr:colOff>185805</xdr:colOff>
      <xdr:row>37</xdr:row>
      <xdr:rowOff>157230</xdr:rowOff>
    </xdr:to>
    <xdr:sp macro="[0]!Delete_Security_Item" textlink="">
      <xdr:nvSpPr>
        <xdr:cNvPr id="72" name="DelS_38" descr="Close with solid fill">
          <a:extLst>
            <a:ext uri="{FF2B5EF4-FFF2-40B4-BE49-F238E27FC236}">
              <a16:creationId xmlns:a16="http://schemas.microsoft.com/office/drawing/2014/main" id="{00000000-0008-0000-0300-000048000000}"/>
            </a:ext>
          </a:extLst>
        </xdr:cNvPr>
        <xdr:cNvSpPr/>
      </xdr:nvSpPr>
      <xdr:spPr>
        <a:xfrm>
          <a:off x="234195" y="610159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38</xdr:row>
      <xdr:rowOff>42280</xdr:rowOff>
    </xdr:from>
    <xdr:to>
      <xdr:col>3</xdr:col>
      <xdr:colOff>222695</xdr:colOff>
      <xdr:row>38</xdr:row>
      <xdr:rowOff>173680</xdr:rowOff>
    </xdr:to>
    <xdr:sp macro="[0]!Toggle_Tick" textlink="">
      <xdr:nvSpPr>
        <xdr:cNvPr id="73" name="NChk D39">
          <a:extLst>
            <a:ext uri="{FF2B5EF4-FFF2-40B4-BE49-F238E27FC236}">
              <a16:creationId xmlns:a16="http://schemas.microsoft.com/office/drawing/2014/main" id="{00000000-0008-0000-0300-000049000000}"/>
            </a:ext>
          </a:extLst>
        </xdr:cNvPr>
        <xdr:cNvSpPr/>
      </xdr:nvSpPr>
      <xdr:spPr>
        <a:xfrm>
          <a:off x="472295" y="629068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38</xdr:row>
      <xdr:rowOff>36774</xdr:rowOff>
    </xdr:from>
    <xdr:to>
      <xdr:col>3</xdr:col>
      <xdr:colOff>230795</xdr:colOff>
      <xdr:row>38</xdr:row>
      <xdr:rowOff>180774</xdr:rowOff>
    </xdr:to>
    <xdr:pic macro="[0]!Toggle_Tick">
      <xdr:nvPicPr>
        <xdr:cNvPr id="74" name="Tick D39" hidden="1">
          <a:extLst>
            <a:ext uri="{FF2B5EF4-FFF2-40B4-BE49-F238E27FC236}">
              <a16:creationId xmlns:a16="http://schemas.microsoft.com/office/drawing/2014/main" id="{00000000-0008-0000-0300-00004A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628517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38</xdr:row>
      <xdr:rowOff>72270</xdr:rowOff>
    </xdr:from>
    <xdr:to>
      <xdr:col>2</xdr:col>
      <xdr:colOff>185805</xdr:colOff>
      <xdr:row>38</xdr:row>
      <xdr:rowOff>157230</xdr:rowOff>
    </xdr:to>
    <xdr:sp macro="[0]!Delete_Security_Item" textlink="">
      <xdr:nvSpPr>
        <xdr:cNvPr id="75" name="DelS_39" descr="Close with solid fill">
          <a:extLst>
            <a:ext uri="{FF2B5EF4-FFF2-40B4-BE49-F238E27FC236}">
              <a16:creationId xmlns:a16="http://schemas.microsoft.com/office/drawing/2014/main" id="{00000000-0008-0000-0300-00004B000000}"/>
            </a:ext>
          </a:extLst>
        </xdr:cNvPr>
        <xdr:cNvSpPr/>
      </xdr:nvSpPr>
      <xdr:spPr>
        <a:xfrm>
          <a:off x="234195" y="632067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39</xdr:row>
      <xdr:rowOff>42280</xdr:rowOff>
    </xdr:from>
    <xdr:to>
      <xdr:col>3</xdr:col>
      <xdr:colOff>222695</xdr:colOff>
      <xdr:row>39</xdr:row>
      <xdr:rowOff>173680</xdr:rowOff>
    </xdr:to>
    <xdr:sp macro="[0]!Toggle_Tick" textlink="">
      <xdr:nvSpPr>
        <xdr:cNvPr id="76" name="NChk D40">
          <a:extLst>
            <a:ext uri="{FF2B5EF4-FFF2-40B4-BE49-F238E27FC236}">
              <a16:creationId xmlns:a16="http://schemas.microsoft.com/office/drawing/2014/main" id="{00000000-0008-0000-0300-00004C000000}"/>
            </a:ext>
          </a:extLst>
        </xdr:cNvPr>
        <xdr:cNvSpPr/>
      </xdr:nvSpPr>
      <xdr:spPr>
        <a:xfrm>
          <a:off x="472295" y="650975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39</xdr:row>
      <xdr:rowOff>36774</xdr:rowOff>
    </xdr:from>
    <xdr:to>
      <xdr:col>3</xdr:col>
      <xdr:colOff>230795</xdr:colOff>
      <xdr:row>39</xdr:row>
      <xdr:rowOff>180774</xdr:rowOff>
    </xdr:to>
    <xdr:pic macro="[0]!Toggle_Tick">
      <xdr:nvPicPr>
        <xdr:cNvPr id="77" name="Tick D40" hidden="1">
          <a:extLst>
            <a:ext uri="{FF2B5EF4-FFF2-40B4-BE49-F238E27FC236}">
              <a16:creationId xmlns:a16="http://schemas.microsoft.com/office/drawing/2014/main" id="{00000000-0008-0000-0300-00004D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650424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39</xdr:row>
      <xdr:rowOff>72270</xdr:rowOff>
    </xdr:from>
    <xdr:to>
      <xdr:col>2</xdr:col>
      <xdr:colOff>185805</xdr:colOff>
      <xdr:row>39</xdr:row>
      <xdr:rowOff>157230</xdr:rowOff>
    </xdr:to>
    <xdr:sp macro="[0]!Delete_Security_Item" textlink="">
      <xdr:nvSpPr>
        <xdr:cNvPr id="78" name="DelS_40" descr="Close with solid fill">
          <a:extLst>
            <a:ext uri="{FF2B5EF4-FFF2-40B4-BE49-F238E27FC236}">
              <a16:creationId xmlns:a16="http://schemas.microsoft.com/office/drawing/2014/main" id="{00000000-0008-0000-0300-00004E000000}"/>
            </a:ext>
          </a:extLst>
        </xdr:cNvPr>
        <xdr:cNvSpPr/>
      </xdr:nvSpPr>
      <xdr:spPr>
        <a:xfrm>
          <a:off x="234195" y="653974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40</xdr:row>
      <xdr:rowOff>42280</xdr:rowOff>
    </xdr:from>
    <xdr:to>
      <xdr:col>3</xdr:col>
      <xdr:colOff>222695</xdr:colOff>
      <xdr:row>40</xdr:row>
      <xdr:rowOff>173680</xdr:rowOff>
    </xdr:to>
    <xdr:sp macro="[0]!Toggle_Tick" textlink="">
      <xdr:nvSpPr>
        <xdr:cNvPr id="79" name="NChk D41">
          <a:extLst>
            <a:ext uri="{FF2B5EF4-FFF2-40B4-BE49-F238E27FC236}">
              <a16:creationId xmlns:a16="http://schemas.microsoft.com/office/drawing/2014/main" id="{00000000-0008-0000-0300-00004F000000}"/>
            </a:ext>
          </a:extLst>
        </xdr:cNvPr>
        <xdr:cNvSpPr/>
      </xdr:nvSpPr>
      <xdr:spPr>
        <a:xfrm>
          <a:off x="472295" y="672883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40</xdr:row>
      <xdr:rowOff>36774</xdr:rowOff>
    </xdr:from>
    <xdr:to>
      <xdr:col>3</xdr:col>
      <xdr:colOff>230795</xdr:colOff>
      <xdr:row>40</xdr:row>
      <xdr:rowOff>180774</xdr:rowOff>
    </xdr:to>
    <xdr:pic macro="[0]!Toggle_Tick">
      <xdr:nvPicPr>
        <xdr:cNvPr id="80" name="Tick D41" hidden="1">
          <a:extLst>
            <a:ext uri="{FF2B5EF4-FFF2-40B4-BE49-F238E27FC236}">
              <a16:creationId xmlns:a16="http://schemas.microsoft.com/office/drawing/2014/main" id="{00000000-0008-0000-0300-000050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672332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40</xdr:row>
      <xdr:rowOff>72270</xdr:rowOff>
    </xdr:from>
    <xdr:to>
      <xdr:col>2</xdr:col>
      <xdr:colOff>185805</xdr:colOff>
      <xdr:row>40</xdr:row>
      <xdr:rowOff>157230</xdr:rowOff>
    </xdr:to>
    <xdr:sp macro="[0]!Delete_Security_Item" textlink="">
      <xdr:nvSpPr>
        <xdr:cNvPr id="81" name="DelS_41" descr="Close with solid fill">
          <a:extLst>
            <a:ext uri="{FF2B5EF4-FFF2-40B4-BE49-F238E27FC236}">
              <a16:creationId xmlns:a16="http://schemas.microsoft.com/office/drawing/2014/main" id="{00000000-0008-0000-0300-000051000000}"/>
            </a:ext>
          </a:extLst>
        </xdr:cNvPr>
        <xdr:cNvSpPr/>
      </xdr:nvSpPr>
      <xdr:spPr>
        <a:xfrm>
          <a:off x="234195" y="675882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41</xdr:row>
      <xdr:rowOff>42280</xdr:rowOff>
    </xdr:from>
    <xdr:to>
      <xdr:col>3</xdr:col>
      <xdr:colOff>222695</xdr:colOff>
      <xdr:row>41</xdr:row>
      <xdr:rowOff>173680</xdr:rowOff>
    </xdr:to>
    <xdr:sp macro="[0]!Toggle_Tick" textlink="">
      <xdr:nvSpPr>
        <xdr:cNvPr id="82" name="NChk D42">
          <a:extLst>
            <a:ext uri="{FF2B5EF4-FFF2-40B4-BE49-F238E27FC236}">
              <a16:creationId xmlns:a16="http://schemas.microsoft.com/office/drawing/2014/main" id="{00000000-0008-0000-0300-000052000000}"/>
            </a:ext>
          </a:extLst>
        </xdr:cNvPr>
        <xdr:cNvSpPr/>
      </xdr:nvSpPr>
      <xdr:spPr>
        <a:xfrm>
          <a:off x="472295" y="694790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41</xdr:row>
      <xdr:rowOff>36774</xdr:rowOff>
    </xdr:from>
    <xdr:to>
      <xdr:col>3</xdr:col>
      <xdr:colOff>230795</xdr:colOff>
      <xdr:row>41</xdr:row>
      <xdr:rowOff>180774</xdr:rowOff>
    </xdr:to>
    <xdr:pic macro="[0]!Toggle_Tick">
      <xdr:nvPicPr>
        <xdr:cNvPr id="83" name="Tick D42" hidden="1">
          <a:extLst>
            <a:ext uri="{FF2B5EF4-FFF2-40B4-BE49-F238E27FC236}">
              <a16:creationId xmlns:a16="http://schemas.microsoft.com/office/drawing/2014/main" id="{00000000-0008-0000-0300-00005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694239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41</xdr:row>
      <xdr:rowOff>72270</xdr:rowOff>
    </xdr:from>
    <xdr:to>
      <xdr:col>2</xdr:col>
      <xdr:colOff>185805</xdr:colOff>
      <xdr:row>41</xdr:row>
      <xdr:rowOff>157230</xdr:rowOff>
    </xdr:to>
    <xdr:sp macro="[0]!Delete_Security_Item" textlink="">
      <xdr:nvSpPr>
        <xdr:cNvPr id="84" name="DelS_42" descr="Close with solid fill">
          <a:extLst>
            <a:ext uri="{FF2B5EF4-FFF2-40B4-BE49-F238E27FC236}">
              <a16:creationId xmlns:a16="http://schemas.microsoft.com/office/drawing/2014/main" id="{00000000-0008-0000-0300-000054000000}"/>
            </a:ext>
          </a:extLst>
        </xdr:cNvPr>
        <xdr:cNvSpPr/>
      </xdr:nvSpPr>
      <xdr:spPr>
        <a:xfrm>
          <a:off x="234195" y="697789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42</xdr:row>
      <xdr:rowOff>42280</xdr:rowOff>
    </xdr:from>
    <xdr:to>
      <xdr:col>3</xdr:col>
      <xdr:colOff>222695</xdr:colOff>
      <xdr:row>42</xdr:row>
      <xdr:rowOff>173680</xdr:rowOff>
    </xdr:to>
    <xdr:sp macro="[0]!Toggle_Tick" textlink="">
      <xdr:nvSpPr>
        <xdr:cNvPr id="85" name="NChk D43">
          <a:extLst>
            <a:ext uri="{FF2B5EF4-FFF2-40B4-BE49-F238E27FC236}">
              <a16:creationId xmlns:a16="http://schemas.microsoft.com/office/drawing/2014/main" id="{00000000-0008-0000-0300-000055000000}"/>
            </a:ext>
          </a:extLst>
        </xdr:cNvPr>
        <xdr:cNvSpPr/>
      </xdr:nvSpPr>
      <xdr:spPr>
        <a:xfrm>
          <a:off x="472295" y="716698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42</xdr:row>
      <xdr:rowOff>36774</xdr:rowOff>
    </xdr:from>
    <xdr:to>
      <xdr:col>3</xdr:col>
      <xdr:colOff>230795</xdr:colOff>
      <xdr:row>42</xdr:row>
      <xdr:rowOff>180774</xdr:rowOff>
    </xdr:to>
    <xdr:pic macro="[0]!Toggle_Tick">
      <xdr:nvPicPr>
        <xdr:cNvPr id="86" name="Tick D43" hidden="1">
          <a:extLst>
            <a:ext uri="{FF2B5EF4-FFF2-40B4-BE49-F238E27FC236}">
              <a16:creationId xmlns:a16="http://schemas.microsoft.com/office/drawing/2014/main" id="{00000000-0008-0000-0300-000056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716147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42</xdr:row>
      <xdr:rowOff>72270</xdr:rowOff>
    </xdr:from>
    <xdr:to>
      <xdr:col>2</xdr:col>
      <xdr:colOff>185805</xdr:colOff>
      <xdr:row>42</xdr:row>
      <xdr:rowOff>157230</xdr:rowOff>
    </xdr:to>
    <xdr:sp macro="[0]!Delete_Security_Item" textlink="">
      <xdr:nvSpPr>
        <xdr:cNvPr id="87" name="DelS_43" descr="Close with solid fill">
          <a:extLst>
            <a:ext uri="{FF2B5EF4-FFF2-40B4-BE49-F238E27FC236}">
              <a16:creationId xmlns:a16="http://schemas.microsoft.com/office/drawing/2014/main" id="{00000000-0008-0000-0300-000057000000}"/>
            </a:ext>
          </a:extLst>
        </xdr:cNvPr>
        <xdr:cNvSpPr/>
      </xdr:nvSpPr>
      <xdr:spPr>
        <a:xfrm>
          <a:off x="234195" y="719697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43</xdr:row>
      <xdr:rowOff>42280</xdr:rowOff>
    </xdr:from>
    <xdr:to>
      <xdr:col>3</xdr:col>
      <xdr:colOff>222695</xdr:colOff>
      <xdr:row>43</xdr:row>
      <xdr:rowOff>173680</xdr:rowOff>
    </xdr:to>
    <xdr:sp macro="[0]!Toggle_Tick" textlink="">
      <xdr:nvSpPr>
        <xdr:cNvPr id="88" name="NChk D44">
          <a:extLst>
            <a:ext uri="{FF2B5EF4-FFF2-40B4-BE49-F238E27FC236}">
              <a16:creationId xmlns:a16="http://schemas.microsoft.com/office/drawing/2014/main" id="{00000000-0008-0000-0300-000058000000}"/>
            </a:ext>
          </a:extLst>
        </xdr:cNvPr>
        <xdr:cNvSpPr/>
      </xdr:nvSpPr>
      <xdr:spPr>
        <a:xfrm>
          <a:off x="472295" y="738605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43</xdr:row>
      <xdr:rowOff>36774</xdr:rowOff>
    </xdr:from>
    <xdr:to>
      <xdr:col>3</xdr:col>
      <xdr:colOff>230795</xdr:colOff>
      <xdr:row>43</xdr:row>
      <xdr:rowOff>180774</xdr:rowOff>
    </xdr:to>
    <xdr:pic macro="[0]!Toggle_Tick">
      <xdr:nvPicPr>
        <xdr:cNvPr id="89" name="Tick D44" hidden="1">
          <a:extLst>
            <a:ext uri="{FF2B5EF4-FFF2-40B4-BE49-F238E27FC236}">
              <a16:creationId xmlns:a16="http://schemas.microsoft.com/office/drawing/2014/main" id="{00000000-0008-0000-0300-000059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738054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43</xdr:row>
      <xdr:rowOff>72270</xdr:rowOff>
    </xdr:from>
    <xdr:to>
      <xdr:col>2</xdr:col>
      <xdr:colOff>185805</xdr:colOff>
      <xdr:row>43</xdr:row>
      <xdr:rowOff>157230</xdr:rowOff>
    </xdr:to>
    <xdr:sp macro="[0]!Delete_Security_Item" textlink="">
      <xdr:nvSpPr>
        <xdr:cNvPr id="90" name="DelS_44" descr="Close with solid fill">
          <a:extLst>
            <a:ext uri="{FF2B5EF4-FFF2-40B4-BE49-F238E27FC236}">
              <a16:creationId xmlns:a16="http://schemas.microsoft.com/office/drawing/2014/main" id="{00000000-0008-0000-0300-00005A000000}"/>
            </a:ext>
          </a:extLst>
        </xdr:cNvPr>
        <xdr:cNvSpPr/>
      </xdr:nvSpPr>
      <xdr:spPr>
        <a:xfrm>
          <a:off x="234195" y="741604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44</xdr:row>
      <xdr:rowOff>42280</xdr:rowOff>
    </xdr:from>
    <xdr:to>
      <xdr:col>3</xdr:col>
      <xdr:colOff>222695</xdr:colOff>
      <xdr:row>44</xdr:row>
      <xdr:rowOff>173680</xdr:rowOff>
    </xdr:to>
    <xdr:sp macro="[0]!Toggle_Tick" textlink="">
      <xdr:nvSpPr>
        <xdr:cNvPr id="91" name="NChk D45">
          <a:extLst>
            <a:ext uri="{FF2B5EF4-FFF2-40B4-BE49-F238E27FC236}">
              <a16:creationId xmlns:a16="http://schemas.microsoft.com/office/drawing/2014/main" id="{00000000-0008-0000-0300-00005B000000}"/>
            </a:ext>
          </a:extLst>
        </xdr:cNvPr>
        <xdr:cNvSpPr/>
      </xdr:nvSpPr>
      <xdr:spPr>
        <a:xfrm>
          <a:off x="472295" y="7605130"/>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44</xdr:row>
      <xdr:rowOff>36774</xdr:rowOff>
    </xdr:from>
    <xdr:to>
      <xdr:col>3</xdr:col>
      <xdr:colOff>230795</xdr:colOff>
      <xdr:row>44</xdr:row>
      <xdr:rowOff>180774</xdr:rowOff>
    </xdr:to>
    <xdr:pic macro="[0]!Toggle_Tick">
      <xdr:nvPicPr>
        <xdr:cNvPr id="92" name="Tick D45" hidden="1">
          <a:extLst>
            <a:ext uri="{FF2B5EF4-FFF2-40B4-BE49-F238E27FC236}">
              <a16:creationId xmlns:a16="http://schemas.microsoft.com/office/drawing/2014/main" id="{00000000-0008-0000-0300-00005C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7599624"/>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44</xdr:row>
      <xdr:rowOff>72270</xdr:rowOff>
    </xdr:from>
    <xdr:to>
      <xdr:col>2</xdr:col>
      <xdr:colOff>185805</xdr:colOff>
      <xdr:row>44</xdr:row>
      <xdr:rowOff>157230</xdr:rowOff>
    </xdr:to>
    <xdr:sp macro="[0]!Delete_Security_Item" textlink="">
      <xdr:nvSpPr>
        <xdr:cNvPr id="93" name="DelS_45" descr="Close with solid fill">
          <a:extLst>
            <a:ext uri="{FF2B5EF4-FFF2-40B4-BE49-F238E27FC236}">
              <a16:creationId xmlns:a16="http://schemas.microsoft.com/office/drawing/2014/main" id="{00000000-0008-0000-0300-00005D000000}"/>
            </a:ext>
          </a:extLst>
        </xdr:cNvPr>
        <xdr:cNvSpPr/>
      </xdr:nvSpPr>
      <xdr:spPr>
        <a:xfrm>
          <a:off x="234195" y="7635120"/>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twoCellAnchor>
    <xdr:from>
      <xdr:col>3</xdr:col>
      <xdr:colOff>91295</xdr:colOff>
      <xdr:row>45</xdr:row>
      <xdr:rowOff>42280</xdr:rowOff>
    </xdr:from>
    <xdr:to>
      <xdr:col>3</xdr:col>
      <xdr:colOff>222695</xdr:colOff>
      <xdr:row>45</xdr:row>
      <xdr:rowOff>173680</xdr:rowOff>
    </xdr:to>
    <xdr:sp macro="[0]!Toggle_Tick" textlink="">
      <xdr:nvSpPr>
        <xdr:cNvPr id="94" name="NChk D46">
          <a:extLst>
            <a:ext uri="{FF2B5EF4-FFF2-40B4-BE49-F238E27FC236}">
              <a16:creationId xmlns:a16="http://schemas.microsoft.com/office/drawing/2014/main" id="{00000000-0008-0000-0300-00005E000000}"/>
            </a:ext>
          </a:extLst>
        </xdr:cNvPr>
        <xdr:cNvSpPr/>
      </xdr:nvSpPr>
      <xdr:spPr>
        <a:xfrm>
          <a:off x="472295" y="7824205"/>
          <a:ext cx="131400" cy="131400"/>
        </a:xfrm>
        <a:prstGeom prst="roundRect">
          <a:avLst/>
        </a:prstGeom>
        <a:solidFill>
          <a:schemeClr val="bg1"/>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86795</xdr:colOff>
      <xdr:row>45</xdr:row>
      <xdr:rowOff>36774</xdr:rowOff>
    </xdr:from>
    <xdr:to>
      <xdr:col>3</xdr:col>
      <xdr:colOff>230795</xdr:colOff>
      <xdr:row>45</xdr:row>
      <xdr:rowOff>180774</xdr:rowOff>
    </xdr:to>
    <xdr:pic macro="[0]!Toggle_Tick">
      <xdr:nvPicPr>
        <xdr:cNvPr id="95" name="Tick D46" hidden="1">
          <a:extLst>
            <a:ext uri="{FF2B5EF4-FFF2-40B4-BE49-F238E27FC236}">
              <a16:creationId xmlns:a16="http://schemas.microsoft.com/office/drawing/2014/main" id="{00000000-0008-0000-0300-00005F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795" y="7818699"/>
          <a:ext cx="144000" cy="1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100845</xdr:colOff>
      <xdr:row>45</xdr:row>
      <xdr:rowOff>72270</xdr:rowOff>
    </xdr:from>
    <xdr:to>
      <xdr:col>2</xdr:col>
      <xdr:colOff>185805</xdr:colOff>
      <xdr:row>45</xdr:row>
      <xdr:rowOff>157230</xdr:rowOff>
    </xdr:to>
    <xdr:sp macro="[0]!Delete_Security_Item" textlink="">
      <xdr:nvSpPr>
        <xdr:cNvPr id="96" name="DelS_46" descr="Close with solid fill">
          <a:extLst>
            <a:ext uri="{FF2B5EF4-FFF2-40B4-BE49-F238E27FC236}">
              <a16:creationId xmlns:a16="http://schemas.microsoft.com/office/drawing/2014/main" id="{00000000-0008-0000-0300-000060000000}"/>
            </a:ext>
          </a:extLst>
        </xdr:cNvPr>
        <xdr:cNvSpPr/>
      </xdr:nvSpPr>
      <xdr:spPr>
        <a:xfrm>
          <a:off x="234195" y="7854195"/>
          <a:ext cx="84960" cy="84960"/>
        </a:xfrm>
        <a:custGeom>
          <a:avLst/>
          <a:gdLst>
            <a:gd name="connsiteX0" fmla="*/ 84960 w 84960"/>
            <a:gd name="connsiteY0" fmla="*/ 10200 h 84960"/>
            <a:gd name="connsiteX1" fmla="*/ 74760 w 84960"/>
            <a:gd name="connsiteY1" fmla="*/ 0 h 84960"/>
            <a:gd name="connsiteX2" fmla="*/ 42480 w 84960"/>
            <a:gd name="connsiteY2" fmla="*/ 32280 h 84960"/>
            <a:gd name="connsiteX3" fmla="*/ 10200 w 84960"/>
            <a:gd name="connsiteY3" fmla="*/ 0 h 84960"/>
            <a:gd name="connsiteX4" fmla="*/ 0 w 84960"/>
            <a:gd name="connsiteY4" fmla="*/ 10200 h 84960"/>
            <a:gd name="connsiteX5" fmla="*/ 32280 w 84960"/>
            <a:gd name="connsiteY5" fmla="*/ 42480 h 84960"/>
            <a:gd name="connsiteX6" fmla="*/ 0 w 84960"/>
            <a:gd name="connsiteY6" fmla="*/ 74760 h 84960"/>
            <a:gd name="connsiteX7" fmla="*/ 10200 w 84960"/>
            <a:gd name="connsiteY7" fmla="*/ 84960 h 84960"/>
            <a:gd name="connsiteX8" fmla="*/ 42480 w 84960"/>
            <a:gd name="connsiteY8" fmla="*/ 52680 h 84960"/>
            <a:gd name="connsiteX9" fmla="*/ 74760 w 84960"/>
            <a:gd name="connsiteY9" fmla="*/ 84960 h 84960"/>
            <a:gd name="connsiteX10" fmla="*/ 84960 w 84960"/>
            <a:gd name="connsiteY10" fmla="*/ 74760 h 84960"/>
            <a:gd name="connsiteX11" fmla="*/ 52680 w 84960"/>
            <a:gd name="connsiteY11" fmla="*/ 42480 h 849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84960" h="84960">
              <a:moveTo>
                <a:pt x="84960" y="10200"/>
              </a:moveTo>
              <a:lnTo>
                <a:pt x="74760" y="0"/>
              </a:lnTo>
              <a:lnTo>
                <a:pt x="42480" y="32280"/>
              </a:lnTo>
              <a:lnTo>
                <a:pt x="10200" y="0"/>
              </a:lnTo>
              <a:lnTo>
                <a:pt x="0" y="10200"/>
              </a:lnTo>
              <a:lnTo>
                <a:pt x="32280" y="42480"/>
              </a:lnTo>
              <a:lnTo>
                <a:pt x="0" y="74760"/>
              </a:lnTo>
              <a:lnTo>
                <a:pt x="10200" y="84960"/>
              </a:lnTo>
              <a:lnTo>
                <a:pt x="42480" y="52680"/>
              </a:lnTo>
              <a:lnTo>
                <a:pt x="74760" y="84960"/>
              </a:lnTo>
              <a:lnTo>
                <a:pt x="84960" y="74760"/>
              </a:lnTo>
              <a:lnTo>
                <a:pt x="52680" y="42480"/>
              </a:lnTo>
              <a:close/>
            </a:path>
          </a:pathLst>
        </a:custGeom>
        <a:solidFill>
          <a:srgbClr val="004165"/>
        </a:solidFill>
        <a:ln w="1191" cap="flat">
          <a:noFill/>
          <a:prstDash val="solid"/>
          <a:miter/>
        </a:ln>
      </xdr:spPr>
      <xdr:txBody>
        <a:bodyPr rtlCol="0" anchor="ctr"/>
        <a:lstStyle/>
        <a:p>
          <a:endParaRPr lang="en-AU"/>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28574</xdr:colOff>
      <xdr:row>28</xdr:row>
      <xdr:rowOff>47628</xdr:rowOff>
    </xdr:from>
    <xdr:to>
      <xdr:col>3</xdr:col>
      <xdr:colOff>876299</xdr:colOff>
      <xdr:row>28</xdr:row>
      <xdr:rowOff>321948</xdr:rowOff>
    </xdr:to>
    <xdr:sp macro="[0]!Return_to_cell" textlink="">
      <xdr:nvSpPr>
        <xdr:cNvPr id="2" name="btnReturn">
          <a:extLst>
            <a:ext uri="{FF2B5EF4-FFF2-40B4-BE49-F238E27FC236}">
              <a16:creationId xmlns:a16="http://schemas.microsoft.com/office/drawing/2014/main" id="{00000000-0008-0000-0400-000002000000}"/>
            </a:ext>
          </a:extLst>
        </xdr:cNvPr>
        <xdr:cNvSpPr/>
      </xdr:nvSpPr>
      <xdr:spPr>
        <a:xfrm>
          <a:off x="161924" y="3581403"/>
          <a:ext cx="914400" cy="274320"/>
        </a:xfrm>
        <a:prstGeom prst="roundRect">
          <a:avLst/>
        </a:prstGeom>
        <a:solidFill>
          <a:srgbClr val="FFFFFF"/>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72AC"/>
              </a:solidFill>
            </a:rPr>
            <a:t>Return</a:t>
          </a:r>
        </a:p>
      </xdr:txBody>
    </xdr:sp>
    <xdr:clientData/>
  </xdr:twoCellAnchor>
  <xdr:twoCellAnchor>
    <xdr:from>
      <xdr:col>5</xdr:col>
      <xdr:colOff>307179</xdr:colOff>
      <xdr:row>28</xdr:row>
      <xdr:rowOff>47628</xdr:rowOff>
    </xdr:from>
    <xdr:to>
      <xdr:col>6</xdr:col>
      <xdr:colOff>97629</xdr:colOff>
      <xdr:row>28</xdr:row>
      <xdr:rowOff>321948</xdr:rowOff>
    </xdr:to>
    <xdr:sp macro="[0]!Update_cell" textlink="">
      <xdr:nvSpPr>
        <xdr:cNvPr id="3" name="btnUseValue">
          <a:extLst>
            <a:ext uri="{FF2B5EF4-FFF2-40B4-BE49-F238E27FC236}">
              <a16:creationId xmlns:a16="http://schemas.microsoft.com/office/drawing/2014/main" id="{00000000-0008-0000-0400-000003000000}"/>
            </a:ext>
          </a:extLst>
        </xdr:cNvPr>
        <xdr:cNvSpPr/>
      </xdr:nvSpPr>
      <xdr:spPr>
        <a:xfrm>
          <a:off x="4279104" y="3581403"/>
          <a:ext cx="914400" cy="27432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Use Value</a:t>
          </a:r>
        </a:p>
      </xdr:txBody>
    </xdr:sp>
    <xdr:clientData/>
  </xdr:twoCellAnchor>
  <xdr:twoCellAnchor>
    <xdr:from>
      <xdr:col>5</xdr:col>
      <xdr:colOff>233362</xdr:colOff>
      <xdr:row>2</xdr:row>
      <xdr:rowOff>66675</xdr:rowOff>
    </xdr:from>
    <xdr:to>
      <xdr:col>6</xdr:col>
      <xdr:colOff>23812</xdr:colOff>
      <xdr:row>3</xdr:row>
      <xdr:rowOff>236220</xdr:rowOff>
    </xdr:to>
    <xdr:sp macro="[0]!Clear_Breakdown_Form" textlink="">
      <xdr:nvSpPr>
        <xdr:cNvPr id="4" name="btnClearForm">
          <a:extLst>
            <a:ext uri="{FF2B5EF4-FFF2-40B4-BE49-F238E27FC236}">
              <a16:creationId xmlns:a16="http://schemas.microsoft.com/office/drawing/2014/main" id="{00000000-0008-0000-0400-000004000000}"/>
            </a:ext>
          </a:extLst>
        </xdr:cNvPr>
        <xdr:cNvSpPr/>
      </xdr:nvSpPr>
      <xdr:spPr>
        <a:xfrm>
          <a:off x="4205287" y="200025"/>
          <a:ext cx="914400" cy="274320"/>
        </a:xfrm>
        <a:prstGeom prst="roundRect">
          <a:avLst/>
        </a:prstGeom>
        <a:solidFill>
          <a:srgbClr val="B6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rPr>
            <a:t>Clear Inputs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6</xdr:row>
      <xdr:rowOff>66673</xdr:rowOff>
    </xdr:from>
    <xdr:to>
      <xdr:col>11</xdr:col>
      <xdr:colOff>2160000</xdr:colOff>
      <xdr:row>8</xdr:row>
      <xdr:rowOff>148</xdr:rowOff>
    </xdr:to>
    <xdr:sp macro="[0]!ImportData" textlink="">
      <xdr:nvSpPr>
        <xdr:cNvPr id="8" name="Import_MLC">
          <a:extLst>
            <a:ext uri="{FF2B5EF4-FFF2-40B4-BE49-F238E27FC236}">
              <a16:creationId xmlns:a16="http://schemas.microsoft.com/office/drawing/2014/main" id="{00000000-0008-0000-0500-000008000000}"/>
            </a:ext>
          </a:extLst>
        </xdr:cNvPr>
        <xdr:cNvSpPr/>
      </xdr:nvSpPr>
      <xdr:spPr>
        <a:xfrm>
          <a:off x="5029200" y="1076323"/>
          <a:ext cx="2160000" cy="32400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Import</a:t>
          </a:r>
        </a:p>
      </xdr:txBody>
    </xdr:sp>
    <xdr:clientData/>
  </xdr:twoCellAnchor>
  <xdr:twoCellAnchor>
    <xdr:from>
      <xdr:col>11</xdr:col>
      <xdr:colOff>2411015</xdr:colOff>
      <xdr:row>9</xdr:row>
      <xdr:rowOff>17860</xdr:rowOff>
    </xdr:from>
    <xdr:to>
      <xdr:col>11</xdr:col>
      <xdr:colOff>2608660</xdr:colOff>
      <xdr:row>9</xdr:row>
      <xdr:rowOff>178594</xdr:rowOff>
    </xdr:to>
    <xdr:sp macro="[0]!Clear_Warnings" textlink="">
      <xdr:nvSpPr>
        <xdr:cNvPr id="9" name="ClearWarning" hidden="1">
          <a:extLst>
            <a:ext uri="{FF2B5EF4-FFF2-40B4-BE49-F238E27FC236}">
              <a16:creationId xmlns:a16="http://schemas.microsoft.com/office/drawing/2014/main" id="{00000000-0008-0000-0500-000009000000}"/>
            </a:ext>
          </a:extLst>
        </xdr:cNvPr>
        <xdr:cNvSpPr/>
      </xdr:nvSpPr>
      <xdr:spPr>
        <a:xfrm flipH="1">
          <a:off x="7362031" y="1456532"/>
          <a:ext cx="197645" cy="160734"/>
        </a:xfrm>
        <a:prstGeom prst="mathMultiply">
          <a:avLst/>
        </a:prstGeom>
        <a:solidFill>
          <a:srgbClr val="FF66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15</xdr:col>
      <xdr:colOff>0</xdr:colOff>
      <xdr:row>6</xdr:row>
      <xdr:rowOff>66673</xdr:rowOff>
    </xdr:from>
    <xdr:to>
      <xdr:col>15</xdr:col>
      <xdr:colOff>2160000</xdr:colOff>
      <xdr:row>8</xdr:row>
      <xdr:rowOff>148</xdr:rowOff>
    </xdr:to>
    <xdr:sp macro="[0]!PrintSheets" textlink="">
      <xdr:nvSpPr>
        <xdr:cNvPr id="13" name="PrintAll">
          <a:extLst>
            <a:ext uri="{FF2B5EF4-FFF2-40B4-BE49-F238E27FC236}">
              <a16:creationId xmlns:a16="http://schemas.microsoft.com/office/drawing/2014/main" id="{00000000-0008-0000-0500-00000D000000}"/>
            </a:ext>
          </a:extLst>
        </xdr:cNvPr>
        <xdr:cNvSpPr/>
      </xdr:nvSpPr>
      <xdr:spPr>
        <a:xfrm>
          <a:off x="5050234" y="1088626"/>
          <a:ext cx="2160000" cy="33035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Print All</a:t>
          </a:r>
        </a:p>
      </xdr:txBody>
    </xdr:sp>
    <xdr:clientData/>
  </xdr:twoCellAnchor>
  <xdr:twoCellAnchor>
    <xdr:from>
      <xdr:col>5</xdr:col>
      <xdr:colOff>77787</xdr:colOff>
      <xdr:row>9</xdr:row>
      <xdr:rowOff>800495</xdr:rowOff>
    </xdr:from>
    <xdr:to>
      <xdr:col>7</xdr:col>
      <xdr:colOff>674100</xdr:colOff>
      <xdr:row>9</xdr:row>
      <xdr:rowOff>1127273</xdr:rowOff>
    </xdr:to>
    <xdr:sp macro="[0]!Goto_Calculator" textlink="">
      <xdr:nvSpPr>
        <xdr:cNvPr id="15" name="LockRate">
          <a:extLst>
            <a:ext uri="{FF2B5EF4-FFF2-40B4-BE49-F238E27FC236}">
              <a16:creationId xmlns:a16="http://schemas.microsoft.com/office/drawing/2014/main" id="{00000000-0008-0000-0500-00000F000000}"/>
            </a:ext>
          </a:extLst>
        </xdr:cNvPr>
        <xdr:cNvSpPr/>
      </xdr:nvSpPr>
      <xdr:spPr>
        <a:xfrm>
          <a:off x="2468959" y="2239167"/>
          <a:ext cx="2154047" cy="326778"/>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Lock Rate Calculator</a:t>
          </a:r>
        </a:p>
      </xdr:txBody>
    </xdr:sp>
    <xdr:clientData/>
  </xdr:twoCellAnchor>
  <xdr:twoCellAnchor>
    <xdr:from>
      <xdr:col>5</xdr:col>
      <xdr:colOff>75803</xdr:colOff>
      <xdr:row>9</xdr:row>
      <xdr:rowOff>404017</xdr:rowOff>
    </xdr:from>
    <xdr:to>
      <xdr:col>7</xdr:col>
      <xdr:colOff>672116</xdr:colOff>
      <xdr:row>9</xdr:row>
      <xdr:rowOff>734367</xdr:rowOff>
    </xdr:to>
    <xdr:sp macro="[0]!Goto_Calculator" textlink="">
      <xdr:nvSpPr>
        <xdr:cNvPr id="6" name="ConLoan">
          <a:extLst>
            <a:ext uri="{FF2B5EF4-FFF2-40B4-BE49-F238E27FC236}">
              <a16:creationId xmlns:a16="http://schemas.microsoft.com/office/drawing/2014/main" id="{00000000-0008-0000-0500-000006000000}"/>
            </a:ext>
          </a:extLst>
        </xdr:cNvPr>
        <xdr:cNvSpPr/>
      </xdr:nvSpPr>
      <xdr:spPr>
        <a:xfrm>
          <a:off x="2466975" y="1842689"/>
          <a:ext cx="2154047" cy="33035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Construction Loan Calc</a:t>
          </a:r>
        </a:p>
      </xdr:txBody>
    </xdr:sp>
    <xdr:clientData/>
  </xdr:twoCellAnchor>
  <xdr:twoCellAnchor>
    <xdr:from>
      <xdr:col>5</xdr:col>
      <xdr:colOff>79375</xdr:colOff>
      <xdr:row>9</xdr:row>
      <xdr:rowOff>9922</xdr:rowOff>
    </xdr:from>
    <xdr:to>
      <xdr:col>8</xdr:col>
      <xdr:colOff>1000</xdr:colOff>
      <xdr:row>9</xdr:row>
      <xdr:rowOff>340272</xdr:rowOff>
    </xdr:to>
    <xdr:sp macro="[0]!Goto_Calculator" textlink="">
      <xdr:nvSpPr>
        <xdr:cNvPr id="16" name="SecSwap">
          <a:extLst>
            <a:ext uri="{FF2B5EF4-FFF2-40B4-BE49-F238E27FC236}">
              <a16:creationId xmlns:a16="http://schemas.microsoft.com/office/drawing/2014/main" id="{00000000-0008-0000-0500-000010000000}"/>
            </a:ext>
          </a:extLst>
        </xdr:cNvPr>
        <xdr:cNvSpPr/>
      </xdr:nvSpPr>
      <xdr:spPr>
        <a:xfrm>
          <a:off x="2470547" y="1448594"/>
          <a:ext cx="2154047" cy="33035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Security Swap Calc</a:t>
          </a:r>
        </a:p>
      </xdr:txBody>
    </xdr:sp>
    <xdr:clientData/>
  </xdr:twoCellAnchor>
  <xdr:twoCellAnchor>
    <xdr:from>
      <xdr:col>5</xdr:col>
      <xdr:colOff>81756</xdr:colOff>
      <xdr:row>7</xdr:row>
      <xdr:rowOff>8333</xdr:rowOff>
    </xdr:from>
    <xdr:to>
      <xdr:col>8</xdr:col>
      <xdr:colOff>3381</xdr:colOff>
      <xdr:row>8</xdr:row>
      <xdr:rowOff>7689</xdr:rowOff>
    </xdr:to>
    <xdr:sp macro="[0]!Goto_Calculator" textlink="">
      <xdr:nvSpPr>
        <xdr:cNvPr id="10" name="Bridging">
          <a:extLst>
            <a:ext uri="{FF2B5EF4-FFF2-40B4-BE49-F238E27FC236}">
              <a16:creationId xmlns:a16="http://schemas.microsoft.com/office/drawing/2014/main" id="{00000000-0008-0000-0500-00000A000000}"/>
            </a:ext>
          </a:extLst>
        </xdr:cNvPr>
        <xdr:cNvSpPr/>
      </xdr:nvSpPr>
      <xdr:spPr>
        <a:xfrm>
          <a:off x="2472928" y="1050130"/>
          <a:ext cx="2154047" cy="326778"/>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Bridging</a:t>
          </a:r>
          <a:r>
            <a:rPr lang="en-AU" sz="1400" b="1" baseline="0">
              <a:solidFill>
                <a:srgbClr val="FFFFFF"/>
              </a:solidFill>
            </a:rPr>
            <a:t> Finance</a:t>
          </a:r>
          <a:endParaRPr lang="en-AU" sz="1400" b="1">
            <a:solidFill>
              <a:srgbClr val="FFFFFF"/>
            </a:solidFill>
          </a:endParaRPr>
        </a:p>
      </xdr:txBody>
    </xdr:sp>
    <xdr:clientData/>
  </xdr:twoCellAnchor>
  <xdr:twoCellAnchor>
    <xdr:from>
      <xdr:col>2</xdr:col>
      <xdr:colOff>55960</xdr:colOff>
      <xdr:row>9</xdr:row>
      <xdr:rowOff>790970</xdr:rowOff>
    </xdr:from>
    <xdr:to>
      <xdr:col>4</xdr:col>
      <xdr:colOff>860632</xdr:colOff>
      <xdr:row>9</xdr:row>
      <xdr:rowOff>1117748</xdr:rowOff>
    </xdr:to>
    <xdr:sp macro="[0]!Goto_Calculator" textlink="">
      <xdr:nvSpPr>
        <xdr:cNvPr id="7" name="Repay">
          <a:extLst>
            <a:ext uri="{FF2B5EF4-FFF2-40B4-BE49-F238E27FC236}">
              <a16:creationId xmlns:a16="http://schemas.microsoft.com/office/drawing/2014/main" id="{00000000-0008-0000-0500-000007000000}"/>
            </a:ext>
          </a:extLst>
        </xdr:cNvPr>
        <xdr:cNvSpPr/>
      </xdr:nvSpPr>
      <xdr:spPr>
        <a:xfrm>
          <a:off x="194866" y="2229642"/>
          <a:ext cx="2154047" cy="326778"/>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Repayments</a:t>
          </a:r>
        </a:p>
      </xdr:txBody>
    </xdr:sp>
    <xdr:clientData/>
  </xdr:twoCellAnchor>
  <xdr:twoCellAnchor>
    <xdr:from>
      <xdr:col>2</xdr:col>
      <xdr:colOff>95250</xdr:colOff>
      <xdr:row>9</xdr:row>
      <xdr:rowOff>400048</xdr:rowOff>
    </xdr:from>
    <xdr:to>
      <xdr:col>4</xdr:col>
      <xdr:colOff>874125</xdr:colOff>
      <xdr:row>9</xdr:row>
      <xdr:rowOff>723900</xdr:rowOff>
    </xdr:to>
    <xdr:sp macro="[0]!Goto_Calculator" textlink="">
      <xdr:nvSpPr>
        <xdr:cNvPr id="5" name="Fee">
          <a:extLst>
            <a:ext uri="{FF2B5EF4-FFF2-40B4-BE49-F238E27FC236}">
              <a16:creationId xmlns:a16="http://schemas.microsoft.com/office/drawing/2014/main" id="{00000000-0008-0000-0500-000005000000}"/>
            </a:ext>
          </a:extLst>
        </xdr:cNvPr>
        <xdr:cNvSpPr/>
      </xdr:nvSpPr>
      <xdr:spPr>
        <a:xfrm>
          <a:off x="285750" y="1866898"/>
          <a:ext cx="2160000" cy="323852"/>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Fee Calculator</a:t>
          </a:r>
        </a:p>
      </xdr:txBody>
    </xdr:sp>
    <xdr:clientData/>
  </xdr:twoCellAnchor>
  <xdr:twoCellAnchor>
    <xdr:from>
      <xdr:col>3</xdr:col>
      <xdr:colOff>0</xdr:colOff>
      <xdr:row>8</xdr:row>
      <xdr:rowOff>66673</xdr:rowOff>
    </xdr:from>
    <xdr:to>
      <xdr:col>4</xdr:col>
      <xdr:colOff>883650</xdr:colOff>
      <xdr:row>9</xdr:row>
      <xdr:rowOff>323998</xdr:rowOff>
    </xdr:to>
    <xdr:sp macro="[0]!Goto_Calculator" textlink="">
      <xdr:nvSpPr>
        <xdr:cNvPr id="4" name="LMI">
          <a:extLst>
            <a:ext uri="{FF2B5EF4-FFF2-40B4-BE49-F238E27FC236}">
              <a16:creationId xmlns:a16="http://schemas.microsoft.com/office/drawing/2014/main" id="{00000000-0008-0000-0500-000004000000}"/>
            </a:ext>
          </a:extLst>
        </xdr:cNvPr>
        <xdr:cNvSpPr/>
      </xdr:nvSpPr>
      <xdr:spPr>
        <a:xfrm>
          <a:off x="295275" y="1466848"/>
          <a:ext cx="2160000" cy="32400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LMI Qualifier</a:t>
          </a:r>
        </a:p>
      </xdr:txBody>
    </xdr:sp>
    <xdr:clientData/>
  </xdr:twoCellAnchor>
  <xdr:twoCellAnchor>
    <xdr:from>
      <xdr:col>3</xdr:col>
      <xdr:colOff>0</xdr:colOff>
      <xdr:row>6</xdr:row>
      <xdr:rowOff>66673</xdr:rowOff>
    </xdr:from>
    <xdr:to>
      <xdr:col>4</xdr:col>
      <xdr:colOff>883650</xdr:colOff>
      <xdr:row>8</xdr:row>
      <xdr:rowOff>148</xdr:rowOff>
    </xdr:to>
    <xdr:sp macro="[0]!Goto_Calculator" textlink="">
      <xdr:nvSpPr>
        <xdr:cNvPr id="3" name="UMI">
          <a:extLst>
            <a:ext uri="{FF2B5EF4-FFF2-40B4-BE49-F238E27FC236}">
              <a16:creationId xmlns:a16="http://schemas.microsoft.com/office/drawing/2014/main" id="{00000000-0008-0000-0500-000003000000}"/>
            </a:ext>
          </a:extLst>
        </xdr:cNvPr>
        <xdr:cNvSpPr/>
      </xdr:nvSpPr>
      <xdr:spPr>
        <a:xfrm>
          <a:off x="295275" y="1076323"/>
          <a:ext cx="2160000" cy="32400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rgbClr val="FFFFFF"/>
              </a:solidFill>
            </a:rPr>
            <a:t>UMI Calculator</a:t>
          </a:r>
        </a:p>
      </xdr:txBody>
    </xdr:sp>
    <xdr:clientData/>
  </xdr:twoCellAnchor>
  <xdr:twoCellAnchor editAs="oneCell">
    <xdr:from>
      <xdr:col>3</xdr:col>
      <xdr:colOff>47625</xdr:colOff>
      <xdr:row>2</xdr:row>
      <xdr:rowOff>47625</xdr:rowOff>
    </xdr:from>
    <xdr:to>
      <xdr:col>3</xdr:col>
      <xdr:colOff>772693</xdr:colOff>
      <xdr:row>2</xdr:row>
      <xdr:rowOff>335625</xdr:rowOff>
    </xdr:to>
    <xdr:pic>
      <xdr:nvPicPr>
        <xdr:cNvPr id="2" name="Picture 1" descr="ANZ 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723900</xdr:colOff>
      <xdr:row>138</xdr:row>
      <xdr:rowOff>7619</xdr:rowOff>
    </xdr:from>
    <xdr:to>
      <xdr:col>5</xdr:col>
      <xdr:colOff>936090</xdr:colOff>
      <xdr:row>138</xdr:row>
      <xdr:rowOff>200025</xdr:rowOff>
    </xdr:to>
    <xdr:pic macro="[0]!Info_btn_LOAN_Click">
      <xdr:nvPicPr>
        <xdr:cNvPr id="17" name="Info_btn_LOAN" descr="See the source image">
          <a:extLst>
            <a:ext uri="{FF2B5EF4-FFF2-40B4-BE49-F238E27FC236}">
              <a16:creationId xmlns:a16="http://schemas.microsoft.com/office/drawing/2014/main" id="{00000000-0008-0000-0600-000011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14750" y="10294619"/>
          <a:ext cx="212190" cy="192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1148495</xdr:colOff>
      <xdr:row>91</xdr:row>
      <xdr:rowOff>19966</xdr:rowOff>
    </xdr:from>
    <xdr:to>
      <xdr:col>3</xdr:col>
      <xdr:colOff>1310495</xdr:colOff>
      <xdr:row>91</xdr:row>
      <xdr:rowOff>181966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516795" y="7805066"/>
          <a:ext cx="162000" cy="162000"/>
          <a:chOff x="1395033" y="2708672"/>
          <a:chExt cx="180000" cy="180000"/>
        </a:xfrm>
      </xdr:grpSpPr>
      <xdr:sp macro="[0]!Add_Liability" textlink="">
        <xdr:nvSpPr>
          <xdr:cNvPr id="3" name="Rounded Rectangle 9">
            <a:extLst>
              <a:ext uri="{FF2B5EF4-FFF2-40B4-BE49-F238E27FC236}">
                <a16:creationId xmlns:a16="http://schemas.microsoft.com/office/drawing/2014/main" id="{00000000-0008-0000-0600-000003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iability" textlink="">
        <xdr:nvSpPr>
          <xdr:cNvPr id="4" name="Plus 10">
            <a:extLst>
              <a:ext uri="{FF2B5EF4-FFF2-40B4-BE49-F238E27FC236}">
                <a16:creationId xmlns:a16="http://schemas.microsoft.com/office/drawing/2014/main" id="{00000000-0008-0000-0600-000004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14</xdr:col>
      <xdr:colOff>123825</xdr:colOff>
      <xdr:row>3</xdr:row>
      <xdr:rowOff>76200</xdr:rowOff>
    </xdr:from>
    <xdr:to>
      <xdr:col>16</xdr:col>
      <xdr:colOff>38100</xdr:colOff>
      <xdr:row>5</xdr:row>
      <xdr:rowOff>26670</xdr:rowOff>
    </xdr:to>
    <xdr:sp macro="[0]!Remove_SOP" textlink="">
      <xdr:nvSpPr>
        <xdr:cNvPr id="9" name="ClearSOP">
          <a:extLst>
            <a:ext uri="{FF2B5EF4-FFF2-40B4-BE49-F238E27FC236}">
              <a16:creationId xmlns:a16="http://schemas.microsoft.com/office/drawing/2014/main" id="{00000000-0008-0000-0600-000009000000}"/>
            </a:ext>
          </a:extLst>
        </xdr:cNvPr>
        <xdr:cNvSpPr/>
      </xdr:nvSpPr>
      <xdr:spPr>
        <a:xfrm>
          <a:off x="9829800" y="600075"/>
          <a:ext cx="914400" cy="274320"/>
        </a:xfrm>
        <a:prstGeom prst="roundRect">
          <a:avLst/>
        </a:prstGeom>
        <a:solidFill>
          <a:srgbClr val="B60000"/>
        </a:solidFill>
        <a:ln>
          <a:solidFill>
            <a:srgbClr val="B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36000" rtlCol="0" anchor="ctr"/>
        <a:lstStyle/>
        <a:p>
          <a:pPr algn="ctr"/>
          <a:r>
            <a:rPr lang="en-AU" sz="1000">
              <a:solidFill>
                <a:srgbClr val="FFFFFF"/>
              </a:solidFill>
            </a:rPr>
            <a:t>Clear SoP</a:t>
          </a:r>
        </a:p>
      </xdr:txBody>
    </xdr:sp>
    <xdr:clientData/>
  </xdr:twoCellAnchor>
  <xdr:twoCellAnchor>
    <xdr:from>
      <xdr:col>18</xdr:col>
      <xdr:colOff>180974</xdr:colOff>
      <xdr:row>3</xdr:row>
      <xdr:rowOff>76200</xdr:rowOff>
    </xdr:from>
    <xdr:to>
      <xdr:col>18</xdr:col>
      <xdr:colOff>1095374</xdr:colOff>
      <xdr:row>5</xdr:row>
      <xdr:rowOff>26670</xdr:rowOff>
    </xdr:to>
    <xdr:grpSp>
      <xdr:nvGrpSpPr>
        <xdr:cNvPr id="11" name="Group 10">
          <a:extLst>
            <a:ext uri="{FF2B5EF4-FFF2-40B4-BE49-F238E27FC236}">
              <a16:creationId xmlns:a16="http://schemas.microsoft.com/office/drawing/2014/main" id="{00000000-0008-0000-0600-00000B000000}"/>
            </a:ext>
          </a:extLst>
        </xdr:cNvPr>
        <xdr:cNvGrpSpPr/>
      </xdr:nvGrpSpPr>
      <xdr:grpSpPr>
        <a:xfrm>
          <a:off x="12131674" y="584200"/>
          <a:ext cx="914400" cy="267970"/>
          <a:chOff x="16015607" y="666751"/>
          <a:chExt cx="1172935" cy="244928"/>
        </a:xfrm>
      </xdr:grpSpPr>
      <xdr:sp macro="[0]!Add_SOP" textlink="">
        <xdr:nvSpPr>
          <xdr:cNvPr id="12" name="AddSOP">
            <a:extLst>
              <a:ext uri="{FF2B5EF4-FFF2-40B4-BE49-F238E27FC236}">
                <a16:creationId xmlns:a16="http://schemas.microsoft.com/office/drawing/2014/main" id="{00000000-0008-0000-0600-00000C000000}"/>
              </a:ext>
            </a:extLst>
          </xdr:cNvPr>
          <xdr:cNvSpPr/>
        </xdr:nvSpPr>
        <xdr:spPr>
          <a:xfrm>
            <a:off x="16015607" y="666751"/>
            <a:ext cx="1172935" cy="244928"/>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    Add</a:t>
            </a:r>
            <a:r>
              <a:rPr lang="en-AU" sz="1000" baseline="0">
                <a:solidFill>
                  <a:srgbClr val="FFFFFF"/>
                </a:solidFill>
              </a:rPr>
              <a:t> SoP</a:t>
            </a:r>
            <a:endParaRPr lang="en-AU" sz="1000">
              <a:solidFill>
                <a:srgbClr val="FFFFFF"/>
              </a:solidFill>
            </a:endParaRPr>
          </a:p>
        </xdr:txBody>
      </xdr:sp>
      <xdr:sp macro="" textlink="">
        <xdr:nvSpPr>
          <xdr:cNvPr id="13" name="Plus 49">
            <a:extLst>
              <a:ext uri="{FF2B5EF4-FFF2-40B4-BE49-F238E27FC236}">
                <a16:creationId xmlns:a16="http://schemas.microsoft.com/office/drawing/2014/main" id="{00000000-0008-0000-0600-00000D000000}"/>
              </a:ext>
            </a:extLst>
          </xdr:cNvPr>
          <xdr:cNvSpPr/>
        </xdr:nvSpPr>
        <xdr:spPr>
          <a:xfrm>
            <a:off x="16083642" y="707571"/>
            <a:ext cx="199593" cy="153763"/>
          </a:xfrm>
          <a:prstGeom prst="mathPlus">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000"/>
          </a:p>
        </xdr:txBody>
      </xdr:sp>
    </xdr:grpSp>
    <xdr:clientData/>
  </xdr:twoCellAnchor>
  <xdr:twoCellAnchor>
    <xdr:from>
      <xdr:col>3</xdr:col>
      <xdr:colOff>1162050</xdr:colOff>
      <xdr:row>15</xdr:row>
      <xdr:rowOff>38100</xdr:rowOff>
    </xdr:from>
    <xdr:to>
      <xdr:col>3</xdr:col>
      <xdr:colOff>1313250</xdr:colOff>
      <xdr:row>15</xdr:row>
      <xdr:rowOff>190575</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1530350" y="2362200"/>
          <a:ext cx="151200" cy="152475"/>
          <a:chOff x="1395033" y="2708672"/>
          <a:chExt cx="180000" cy="180000"/>
        </a:xfrm>
      </xdr:grpSpPr>
      <xdr:sp macro="[0]!Add_Employment" textlink="">
        <xdr:nvSpPr>
          <xdr:cNvPr id="15" name="Rounded Rectangle 51">
            <a:extLst>
              <a:ext uri="{FF2B5EF4-FFF2-40B4-BE49-F238E27FC236}">
                <a16:creationId xmlns:a16="http://schemas.microsoft.com/office/drawing/2014/main" id="{00000000-0008-0000-0600-00000F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Employment" textlink="">
        <xdr:nvSpPr>
          <xdr:cNvPr id="16" name="Plus 52">
            <a:extLst>
              <a:ext uri="{FF2B5EF4-FFF2-40B4-BE49-F238E27FC236}">
                <a16:creationId xmlns:a16="http://schemas.microsoft.com/office/drawing/2014/main" id="{00000000-0008-0000-0600-000010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1162050</xdr:colOff>
      <xdr:row>73</xdr:row>
      <xdr:rowOff>10316</xdr:rowOff>
    </xdr:from>
    <xdr:to>
      <xdr:col>3</xdr:col>
      <xdr:colOff>1313250</xdr:colOff>
      <xdr:row>73</xdr:row>
      <xdr:rowOff>161516</xdr:rowOff>
    </xdr:to>
    <xdr:grpSp>
      <xdr:nvGrpSpPr>
        <xdr:cNvPr id="20" name="Group 19">
          <a:extLst>
            <a:ext uri="{FF2B5EF4-FFF2-40B4-BE49-F238E27FC236}">
              <a16:creationId xmlns:a16="http://schemas.microsoft.com/office/drawing/2014/main" id="{00000000-0008-0000-0600-000014000000}"/>
            </a:ext>
          </a:extLst>
        </xdr:cNvPr>
        <xdr:cNvGrpSpPr/>
      </xdr:nvGrpSpPr>
      <xdr:grpSpPr>
        <a:xfrm>
          <a:off x="1530350" y="6246016"/>
          <a:ext cx="151200" cy="151200"/>
          <a:chOff x="1395033" y="2708672"/>
          <a:chExt cx="180000" cy="180000"/>
        </a:xfrm>
      </xdr:grpSpPr>
      <xdr:sp macro="[0]!Add_Income" textlink="">
        <xdr:nvSpPr>
          <xdr:cNvPr id="21" name="Rounded Rectangle 69">
            <a:extLst>
              <a:ext uri="{FF2B5EF4-FFF2-40B4-BE49-F238E27FC236}">
                <a16:creationId xmlns:a16="http://schemas.microsoft.com/office/drawing/2014/main" id="{00000000-0008-0000-0600-000015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Income" textlink="">
        <xdr:nvSpPr>
          <xdr:cNvPr id="22" name="Plus 70">
            <a:extLst>
              <a:ext uri="{FF2B5EF4-FFF2-40B4-BE49-F238E27FC236}">
                <a16:creationId xmlns:a16="http://schemas.microsoft.com/office/drawing/2014/main" id="{00000000-0008-0000-0600-000016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1152892</xdr:colOff>
      <xdr:row>137</xdr:row>
      <xdr:rowOff>10316</xdr:rowOff>
    </xdr:from>
    <xdr:to>
      <xdr:col>3</xdr:col>
      <xdr:colOff>1304092</xdr:colOff>
      <xdr:row>137</xdr:row>
      <xdr:rowOff>161516</xdr:rowOff>
    </xdr:to>
    <xdr:grpSp>
      <xdr:nvGrpSpPr>
        <xdr:cNvPr id="26" name="Group 25">
          <a:extLst>
            <a:ext uri="{FF2B5EF4-FFF2-40B4-BE49-F238E27FC236}">
              <a16:creationId xmlns:a16="http://schemas.microsoft.com/office/drawing/2014/main" id="{00000000-0008-0000-0600-00001A000000}"/>
            </a:ext>
          </a:extLst>
        </xdr:cNvPr>
        <xdr:cNvGrpSpPr/>
      </xdr:nvGrpSpPr>
      <xdr:grpSpPr>
        <a:xfrm>
          <a:off x="1521192" y="12405516"/>
          <a:ext cx="151200" cy="151200"/>
          <a:chOff x="1395033" y="2708672"/>
          <a:chExt cx="180000" cy="180000"/>
        </a:xfrm>
      </xdr:grpSpPr>
      <xdr:sp macro="[0]!Add_Loan" textlink="">
        <xdr:nvSpPr>
          <xdr:cNvPr id="27" name="Rounded Rectangle 78">
            <a:extLst>
              <a:ext uri="{FF2B5EF4-FFF2-40B4-BE49-F238E27FC236}">
                <a16:creationId xmlns:a16="http://schemas.microsoft.com/office/drawing/2014/main" id="{00000000-0008-0000-0600-00001B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oan" textlink="">
        <xdr:nvSpPr>
          <xdr:cNvPr id="28" name="Plus 79">
            <a:extLst>
              <a:ext uri="{FF2B5EF4-FFF2-40B4-BE49-F238E27FC236}">
                <a16:creationId xmlns:a16="http://schemas.microsoft.com/office/drawing/2014/main" id="{00000000-0008-0000-0600-00001C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16</xdr:col>
      <xdr:colOff>111063</xdr:colOff>
      <xdr:row>3</xdr:row>
      <xdr:rowOff>76200</xdr:rowOff>
    </xdr:from>
    <xdr:to>
      <xdr:col>16</xdr:col>
      <xdr:colOff>1025463</xdr:colOff>
      <xdr:row>5</xdr:row>
      <xdr:rowOff>26670</xdr:rowOff>
    </xdr:to>
    <xdr:sp macro="[0]!DuplicateSOP" textlink="">
      <xdr:nvSpPr>
        <xdr:cNvPr id="45" name="AddSOP">
          <a:extLst>
            <a:ext uri="{FF2B5EF4-FFF2-40B4-BE49-F238E27FC236}">
              <a16:creationId xmlns:a16="http://schemas.microsoft.com/office/drawing/2014/main" id="{00000000-0008-0000-0600-00002D000000}"/>
            </a:ext>
          </a:extLst>
        </xdr:cNvPr>
        <xdr:cNvSpPr/>
      </xdr:nvSpPr>
      <xdr:spPr>
        <a:xfrm>
          <a:off x="10817163" y="600075"/>
          <a:ext cx="914400" cy="274320"/>
        </a:xfrm>
        <a:prstGeom prst="roundRect">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baseline="0">
              <a:solidFill>
                <a:srgbClr val="0072AC"/>
              </a:solidFill>
            </a:rPr>
            <a:t>Duplicate</a:t>
          </a:r>
          <a:endParaRPr lang="en-AU" sz="1000">
            <a:solidFill>
              <a:srgbClr val="0072AC"/>
            </a:solidFill>
          </a:endParaRPr>
        </a:p>
      </xdr:txBody>
    </xdr:sp>
    <xdr:clientData/>
  </xdr:twoCellAnchor>
  <xdr:twoCellAnchor editAs="oneCell">
    <xdr:from>
      <xdr:col>6</xdr:col>
      <xdr:colOff>66963</xdr:colOff>
      <xdr:row>116</xdr:row>
      <xdr:rowOff>24224</xdr:rowOff>
    </xdr:from>
    <xdr:to>
      <xdr:col>6</xdr:col>
      <xdr:colOff>244763</xdr:colOff>
      <xdr:row>117</xdr:row>
      <xdr:rowOff>3269</xdr:rowOff>
    </xdr:to>
    <xdr:pic macro="[0]!Goto_Page">
      <xdr:nvPicPr>
        <xdr:cNvPr id="50" name="Phone">
          <a:extLst>
            <a:ext uri="{FF2B5EF4-FFF2-40B4-BE49-F238E27FC236}">
              <a16:creationId xmlns:a16="http://schemas.microsoft.com/office/drawing/2014/main" id="{00000000-0008-0000-0600-00003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0713" y="722512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66958</xdr:colOff>
      <xdr:row>115</xdr:row>
      <xdr:rowOff>28878</xdr:rowOff>
    </xdr:from>
    <xdr:to>
      <xdr:col>11</xdr:col>
      <xdr:colOff>244758</xdr:colOff>
      <xdr:row>116</xdr:row>
      <xdr:rowOff>937</xdr:rowOff>
    </xdr:to>
    <xdr:pic macro="[0]!Goto_Page">
      <xdr:nvPicPr>
        <xdr:cNvPr id="51" name="Transport">
          <a:extLst>
            <a:ext uri="{FF2B5EF4-FFF2-40B4-BE49-F238E27FC236}">
              <a16:creationId xmlns:a16="http://schemas.microsoft.com/office/drawing/2014/main" id="{00000000-0008-0000-0600-00003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48808" y="7010703"/>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66994</xdr:colOff>
      <xdr:row>119</xdr:row>
      <xdr:rowOff>28868</xdr:rowOff>
    </xdr:from>
    <xdr:to>
      <xdr:col>6</xdr:col>
      <xdr:colOff>244794</xdr:colOff>
      <xdr:row>120</xdr:row>
      <xdr:rowOff>928</xdr:rowOff>
    </xdr:to>
    <xdr:pic macro="[0]!Goto_Page">
      <xdr:nvPicPr>
        <xdr:cNvPr id="52" name="Recreation">
          <a:extLst>
            <a:ext uri="{FF2B5EF4-FFF2-40B4-BE49-F238E27FC236}">
              <a16:creationId xmlns:a16="http://schemas.microsoft.com/office/drawing/2014/main" id="{00000000-0008-0000-0600-00003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0744" y="7886993"/>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66993</xdr:colOff>
      <xdr:row>115</xdr:row>
      <xdr:rowOff>24224</xdr:rowOff>
    </xdr:from>
    <xdr:to>
      <xdr:col>6</xdr:col>
      <xdr:colOff>244793</xdr:colOff>
      <xdr:row>116</xdr:row>
      <xdr:rowOff>3268</xdr:rowOff>
    </xdr:to>
    <xdr:pic macro="[0]!Goto_Page">
      <xdr:nvPicPr>
        <xdr:cNvPr id="53" name="Owner">
          <a:extLst>
            <a:ext uri="{FF2B5EF4-FFF2-40B4-BE49-F238E27FC236}">
              <a16:creationId xmlns:a16="http://schemas.microsoft.com/office/drawing/2014/main" id="{00000000-0008-0000-0600-00003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0743" y="700604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62079</xdr:colOff>
      <xdr:row>120</xdr:row>
      <xdr:rowOff>29100</xdr:rowOff>
    </xdr:from>
    <xdr:to>
      <xdr:col>11</xdr:col>
      <xdr:colOff>250674</xdr:colOff>
      <xdr:row>121</xdr:row>
      <xdr:rowOff>1160</xdr:rowOff>
    </xdr:to>
    <xdr:pic macro="[0]!Goto_Page">
      <xdr:nvPicPr>
        <xdr:cNvPr id="54" name="Insurance">
          <a:extLst>
            <a:ext uri="{FF2B5EF4-FFF2-40B4-BE49-F238E27FC236}">
              <a16:creationId xmlns:a16="http://schemas.microsoft.com/office/drawing/2014/main" id="{00000000-0008-0000-0600-00003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43929" y="810630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62227</xdr:colOff>
      <xdr:row>116</xdr:row>
      <xdr:rowOff>23925</xdr:rowOff>
    </xdr:from>
    <xdr:to>
      <xdr:col>11</xdr:col>
      <xdr:colOff>250822</xdr:colOff>
      <xdr:row>117</xdr:row>
      <xdr:rowOff>2970</xdr:rowOff>
    </xdr:to>
    <xdr:pic macro="[0]!Goto_Page">
      <xdr:nvPicPr>
        <xdr:cNvPr id="55" name="Childcare">
          <a:extLst>
            <a:ext uri="{FF2B5EF4-FFF2-40B4-BE49-F238E27FC236}">
              <a16:creationId xmlns:a16="http://schemas.microsoft.com/office/drawing/2014/main" id="{00000000-0008-0000-0600-00003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44077" y="722482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63193</xdr:colOff>
      <xdr:row>118</xdr:row>
      <xdr:rowOff>28212</xdr:rowOff>
    </xdr:from>
    <xdr:to>
      <xdr:col>6</xdr:col>
      <xdr:colOff>244168</xdr:colOff>
      <xdr:row>119</xdr:row>
      <xdr:rowOff>271</xdr:rowOff>
    </xdr:to>
    <xdr:pic macro="[0]!Goto_Page">
      <xdr:nvPicPr>
        <xdr:cNvPr id="56" name="Clothing">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96943" y="7667262"/>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68035</xdr:colOff>
      <xdr:row>117</xdr:row>
      <xdr:rowOff>28074</xdr:rowOff>
    </xdr:from>
    <xdr:to>
      <xdr:col>11</xdr:col>
      <xdr:colOff>245835</xdr:colOff>
      <xdr:row>118</xdr:row>
      <xdr:rowOff>135</xdr:rowOff>
    </xdr:to>
    <xdr:pic macro="[0]!Goto_Page">
      <xdr:nvPicPr>
        <xdr:cNvPr id="57" name="Education">
          <a:extLst>
            <a:ext uri="{FF2B5EF4-FFF2-40B4-BE49-F238E27FC236}">
              <a16:creationId xmlns:a16="http://schemas.microsoft.com/office/drawing/2014/main" id="{00000000-0008-0000-0600-00003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49885" y="744804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66908</xdr:colOff>
      <xdr:row>117</xdr:row>
      <xdr:rowOff>28077</xdr:rowOff>
    </xdr:from>
    <xdr:to>
      <xdr:col>6</xdr:col>
      <xdr:colOff>244708</xdr:colOff>
      <xdr:row>118</xdr:row>
      <xdr:rowOff>138</xdr:rowOff>
    </xdr:to>
    <xdr:pic macro="[0]!Goto_Page">
      <xdr:nvPicPr>
        <xdr:cNvPr id="58" name="Groceries">
          <a:extLst>
            <a:ext uri="{FF2B5EF4-FFF2-40B4-BE49-F238E27FC236}">
              <a16:creationId xmlns:a16="http://schemas.microsoft.com/office/drawing/2014/main" id="{00000000-0008-0000-0600-00003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0658" y="7448052"/>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62226</xdr:colOff>
      <xdr:row>119</xdr:row>
      <xdr:rowOff>27573</xdr:rowOff>
    </xdr:from>
    <xdr:to>
      <xdr:col>11</xdr:col>
      <xdr:colOff>250821</xdr:colOff>
      <xdr:row>120</xdr:row>
      <xdr:rowOff>3443</xdr:rowOff>
    </xdr:to>
    <xdr:pic macro="[0]!Goto_Page">
      <xdr:nvPicPr>
        <xdr:cNvPr id="59" name="Medical">
          <a:extLst>
            <a:ext uri="{FF2B5EF4-FFF2-40B4-BE49-F238E27FC236}">
              <a16:creationId xmlns:a16="http://schemas.microsoft.com/office/drawing/2014/main" id="{00000000-0008-0000-0600-00003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44076" y="7885698"/>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62227</xdr:colOff>
      <xdr:row>118</xdr:row>
      <xdr:rowOff>22498</xdr:rowOff>
    </xdr:from>
    <xdr:to>
      <xdr:col>11</xdr:col>
      <xdr:colOff>250822</xdr:colOff>
      <xdr:row>118</xdr:row>
      <xdr:rowOff>193948</xdr:rowOff>
    </xdr:to>
    <xdr:pic macro="[0]!Goto_Page">
      <xdr:nvPicPr>
        <xdr:cNvPr id="60" name="HighEdu">
          <a:extLst>
            <a:ext uri="{FF2B5EF4-FFF2-40B4-BE49-F238E27FC236}">
              <a16:creationId xmlns:a16="http://schemas.microsoft.com/office/drawing/2014/main" id="{00000000-0008-0000-0600-00003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44077" y="7661548"/>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66064</xdr:colOff>
      <xdr:row>120</xdr:row>
      <xdr:rowOff>27939</xdr:rowOff>
    </xdr:from>
    <xdr:to>
      <xdr:col>6</xdr:col>
      <xdr:colOff>243864</xdr:colOff>
      <xdr:row>121</xdr:row>
      <xdr:rowOff>3809</xdr:rowOff>
    </xdr:to>
    <xdr:pic macro="[0]!Goto_Page">
      <xdr:nvPicPr>
        <xdr:cNvPr id="61" name="Pet">
          <a:extLst>
            <a:ext uri="{FF2B5EF4-FFF2-40B4-BE49-F238E27FC236}">
              <a16:creationId xmlns:a16="http://schemas.microsoft.com/office/drawing/2014/main" id="{00000000-0008-0000-0600-00003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99814" y="810513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65801</xdr:colOff>
      <xdr:row>133</xdr:row>
      <xdr:rowOff>26779</xdr:rowOff>
    </xdr:from>
    <xdr:to>
      <xdr:col>6</xdr:col>
      <xdr:colOff>251221</xdr:colOff>
      <xdr:row>134</xdr:row>
      <xdr:rowOff>2014</xdr:rowOff>
    </xdr:to>
    <xdr:pic macro="[0]!Goto_Page">
      <xdr:nvPicPr>
        <xdr:cNvPr id="62" name="LifeSPA">
          <a:extLst>
            <a:ext uri="{FF2B5EF4-FFF2-40B4-BE49-F238E27FC236}">
              <a16:creationId xmlns:a16="http://schemas.microsoft.com/office/drawing/2014/main" id="{00000000-0008-0000-0600-00003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99551" y="925650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65831</xdr:colOff>
      <xdr:row>132</xdr:row>
      <xdr:rowOff>26779</xdr:rowOff>
    </xdr:from>
    <xdr:to>
      <xdr:col>6</xdr:col>
      <xdr:colOff>251251</xdr:colOff>
      <xdr:row>133</xdr:row>
      <xdr:rowOff>2013</xdr:rowOff>
    </xdr:to>
    <xdr:pic macro="[0]!Goto_Page">
      <xdr:nvPicPr>
        <xdr:cNvPr id="63" name="Private">
          <a:extLst>
            <a:ext uri="{FF2B5EF4-FFF2-40B4-BE49-F238E27FC236}">
              <a16:creationId xmlns:a16="http://schemas.microsoft.com/office/drawing/2014/main" id="{00000000-0008-0000-0600-00003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99581" y="903742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66730</xdr:colOff>
      <xdr:row>132</xdr:row>
      <xdr:rowOff>19050</xdr:rowOff>
    </xdr:from>
    <xdr:to>
      <xdr:col>14</xdr:col>
      <xdr:colOff>244530</xdr:colOff>
      <xdr:row>132</xdr:row>
      <xdr:rowOff>190500</xdr:rowOff>
    </xdr:to>
    <xdr:pic macro="[0]!Goto_Page">
      <xdr:nvPicPr>
        <xdr:cNvPr id="65" name="HealthIns">
          <a:extLst>
            <a:ext uri="{FF2B5EF4-FFF2-40B4-BE49-F238E27FC236}">
              <a16:creationId xmlns:a16="http://schemas.microsoft.com/office/drawing/2014/main" id="{00000000-0008-0000-0600-000041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4080" y="902970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66760</xdr:colOff>
      <xdr:row>131</xdr:row>
      <xdr:rowOff>19050</xdr:rowOff>
    </xdr:from>
    <xdr:to>
      <xdr:col>14</xdr:col>
      <xdr:colOff>244560</xdr:colOff>
      <xdr:row>131</xdr:row>
      <xdr:rowOff>190500</xdr:rowOff>
    </xdr:to>
    <xdr:pic macro="[0]!Goto_Page">
      <xdr:nvPicPr>
        <xdr:cNvPr id="66" name="Maintenance">
          <a:extLst>
            <a:ext uri="{FF2B5EF4-FFF2-40B4-BE49-F238E27FC236}">
              <a16:creationId xmlns:a16="http://schemas.microsoft.com/office/drawing/2014/main" id="{00000000-0008-0000-0600-00004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4110" y="881062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66675</xdr:colOff>
      <xdr:row>133</xdr:row>
      <xdr:rowOff>19050</xdr:rowOff>
    </xdr:from>
    <xdr:to>
      <xdr:col>14</xdr:col>
      <xdr:colOff>244475</xdr:colOff>
      <xdr:row>133</xdr:row>
      <xdr:rowOff>190500</xdr:rowOff>
    </xdr:to>
    <xdr:pic macro="[0]!Goto_Page">
      <xdr:nvPicPr>
        <xdr:cNvPr id="67" name="SecResi">
          <a:extLst>
            <a:ext uri="{FF2B5EF4-FFF2-40B4-BE49-F238E27FC236}">
              <a16:creationId xmlns:a16="http://schemas.microsoft.com/office/drawing/2014/main" id="{00000000-0008-0000-0600-00004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4025" y="924877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66675</xdr:colOff>
      <xdr:row>134</xdr:row>
      <xdr:rowOff>19050</xdr:rowOff>
    </xdr:from>
    <xdr:to>
      <xdr:col>14</xdr:col>
      <xdr:colOff>244475</xdr:colOff>
      <xdr:row>134</xdr:row>
      <xdr:rowOff>190500</xdr:rowOff>
    </xdr:to>
    <xdr:pic macro="[0]!Goto_Page">
      <xdr:nvPicPr>
        <xdr:cNvPr id="68" name="OtherExp">
          <a:extLst>
            <a:ext uri="{FF2B5EF4-FFF2-40B4-BE49-F238E27FC236}">
              <a16:creationId xmlns:a16="http://schemas.microsoft.com/office/drawing/2014/main" id="{00000000-0008-0000-0600-00004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44025" y="946785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330200</xdr:colOff>
          <xdr:row>147</xdr:row>
          <xdr:rowOff>25400</xdr:rowOff>
        </xdr:from>
        <xdr:to>
          <xdr:col>4</xdr:col>
          <xdr:colOff>635000</xdr:colOff>
          <xdr:row>147</xdr:row>
          <xdr:rowOff>177800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147</xdr:row>
      <xdr:rowOff>57150</xdr:rowOff>
    </xdr:from>
    <xdr:ext cx="115200" cy="115200"/>
    <xdr:pic macro="[0]!Delete_Item">
      <xdr:nvPicPr>
        <xdr:cNvPr id="77" name="Del_NLn_148" descr="Close with solid fill">
          <a:extLst>
            <a:ext uri="{FF2B5EF4-FFF2-40B4-BE49-F238E27FC236}">
              <a16:creationId xmlns:a16="http://schemas.microsoft.com/office/drawing/2014/main" id="{00000000-0008-0000-0600-00004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9550" y="10591800"/>
          <a:ext cx="115200" cy="115200"/>
        </a:xfrm>
        <a:prstGeom prst="rect">
          <a:avLst/>
        </a:prstGeom>
      </xdr:spPr>
    </xdr:pic>
    <xdr:clientData/>
  </xdr:oneCellAnchor>
  <xdr:twoCellAnchor>
    <xdr:from>
      <xdr:col>11</xdr:col>
      <xdr:colOff>47625</xdr:colOff>
      <xdr:row>147</xdr:row>
      <xdr:rowOff>47625</xdr:rowOff>
    </xdr:from>
    <xdr:to>
      <xdr:col>11</xdr:col>
      <xdr:colOff>175749</xdr:colOff>
      <xdr:row>147</xdr:row>
      <xdr:rowOff>183475</xdr:rowOff>
    </xdr:to>
    <xdr:pic macro="[0]!Goto_Page">
      <xdr:nvPicPr>
        <xdr:cNvPr id="69" name="RateSheetI_148" descr="Magnifying glass with solid fill" hidden="1">
          <a:extLst>
            <a:ext uri="{FF2B5EF4-FFF2-40B4-BE49-F238E27FC236}">
              <a16:creationId xmlns:a16="http://schemas.microsoft.com/office/drawing/2014/main" id="{00000000-0008-0000-0600-00004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467600" y="10601325"/>
          <a:ext cx="128124" cy="135850"/>
        </a:xfrm>
        <a:prstGeom prst="rect">
          <a:avLst/>
        </a:prstGeom>
      </xdr:spPr>
    </xdr:pic>
    <xdr:clientData/>
  </xdr:twoCellAnchor>
  <xdr:twoCellAnchor>
    <xdr:from>
      <xdr:col>13</xdr:col>
      <xdr:colOff>47625</xdr:colOff>
      <xdr:row>147</xdr:row>
      <xdr:rowOff>47625</xdr:rowOff>
    </xdr:from>
    <xdr:to>
      <xdr:col>13</xdr:col>
      <xdr:colOff>178924</xdr:colOff>
      <xdr:row>147</xdr:row>
      <xdr:rowOff>183475</xdr:rowOff>
    </xdr:to>
    <xdr:pic macro="[0]!Goto_Page">
      <xdr:nvPicPr>
        <xdr:cNvPr id="70" name="RateSheetS_148" descr="Magnifying glass with solid fill" hidden="1">
          <a:extLst>
            <a:ext uri="{FF2B5EF4-FFF2-40B4-BE49-F238E27FC236}">
              <a16:creationId xmlns:a16="http://schemas.microsoft.com/office/drawing/2014/main" id="{00000000-0008-0000-0600-00004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991600" y="10601325"/>
          <a:ext cx="131299" cy="1358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330200</xdr:colOff>
          <xdr:row>147</xdr:row>
          <xdr:rowOff>25400</xdr:rowOff>
        </xdr:from>
        <xdr:to>
          <xdr:col>5</xdr:col>
          <xdr:colOff>635000</xdr:colOff>
          <xdr:row>147</xdr:row>
          <xdr:rowOff>177800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152400</xdr:colOff>
      <xdr:row>2</xdr:row>
      <xdr:rowOff>47625</xdr:rowOff>
    </xdr:from>
    <xdr:to>
      <xdr:col>3</xdr:col>
      <xdr:colOff>629818</xdr:colOff>
      <xdr:row>2</xdr:row>
      <xdr:rowOff>326100</xdr:rowOff>
    </xdr:to>
    <xdr:pic>
      <xdr:nvPicPr>
        <xdr:cNvPr id="24" name="Picture 23" descr="ANZ logo">
          <a:extLst>
            <a:ext uri="{FF2B5EF4-FFF2-40B4-BE49-F238E27FC236}">
              <a16:creationId xmlns:a16="http://schemas.microsoft.com/office/drawing/2014/main" id="{00000000-0008-0000-06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5750"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657225</xdr:colOff>
      <xdr:row>3</xdr:row>
      <xdr:rowOff>76200</xdr:rowOff>
    </xdr:from>
    <xdr:to>
      <xdr:col>14</xdr:col>
      <xdr:colOff>47625</xdr:colOff>
      <xdr:row>5</xdr:row>
      <xdr:rowOff>26670</xdr:rowOff>
    </xdr:to>
    <xdr:sp macro="[0]!Remove_SOP" textlink="">
      <xdr:nvSpPr>
        <xdr:cNvPr id="23" name="DeleteSOP" hidden="1">
          <a:extLst>
            <a:ext uri="{FF2B5EF4-FFF2-40B4-BE49-F238E27FC236}">
              <a16:creationId xmlns:a16="http://schemas.microsoft.com/office/drawing/2014/main" id="{00000000-0008-0000-0600-000017000000}"/>
            </a:ext>
          </a:extLst>
        </xdr:cNvPr>
        <xdr:cNvSpPr/>
      </xdr:nvSpPr>
      <xdr:spPr>
        <a:xfrm>
          <a:off x="8839200" y="600075"/>
          <a:ext cx="914400" cy="274320"/>
        </a:xfrm>
        <a:prstGeom prst="roundRect">
          <a:avLst/>
        </a:prstGeom>
        <a:solidFill>
          <a:schemeClr val="bg1"/>
        </a:solidFill>
        <a:ln>
          <a:solidFill>
            <a:srgbClr val="B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36000" rtlCol="0" anchor="ctr"/>
        <a:lstStyle/>
        <a:p>
          <a:pPr algn="ctr"/>
          <a:r>
            <a:rPr lang="en-AU" sz="1000">
              <a:solidFill>
                <a:srgbClr val="B60000"/>
              </a:solidFill>
            </a:rPr>
            <a:t>Delete SoP</a:t>
          </a:r>
        </a:p>
      </xdr:txBody>
    </xdr:sp>
    <xdr:clientData/>
  </xdr:twoCellAnchor>
  <xdr:twoCellAnchor editAs="oneCell">
    <xdr:from>
      <xdr:col>8</xdr:col>
      <xdr:colOff>133350</xdr:colOff>
      <xdr:row>166</xdr:row>
      <xdr:rowOff>28575</xdr:rowOff>
    </xdr:from>
    <xdr:to>
      <xdr:col>8</xdr:col>
      <xdr:colOff>283920</xdr:colOff>
      <xdr:row>166</xdr:row>
      <xdr:rowOff>190575</xdr:rowOff>
    </xdr:to>
    <xdr:pic macro="[0]!RefreshBP">
      <xdr:nvPicPr>
        <xdr:cNvPr id="5158" name="RefreshBP" descr="Repeat with solid fill" hidden="1">
          <a:extLst>
            <a:ext uri="{FF2B5EF4-FFF2-40B4-BE49-F238E27FC236}">
              <a16:creationId xmlns:a16="http://schemas.microsoft.com/office/drawing/2014/main" id="{00000000-0008-0000-0600-0000261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848350" y="13287375"/>
          <a:ext cx="162000" cy="162000"/>
        </a:xfrm>
        <a:prstGeom prst="rect">
          <a:avLst/>
        </a:prstGeom>
      </xdr:spPr>
    </xdr:pic>
    <xdr:clientData/>
  </xdr:twoCellAnchor>
  <xdr:oneCellAnchor>
    <xdr:from>
      <xdr:col>3</xdr:col>
      <xdr:colOff>1200150</xdr:colOff>
      <xdr:row>72</xdr:row>
      <xdr:rowOff>0</xdr:rowOff>
    </xdr:from>
    <xdr:ext cx="115200" cy="115200"/>
    <xdr:pic macro="[0]!Delete_addback">
      <xdr:nvPicPr>
        <xdr:cNvPr id="5178" name="Del_Add_73" descr="Close with solid fill" hidden="1">
          <a:extLst>
            <a:ext uri="{FF2B5EF4-FFF2-40B4-BE49-F238E27FC236}">
              <a16:creationId xmlns:a16="http://schemas.microsoft.com/office/drawing/2014/main" id="{00000000-0008-0000-0600-00003A14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1150" y="3733800"/>
          <a:ext cx="115200" cy="115200"/>
        </a:xfrm>
        <a:prstGeom prst="rect">
          <a:avLst/>
        </a:prstGeom>
      </xdr:spPr>
    </xdr:pic>
    <xdr:clientData/>
  </xdr:oneCellAnchor>
  <xdr:oneCellAnchor>
    <xdr:from>
      <xdr:col>3</xdr:col>
      <xdr:colOff>1200150</xdr:colOff>
      <xdr:row>72</xdr:row>
      <xdr:rowOff>0</xdr:rowOff>
    </xdr:from>
    <xdr:ext cx="115200" cy="115200"/>
    <xdr:pic macro="[0]!Delete_addback">
      <xdr:nvPicPr>
        <xdr:cNvPr id="46" name="Del_Add_73" descr="Close with solid fill" hidden="1">
          <a:extLst>
            <a:ext uri="{FF2B5EF4-FFF2-40B4-BE49-F238E27FC236}">
              <a16:creationId xmlns:a16="http://schemas.microsoft.com/office/drawing/2014/main" id="{00000000-0008-0000-0600-00002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1150" y="4886325"/>
          <a:ext cx="115200" cy="115200"/>
        </a:xfrm>
        <a:prstGeom prst="rect">
          <a:avLst/>
        </a:prstGeom>
      </xdr:spPr>
    </xdr:pic>
    <xdr:clientData/>
  </xdr:oneCellAnchor>
  <xdr:oneCellAnchor>
    <xdr:from>
      <xdr:col>14</xdr:col>
      <xdr:colOff>0</xdr:colOff>
      <xdr:row>17</xdr:row>
      <xdr:rowOff>0</xdr:rowOff>
    </xdr:from>
    <xdr:ext cx="180000" cy="180000"/>
    <xdr:pic macro="[0]!BaseIncomeCalc">
      <xdr:nvPicPr>
        <xdr:cNvPr id="7" name="BaseInc_18" descr="Calculator with solid fill" hidden="1">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39225" y="2876550"/>
          <a:ext cx="180000" cy="180000"/>
        </a:xfrm>
        <a:prstGeom prst="rect">
          <a:avLst/>
        </a:prstGeom>
      </xdr:spPr>
    </xdr:pic>
    <xdr:clientData/>
  </xdr:oneCellAnchor>
  <xdr:oneCellAnchor>
    <xdr:from>
      <xdr:col>14</xdr:col>
      <xdr:colOff>0</xdr:colOff>
      <xdr:row>72</xdr:row>
      <xdr:rowOff>0</xdr:rowOff>
    </xdr:from>
    <xdr:ext cx="180000" cy="180000"/>
    <xdr:pic macro="[0]!BaseIncomeCalc">
      <xdr:nvPicPr>
        <xdr:cNvPr id="5169" name="BaseInc_73" descr="Calculator with solid fill" hidden="1">
          <a:extLst>
            <a:ext uri="{FF2B5EF4-FFF2-40B4-BE49-F238E27FC236}">
              <a16:creationId xmlns:a16="http://schemas.microsoft.com/office/drawing/2014/main" id="{00000000-0008-0000-0600-000031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17</xdr:row>
      <xdr:rowOff>0</xdr:rowOff>
    </xdr:from>
    <xdr:ext cx="180000" cy="180000"/>
    <xdr:pic macro="[0]!BaseIncomeCalc">
      <xdr:nvPicPr>
        <xdr:cNvPr id="5176" name="BaseInc_18" descr="Calculator with solid fill" hidden="1">
          <a:extLst>
            <a:ext uri="{FF2B5EF4-FFF2-40B4-BE49-F238E27FC236}">
              <a16:creationId xmlns:a16="http://schemas.microsoft.com/office/drawing/2014/main" id="{00000000-0008-0000-0600-000038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72</xdr:row>
      <xdr:rowOff>0</xdr:rowOff>
    </xdr:from>
    <xdr:ext cx="180000" cy="180000"/>
    <xdr:pic macro="[0]!BaseIncomeCalc">
      <xdr:nvPicPr>
        <xdr:cNvPr id="73" name="BaseInc_73" descr="Calculator with solid fill" hidden="1">
          <a:extLst>
            <a:ext uri="{FF2B5EF4-FFF2-40B4-BE49-F238E27FC236}">
              <a16:creationId xmlns:a16="http://schemas.microsoft.com/office/drawing/2014/main" id="{00000000-0008-0000-0600-00004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410075"/>
          <a:ext cx="180000" cy="180000"/>
        </a:xfrm>
        <a:prstGeom prst="rect">
          <a:avLst/>
        </a:prstGeom>
      </xdr:spPr>
    </xdr:pic>
    <xdr:clientData/>
  </xdr:oneCellAnchor>
  <xdr:oneCellAnchor>
    <xdr:from>
      <xdr:col>14</xdr:col>
      <xdr:colOff>0</xdr:colOff>
      <xdr:row>17</xdr:row>
      <xdr:rowOff>0</xdr:rowOff>
    </xdr:from>
    <xdr:ext cx="180000" cy="180000"/>
    <xdr:pic macro="[0]!BaseIncomeCalc">
      <xdr:nvPicPr>
        <xdr:cNvPr id="75" name="BaseInc_18" descr="Calculator with solid fill" hidden="1">
          <a:extLst>
            <a:ext uri="{FF2B5EF4-FFF2-40B4-BE49-F238E27FC236}">
              <a16:creationId xmlns:a16="http://schemas.microsoft.com/office/drawing/2014/main" id="{00000000-0008-0000-0600-00004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5</xdr:col>
          <xdr:colOff>330200</xdr:colOff>
          <xdr:row>26</xdr:row>
          <xdr:rowOff>25400</xdr:rowOff>
        </xdr:from>
        <xdr:to>
          <xdr:col>5</xdr:col>
          <xdr:colOff>635000</xdr:colOff>
          <xdr:row>26</xdr:row>
          <xdr:rowOff>177800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6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27</xdr:row>
          <xdr:rowOff>25400</xdr:rowOff>
        </xdr:from>
        <xdr:to>
          <xdr:col>5</xdr:col>
          <xdr:colOff>635000</xdr:colOff>
          <xdr:row>27</xdr:row>
          <xdr:rowOff>177800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6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28</xdr:row>
          <xdr:rowOff>25400</xdr:rowOff>
        </xdr:from>
        <xdr:to>
          <xdr:col>5</xdr:col>
          <xdr:colOff>635000</xdr:colOff>
          <xdr:row>34</xdr:row>
          <xdr:rowOff>152400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6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25</xdr:row>
          <xdr:rowOff>25400</xdr:rowOff>
        </xdr:from>
        <xdr:to>
          <xdr:col>8</xdr:col>
          <xdr:colOff>711200</xdr:colOff>
          <xdr:row>25</xdr:row>
          <xdr:rowOff>177800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6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26</xdr:row>
          <xdr:rowOff>25400</xdr:rowOff>
        </xdr:from>
        <xdr:to>
          <xdr:col>8</xdr:col>
          <xdr:colOff>711200</xdr:colOff>
          <xdr:row>26</xdr:row>
          <xdr:rowOff>177800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6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27</xdr:row>
          <xdr:rowOff>25400</xdr:rowOff>
        </xdr:from>
        <xdr:to>
          <xdr:col>8</xdr:col>
          <xdr:colOff>711200</xdr:colOff>
          <xdr:row>27</xdr:row>
          <xdr:rowOff>177800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6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28</xdr:row>
          <xdr:rowOff>25400</xdr:rowOff>
        </xdr:from>
        <xdr:to>
          <xdr:col>8</xdr:col>
          <xdr:colOff>711200</xdr:colOff>
          <xdr:row>34</xdr:row>
          <xdr:rowOff>152400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6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25</xdr:row>
      <xdr:rowOff>47625</xdr:rowOff>
    </xdr:from>
    <xdr:ext cx="115200" cy="115200"/>
    <xdr:pic macro="[0]!Delete_Item">
      <xdr:nvPicPr>
        <xdr:cNvPr id="82" name="Del_Emp_26" descr="Close with solid fill">
          <a:extLst>
            <a:ext uri="{FF2B5EF4-FFF2-40B4-BE49-F238E27FC236}">
              <a16:creationId xmlns:a16="http://schemas.microsoft.com/office/drawing/2014/main" id="{00000000-0008-0000-0600-00005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9550" y="2905125"/>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279400</xdr:colOff>
          <xdr:row>28</xdr:row>
          <xdr:rowOff>25400</xdr:rowOff>
        </xdr:from>
        <xdr:to>
          <xdr:col>12</xdr:col>
          <xdr:colOff>584200</xdr:colOff>
          <xdr:row>34</xdr:row>
          <xdr:rowOff>152400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6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6</xdr:col>
      <xdr:colOff>19050</xdr:colOff>
      <xdr:row>25</xdr:row>
      <xdr:rowOff>28575</xdr:rowOff>
    </xdr:from>
    <xdr:ext cx="171450" cy="171450"/>
    <xdr:pic macro="[0]!Goto_Page">
      <xdr:nvPicPr>
        <xdr:cNvPr id="83" name="SalCred_26" descr="Credit card with solid fill" hidden="1">
          <a:extLst>
            <a:ext uri="{FF2B5EF4-FFF2-40B4-BE49-F238E27FC236}">
              <a16:creationId xmlns:a16="http://schemas.microsoft.com/office/drawing/2014/main" id="{00000000-0008-0000-0600-000053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590925" y="2886075"/>
          <a:ext cx="171450" cy="171450"/>
        </a:xfrm>
        <a:prstGeom prst="rect">
          <a:avLst/>
        </a:prstGeom>
      </xdr:spPr>
    </xdr:pic>
    <xdr:clientData/>
  </xdr:oneCellAnchor>
  <xdr:oneCellAnchor>
    <xdr:from>
      <xdr:col>13</xdr:col>
      <xdr:colOff>0</xdr:colOff>
      <xdr:row>25</xdr:row>
      <xdr:rowOff>19050</xdr:rowOff>
    </xdr:from>
    <xdr:ext cx="180000" cy="180000"/>
    <xdr:pic macro="[0]!Goto_Page">
      <xdr:nvPicPr>
        <xdr:cNvPr id="84" name="BaseInc_26" descr="Calculator with solid fill" hidden="1">
          <a:extLst>
            <a:ext uri="{FF2B5EF4-FFF2-40B4-BE49-F238E27FC236}">
              <a16:creationId xmlns:a16="http://schemas.microsoft.com/office/drawing/2014/main" id="{00000000-0008-0000-0600-00005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39225" y="2876550"/>
          <a:ext cx="180000" cy="180000"/>
        </a:xfrm>
        <a:prstGeom prst="rect">
          <a:avLst/>
        </a:prstGeom>
      </xdr:spPr>
    </xdr:pic>
    <xdr:clientData/>
  </xdr:oneCellAnchor>
  <xdr:oneCellAnchor>
    <xdr:from>
      <xdr:col>3</xdr:col>
      <xdr:colOff>1200150</xdr:colOff>
      <xdr:row>30</xdr:row>
      <xdr:rowOff>57150</xdr:rowOff>
    </xdr:from>
    <xdr:ext cx="115200" cy="115200"/>
    <xdr:pic macro="[0]!Delete_addback">
      <xdr:nvPicPr>
        <xdr:cNvPr id="85" name="Del_Add_31" descr="Close with solid fill" hidden="1">
          <a:extLst>
            <a:ext uri="{FF2B5EF4-FFF2-40B4-BE49-F238E27FC236}">
              <a16:creationId xmlns:a16="http://schemas.microsoft.com/office/drawing/2014/main" id="{00000000-0008-0000-0600-00005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1150" y="3952875"/>
          <a:ext cx="115200" cy="115200"/>
        </a:xfrm>
        <a:prstGeom prst="rect">
          <a:avLst/>
        </a:prstGeom>
      </xdr:spPr>
    </xdr:pic>
    <xdr:clientData/>
  </xdr:oneCellAnchor>
  <xdr:oneCellAnchor>
    <xdr:from>
      <xdr:col>3</xdr:col>
      <xdr:colOff>1200150</xdr:colOff>
      <xdr:row>31</xdr:row>
      <xdr:rowOff>66675</xdr:rowOff>
    </xdr:from>
    <xdr:ext cx="115200" cy="115200"/>
    <xdr:pic macro="[0]!Delete_addback">
      <xdr:nvPicPr>
        <xdr:cNvPr id="86" name="Del_Add_32" descr="Close with solid fill" hidden="1">
          <a:extLst>
            <a:ext uri="{FF2B5EF4-FFF2-40B4-BE49-F238E27FC236}">
              <a16:creationId xmlns:a16="http://schemas.microsoft.com/office/drawing/2014/main" id="{00000000-0008-0000-0600-00005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1150" y="3952875"/>
          <a:ext cx="115200" cy="115200"/>
        </a:xfrm>
        <a:prstGeom prst="rect">
          <a:avLst/>
        </a:prstGeom>
      </xdr:spPr>
    </xdr:pic>
    <xdr:clientData/>
  </xdr:oneCellAnchor>
  <xdr:oneCellAnchor>
    <xdr:from>
      <xdr:col>3</xdr:col>
      <xdr:colOff>1200150</xdr:colOff>
      <xdr:row>32</xdr:row>
      <xdr:rowOff>57150</xdr:rowOff>
    </xdr:from>
    <xdr:ext cx="115200" cy="115200"/>
    <xdr:pic macro="[0]!Delete_addback">
      <xdr:nvPicPr>
        <xdr:cNvPr id="87" name="Del_Add_33" descr="Close with solid fill" hidden="1">
          <a:extLst>
            <a:ext uri="{FF2B5EF4-FFF2-40B4-BE49-F238E27FC236}">
              <a16:creationId xmlns:a16="http://schemas.microsoft.com/office/drawing/2014/main" id="{00000000-0008-0000-0600-00005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1150" y="3952875"/>
          <a:ext cx="115200" cy="115200"/>
        </a:xfrm>
        <a:prstGeom prst="rect">
          <a:avLst/>
        </a:prstGeom>
      </xdr:spPr>
    </xdr:pic>
    <xdr:clientData/>
  </xdr:oneCellAnchor>
  <xdr:oneCellAnchor>
    <xdr:from>
      <xdr:col>3</xdr:col>
      <xdr:colOff>1200150</xdr:colOff>
      <xdr:row>33</xdr:row>
      <xdr:rowOff>57150</xdr:rowOff>
    </xdr:from>
    <xdr:ext cx="115200" cy="115200"/>
    <xdr:pic macro="[0]!Delete_addback">
      <xdr:nvPicPr>
        <xdr:cNvPr id="88" name="Del_Add_34" descr="Close with solid fill" hidden="1">
          <a:extLst>
            <a:ext uri="{FF2B5EF4-FFF2-40B4-BE49-F238E27FC236}">
              <a16:creationId xmlns:a16="http://schemas.microsoft.com/office/drawing/2014/main" id="{00000000-0008-0000-0600-00005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1150" y="3952875"/>
          <a:ext cx="115200" cy="115200"/>
        </a:xfrm>
        <a:prstGeom prst="rect">
          <a:avLst/>
        </a:prstGeom>
      </xdr:spPr>
    </xdr:pic>
    <xdr:clientData/>
  </xdr:oneCellAnchor>
  <xdr:twoCellAnchor>
    <xdr:from>
      <xdr:col>4</xdr:col>
      <xdr:colOff>47623</xdr:colOff>
      <xdr:row>34</xdr:row>
      <xdr:rowOff>38098</xdr:rowOff>
    </xdr:from>
    <xdr:to>
      <xdr:col>4</xdr:col>
      <xdr:colOff>857623</xdr:colOff>
      <xdr:row>34</xdr:row>
      <xdr:rowOff>190500</xdr:rowOff>
    </xdr:to>
    <xdr:sp macro="[0]!Add_addback" textlink="">
      <xdr:nvSpPr>
        <xdr:cNvPr id="89" name="Add_Add_35" hidden="1">
          <a:extLst>
            <a:ext uri="{FF2B5EF4-FFF2-40B4-BE49-F238E27FC236}">
              <a16:creationId xmlns:a16="http://schemas.microsoft.com/office/drawing/2014/main" id="{00000000-0008-0000-0600-000059000000}"/>
            </a:ext>
          </a:extLst>
        </xdr:cNvPr>
        <xdr:cNvSpPr txBox="1"/>
      </xdr:nvSpPr>
      <xdr:spPr>
        <a:xfrm>
          <a:off x="1809748" y="3990973"/>
          <a:ext cx="810000" cy="15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 addback</a:t>
          </a:r>
        </a:p>
      </xdr:txBody>
    </xdr:sp>
    <xdr:clientData/>
  </xdr:twoCellAnchor>
  <xdr:twoCellAnchor>
    <xdr:from>
      <xdr:col>3</xdr:col>
      <xdr:colOff>628650</xdr:colOff>
      <xdr:row>28</xdr:row>
      <xdr:rowOff>28575</xdr:rowOff>
    </xdr:from>
    <xdr:to>
      <xdr:col>3</xdr:col>
      <xdr:colOff>790087</xdr:colOff>
      <xdr:row>28</xdr:row>
      <xdr:rowOff>193167</xdr:rowOff>
    </xdr:to>
    <xdr:pic>
      <xdr:nvPicPr>
        <xdr:cNvPr id="90" name="Inf_Own_29" descr="See the source image" hidden="1">
          <a:hlinkClick xmlns:r="http://schemas.openxmlformats.org/officeDocument/2006/relationships" r:id="" tooltip="If the trust has liabilities and not all individuals are on the application, the selected parties are eligible for 100% ownership"/>
          <a:extLst>
            <a:ext uri="{FF2B5EF4-FFF2-40B4-BE49-F238E27FC236}">
              <a16:creationId xmlns:a16="http://schemas.microsoft.com/office/drawing/2014/main" id="{00000000-0008-0000-0600-00005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09650" y="3543300"/>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1200150</xdr:colOff>
      <xdr:row>29</xdr:row>
      <xdr:rowOff>57150</xdr:rowOff>
    </xdr:from>
    <xdr:ext cx="115200" cy="115200"/>
    <xdr:pic macro="[0]!Delete_addback">
      <xdr:nvPicPr>
        <xdr:cNvPr id="91" name="Del_Add_30" descr="Close with solid fill" hidden="1">
          <a:extLst>
            <a:ext uri="{FF2B5EF4-FFF2-40B4-BE49-F238E27FC236}">
              <a16:creationId xmlns:a16="http://schemas.microsoft.com/office/drawing/2014/main" id="{00000000-0008-0000-0600-00005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1150" y="3790950"/>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279400</xdr:colOff>
          <xdr:row>25</xdr:row>
          <xdr:rowOff>25400</xdr:rowOff>
        </xdr:from>
        <xdr:to>
          <xdr:col>13</xdr:col>
          <xdr:colOff>584200</xdr:colOff>
          <xdr:row>25</xdr:row>
          <xdr:rowOff>177800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6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14</xdr:col>
      <xdr:colOff>0</xdr:colOff>
      <xdr:row>25</xdr:row>
      <xdr:rowOff>19050</xdr:rowOff>
    </xdr:from>
    <xdr:ext cx="180000" cy="180000"/>
    <xdr:pic macro="[0]!BaseIncomeCalc">
      <xdr:nvPicPr>
        <xdr:cNvPr id="92" name="BaseInc_26" descr="Calculator with solid fill" hidden="1">
          <a:extLst>
            <a:ext uri="{FF2B5EF4-FFF2-40B4-BE49-F238E27FC236}">
              <a16:creationId xmlns:a16="http://schemas.microsoft.com/office/drawing/2014/main" id="{00000000-0008-0000-0600-00005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twoCellAnchor>
    <xdr:from>
      <xdr:col>13</xdr:col>
      <xdr:colOff>19048</xdr:colOff>
      <xdr:row>26</xdr:row>
      <xdr:rowOff>57148</xdr:rowOff>
    </xdr:from>
    <xdr:to>
      <xdr:col>13</xdr:col>
      <xdr:colOff>695325</xdr:colOff>
      <xdr:row>27</xdr:row>
      <xdr:rowOff>9525</xdr:rowOff>
    </xdr:to>
    <xdr:sp macro="[0]!Goto_Page" textlink="">
      <xdr:nvSpPr>
        <xdr:cNvPr id="94" name="Mty_Ent_27" hidden="1">
          <a:extLst>
            <a:ext uri="{FF2B5EF4-FFF2-40B4-BE49-F238E27FC236}">
              <a16:creationId xmlns:a16="http://schemas.microsoft.com/office/drawing/2014/main" id="{00000000-0008-0000-0600-00005E000000}"/>
            </a:ext>
          </a:extLst>
        </xdr:cNvPr>
        <xdr:cNvSpPr txBox="1"/>
      </xdr:nvSpPr>
      <xdr:spPr>
        <a:xfrm>
          <a:off x="9058273" y="3133723"/>
          <a:ext cx="676277" cy="171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Multi Entity</a:t>
          </a:r>
        </a:p>
      </xdr:txBody>
    </xdr:sp>
    <xdr:clientData/>
  </xdr:twoCellAnchor>
  <xdr:oneCellAnchor>
    <xdr:from>
      <xdr:col>14</xdr:col>
      <xdr:colOff>0</xdr:colOff>
      <xdr:row>72</xdr:row>
      <xdr:rowOff>0</xdr:rowOff>
    </xdr:from>
    <xdr:ext cx="180000" cy="180000"/>
    <xdr:pic macro="[0]!BaseIncomeCalc">
      <xdr:nvPicPr>
        <xdr:cNvPr id="95" name="BaseInc_73" descr="Calculator with solid fill" hidden="1">
          <a:extLst>
            <a:ext uri="{FF2B5EF4-FFF2-40B4-BE49-F238E27FC236}">
              <a16:creationId xmlns:a16="http://schemas.microsoft.com/office/drawing/2014/main" id="{00000000-0008-0000-0600-00005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72</xdr:row>
      <xdr:rowOff>0</xdr:rowOff>
    </xdr:from>
    <xdr:ext cx="180000" cy="180000"/>
    <xdr:pic macro="[0]!BaseIncomeCalc">
      <xdr:nvPicPr>
        <xdr:cNvPr id="5189" name="BaseInc_73" descr="Calculator with solid fill" hidden="1">
          <a:extLst>
            <a:ext uri="{FF2B5EF4-FFF2-40B4-BE49-F238E27FC236}">
              <a16:creationId xmlns:a16="http://schemas.microsoft.com/office/drawing/2014/main" id="{00000000-0008-0000-0600-000045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72</xdr:row>
      <xdr:rowOff>0</xdr:rowOff>
    </xdr:from>
    <xdr:ext cx="180000" cy="180000"/>
    <xdr:pic macro="[0]!BaseIncomeCalc">
      <xdr:nvPicPr>
        <xdr:cNvPr id="5190" name="BaseInc_73" descr="Calculator with solid fill" hidden="1">
          <a:extLst>
            <a:ext uri="{FF2B5EF4-FFF2-40B4-BE49-F238E27FC236}">
              <a16:creationId xmlns:a16="http://schemas.microsoft.com/office/drawing/2014/main" id="{00000000-0008-0000-0600-000046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72</xdr:row>
      <xdr:rowOff>0</xdr:rowOff>
    </xdr:from>
    <xdr:ext cx="180000" cy="180000"/>
    <xdr:pic macro="[0]!BaseIncomeCalc">
      <xdr:nvPicPr>
        <xdr:cNvPr id="5210" name="BaseInc_73" descr="Calculator with solid fill" hidden="1">
          <a:extLst>
            <a:ext uri="{FF2B5EF4-FFF2-40B4-BE49-F238E27FC236}">
              <a16:creationId xmlns:a16="http://schemas.microsoft.com/office/drawing/2014/main" id="{00000000-0008-0000-0600-00005A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12" name="BaseInc_72" descr="Calculator with solid fill" hidden="1">
          <a:extLst>
            <a:ext uri="{FF2B5EF4-FFF2-40B4-BE49-F238E27FC236}">
              <a16:creationId xmlns:a16="http://schemas.microsoft.com/office/drawing/2014/main" id="{00000000-0008-0000-0600-00005C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13" name="BaseInc_72" descr="Calculator with solid fill" hidden="1">
          <a:extLst>
            <a:ext uri="{FF2B5EF4-FFF2-40B4-BE49-F238E27FC236}">
              <a16:creationId xmlns:a16="http://schemas.microsoft.com/office/drawing/2014/main" id="{00000000-0008-0000-0600-00005D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14" name="BaseInc_72" descr="Calculator with solid fill" hidden="1">
          <a:extLst>
            <a:ext uri="{FF2B5EF4-FFF2-40B4-BE49-F238E27FC236}">
              <a16:creationId xmlns:a16="http://schemas.microsoft.com/office/drawing/2014/main" id="{00000000-0008-0000-0600-00005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48" name="BaseInc_72" descr="Calculator with solid fill" hidden="1">
          <a:extLst>
            <a:ext uri="{FF2B5EF4-FFF2-40B4-BE49-F238E27FC236}">
              <a16:creationId xmlns:a16="http://schemas.microsoft.com/office/drawing/2014/main" id="{00000000-0008-0000-0600-00001C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8" name="BaseInc_72" descr="Calculator with solid fill" hidden="1">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0" name="BaseInc_72" descr="Calculator with solid fill" hidden="1">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8" name="BaseInc_72" descr="Calculator with solid fill" hidden="1">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62" name="BaseInc_72" descr="Calculator with solid fill" hidden="1">
          <a:extLst>
            <a:ext uri="{FF2B5EF4-FFF2-40B4-BE49-F238E27FC236}">
              <a16:creationId xmlns:a16="http://schemas.microsoft.com/office/drawing/2014/main" id="{00000000-0008-0000-0600-00002A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64" name="BaseInc_72" descr="Calculator with solid fill" hidden="1">
          <a:extLst>
            <a:ext uri="{FF2B5EF4-FFF2-40B4-BE49-F238E27FC236}">
              <a16:creationId xmlns:a16="http://schemas.microsoft.com/office/drawing/2014/main" id="{00000000-0008-0000-0600-00002C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65" name="BaseInc_72" descr="Calculator with solid fill" hidden="1">
          <a:extLst>
            <a:ext uri="{FF2B5EF4-FFF2-40B4-BE49-F238E27FC236}">
              <a16:creationId xmlns:a16="http://schemas.microsoft.com/office/drawing/2014/main" id="{00000000-0008-0000-0600-00002D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66" name="BaseInc_72" descr="Calculator with solid fill" hidden="1">
          <a:extLst>
            <a:ext uri="{FF2B5EF4-FFF2-40B4-BE49-F238E27FC236}">
              <a16:creationId xmlns:a16="http://schemas.microsoft.com/office/drawing/2014/main" id="{00000000-0008-0000-0600-00002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2" name="BaseInc_72" descr="Calculator with solid fill" hidden="1">
          <a:extLst>
            <a:ext uri="{FF2B5EF4-FFF2-40B4-BE49-F238E27FC236}">
              <a16:creationId xmlns:a16="http://schemas.microsoft.com/office/drawing/2014/main" id="{00000000-0008-0000-0600-00002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910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4" name="BaseInc_72" descr="Calculator with solid fill" hidden="1">
          <a:extLst>
            <a:ext uri="{FF2B5EF4-FFF2-40B4-BE49-F238E27FC236}">
              <a16:creationId xmlns:a16="http://schemas.microsoft.com/office/drawing/2014/main" id="{00000000-0008-0000-0600-00002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4864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5" name="BaseInc_72" descr="Calculator with solid fill" hidden="1">
          <a:extLst>
            <a:ext uri="{FF2B5EF4-FFF2-40B4-BE49-F238E27FC236}">
              <a16:creationId xmlns:a16="http://schemas.microsoft.com/office/drawing/2014/main" id="{00000000-0008-0000-0600-00002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4864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6" name="BaseInc_72" descr="Calculator with solid fill" hidden="1">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4864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49" name="BaseInc_72" descr="Calculator with solid fill" hidden="1">
          <a:extLst>
            <a:ext uri="{FF2B5EF4-FFF2-40B4-BE49-F238E27FC236}">
              <a16:creationId xmlns:a16="http://schemas.microsoft.com/office/drawing/2014/main" id="{00000000-0008-0000-0600-00003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5054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92" name="BaseInc_72" descr="Calculator with solid fill" hidden="1">
          <a:extLst>
            <a:ext uri="{FF2B5EF4-FFF2-40B4-BE49-F238E27FC236}">
              <a16:creationId xmlns:a16="http://schemas.microsoft.com/office/drawing/2014/main" id="{00000000-0008-0000-0600-000048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65817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93" name="BaseInc_72" descr="Calculator with solid fill" hidden="1">
          <a:extLst>
            <a:ext uri="{FF2B5EF4-FFF2-40B4-BE49-F238E27FC236}">
              <a16:creationId xmlns:a16="http://schemas.microsoft.com/office/drawing/2014/main" id="{00000000-0008-0000-0600-000049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65817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94" name="BaseInc_72" descr="Calculator with solid fill" hidden="1">
          <a:extLst>
            <a:ext uri="{FF2B5EF4-FFF2-40B4-BE49-F238E27FC236}">
              <a16:creationId xmlns:a16="http://schemas.microsoft.com/office/drawing/2014/main" id="{00000000-0008-0000-0600-00004A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65817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78" name="BaseInc_72" descr="Calculator with solid fill" hidden="1">
          <a:extLst>
            <a:ext uri="{FF2B5EF4-FFF2-40B4-BE49-F238E27FC236}">
              <a16:creationId xmlns:a16="http://schemas.microsoft.com/office/drawing/2014/main" id="{00000000-0008-0000-0600-00004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660082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81" name="BaseInc_72" descr="Calculator with solid fill" hidden="1">
          <a:extLst>
            <a:ext uri="{FF2B5EF4-FFF2-40B4-BE49-F238E27FC236}">
              <a16:creationId xmlns:a16="http://schemas.microsoft.com/office/drawing/2014/main" id="{00000000-0008-0000-0600-00005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76771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93" name="BaseInc_72" descr="Calculator with solid fill" hidden="1">
          <a:extLst>
            <a:ext uri="{FF2B5EF4-FFF2-40B4-BE49-F238E27FC236}">
              <a16:creationId xmlns:a16="http://schemas.microsoft.com/office/drawing/2014/main" id="{00000000-0008-0000-0600-00005D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76771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47" name="BaseInc_72" descr="Calculator with solid fill" hidden="1">
          <a:extLst>
            <a:ext uri="{FF2B5EF4-FFF2-40B4-BE49-F238E27FC236}">
              <a16:creationId xmlns:a16="http://schemas.microsoft.com/office/drawing/2014/main" id="{00000000-0008-0000-0600-00007F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76771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44" name="BaseInc_72" descr="Calculator with solid fill" hidden="1">
          <a:extLst>
            <a:ext uri="{FF2B5EF4-FFF2-40B4-BE49-F238E27FC236}">
              <a16:creationId xmlns:a16="http://schemas.microsoft.com/office/drawing/2014/main" id="{00000000-0008-0000-0600-000018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76962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46" name="BaseInc_72" descr="Calculator with solid fill" hidden="1">
          <a:extLst>
            <a:ext uri="{FF2B5EF4-FFF2-40B4-BE49-F238E27FC236}">
              <a16:creationId xmlns:a16="http://schemas.microsoft.com/office/drawing/2014/main" id="{00000000-0008-0000-0600-00001A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47" name="BaseInc_72" descr="Calculator with solid fill" hidden="1">
          <a:extLst>
            <a:ext uri="{FF2B5EF4-FFF2-40B4-BE49-F238E27FC236}">
              <a16:creationId xmlns:a16="http://schemas.microsoft.com/office/drawing/2014/main" id="{00000000-0008-0000-0600-00001B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50" name="BaseInc_72" descr="Calculator with solid fill" hidden="1">
          <a:extLst>
            <a:ext uri="{FF2B5EF4-FFF2-40B4-BE49-F238E27FC236}">
              <a16:creationId xmlns:a16="http://schemas.microsoft.com/office/drawing/2014/main" id="{00000000-0008-0000-0600-00001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75" name="BaseInc_72" descr="Calculator with solid fill" hidden="1">
          <a:extLst>
            <a:ext uri="{FF2B5EF4-FFF2-40B4-BE49-F238E27FC236}">
              <a16:creationId xmlns:a16="http://schemas.microsoft.com/office/drawing/2014/main" id="{00000000-0008-0000-0600-00009B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77" name="BaseInc_72" descr="Calculator with solid fill" hidden="1">
          <a:extLst>
            <a:ext uri="{FF2B5EF4-FFF2-40B4-BE49-F238E27FC236}">
              <a16:creationId xmlns:a16="http://schemas.microsoft.com/office/drawing/2014/main" id="{00000000-0008-0000-0600-00009D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78" name="BaseInc_72" descr="Calculator with solid fill" hidden="1">
          <a:extLst>
            <a:ext uri="{FF2B5EF4-FFF2-40B4-BE49-F238E27FC236}">
              <a16:creationId xmlns:a16="http://schemas.microsoft.com/office/drawing/2014/main" id="{00000000-0008-0000-0600-00009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79" name="BaseInc_72" descr="Calculator with solid fill" hidden="1">
          <a:extLst>
            <a:ext uri="{FF2B5EF4-FFF2-40B4-BE49-F238E27FC236}">
              <a16:creationId xmlns:a16="http://schemas.microsoft.com/office/drawing/2014/main" id="{00000000-0008-0000-0600-00009F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99" name="BaseInc_72" descr="Calculator with solid fill" hidden="1">
          <a:extLst>
            <a:ext uri="{FF2B5EF4-FFF2-40B4-BE49-F238E27FC236}">
              <a16:creationId xmlns:a16="http://schemas.microsoft.com/office/drawing/2014/main" id="{00000000-0008-0000-0600-0000B3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01" name="BaseInc_72" descr="Calculator with solid fill" hidden="1">
          <a:extLst>
            <a:ext uri="{FF2B5EF4-FFF2-40B4-BE49-F238E27FC236}">
              <a16:creationId xmlns:a16="http://schemas.microsoft.com/office/drawing/2014/main" id="{00000000-0008-0000-0600-0000B5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02" name="BaseInc_72" descr="Calculator with solid fill" hidden="1">
          <a:extLst>
            <a:ext uri="{FF2B5EF4-FFF2-40B4-BE49-F238E27FC236}">
              <a16:creationId xmlns:a16="http://schemas.microsoft.com/office/drawing/2014/main" id="{00000000-0008-0000-0600-0000B6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03" name="BaseInc_72" descr="Calculator with solid fill" hidden="1">
          <a:extLst>
            <a:ext uri="{FF2B5EF4-FFF2-40B4-BE49-F238E27FC236}">
              <a16:creationId xmlns:a16="http://schemas.microsoft.com/office/drawing/2014/main" id="{00000000-0008-0000-0600-0000B7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23" name="BaseInc_72" descr="Calculator with solid fill" hidden="1">
          <a:extLst>
            <a:ext uri="{FF2B5EF4-FFF2-40B4-BE49-F238E27FC236}">
              <a16:creationId xmlns:a16="http://schemas.microsoft.com/office/drawing/2014/main" id="{00000000-0008-0000-0600-0000CB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910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25" name="BaseInc_72" descr="Calculator with solid fill" hidden="1">
          <a:extLst>
            <a:ext uri="{FF2B5EF4-FFF2-40B4-BE49-F238E27FC236}">
              <a16:creationId xmlns:a16="http://schemas.microsoft.com/office/drawing/2014/main" id="{00000000-0008-0000-0600-0000CD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26" name="BaseInc_72" descr="Calculator with solid fill" hidden="1">
          <a:extLst>
            <a:ext uri="{FF2B5EF4-FFF2-40B4-BE49-F238E27FC236}">
              <a16:creationId xmlns:a16="http://schemas.microsoft.com/office/drawing/2014/main" id="{00000000-0008-0000-0600-0000C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27" name="BaseInc_72" descr="Calculator with solid fill" hidden="1">
          <a:extLst>
            <a:ext uri="{FF2B5EF4-FFF2-40B4-BE49-F238E27FC236}">
              <a16:creationId xmlns:a16="http://schemas.microsoft.com/office/drawing/2014/main" id="{00000000-0008-0000-0600-0000CF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47" name="BaseInc_72" descr="Calculator with solid fill" hidden="1">
          <a:extLst>
            <a:ext uri="{FF2B5EF4-FFF2-40B4-BE49-F238E27FC236}">
              <a16:creationId xmlns:a16="http://schemas.microsoft.com/office/drawing/2014/main" id="{00000000-0008-0000-0600-0000E3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49" name="BaseInc_72" descr="Calculator with solid fill" hidden="1">
          <a:extLst>
            <a:ext uri="{FF2B5EF4-FFF2-40B4-BE49-F238E27FC236}">
              <a16:creationId xmlns:a16="http://schemas.microsoft.com/office/drawing/2014/main" id="{00000000-0008-0000-0600-0000E5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50" name="BaseInc_72" descr="Calculator with solid fill" hidden="1">
          <a:extLst>
            <a:ext uri="{FF2B5EF4-FFF2-40B4-BE49-F238E27FC236}">
              <a16:creationId xmlns:a16="http://schemas.microsoft.com/office/drawing/2014/main" id="{00000000-0008-0000-0600-0000E6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51" name="BaseInc_72" descr="Calculator with solid fill" hidden="1">
          <a:extLst>
            <a:ext uri="{FF2B5EF4-FFF2-40B4-BE49-F238E27FC236}">
              <a16:creationId xmlns:a16="http://schemas.microsoft.com/office/drawing/2014/main" id="{00000000-0008-0000-0600-0000E7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719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71" name="BaseInc_72" descr="Calculator with solid fill" hidden="1">
          <a:extLst>
            <a:ext uri="{FF2B5EF4-FFF2-40B4-BE49-F238E27FC236}">
              <a16:creationId xmlns:a16="http://schemas.microsoft.com/office/drawing/2014/main" id="{00000000-0008-0000-0600-0000FB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41910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73" name="BaseInc_72" descr="Calculator with solid fill" hidden="1">
          <a:extLst>
            <a:ext uri="{FF2B5EF4-FFF2-40B4-BE49-F238E27FC236}">
              <a16:creationId xmlns:a16="http://schemas.microsoft.com/office/drawing/2014/main" id="{00000000-0008-0000-0600-0000FD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74" name="BaseInc_72" descr="Calculator with solid fill" hidden="1">
          <a:extLst>
            <a:ext uri="{FF2B5EF4-FFF2-40B4-BE49-F238E27FC236}">
              <a16:creationId xmlns:a16="http://schemas.microsoft.com/office/drawing/2014/main" id="{00000000-0008-0000-0600-0000F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75" name="BaseInc_72" descr="Calculator with solid fill" hidden="1">
          <a:extLst>
            <a:ext uri="{FF2B5EF4-FFF2-40B4-BE49-F238E27FC236}">
              <a16:creationId xmlns:a16="http://schemas.microsoft.com/office/drawing/2014/main" id="{00000000-0008-0000-0600-0000FF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95" name="BaseInc_72" descr="Calculator with solid fill" hidden="1">
          <a:extLst>
            <a:ext uri="{FF2B5EF4-FFF2-40B4-BE49-F238E27FC236}">
              <a16:creationId xmlns:a16="http://schemas.microsoft.com/office/drawing/2014/main" id="{00000000-0008-0000-0600-000013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97" name="BaseInc_72" descr="Calculator with solid fill" hidden="1">
          <a:extLst>
            <a:ext uri="{FF2B5EF4-FFF2-40B4-BE49-F238E27FC236}">
              <a16:creationId xmlns:a16="http://schemas.microsoft.com/office/drawing/2014/main" id="{00000000-0008-0000-0600-000015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98" name="BaseInc_72" descr="Calculator with solid fill" hidden="1">
          <a:extLst>
            <a:ext uri="{FF2B5EF4-FFF2-40B4-BE49-F238E27FC236}">
              <a16:creationId xmlns:a16="http://schemas.microsoft.com/office/drawing/2014/main" id="{00000000-0008-0000-0600-000016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99" name="BaseInc_72" descr="Calculator with solid fill" hidden="1">
          <a:extLst>
            <a:ext uri="{FF2B5EF4-FFF2-40B4-BE49-F238E27FC236}">
              <a16:creationId xmlns:a16="http://schemas.microsoft.com/office/drawing/2014/main" id="{00000000-0008-0000-0600-000017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419" name="BaseInc_72" descr="Calculator with solid fill" hidden="1">
          <a:extLst>
            <a:ext uri="{FF2B5EF4-FFF2-40B4-BE49-F238E27FC236}">
              <a16:creationId xmlns:a16="http://schemas.microsoft.com/office/drawing/2014/main" id="{00000000-0008-0000-0600-00002B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7" name="BaseInc_72" descr="Calculator with solid fill" hidden="1">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8" name="BaseInc_72" descr="Calculator with solid fill" hidden="1">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9" name="BaseInc_72" descr="Calculator with solid fill" hidden="1">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21" name="BaseInc_72" descr="Calculator with solid fill" hidden="1">
          <a:extLst>
            <a:ext uri="{FF2B5EF4-FFF2-40B4-BE49-F238E27FC236}">
              <a16:creationId xmlns:a16="http://schemas.microsoft.com/office/drawing/2014/main" id="{00000000-0008-0000-0600-000001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368300</xdr:colOff>
          <xdr:row>102</xdr:row>
          <xdr:rowOff>25400</xdr:rowOff>
        </xdr:from>
        <xdr:to>
          <xdr:col>4</xdr:col>
          <xdr:colOff>673100</xdr:colOff>
          <xdr:row>102</xdr:row>
          <xdr:rowOff>177800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6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102</xdr:row>
          <xdr:rowOff>25400</xdr:rowOff>
        </xdr:from>
        <xdr:to>
          <xdr:col>5</xdr:col>
          <xdr:colOff>635000</xdr:colOff>
          <xdr:row>102</xdr:row>
          <xdr:rowOff>177800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6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102</xdr:row>
      <xdr:rowOff>57150</xdr:rowOff>
    </xdr:from>
    <xdr:ext cx="115200" cy="115200"/>
    <xdr:pic macro="[0]!Delete_Item">
      <xdr:nvPicPr>
        <xdr:cNvPr id="41" name="Del_Lby_103" descr="Close with solid fill">
          <a:extLst>
            <a:ext uri="{FF2B5EF4-FFF2-40B4-BE49-F238E27FC236}">
              <a16:creationId xmlns:a16="http://schemas.microsoft.com/office/drawing/2014/main" id="{00000000-0008-0000-0600-00002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9550" y="6477000"/>
          <a:ext cx="115200" cy="115200"/>
        </a:xfrm>
        <a:prstGeom prst="rect">
          <a:avLst/>
        </a:prstGeom>
      </xdr:spPr>
    </xdr:pic>
    <xdr:clientData/>
  </xdr:oneCellAnchor>
  <xdr:oneCellAnchor>
    <xdr:from>
      <xdr:col>14</xdr:col>
      <xdr:colOff>0</xdr:colOff>
      <xdr:row>71</xdr:row>
      <xdr:rowOff>0</xdr:rowOff>
    </xdr:from>
    <xdr:ext cx="180000" cy="180000"/>
    <xdr:pic macro="[0]!BaseIncomeCalc">
      <xdr:nvPicPr>
        <xdr:cNvPr id="30" name="BaseInc_72" descr="Calculator with solid fill" hidden="1">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1" name="BaseInc_72" descr="Calculator with solid fill" hidden="1">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33" name="BaseInc_72" descr="Calculator with solid fill" hidden="1">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22" name="BaseInc_72" descr="Calculator with solid fill" hidden="1">
          <a:extLst>
            <a:ext uri="{FF2B5EF4-FFF2-40B4-BE49-F238E27FC236}">
              <a16:creationId xmlns:a16="http://schemas.microsoft.com/office/drawing/2014/main" id="{00000000-0008-0000-0600-000002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24" name="BaseInc_72" descr="Calculator with solid fill" hidden="1">
          <a:extLst>
            <a:ext uri="{FF2B5EF4-FFF2-40B4-BE49-F238E27FC236}">
              <a16:creationId xmlns:a16="http://schemas.microsoft.com/office/drawing/2014/main" id="{00000000-0008-0000-0600-000004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25" name="BaseInc_72" descr="Calculator with solid fill" hidden="1">
          <a:extLst>
            <a:ext uri="{FF2B5EF4-FFF2-40B4-BE49-F238E27FC236}">
              <a16:creationId xmlns:a16="http://schemas.microsoft.com/office/drawing/2014/main" id="{00000000-0008-0000-0600-000005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26" name="BaseInc_72" descr="Calculator with solid fill" hidden="1">
          <a:extLst>
            <a:ext uri="{FF2B5EF4-FFF2-40B4-BE49-F238E27FC236}">
              <a16:creationId xmlns:a16="http://schemas.microsoft.com/office/drawing/2014/main" id="{00000000-0008-0000-0600-000006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38" name="BaseInc_72" descr="Calculator with solid fill" hidden="1">
          <a:extLst>
            <a:ext uri="{FF2B5EF4-FFF2-40B4-BE49-F238E27FC236}">
              <a16:creationId xmlns:a16="http://schemas.microsoft.com/office/drawing/2014/main" id="{00000000-0008-0000-0600-000012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7192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40" name="BaseInc_72" descr="Calculator with solid fill" hidden="1">
          <a:extLst>
            <a:ext uri="{FF2B5EF4-FFF2-40B4-BE49-F238E27FC236}">
              <a16:creationId xmlns:a16="http://schemas.microsoft.com/office/drawing/2014/main" id="{00000000-0008-0000-0600-000014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41" name="BaseInc_72" descr="Calculator with solid fill" hidden="1">
          <a:extLst>
            <a:ext uri="{FF2B5EF4-FFF2-40B4-BE49-F238E27FC236}">
              <a16:creationId xmlns:a16="http://schemas.microsoft.com/office/drawing/2014/main" id="{00000000-0008-0000-0600-000015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42" name="BaseInc_72" descr="Calculator with solid fill" hidden="1">
          <a:extLst>
            <a:ext uri="{FF2B5EF4-FFF2-40B4-BE49-F238E27FC236}">
              <a16:creationId xmlns:a16="http://schemas.microsoft.com/office/drawing/2014/main" id="{00000000-0008-0000-0600-000016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60" name="BaseInc_72" descr="Calculator with solid fill" hidden="1">
          <a:extLst>
            <a:ext uri="{FF2B5EF4-FFF2-40B4-BE49-F238E27FC236}">
              <a16:creationId xmlns:a16="http://schemas.microsoft.com/office/drawing/2014/main" id="{00000000-0008-0000-0600-000028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673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68" name="BaseInc_72" descr="Calculator with solid fill" hidden="1">
          <a:extLst>
            <a:ext uri="{FF2B5EF4-FFF2-40B4-BE49-F238E27FC236}">
              <a16:creationId xmlns:a16="http://schemas.microsoft.com/office/drawing/2014/main" id="{00000000-0008-0000-0600-000030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70" name="BaseInc_72" descr="Calculator with solid fill" hidden="1">
          <a:extLst>
            <a:ext uri="{FF2B5EF4-FFF2-40B4-BE49-F238E27FC236}">
              <a16:creationId xmlns:a16="http://schemas.microsoft.com/office/drawing/2014/main" id="{00000000-0008-0000-0600-000032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71" name="BaseInc_72" descr="Calculator with solid fill" hidden="1">
          <a:extLst>
            <a:ext uri="{FF2B5EF4-FFF2-40B4-BE49-F238E27FC236}">
              <a16:creationId xmlns:a16="http://schemas.microsoft.com/office/drawing/2014/main" id="{00000000-0008-0000-0600-000033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6084" name="BaseInc_72" descr="Calculator with solid fill" hidden="1">
          <a:extLst>
            <a:ext uri="{FF2B5EF4-FFF2-40B4-BE49-F238E27FC236}">
              <a16:creationId xmlns:a16="http://schemas.microsoft.com/office/drawing/2014/main" id="{00000000-0008-0000-0600-0000C417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6086" name="BaseInc_72" descr="Calculator with solid fill" hidden="1">
          <a:extLst>
            <a:ext uri="{FF2B5EF4-FFF2-40B4-BE49-F238E27FC236}">
              <a16:creationId xmlns:a16="http://schemas.microsoft.com/office/drawing/2014/main" id="{00000000-0008-0000-0600-0000C617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6087" name="BaseInc_72" descr="Calculator with solid fill" hidden="1">
          <a:extLst>
            <a:ext uri="{FF2B5EF4-FFF2-40B4-BE49-F238E27FC236}">
              <a16:creationId xmlns:a16="http://schemas.microsoft.com/office/drawing/2014/main" id="{00000000-0008-0000-0600-0000C717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6088" name="BaseInc_72" descr="Calculator with solid fill" hidden="1">
          <a:extLst>
            <a:ext uri="{FF2B5EF4-FFF2-40B4-BE49-F238E27FC236}">
              <a16:creationId xmlns:a16="http://schemas.microsoft.com/office/drawing/2014/main" id="{00000000-0008-0000-0600-0000C817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199" name="BaseInc_72" descr="Calculator with solid fill" hidden="1">
          <a:extLst>
            <a:ext uri="{FF2B5EF4-FFF2-40B4-BE49-F238E27FC236}">
              <a16:creationId xmlns:a16="http://schemas.microsoft.com/office/drawing/2014/main" id="{00000000-0008-0000-0600-00004F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7192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05" name="BaseInc_72" descr="Calculator with solid fill" hidden="1">
          <a:extLst>
            <a:ext uri="{FF2B5EF4-FFF2-40B4-BE49-F238E27FC236}">
              <a16:creationId xmlns:a16="http://schemas.microsoft.com/office/drawing/2014/main" id="{00000000-0008-0000-0600-000055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06" name="BaseInc_72" descr="Calculator with solid fill" hidden="1">
          <a:extLst>
            <a:ext uri="{FF2B5EF4-FFF2-40B4-BE49-F238E27FC236}">
              <a16:creationId xmlns:a16="http://schemas.microsoft.com/office/drawing/2014/main" id="{00000000-0008-0000-0600-000056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6114" name="BaseInc_72" descr="Calculator with solid fill" hidden="1">
          <a:extLst>
            <a:ext uri="{FF2B5EF4-FFF2-40B4-BE49-F238E27FC236}">
              <a16:creationId xmlns:a16="http://schemas.microsoft.com/office/drawing/2014/main" id="{00000000-0008-0000-0600-0000E217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6134" name="BaseInc_72" descr="Calculator with solid fill" hidden="1">
          <a:extLst>
            <a:ext uri="{FF2B5EF4-FFF2-40B4-BE49-F238E27FC236}">
              <a16:creationId xmlns:a16="http://schemas.microsoft.com/office/drawing/2014/main" id="{00000000-0008-0000-0600-0000F617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673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6142" name="BaseInc_72" descr="Calculator with solid fill" hidden="1">
          <a:extLst>
            <a:ext uri="{FF2B5EF4-FFF2-40B4-BE49-F238E27FC236}">
              <a16:creationId xmlns:a16="http://schemas.microsoft.com/office/drawing/2014/main" id="{00000000-0008-0000-0600-0000FE17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6143" name="BaseInc_72" descr="Calculator with solid fill" hidden="1">
          <a:extLst>
            <a:ext uri="{FF2B5EF4-FFF2-40B4-BE49-F238E27FC236}">
              <a16:creationId xmlns:a16="http://schemas.microsoft.com/office/drawing/2014/main" id="{00000000-0008-0000-0600-0000FF17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38" name="BaseInc_72" descr="Calculator with solid fill" hidden="1">
          <a:extLst>
            <a:ext uri="{FF2B5EF4-FFF2-40B4-BE49-F238E27FC236}">
              <a16:creationId xmlns:a16="http://schemas.microsoft.com/office/drawing/2014/main" id="{00000000-0008-0000-0600-000076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59" name="BaseInc_72" descr="Calculator with solid fill" hidden="1">
          <a:extLst>
            <a:ext uri="{FF2B5EF4-FFF2-40B4-BE49-F238E27FC236}">
              <a16:creationId xmlns:a16="http://schemas.microsoft.com/office/drawing/2014/main" id="{00000000-0008-0000-0600-00008B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61" name="BaseInc_72" descr="Calculator with solid fill" hidden="1">
          <a:extLst>
            <a:ext uri="{FF2B5EF4-FFF2-40B4-BE49-F238E27FC236}">
              <a16:creationId xmlns:a16="http://schemas.microsoft.com/office/drawing/2014/main" id="{00000000-0008-0000-0600-00008D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62" name="BaseInc_72" descr="Calculator with solid fill" hidden="1">
          <a:extLst>
            <a:ext uri="{FF2B5EF4-FFF2-40B4-BE49-F238E27FC236}">
              <a16:creationId xmlns:a16="http://schemas.microsoft.com/office/drawing/2014/main" id="{00000000-0008-0000-0600-00008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63" name="BaseInc_72" descr="Calculator with solid fill" hidden="1">
          <a:extLst>
            <a:ext uri="{FF2B5EF4-FFF2-40B4-BE49-F238E27FC236}">
              <a16:creationId xmlns:a16="http://schemas.microsoft.com/office/drawing/2014/main" id="{00000000-0008-0000-0600-00008F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86" name="BaseInc_72" descr="Calculator with solid fill" hidden="1">
          <a:extLst>
            <a:ext uri="{FF2B5EF4-FFF2-40B4-BE49-F238E27FC236}">
              <a16:creationId xmlns:a16="http://schemas.microsoft.com/office/drawing/2014/main" id="{00000000-0008-0000-0600-0000A6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7192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88" name="BaseInc_72" descr="Calculator with solid fill" hidden="1">
          <a:extLst>
            <a:ext uri="{FF2B5EF4-FFF2-40B4-BE49-F238E27FC236}">
              <a16:creationId xmlns:a16="http://schemas.microsoft.com/office/drawing/2014/main" id="{00000000-0008-0000-0600-0000A8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89" name="BaseInc_72" descr="Calculator with solid fill" hidden="1">
          <a:extLst>
            <a:ext uri="{FF2B5EF4-FFF2-40B4-BE49-F238E27FC236}">
              <a16:creationId xmlns:a16="http://schemas.microsoft.com/office/drawing/2014/main" id="{00000000-0008-0000-0600-0000A9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290" name="BaseInc_72" descr="Calculator with solid fill" hidden="1">
          <a:extLst>
            <a:ext uri="{FF2B5EF4-FFF2-40B4-BE49-F238E27FC236}">
              <a16:creationId xmlns:a16="http://schemas.microsoft.com/office/drawing/2014/main" id="{00000000-0008-0000-0600-0000AA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05" name="BaseInc_72" descr="Calculator with solid fill" hidden="1">
          <a:extLst>
            <a:ext uri="{FF2B5EF4-FFF2-40B4-BE49-F238E27FC236}">
              <a16:creationId xmlns:a16="http://schemas.microsoft.com/office/drawing/2014/main" id="{00000000-0008-0000-0600-0000B9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673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09" name="BaseInc_72" descr="Calculator with solid fill" hidden="1">
          <a:extLst>
            <a:ext uri="{FF2B5EF4-FFF2-40B4-BE49-F238E27FC236}">
              <a16:creationId xmlns:a16="http://schemas.microsoft.com/office/drawing/2014/main" id="{00000000-0008-0000-0600-0000BD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10" name="BaseInc_72" descr="Calculator with solid fill" hidden="1">
          <a:extLst>
            <a:ext uri="{FF2B5EF4-FFF2-40B4-BE49-F238E27FC236}">
              <a16:creationId xmlns:a16="http://schemas.microsoft.com/office/drawing/2014/main" id="{00000000-0008-0000-0600-0000B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11" name="BaseInc_72" descr="Calculator with solid fill" hidden="1">
          <a:extLst>
            <a:ext uri="{FF2B5EF4-FFF2-40B4-BE49-F238E27FC236}">
              <a16:creationId xmlns:a16="http://schemas.microsoft.com/office/drawing/2014/main" id="{00000000-0008-0000-0600-0000BF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13" name="BaseInc_72" descr="Calculator with solid fill" hidden="1">
          <a:extLst>
            <a:ext uri="{FF2B5EF4-FFF2-40B4-BE49-F238E27FC236}">
              <a16:creationId xmlns:a16="http://schemas.microsoft.com/office/drawing/2014/main" id="{00000000-0008-0000-0600-0000C1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15" name="BaseInc_72" descr="Calculator with solid fill" hidden="1">
          <a:extLst>
            <a:ext uri="{FF2B5EF4-FFF2-40B4-BE49-F238E27FC236}">
              <a16:creationId xmlns:a16="http://schemas.microsoft.com/office/drawing/2014/main" id="{00000000-0008-0000-0600-0000C3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16" name="BaseInc_72" descr="Calculator with solid fill" hidden="1">
          <a:extLst>
            <a:ext uri="{FF2B5EF4-FFF2-40B4-BE49-F238E27FC236}">
              <a16:creationId xmlns:a16="http://schemas.microsoft.com/office/drawing/2014/main" id="{00000000-0008-0000-0600-0000C4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17" name="BaseInc_72" descr="Calculator with solid fill" hidden="1">
          <a:extLst>
            <a:ext uri="{FF2B5EF4-FFF2-40B4-BE49-F238E27FC236}">
              <a16:creationId xmlns:a16="http://schemas.microsoft.com/office/drawing/2014/main" id="{00000000-0008-0000-0600-0000C5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40" name="BaseInc_72" descr="Calculator with solid fill" hidden="1">
          <a:extLst>
            <a:ext uri="{FF2B5EF4-FFF2-40B4-BE49-F238E27FC236}">
              <a16:creationId xmlns:a16="http://schemas.microsoft.com/office/drawing/2014/main" id="{00000000-0008-0000-0600-0000DC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7192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42" name="BaseInc_72" descr="Calculator with solid fill" hidden="1">
          <a:extLst>
            <a:ext uri="{FF2B5EF4-FFF2-40B4-BE49-F238E27FC236}">
              <a16:creationId xmlns:a16="http://schemas.microsoft.com/office/drawing/2014/main" id="{00000000-0008-0000-0600-0000DE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43" name="BaseInc_72" descr="Calculator with solid fill" hidden="1">
          <a:extLst>
            <a:ext uri="{FF2B5EF4-FFF2-40B4-BE49-F238E27FC236}">
              <a16:creationId xmlns:a16="http://schemas.microsoft.com/office/drawing/2014/main" id="{00000000-0008-0000-0600-0000DF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21" name="BaseInc_72" descr="Calculator with solid fill" hidden="1">
          <a:extLst>
            <a:ext uri="{FF2B5EF4-FFF2-40B4-BE49-F238E27FC236}">
              <a16:creationId xmlns:a16="http://schemas.microsoft.com/office/drawing/2014/main" id="{00000000-0008-0000-0600-000021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41" name="BaseInc_72" descr="Calculator with solid fill" hidden="1">
          <a:extLst>
            <a:ext uri="{FF2B5EF4-FFF2-40B4-BE49-F238E27FC236}">
              <a16:creationId xmlns:a16="http://schemas.microsoft.com/office/drawing/2014/main" id="{00000000-0008-0000-0600-000035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673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49" name="BaseInc_72" descr="Calculator with solid fill" hidden="1">
          <a:extLst>
            <a:ext uri="{FF2B5EF4-FFF2-40B4-BE49-F238E27FC236}">
              <a16:creationId xmlns:a16="http://schemas.microsoft.com/office/drawing/2014/main" id="{00000000-0008-0000-0600-00003D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50" name="BaseInc_72" descr="Calculator with solid fill" hidden="1">
          <a:extLst>
            <a:ext uri="{FF2B5EF4-FFF2-40B4-BE49-F238E27FC236}">
              <a16:creationId xmlns:a16="http://schemas.microsoft.com/office/drawing/2014/main" id="{00000000-0008-0000-0600-00003E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51" name="BaseInc_72" descr="Calculator with solid fill" hidden="1">
          <a:extLst>
            <a:ext uri="{FF2B5EF4-FFF2-40B4-BE49-F238E27FC236}">
              <a16:creationId xmlns:a16="http://schemas.microsoft.com/office/drawing/2014/main" id="{00000000-0008-0000-0600-00003F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67" name="BaseInc_72" descr="Calculator with solid fill" hidden="1">
          <a:extLst>
            <a:ext uri="{FF2B5EF4-FFF2-40B4-BE49-F238E27FC236}">
              <a16:creationId xmlns:a16="http://schemas.microsoft.com/office/drawing/2014/main" id="{00000000-0008-0000-0600-0000F7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69" name="BaseInc_72" descr="Calculator with solid fill" hidden="1">
          <a:extLst>
            <a:ext uri="{FF2B5EF4-FFF2-40B4-BE49-F238E27FC236}">
              <a16:creationId xmlns:a16="http://schemas.microsoft.com/office/drawing/2014/main" id="{00000000-0008-0000-0600-0000F9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70" name="BaseInc_72" descr="Calculator with solid fill" hidden="1">
          <a:extLst>
            <a:ext uri="{FF2B5EF4-FFF2-40B4-BE49-F238E27FC236}">
              <a16:creationId xmlns:a16="http://schemas.microsoft.com/office/drawing/2014/main" id="{00000000-0008-0000-0600-0000FA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72" name="BaseInc_72" descr="Calculator with solid fill" hidden="1">
          <a:extLst>
            <a:ext uri="{FF2B5EF4-FFF2-40B4-BE49-F238E27FC236}">
              <a16:creationId xmlns:a16="http://schemas.microsoft.com/office/drawing/2014/main" id="{00000000-0008-0000-0600-0000FC1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396" name="BaseInc_72" descr="Calculator with solid fill" hidden="1">
          <a:extLst>
            <a:ext uri="{FF2B5EF4-FFF2-40B4-BE49-F238E27FC236}">
              <a16:creationId xmlns:a16="http://schemas.microsoft.com/office/drawing/2014/main" id="{00000000-0008-0000-0600-000014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7192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401" name="BaseInc_72" descr="Calculator with solid fill" hidden="1">
          <a:extLst>
            <a:ext uri="{FF2B5EF4-FFF2-40B4-BE49-F238E27FC236}">
              <a16:creationId xmlns:a16="http://schemas.microsoft.com/office/drawing/2014/main" id="{00000000-0008-0000-0600-000019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402" name="BaseInc_72" descr="Calculator with solid fill" hidden="1">
          <a:extLst>
            <a:ext uri="{FF2B5EF4-FFF2-40B4-BE49-F238E27FC236}">
              <a16:creationId xmlns:a16="http://schemas.microsoft.com/office/drawing/2014/main" id="{00000000-0008-0000-0600-00001A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403" name="BaseInc_72" descr="Calculator with solid fill" hidden="1">
          <a:extLst>
            <a:ext uri="{FF2B5EF4-FFF2-40B4-BE49-F238E27FC236}">
              <a16:creationId xmlns:a16="http://schemas.microsoft.com/office/drawing/2014/main" id="{00000000-0008-0000-0600-00001B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67" name="BaseInc_72" descr="Calculator with solid fill" hidden="1">
          <a:extLst>
            <a:ext uri="{FF2B5EF4-FFF2-40B4-BE49-F238E27FC236}">
              <a16:creationId xmlns:a16="http://schemas.microsoft.com/office/drawing/2014/main" id="{00000000-0008-0000-0600-00004F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673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75" name="BaseInc_72" descr="Calculator with solid fill" hidden="1">
          <a:extLst>
            <a:ext uri="{FF2B5EF4-FFF2-40B4-BE49-F238E27FC236}">
              <a16:creationId xmlns:a16="http://schemas.microsoft.com/office/drawing/2014/main" id="{00000000-0008-0000-0600-000057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76" name="BaseInc_72" descr="Calculator with solid fill" hidden="1">
          <a:extLst>
            <a:ext uri="{FF2B5EF4-FFF2-40B4-BE49-F238E27FC236}">
              <a16:creationId xmlns:a16="http://schemas.microsoft.com/office/drawing/2014/main" id="{00000000-0008-0000-0600-000058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77" name="BaseInc_72" descr="Calculator with solid fill" hidden="1">
          <a:extLst>
            <a:ext uri="{FF2B5EF4-FFF2-40B4-BE49-F238E27FC236}">
              <a16:creationId xmlns:a16="http://schemas.microsoft.com/office/drawing/2014/main" id="{00000000-0008-0000-0600-000059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422" name="BaseInc_72" descr="Calculator with solid fill" hidden="1">
          <a:extLst>
            <a:ext uri="{FF2B5EF4-FFF2-40B4-BE49-F238E27FC236}">
              <a16:creationId xmlns:a16="http://schemas.microsoft.com/office/drawing/2014/main" id="{00000000-0008-0000-0600-00002E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424" name="BaseInc_72" descr="Calculator with solid fill" hidden="1">
          <a:extLst>
            <a:ext uri="{FF2B5EF4-FFF2-40B4-BE49-F238E27FC236}">
              <a16:creationId xmlns:a16="http://schemas.microsoft.com/office/drawing/2014/main" id="{00000000-0008-0000-0600-000030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425" name="BaseInc_72" descr="Calculator with solid fill" hidden="1">
          <a:extLst>
            <a:ext uri="{FF2B5EF4-FFF2-40B4-BE49-F238E27FC236}">
              <a16:creationId xmlns:a16="http://schemas.microsoft.com/office/drawing/2014/main" id="{00000000-0008-0000-0600-000031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5426" name="BaseInc_72" descr="Calculator with solid fill" hidden="1">
          <a:extLst>
            <a:ext uri="{FF2B5EF4-FFF2-40B4-BE49-F238E27FC236}">
              <a16:creationId xmlns:a16="http://schemas.microsoft.com/office/drawing/2014/main" id="{00000000-0008-0000-0600-000032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5287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90" name="BaseInc_72" descr="Calculator with solid fill" hidden="1">
          <a:extLst>
            <a:ext uri="{FF2B5EF4-FFF2-40B4-BE49-F238E27FC236}">
              <a16:creationId xmlns:a16="http://schemas.microsoft.com/office/drawing/2014/main" id="{00000000-0008-0000-0600-000066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3971925"/>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92" name="BaseInc_72" descr="Calculator with solid fill" hidden="1">
          <a:extLst>
            <a:ext uri="{FF2B5EF4-FFF2-40B4-BE49-F238E27FC236}">
              <a16:creationId xmlns:a16="http://schemas.microsoft.com/office/drawing/2014/main" id="{00000000-0008-0000-0600-000068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93" name="BaseInc_72" descr="Calculator with solid fill" hidden="1">
          <a:extLst>
            <a:ext uri="{FF2B5EF4-FFF2-40B4-BE49-F238E27FC236}">
              <a16:creationId xmlns:a16="http://schemas.microsoft.com/office/drawing/2014/main" id="{00000000-0008-0000-0600-000069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94" name="BaseInc_72" descr="Calculator with solid fill" hidden="1">
          <a:extLst>
            <a:ext uri="{FF2B5EF4-FFF2-40B4-BE49-F238E27FC236}">
              <a16:creationId xmlns:a16="http://schemas.microsoft.com/office/drawing/2014/main" id="{00000000-0008-0000-0600-00006A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48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14" name="BaseInc_72" descr="Calculator with solid fill" hidden="1">
          <a:extLst>
            <a:ext uri="{FF2B5EF4-FFF2-40B4-BE49-F238E27FC236}">
              <a16:creationId xmlns:a16="http://schemas.microsoft.com/office/drawing/2014/main" id="{00000000-0008-0000-0600-00007E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50673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22" name="BaseInc_72" descr="Calculator with solid fill" hidden="1">
          <a:extLst>
            <a:ext uri="{FF2B5EF4-FFF2-40B4-BE49-F238E27FC236}">
              <a16:creationId xmlns:a16="http://schemas.microsoft.com/office/drawing/2014/main" id="{00000000-0008-0000-0600-000086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23" name="BaseInc_72" descr="Calculator with solid fill" hidden="1">
          <a:extLst>
            <a:ext uri="{FF2B5EF4-FFF2-40B4-BE49-F238E27FC236}">
              <a16:creationId xmlns:a16="http://schemas.microsoft.com/office/drawing/2014/main" id="{00000000-0008-0000-0600-000087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24" name="BaseInc_72" descr="Calculator with solid fill" hidden="1">
          <a:extLst>
            <a:ext uri="{FF2B5EF4-FFF2-40B4-BE49-F238E27FC236}">
              <a16:creationId xmlns:a16="http://schemas.microsoft.com/office/drawing/2014/main" id="{00000000-0008-0000-0600-000088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44" name="BaseInc_72" descr="Calculator with solid fill" hidden="1">
          <a:extLst>
            <a:ext uri="{FF2B5EF4-FFF2-40B4-BE49-F238E27FC236}">
              <a16:creationId xmlns:a16="http://schemas.microsoft.com/office/drawing/2014/main" id="{00000000-0008-0000-0600-00009C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46" name="BaseInc_72" descr="Calculator with solid fill" hidden="1">
          <a:extLst>
            <a:ext uri="{FF2B5EF4-FFF2-40B4-BE49-F238E27FC236}">
              <a16:creationId xmlns:a16="http://schemas.microsoft.com/office/drawing/2014/main" id="{00000000-0008-0000-0600-00009E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47" name="BaseInc_72" descr="Calculator with solid fill" hidden="1">
          <a:extLst>
            <a:ext uri="{FF2B5EF4-FFF2-40B4-BE49-F238E27FC236}">
              <a16:creationId xmlns:a16="http://schemas.microsoft.com/office/drawing/2014/main" id="{00000000-0008-0000-0600-00009F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48" name="BaseInc_72" descr="Calculator with solid fill" hidden="1">
          <a:extLst>
            <a:ext uri="{FF2B5EF4-FFF2-40B4-BE49-F238E27FC236}">
              <a16:creationId xmlns:a16="http://schemas.microsoft.com/office/drawing/2014/main" id="{00000000-0008-0000-0600-0000A0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68" name="BaseInc_72" descr="Calculator with solid fill" hidden="1">
          <a:extLst>
            <a:ext uri="{FF2B5EF4-FFF2-40B4-BE49-F238E27FC236}">
              <a16:creationId xmlns:a16="http://schemas.microsoft.com/office/drawing/2014/main" id="{00000000-0008-0000-0600-0000B4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70" name="BaseInc_72" descr="Calculator with solid fill" hidden="1">
          <a:extLst>
            <a:ext uri="{FF2B5EF4-FFF2-40B4-BE49-F238E27FC236}">
              <a16:creationId xmlns:a16="http://schemas.microsoft.com/office/drawing/2014/main" id="{00000000-0008-0000-0600-0000B6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71" name="BaseInc_72" descr="Calculator with solid fill" hidden="1">
          <a:extLst>
            <a:ext uri="{FF2B5EF4-FFF2-40B4-BE49-F238E27FC236}">
              <a16:creationId xmlns:a16="http://schemas.microsoft.com/office/drawing/2014/main" id="{00000000-0008-0000-0600-0000B7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72" name="BaseInc_72" descr="Calculator with solid fill" hidden="1">
          <a:extLst>
            <a:ext uri="{FF2B5EF4-FFF2-40B4-BE49-F238E27FC236}">
              <a16:creationId xmlns:a16="http://schemas.microsoft.com/office/drawing/2014/main" id="{00000000-0008-0000-0600-0000B8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92" name="BaseInc_72" descr="Calculator with solid fill" hidden="1">
          <a:extLst>
            <a:ext uri="{FF2B5EF4-FFF2-40B4-BE49-F238E27FC236}">
              <a16:creationId xmlns:a16="http://schemas.microsoft.com/office/drawing/2014/main" id="{00000000-0008-0000-0600-0000CC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94" name="BaseInc_72" descr="Calculator with solid fill" hidden="1">
          <a:extLst>
            <a:ext uri="{FF2B5EF4-FFF2-40B4-BE49-F238E27FC236}">
              <a16:creationId xmlns:a16="http://schemas.microsoft.com/office/drawing/2014/main" id="{00000000-0008-0000-0600-0000CE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95" name="BaseInc_72" descr="Calculator with solid fill" hidden="1">
          <a:extLst>
            <a:ext uri="{FF2B5EF4-FFF2-40B4-BE49-F238E27FC236}">
              <a16:creationId xmlns:a16="http://schemas.microsoft.com/office/drawing/2014/main" id="{00000000-0008-0000-0600-0000CF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496" name="BaseInc_72" descr="Calculator with solid fill" hidden="1">
          <a:extLst>
            <a:ext uri="{FF2B5EF4-FFF2-40B4-BE49-F238E27FC236}">
              <a16:creationId xmlns:a16="http://schemas.microsoft.com/office/drawing/2014/main" id="{00000000-0008-0000-0600-0000D0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5750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516" name="BaseInc_72" descr="Calculator with solid fill" hidden="1">
          <a:extLst>
            <a:ext uri="{FF2B5EF4-FFF2-40B4-BE49-F238E27FC236}">
              <a16:creationId xmlns:a16="http://schemas.microsoft.com/office/drawing/2014/main" id="{00000000-0008-0000-0600-0000E4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801225" y="2876550"/>
          <a:ext cx="180000" cy="180000"/>
        </a:xfrm>
        <a:prstGeom prst="rect">
          <a:avLst/>
        </a:prstGeom>
      </xdr:spPr>
    </xdr:pic>
    <xdr:clientData/>
  </xdr:oneCellAnchor>
  <xdr:oneCellAnchor>
    <xdr:from>
      <xdr:col>9</xdr:col>
      <xdr:colOff>47967</xdr:colOff>
      <xdr:row>83</xdr:row>
      <xdr:rowOff>28576</xdr:rowOff>
    </xdr:from>
    <xdr:ext cx="177800" cy="171450"/>
    <xdr:pic macro="[0]!Goto_Page">
      <xdr:nvPicPr>
        <xdr:cNvPr id="80" name="InvProp_84" hidden="1">
          <a:extLst>
            <a:ext uri="{FF2B5EF4-FFF2-40B4-BE49-F238E27FC236}">
              <a16:creationId xmlns:a16="http://schemas.microsoft.com/office/drawing/2014/main" id="{00000000-0008-0000-0600-000050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79372" y="4693921"/>
          <a:ext cx="177800" cy="1714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76200</xdr:colOff>
      <xdr:row>83</xdr:row>
      <xdr:rowOff>47625</xdr:rowOff>
    </xdr:from>
    <xdr:ext cx="115200" cy="115200"/>
    <xdr:pic macro="[0]!Delete_Item">
      <xdr:nvPicPr>
        <xdr:cNvPr id="140320" name="Del_Inc_84" descr="Close with solid fill">
          <a:extLst>
            <a:ext uri="{FF2B5EF4-FFF2-40B4-BE49-F238E27FC236}">
              <a16:creationId xmlns:a16="http://schemas.microsoft.com/office/drawing/2014/main" id="{00000000-0008-0000-0600-0000202402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28600" y="4716780"/>
          <a:ext cx="115200" cy="115200"/>
        </a:xfrm>
        <a:prstGeom prst="rect">
          <a:avLst/>
        </a:prstGeom>
      </xdr:spPr>
    </xdr:pic>
    <xdr:clientData/>
  </xdr:oneCellAnchor>
  <xdr:oneCellAnchor>
    <xdr:from>
      <xdr:col>6</xdr:col>
      <xdr:colOff>7619</xdr:colOff>
      <xdr:row>86</xdr:row>
      <xdr:rowOff>167641</xdr:rowOff>
    </xdr:from>
    <xdr:ext cx="3465195" cy="704849"/>
    <xdr:sp macro="[0]!Message_LIAB_Click" textlink="">
      <xdr:nvSpPr>
        <xdr:cNvPr id="29" name="LIAB_Tooltip" hidden="1">
          <a:extLst>
            <a:ext uri="{FF2B5EF4-FFF2-40B4-BE49-F238E27FC236}">
              <a16:creationId xmlns:a16="http://schemas.microsoft.com/office/drawing/2014/main" id="{00000000-0008-0000-0600-00001D000000}"/>
            </a:ext>
          </a:extLst>
        </xdr:cNvPr>
        <xdr:cNvSpPr txBox="1"/>
      </xdr:nvSpPr>
      <xdr:spPr>
        <a:xfrm>
          <a:off x="3941444" y="5063491"/>
          <a:ext cx="3465195" cy="704849"/>
        </a:xfrm>
        <a:prstGeom prst="rect">
          <a:avLst/>
        </a:prstGeom>
        <a:solidFill>
          <a:srgbClr val="FBFCCE"/>
        </a:solidFill>
        <a:ln>
          <a:solidFill>
            <a:schemeClr val="bg2"/>
          </a:solidFill>
        </a:ln>
      </xdr:spPr>
      <xdr:style>
        <a:lnRef idx="0">
          <a:scrgbClr r="0" g="0" b="0"/>
        </a:lnRef>
        <a:fillRef idx="0">
          <a:scrgbClr r="0" g="0" b="0"/>
        </a:fillRef>
        <a:effectRef idx="0">
          <a:scrgbClr r="0" g="0" b="0"/>
        </a:effectRef>
        <a:fontRef idx="minor">
          <a:schemeClr val="tx1"/>
        </a:fontRef>
      </xdr:style>
      <xdr:txBody>
        <a:bodyPr vertOverflow="clip" horzOverflow="clip" wrap="square" tIns="36000" bIns="36000" rtlCol="0" anchor="t">
          <a:noAutofit/>
        </a:bodyPr>
        <a:lstStyle/>
        <a:p>
          <a:r>
            <a:rPr lang="en-AU" sz="1000"/>
            <a:t>ANZ allows gearing benefits on loans used to acquire or refinance residential properties that are earning rental income. Business lending and Home Loans in a Company Name can not be marked as deductible.</a:t>
          </a:r>
        </a:p>
      </xdr:txBody>
    </xdr:sp>
    <xdr:clientData/>
  </xdr:oneCellAnchor>
  <xdr:twoCellAnchor>
    <xdr:from>
      <xdr:col>5</xdr:col>
      <xdr:colOff>721995</xdr:colOff>
      <xdr:row>92</xdr:row>
      <xdr:rowOff>5715</xdr:rowOff>
    </xdr:from>
    <xdr:to>
      <xdr:col>5</xdr:col>
      <xdr:colOff>933120</xdr:colOff>
      <xdr:row>92</xdr:row>
      <xdr:rowOff>200025</xdr:rowOff>
    </xdr:to>
    <xdr:pic macro="[0]!Info_btn_LIAB_Click">
      <xdr:nvPicPr>
        <xdr:cNvPr id="5" name="Info_btn_LIAB" descr="See the source image">
          <a:extLst>
            <a:ext uri="{FF2B5EF4-FFF2-40B4-BE49-F238E27FC236}">
              <a16:creationId xmlns:a16="http://schemas.microsoft.com/office/drawing/2014/main" id="{00000000-0008-0000-0600-000005000000}"/>
            </a:ext>
          </a:extLst>
        </xdr:cNvPr>
        <xdr:cNvPicPr preferRelativeResize="0">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12845" y="5815965"/>
          <a:ext cx="211125" cy="1943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13334</xdr:colOff>
      <xdr:row>134</xdr:row>
      <xdr:rowOff>85726</xdr:rowOff>
    </xdr:from>
    <xdr:ext cx="5960745" cy="758190"/>
    <xdr:sp macro="[0]!Message_LOAN_Click" textlink="">
      <xdr:nvSpPr>
        <xdr:cNvPr id="6" name="LOAN_Tooltip" hidden="1">
          <a:extLst>
            <a:ext uri="{FF2B5EF4-FFF2-40B4-BE49-F238E27FC236}">
              <a16:creationId xmlns:a16="http://schemas.microsoft.com/office/drawing/2014/main" id="{00000000-0008-0000-0600-000006000000}"/>
            </a:ext>
          </a:extLst>
        </xdr:cNvPr>
        <xdr:cNvSpPr txBox="1"/>
      </xdr:nvSpPr>
      <xdr:spPr>
        <a:xfrm>
          <a:off x="3947159" y="9534526"/>
          <a:ext cx="5960745" cy="758190"/>
        </a:xfrm>
        <a:prstGeom prst="rect">
          <a:avLst/>
        </a:prstGeom>
        <a:solidFill>
          <a:srgbClr val="FBFCCE"/>
        </a:solidFill>
        <a:ln>
          <a:solidFill>
            <a:schemeClr val="bg2"/>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000"/>
            <a:t>ANZ allows gearing benefits to be applied to funds lent to acquire or refinance residential properties that are earning rental income. Generally cash out is not acceptable unless it is used in a subsequent application to facilitate an investment property purchase.</a:t>
          </a:r>
        </a:p>
        <a:p>
          <a:r>
            <a:rPr lang="en-AU" sz="1000"/>
            <a:t>Home Loans in a Company Name can not be marked as deductible.</a:t>
          </a:r>
        </a:p>
      </xdr:txBody>
    </xdr:sp>
    <xdr:clientData/>
  </xdr:oneCellAnchor>
  <xdr:oneCellAnchor>
    <xdr:from>
      <xdr:col>14</xdr:col>
      <xdr:colOff>0</xdr:colOff>
      <xdr:row>71</xdr:row>
      <xdr:rowOff>0</xdr:rowOff>
    </xdr:from>
    <xdr:ext cx="180000" cy="180000"/>
    <xdr:pic macro="[0]!BaseIncomeCalc">
      <xdr:nvPicPr>
        <xdr:cNvPr id="19" name="BaseInc_72" descr="Calculator with solid fill" hidden="1">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782300" y="2762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25" name="BaseInc_72" descr="Calculator with solid fill" hidden="1">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782300" y="2762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40" name="BaseInc_72" descr="Calculator with solid fill" hidden="1">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782300" y="2762250"/>
          <a:ext cx="180000" cy="180000"/>
        </a:xfrm>
        <a:prstGeom prst="rect">
          <a:avLst/>
        </a:prstGeom>
      </xdr:spPr>
    </xdr:pic>
    <xdr:clientData/>
  </xdr:oneCellAnchor>
  <xdr:oneCellAnchor>
    <xdr:from>
      <xdr:col>14</xdr:col>
      <xdr:colOff>0</xdr:colOff>
      <xdr:row>71</xdr:row>
      <xdr:rowOff>0</xdr:rowOff>
    </xdr:from>
    <xdr:ext cx="180000" cy="180000"/>
    <xdr:pic macro="[0]!BaseIncomeCalc">
      <xdr:nvPicPr>
        <xdr:cNvPr id="140323" name="BaseInc_72" descr="Calculator with solid fill" hidden="1">
          <a:extLst>
            <a:ext uri="{FF2B5EF4-FFF2-40B4-BE49-F238E27FC236}">
              <a16:creationId xmlns:a16="http://schemas.microsoft.com/office/drawing/2014/main" id="{00000000-0008-0000-0600-0000232402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782300" y="2777490"/>
          <a:ext cx="180000" cy="180000"/>
        </a:xfrm>
        <a:prstGeom prst="rect">
          <a:avLst/>
        </a:prstGeom>
      </xdr:spPr>
    </xdr:pic>
    <xdr:clientData/>
  </xdr:oneCellAnchor>
  <xdr:oneCellAnchor>
    <xdr:from>
      <xdr:col>14</xdr:col>
      <xdr:colOff>0</xdr:colOff>
      <xdr:row>35</xdr:row>
      <xdr:rowOff>0</xdr:rowOff>
    </xdr:from>
    <xdr:ext cx="180000" cy="180000"/>
    <xdr:pic macro="[0]!BaseIncomeCalc">
      <xdr:nvPicPr>
        <xdr:cNvPr id="42" name="BaseInc_36" descr="Calculator with solid fill" hidden="1">
          <a:extLst>
            <a:ext uri="{FF2B5EF4-FFF2-40B4-BE49-F238E27FC236}">
              <a16:creationId xmlns:a16="http://schemas.microsoft.com/office/drawing/2014/main" id="{00000000-0008-0000-0600-00002A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92368" y="2767263"/>
          <a:ext cx="180000" cy="180000"/>
        </a:xfrm>
        <a:prstGeom prst="rect">
          <a:avLst/>
        </a:prstGeom>
      </xdr:spPr>
    </xdr:pic>
    <xdr:clientData/>
  </xdr:oneCellAnchor>
  <xdr:oneCellAnchor>
    <xdr:from>
      <xdr:col>14</xdr:col>
      <xdr:colOff>0</xdr:colOff>
      <xdr:row>35</xdr:row>
      <xdr:rowOff>0</xdr:rowOff>
    </xdr:from>
    <xdr:ext cx="180000" cy="180000"/>
    <xdr:pic macro="[0]!BaseIncomeCalc">
      <xdr:nvPicPr>
        <xdr:cNvPr id="43" name="BaseInc_36" descr="Calculator with solid fill" hidden="1">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92368" y="2767263"/>
          <a:ext cx="180000" cy="180000"/>
        </a:xfrm>
        <a:prstGeom prst="rect">
          <a:avLst/>
        </a:prstGeom>
      </xdr:spPr>
    </xdr:pic>
    <xdr:clientData/>
  </xdr:oneCellAnchor>
  <xdr:oneCellAnchor>
    <xdr:from>
      <xdr:col>14</xdr:col>
      <xdr:colOff>0</xdr:colOff>
      <xdr:row>35</xdr:row>
      <xdr:rowOff>0</xdr:rowOff>
    </xdr:from>
    <xdr:ext cx="180000" cy="180000"/>
    <xdr:pic macro="[0]!BaseIncomeCalc">
      <xdr:nvPicPr>
        <xdr:cNvPr id="44" name="BaseInc_36" descr="Calculator with solid fill" hidden="1">
          <a:extLst>
            <a:ext uri="{FF2B5EF4-FFF2-40B4-BE49-F238E27FC236}">
              <a16:creationId xmlns:a16="http://schemas.microsoft.com/office/drawing/2014/main" id="{00000000-0008-0000-0600-00002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92368" y="2767263"/>
          <a:ext cx="180000" cy="18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5</xdr:col>
          <xdr:colOff>330200</xdr:colOff>
          <xdr:row>44</xdr:row>
          <xdr:rowOff>25400</xdr:rowOff>
        </xdr:from>
        <xdr:to>
          <xdr:col>5</xdr:col>
          <xdr:colOff>635000</xdr:colOff>
          <xdr:row>44</xdr:row>
          <xdr:rowOff>177800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6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45</xdr:row>
          <xdr:rowOff>25400</xdr:rowOff>
        </xdr:from>
        <xdr:to>
          <xdr:col>5</xdr:col>
          <xdr:colOff>635000</xdr:colOff>
          <xdr:row>45</xdr:row>
          <xdr:rowOff>177800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6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46</xdr:row>
          <xdr:rowOff>25400</xdr:rowOff>
        </xdr:from>
        <xdr:to>
          <xdr:col>5</xdr:col>
          <xdr:colOff>635000</xdr:colOff>
          <xdr:row>52</xdr:row>
          <xdr:rowOff>152400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6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43</xdr:row>
          <xdr:rowOff>25400</xdr:rowOff>
        </xdr:from>
        <xdr:to>
          <xdr:col>8</xdr:col>
          <xdr:colOff>711200</xdr:colOff>
          <xdr:row>43</xdr:row>
          <xdr:rowOff>177800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6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44</xdr:row>
          <xdr:rowOff>25400</xdr:rowOff>
        </xdr:from>
        <xdr:to>
          <xdr:col>8</xdr:col>
          <xdr:colOff>711200</xdr:colOff>
          <xdr:row>44</xdr:row>
          <xdr:rowOff>177800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6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45</xdr:row>
          <xdr:rowOff>25400</xdr:rowOff>
        </xdr:from>
        <xdr:to>
          <xdr:col>8</xdr:col>
          <xdr:colOff>711200</xdr:colOff>
          <xdr:row>45</xdr:row>
          <xdr:rowOff>177800</xdr:rowOff>
        </xdr:to>
        <xdr:sp macro="" textlink="">
          <xdr:nvSpPr>
            <xdr:cNvPr id="47" name="Check Box 85" hidden="1">
              <a:extLst>
                <a:ext uri="{63B3BB69-23CF-44E3-9099-C40C66FF867C}">
                  <a14:compatExt spid="_x0000_s5205"/>
                </a:ext>
                <a:ext uri="{FF2B5EF4-FFF2-40B4-BE49-F238E27FC236}">
                  <a16:creationId xmlns:a16="http://schemas.microsoft.com/office/drawing/2014/main" id="{00000000-0008-0000-0600-00002F0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46</xdr:row>
          <xdr:rowOff>25400</xdr:rowOff>
        </xdr:from>
        <xdr:to>
          <xdr:col>8</xdr:col>
          <xdr:colOff>711200</xdr:colOff>
          <xdr:row>52</xdr:row>
          <xdr:rowOff>152400</xdr:rowOff>
        </xdr:to>
        <xdr:sp macro="" textlink="">
          <xdr:nvSpPr>
            <xdr:cNvPr id="48" name="Check Box 86" hidden="1">
              <a:extLst>
                <a:ext uri="{63B3BB69-23CF-44E3-9099-C40C66FF867C}">
                  <a14:compatExt spid="_x0000_s5206"/>
                </a:ext>
                <a:ext uri="{FF2B5EF4-FFF2-40B4-BE49-F238E27FC236}">
                  <a16:creationId xmlns:a16="http://schemas.microsoft.com/office/drawing/2014/main" id="{00000000-0008-0000-0600-0000300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43</xdr:row>
      <xdr:rowOff>47625</xdr:rowOff>
    </xdr:from>
    <xdr:ext cx="115200" cy="115200"/>
    <xdr:pic macro="[0]!Delete_Item">
      <xdr:nvPicPr>
        <xdr:cNvPr id="5376" name="Del_Emp_44" descr="Close with solid fill">
          <a:extLst>
            <a:ext uri="{FF2B5EF4-FFF2-40B4-BE49-F238E27FC236}">
              <a16:creationId xmlns:a16="http://schemas.microsoft.com/office/drawing/2014/main" id="{00000000-0008-0000-0600-000000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9884" y="2814888"/>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279400</xdr:colOff>
          <xdr:row>46</xdr:row>
          <xdr:rowOff>25400</xdr:rowOff>
        </xdr:from>
        <xdr:to>
          <xdr:col>12</xdr:col>
          <xdr:colOff>584200</xdr:colOff>
          <xdr:row>52</xdr:row>
          <xdr:rowOff>152400</xdr:rowOff>
        </xdr:to>
        <xdr:sp macro="" textlink="">
          <xdr:nvSpPr>
            <xdr:cNvPr id="5207" name="Check Box 87" hidden="1">
              <a:extLst>
                <a:ext uri="{63B3BB69-23CF-44E3-9099-C40C66FF867C}">
                  <a14:compatExt spid="_x0000_s5207"/>
                </a:ext>
                <a:ext uri="{FF2B5EF4-FFF2-40B4-BE49-F238E27FC236}">
                  <a16:creationId xmlns:a16="http://schemas.microsoft.com/office/drawing/2014/main" id="{00000000-0008-0000-0600-00005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6</xdr:col>
      <xdr:colOff>19050</xdr:colOff>
      <xdr:row>43</xdr:row>
      <xdr:rowOff>28575</xdr:rowOff>
    </xdr:from>
    <xdr:ext cx="171450" cy="171450"/>
    <xdr:pic macro="[0]!Goto_Page">
      <xdr:nvPicPr>
        <xdr:cNvPr id="5377" name="SalCred_44" descr="Credit card with solid fill" hidden="1">
          <a:extLst>
            <a:ext uri="{FF2B5EF4-FFF2-40B4-BE49-F238E27FC236}">
              <a16:creationId xmlns:a16="http://schemas.microsoft.com/office/drawing/2014/main" id="{00000000-0008-0000-0600-0000011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581734" y="2795838"/>
          <a:ext cx="171450" cy="171450"/>
        </a:xfrm>
        <a:prstGeom prst="rect">
          <a:avLst/>
        </a:prstGeom>
      </xdr:spPr>
    </xdr:pic>
    <xdr:clientData/>
  </xdr:oneCellAnchor>
  <xdr:oneCellAnchor>
    <xdr:from>
      <xdr:col>13</xdr:col>
      <xdr:colOff>0</xdr:colOff>
      <xdr:row>43</xdr:row>
      <xdr:rowOff>19050</xdr:rowOff>
    </xdr:from>
    <xdr:ext cx="180000" cy="180000"/>
    <xdr:pic macro="[0]!Goto_Page">
      <xdr:nvPicPr>
        <xdr:cNvPr id="5378" name="BaseInc_44" descr="Calculator with solid fill" hidden="1">
          <a:extLst>
            <a:ext uri="{FF2B5EF4-FFF2-40B4-BE49-F238E27FC236}">
              <a16:creationId xmlns:a16="http://schemas.microsoft.com/office/drawing/2014/main" id="{00000000-0008-0000-0600-000002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30368" y="2786313"/>
          <a:ext cx="180000" cy="180000"/>
        </a:xfrm>
        <a:prstGeom prst="rect">
          <a:avLst/>
        </a:prstGeom>
      </xdr:spPr>
    </xdr:pic>
    <xdr:clientData/>
  </xdr:oneCellAnchor>
  <xdr:oneCellAnchor>
    <xdr:from>
      <xdr:col>3</xdr:col>
      <xdr:colOff>1200150</xdr:colOff>
      <xdr:row>48</xdr:row>
      <xdr:rowOff>57150</xdr:rowOff>
    </xdr:from>
    <xdr:ext cx="115200" cy="115200"/>
    <xdr:pic macro="[0]!Delete_addback">
      <xdr:nvPicPr>
        <xdr:cNvPr id="5379" name="Del_Add_49" descr="Close with solid fill" hidden="1">
          <a:extLst>
            <a:ext uri="{FF2B5EF4-FFF2-40B4-BE49-F238E27FC236}">
              <a16:creationId xmlns:a16="http://schemas.microsoft.com/office/drawing/2014/main" id="{00000000-0008-0000-0600-000003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4466" y="3408947"/>
          <a:ext cx="115200" cy="115200"/>
        </a:xfrm>
        <a:prstGeom prst="rect">
          <a:avLst/>
        </a:prstGeom>
      </xdr:spPr>
    </xdr:pic>
    <xdr:clientData/>
  </xdr:oneCellAnchor>
  <xdr:oneCellAnchor>
    <xdr:from>
      <xdr:col>3</xdr:col>
      <xdr:colOff>1200150</xdr:colOff>
      <xdr:row>49</xdr:row>
      <xdr:rowOff>66675</xdr:rowOff>
    </xdr:from>
    <xdr:ext cx="115200" cy="115200"/>
    <xdr:pic macro="[0]!Delete_addback">
      <xdr:nvPicPr>
        <xdr:cNvPr id="5380" name="Del_Add_50" descr="Close with solid fill" hidden="1">
          <a:extLst>
            <a:ext uri="{FF2B5EF4-FFF2-40B4-BE49-F238E27FC236}">
              <a16:creationId xmlns:a16="http://schemas.microsoft.com/office/drawing/2014/main" id="{00000000-0008-0000-0600-000004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4466" y="3408947"/>
          <a:ext cx="115200" cy="115200"/>
        </a:xfrm>
        <a:prstGeom prst="rect">
          <a:avLst/>
        </a:prstGeom>
      </xdr:spPr>
    </xdr:pic>
    <xdr:clientData/>
  </xdr:oneCellAnchor>
  <xdr:oneCellAnchor>
    <xdr:from>
      <xdr:col>3</xdr:col>
      <xdr:colOff>1200150</xdr:colOff>
      <xdr:row>50</xdr:row>
      <xdr:rowOff>57150</xdr:rowOff>
    </xdr:from>
    <xdr:ext cx="115200" cy="115200"/>
    <xdr:pic macro="[0]!Delete_addback">
      <xdr:nvPicPr>
        <xdr:cNvPr id="5381" name="Del_Add_51" descr="Close with solid fill" hidden="1">
          <a:extLst>
            <a:ext uri="{FF2B5EF4-FFF2-40B4-BE49-F238E27FC236}">
              <a16:creationId xmlns:a16="http://schemas.microsoft.com/office/drawing/2014/main" id="{00000000-0008-0000-0600-000005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4466" y="3408947"/>
          <a:ext cx="115200" cy="115200"/>
        </a:xfrm>
        <a:prstGeom prst="rect">
          <a:avLst/>
        </a:prstGeom>
      </xdr:spPr>
    </xdr:pic>
    <xdr:clientData/>
  </xdr:oneCellAnchor>
  <xdr:oneCellAnchor>
    <xdr:from>
      <xdr:col>3</xdr:col>
      <xdr:colOff>1200150</xdr:colOff>
      <xdr:row>51</xdr:row>
      <xdr:rowOff>57150</xdr:rowOff>
    </xdr:from>
    <xdr:ext cx="115200" cy="115200"/>
    <xdr:pic macro="[0]!Delete_addback">
      <xdr:nvPicPr>
        <xdr:cNvPr id="5382" name="Del_Add_52" descr="Close with solid fill" hidden="1">
          <a:extLst>
            <a:ext uri="{FF2B5EF4-FFF2-40B4-BE49-F238E27FC236}">
              <a16:creationId xmlns:a16="http://schemas.microsoft.com/office/drawing/2014/main" id="{00000000-0008-0000-0600-000006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4466" y="3408947"/>
          <a:ext cx="115200" cy="115200"/>
        </a:xfrm>
        <a:prstGeom prst="rect">
          <a:avLst/>
        </a:prstGeom>
      </xdr:spPr>
    </xdr:pic>
    <xdr:clientData/>
  </xdr:oneCellAnchor>
  <xdr:twoCellAnchor>
    <xdr:from>
      <xdr:col>4</xdr:col>
      <xdr:colOff>47623</xdr:colOff>
      <xdr:row>52</xdr:row>
      <xdr:rowOff>38098</xdr:rowOff>
    </xdr:from>
    <xdr:to>
      <xdr:col>4</xdr:col>
      <xdr:colOff>857623</xdr:colOff>
      <xdr:row>52</xdr:row>
      <xdr:rowOff>190500</xdr:rowOff>
    </xdr:to>
    <xdr:sp macro="[0]!Add_addback" textlink="">
      <xdr:nvSpPr>
        <xdr:cNvPr id="5383" name="Add_Add_53" hidden="1">
          <a:extLst>
            <a:ext uri="{FF2B5EF4-FFF2-40B4-BE49-F238E27FC236}">
              <a16:creationId xmlns:a16="http://schemas.microsoft.com/office/drawing/2014/main" id="{00000000-0008-0000-0600-000007150000}"/>
            </a:ext>
          </a:extLst>
        </xdr:cNvPr>
        <xdr:cNvSpPr txBox="1"/>
      </xdr:nvSpPr>
      <xdr:spPr>
        <a:xfrm>
          <a:off x="1805570" y="3447045"/>
          <a:ext cx="810000" cy="15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 addback</a:t>
          </a:r>
        </a:p>
      </xdr:txBody>
    </xdr:sp>
    <xdr:clientData/>
  </xdr:twoCellAnchor>
  <xdr:twoCellAnchor>
    <xdr:from>
      <xdr:col>3</xdr:col>
      <xdr:colOff>628650</xdr:colOff>
      <xdr:row>46</xdr:row>
      <xdr:rowOff>28575</xdr:rowOff>
    </xdr:from>
    <xdr:to>
      <xdr:col>3</xdr:col>
      <xdr:colOff>790087</xdr:colOff>
      <xdr:row>46</xdr:row>
      <xdr:rowOff>193167</xdr:rowOff>
    </xdr:to>
    <xdr:pic>
      <xdr:nvPicPr>
        <xdr:cNvPr id="5384" name="Inf_Own_47" descr="See the source image" hidden="1">
          <a:hlinkClick xmlns:r="http://schemas.openxmlformats.org/officeDocument/2006/relationships" r:id="" tooltip="If the trust has liabilities and not all individuals are on the application, the selected parties are eligible for 100% ownership"/>
          <a:extLst>
            <a:ext uri="{FF2B5EF4-FFF2-40B4-BE49-F238E27FC236}">
              <a16:creationId xmlns:a16="http://schemas.microsoft.com/office/drawing/2014/main" id="{00000000-0008-0000-0600-0000081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02966" y="3408947"/>
          <a:ext cx="161437"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1200150</xdr:colOff>
      <xdr:row>47</xdr:row>
      <xdr:rowOff>57150</xdr:rowOff>
    </xdr:from>
    <xdr:ext cx="115200" cy="115200"/>
    <xdr:pic macro="[0]!Delete_addback">
      <xdr:nvPicPr>
        <xdr:cNvPr id="5385" name="Del_Add_48" descr="Close with solid fill" hidden="1">
          <a:extLst>
            <a:ext uri="{FF2B5EF4-FFF2-40B4-BE49-F238E27FC236}">
              <a16:creationId xmlns:a16="http://schemas.microsoft.com/office/drawing/2014/main" id="{00000000-0008-0000-0600-000009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4466" y="3408947"/>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279400</xdr:colOff>
          <xdr:row>43</xdr:row>
          <xdr:rowOff>25400</xdr:rowOff>
        </xdr:from>
        <xdr:to>
          <xdr:col>13</xdr:col>
          <xdr:colOff>584200</xdr:colOff>
          <xdr:row>43</xdr:row>
          <xdr:rowOff>177800</xdr:rowOff>
        </xdr:to>
        <xdr:sp macro="" textlink="">
          <xdr:nvSpPr>
            <xdr:cNvPr id="5208" name="Check Box 88" hidden="1">
              <a:extLst>
                <a:ext uri="{63B3BB69-23CF-44E3-9099-C40C66FF867C}">
                  <a14:compatExt spid="_x0000_s5208"/>
                </a:ext>
                <a:ext uri="{FF2B5EF4-FFF2-40B4-BE49-F238E27FC236}">
                  <a16:creationId xmlns:a16="http://schemas.microsoft.com/office/drawing/2014/main" id="{00000000-0008-0000-0600-00005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14</xdr:col>
      <xdr:colOff>0</xdr:colOff>
      <xdr:row>43</xdr:row>
      <xdr:rowOff>19050</xdr:rowOff>
    </xdr:from>
    <xdr:ext cx="180000" cy="180000"/>
    <xdr:pic macro="[0]!BaseIncomeCalc">
      <xdr:nvPicPr>
        <xdr:cNvPr id="5386" name="BaseInc_44" descr="Calculator with solid fill" hidden="1">
          <a:extLst>
            <a:ext uri="{FF2B5EF4-FFF2-40B4-BE49-F238E27FC236}">
              <a16:creationId xmlns:a16="http://schemas.microsoft.com/office/drawing/2014/main" id="{00000000-0008-0000-0600-00000A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92368" y="2786313"/>
          <a:ext cx="180000" cy="180000"/>
        </a:xfrm>
        <a:prstGeom prst="rect">
          <a:avLst/>
        </a:prstGeom>
      </xdr:spPr>
    </xdr:pic>
    <xdr:clientData/>
  </xdr:oneCellAnchor>
  <xdr:twoCellAnchor>
    <xdr:from>
      <xdr:col>13</xdr:col>
      <xdr:colOff>19048</xdr:colOff>
      <xdr:row>44</xdr:row>
      <xdr:rowOff>57148</xdr:rowOff>
    </xdr:from>
    <xdr:to>
      <xdr:col>13</xdr:col>
      <xdr:colOff>695325</xdr:colOff>
      <xdr:row>45</xdr:row>
      <xdr:rowOff>9525</xdr:rowOff>
    </xdr:to>
    <xdr:sp macro="[0]!Goto_Page" textlink="">
      <xdr:nvSpPr>
        <xdr:cNvPr id="5387" name="Mty_Ent_45" hidden="1">
          <a:extLst>
            <a:ext uri="{FF2B5EF4-FFF2-40B4-BE49-F238E27FC236}">
              <a16:creationId xmlns:a16="http://schemas.microsoft.com/office/drawing/2014/main" id="{00000000-0008-0000-0600-00000B150000}"/>
            </a:ext>
          </a:extLst>
        </xdr:cNvPr>
        <xdr:cNvSpPr txBox="1"/>
      </xdr:nvSpPr>
      <xdr:spPr>
        <a:xfrm>
          <a:off x="9049416" y="3038306"/>
          <a:ext cx="676277" cy="166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Multi Entity</a:t>
          </a:r>
        </a:p>
      </xdr:txBody>
    </xdr:sp>
    <xdr:clientData/>
  </xdr:twoCellAnchor>
  <xdr:oneCellAnchor>
    <xdr:from>
      <xdr:col>14</xdr:col>
      <xdr:colOff>0</xdr:colOff>
      <xdr:row>53</xdr:row>
      <xdr:rowOff>0</xdr:rowOff>
    </xdr:from>
    <xdr:ext cx="180000" cy="180000"/>
    <xdr:pic macro="[0]!BaseIncomeCalc">
      <xdr:nvPicPr>
        <xdr:cNvPr id="5388" name="BaseInc_54" descr="Calculator with solid fill" hidden="1">
          <a:extLst>
            <a:ext uri="{FF2B5EF4-FFF2-40B4-BE49-F238E27FC236}">
              <a16:creationId xmlns:a16="http://schemas.microsoft.com/office/drawing/2014/main" id="{00000000-0008-0000-0600-00000C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68616" y="3650252"/>
          <a:ext cx="180000" cy="180000"/>
        </a:xfrm>
        <a:prstGeom prst="rect">
          <a:avLst/>
        </a:prstGeom>
      </xdr:spPr>
    </xdr:pic>
    <xdr:clientData/>
  </xdr:oneCellAnchor>
  <xdr:oneCellAnchor>
    <xdr:from>
      <xdr:col>14</xdr:col>
      <xdr:colOff>0</xdr:colOff>
      <xdr:row>53</xdr:row>
      <xdr:rowOff>0</xdr:rowOff>
    </xdr:from>
    <xdr:ext cx="180000" cy="180000"/>
    <xdr:pic macro="[0]!BaseIncomeCalc">
      <xdr:nvPicPr>
        <xdr:cNvPr id="5389" name="BaseInc_54" descr="Calculator with solid fill" hidden="1">
          <a:extLst>
            <a:ext uri="{FF2B5EF4-FFF2-40B4-BE49-F238E27FC236}">
              <a16:creationId xmlns:a16="http://schemas.microsoft.com/office/drawing/2014/main" id="{00000000-0008-0000-0600-00000D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68616" y="3650252"/>
          <a:ext cx="180000" cy="180000"/>
        </a:xfrm>
        <a:prstGeom prst="rect">
          <a:avLst/>
        </a:prstGeom>
      </xdr:spPr>
    </xdr:pic>
    <xdr:clientData/>
  </xdr:oneCellAnchor>
  <xdr:oneCellAnchor>
    <xdr:from>
      <xdr:col>14</xdr:col>
      <xdr:colOff>0</xdr:colOff>
      <xdr:row>53</xdr:row>
      <xdr:rowOff>0</xdr:rowOff>
    </xdr:from>
    <xdr:ext cx="180000" cy="180000"/>
    <xdr:pic macro="[0]!BaseIncomeCalc">
      <xdr:nvPicPr>
        <xdr:cNvPr id="5390" name="BaseInc_54" descr="Calculator with solid fill" hidden="1">
          <a:extLst>
            <a:ext uri="{FF2B5EF4-FFF2-40B4-BE49-F238E27FC236}">
              <a16:creationId xmlns:a16="http://schemas.microsoft.com/office/drawing/2014/main" id="{00000000-0008-0000-0600-00000E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68616" y="3650252"/>
          <a:ext cx="180000" cy="18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5</xdr:col>
          <xdr:colOff>330200</xdr:colOff>
          <xdr:row>62</xdr:row>
          <xdr:rowOff>25400</xdr:rowOff>
        </xdr:from>
        <xdr:to>
          <xdr:col>5</xdr:col>
          <xdr:colOff>635000</xdr:colOff>
          <xdr:row>62</xdr:row>
          <xdr:rowOff>177800</xdr:rowOff>
        </xdr:to>
        <xdr:sp macro="" textlink="">
          <xdr:nvSpPr>
            <xdr:cNvPr id="5211" name="Check Box 91" hidden="1">
              <a:extLst>
                <a:ext uri="{63B3BB69-23CF-44E3-9099-C40C66FF867C}">
                  <a14:compatExt spid="_x0000_s5211"/>
                </a:ext>
                <a:ext uri="{FF2B5EF4-FFF2-40B4-BE49-F238E27FC236}">
                  <a16:creationId xmlns:a16="http://schemas.microsoft.com/office/drawing/2014/main" id="{00000000-0008-0000-0600-00005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63</xdr:row>
          <xdr:rowOff>25400</xdr:rowOff>
        </xdr:from>
        <xdr:to>
          <xdr:col>5</xdr:col>
          <xdr:colOff>635000</xdr:colOff>
          <xdr:row>63</xdr:row>
          <xdr:rowOff>177800</xdr:rowOff>
        </xdr:to>
        <xdr:sp macro="" textlink="">
          <xdr:nvSpPr>
            <xdr:cNvPr id="5391" name="Check Box 92" hidden="1">
              <a:extLst>
                <a:ext uri="{63B3BB69-23CF-44E3-9099-C40C66FF867C}">
                  <a14:compatExt spid="_x0000_s5212"/>
                </a:ext>
                <a:ext uri="{FF2B5EF4-FFF2-40B4-BE49-F238E27FC236}">
                  <a16:creationId xmlns:a16="http://schemas.microsoft.com/office/drawing/2014/main" id="{00000000-0008-0000-0600-00000F1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64</xdr:row>
          <xdr:rowOff>25400</xdr:rowOff>
        </xdr:from>
        <xdr:to>
          <xdr:col>5</xdr:col>
          <xdr:colOff>635000</xdr:colOff>
          <xdr:row>64</xdr:row>
          <xdr:rowOff>177800</xdr:rowOff>
        </xdr:to>
        <xdr:sp macro="" textlink="">
          <xdr:nvSpPr>
            <xdr:cNvPr id="5392" name="Check Box 93" hidden="1">
              <a:extLst>
                <a:ext uri="{63B3BB69-23CF-44E3-9099-C40C66FF867C}">
                  <a14:compatExt spid="_x0000_s5213"/>
                </a:ext>
                <a:ext uri="{FF2B5EF4-FFF2-40B4-BE49-F238E27FC236}">
                  <a16:creationId xmlns:a16="http://schemas.microsoft.com/office/drawing/2014/main" id="{00000000-0008-0000-0600-0000101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61</xdr:row>
          <xdr:rowOff>25400</xdr:rowOff>
        </xdr:from>
        <xdr:to>
          <xdr:col>8</xdr:col>
          <xdr:colOff>711200</xdr:colOff>
          <xdr:row>61</xdr:row>
          <xdr:rowOff>177800</xdr:rowOff>
        </xdr:to>
        <xdr:sp macro="" textlink="">
          <xdr:nvSpPr>
            <xdr:cNvPr id="5393" name="Check Box 94" hidden="1">
              <a:extLst>
                <a:ext uri="{63B3BB69-23CF-44E3-9099-C40C66FF867C}">
                  <a14:compatExt spid="_x0000_s5214"/>
                </a:ext>
                <a:ext uri="{FF2B5EF4-FFF2-40B4-BE49-F238E27FC236}">
                  <a16:creationId xmlns:a16="http://schemas.microsoft.com/office/drawing/2014/main" id="{00000000-0008-0000-0600-0000111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62</xdr:row>
          <xdr:rowOff>25400</xdr:rowOff>
        </xdr:from>
        <xdr:to>
          <xdr:col>8</xdr:col>
          <xdr:colOff>711200</xdr:colOff>
          <xdr:row>62</xdr:row>
          <xdr:rowOff>177800</xdr:rowOff>
        </xdr:to>
        <xdr:sp macro="" textlink="">
          <xdr:nvSpPr>
            <xdr:cNvPr id="5215" name="Check Box 95" hidden="1">
              <a:extLst>
                <a:ext uri="{63B3BB69-23CF-44E3-9099-C40C66FF867C}">
                  <a14:compatExt spid="_x0000_s5215"/>
                </a:ext>
                <a:ext uri="{FF2B5EF4-FFF2-40B4-BE49-F238E27FC236}">
                  <a16:creationId xmlns:a16="http://schemas.microsoft.com/office/drawing/2014/main" id="{00000000-0008-0000-0600-00005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63</xdr:row>
          <xdr:rowOff>25400</xdr:rowOff>
        </xdr:from>
        <xdr:to>
          <xdr:col>8</xdr:col>
          <xdr:colOff>711200</xdr:colOff>
          <xdr:row>63</xdr:row>
          <xdr:rowOff>177800</xdr:rowOff>
        </xdr:to>
        <xdr:sp macro="" textlink="">
          <xdr:nvSpPr>
            <xdr:cNvPr id="5216" name="Check Box 96" hidden="1">
              <a:extLst>
                <a:ext uri="{63B3BB69-23CF-44E3-9099-C40C66FF867C}">
                  <a14:compatExt spid="_x0000_s5216"/>
                </a:ext>
                <a:ext uri="{FF2B5EF4-FFF2-40B4-BE49-F238E27FC236}">
                  <a16:creationId xmlns:a16="http://schemas.microsoft.com/office/drawing/2014/main" id="{00000000-0008-0000-0600-00006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64</xdr:row>
          <xdr:rowOff>25400</xdr:rowOff>
        </xdr:from>
        <xdr:to>
          <xdr:col>8</xdr:col>
          <xdr:colOff>711200</xdr:colOff>
          <xdr:row>64</xdr:row>
          <xdr:rowOff>177800</xdr:rowOff>
        </xdr:to>
        <xdr:sp macro="" textlink="">
          <xdr:nvSpPr>
            <xdr:cNvPr id="5217" name="Check Box 97" hidden="1">
              <a:extLst>
                <a:ext uri="{63B3BB69-23CF-44E3-9099-C40C66FF867C}">
                  <a14:compatExt spid="_x0000_s5217"/>
                </a:ext>
                <a:ext uri="{FF2B5EF4-FFF2-40B4-BE49-F238E27FC236}">
                  <a16:creationId xmlns:a16="http://schemas.microsoft.com/office/drawing/2014/main" id="{00000000-0008-0000-0600-00006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61</xdr:row>
      <xdr:rowOff>47625</xdr:rowOff>
    </xdr:from>
    <xdr:ext cx="115200" cy="115200"/>
    <xdr:pic macro="[0]!Delete_Item">
      <xdr:nvPicPr>
        <xdr:cNvPr id="5394" name="Del_Emp_62" descr="Close with solid fill">
          <a:extLst>
            <a:ext uri="{FF2B5EF4-FFF2-40B4-BE49-F238E27FC236}">
              <a16:creationId xmlns:a16="http://schemas.microsoft.com/office/drawing/2014/main" id="{00000000-0008-0000-0600-000012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3999" y="3697877"/>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279400</xdr:colOff>
          <xdr:row>64</xdr:row>
          <xdr:rowOff>25400</xdr:rowOff>
        </xdr:from>
        <xdr:to>
          <xdr:col>12</xdr:col>
          <xdr:colOff>584200</xdr:colOff>
          <xdr:row>64</xdr:row>
          <xdr:rowOff>177800</xdr:rowOff>
        </xdr:to>
        <xdr:sp macro="" textlink="">
          <xdr:nvSpPr>
            <xdr:cNvPr id="5218" name="Check Box 98" hidden="1">
              <a:extLst>
                <a:ext uri="{63B3BB69-23CF-44E3-9099-C40C66FF867C}">
                  <a14:compatExt spid="_x0000_s5218"/>
                </a:ext>
                <a:ext uri="{FF2B5EF4-FFF2-40B4-BE49-F238E27FC236}">
                  <a16:creationId xmlns:a16="http://schemas.microsoft.com/office/drawing/2014/main" id="{00000000-0008-0000-0600-00006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6</xdr:col>
      <xdr:colOff>19050</xdr:colOff>
      <xdr:row>61</xdr:row>
      <xdr:rowOff>28575</xdr:rowOff>
    </xdr:from>
    <xdr:ext cx="171450" cy="171450"/>
    <xdr:pic macro="[0]!Goto_Page">
      <xdr:nvPicPr>
        <xdr:cNvPr id="5400" name="SalCred_62" descr="Credit card with solid fill" hidden="1">
          <a:extLst>
            <a:ext uri="{FF2B5EF4-FFF2-40B4-BE49-F238E27FC236}">
              <a16:creationId xmlns:a16="http://schemas.microsoft.com/office/drawing/2014/main" id="{00000000-0008-0000-0600-00001815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573453" y="3678827"/>
          <a:ext cx="171450" cy="171450"/>
        </a:xfrm>
        <a:prstGeom prst="rect">
          <a:avLst/>
        </a:prstGeom>
      </xdr:spPr>
    </xdr:pic>
    <xdr:clientData/>
  </xdr:oneCellAnchor>
  <xdr:oneCellAnchor>
    <xdr:from>
      <xdr:col>13</xdr:col>
      <xdr:colOff>0</xdr:colOff>
      <xdr:row>61</xdr:row>
      <xdr:rowOff>19050</xdr:rowOff>
    </xdr:from>
    <xdr:ext cx="180000" cy="180000"/>
    <xdr:pic macro="[0]!Goto_Page">
      <xdr:nvPicPr>
        <xdr:cNvPr id="5404" name="BaseInc_62" descr="Calculator with solid fill" hidden="1">
          <a:extLst>
            <a:ext uri="{FF2B5EF4-FFF2-40B4-BE49-F238E27FC236}">
              <a16:creationId xmlns:a16="http://schemas.microsoft.com/office/drawing/2014/main" id="{00000000-0008-0000-0600-00001C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09811" y="3669302"/>
          <a:ext cx="180000" cy="180000"/>
        </a:xfrm>
        <a:prstGeom prst="rect">
          <a:avLst/>
        </a:prstGeom>
      </xdr:spPr>
    </xdr:pic>
    <xdr:clientData/>
  </xdr:oneCellAnchor>
  <xdr:oneCellAnchor>
    <xdr:from>
      <xdr:col>3</xdr:col>
      <xdr:colOff>1200150</xdr:colOff>
      <xdr:row>66</xdr:row>
      <xdr:rowOff>57150</xdr:rowOff>
    </xdr:from>
    <xdr:ext cx="115200" cy="115200"/>
    <xdr:pic macro="[0]!Delete_addback">
      <xdr:nvPicPr>
        <xdr:cNvPr id="5405" name="Del_Add_67" descr="Close with solid fill" hidden="1">
          <a:extLst>
            <a:ext uri="{FF2B5EF4-FFF2-40B4-BE49-F238E27FC236}">
              <a16:creationId xmlns:a16="http://schemas.microsoft.com/office/drawing/2014/main" id="{00000000-0008-0000-0600-00001D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67571" y="4297233"/>
          <a:ext cx="115200" cy="115200"/>
        </a:xfrm>
        <a:prstGeom prst="rect">
          <a:avLst/>
        </a:prstGeom>
      </xdr:spPr>
    </xdr:pic>
    <xdr:clientData/>
  </xdr:oneCellAnchor>
  <xdr:oneCellAnchor>
    <xdr:from>
      <xdr:col>3</xdr:col>
      <xdr:colOff>1200150</xdr:colOff>
      <xdr:row>67</xdr:row>
      <xdr:rowOff>66675</xdr:rowOff>
    </xdr:from>
    <xdr:ext cx="115200" cy="115200"/>
    <xdr:pic macro="[0]!Delete_addback">
      <xdr:nvPicPr>
        <xdr:cNvPr id="5406" name="Del_Add_68" descr="Close with solid fill" hidden="1">
          <a:extLst>
            <a:ext uri="{FF2B5EF4-FFF2-40B4-BE49-F238E27FC236}">
              <a16:creationId xmlns:a16="http://schemas.microsoft.com/office/drawing/2014/main" id="{00000000-0008-0000-0600-00001E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67571" y="4297233"/>
          <a:ext cx="115200" cy="115200"/>
        </a:xfrm>
        <a:prstGeom prst="rect">
          <a:avLst/>
        </a:prstGeom>
      </xdr:spPr>
    </xdr:pic>
    <xdr:clientData/>
  </xdr:oneCellAnchor>
  <xdr:oneCellAnchor>
    <xdr:from>
      <xdr:col>3</xdr:col>
      <xdr:colOff>1200150</xdr:colOff>
      <xdr:row>68</xdr:row>
      <xdr:rowOff>57150</xdr:rowOff>
    </xdr:from>
    <xdr:ext cx="115200" cy="115200"/>
    <xdr:pic macro="[0]!Delete_addback">
      <xdr:nvPicPr>
        <xdr:cNvPr id="5407" name="Del_Add_69" descr="Close with solid fill" hidden="1">
          <a:extLst>
            <a:ext uri="{FF2B5EF4-FFF2-40B4-BE49-F238E27FC236}">
              <a16:creationId xmlns:a16="http://schemas.microsoft.com/office/drawing/2014/main" id="{00000000-0008-0000-0600-00001F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67571" y="4297233"/>
          <a:ext cx="115200" cy="115200"/>
        </a:xfrm>
        <a:prstGeom prst="rect">
          <a:avLst/>
        </a:prstGeom>
      </xdr:spPr>
    </xdr:pic>
    <xdr:clientData/>
  </xdr:oneCellAnchor>
  <xdr:oneCellAnchor>
    <xdr:from>
      <xdr:col>3</xdr:col>
      <xdr:colOff>1200150</xdr:colOff>
      <xdr:row>69</xdr:row>
      <xdr:rowOff>57150</xdr:rowOff>
    </xdr:from>
    <xdr:ext cx="115200" cy="115200"/>
    <xdr:pic macro="[0]!Delete_addback">
      <xdr:nvPicPr>
        <xdr:cNvPr id="5408" name="Del_Add_70" descr="Close with solid fill" hidden="1">
          <a:extLst>
            <a:ext uri="{FF2B5EF4-FFF2-40B4-BE49-F238E27FC236}">
              <a16:creationId xmlns:a16="http://schemas.microsoft.com/office/drawing/2014/main" id="{00000000-0008-0000-0600-000020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67571" y="4297233"/>
          <a:ext cx="115200" cy="115200"/>
        </a:xfrm>
        <a:prstGeom prst="rect">
          <a:avLst/>
        </a:prstGeom>
      </xdr:spPr>
    </xdr:pic>
    <xdr:clientData/>
  </xdr:oneCellAnchor>
  <xdr:twoCellAnchor>
    <xdr:from>
      <xdr:col>4</xdr:col>
      <xdr:colOff>47623</xdr:colOff>
      <xdr:row>70</xdr:row>
      <xdr:rowOff>38098</xdr:rowOff>
    </xdr:from>
    <xdr:to>
      <xdr:col>4</xdr:col>
      <xdr:colOff>857623</xdr:colOff>
      <xdr:row>70</xdr:row>
      <xdr:rowOff>190500</xdr:rowOff>
    </xdr:to>
    <xdr:sp macro="[0]!Add_addback" textlink="">
      <xdr:nvSpPr>
        <xdr:cNvPr id="5409" name="Add_Add_71">
          <a:extLst>
            <a:ext uri="{FF2B5EF4-FFF2-40B4-BE49-F238E27FC236}">
              <a16:creationId xmlns:a16="http://schemas.microsoft.com/office/drawing/2014/main" id="{00000000-0008-0000-0600-000021150000}"/>
            </a:ext>
          </a:extLst>
        </xdr:cNvPr>
        <xdr:cNvSpPr txBox="1"/>
      </xdr:nvSpPr>
      <xdr:spPr>
        <a:xfrm>
          <a:off x="1796868" y="4335331"/>
          <a:ext cx="810000" cy="152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 addback</a:t>
          </a:r>
        </a:p>
      </xdr:txBody>
    </xdr:sp>
    <xdr:clientData/>
  </xdr:twoCellAnchor>
  <xdr:twoCellAnchor>
    <xdr:from>
      <xdr:col>3</xdr:col>
      <xdr:colOff>628650</xdr:colOff>
      <xdr:row>64</xdr:row>
      <xdr:rowOff>28575</xdr:rowOff>
    </xdr:from>
    <xdr:to>
      <xdr:col>3</xdr:col>
      <xdr:colOff>790087</xdr:colOff>
      <xdr:row>64</xdr:row>
      <xdr:rowOff>193167</xdr:rowOff>
    </xdr:to>
    <xdr:pic>
      <xdr:nvPicPr>
        <xdr:cNvPr id="5410" name="Inf_Own_65" descr="See the source image">
          <a:hlinkClick xmlns:r="http://schemas.openxmlformats.org/officeDocument/2006/relationships" r:id="" tooltip="Enter this customer's % ownership of the Company"/>
          <a:extLst>
            <a:ext uri="{FF2B5EF4-FFF2-40B4-BE49-F238E27FC236}">
              <a16:creationId xmlns:a16="http://schemas.microsoft.com/office/drawing/2014/main" id="{00000000-0008-0000-0600-0000221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6071" y="4297233"/>
          <a:ext cx="161437"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1200150</xdr:colOff>
      <xdr:row>65</xdr:row>
      <xdr:rowOff>57150</xdr:rowOff>
    </xdr:from>
    <xdr:ext cx="115200" cy="115200"/>
    <xdr:pic macro="[0]!Delete_addback">
      <xdr:nvPicPr>
        <xdr:cNvPr id="5411" name="Del_Add_66" descr="Close with solid fill" hidden="1">
          <a:extLst>
            <a:ext uri="{FF2B5EF4-FFF2-40B4-BE49-F238E27FC236}">
              <a16:creationId xmlns:a16="http://schemas.microsoft.com/office/drawing/2014/main" id="{00000000-0008-0000-0600-00002315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67571" y="4297233"/>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279400</xdr:colOff>
          <xdr:row>61</xdr:row>
          <xdr:rowOff>25400</xdr:rowOff>
        </xdr:from>
        <xdr:to>
          <xdr:col>13</xdr:col>
          <xdr:colOff>584200</xdr:colOff>
          <xdr:row>61</xdr:row>
          <xdr:rowOff>177800</xdr:rowOff>
        </xdr:to>
        <xdr:sp macro="" textlink="">
          <xdr:nvSpPr>
            <xdr:cNvPr id="5219" name="Check Box 99" hidden="1">
              <a:extLst>
                <a:ext uri="{63B3BB69-23CF-44E3-9099-C40C66FF867C}">
                  <a14:compatExt spid="_x0000_s5219"/>
                </a:ext>
                <a:ext uri="{FF2B5EF4-FFF2-40B4-BE49-F238E27FC236}">
                  <a16:creationId xmlns:a16="http://schemas.microsoft.com/office/drawing/2014/main" id="{00000000-0008-0000-0600-00006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14</xdr:col>
      <xdr:colOff>0</xdr:colOff>
      <xdr:row>61</xdr:row>
      <xdr:rowOff>19050</xdr:rowOff>
    </xdr:from>
    <xdr:ext cx="180000" cy="180000"/>
    <xdr:pic macro="[0]!BaseIncomeCalc">
      <xdr:nvPicPr>
        <xdr:cNvPr id="5412" name="BaseInc_62" descr="Calculator with solid fill" hidden="1">
          <a:extLst>
            <a:ext uri="{FF2B5EF4-FFF2-40B4-BE49-F238E27FC236}">
              <a16:creationId xmlns:a16="http://schemas.microsoft.com/office/drawing/2014/main" id="{00000000-0008-0000-0600-00002415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768616" y="3669302"/>
          <a:ext cx="180000" cy="180000"/>
        </a:xfrm>
        <a:prstGeom prst="rect">
          <a:avLst/>
        </a:prstGeom>
      </xdr:spPr>
    </xdr:pic>
    <xdr:clientData/>
  </xdr:oneCellAnchor>
  <xdr:twoCellAnchor>
    <xdr:from>
      <xdr:col>13</xdr:col>
      <xdr:colOff>19048</xdr:colOff>
      <xdr:row>62</xdr:row>
      <xdr:rowOff>57148</xdr:rowOff>
    </xdr:from>
    <xdr:to>
      <xdr:col>13</xdr:col>
      <xdr:colOff>695325</xdr:colOff>
      <xdr:row>63</xdr:row>
      <xdr:rowOff>9525</xdr:rowOff>
    </xdr:to>
    <xdr:sp macro="[0]!Goto_Page" textlink="">
      <xdr:nvSpPr>
        <xdr:cNvPr id="5413" name="Mty_Ent_63" hidden="1">
          <a:extLst>
            <a:ext uri="{FF2B5EF4-FFF2-40B4-BE49-F238E27FC236}">
              <a16:creationId xmlns:a16="http://schemas.microsoft.com/office/drawing/2014/main" id="{00000000-0008-0000-0600-000025150000}"/>
            </a:ext>
          </a:extLst>
        </xdr:cNvPr>
        <xdr:cNvSpPr txBox="1"/>
      </xdr:nvSpPr>
      <xdr:spPr>
        <a:xfrm>
          <a:off x="9028859" y="3923060"/>
          <a:ext cx="676277" cy="168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Multi Entity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1130713</xdr:colOff>
      <xdr:row>15</xdr:row>
      <xdr:rowOff>36910</xdr:rowOff>
    </xdr:from>
    <xdr:to>
      <xdr:col>3</xdr:col>
      <xdr:colOff>1281913</xdr:colOff>
      <xdr:row>15</xdr:row>
      <xdr:rowOff>189385</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1499013" y="2361010"/>
          <a:ext cx="151200" cy="152475"/>
          <a:chOff x="1395033" y="2708672"/>
          <a:chExt cx="180000" cy="180000"/>
        </a:xfrm>
      </xdr:grpSpPr>
      <xdr:sp macro="[0]!Add_Employment" textlink="">
        <xdr:nvSpPr>
          <xdr:cNvPr id="4" name="Rounded Rectangle 3">
            <a:extLst>
              <a:ext uri="{FF2B5EF4-FFF2-40B4-BE49-F238E27FC236}">
                <a16:creationId xmlns:a16="http://schemas.microsoft.com/office/drawing/2014/main" id="{00000000-0008-0000-0700-000004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Employment" textlink="">
        <xdr:nvSpPr>
          <xdr:cNvPr id="5" name="Plus 4">
            <a:extLst>
              <a:ext uri="{FF2B5EF4-FFF2-40B4-BE49-F238E27FC236}">
                <a16:creationId xmlns:a16="http://schemas.microsoft.com/office/drawing/2014/main" id="{00000000-0008-0000-0700-000005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1136771</xdr:colOff>
      <xdr:row>37</xdr:row>
      <xdr:rowOff>28758</xdr:rowOff>
    </xdr:from>
    <xdr:to>
      <xdr:col>3</xdr:col>
      <xdr:colOff>1287971</xdr:colOff>
      <xdr:row>37</xdr:row>
      <xdr:rowOff>179958</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1505071" y="4130858"/>
          <a:ext cx="151200" cy="151200"/>
          <a:chOff x="1395033" y="2708672"/>
          <a:chExt cx="180000" cy="180000"/>
        </a:xfrm>
      </xdr:grpSpPr>
      <xdr:sp macro="[0]!Add_Income" textlink="">
        <xdr:nvSpPr>
          <xdr:cNvPr id="7" name="Rounded Rectangle 6">
            <a:extLst>
              <a:ext uri="{FF2B5EF4-FFF2-40B4-BE49-F238E27FC236}">
                <a16:creationId xmlns:a16="http://schemas.microsoft.com/office/drawing/2014/main" id="{00000000-0008-0000-0700-000007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Income" textlink="">
        <xdr:nvSpPr>
          <xdr:cNvPr id="8" name="Plus 7">
            <a:extLst>
              <a:ext uri="{FF2B5EF4-FFF2-40B4-BE49-F238E27FC236}">
                <a16:creationId xmlns:a16="http://schemas.microsoft.com/office/drawing/2014/main" id="{00000000-0008-0000-0700-000008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1138970</xdr:colOff>
      <xdr:row>55</xdr:row>
      <xdr:rowOff>10441</xdr:rowOff>
    </xdr:from>
    <xdr:to>
      <xdr:col>3</xdr:col>
      <xdr:colOff>1290170</xdr:colOff>
      <xdr:row>55</xdr:row>
      <xdr:rowOff>161641</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1507270" y="5623841"/>
          <a:ext cx="151200" cy="151200"/>
          <a:chOff x="1395033" y="2708672"/>
          <a:chExt cx="180000" cy="180000"/>
        </a:xfrm>
      </xdr:grpSpPr>
      <xdr:sp macro="[0]!Add_Liability" textlink="">
        <xdr:nvSpPr>
          <xdr:cNvPr id="10" name="Rounded Rectangle 9">
            <a:extLst>
              <a:ext uri="{FF2B5EF4-FFF2-40B4-BE49-F238E27FC236}">
                <a16:creationId xmlns:a16="http://schemas.microsoft.com/office/drawing/2014/main" id="{00000000-0008-0000-0700-00000A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iability" textlink="">
        <xdr:nvSpPr>
          <xdr:cNvPr id="11" name="Plus 10">
            <a:extLst>
              <a:ext uri="{FF2B5EF4-FFF2-40B4-BE49-F238E27FC236}">
                <a16:creationId xmlns:a16="http://schemas.microsoft.com/office/drawing/2014/main" id="{00000000-0008-0000-0700-00000B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1145929</xdr:colOff>
      <xdr:row>101</xdr:row>
      <xdr:rowOff>32604</xdr:rowOff>
    </xdr:from>
    <xdr:to>
      <xdr:col>3</xdr:col>
      <xdr:colOff>1297129</xdr:colOff>
      <xdr:row>101</xdr:row>
      <xdr:rowOff>183804</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1514229" y="10256104"/>
          <a:ext cx="151200" cy="151200"/>
          <a:chOff x="1395033" y="2708672"/>
          <a:chExt cx="180000" cy="180000"/>
        </a:xfrm>
      </xdr:grpSpPr>
      <xdr:sp macro="[0]!Add_Loan" textlink="">
        <xdr:nvSpPr>
          <xdr:cNvPr id="13" name="Rounded Rectangle 12">
            <a:extLst>
              <a:ext uri="{FF2B5EF4-FFF2-40B4-BE49-F238E27FC236}">
                <a16:creationId xmlns:a16="http://schemas.microsoft.com/office/drawing/2014/main" id="{00000000-0008-0000-0700-00000D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oan" textlink="">
        <xdr:nvSpPr>
          <xdr:cNvPr id="14" name="Plus 13">
            <a:extLst>
              <a:ext uri="{FF2B5EF4-FFF2-40B4-BE49-F238E27FC236}">
                <a16:creationId xmlns:a16="http://schemas.microsoft.com/office/drawing/2014/main" id="{00000000-0008-0000-0700-00000E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14</xdr:col>
      <xdr:colOff>133350</xdr:colOff>
      <xdr:row>3</xdr:row>
      <xdr:rowOff>62594</xdr:rowOff>
    </xdr:from>
    <xdr:to>
      <xdr:col>16</xdr:col>
      <xdr:colOff>47625</xdr:colOff>
      <xdr:row>5</xdr:row>
      <xdr:rowOff>13064</xdr:rowOff>
    </xdr:to>
    <xdr:sp macro="[0]!Remove_SOP" textlink="">
      <xdr:nvSpPr>
        <xdr:cNvPr id="28" name="ClearSOP">
          <a:extLst>
            <a:ext uri="{FF2B5EF4-FFF2-40B4-BE49-F238E27FC236}">
              <a16:creationId xmlns:a16="http://schemas.microsoft.com/office/drawing/2014/main" id="{00000000-0008-0000-0700-00001C000000}"/>
            </a:ext>
          </a:extLst>
        </xdr:cNvPr>
        <xdr:cNvSpPr/>
      </xdr:nvSpPr>
      <xdr:spPr>
        <a:xfrm>
          <a:off x="9848850" y="586469"/>
          <a:ext cx="914400" cy="274320"/>
        </a:xfrm>
        <a:prstGeom prst="roundRect">
          <a:avLst/>
        </a:prstGeom>
        <a:solidFill>
          <a:srgbClr val="B6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36000" rtlCol="0" anchor="ctr"/>
        <a:lstStyle/>
        <a:p>
          <a:pPr algn="ctr"/>
          <a:r>
            <a:rPr lang="en-AU" sz="1000">
              <a:solidFill>
                <a:srgbClr val="FFFFFF"/>
              </a:solidFill>
            </a:rPr>
            <a:t>Clear SoP</a:t>
          </a:r>
        </a:p>
      </xdr:txBody>
    </xdr:sp>
    <xdr:clientData/>
  </xdr:twoCellAnchor>
  <xdr:twoCellAnchor>
    <xdr:from>
      <xdr:col>18</xdr:col>
      <xdr:colOff>180978</xdr:colOff>
      <xdr:row>3</xdr:row>
      <xdr:rowOff>62594</xdr:rowOff>
    </xdr:from>
    <xdr:to>
      <xdr:col>19</xdr:col>
      <xdr:colOff>3</xdr:colOff>
      <xdr:row>5</xdr:row>
      <xdr:rowOff>13064</xdr:rowOff>
    </xdr:to>
    <xdr:grpSp>
      <xdr:nvGrpSpPr>
        <xdr:cNvPr id="30" name="Group 29">
          <a:extLst>
            <a:ext uri="{FF2B5EF4-FFF2-40B4-BE49-F238E27FC236}">
              <a16:creationId xmlns:a16="http://schemas.microsoft.com/office/drawing/2014/main" id="{00000000-0008-0000-0700-00001E000000}"/>
            </a:ext>
          </a:extLst>
        </xdr:cNvPr>
        <xdr:cNvGrpSpPr/>
      </xdr:nvGrpSpPr>
      <xdr:grpSpPr>
        <a:xfrm>
          <a:off x="12144378" y="570594"/>
          <a:ext cx="911225" cy="267970"/>
          <a:chOff x="15903569" y="666751"/>
          <a:chExt cx="1075562" cy="244928"/>
        </a:xfrm>
      </xdr:grpSpPr>
      <xdr:sp macro="[0]!Add_SOP" textlink="">
        <xdr:nvSpPr>
          <xdr:cNvPr id="31" name="AddSOP">
            <a:extLst>
              <a:ext uri="{FF2B5EF4-FFF2-40B4-BE49-F238E27FC236}">
                <a16:creationId xmlns:a16="http://schemas.microsoft.com/office/drawing/2014/main" id="{00000000-0008-0000-0700-00001F000000}"/>
              </a:ext>
            </a:extLst>
          </xdr:cNvPr>
          <xdr:cNvSpPr/>
        </xdr:nvSpPr>
        <xdr:spPr>
          <a:xfrm>
            <a:off x="15903569" y="666751"/>
            <a:ext cx="1075562" cy="244928"/>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    Add</a:t>
            </a:r>
            <a:r>
              <a:rPr lang="en-AU" sz="1000" baseline="0">
                <a:solidFill>
                  <a:srgbClr val="FFFFFF"/>
                </a:solidFill>
              </a:rPr>
              <a:t> SoP</a:t>
            </a:r>
            <a:endParaRPr lang="en-AU" sz="1000">
              <a:solidFill>
                <a:srgbClr val="FFFFFF"/>
              </a:solidFill>
            </a:endParaRPr>
          </a:p>
        </xdr:txBody>
      </xdr:sp>
      <xdr:sp macro="" textlink="">
        <xdr:nvSpPr>
          <xdr:cNvPr id="32" name="Plus 50">
            <a:extLst>
              <a:ext uri="{FF2B5EF4-FFF2-40B4-BE49-F238E27FC236}">
                <a16:creationId xmlns:a16="http://schemas.microsoft.com/office/drawing/2014/main" id="{00000000-0008-0000-0700-000020000000}"/>
              </a:ext>
            </a:extLst>
          </xdr:cNvPr>
          <xdr:cNvSpPr/>
        </xdr:nvSpPr>
        <xdr:spPr>
          <a:xfrm>
            <a:off x="15982808" y="716076"/>
            <a:ext cx="199593" cy="153763"/>
          </a:xfrm>
          <a:prstGeom prst="mathPlus">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000"/>
          </a:p>
        </xdr:txBody>
      </xdr:sp>
    </xdr:grpSp>
    <xdr:clientData/>
  </xdr:twoCellAnchor>
  <mc:AlternateContent xmlns:mc="http://schemas.openxmlformats.org/markup-compatibility/2006">
    <mc:Choice xmlns:a14="http://schemas.microsoft.com/office/drawing/2010/main" Requires="a14">
      <xdr:twoCellAnchor editAs="oneCell">
        <xdr:from>
          <xdr:col>4</xdr:col>
          <xdr:colOff>342900</xdr:colOff>
          <xdr:row>111</xdr:row>
          <xdr:rowOff>25400</xdr:rowOff>
        </xdr:from>
        <xdr:to>
          <xdr:col>4</xdr:col>
          <xdr:colOff>647700</xdr:colOff>
          <xdr:row>111</xdr:row>
          <xdr:rowOff>177800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7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16</xdr:col>
      <xdr:colOff>116601</xdr:colOff>
      <xdr:row>3</xdr:row>
      <xdr:rowOff>62594</xdr:rowOff>
    </xdr:from>
    <xdr:to>
      <xdr:col>16</xdr:col>
      <xdr:colOff>1031001</xdr:colOff>
      <xdr:row>5</xdr:row>
      <xdr:rowOff>13064</xdr:rowOff>
    </xdr:to>
    <xdr:sp macro="[0]!DuplicateSOP" textlink="">
      <xdr:nvSpPr>
        <xdr:cNvPr id="51" name="AddSOP">
          <a:extLst>
            <a:ext uri="{FF2B5EF4-FFF2-40B4-BE49-F238E27FC236}">
              <a16:creationId xmlns:a16="http://schemas.microsoft.com/office/drawing/2014/main" id="{00000000-0008-0000-0700-000033000000}"/>
            </a:ext>
          </a:extLst>
        </xdr:cNvPr>
        <xdr:cNvSpPr/>
      </xdr:nvSpPr>
      <xdr:spPr>
        <a:xfrm>
          <a:off x="10832226" y="586469"/>
          <a:ext cx="914400" cy="274320"/>
        </a:xfrm>
        <a:prstGeom prst="roundRect">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baseline="0">
              <a:solidFill>
                <a:srgbClr val="0072AC"/>
              </a:solidFill>
            </a:rPr>
            <a:t>Duplicate</a:t>
          </a:r>
          <a:endParaRPr lang="en-AU" sz="1000">
            <a:solidFill>
              <a:srgbClr val="0072AC"/>
            </a:solidFill>
          </a:endParaRPr>
        </a:p>
      </xdr:txBody>
    </xdr:sp>
    <xdr:clientData/>
  </xdr:twoCellAnchor>
  <xdr:twoCellAnchor editAs="oneCell">
    <xdr:from>
      <xdr:col>6</xdr:col>
      <xdr:colOff>66963</xdr:colOff>
      <xdr:row>80</xdr:row>
      <xdr:rowOff>24224</xdr:rowOff>
    </xdr:from>
    <xdr:to>
      <xdr:col>6</xdr:col>
      <xdr:colOff>244128</xdr:colOff>
      <xdr:row>81</xdr:row>
      <xdr:rowOff>1364</xdr:rowOff>
    </xdr:to>
    <xdr:pic macro="[0]!Goto_Page">
      <xdr:nvPicPr>
        <xdr:cNvPr id="56" name="Phone">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13" y="724417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66958</xdr:colOff>
      <xdr:row>79</xdr:row>
      <xdr:rowOff>28878</xdr:rowOff>
    </xdr:from>
    <xdr:to>
      <xdr:col>11</xdr:col>
      <xdr:colOff>244123</xdr:colOff>
      <xdr:row>80</xdr:row>
      <xdr:rowOff>303</xdr:rowOff>
    </xdr:to>
    <xdr:pic macro="[0]!Goto_Page">
      <xdr:nvPicPr>
        <xdr:cNvPr id="57" name="Transport">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333" y="7029753"/>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66994</xdr:colOff>
      <xdr:row>83</xdr:row>
      <xdr:rowOff>28868</xdr:rowOff>
    </xdr:from>
    <xdr:to>
      <xdr:col>6</xdr:col>
      <xdr:colOff>244159</xdr:colOff>
      <xdr:row>84</xdr:row>
      <xdr:rowOff>293</xdr:rowOff>
    </xdr:to>
    <xdr:pic macro="[0]!Goto_Page">
      <xdr:nvPicPr>
        <xdr:cNvPr id="58" name="Recreation">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44" y="7906043"/>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66993</xdr:colOff>
      <xdr:row>79</xdr:row>
      <xdr:rowOff>24224</xdr:rowOff>
    </xdr:from>
    <xdr:to>
      <xdr:col>6</xdr:col>
      <xdr:colOff>244158</xdr:colOff>
      <xdr:row>80</xdr:row>
      <xdr:rowOff>1364</xdr:rowOff>
    </xdr:to>
    <xdr:pic macro="[0]!Goto_Page">
      <xdr:nvPicPr>
        <xdr:cNvPr id="59" name="Owne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43" y="702509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62079</xdr:colOff>
      <xdr:row>84</xdr:row>
      <xdr:rowOff>29100</xdr:rowOff>
    </xdr:from>
    <xdr:to>
      <xdr:col>11</xdr:col>
      <xdr:colOff>248769</xdr:colOff>
      <xdr:row>85</xdr:row>
      <xdr:rowOff>525</xdr:rowOff>
    </xdr:to>
    <xdr:pic macro="[0]!Goto_Page">
      <xdr:nvPicPr>
        <xdr:cNvPr id="60" name="Insurance">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3454" y="812535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62227</xdr:colOff>
      <xdr:row>80</xdr:row>
      <xdr:rowOff>23925</xdr:rowOff>
    </xdr:from>
    <xdr:to>
      <xdr:col>11</xdr:col>
      <xdr:colOff>248917</xdr:colOff>
      <xdr:row>81</xdr:row>
      <xdr:rowOff>1065</xdr:rowOff>
    </xdr:to>
    <xdr:pic macro="[0]!Goto_Page">
      <xdr:nvPicPr>
        <xdr:cNvPr id="61" name="Childcare">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3602" y="724387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63193</xdr:colOff>
      <xdr:row>82</xdr:row>
      <xdr:rowOff>28212</xdr:rowOff>
    </xdr:from>
    <xdr:to>
      <xdr:col>6</xdr:col>
      <xdr:colOff>244168</xdr:colOff>
      <xdr:row>83</xdr:row>
      <xdr:rowOff>1542</xdr:rowOff>
    </xdr:to>
    <xdr:pic macro="[0]!Goto_Page">
      <xdr:nvPicPr>
        <xdr:cNvPr id="62" name="Clothing">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6943" y="7686312"/>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68035</xdr:colOff>
      <xdr:row>81</xdr:row>
      <xdr:rowOff>28074</xdr:rowOff>
    </xdr:from>
    <xdr:to>
      <xdr:col>11</xdr:col>
      <xdr:colOff>245200</xdr:colOff>
      <xdr:row>82</xdr:row>
      <xdr:rowOff>1404</xdr:rowOff>
    </xdr:to>
    <xdr:pic macro="[0]!Goto_Page">
      <xdr:nvPicPr>
        <xdr:cNvPr id="63" name="Education">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9410" y="746709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66908</xdr:colOff>
      <xdr:row>81</xdr:row>
      <xdr:rowOff>28077</xdr:rowOff>
    </xdr:from>
    <xdr:to>
      <xdr:col>6</xdr:col>
      <xdr:colOff>244073</xdr:colOff>
      <xdr:row>82</xdr:row>
      <xdr:rowOff>1407</xdr:rowOff>
    </xdr:to>
    <xdr:pic macro="[0]!Goto_Page">
      <xdr:nvPicPr>
        <xdr:cNvPr id="64" name="Groceries">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658" y="7467102"/>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62226</xdr:colOff>
      <xdr:row>83</xdr:row>
      <xdr:rowOff>27573</xdr:rowOff>
    </xdr:from>
    <xdr:to>
      <xdr:col>11</xdr:col>
      <xdr:colOff>248916</xdr:colOff>
      <xdr:row>84</xdr:row>
      <xdr:rowOff>903</xdr:rowOff>
    </xdr:to>
    <xdr:pic macro="[0]!Goto_Page">
      <xdr:nvPicPr>
        <xdr:cNvPr id="65" name="Medical">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3601" y="7904748"/>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62227</xdr:colOff>
      <xdr:row>82</xdr:row>
      <xdr:rowOff>22498</xdr:rowOff>
    </xdr:from>
    <xdr:to>
      <xdr:col>11</xdr:col>
      <xdr:colOff>248917</xdr:colOff>
      <xdr:row>82</xdr:row>
      <xdr:rowOff>193948</xdr:rowOff>
    </xdr:to>
    <xdr:pic macro="[0]!Goto_Page">
      <xdr:nvPicPr>
        <xdr:cNvPr id="66" name="HighEdu">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3602" y="7680598"/>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66064</xdr:colOff>
      <xdr:row>84</xdr:row>
      <xdr:rowOff>27939</xdr:rowOff>
    </xdr:from>
    <xdr:to>
      <xdr:col>6</xdr:col>
      <xdr:colOff>248944</xdr:colOff>
      <xdr:row>85</xdr:row>
      <xdr:rowOff>1269</xdr:rowOff>
    </xdr:to>
    <xdr:pic macro="[0]!Goto_Page">
      <xdr:nvPicPr>
        <xdr:cNvPr id="67" name="Pet">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814" y="812418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65801</xdr:colOff>
      <xdr:row>97</xdr:row>
      <xdr:rowOff>26779</xdr:rowOff>
    </xdr:from>
    <xdr:to>
      <xdr:col>6</xdr:col>
      <xdr:colOff>248681</xdr:colOff>
      <xdr:row>98</xdr:row>
      <xdr:rowOff>109</xdr:rowOff>
    </xdr:to>
    <xdr:pic macro="[0]!Goto_Page">
      <xdr:nvPicPr>
        <xdr:cNvPr id="68" name="LifeSPA">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551" y="927555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65831</xdr:colOff>
      <xdr:row>96</xdr:row>
      <xdr:rowOff>26779</xdr:rowOff>
    </xdr:from>
    <xdr:to>
      <xdr:col>6</xdr:col>
      <xdr:colOff>248711</xdr:colOff>
      <xdr:row>97</xdr:row>
      <xdr:rowOff>109</xdr:rowOff>
    </xdr:to>
    <xdr:pic macro="[0]!Goto_Page">
      <xdr:nvPicPr>
        <xdr:cNvPr id="69" name="Private">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581" y="905647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66730</xdr:colOff>
      <xdr:row>96</xdr:row>
      <xdr:rowOff>19050</xdr:rowOff>
    </xdr:from>
    <xdr:to>
      <xdr:col>14</xdr:col>
      <xdr:colOff>243895</xdr:colOff>
      <xdr:row>96</xdr:row>
      <xdr:rowOff>190500</xdr:rowOff>
    </xdr:to>
    <xdr:pic macro="[0]!Goto_Page">
      <xdr:nvPicPr>
        <xdr:cNvPr id="71" name="HealthIns">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605" y="904875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66760</xdr:colOff>
      <xdr:row>95</xdr:row>
      <xdr:rowOff>19050</xdr:rowOff>
    </xdr:from>
    <xdr:to>
      <xdr:col>14</xdr:col>
      <xdr:colOff>243925</xdr:colOff>
      <xdr:row>95</xdr:row>
      <xdr:rowOff>190500</xdr:rowOff>
    </xdr:to>
    <xdr:pic macro="[0]!Goto_Page">
      <xdr:nvPicPr>
        <xdr:cNvPr id="72" name="Maintenance">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635" y="882967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66675</xdr:colOff>
      <xdr:row>97</xdr:row>
      <xdr:rowOff>19050</xdr:rowOff>
    </xdr:from>
    <xdr:to>
      <xdr:col>14</xdr:col>
      <xdr:colOff>243840</xdr:colOff>
      <xdr:row>97</xdr:row>
      <xdr:rowOff>190500</xdr:rowOff>
    </xdr:to>
    <xdr:pic macro="[0]!Goto_Page">
      <xdr:nvPicPr>
        <xdr:cNvPr id="73" name="SecResi">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550" y="926782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66675</xdr:colOff>
      <xdr:row>98</xdr:row>
      <xdr:rowOff>19050</xdr:rowOff>
    </xdr:from>
    <xdr:to>
      <xdr:col>14</xdr:col>
      <xdr:colOff>243840</xdr:colOff>
      <xdr:row>98</xdr:row>
      <xdr:rowOff>190500</xdr:rowOff>
    </xdr:to>
    <xdr:pic macro="[0]!Goto_Page">
      <xdr:nvPicPr>
        <xdr:cNvPr id="74" name="OtherExp">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550" y="948690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76200</xdr:colOff>
      <xdr:row>111</xdr:row>
      <xdr:rowOff>66675</xdr:rowOff>
    </xdr:from>
    <xdr:ext cx="115200" cy="115200"/>
    <xdr:pic macro="[0]!Delete_Item">
      <xdr:nvPicPr>
        <xdr:cNvPr id="80" name="Del_NLn_112" descr="Close with solid fill">
          <a:extLst>
            <a:ext uri="{FF2B5EF4-FFF2-40B4-BE49-F238E27FC236}">
              <a16:creationId xmlns:a16="http://schemas.microsoft.com/office/drawing/2014/main" id="{00000000-0008-0000-0700-00005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9550" y="10620375"/>
          <a:ext cx="115200" cy="115200"/>
        </a:xfrm>
        <a:prstGeom prst="rect">
          <a:avLst/>
        </a:prstGeom>
      </xdr:spPr>
    </xdr:pic>
    <xdr:clientData/>
  </xdr:oneCellAnchor>
  <xdr:twoCellAnchor>
    <xdr:from>
      <xdr:col>11</xdr:col>
      <xdr:colOff>47625</xdr:colOff>
      <xdr:row>111</xdr:row>
      <xdr:rowOff>47625</xdr:rowOff>
    </xdr:from>
    <xdr:to>
      <xdr:col>11</xdr:col>
      <xdr:colOff>175749</xdr:colOff>
      <xdr:row>111</xdr:row>
      <xdr:rowOff>183475</xdr:rowOff>
    </xdr:to>
    <xdr:pic macro="[0]!Goto_Page">
      <xdr:nvPicPr>
        <xdr:cNvPr id="75" name="RateSheetI_112" descr="Magnifying glass with solid fill" hidden="1">
          <a:extLst>
            <a:ext uri="{FF2B5EF4-FFF2-40B4-BE49-F238E27FC236}">
              <a16:creationId xmlns:a16="http://schemas.microsoft.com/office/drawing/2014/main" id="{00000000-0008-0000-0700-00004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7477125" y="10601325"/>
          <a:ext cx="128124" cy="135850"/>
        </a:xfrm>
        <a:prstGeom prst="rect">
          <a:avLst/>
        </a:prstGeom>
      </xdr:spPr>
    </xdr:pic>
    <xdr:clientData/>
  </xdr:twoCellAnchor>
  <xdr:twoCellAnchor>
    <xdr:from>
      <xdr:col>13</xdr:col>
      <xdr:colOff>57150</xdr:colOff>
      <xdr:row>111</xdr:row>
      <xdr:rowOff>47625</xdr:rowOff>
    </xdr:from>
    <xdr:to>
      <xdr:col>13</xdr:col>
      <xdr:colOff>188449</xdr:colOff>
      <xdr:row>111</xdr:row>
      <xdr:rowOff>183475</xdr:rowOff>
    </xdr:to>
    <xdr:pic macro="[0]!Goto_Page">
      <xdr:nvPicPr>
        <xdr:cNvPr id="76" name="RateSheetS_112" descr="Magnifying glass with solid fill" hidden="1">
          <a:extLst>
            <a:ext uri="{FF2B5EF4-FFF2-40B4-BE49-F238E27FC236}">
              <a16:creationId xmlns:a16="http://schemas.microsoft.com/office/drawing/2014/main" id="{00000000-0008-0000-0700-00004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010650" y="10601325"/>
          <a:ext cx="131299" cy="135850"/>
        </a:xfrm>
        <a:prstGeom prst="rect">
          <a:avLst/>
        </a:prstGeom>
      </xdr:spPr>
    </xdr:pic>
    <xdr:clientData/>
  </xdr:twoCellAnchor>
  <xdr:oneCellAnchor>
    <xdr:from>
      <xdr:col>9</xdr:col>
      <xdr:colOff>38442</xdr:colOff>
      <xdr:row>47</xdr:row>
      <xdr:rowOff>19051</xdr:rowOff>
    </xdr:from>
    <xdr:ext cx="171450" cy="171450"/>
    <xdr:pic macro="[0]!Goto_Page">
      <xdr:nvPicPr>
        <xdr:cNvPr id="15" name="InvProp_48" hidden="1">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942" y="4524376"/>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76200</xdr:colOff>
      <xdr:row>47</xdr:row>
      <xdr:rowOff>57150</xdr:rowOff>
    </xdr:from>
    <xdr:ext cx="115200" cy="115200"/>
    <xdr:pic macro="[0]!Delete_Item">
      <xdr:nvPicPr>
        <xdr:cNvPr id="16" name="Del_Inc_48" descr="Close with solid fill">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9550" y="4562475"/>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5</xdr:col>
          <xdr:colOff>330200</xdr:colOff>
          <xdr:row>111</xdr:row>
          <xdr:rowOff>25400</xdr:rowOff>
        </xdr:from>
        <xdr:to>
          <xdr:col>5</xdr:col>
          <xdr:colOff>635000</xdr:colOff>
          <xdr:row>111</xdr:row>
          <xdr:rowOff>177800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700-00001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685800</xdr:colOff>
      <xdr:row>102</xdr:row>
      <xdr:rowOff>28575</xdr:rowOff>
    </xdr:from>
    <xdr:to>
      <xdr:col>5</xdr:col>
      <xdr:colOff>847237</xdr:colOff>
      <xdr:row>102</xdr:row>
      <xdr:rowOff>193167</xdr:rowOff>
    </xdr:to>
    <xdr:pic>
      <xdr:nvPicPr>
        <xdr:cNvPr id="18" name="Info_btn_LOAN" descr="See the source image">
          <a:hlinkClick xmlns:r="http://schemas.openxmlformats.org/officeDocument/2006/relationships" r:id="" tooltip="ANZ allows gearing benefits to be applied to funds lent to acquire or refinance residential properties that are earning rental income,&#10;generally cash out is not acceptable unless it is used in a subsequent application to facilitate an investment property purchase. &#10;Home Loans in a Company Name can not be marked as deductible"/>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00425" y="10363200"/>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676275</xdr:colOff>
      <xdr:row>56</xdr:row>
      <xdr:rowOff>28575</xdr:rowOff>
    </xdr:from>
    <xdr:to>
      <xdr:col>5</xdr:col>
      <xdr:colOff>837712</xdr:colOff>
      <xdr:row>56</xdr:row>
      <xdr:rowOff>193167</xdr:rowOff>
    </xdr:to>
    <xdr:pic>
      <xdr:nvPicPr>
        <xdr:cNvPr id="20" name="Info_btn_LIAB" descr="See the source image">
          <a:hlinkClick xmlns:r="http://schemas.openxmlformats.org/officeDocument/2006/relationships" r:id="" tooltip="ANZ allows gearing benefits on loans used to acquire or refinance residential properties that are earning rental income.&#10;Business lending and Home Loans in a Company Name can not be marked as deductible"/>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90900" y="5676900"/>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133350</xdr:colOff>
      <xdr:row>2</xdr:row>
      <xdr:rowOff>47625</xdr:rowOff>
    </xdr:from>
    <xdr:to>
      <xdr:col>3</xdr:col>
      <xdr:colOff>610768</xdr:colOff>
      <xdr:row>2</xdr:row>
      <xdr:rowOff>326100</xdr:rowOff>
    </xdr:to>
    <xdr:pic>
      <xdr:nvPicPr>
        <xdr:cNvPr id="2" name="Picture 1" descr="ANZ 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6700"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330200</xdr:colOff>
          <xdr:row>26</xdr:row>
          <xdr:rowOff>25400</xdr:rowOff>
        </xdr:from>
        <xdr:to>
          <xdr:col>5</xdr:col>
          <xdr:colOff>635000</xdr:colOff>
          <xdr:row>26</xdr:row>
          <xdr:rowOff>177800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700-00001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27</xdr:row>
          <xdr:rowOff>25400</xdr:rowOff>
        </xdr:from>
        <xdr:to>
          <xdr:col>5</xdr:col>
          <xdr:colOff>635000</xdr:colOff>
          <xdr:row>27</xdr:row>
          <xdr:rowOff>177800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700-00001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28</xdr:row>
          <xdr:rowOff>25400</xdr:rowOff>
        </xdr:from>
        <xdr:to>
          <xdr:col>5</xdr:col>
          <xdr:colOff>635000</xdr:colOff>
          <xdr:row>28</xdr:row>
          <xdr:rowOff>177800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700-00001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26</xdr:row>
          <xdr:rowOff>25400</xdr:rowOff>
        </xdr:from>
        <xdr:to>
          <xdr:col>5</xdr:col>
          <xdr:colOff>635000</xdr:colOff>
          <xdr:row>26</xdr:row>
          <xdr:rowOff>177800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700-00001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27</xdr:row>
          <xdr:rowOff>25400</xdr:rowOff>
        </xdr:from>
        <xdr:to>
          <xdr:col>5</xdr:col>
          <xdr:colOff>635000</xdr:colOff>
          <xdr:row>27</xdr:row>
          <xdr:rowOff>177800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700-00001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28</xdr:row>
          <xdr:rowOff>25400</xdr:rowOff>
        </xdr:from>
        <xdr:to>
          <xdr:col>5</xdr:col>
          <xdr:colOff>635000</xdr:colOff>
          <xdr:row>28</xdr:row>
          <xdr:rowOff>177800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700-00002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26</xdr:row>
          <xdr:rowOff>25400</xdr:rowOff>
        </xdr:from>
        <xdr:to>
          <xdr:col>5</xdr:col>
          <xdr:colOff>635000</xdr:colOff>
          <xdr:row>26</xdr:row>
          <xdr:rowOff>177800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700-00002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27</xdr:row>
          <xdr:rowOff>25400</xdr:rowOff>
        </xdr:from>
        <xdr:to>
          <xdr:col>5</xdr:col>
          <xdr:colOff>635000</xdr:colOff>
          <xdr:row>27</xdr:row>
          <xdr:rowOff>177800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700-00002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28</xdr:row>
          <xdr:rowOff>25400</xdr:rowOff>
        </xdr:from>
        <xdr:to>
          <xdr:col>5</xdr:col>
          <xdr:colOff>635000</xdr:colOff>
          <xdr:row>28</xdr:row>
          <xdr:rowOff>177800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700-00002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25</xdr:row>
          <xdr:rowOff>25400</xdr:rowOff>
        </xdr:from>
        <xdr:to>
          <xdr:col>8</xdr:col>
          <xdr:colOff>711200</xdr:colOff>
          <xdr:row>25</xdr:row>
          <xdr:rowOff>177800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700-00002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26</xdr:row>
          <xdr:rowOff>25400</xdr:rowOff>
        </xdr:from>
        <xdr:to>
          <xdr:col>8</xdr:col>
          <xdr:colOff>711200</xdr:colOff>
          <xdr:row>26</xdr:row>
          <xdr:rowOff>177800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700-00002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27</xdr:row>
          <xdr:rowOff>25400</xdr:rowOff>
        </xdr:from>
        <xdr:to>
          <xdr:col>8</xdr:col>
          <xdr:colOff>711200</xdr:colOff>
          <xdr:row>27</xdr:row>
          <xdr:rowOff>177800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700-00002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28</xdr:row>
          <xdr:rowOff>25400</xdr:rowOff>
        </xdr:from>
        <xdr:to>
          <xdr:col>8</xdr:col>
          <xdr:colOff>711200</xdr:colOff>
          <xdr:row>28</xdr:row>
          <xdr:rowOff>177800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700-00002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25</xdr:row>
      <xdr:rowOff>57150</xdr:rowOff>
    </xdr:from>
    <xdr:ext cx="115200" cy="115200"/>
    <xdr:pic macro="[0]!Delete_Item">
      <xdr:nvPicPr>
        <xdr:cNvPr id="23" name="Del_Emp_26" descr="Close with solid fill">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9550" y="2962275"/>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12</xdr:col>
          <xdr:colOff>279400</xdr:colOff>
          <xdr:row>28</xdr:row>
          <xdr:rowOff>25400</xdr:rowOff>
        </xdr:from>
        <xdr:to>
          <xdr:col>12</xdr:col>
          <xdr:colOff>584200</xdr:colOff>
          <xdr:row>28</xdr:row>
          <xdr:rowOff>177800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700-00002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6</xdr:col>
      <xdr:colOff>28575</xdr:colOff>
      <xdr:row>25</xdr:row>
      <xdr:rowOff>38100</xdr:rowOff>
    </xdr:from>
    <xdr:ext cx="171450" cy="171450"/>
    <xdr:pic macro="[0]!Goto_Page">
      <xdr:nvPicPr>
        <xdr:cNvPr id="24" name="SalCred_26" descr="Credit card with solid fill">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600450" y="2943225"/>
          <a:ext cx="171450" cy="171450"/>
        </a:xfrm>
        <a:prstGeom prst="rect">
          <a:avLst/>
        </a:prstGeom>
      </xdr:spPr>
    </xdr:pic>
    <xdr:clientData/>
  </xdr:oneCellAnchor>
  <xdr:oneCellAnchor>
    <xdr:from>
      <xdr:col>13</xdr:col>
      <xdr:colOff>0</xdr:colOff>
      <xdr:row>25</xdr:row>
      <xdr:rowOff>19050</xdr:rowOff>
    </xdr:from>
    <xdr:ext cx="180000" cy="180000"/>
    <xdr:pic macro="[0]!Goto_Page">
      <xdr:nvPicPr>
        <xdr:cNvPr id="25" name="BaseInc_26" descr="Calculator with solid fill">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953500" y="2924175"/>
          <a:ext cx="180000" cy="180000"/>
        </a:xfrm>
        <a:prstGeom prst="rect">
          <a:avLst/>
        </a:prstGeom>
      </xdr:spPr>
    </xdr:pic>
    <xdr:clientData/>
  </xdr:oneCellAnchor>
  <xdr:oneCellAnchor>
    <xdr:from>
      <xdr:col>3</xdr:col>
      <xdr:colOff>1219200</xdr:colOff>
      <xdr:row>30</xdr:row>
      <xdr:rowOff>57150</xdr:rowOff>
    </xdr:from>
    <xdr:ext cx="115200" cy="115200"/>
    <xdr:pic macro="[0]!Delete_addback">
      <xdr:nvPicPr>
        <xdr:cNvPr id="27" name="Del_Add_31" descr="Close with solid fill" hidden="1">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00200" y="4010025"/>
          <a:ext cx="115200" cy="115200"/>
        </a:xfrm>
        <a:prstGeom prst="rect">
          <a:avLst/>
        </a:prstGeom>
      </xdr:spPr>
    </xdr:pic>
    <xdr:clientData/>
  </xdr:oneCellAnchor>
  <xdr:oneCellAnchor>
    <xdr:from>
      <xdr:col>3</xdr:col>
      <xdr:colOff>1219200</xdr:colOff>
      <xdr:row>31</xdr:row>
      <xdr:rowOff>66675</xdr:rowOff>
    </xdr:from>
    <xdr:ext cx="115200" cy="115200"/>
    <xdr:pic macro="[0]!Delete_addback">
      <xdr:nvPicPr>
        <xdr:cNvPr id="29" name="Del_Add_32" descr="Close with solid fill" hidden="1">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00200" y="4238625"/>
          <a:ext cx="115200" cy="115200"/>
        </a:xfrm>
        <a:prstGeom prst="rect">
          <a:avLst/>
        </a:prstGeom>
      </xdr:spPr>
    </xdr:pic>
    <xdr:clientData/>
  </xdr:oneCellAnchor>
  <xdr:oneCellAnchor>
    <xdr:from>
      <xdr:col>3</xdr:col>
      <xdr:colOff>1219200</xdr:colOff>
      <xdr:row>32</xdr:row>
      <xdr:rowOff>57150</xdr:rowOff>
    </xdr:from>
    <xdr:ext cx="115200" cy="115200"/>
    <xdr:pic macro="[0]!Delete_addback">
      <xdr:nvPicPr>
        <xdr:cNvPr id="33" name="Del_Add_33" descr="Close with solid fill" hidden="1">
          <a:extLst>
            <a:ext uri="{FF2B5EF4-FFF2-40B4-BE49-F238E27FC236}">
              <a16:creationId xmlns:a16="http://schemas.microsoft.com/office/drawing/2014/main" id="{00000000-0008-0000-07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00200" y="4448175"/>
          <a:ext cx="115200" cy="115200"/>
        </a:xfrm>
        <a:prstGeom prst="rect">
          <a:avLst/>
        </a:prstGeom>
      </xdr:spPr>
    </xdr:pic>
    <xdr:clientData/>
  </xdr:oneCellAnchor>
  <xdr:oneCellAnchor>
    <xdr:from>
      <xdr:col>3</xdr:col>
      <xdr:colOff>1219200</xdr:colOff>
      <xdr:row>33</xdr:row>
      <xdr:rowOff>57150</xdr:rowOff>
    </xdr:from>
    <xdr:ext cx="115200" cy="115200"/>
    <xdr:pic macro="[0]!Delete_addback">
      <xdr:nvPicPr>
        <xdr:cNvPr id="34" name="Del_Add_34" descr="Close with solid fill" hidden="1">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00200" y="4667250"/>
          <a:ext cx="115200" cy="115200"/>
        </a:xfrm>
        <a:prstGeom prst="rect">
          <a:avLst/>
        </a:prstGeom>
      </xdr:spPr>
    </xdr:pic>
    <xdr:clientData/>
  </xdr:oneCellAnchor>
  <xdr:twoCellAnchor>
    <xdr:from>
      <xdr:col>4</xdr:col>
      <xdr:colOff>66675</xdr:colOff>
      <xdr:row>34</xdr:row>
      <xdr:rowOff>38099</xdr:rowOff>
    </xdr:from>
    <xdr:to>
      <xdr:col>4</xdr:col>
      <xdr:colOff>876675</xdr:colOff>
      <xdr:row>34</xdr:row>
      <xdr:rowOff>200024</xdr:rowOff>
    </xdr:to>
    <xdr:sp macro="[0]!Add_addback" textlink="">
      <xdr:nvSpPr>
        <xdr:cNvPr id="35" name="Add_Add_35">
          <a:extLst>
            <a:ext uri="{FF2B5EF4-FFF2-40B4-BE49-F238E27FC236}">
              <a16:creationId xmlns:a16="http://schemas.microsoft.com/office/drawing/2014/main" id="{00000000-0008-0000-0700-000023000000}"/>
            </a:ext>
          </a:extLst>
        </xdr:cNvPr>
        <xdr:cNvSpPr txBox="1"/>
      </xdr:nvSpPr>
      <xdr:spPr>
        <a:xfrm>
          <a:off x="1828800" y="3771899"/>
          <a:ext cx="8100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 Sal Sacrifice</a:t>
          </a:r>
        </a:p>
      </xdr:txBody>
    </xdr:sp>
    <xdr:clientData/>
  </xdr:twoCellAnchor>
  <xdr:twoCellAnchor editAs="oneCell">
    <xdr:from>
      <xdr:col>8</xdr:col>
      <xdr:colOff>133350</xdr:colOff>
      <xdr:row>130</xdr:row>
      <xdr:rowOff>28575</xdr:rowOff>
    </xdr:from>
    <xdr:to>
      <xdr:col>8</xdr:col>
      <xdr:colOff>283920</xdr:colOff>
      <xdr:row>130</xdr:row>
      <xdr:rowOff>190575</xdr:rowOff>
    </xdr:to>
    <xdr:pic macro="[0]!RefreshBP">
      <xdr:nvPicPr>
        <xdr:cNvPr id="6275" name="RefreshBP" descr="Repeat with solid fill" hidden="1">
          <a:extLst>
            <a:ext uri="{FF2B5EF4-FFF2-40B4-BE49-F238E27FC236}">
              <a16:creationId xmlns:a16="http://schemas.microsoft.com/office/drawing/2014/main" id="{00000000-0008-0000-0700-00008318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848350" y="14192250"/>
          <a:ext cx="162000" cy="162000"/>
        </a:xfrm>
        <a:prstGeom prst="rect">
          <a:avLst/>
        </a:prstGeom>
      </xdr:spPr>
    </xdr:pic>
    <xdr:clientData/>
  </xdr:twoCellAnchor>
  <xdr:twoCellAnchor>
    <xdr:from>
      <xdr:col>12</xdr:col>
      <xdr:colOff>685800</xdr:colOff>
      <xdr:row>3</xdr:row>
      <xdr:rowOff>62594</xdr:rowOff>
    </xdr:from>
    <xdr:to>
      <xdr:col>14</xdr:col>
      <xdr:colOff>76200</xdr:colOff>
      <xdr:row>5</xdr:row>
      <xdr:rowOff>13064</xdr:rowOff>
    </xdr:to>
    <xdr:sp macro="[0]!Remove_SOP" textlink="">
      <xdr:nvSpPr>
        <xdr:cNvPr id="6276" name="DeleteSOP">
          <a:extLst>
            <a:ext uri="{FF2B5EF4-FFF2-40B4-BE49-F238E27FC236}">
              <a16:creationId xmlns:a16="http://schemas.microsoft.com/office/drawing/2014/main" id="{00000000-0008-0000-0700-000084180000}"/>
            </a:ext>
          </a:extLst>
        </xdr:cNvPr>
        <xdr:cNvSpPr/>
      </xdr:nvSpPr>
      <xdr:spPr>
        <a:xfrm>
          <a:off x="8877300" y="586469"/>
          <a:ext cx="914400" cy="274320"/>
        </a:xfrm>
        <a:prstGeom prst="roundRect">
          <a:avLst/>
        </a:prstGeom>
        <a:solidFill>
          <a:schemeClr val="bg1"/>
        </a:solidFill>
        <a:ln>
          <a:solidFill>
            <a:srgbClr val="B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36000" rtlCol="0" anchor="ctr"/>
        <a:lstStyle/>
        <a:p>
          <a:pPr algn="ctr"/>
          <a:r>
            <a:rPr lang="en-AU" sz="1000">
              <a:solidFill>
                <a:srgbClr val="B60000"/>
              </a:solidFill>
            </a:rPr>
            <a:t>Delete SoP</a:t>
          </a:r>
        </a:p>
      </xdr:txBody>
    </xdr:sp>
    <xdr:clientData/>
  </xdr:twoCellAnchor>
  <xdr:twoCellAnchor>
    <xdr:from>
      <xdr:col>3</xdr:col>
      <xdr:colOff>628650</xdr:colOff>
      <xdr:row>28</xdr:row>
      <xdr:rowOff>28575</xdr:rowOff>
    </xdr:from>
    <xdr:to>
      <xdr:col>3</xdr:col>
      <xdr:colOff>790087</xdr:colOff>
      <xdr:row>28</xdr:row>
      <xdr:rowOff>193167</xdr:rowOff>
    </xdr:to>
    <xdr:pic>
      <xdr:nvPicPr>
        <xdr:cNvPr id="21" name="Inf_Own_29" descr="See the source image" hidden="1">
          <a:hlinkClick xmlns:r="http://schemas.openxmlformats.org/officeDocument/2006/relationships" r:id="" tooltip="If the trust has liabilities and not all individuals are on the application, the selected parties are eligible for 100% ownership"/>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09650" y="3543300"/>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1219200</xdr:colOff>
      <xdr:row>29</xdr:row>
      <xdr:rowOff>57150</xdr:rowOff>
    </xdr:from>
    <xdr:ext cx="115200" cy="115200"/>
    <xdr:pic macro="[0]!Delete_addback">
      <xdr:nvPicPr>
        <xdr:cNvPr id="22" name="Del_Add_30" descr="Close with solid fill" hidden="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600200" y="3790950"/>
          <a:ext cx="115200" cy="115200"/>
        </a:xfrm>
        <a:prstGeom prst="rect">
          <a:avLst/>
        </a:prstGeom>
      </xdr:spPr>
    </xdr:pic>
    <xdr:clientData/>
  </xdr:oneCellAnchor>
  <xdr:twoCellAnchor editAs="oneCell">
    <xdr:from>
      <xdr:col>13</xdr:col>
      <xdr:colOff>0</xdr:colOff>
      <xdr:row>25</xdr:row>
      <xdr:rowOff>19050</xdr:rowOff>
    </xdr:from>
    <xdr:to>
      <xdr:col>13</xdr:col>
      <xdr:colOff>174285</xdr:colOff>
      <xdr:row>26</xdr:row>
      <xdr:rowOff>930</xdr:rowOff>
    </xdr:to>
    <xdr:pic macro="[0]!BaseIncomeCalc">
      <xdr:nvPicPr>
        <xdr:cNvPr id="17" name="BaseInc_26" descr="Calculator with solid fill" hidden="1">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39225" y="2876550"/>
          <a:ext cx="180000" cy="18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279400</xdr:colOff>
          <xdr:row>25</xdr:row>
          <xdr:rowOff>25400</xdr:rowOff>
        </xdr:from>
        <xdr:to>
          <xdr:col>13</xdr:col>
          <xdr:colOff>584200</xdr:colOff>
          <xdr:row>25</xdr:row>
          <xdr:rowOff>177800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700-00002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266700</xdr:colOff>
          <xdr:row>16</xdr:row>
          <xdr:rowOff>25400</xdr:rowOff>
        </xdr:from>
        <xdr:to>
          <xdr:col>36</xdr:col>
          <xdr:colOff>304800</xdr:colOff>
          <xdr:row>16</xdr:row>
          <xdr:rowOff>177800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700-00002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266700</xdr:colOff>
          <xdr:row>16</xdr:row>
          <xdr:rowOff>25400</xdr:rowOff>
        </xdr:from>
        <xdr:to>
          <xdr:col>36</xdr:col>
          <xdr:colOff>304800</xdr:colOff>
          <xdr:row>16</xdr:row>
          <xdr:rowOff>177800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700-00002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13</xdr:col>
      <xdr:colOff>19048</xdr:colOff>
      <xdr:row>26</xdr:row>
      <xdr:rowOff>57148</xdr:rowOff>
    </xdr:from>
    <xdr:to>
      <xdr:col>13</xdr:col>
      <xdr:colOff>695325</xdr:colOff>
      <xdr:row>27</xdr:row>
      <xdr:rowOff>9525</xdr:rowOff>
    </xdr:to>
    <xdr:sp macro="[0]!Goto_Page" textlink="">
      <xdr:nvSpPr>
        <xdr:cNvPr id="19" name="Mty_Ent_27" hidden="1">
          <a:extLst>
            <a:ext uri="{FF2B5EF4-FFF2-40B4-BE49-F238E27FC236}">
              <a16:creationId xmlns:a16="http://schemas.microsoft.com/office/drawing/2014/main" id="{00000000-0008-0000-0700-000013000000}"/>
            </a:ext>
          </a:extLst>
        </xdr:cNvPr>
        <xdr:cNvSpPr txBox="1"/>
      </xdr:nvSpPr>
      <xdr:spPr>
        <a:xfrm>
          <a:off x="9058273" y="3133723"/>
          <a:ext cx="676277" cy="171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Multi Entity</a:t>
          </a:r>
        </a:p>
      </xdr:txBody>
    </xdr:sp>
    <xdr:clientData/>
  </xdr:twoCellAnchor>
  <xdr:oneCellAnchor>
    <xdr:from>
      <xdr:col>13</xdr:col>
      <xdr:colOff>0</xdr:colOff>
      <xdr:row>35</xdr:row>
      <xdr:rowOff>0</xdr:rowOff>
    </xdr:from>
    <xdr:ext cx="180000" cy="180000"/>
    <xdr:pic macro="[0]!BaseIncomeCalc">
      <xdr:nvPicPr>
        <xdr:cNvPr id="6283" name="BaseInc_36" descr="Calculator with solid fill" hidden="1">
          <a:extLst>
            <a:ext uri="{FF2B5EF4-FFF2-40B4-BE49-F238E27FC236}">
              <a16:creationId xmlns:a16="http://schemas.microsoft.com/office/drawing/2014/main" id="{00000000-0008-0000-0700-00008B18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876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295" name="BaseInc_36" descr="Calculator with solid fill" hidden="1">
          <a:extLst>
            <a:ext uri="{FF2B5EF4-FFF2-40B4-BE49-F238E27FC236}">
              <a16:creationId xmlns:a16="http://schemas.microsoft.com/office/drawing/2014/main" id="{00000000-0008-0000-0700-00009718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876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39" name="BaseInc_36" descr="Calculator with solid fill" hidden="1">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39719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52" name="BaseInc_36" descr="Calculator with solid fill" hidden="1">
          <a:extLst>
            <a:ext uri="{FF2B5EF4-FFF2-40B4-BE49-F238E27FC236}">
              <a16:creationId xmlns:a16="http://schemas.microsoft.com/office/drawing/2014/main" id="{00000000-0008-0000-0700-00003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50673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87" name="BaseInc_36" descr="Calculator with solid fill" hidden="1">
          <a:extLst>
            <a:ext uri="{FF2B5EF4-FFF2-40B4-BE49-F238E27FC236}">
              <a16:creationId xmlns:a16="http://schemas.microsoft.com/office/drawing/2014/main" id="{00000000-0008-0000-0700-00005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61626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158" name="BaseInc_36" descr="Calculator with solid fill" hidden="1">
          <a:extLst>
            <a:ext uri="{FF2B5EF4-FFF2-40B4-BE49-F238E27FC236}">
              <a16:creationId xmlns:a16="http://schemas.microsoft.com/office/drawing/2014/main" id="{00000000-0008-0000-0700-00000E18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72580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316" name="BaseInc_36" descr="Calculator with solid fill" hidden="1">
          <a:extLst>
            <a:ext uri="{FF2B5EF4-FFF2-40B4-BE49-F238E27FC236}">
              <a16:creationId xmlns:a16="http://schemas.microsoft.com/office/drawing/2014/main" id="{00000000-0008-0000-0700-0000AC18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83534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343" name="BaseInc_36" descr="Calculator with solid fill" hidden="1">
          <a:extLst>
            <a:ext uri="{FF2B5EF4-FFF2-40B4-BE49-F238E27FC236}">
              <a16:creationId xmlns:a16="http://schemas.microsoft.com/office/drawing/2014/main" id="{00000000-0008-0000-0700-0000C718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94488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370" name="BaseInc_36" descr="Calculator with solid fill" hidden="1">
          <a:extLst>
            <a:ext uri="{FF2B5EF4-FFF2-40B4-BE49-F238E27FC236}">
              <a16:creationId xmlns:a16="http://schemas.microsoft.com/office/drawing/2014/main" id="{00000000-0008-0000-0700-0000E218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05441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397" name="BaseInc_36" descr="Calculator with solid fill" hidden="1">
          <a:extLst>
            <a:ext uri="{FF2B5EF4-FFF2-40B4-BE49-F238E27FC236}">
              <a16:creationId xmlns:a16="http://schemas.microsoft.com/office/drawing/2014/main" id="{00000000-0008-0000-0700-0000FD18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1639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424" name="BaseInc_36" descr="Calculator with solid fill" hidden="1">
          <a:extLst>
            <a:ext uri="{FF2B5EF4-FFF2-40B4-BE49-F238E27FC236}">
              <a16:creationId xmlns:a16="http://schemas.microsoft.com/office/drawing/2014/main" id="{00000000-0008-0000-0700-000018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27349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451" name="BaseInc_36" descr="Calculator with solid fill" hidden="1">
          <a:extLst>
            <a:ext uri="{FF2B5EF4-FFF2-40B4-BE49-F238E27FC236}">
              <a16:creationId xmlns:a16="http://schemas.microsoft.com/office/drawing/2014/main" id="{00000000-0008-0000-0700-000033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38303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478" name="BaseInc_36" descr="Calculator with solid fill" hidden="1">
          <a:extLst>
            <a:ext uri="{FF2B5EF4-FFF2-40B4-BE49-F238E27FC236}">
              <a16:creationId xmlns:a16="http://schemas.microsoft.com/office/drawing/2014/main" id="{00000000-0008-0000-0700-00004E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49256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505" name="BaseInc_36" descr="Calculator with solid fill" hidden="1">
          <a:extLst>
            <a:ext uri="{FF2B5EF4-FFF2-40B4-BE49-F238E27FC236}">
              <a16:creationId xmlns:a16="http://schemas.microsoft.com/office/drawing/2014/main" id="{00000000-0008-0000-0700-000069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60210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532" name="BaseInc_36" descr="Calculator with solid fill" hidden="1">
          <a:extLst>
            <a:ext uri="{FF2B5EF4-FFF2-40B4-BE49-F238E27FC236}">
              <a16:creationId xmlns:a16="http://schemas.microsoft.com/office/drawing/2014/main" id="{00000000-0008-0000-0700-000084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71164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559" name="BaseInc_36" descr="Calculator with solid fill" hidden="1">
          <a:extLst>
            <a:ext uri="{FF2B5EF4-FFF2-40B4-BE49-F238E27FC236}">
              <a16:creationId xmlns:a16="http://schemas.microsoft.com/office/drawing/2014/main" id="{00000000-0008-0000-0700-00009F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82118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586" name="BaseInc_36" descr="Calculator with solid fill" hidden="1">
          <a:extLst>
            <a:ext uri="{FF2B5EF4-FFF2-40B4-BE49-F238E27FC236}">
              <a16:creationId xmlns:a16="http://schemas.microsoft.com/office/drawing/2014/main" id="{00000000-0008-0000-0700-0000BA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93071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613" name="BaseInc_36" descr="Calculator with solid fill" hidden="1">
          <a:extLst>
            <a:ext uri="{FF2B5EF4-FFF2-40B4-BE49-F238E27FC236}">
              <a16:creationId xmlns:a16="http://schemas.microsoft.com/office/drawing/2014/main" id="{00000000-0008-0000-0700-0000D5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0402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640" name="BaseInc_36" descr="Calculator with solid fill" hidden="1">
          <a:extLst>
            <a:ext uri="{FF2B5EF4-FFF2-40B4-BE49-F238E27FC236}">
              <a16:creationId xmlns:a16="http://schemas.microsoft.com/office/drawing/2014/main" id="{00000000-0008-0000-0700-0000F019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14979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667" name="BaseInc_36" descr="Calculator with solid fill" hidden="1">
          <a:extLst>
            <a:ext uri="{FF2B5EF4-FFF2-40B4-BE49-F238E27FC236}">
              <a16:creationId xmlns:a16="http://schemas.microsoft.com/office/drawing/2014/main" id="{00000000-0008-0000-0700-00000B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25933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694" name="BaseInc_36" descr="Calculator with solid fill" hidden="1">
          <a:extLst>
            <a:ext uri="{FF2B5EF4-FFF2-40B4-BE49-F238E27FC236}">
              <a16:creationId xmlns:a16="http://schemas.microsoft.com/office/drawing/2014/main" id="{00000000-0008-0000-0700-000026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36886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721" name="BaseInc_36" descr="Calculator with solid fill" hidden="1">
          <a:extLst>
            <a:ext uri="{FF2B5EF4-FFF2-40B4-BE49-F238E27FC236}">
              <a16:creationId xmlns:a16="http://schemas.microsoft.com/office/drawing/2014/main" id="{00000000-0008-0000-0700-000041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47840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748" name="BaseInc_36" descr="Calculator with solid fill" hidden="1">
          <a:extLst>
            <a:ext uri="{FF2B5EF4-FFF2-40B4-BE49-F238E27FC236}">
              <a16:creationId xmlns:a16="http://schemas.microsoft.com/office/drawing/2014/main" id="{00000000-0008-0000-0700-00005C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58794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775" name="BaseInc_36" descr="Calculator with solid fill" hidden="1">
          <a:extLst>
            <a:ext uri="{FF2B5EF4-FFF2-40B4-BE49-F238E27FC236}">
              <a16:creationId xmlns:a16="http://schemas.microsoft.com/office/drawing/2014/main" id="{00000000-0008-0000-0700-000077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69748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802" name="BaseInc_36" descr="Calculator with solid fill" hidden="1">
          <a:extLst>
            <a:ext uri="{FF2B5EF4-FFF2-40B4-BE49-F238E27FC236}">
              <a16:creationId xmlns:a16="http://schemas.microsoft.com/office/drawing/2014/main" id="{00000000-0008-0000-0700-000092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80701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829" name="BaseInc_36" descr="Calculator with solid fill" hidden="1">
          <a:extLst>
            <a:ext uri="{FF2B5EF4-FFF2-40B4-BE49-F238E27FC236}">
              <a16:creationId xmlns:a16="http://schemas.microsoft.com/office/drawing/2014/main" id="{00000000-0008-0000-0700-0000AD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9165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856" name="BaseInc_36" descr="Calculator with solid fill" hidden="1">
          <a:extLst>
            <a:ext uri="{FF2B5EF4-FFF2-40B4-BE49-F238E27FC236}">
              <a16:creationId xmlns:a16="http://schemas.microsoft.com/office/drawing/2014/main" id="{00000000-0008-0000-0700-0000C8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302609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883" name="BaseInc_36" descr="Calculator with solid fill" hidden="1">
          <a:extLst>
            <a:ext uri="{FF2B5EF4-FFF2-40B4-BE49-F238E27FC236}">
              <a16:creationId xmlns:a16="http://schemas.microsoft.com/office/drawing/2014/main" id="{00000000-0008-0000-0700-0000E3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313563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910" name="BaseInc_36" descr="Calculator with solid fill" hidden="1">
          <a:extLst>
            <a:ext uri="{FF2B5EF4-FFF2-40B4-BE49-F238E27FC236}">
              <a16:creationId xmlns:a16="http://schemas.microsoft.com/office/drawing/2014/main" id="{00000000-0008-0000-0700-0000FE1A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324516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937" name="BaseInc_36" descr="Calculator with solid fill" hidden="1">
          <a:extLst>
            <a:ext uri="{FF2B5EF4-FFF2-40B4-BE49-F238E27FC236}">
              <a16:creationId xmlns:a16="http://schemas.microsoft.com/office/drawing/2014/main" id="{00000000-0008-0000-0700-000019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335470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964" name="BaseInc_36" descr="Calculator with solid fill" hidden="1">
          <a:extLst>
            <a:ext uri="{FF2B5EF4-FFF2-40B4-BE49-F238E27FC236}">
              <a16:creationId xmlns:a16="http://schemas.microsoft.com/office/drawing/2014/main" id="{00000000-0008-0000-0700-000034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876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6991" name="BaseInc_36" descr="Calculator with solid fill" hidden="1">
          <a:extLst>
            <a:ext uri="{FF2B5EF4-FFF2-40B4-BE49-F238E27FC236}">
              <a16:creationId xmlns:a16="http://schemas.microsoft.com/office/drawing/2014/main" id="{00000000-0008-0000-0700-00004F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39719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018" name="BaseInc_36" descr="Calculator with solid fill" hidden="1">
          <a:extLst>
            <a:ext uri="{FF2B5EF4-FFF2-40B4-BE49-F238E27FC236}">
              <a16:creationId xmlns:a16="http://schemas.microsoft.com/office/drawing/2014/main" id="{00000000-0008-0000-0700-00006A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50673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045" name="BaseInc_36" descr="Calculator with solid fill" hidden="1">
          <a:extLst>
            <a:ext uri="{FF2B5EF4-FFF2-40B4-BE49-F238E27FC236}">
              <a16:creationId xmlns:a16="http://schemas.microsoft.com/office/drawing/2014/main" id="{00000000-0008-0000-0700-000085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61626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072" name="BaseInc_36" descr="Calculator with solid fill" hidden="1">
          <a:extLst>
            <a:ext uri="{FF2B5EF4-FFF2-40B4-BE49-F238E27FC236}">
              <a16:creationId xmlns:a16="http://schemas.microsoft.com/office/drawing/2014/main" id="{00000000-0008-0000-0700-0000A0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72580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099" name="BaseInc_36" descr="Calculator with solid fill" hidden="1">
          <a:extLst>
            <a:ext uri="{FF2B5EF4-FFF2-40B4-BE49-F238E27FC236}">
              <a16:creationId xmlns:a16="http://schemas.microsoft.com/office/drawing/2014/main" id="{00000000-0008-0000-0700-0000BB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83534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126" name="BaseInc_36" descr="Calculator with solid fill" hidden="1">
          <a:extLst>
            <a:ext uri="{FF2B5EF4-FFF2-40B4-BE49-F238E27FC236}">
              <a16:creationId xmlns:a16="http://schemas.microsoft.com/office/drawing/2014/main" id="{00000000-0008-0000-0700-0000D6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94488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153" name="BaseInc_36" descr="Calculator with solid fill" hidden="1">
          <a:extLst>
            <a:ext uri="{FF2B5EF4-FFF2-40B4-BE49-F238E27FC236}">
              <a16:creationId xmlns:a16="http://schemas.microsoft.com/office/drawing/2014/main" id="{00000000-0008-0000-0700-0000F11B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05441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180" name="BaseInc_36" descr="Calculator with solid fill" hidden="1">
          <a:extLst>
            <a:ext uri="{FF2B5EF4-FFF2-40B4-BE49-F238E27FC236}">
              <a16:creationId xmlns:a16="http://schemas.microsoft.com/office/drawing/2014/main" id="{00000000-0008-0000-0700-00000C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1639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207" name="BaseInc_36" descr="Calculator with solid fill" hidden="1">
          <a:extLst>
            <a:ext uri="{FF2B5EF4-FFF2-40B4-BE49-F238E27FC236}">
              <a16:creationId xmlns:a16="http://schemas.microsoft.com/office/drawing/2014/main" id="{00000000-0008-0000-0700-000027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27349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234" name="BaseInc_36" descr="Calculator with solid fill" hidden="1">
          <a:extLst>
            <a:ext uri="{FF2B5EF4-FFF2-40B4-BE49-F238E27FC236}">
              <a16:creationId xmlns:a16="http://schemas.microsoft.com/office/drawing/2014/main" id="{00000000-0008-0000-0700-000042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38303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261" name="BaseInc_36" descr="Calculator with solid fill" hidden="1">
          <a:extLst>
            <a:ext uri="{FF2B5EF4-FFF2-40B4-BE49-F238E27FC236}">
              <a16:creationId xmlns:a16="http://schemas.microsoft.com/office/drawing/2014/main" id="{00000000-0008-0000-0700-00005D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49256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288" name="BaseInc_36" descr="Calculator with solid fill" hidden="1">
          <a:extLst>
            <a:ext uri="{FF2B5EF4-FFF2-40B4-BE49-F238E27FC236}">
              <a16:creationId xmlns:a16="http://schemas.microsoft.com/office/drawing/2014/main" id="{00000000-0008-0000-0700-000078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60210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315" name="BaseInc_36" descr="Calculator with solid fill" hidden="1">
          <a:extLst>
            <a:ext uri="{FF2B5EF4-FFF2-40B4-BE49-F238E27FC236}">
              <a16:creationId xmlns:a16="http://schemas.microsoft.com/office/drawing/2014/main" id="{00000000-0008-0000-0700-000093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71164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342" name="BaseInc_36" descr="Calculator with solid fill" hidden="1">
          <a:extLst>
            <a:ext uri="{FF2B5EF4-FFF2-40B4-BE49-F238E27FC236}">
              <a16:creationId xmlns:a16="http://schemas.microsoft.com/office/drawing/2014/main" id="{00000000-0008-0000-0700-0000AE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821180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369" name="BaseInc_36" descr="Calculator with solid fill" hidden="1">
          <a:extLst>
            <a:ext uri="{FF2B5EF4-FFF2-40B4-BE49-F238E27FC236}">
              <a16:creationId xmlns:a16="http://schemas.microsoft.com/office/drawing/2014/main" id="{00000000-0008-0000-0700-0000C9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930717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396" name="BaseInc_36" descr="Calculator with solid fill" hidden="1">
          <a:extLst>
            <a:ext uri="{FF2B5EF4-FFF2-40B4-BE49-F238E27FC236}">
              <a16:creationId xmlns:a16="http://schemas.microsoft.com/office/drawing/2014/main" id="{00000000-0008-0000-0700-0000E4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0402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423" name="BaseInc_36" descr="Calculator with solid fill" hidden="1">
          <a:extLst>
            <a:ext uri="{FF2B5EF4-FFF2-40B4-BE49-F238E27FC236}">
              <a16:creationId xmlns:a16="http://schemas.microsoft.com/office/drawing/2014/main" id="{00000000-0008-0000-0700-0000FF1C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14979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450" name="BaseInc_36" descr="Calculator with solid fill" hidden="1">
          <a:extLst>
            <a:ext uri="{FF2B5EF4-FFF2-40B4-BE49-F238E27FC236}">
              <a16:creationId xmlns:a16="http://schemas.microsoft.com/office/drawing/2014/main" id="{00000000-0008-0000-0700-00001A1D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876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477" name="BaseInc_36" descr="Calculator with solid fill" hidden="1">
          <a:extLst>
            <a:ext uri="{FF2B5EF4-FFF2-40B4-BE49-F238E27FC236}">
              <a16:creationId xmlns:a16="http://schemas.microsoft.com/office/drawing/2014/main" id="{00000000-0008-0000-0700-0000351D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3971925"/>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504" name="BaseInc_36" descr="Calculator with solid fill" hidden="1">
          <a:extLst>
            <a:ext uri="{FF2B5EF4-FFF2-40B4-BE49-F238E27FC236}">
              <a16:creationId xmlns:a16="http://schemas.microsoft.com/office/drawing/2014/main" id="{00000000-0008-0000-0700-0000501D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876550"/>
          <a:ext cx="180000" cy="180000"/>
        </a:xfrm>
        <a:prstGeom prst="rect">
          <a:avLst/>
        </a:prstGeom>
      </xdr:spPr>
    </xdr:pic>
    <xdr:clientData/>
  </xdr:oneCellAnchor>
  <xdr:oneCellAnchor>
    <xdr:from>
      <xdr:col>13</xdr:col>
      <xdr:colOff>0</xdr:colOff>
      <xdr:row>35</xdr:row>
      <xdr:rowOff>0</xdr:rowOff>
    </xdr:from>
    <xdr:ext cx="180000" cy="180000"/>
    <xdr:pic macro="[0]!BaseIncomeCalc">
      <xdr:nvPicPr>
        <xdr:cNvPr id="7531" name="BaseInc_36" descr="Calculator with solid fill" hidden="1">
          <a:extLst>
            <a:ext uri="{FF2B5EF4-FFF2-40B4-BE49-F238E27FC236}">
              <a16:creationId xmlns:a16="http://schemas.microsoft.com/office/drawing/2014/main" id="{00000000-0008-0000-0700-00006B1D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876550"/>
          <a:ext cx="180000" cy="18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368300</xdr:colOff>
          <xdr:row>66</xdr:row>
          <xdr:rowOff>25400</xdr:rowOff>
        </xdr:from>
        <xdr:to>
          <xdr:col>4</xdr:col>
          <xdr:colOff>673100</xdr:colOff>
          <xdr:row>66</xdr:row>
          <xdr:rowOff>177800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700-00003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66</xdr:row>
          <xdr:rowOff>25400</xdr:rowOff>
        </xdr:from>
        <xdr:to>
          <xdr:col>5</xdr:col>
          <xdr:colOff>673100</xdr:colOff>
          <xdr:row>66</xdr:row>
          <xdr:rowOff>177800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700-00003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66</xdr:row>
      <xdr:rowOff>57150</xdr:rowOff>
    </xdr:from>
    <xdr:ext cx="115200" cy="115200"/>
    <xdr:pic macro="[0]!Delete_Item">
      <xdr:nvPicPr>
        <xdr:cNvPr id="6880" name="Del_Lby_67" descr="Close with solid fill">
          <a:extLst>
            <a:ext uri="{FF2B5EF4-FFF2-40B4-BE49-F238E27FC236}">
              <a16:creationId xmlns:a16="http://schemas.microsoft.com/office/drawing/2014/main" id="{00000000-0008-0000-0700-0000E01A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9550" y="6496050"/>
          <a:ext cx="115200" cy="1152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3</xdr:col>
      <xdr:colOff>1140238</xdr:colOff>
      <xdr:row>15</xdr:row>
      <xdr:rowOff>36910</xdr:rowOff>
    </xdr:from>
    <xdr:to>
      <xdr:col>3</xdr:col>
      <xdr:colOff>1291438</xdr:colOff>
      <xdr:row>15</xdr:row>
      <xdr:rowOff>189385</xdr:rowOff>
    </xdr:to>
    <xdr:grpSp>
      <xdr:nvGrpSpPr>
        <xdr:cNvPr id="2" name="Group 1">
          <a:extLst>
            <a:ext uri="{FF2B5EF4-FFF2-40B4-BE49-F238E27FC236}">
              <a16:creationId xmlns:a16="http://schemas.microsoft.com/office/drawing/2014/main" id="{00000000-0008-0000-0800-000002000000}"/>
            </a:ext>
          </a:extLst>
        </xdr:cNvPr>
        <xdr:cNvGrpSpPr/>
      </xdr:nvGrpSpPr>
      <xdr:grpSpPr>
        <a:xfrm>
          <a:off x="1508538" y="2373710"/>
          <a:ext cx="151200" cy="152475"/>
          <a:chOff x="1395033" y="2708672"/>
          <a:chExt cx="180000" cy="180000"/>
        </a:xfrm>
      </xdr:grpSpPr>
      <xdr:sp macro="[0]!Add_Employment" textlink="">
        <xdr:nvSpPr>
          <xdr:cNvPr id="3" name="Rounded Rectangle 3">
            <a:extLst>
              <a:ext uri="{FF2B5EF4-FFF2-40B4-BE49-F238E27FC236}">
                <a16:creationId xmlns:a16="http://schemas.microsoft.com/office/drawing/2014/main" id="{00000000-0008-0000-0800-000003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Employment" textlink="">
        <xdr:nvSpPr>
          <xdr:cNvPr id="4" name="Plus 4">
            <a:extLst>
              <a:ext uri="{FF2B5EF4-FFF2-40B4-BE49-F238E27FC236}">
                <a16:creationId xmlns:a16="http://schemas.microsoft.com/office/drawing/2014/main" id="{00000000-0008-0000-0800-000004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1146296</xdr:colOff>
      <xdr:row>37</xdr:row>
      <xdr:rowOff>19233</xdr:rowOff>
    </xdr:from>
    <xdr:to>
      <xdr:col>3</xdr:col>
      <xdr:colOff>1297496</xdr:colOff>
      <xdr:row>37</xdr:row>
      <xdr:rowOff>170433</xdr:rowOff>
    </xdr:to>
    <xdr:grpSp>
      <xdr:nvGrpSpPr>
        <xdr:cNvPr id="5" name="Group 4">
          <a:extLst>
            <a:ext uri="{FF2B5EF4-FFF2-40B4-BE49-F238E27FC236}">
              <a16:creationId xmlns:a16="http://schemas.microsoft.com/office/drawing/2014/main" id="{00000000-0008-0000-0800-000005000000}"/>
            </a:ext>
          </a:extLst>
        </xdr:cNvPr>
        <xdr:cNvGrpSpPr/>
      </xdr:nvGrpSpPr>
      <xdr:grpSpPr>
        <a:xfrm>
          <a:off x="1514596" y="4146733"/>
          <a:ext cx="151200" cy="151200"/>
          <a:chOff x="1395033" y="2708672"/>
          <a:chExt cx="180000" cy="180000"/>
        </a:xfrm>
      </xdr:grpSpPr>
      <xdr:sp macro="[0]!Add_Income" textlink="">
        <xdr:nvSpPr>
          <xdr:cNvPr id="6" name="Rounded Rectangle 6">
            <a:extLst>
              <a:ext uri="{FF2B5EF4-FFF2-40B4-BE49-F238E27FC236}">
                <a16:creationId xmlns:a16="http://schemas.microsoft.com/office/drawing/2014/main" id="{00000000-0008-0000-0800-000006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Income" textlink="">
        <xdr:nvSpPr>
          <xdr:cNvPr id="7" name="Plus 7">
            <a:extLst>
              <a:ext uri="{FF2B5EF4-FFF2-40B4-BE49-F238E27FC236}">
                <a16:creationId xmlns:a16="http://schemas.microsoft.com/office/drawing/2014/main" id="{00000000-0008-0000-0800-000007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1129445</xdr:colOff>
      <xdr:row>55</xdr:row>
      <xdr:rowOff>19966</xdr:rowOff>
    </xdr:from>
    <xdr:to>
      <xdr:col>3</xdr:col>
      <xdr:colOff>1291445</xdr:colOff>
      <xdr:row>55</xdr:row>
      <xdr:rowOff>181966</xdr:rowOff>
    </xdr:to>
    <xdr:grpSp>
      <xdr:nvGrpSpPr>
        <xdr:cNvPr id="8" name="Group 7">
          <a:extLst>
            <a:ext uri="{FF2B5EF4-FFF2-40B4-BE49-F238E27FC236}">
              <a16:creationId xmlns:a16="http://schemas.microsoft.com/office/drawing/2014/main" id="{00000000-0008-0000-0800-000008000000}"/>
            </a:ext>
          </a:extLst>
        </xdr:cNvPr>
        <xdr:cNvGrpSpPr/>
      </xdr:nvGrpSpPr>
      <xdr:grpSpPr>
        <a:xfrm>
          <a:off x="1497745" y="5734966"/>
          <a:ext cx="162000" cy="162000"/>
          <a:chOff x="1395033" y="2708672"/>
          <a:chExt cx="180000" cy="180000"/>
        </a:xfrm>
      </xdr:grpSpPr>
      <xdr:sp macro="[0]!Add_Liability" textlink="">
        <xdr:nvSpPr>
          <xdr:cNvPr id="9" name="Rounded Rectangle 9">
            <a:extLst>
              <a:ext uri="{FF2B5EF4-FFF2-40B4-BE49-F238E27FC236}">
                <a16:creationId xmlns:a16="http://schemas.microsoft.com/office/drawing/2014/main" id="{00000000-0008-0000-0800-000009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iability" textlink="">
        <xdr:nvSpPr>
          <xdr:cNvPr id="10" name="Plus 10">
            <a:extLst>
              <a:ext uri="{FF2B5EF4-FFF2-40B4-BE49-F238E27FC236}">
                <a16:creationId xmlns:a16="http://schemas.microsoft.com/office/drawing/2014/main" id="{00000000-0008-0000-0800-00000A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1155454</xdr:colOff>
      <xdr:row>101</xdr:row>
      <xdr:rowOff>32604</xdr:rowOff>
    </xdr:from>
    <xdr:to>
      <xdr:col>3</xdr:col>
      <xdr:colOff>1306654</xdr:colOff>
      <xdr:row>101</xdr:row>
      <xdr:rowOff>183804</xdr:rowOff>
    </xdr:to>
    <xdr:grpSp>
      <xdr:nvGrpSpPr>
        <xdr:cNvPr id="11" name="Group 10">
          <a:extLst>
            <a:ext uri="{FF2B5EF4-FFF2-40B4-BE49-F238E27FC236}">
              <a16:creationId xmlns:a16="http://schemas.microsoft.com/office/drawing/2014/main" id="{00000000-0008-0000-0800-00000B000000}"/>
            </a:ext>
          </a:extLst>
        </xdr:cNvPr>
        <xdr:cNvGrpSpPr/>
      </xdr:nvGrpSpPr>
      <xdr:grpSpPr>
        <a:xfrm>
          <a:off x="1523754" y="10357704"/>
          <a:ext cx="151200" cy="151200"/>
          <a:chOff x="1395033" y="2708672"/>
          <a:chExt cx="180000" cy="180000"/>
        </a:xfrm>
      </xdr:grpSpPr>
      <xdr:sp macro="[0]!Add_Loan" textlink="">
        <xdr:nvSpPr>
          <xdr:cNvPr id="12" name="Rounded Rectangle 12">
            <a:extLst>
              <a:ext uri="{FF2B5EF4-FFF2-40B4-BE49-F238E27FC236}">
                <a16:creationId xmlns:a16="http://schemas.microsoft.com/office/drawing/2014/main" id="{00000000-0008-0000-0800-00000C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oan" textlink="">
        <xdr:nvSpPr>
          <xdr:cNvPr id="13" name="Plus 13">
            <a:extLst>
              <a:ext uri="{FF2B5EF4-FFF2-40B4-BE49-F238E27FC236}">
                <a16:creationId xmlns:a16="http://schemas.microsoft.com/office/drawing/2014/main" id="{00000000-0008-0000-0800-00000D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14</xdr:col>
      <xdr:colOff>148307</xdr:colOff>
      <xdr:row>3</xdr:row>
      <xdr:rowOff>66674</xdr:rowOff>
    </xdr:from>
    <xdr:to>
      <xdr:col>16</xdr:col>
      <xdr:colOff>62582</xdr:colOff>
      <xdr:row>5</xdr:row>
      <xdr:rowOff>17144</xdr:rowOff>
    </xdr:to>
    <xdr:sp macro="[0]!Remove_SOP" textlink="">
      <xdr:nvSpPr>
        <xdr:cNvPr id="27" name="ClearSOP">
          <a:extLst>
            <a:ext uri="{FF2B5EF4-FFF2-40B4-BE49-F238E27FC236}">
              <a16:creationId xmlns:a16="http://schemas.microsoft.com/office/drawing/2014/main" id="{00000000-0008-0000-0800-00001B000000}"/>
            </a:ext>
          </a:extLst>
        </xdr:cNvPr>
        <xdr:cNvSpPr/>
      </xdr:nvSpPr>
      <xdr:spPr>
        <a:xfrm>
          <a:off x="9863807" y="600074"/>
          <a:ext cx="914400" cy="274320"/>
        </a:xfrm>
        <a:prstGeom prst="roundRect">
          <a:avLst/>
        </a:prstGeom>
        <a:solidFill>
          <a:srgbClr val="B6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lang="en-AU" sz="1000" baseline="0">
              <a:solidFill>
                <a:srgbClr val="FFFFFF"/>
              </a:solidFill>
            </a:rPr>
            <a:t>Clear SoP</a:t>
          </a:r>
          <a:endParaRPr lang="en-AU" sz="1000">
            <a:solidFill>
              <a:srgbClr val="FFFFFF"/>
            </a:solidFill>
          </a:endParaRPr>
        </a:p>
      </xdr:txBody>
    </xdr:sp>
    <xdr:clientData/>
  </xdr:twoCellAnchor>
  <xdr:twoCellAnchor>
    <xdr:from>
      <xdr:col>18</xdr:col>
      <xdr:colOff>153763</xdr:colOff>
      <xdr:row>3</xdr:row>
      <xdr:rowOff>66674</xdr:rowOff>
    </xdr:from>
    <xdr:to>
      <xdr:col>18</xdr:col>
      <xdr:colOff>1068163</xdr:colOff>
      <xdr:row>5</xdr:row>
      <xdr:rowOff>17144</xdr:rowOff>
    </xdr:to>
    <xdr:grpSp>
      <xdr:nvGrpSpPr>
        <xdr:cNvPr id="29" name="Group 28">
          <a:extLst>
            <a:ext uri="{FF2B5EF4-FFF2-40B4-BE49-F238E27FC236}">
              <a16:creationId xmlns:a16="http://schemas.microsoft.com/office/drawing/2014/main" id="{00000000-0008-0000-0800-00001D000000}"/>
            </a:ext>
          </a:extLst>
        </xdr:cNvPr>
        <xdr:cNvGrpSpPr/>
      </xdr:nvGrpSpPr>
      <xdr:grpSpPr>
        <a:xfrm>
          <a:off x="12117163" y="587374"/>
          <a:ext cx="914400" cy="267970"/>
          <a:chOff x="15638678" y="666751"/>
          <a:chExt cx="1172935" cy="244928"/>
        </a:xfrm>
      </xdr:grpSpPr>
      <xdr:sp macro="[0]!Add_SOP" textlink="">
        <xdr:nvSpPr>
          <xdr:cNvPr id="30" name="AddSOP">
            <a:extLst>
              <a:ext uri="{FF2B5EF4-FFF2-40B4-BE49-F238E27FC236}">
                <a16:creationId xmlns:a16="http://schemas.microsoft.com/office/drawing/2014/main" id="{00000000-0008-0000-0800-00001E000000}"/>
              </a:ext>
            </a:extLst>
          </xdr:cNvPr>
          <xdr:cNvSpPr/>
        </xdr:nvSpPr>
        <xdr:spPr>
          <a:xfrm>
            <a:off x="15638678" y="666751"/>
            <a:ext cx="1172935" cy="244928"/>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    Add</a:t>
            </a:r>
            <a:r>
              <a:rPr lang="en-AU" sz="1000" baseline="0">
                <a:solidFill>
                  <a:srgbClr val="FFFFFF"/>
                </a:solidFill>
              </a:rPr>
              <a:t> SoP</a:t>
            </a:r>
            <a:endParaRPr lang="en-AU" sz="1000">
              <a:solidFill>
                <a:srgbClr val="FFFFFF"/>
              </a:solidFill>
            </a:endParaRPr>
          </a:p>
        </xdr:txBody>
      </xdr:sp>
      <xdr:sp macro="" textlink="">
        <xdr:nvSpPr>
          <xdr:cNvPr id="31" name="Plus 43">
            <a:extLst>
              <a:ext uri="{FF2B5EF4-FFF2-40B4-BE49-F238E27FC236}">
                <a16:creationId xmlns:a16="http://schemas.microsoft.com/office/drawing/2014/main" id="{00000000-0008-0000-0800-00001F000000}"/>
              </a:ext>
            </a:extLst>
          </xdr:cNvPr>
          <xdr:cNvSpPr/>
        </xdr:nvSpPr>
        <xdr:spPr>
          <a:xfrm>
            <a:off x="15756969" y="707572"/>
            <a:ext cx="199446" cy="153537"/>
          </a:xfrm>
          <a:prstGeom prst="mathPlus">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000"/>
          </a:p>
        </xdr:txBody>
      </xdr:sp>
    </xdr:grpSp>
    <xdr:clientData/>
  </xdr:twoCellAnchor>
  <xdr:twoCellAnchor editAs="oneCell">
    <xdr:from>
      <xdr:col>6</xdr:col>
      <xdr:colOff>66963</xdr:colOff>
      <xdr:row>80</xdr:row>
      <xdr:rowOff>24224</xdr:rowOff>
    </xdr:from>
    <xdr:to>
      <xdr:col>6</xdr:col>
      <xdr:colOff>247938</xdr:colOff>
      <xdr:row>81</xdr:row>
      <xdr:rowOff>1364</xdr:rowOff>
    </xdr:to>
    <xdr:pic macro="[0]!Goto_Page">
      <xdr:nvPicPr>
        <xdr:cNvPr id="32" name="Phone">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13" y="721559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66958</xdr:colOff>
      <xdr:row>79</xdr:row>
      <xdr:rowOff>28878</xdr:rowOff>
    </xdr:from>
    <xdr:to>
      <xdr:col>11</xdr:col>
      <xdr:colOff>247933</xdr:colOff>
      <xdr:row>80</xdr:row>
      <xdr:rowOff>303</xdr:rowOff>
    </xdr:to>
    <xdr:pic macro="[0]!Goto_Page">
      <xdr:nvPicPr>
        <xdr:cNvPr id="33" name="Transport">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333" y="7001178"/>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66994</xdr:colOff>
      <xdr:row>83</xdr:row>
      <xdr:rowOff>28868</xdr:rowOff>
    </xdr:from>
    <xdr:to>
      <xdr:col>6</xdr:col>
      <xdr:colOff>247969</xdr:colOff>
      <xdr:row>84</xdr:row>
      <xdr:rowOff>293</xdr:rowOff>
    </xdr:to>
    <xdr:pic macro="[0]!Goto_Page">
      <xdr:nvPicPr>
        <xdr:cNvPr id="34" name="Recreation">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44" y="7877468"/>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66993</xdr:colOff>
      <xdr:row>79</xdr:row>
      <xdr:rowOff>24224</xdr:rowOff>
    </xdr:from>
    <xdr:to>
      <xdr:col>6</xdr:col>
      <xdr:colOff>247968</xdr:colOff>
      <xdr:row>80</xdr:row>
      <xdr:rowOff>1364</xdr:rowOff>
    </xdr:to>
    <xdr:pic macro="[0]!Goto_Page">
      <xdr:nvPicPr>
        <xdr:cNvPr id="35" name="Owne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43" y="699652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62079</xdr:colOff>
      <xdr:row>84</xdr:row>
      <xdr:rowOff>29100</xdr:rowOff>
    </xdr:from>
    <xdr:to>
      <xdr:col>11</xdr:col>
      <xdr:colOff>244959</xdr:colOff>
      <xdr:row>85</xdr:row>
      <xdr:rowOff>525</xdr:rowOff>
    </xdr:to>
    <xdr:pic macro="[0]!Goto_Page">
      <xdr:nvPicPr>
        <xdr:cNvPr id="36" name="Insurance">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3454" y="809677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62227</xdr:colOff>
      <xdr:row>80</xdr:row>
      <xdr:rowOff>23925</xdr:rowOff>
    </xdr:from>
    <xdr:to>
      <xdr:col>11</xdr:col>
      <xdr:colOff>245107</xdr:colOff>
      <xdr:row>81</xdr:row>
      <xdr:rowOff>1065</xdr:rowOff>
    </xdr:to>
    <xdr:pic macro="[0]!Goto_Page">
      <xdr:nvPicPr>
        <xdr:cNvPr id="37" name="Childcare">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3602" y="721530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63193</xdr:colOff>
      <xdr:row>82</xdr:row>
      <xdr:rowOff>28212</xdr:rowOff>
    </xdr:from>
    <xdr:to>
      <xdr:col>6</xdr:col>
      <xdr:colOff>247978</xdr:colOff>
      <xdr:row>83</xdr:row>
      <xdr:rowOff>1542</xdr:rowOff>
    </xdr:to>
    <xdr:pic macro="[0]!Goto_Page">
      <xdr:nvPicPr>
        <xdr:cNvPr id="38" name="Clothing">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6943" y="7657737"/>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68035</xdr:colOff>
      <xdr:row>81</xdr:row>
      <xdr:rowOff>28074</xdr:rowOff>
    </xdr:from>
    <xdr:to>
      <xdr:col>11</xdr:col>
      <xdr:colOff>249010</xdr:colOff>
      <xdr:row>82</xdr:row>
      <xdr:rowOff>1404</xdr:rowOff>
    </xdr:to>
    <xdr:pic macro="[0]!Goto_Page">
      <xdr:nvPicPr>
        <xdr:cNvPr id="39" name="Education">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9410" y="743852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66908</xdr:colOff>
      <xdr:row>81</xdr:row>
      <xdr:rowOff>28077</xdr:rowOff>
    </xdr:from>
    <xdr:to>
      <xdr:col>6</xdr:col>
      <xdr:colOff>247883</xdr:colOff>
      <xdr:row>82</xdr:row>
      <xdr:rowOff>1407</xdr:rowOff>
    </xdr:to>
    <xdr:pic macro="[0]!Goto_Page">
      <xdr:nvPicPr>
        <xdr:cNvPr id="40" name="Groceries">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658" y="7438527"/>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62226</xdr:colOff>
      <xdr:row>83</xdr:row>
      <xdr:rowOff>27573</xdr:rowOff>
    </xdr:from>
    <xdr:to>
      <xdr:col>11</xdr:col>
      <xdr:colOff>245106</xdr:colOff>
      <xdr:row>84</xdr:row>
      <xdr:rowOff>903</xdr:rowOff>
    </xdr:to>
    <xdr:pic macro="[0]!Goto_Page">
      <xdr:nvPicPr>
        <xdr:cNvPr id="41" name="Medical">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3601" y="7876173"/>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330200</xdr:colOff>
          <xdr:row>26</xdr:row>
          <xdr:rowOff>25400</xdr:rowOff>
        </xdr:from>
        <xdr:to>
          <xdr:col>5</xdr:col>
          <xdr:colOff>635000</xdr:colOff>
          <xdr:row>26</xdr:row>
          <xdr:rowOff>177800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27</xdr:row>
          <xdr:rowOff>25400</xdr:rowOff>
        </xdr:from>
        <xdr:to>
          <xdr:col>5</xdr:col>
          <xdr:colOff>635000</xdr:colOff>
          <xdr:row>27</xdr:row>
          <xdr:rowOff>177800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28</xdr:row>
          <xdr:rowOff>25400</xdr:rowOff>
        </xdr:from>
        <xdr:to>
          <xdr:col>5</xdr:col>
          <xdr:colOff>635000</xdr:colOff>
          <xdr:row>28</xdr:row>
          <xdr:rowOff>177800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368300</xdr:colOff>
          <xdr:row>66</xdr:row>
          <xdr:rowOff>25400</xdr:rowOff>
        </xdr:from>
        <xdr:to>
          <xdr:col>4</xdr:col>
          <xdr:colOff>673100</xdr:colOff>
          <xdr:row>66</xdr:row>
          <xdr:rowOff>177800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800-00000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330200</xdr:colOff>
          <xdr:row>66</xdr:row>
          <xdr:rowOff>25400</xdr:rowOff>
        </xdr:from>
        <xdr:to>
          <xdr:col>5</xdr:col>
          <xdr:colOff>635000</xdr:colOff>
          <xdr:row>66</xdr:row>
          <xdr:rowOff>177800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800-00000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111</xdr:row>
          <xdr:rowOff>25400</xdr:rowOff>
        </xdr:from>
        <xdr:to>
          <xdr:col>4</xdr:col>
          <xdr:colOff>635000</xdr:colOff>
          <xdr:row>111</xdr:row>
          <xdr:rowOff>177800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800-000006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25</xdr:row>
          <xdr:rowOff>25400</xdr:rowOff>
        </xdr:from>
        <xdr:to>
          <xdr:col>8</xdr:col>
          <xdr:colOff>711200</xdr:colOff>
          <xdr:row>25</xdr:row>
          <xdr:rowOff>177800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26</xdr:row>
          <xdr:rowOff>25400</xdr:rowOff>
        </xdr:from>
        <xdr:to>
          <xdr:col>8</xdr:col>
          <xdr:colOff>711200</xdr:colOff>
          <xdr:row>26</xdr:row>
          <xdr:rowOff>177800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800-000008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27</xdr:row>
          <xdr:rowOff>25400</xdr:rowOff>
        </xdr:from>
        <xdr:to>
          <xdr:col>8</xdr:col>
          <xdr:colOff>711200</xdr:colOff>
          <xdr:row>27</xdr:row>
          <xdr:rowOff>177800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800-000009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28</xdr:row>
          <xdr:rowOff>25400</xdr:rowOff>
        </xdr:from>
        <xdr:to>
          <xdr:col>8</xdr:col>
          <xdr:colOff>711200</xdr:colOff>
          <xdr:row>28</xdr:row>
          <xdr:rowOff>177800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800-00000A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16</xdr:col>
      <xdr:colOff>131988</xdr:colOff>
      <xdr:row>3</xdr:row>
      <xdr:rowOff>66674</xdr:rowOff>
    </xdr:from>
    <xdr:to>
      <xdr:col>16</xdr:col>
      <xdr:colOff>1046388</xdr:colOff>
      <xdr:row>5</xdr:row>
      <xdr:rowOff>17144</xdr:rowOff>
    </xdr:to>
    <xdr:sp macro="[0]!DuplicateSOP" textlink="">
      <xdr:nvSpPr>
        <xdr:cNvPr id="56" name="AddSOP">
          <a:extLst>
            <a:ext uri="{FF2B5EF4-FFF2-40B4-BE49-F238E27FC236}">
              <a16:creationId xmlns:a16="http://schemas.microsoft.com/office/drawing/2014/main" id="{00000000-0008-0000-0800-000038000000}"/>
            </a:ext>
          </a:extLst>
        </xdr:cNvPr>
        <xdr:cNvSpPr/>
      </xdr:nvSpPr>
      <xdr:spPr>
        <a:xfrm>
          <a:off x="10847613" y="600074"/>
          <a:ext cx="914400" cy="274320"/>
        </a:xfrm>
        <a:prstGeom prst="roundRect">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baseline="0">
              <a:solidFill>
                <a:srgbClr val="0072AC"/>
              </a:solidFill>
            </a:rPr>
            <a:t>Duplicate</a:t>
          </a:r>
          <a:endParaRPr lang="en-AU" sz="1000">
            <a:solidFill>
              <a:srgbClr val="0072AC"/>
            </a:solidFill>
          </a:endParaRPr>
        </a:p>
      </xdr:txBody>
    </xdr:sp>
    <xdr:clientData/>
  </xdr:twoCellAnchor>
  <xdr:twoCellAnchor editAs="oneCell">
    <xdr:from>
      <xdr:col>11</xdr:col>
      <xdr:colOff>62227</xdr:colOff>
      <xdr:row>82</xdr:row>
      <xdr:rowOff>22498</xdr:rowOff>
    </xdr:from>
    <xdr:to>
      <xdr:col>11</xdr:col>
      <xdr:colOff>245107</xdr:colOff>
      <xdr:row>82</xdr:row>
      <xdr:rowOff>193948</xdr:rowOff>
    </xdr:to>
    <xdr:pic macro="[0]!Goto_Page">
      <xdr:nvPicPr>
        <xdr:cNvPr id="60" name="HighEdu">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3602" y="7652023"/>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66064</xdr:colOff>
      <xdr:row>84</xdr:row>
      <xdr:rowOff>27939</xdr:rowOff>
    </xdr:from>
    <xdr:to>
      <xdr:col>6</xdr:col>
      <xdr:colOff>245134</xdr:colOff>
      <xdr:row>85</xdr:row>
      <xdr:rowOff>1269</xdr:rowOff>
    </xdr:to>
    <xdr:pic macro="[0]!Goto_Page">
      <xdr:nvPicPr>
        <xdr:cNvPr id="61" name="Pet">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814" y="809561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65801</xdr:colOff>
      <xdr:row>97</xdr:row>
      <xdr:rowOff>26779</xdr:rowOff>
    </xdr:from>
    <xdr:to>
      <xdr:col>6</xdr:col>
      <xdr:colOff>244871</xdr:colOff>
      <xdr:row>98</xdr:row>
      <xdr:rowOff>109</xdr:rowOff>
    </xdr:to>
    <xdr:pic macro="[0]!Goto_Page">
      <xdr:nvPicPr>
        <xdr:cNvPr id="62" name="LifeSPA">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551" y="924697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65831</xdr:colOff>
      <xdr:row>96</xdr:row>
      <xdr:rowOff>26779</xdr:rowOff>
    </xdr:from>
    <xdr:to>
      <xdr:col>6</xdr:col>
      <xdr:colOff>244901</xdr:colOff>
      <xdr:row>97</xdr:row>
      <xdr:rowOff>109</xdr:rowOff>
    </xdr:to>
    <xdr:pic macro="[0]!Goto_Page">
      <xdr:nvPicPr>
        <xdr:cNvPr id="63" name="Private">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581" y="902790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66730</xdr:colOff>
      <xdr:row>96</xdr:row>
      <xdr:rowOff>19050</xdr:rowOff>
    </xdr:from>
    <xdr:to>
      <xdr:col>14</xdr:col>
      <xdr:colOff>247705</xdr:colOff>
      <xdr:row>96</xdr:row>
      <xdr:rowOff>190500</xdr:rowOff>
    </xdr:to>
    <xdr:pic macro="[0]!Goto_Page">
      <xdr:nvPicPr>
        <xdr:cNvPr id="65" name="HealthIns">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605" y="902017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66760</xdr:colOff>
      <xdr:row>95</xdr:row>
      <xdr:rowOff>19050</xdr:rowOff>
    </xdr:from>
    <xdr:to>
      <xdr:col>14</xdr:col>
      <xdr:colOff>247735</xdr:colOff>
      <xdr:row>95</xdr:row>
      <xdr:rowOff>190500</xdr:rowOff>
    </xdr:to>
    <xdr:pic macro="[0]!Goto_Page">
      <xdr:nvPicPr>
        <xdr:cNvPr id="66" name="Maintenance">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635" y="880110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66675</xdr:colOff>
      <xdr:row>97</xdr:row>
      <xdr:rowOff>19050</xdr:rowOff>
    </xdr:from>
    <xdr:to>
      <xdr:col>14</xdr:col>
      <xdr:colOff>247650</xdr:colOff>
      <xdr:row>97</xdr:row>
      <xdr:rowOff>190500</xdr:rowOff>
    </xdr:to>
    <xdr:pic macro="[0]!Goto_Page">
      <xdr:nvPicPr>
        <xdr:cNvPr id="67" name="SecResi">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550" y="923925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66675</xdr:colOff>
      <xdr:row>98</xdr:row>
      <xdr:rowOff>19050</xdr:rowOff>
    </xdr:from>
    <xdr:to>
      <xdr:col>14</xdr:col>
      <xdr:colOff>247650</xdr:colOff>
      <xdr:row>98</xdr:row>
      <xdr:rowOff>190500</xdr:rowOff>
    </xdr:to>
    <xdr:pic macro="[0]!Goto_Page">
      <xdr:nvPicPr>
        <xdr:cNvPr id="68" name="OtherExp">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550" y="945832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94265</xdr:colOff>
      <xdr:row>66</xdr:row>
      <xdr:rowOff>58463</xdr:rowOff>
    </xdr:from>
    <xdr:ext cx="115200" cy="115200"/>
    <xdr:pic macro="[0]!Delete_Item">
      <xdr:nvPicPr>
        <xdr:cNvPr id="92" name="Del_Lby_67" descr="Close with solid fill">
          <a:extLst>
            <a:ext uri="{FF2B5EF4-FFF2-40B4-BE49-F238E27FC236}">
              <a16:creationId xmlns:a16="http://schemas.microsoft.com/office/drawing/2014/main" id="{00000000-0008-0000-0800-00005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18090" y="7240313"/>
          <a:ext cx="115200" cy="115200"/>
        </a:xfrm>
        <a:prstGeom prst="rect">
          <a:avLst/>
        </a:prstGeom>
      </xdr:spPr>
    </xdr:pic>
    <xdr:clientData/>
  </xdr:oneCellAnchor>
  <xdr:oneCellAnchor>
    <xdr:from>
      <xdr:col>2</xdr:col>
      <xdr:colOff>94265</xdr:colOff>
      <xdr:row>111</xdr:row>
      <xdr:rowOff>58463</xdr:rowOff>
    </xdr:from>
    <xdr:ext cx="115200" cy="115200"/>
    <xdr:pic macro="[0]!Delete_Item">
      <xdr:nvPicPr>
        <xdr:cNvPr id="116" name="Del_NLn_112" descr="Close with solid fill">
          <a:extLst>
            <a:ext uri="{FF2B5EF4-FFF2-40B4-BE49-F238E27FC236}">
              <a16:creationId xmlns:a16="http://schemas.microsoft.com/office/drawing/2014/main" id="{00000000-0008-0000-08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18090" y="11926613"/>
          <a:ext cx="115200" cy="115200"/>
        </a:xfrm>
        <a:prstGeom prst="rect">
          <a:avLst/>
        </a:prstGeom>
      </xdr:spPr>
    </xdr:pic>
    <xdr:clientData/>
  </xdr:oneCellAnchor>
  <xdr:twoCellAnchor editAs="oneCell">
    <xdr:from>
      <xdr:col>2</xdr:col>
      <xdr:colOff>95250</xdr:colOff>
      <xdr:row>25</xdr:row>
      <xdr:rowOff>57150</xdr:rowOff>
    </xdr:from>
    <xdr:to>
      <xdr:col>2</xdr:col>
      <xdr:colOff>206640</xdr:colOff>
      <xdr:row>25</xdr:row>
      <xdr:rowOff>168540</xdr:rowOff>
    </xdr:to>
    <xdr:pic macro="[0]!Delete_Item">
      <xdr:nvPicPr>
        <xdr:cNvPr id="119" name="Del_Emp_26" descr="Close with solid fill">
          <a:extLst>
            <a:ext uri="{FF2B5EF4-FFF2-40B4-BE49-F238E27FC236}">
              <a16:creationId xmlns:a16="http://schemas.microsoft.com/office/drawing/2014/main" id="{00000000-0008-0000-0800-00007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19075" y="2781300"/>
          <a:ext cx="115200" cy="115200"/>
        </a:xfrm>
        <a:prstGeom prst="rect">
          <a:avLst/>
        </a:prstGeom>
      </xdr:spPr>
    </xdr:pic>
    <xdr:clientData/>
  </xdr:twoCellAnchor>
  <xdr:twoCellAnchor>
    <xdr:from>
      <xdr:col>11</xdr:col>
      <xdr:colOff>57150</xdr:colOff>
      <xdr:row>111</xdr:row>
      <xdr:rowOff>47625</xdr:rowOff>
    </xdr:from>
    <xdr:to>
      <xdr:col>11</xdr:col>
      <xdr:colOff>185274</xdr:colOff>
      <xdr:row>111</xdr:row>
      <xdr:rowOff>183475</xdr:rowOff>
    </xdr:to>
    <xdr:pic macro="[0]!Goto_Page">
      <xdr:nvPicPr>
        <xdr:cNvPr id="71" name="RateSheetI_112" descr="Magnifying glass with solid fill" hidden="1">
          <a:extLst>
            <a:ext uri="{FF2B5EF4-FFF2-40B4-BE49-F238E27FC236}">
              <a16:creationId xmlns:a16="http://schemas.microsoft.com/office/drawing/2014/main" id="{00000000-0008-0000-0800-00004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7486650" y="10572750"/>
          <a:ext cx="128124" cy="135850"/>
        </a:xfrm>
        <a:prstGeom prst="rect">
          <a:avLst/>
        </a:prstGeom>
      </xdr:spPr>
    </xdr:pic>
    <xdr:clientData/>
  </xdr:twoCellAnchor>
  <xdr:twoCellAnchor>
    <xdr:from>
      <xdr:col>13</xdr:col>
      <xdr:colOff>47625</xdr:colOff>
      <xdr:row>111</xdr:row>
      <xdr:rowOff>47625</xdr:rowOff>
    </xdr:from>
    <xdr:to>
      <xdr:col>13</xdr:col>
      <xdr:colOff>178924</xdr:colOff>
      <xdr:row>111</xdr:row>
      <xdr:rowOff>183475</xdr:rowOff>
    </xdr:to>
    <xdr:pic macro="[0]!Goto_Page">
      <xdr:nvPicPr>
        <xdr:cNvPr id="73" name="RateSheetS_112" descr="Magnifying glass with solid fill" hidden="1">
          <a:extLst>
            <a:ext uri="{FF2B5EF4-FFF2-40B4-BE49-F238E27FC236}">
              <a16:creationId xmlns:a16="http://schemas.microsoft.com/office/drawing/2014/main" id="{00000000-0008-0000-0800-00004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001125" y="10572750"/>
          <a:ext cx="131299" cy="135850"/>
        </a:xfrm>
        <a:prstGeom prst="rect">
          <a:avLst/>
        </a:prstGeom>
      </xdr:spPr>
    </xdr:pic>
    <xdr:clientData/>
  </xdr:twoCellAnchor>
  <xdr:oneCellAnchor>
    <xdr:from>
      <xdr:col>9</xdr:col>
      <xdr:colOff>38442</xdr:colOff>
      <xdr:row>47</xdr:row>
      <xdr:rowOff>28576</xdr:rowOff>
    </xdr:from>
    <xdr:ext cx="171450" cy="171450"/>
    <xdr:pic macro="[0]!Goto_Page">
      <xdr:nvPicPr>
        <xdr:cNvPr id="14" name="InvProp_48" hidden="1">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942" y="4505326"/>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84740</xdr:colOff>
      <xdr:row>47</xdr:row>
      <xdr:rowOff>58463</xdr:rowOff>
    </xdr:from>
    <xdr:ext cx="115200" cy="115200"/>
    <xdr:pic macro="[0]!Delete_Item">
      <xdr:nvPicPr>
        <xdr:cNvPr id="15" name="Del_Inc_48" descr="Close with solid fill">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18090" y="4535213"/>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5</xdr:col>
          <xdr:colOff>330200</xdr:colOff>
          <xdr:row>111</xdr:row>
          <xdr:rowOff>25400</xdr:rowOff>
        </xdr:from>
        <xdr:to>
          <xdr:col>5</xdr:col>
          <xdr:colOff>635000</xdr:colOff>
          <xdr:row>111</xdr:row>
          <xdr:rowOff>177800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0800-00000E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279400</xdr:colOff>
          <xdr:row>28</xdr:row>
          <xdr:rowOff>25400</xdr:rowOff>
        </xdr:from>
        <xdr:to>
          <xdr:col>12</xdr:col>
          <xdr:colOff>584200</xdr:colOff>
          <xdr:row>28</xdr:row>
          <xdr:rowOff>177800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0800-00000F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676275</xdr:colOff>
      <xdr:row>102</xdr:row>
      <xdr:rowOff>19050</xdr:rowOff>
    </xdr:from>
    <xdr:to>
      <xdr:col>5</xdr:col>
      <xdr:colOff>837712</xdr:colOff>
      <xdr:row>102</xdr:row>
      <xdr:rowOff>183642</xdr:rowOff>
    </xdr:to>
    <xdr:pic>
      <xdr:nvPicPr>
        <xdr:cNvPr id="17" name="Info_btn_LOAN" descr="See the source image">
          <a:hlinkClick xmlns:r="http://schemas.openxmlformats.org/officeDocument/2006/relationships" r:id="" tooltip="ANZ allows gearing benefits to be applied to funds lent to acquire or refinance residential properties that are earning rental income,&#10;generally cash out is not acceptable unless it is used in a subsequent application to facilitate an investment property purchase. &#10;Home Loans in a Company Name can not be marked as deductible"/>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90900" y="10172700"/>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676275</xdr:colOff>
      <xdr:row>56</xdr:row>
      <xdr:rowOff>28575</xdr:rowOff>
    </xdr:from>
    <xdr:to>
      <xdr:col>5</xdr:col>
      <xdr:colOff>837712</xdr:colOff>
      <xdr:row>56</xdr:row>
      <xdr:rowOff>193167</xdr:rowOff>
    </xdr:to>
    <xdr:pic>
      <xdr:nvPicPr>
        <xdr:cNvPr id="19" name="Info_btn_LIAB" descr="See the source image">
          <a:hlinkClick xmlns:r="http://schemas.openxmlformats.org/officeDocument/2006/relationships" r:id="" tooltip="ANZ allows gearing benefits on loans used to acquire or refinance residential properties that are earning rental income.&#10;Business lending and Home Loans in a Company Name can not be marked as deductible"/>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90900" y="5495925"/>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133350</xdr:colOff>
      <xdr:row>2</xdr:row>
      <xdr:rowOff>47625</xdr:rowOff>
    </xdr:from>
    <xdr:to>
      <xdr:col>3</xdr:col>
      <xdr:colOff>610768</xdr:colOff>
      <xdr:row>2</xdr:row>
      <xdr:rowOff>322290</xdr:rowOff>
    </xdr:to>
    <xdr:pic>
      <xdr:nvPicPr>
        <xdr:cNvPr id="21" name="Picture 20" descr="ANZ logo">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6700"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28575</xdr:colOff>
      <xdr:row>25</xdr:row>
      <xdr:rowOff>28575</xdr:rowOff>
    </xdr:from>
    <xdr:ext cx="171450" cy="171450"/>
    <xdr:pic macro="[0]!Goto_Page">
      <xdr:nvPicPr>
        <xdr:cNvPr id="20" name="SalCred_26" descr="Credit card with solid fill">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600450" y="2933700"/>
          <a:ext cx="171450" cy="171450"/>
        </a:xfrm>
        <a:prstGeom prst="rect">
          <a:avLst/>
        </a:prstGeom>
      </xdr:spPr>
    </xdr:pic>
    <xdr:clientData/>
  </xdr:oneCellAnchor>
  <xdr:twoCellAnchor editAs="oneCell">
    <xdr:from>
      <xdr:col>13</xdr:col>
      <xdr:colOff>0</xdr:colOff>
      <xdr:row>25</xdr:row>
      <xdr:rowOff>19050</xdr:rowOff>
    </xdr:from>
    <xdr:to>
      <xdr:col>13</xdr:col>
      <xdr:colOff>170475</xdr:colOff>
      <xdr:row>26</xdr:row>
      <xdr:rowOff>930</xdr:rowOff>
    </xdr:to>
    <xdr:pic macro="[0]!Goto_Page">
      <xdr:nvPicPr>
        <xdr:cNvPr id="23" name="BaseInc_26" descr="Calculator with solid fill">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8953500" y="2924175"/>
          <a:ext cx="180000" cy="180000"/>
        </a:xfrm>
        <a:prstGeom prst="rect">
          <a:avLst/>
        </a:prstGeom>
      </xdr:spPr>
    </xdr:pic>
    <xdr:clientData/>
  </xdr:twoCellAnchor>
  <xdr:twoCellAnchor>
    <xdr:from>
      <xdr:col>12</xdr:col>
      <xdr:colOff>695325</xdr:colOff>
      <xdr:row>3</xdr:row>
      <xdr:rowOff>66675</xdr:rowOff>
    </xdr:from>
    <xdr:to>
      <xdr:col>14</xdr:col>
      <xdr:colOff>85725</xdr:colOff>
      <xdr:row>5</xdr:row>
      <xdr:rowOff>17145</xdr:rowOff>
    </xdr:to>
    <xdr:sp macro="[0]!Remove_SOP" textlink="">
      <xdr:nvSpPr>
        <xdr:cNvPr id="22" name="DeleteSOP">
          <a:extLst>
            <a:ext uri="{FF2B5EF4-FFF2-40B4-BE49-F238E27FC236}">
              <a16:creationId xmlns:a16="http://schemas.microsoft.com/office/drawing/2014/main" id="{00000000-0008-0000-0800-000016000000}"/>
            </a:ext>
          </a:extLst>
        </xdr:cNvPr>
        <xdr:cNvSpPr/>
      </xdr:nvSpPr>
      <xdr:spPr>
        <a:xfrm>
          <a:off x="8886825" y="600075"/>
          <a:ext cx="914400" cy="274320"/>
        </a:xfrm>
        <a:prstGeom prst="roundRect">
          <a:avLst/>
        </a:prstGeom>
        <a:solidFill>
          <a:schemeClr val="bg1"/>
        </a:solidFill>
        <a:ln>
          <a:solidFill>
            <a:srgbClr val="B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36000" rtlCol="0" anchor="ctr"/>
        <a:lstStyle/>
        <a:p>
          <a:pPr algn="ctr"/>
          <a:r>
            <a:rPr lang="en-AU" sz="1000">
              <a:solidFill>
                <a:srgbClr val="B60000"/>
              </a:solidFill>
            </a:rPr>
            <a:t>Delete SoP</a:t>
          </a:r>
        </a:p>
      </xdr:txBody>
    </xdr:sp>
    <xdr:clientData/>
  </xdr:twoCellAnchor>
  <xdr:oneCellAnchor>
    <xdr:from>
      <xdr:col>3</xdr:col>
      <xdr:colOff>1200150</xdr:colOff>
      <xdr:row>30</xdr:row>
      <xdr:rowOff>66675</xdr:rowOff>
    </xdr:from>
    <xdr:ext cx="115200" cy="115200"/>
    <xdr:pic macro="[0]!Delete_addback">
      <xdr:nvPicPr>
        <xdr:cNvPr id="24" name="Del_Add_31" descr="Close with solid fill" hidden="1">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81150" y="4029075"/>
          <a:ext cx="115200" cy="115200"/>
        </a:xfrm>
        <a:prstGeom prst="rect">
          <a:avLst/>
        </a:prstGeom>
      </xdr:spPr>
    </xdr:pic>
    <xdr:clientData/>
  </xdr:oneCellAnchor>
  <xdr:oneCellAnchor>
    <xdr:from>
      <xdr:col>3</xdr:col>
      <xdr:colOff>1200150</xdr:colOff>
      <xdr:row>31</xdr:row>
      <xdr:rowOff>76200</xdr:rowOff>
    </xdr:from>
    <xdr:ext cx="115200" cy="115200"/>
    <xdr:pic macro="[0]!Delete_addback">
      <xdr:nvPicPr>
        <xdr:cNvPr id="25" name="Del_Add_32" descr="Close with solid fill" hidden="1">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81150" y="4257675"/>
          <a:ext cx="115200" cy="115200"/>
        </a:xfrm>
        <a:prstGeom prst="rect">
          <a:avLst/>
        </a:prstGeom>
      </xdr:spPr>
    </xdr:pic>
    <xdr:clientData/>
  </xdr:oneCellAnchor>
  <xdr:oneCellAnchor>
    <xdr:from>
      <xdr:col>3</xdr:col>
      <xdr:colOff>1200150</xdr:colOff>
      <xdr:row>32</xdr:row>
      <xdr:rowOff>66675</xdr:rowOff>
    </xdr:from>
    <xdr:ext cx="115200" cy="115200"/>
    <xdr:pic macro="[0]!Delete_addback">
      <xdr:nvPicPr>
        <xdr:cNvPr id="26" name="Del_Add_33" descr="Close with solid fill" hidden="1">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81150" y="4467225"/>
          <a:ext cx="115200" cy="115200"/>
        </a:xfrm>
        <a:prstGeom prst="rect">
          <a:avLst/>
        </a:prstGeom>
      </xdr:spPr>
    </xdr:pic>
    <xdr:clientData/>
  </xdr:oneCellAnchor>
  <xdr:oneCellAnchor>
    <xdr:from>
      <xdr:col>3</xdr:col>
      <xdr:colOff>1200150</xdr:colOff>
      <xdr:row>33</xdr:row>
      <xdr:rowOff>66675</xdr:rowOff>
    </xdr:from>
    <xdr:ext cx="115200" cy="115200"/>
    <xdr:pic macro="[0]!Delete_addback">
      <xdr:nvPicPr>
        <xdr:cNvPr id="28" name="Del_Add_34" descr="Close with solid fill" hidden="1">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81150" y="4686300"/>
          <a:ext cx="115200" cy="115200"/>
        </a:xfrm>
        <a:prstGeom prst="rect">
          <a:avLst/>
        </a:prstGeom>
      </xdr:spPr>
    </xdr:pic>
    <xdr:clientData/>
  </xdr:oneCellAnchor>
  <xdr:twoCellAnchor>
    <xdr:from>
      <xdr:col>4</xdr:col>
      <xdr:colOff>47624</xdr:colOff>
      <xdr:row>34</xdr:row>
      <xdr:rowOff>47625</xdr:rowOff>
    </xdr:from>
    <xdr:to>
      <xdr:col>4</xdr:col>
      <xdr:colOff>857624</xdr:colOff>
      <xdr:row>34</xdr:row>
      <xdr:rowOff>200025</xdr:rowOff>
    </xdr:to>
    <xdr:sp macro="[0]!Add_addback" textlink="">
      <xdr:nvSpPr>
        <xdr:cNvPr id="7168" name="Add_Add_35">
          <a:extLst>
            <a:ext uri="{FF2B5EF4-FFF2-40B4-BE49-F238E27FC236}">
              <a16:creationId xmlns:a16="http://schemas.microsoft.com/office/drawing/2014/main" id="{00000000-0008-0000-0800-0000001C0000}"/>
            </a:ext>
          </a:extLst>
        </xdr:cNvPr>
        <xdr:cNvSpPr txBox="1"/>
      </xdr:nvSpPr>
      <xdr:spPr>
        <a:xfrm>
          <a:off x="1809749" y="4667250"/>
          <a:ext cx="810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 Sal Sacrifice</a:t>
          </a:r>
        </a:p>
      </xdr:txBody>
    </xdr:sp>
    <xdr:clientData/>
  </xdr:twoCellAnchor>
  <xdr:twoCellAnchor editAs="oneCell">
    <xdr:from>
      <xdr:col>8</xdr:col>
      <xdr:colOff>133350</xdr:colOff>
      <xdr:row>130</xdr:row>
      <xdr:rowOff>28575</xdr:rowOff>
    </xdr:from>
    <xdr:to>
      <xdr:col>8</xdr:col>
      <xdr:colOff>287730</xdr:colOff>
      <xdr:row>130</xdr:row>
      <xdr:rowOff>190575</xdr:rowOff>
    </xdr:to>
    <xdr:pic macro="[0]!RefreshBP">
      <xdr:nvPicPr>
        <xdr:cNvPr id="7180" name="RefreshBP" descr="Repeat with solid fill" hidden="1">
          <a:extLst>
            <a:ext uri="{FF2B5EF4-FFF2-40B4-BE49-F238E27FC236}">
              <a16:creationId xmlns:a16="http://schemas.microsoft.com/office/drawing/2014/main" id="{00000000-0008-0000-0800-00000C1C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848350" y="14192250"/>
          <a:ext cx="162000" cy="162000"/>
        </a:xfrm>
        <a:prstGeom prst="rect">
          <a:avLst/>
        </a:prstGeom>
      </xdr:spPr>
    </xdr:pic>
    <xdr:clientData/>
  </xdr:twoCellAnchor>
  <xdr:twoCellAnchor>
    <xdr:from>
      <xdr:col>3</xdr:col>
      <xdr:colOff>628650</xdr:colOff>
      <xdr:row>28</xdr:row>
      <xdr:rowOff>28575</xdr:rowOff>
    </xdr:from>
    <xdr:to>
      <xdr:col>3</xdr:col>
      <xdr:colOff>790087</xdr:colOff>
      <xdr:row>28</xdr:row>
      <xdr:rowOff>193167</xdr:rowOff>
    </xdr:to>
    <xdr:pic>
      <xdr:nvPicPr>
        <xdr:cNvPr id="7179" name="Inf_Own_29" descr="See the source image" hidden="1">
          <a:hlinkClick xmlns:r="http://schemas.openxmlformats.org/officeDocument/2006/relationships" r:id="" tooltip="Enter this customer's % ownership of the Trust"/>
          <a:extLst>
            <a:ext uri="{FF2B5EF4-FFF2-40B4-BE49-F238E27FC236}">
              <a16:creationId xmlns:a16="http://schemas.microsoft.com/office/drawing/2014/main" id="{00000000-0008-0000-0800-00000B1C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09650" y="3552825"/>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1200150</xdr:colOff>
      <xdr:row>29</xdr:row>
      <xdr:rowOff>66675</xdr:rowOff>
    </xdr:from>
    <xdr:ext cx="115200" cy="115200"/>
    <xdr:pic macro="[0]!Delete_addback">
      <xdr:nvPicPr>
        <xdr:cNvPr id="7181" name="Del_Add_30" descr="Close with solid fill" hidden="1">
          <a:extLst>
            <a:ext uri="{FF2B5EF4-FFF2-40B4-BE49-F238E27FC236}">
              <a16:creationId xmlns:a16="http://schemas.microsoft.com/office/drawing/2014/main" id="{00000000-0008-0000-0800-00000D1C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81150" y="3810000"/>
          <a:ext cx="115200" cy="115200"/>
        </a:xfrm>
        <a:prstGeom prst="rect">
          <a:avLst/>
        </a:prstGeom>
      </xdr:spPr>
    </xdr:pic>
    <xdr:clientData/>
  </xdr:oneCellAnchor>
  <xdr:twoCellAnchor editAs="oneCell">
    <xdr:from>
      <xdr:col>13</xdr:col>
      <xdr:colOff>0</xdr:colOff>
      <xdr:row>25</xdr:row>
      <xdr:rowOff>19050</xdr:rowOff>
    </xdr:from>
    <xdr:to>
      <xdr:col>13</xdr:col>
      <xdr:colOff>170475</xdr:colOff>
      <xdr:row>26</xdr:row>
      <xdr:rowOff>930</xdr:rowOff>
    </xdr:to>
    <xdr:pic macro="[0]!BaseIncomeCalc">
      <xdr:nvPicPr>
        <xdr:cNvPr id="16" name="BaseInc_26" descr="Calculator with solid fill" hidden="1">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39225" y="2876550"/>
          <a:ext cx="180000" cy="18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279400</xdr:colOff>
          <xdr:row>25</xdr:row>
          <xdr:rowOff>25400</xdr:rowOff>
        </xdr:from>
        <xdr:to>
          <xdr:col>13</xdr:col>
          <xdr:colOff>584200</xdr:colOff>
          <xdr:row>25</xdr:row>
          <xdr:rowOff>177800</xdr:rowOff>
        </xdr:to>
        <xdr:sp macro="" textlink="">
          <xdr:nvSpPr>
            <xdr:cNvPr id="7185" name="Check Box 17" hidden="1">
              <a:extLst>
                <a:ext uri="{63B3BB69-23CF-44E3-9099-C40C66FF867C}">
                  <a14:compatExt spid="_x0000_s7185"/>
                </a:ext>
                <a:ext uri="{FF2B5EF4-FFF2-40B4-BE49-F238E27FC236}">
                  <a16:creationId xmlns:a16="http://schemas.microsoft.com/office/drawing/2014/main" id="{00000000-0008-0000-0800-000011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266700</xdr:colOff>
          <xdr:row>16</xdr:row>
          <xdr:rowOff>25400</xdr:rowOff>
        </xdr:from>
        <xdr:to>
          <xdr:col>36</xdr:col>
          <xdr:colOff>304800</xdr:colOff>
          <xdr:row>16</xdr:row>
          <xdr:rowOff>177800</xdr:rowOff>
        </xdr:to>
        <xdr:sp macro="" textlink="">
          <xdr:nvSpPr>
            <xdr:cNvPr id="7186" name="Check Box 18" hidden="1">
              <a:extLst>
                <a:ext uri="{63B3BB69-23CF-44E3-9099-C40C66FF867C}">
                  <a14:compatExt spid="_x0000_s7186"/>
                </a:ext>
                <a:ext uri="{FF2B5EF4-FFF2-40B4-BE49-F238E27FC236}">
                  <a16:creationId xmlns:a16="http://schemas.microsoft.com/office/drawing/2014/main" id="{00000000-0008-0000-0800-000012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266700</xdr:colOff>
          <xdr:row>16</xdr:row>
          <xdr:rowOff>25400</xdr:rowOff>
        </xdr:from>
        <xdr:to>
          <xdr:col>36</xdr:col>
          <xdr:colOff>304800</xdr:colOff>
          <xdr:row>16</xdr:row>
          <xdr:rowOff>177800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8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13</xdr:col>
      <xdr:colOff>19048</xdr:colOff>
      <xdr:row>26</xdr:row>
      <xdr:rowOff>57148</xdr:rowOff>
    </xdr:from>
    <xdr:to>
      <xdr:col>13</xdr:col>
      <xdr:colOff>695325</xdr:colOff>
      <xdr:row>27</xdr:row>
      <xdr:rowOff>9525</xdr:rowOff>
    </xdr:to>
    <xdr:sp macro="[0]!Goto_Page" textlink="">
      <xdr:nvSpPr>
        <xdr:cNvPr id="18" name="Mty_Ent_27" hidden="1">
          <a:extLst>
            <a:ext uri="{FF2B5EF4-FFF2-40B4-BE49-F238E27FC236}">
              <a16:creationId xmlns:a16="http://schemas.microsoft.com/office/drawing/2014/main" id="{00000000-0008-0000-0800-000012000000}"/>
            </a:ext>
          </a:extLst>
        </xdr:cNvPr>
        <xdr:cNvSpPr txBox="1"/>
      </xdr:nvSpPr>
      <xdr:spPr>
        <a:xfrm>
          <a:off x="9067798" y="3133723"/>
          <a:ext cx="676277" cy="171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Multi Entity</a:t>
          </a:r>
        </a:p>
      </xdr:txBody>
    </xdr:sp>
    <xdr:clientData/>
  </xdr:twoCellAnchor>
  <xdr:oneCellAnchor>
    <xdr:from>
      <xdr:col>13</xdr:col>
      <xdr:colOff>0</xdr:colOff>
      <xdr:row>35</xdr:row>
      <xdr:rowOff>0</xdr:rowOff>
    </xdr:from>
    <xdr:ext cx="180000" cy="180000"/>
    <xdr:pic macro="[0]!BaseIncomeCalc">
      <xdr:nvPicPr>
        <xdr:cNvPr id="47" name="BaseInc_36" descr="Calculator with solid fill" hidden="1">
          <a:extLst>
            <a:ext uri="{FF2B5EF4-FFF2-40B4-BE49-F238E27FC236}">
              <a16:creationId xmlns:a16="http://schemas.microsoft.com/office/drawing/2014/main" id="{00000000-0008-0000-0800-00002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2886075"/>
          <a:ext cx="180000" cy="180000"/>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3</xdr:col>
      <xdr:colOff>1148495</xdr:colOff>
      <xdr:row>55</xdr:row>
      <xdr:rowOff>29491</xdr:rowOff>
    </xdr:from>
    <xdr:to>
      <xdr:col>3</xdr:col>
      <xdr:colOff>1299695</xdr:colOff>
      <xdr:row>55</xdr:row>
      <xdr:rowOff>180691</xdr:rowOff>
    </xdr:to>
    <xdr:grpSp>
      <xdr:nvGrpSpPr>
        <xdr:cNvPr id="2" name="btnAddLiabilities">
          <a:extLst>
            <a:ext uri="{FF2B5EF4-FFF2-40B4-BE49-F238E27FC236}">
              <a16:creationId xmlns:a16="http://schemas.microsoft.com/office/drawing/2014/main" id="{00000000-0008-0000-0900-000002000000}"/>
            </a:ext>
          </a:extLst>
        </xdr:cNvPr>
        <xdr:cNvGrpSpPr/>
      </xdr:nvGrpSpPr>
      <xdr:grpSpPr>
        <a:xfrm>
          <a:off x="1516795" y="5642891"/>
          <a:ext cx="151200" cy="151200"/>
          <a:chOff x="1395033" y="2708672"/>
          <a:chExt cx="180000" cy="180000"/>
        </a:xfrm>
      </xdr:grpSpPr>
      <xdr:sp macro="[0]!Add_Liability" textlink="">
        <xdr:nvSpPr>
          <xdr:cNvPr id="3" name="Rounded Rectangle 13">
            <a:extLst>
              <a:ext uri="{FF2B5EF4-FFF2-40B4-BE49-F238E27FC236}">
                <a16:creationId xmlns:a16="http://schemas.microsoft.com/office/drawing/2014/main" id="{00000000-0008-0000-0900-000003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iability" textlink="">
        <xdr:nvSpPr>
          <xdr:cNvPr id="4" name="Plus 14">
            <a:extLst>
              <a:ext uri="{FF2B5EF4-FFF2-40B4-BE49-F238E27FC236}">
                <a16:creationId xmlns:a16="http://schemas.microsoft.com/office/drawing/2014/main" id="{00000000-0008-0000-0900-000004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14</xdr:col>
      <xdr:colOff>66661</xdr:colOff>
      <xdr:row>3</xdr:row>
      <xdr:rowOff>83005</xdr:rowOff>
    </xdr:from>
    <xdr:to>
      <xdr:col>15</xdr:col>
      <xdr:colOff>28561</xdr:colOff>
      <xdr:row>5</xdr:row>
      <xdr:rowOff>33475</xdr:rowOff>
    </xdr:to>
    <xdr:sp macro="[0]!Remove_SOP" textlink="">
      <xdr:nvSpPr>
        <xdr:cNvPr id="9" name="ClearSOP">
          <a:extLst>
            <a:ext uri="{FF2B5EF4-FFF2-40B4-BE49-F238E27FC236}">
              <a16:creationId xmlns:a16="http://schemas.microsoft.com/office/drawing/2014/main" id="{00000000-0008-0000-0900-000009000000}"/>
            </a:ext>
          </a:extLst>
        </xdr:cNvPr>
        <xdr:cNvSpPr/>
      </xdr:nvSpPr>
      <xdr:spPr>
        <a:xfrm>
          <a:off x="9782161" y="606880"/>
          <a:ext cx="914400" cy="274320"/>
        </a:xfrm>
        <a:prstGeom prst="roundRect">
          <a:avLst/>
        </a:prstGeom>
        <a:solidFill>
          <a:srgbClr val="B6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36000" rtlCol="0" anchor="ctr"/>
        <a:lstStyle/>
        <a:p>
          <a:pPr algn="ctr"/>
          <a:r>
            <a:rPr lang="en-AU" sz="1000">
              <a:solidFill>
                <a:srgbClr val="FFFFFF"/>
              </a:solidFill>
              <a:latin typeface="+mn-lt"/>
              <a:cs typeface="Arial" panose="020B0604020202020204" pitchFamily="34" charset="0"/>
            </a:rPr>
            <a:t>Clear SoP</a:t>
          </a:r>
        </a:p>
      </xdr:txBody>
    </xdr:sp>
    <xdr:clientData/>
  </xdr:twoCellAnchor>
  <xdr:twoCellAnchor>
    <xdr:from>
      <xdr:col>18</xdr:col>
      <xdr:colOff>190499</xdr:colOff>
      <xdr:row>3</xdr:row>
      <xdr:rowOff>85725</xdr:rowOff>
    </xdr:from>
    <xdr:to>
      <xdr:col>19</xdr:col>
      <xdr:colOff>9524</xdr:colOff>
      <xdr:row>5</xdr:row>
      <xdr:rowOff>36195</xdr:rowOff>
    </xdr:to>
    <xdr:grpSp>
      <xdr:nvGrpSpPr>
        <xdr:cNvPr id="11" name="Group 10">
          <a:extLst>
            <a:ext uri="{FF2B5EF4-FFF2-40B4-BE49-F238E27FC236}">
              <a16:creationId xmlns:a16="http://schemas.microsoft.com/office/drawing/2014/main" id="{00000000-0008-0000-0900-00000B000000}"/>
            </a:ext>
          </a:extLst>
        </xdr:cNvPr>
        <xdr:cNvGrpSpPr/>
      </xdr:nvGrpSpPr>
      <xdr:grpSpPr>
        <a:xfrm>
          <a:off x="12153899" y="593725"/>
          <a:ext cx="911225" cy="267970"/>
          <a:chOff x="16015607" y="666751"/>
          <a:chExt cx="1172935" cy="244928"/>
        </a:xfrm>
      </xdr:grpSpPr>
      <xdr:sp macro="[0]!Add_SOP" textlink="">
        <xdr:nvSpPr>
          <xdr:cNvPr id="12" name="AddSOP">
            <a:extLst>
              <a:ext uri="{FF2B5EF4-FFF2-40B4-BE49-F238E27FC236}">
                <a16:creationId xmlns:a16="http://schemas.microsoft.com/office/drawing/2014/main" id="{00000000-0008-0000-0900-00000C000000}"/>
              </a:ext>
            </a:extLst>
          </xdr:cNvPr>
          <xdr:cNvSpPr/>
        </xdr:nvSpPr>
        <xdr:spPr>
          <a:xfrm>
            <a:off x="16015607" y="666751"/>
            <a:ext cx="1172935" cy="244928"/>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    Add</a:t>
            </a:r>
            <a:r>
              <a:rPr lang="en-AU" sz="1000" baseline="0">
                <a:solidFill>
                  <a:srgbClr val="FFFFFF"/>
                </a:solidFill>
              </a:rPr>
              <a:t> SoP</a:t>
            </a:r>
            <a:endParaRPr lang="en-AU" sz="1000">
              <a:solidFill>
                <a:srgbClr val="FFFFFF"/>
              </a:solidFill>
            </a:endParaRPr>
          </a:p>
        </xdr:txBody>
      </xdr:sp>
      <xdr:sp macro="" textlink="">
        <xdr:nvSpPr>
          <xdr:cNvPr id="13" name="Plus 56">
            <a:extLst>
              <a:ext uri="{FF2B5EF4-FFF2-40B4-BE49-F238E27FC236}">
                <a16:creationId xmlns:a16="http://schemas.microsoft.com/office/drawing/2014/main" id="{00000000-0008-0000-0900-00000D000000}"/>
              </a:ext>
            </a:extLst>
          </xdr:cNvPr>
          <xdr:cNvSpPr/>
        </xdr:nvSpPr>
        <xdr:spPr>
          <a:xfrm>
            <a:off x="16083642" y="707571"/>
            <a:ext cx="199593" cy="153763"/>
          </a:xfrm>
          <a:prstGeom prst="mathPlus">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000"/>
          </a:p>
        </xdr:txBody>
      </xdr:sp>
    </xdr:grpSp>
    <xdr:clientData/>
  </xdr:twoCellAnchor>
  <xdr:twoCellAnchor>
    <xdr:from>
      <xdr:col>3</xdr:col>
      <xdr:colOff>1143367</xdr:colOff>
      <xdr:row>101</xdr:row>
      <xdr:rowOff>791</xdr:rowOff>
    </xdr:from>
    <xdr:to>
      <xdr:col>3</xdr:col>
      <xdr:colOff>1294567</xdr:colOff>
      <xdr:row>101</xdr:row>
      <xdr:rowOff>151991</xdr:rowOff>
    </xdr:to>
    <xdr:grpSp>
      <xdr:nvGrpSpPr>
        <xdr:cNvPr id="14" name="btnAddLoan">
          <a:extLst>
            <a:ext uri="{FF2B5EF4-FFF2-40B4-BE49-F238E27FC236}">
              <a16:creationId xmlns:a16="http://schemas.microsoft.com/office/drawing/2014/main" id="{00000000-0008-0000-0900-00000E000000}"/>
            </a:ext>
          </a:extLst>
        </xdr:cNvPr>
        <xdr:cNvGrpSpPr/>
      </xdr:nvGrpSpPr>
      <xdr:grpSpPr>
        <a:xfrm>
          <a:off x="1511667" y="10173491"/>
          <a:ext cx="151200" cy="151200"/>
          <a:chOff x="1395033" y="2708672"/>
          <a:chExt cx="180000" cy="180000"/>
        </a:xfrm>
      </xdr:grpSpPr>
      <xdr:sp macro="[0]!Add_Loan" textlink="">
        <xdr:nvSpPr>
          <xdr:cNvPr id="15" name="Rounded Rectangle 64">
            <a:extLst>
              <a:ext uri="{FF2B5EF4-FFF2-40B4-BE49-F238E27FC236}">
                <a16:creationId xmlns:a16="http://schemas.microsoft.com/office/drawing/2014/main" id="{00000000-0008-0000-0900-00000F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oan" textlink="">
        <xdr:nvSpPr>
          <xdr:cNvPr id="16" name="Plus 65">
            <a:extLst>
              <a:ext uri="{FF2B5EF4-FFF2-40B4-BE49-F238E27FC236}">
                <a16:creationId xmlns:a16="http://schemas.microsoft.com/office/drawing/2014/main" id="{00000000-0008-0000-0900-000010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1143000</xdr:colOff>
      <xdr:row>37</xdr:row>
      <xdr:rowOff>21087</xdr:rowOff>
    </xdr:from>
    <xdr:to>
      <xdr:col>3</xdr:col>
      <xdr:colOff>1294200</xdr:colOff>
      <xdr:row>37</xdr:row>
      <xdr:rowOff>172287</xdr:rowOff>
    </xdr:to>
    <xdr:grpSp>
      <xdr:nvGrpSpPr>
        <xdr:cNvPr id="20" name="btnAddIncome">
          <a:extLst>
            <a:ext uri="{FF2B5EF4-FFF2-40B4-BE49-F238E27FC236}">
              <a16:creationId xmlns:a16="http://schemas.microsoft.com/office/drawing/2014/main" id="{00000000-0008-0000-0900-000014000000}"/>
            </a:ext>
          </a:extLst>
        </xdr:cNvPr>
        <xdr:cNvGrpSpPr/>
      </xdr:nvGrpSpPr>
      <xdr:grpSpPr>
        <a:xfrm>
          <a:off x="1511300" y="4097787"/>
          <a:ext cx="151200" cy="151200"/>
          <a:chOff x="1395033" y="2708672"/>
          <a:chExt cx="180000" cy="180000"/>
        </a:xfrm>
      </xdr:grpSpPr>
      <xdr:sp macro="[0]!Add_Income" textlink="">
        <xdr:nvSpPr>
          <xdr:cNvPr id="21" name="Rounded Rectangle 80">
            <a:extLst>
              <a:ext uri="{FF2B5EF4-FFF2-40B4-BE49-F238E27FC236}">
                <a16:creationId xmlns:a16="http://schemas.microsoft.com/office/drawing/2014/main" id="{00000000-0008-0000-0900-000015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Income" textlink="">
        <xdr:nvSpPr>
          <xdr:cNvPr id="22" name="Plus 81">
            <a:extLst>
              <a:ext uri="{FF2B5EF4-FFF2-40B4-BE49-F238E27FC236}">
                <a16:creationId xmlns:a16="http://schemas.microsoft.com/office/drawing/2014/main" id="{00000000-0008-0000-0900-000016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1143000</xdr:colOff>
      <xdr:row>15</xdr:row>
      <xdr:rowOff>49662</xdr:rowOff>
    </xdr:from>
    <xdr:to>
      <xdr:col>3</xdr:col>
      <xdr:colOff>1294200</xdr:colOff>
      <xdr:row>15</xdr:row>
      <xdr:rowOff>200862</xdr:rowOff>
    </xdr:to>
    <xdr:grpSp>
      <xdr:nvGrpSpPr>
        <xdr:cNvPr id="26" name="btnAddEmployment">
          <a:extLst>
            <a:ext uri="{FF2B5EF4-FFF2-40B4-BE49-F238E27FC236}">
              <a16:creationId xmlns:a16="http://schemas.microsoft.com/office/drawing/2014/main" id="{00000000-0008-0000-0900-00001A000000}"/>
            </a:ext>
          </a:extLst>
        </xdr:cNvPr>
        <xdr:cNvGrpSpPr/>
      </xdr:nvGrpSpPr>
      <xdr:grpSpPr>
        <a:xfrm>
          <a:off x="1511300" y="2373762"/>
          <a:ext cx="151200" cy="151200"/>
          <a:chOff x="1395033" y="2708672"/>
          <a:chExt cx="180000" cy="180000"/>
        </a:xfrm>
      </xdr:grpSpPr>
      <xdr:sp macro="[0]!Add_Employment" textlink="">
        <xdr:nvSpPr>
          <xdr:cNvPr id="27" name="Rounded Rectangle 86">
            <a:extLst>
              <a:ext uri="{FF2B5EF4-FFF2-40B4-BE49-F238E27FC236}">
                <a16:creationId xmlns:a16="http://schemas.microsoft.com/office/drawing/2014/main" id="{00000000-0008-0000-0900-00001B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Employment" textlink="">
        <xdr:nvSpPr>
          <xdr:cNvPr id="28" name="Plus 87">
            <a:extLst>
              <a:ext uri="{FF2B5EF4-FFF2-40B4-BE49-F238E27FC236}">
                <a16:creationId xmlns:a16="http://schemas.microsoft.com/office/drawing/2014/main" id="{00000000-0008-0000-0900-00001C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16</xdr:col>
      <xdr:colOff>41822</xdr:colOff>
      <xdr:row>3</xdr:row>
      <xdr:rowOff>85493</xdr:rowOff>
    </xdr:from>
    <xdr:to>
      <xdr:col>16</xdr:col>
      <xdr:colOff>956222</xdr:colOff>
      <xdr:row>5</xdr:row>
      <xdr:rowOff>35963</xdr:rowOff>
    </xdr:to>
    <xdr:sp macro="[0]!DuplicateSOP" textlink="">
      <xdr:nvSpPr>
        <xdr:cNvPr id="45" name="DuplicateSOP">
          <a:extLst>
            <a:ext uri="{FF2B5EF4-FFF2-40B4-BE49-F238E27FC236}">
              <a16:creationId xmlns:a16="http://schemas.microsoft.com/office/drawing/2014/main" id="{00000000-0008-0000-0900-00002D000000}"/>
            </a:ext>
          </a:extLst>
        </xdr:cNvPr>
        <xdr:cNvSpPr/>
      </xdr:nvSpPr>
      <xdr:spPr>
        <a:xfrm>
          <a:off x="10757447" y="609368"/>
          <a:ext cx="914400" cy="274320"/>
        </a:xfrm>
        <a:prstGeom prst="roundRect">
          <a:avLst/>
        </a:prstGeom>
        <a:solidFill>
          <a:schemeClr val="bg1"/>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AU" sz="1000" baseline="0">
              <a:solidFill>
                <a:srgbClr val="0072AC"/>
              </a:solidFill>
              <a:latin typeface="+mn-lt"/>
              <a:cs typeface="Arial" panose="020B0604020202020204" pitchFamily="34" charset="0"/>
            </a:rPr>
            <a:t>Duplicate</a:t>
          </a:r>
          <a:endParaRPr lang="en-AU" sz="1000">
            <a:solidFill>
              <a:srgbClr val="0072AC"/>
            </a:solidFill>
            <a:latin typeface="+mn-lt"/>
            <a:cs typeface="Arial" panose="020B0604020202020204" pitchFamily="34" charset="0"/>
          </a:endParaRPr>
        </a:p>
      </xdr:txBody>
    </xdr:sp>
    <xdr:clientData/>
  </xdr:twoCellAnchor>
  <xdr:twoCellAnchor editAs="oneCell">
    <xdr:from>
      <xdr:col>6</xdr:col>
      <xdr:colOff>66963</xdr:colOff>
      <xdr:row>80</xdr:row>
      <xdr:rowOff>24224</xdr:rowOff>
    </xdr:from>
    <xdr:to>
      <xdr:col>6</xdr:col>
      <xdr:colOff>248573</xdr:colOff>
      <xdr:row>81</xdr:row>
      <xdr:rowOff>3269</xdr:rowOff>
    </xdr:to>
    <xdr:pic macro="[0]!Goto_Page">
      <xdr:nvPicPr>
        <xdr:cNvPr id="50" name="Phone">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13" y="722512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76483</xdr:colOff>
      <xdr:row>79</xdr:row>
      <xdr:rowOff>28878</xdr:rowOff>
    </xdr:from>
    <xdr:to>
      <xdr:col>11</xdr:col>
      <xdr:colOff>250473</xdr:colOff>
      <xdr:row>80</xdr:row>
      <xdr:rowOff>938</xdr:rowOff>
    </xdr:to>
    <xdr:pic macro="[0]!Goto_Page">
      <xdr:nvPicPr>
        <xdr:cNvPr id="51" name="Transport">
          <a:extLst>
            <a:ext uri="{FF2B5EF4-FFF2-40B4-BE49-F238E27FC236}">
              <a16:creationId xmlns:a16="http://schemas.microsoft.com/office/drawing/2014/main" id="{00000000-0008-0000-09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44183" y="6944028"/>
          <a:ext cx="177800"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66994</xdr:colOff>
      <xdr:row>83</xdr:row>
      <xdr:rowOff>28868</xdr:rowOff>
    </xdr:from>
    <xdr:to>
      <xdr:col>6</xdr:col>
      <xdr:colOff>248604</xdr:colOff>
      <xdr:row>84</xdr:row>
      <xdr:rowOff>928</xdr:rowOff>
    </xdr:to>
    <xdr:pic macro="[0]!Goto_Page">
      <xdr:nvPicPr>
        <xdr:cNvPr id="52" name="Recreation">
          <a:extLst>
            <a:ext uri="{FF2B5EF4-FFF2-40B4-BE49-F238E27FC236}">
              <a16:creationId xmlns:a16="http://schemas.microsoft.com/office/drawing/2014/main" id="{00000000-0008-0000-09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44" y="7886993"/>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66993</xdr:colOff>
      <xdr:row>79</xdr:row>
      <xdr:rowOff>24224</xdr:rowOff>
    </xdr:from>
    <xdr:to>
      <xdr:col>6</xdr:col>
      <xdr:colOff>248603</xdr:colOff>
      <xdr:row>80</xdr:row>
      <xdr:rowOff>3269</xdr:rowOff>
    </xdr:to>
    <xdr:pic macro="[0]!Goto_Page">
      <xdr:nvPicPr>
        <xdr:cNvPr id="53" name="Owner">
          <a:extLst>
            <a:ext uri="{FF2B5EF4-FFF2-40B4-BE49-F238E27FC236}">
              <a16:creationId xmlns:a16="http://schemas.microsoft.com/office/drawing/2014/main" id="{00000000-0008-0000-09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743" y="700604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71604</xdr:colOff>
      <xdr:row>84</xdr:row>
      <xdr:rowOff>29100</xdr:rowOff>
    </xdr:from>
    <xdr:to>
      <xdr:col>11</xdr:col>
      <xdr:colOff>248769</xdr:colOff>
      <xdr:row>85</xdr:row>
      <xdr:rowOff>1160</xdr:rowOff>
    </xdr:to>
    <xdr:pic macro="[0]!Goto_Page">
      <xdr:nvPicPr>
        <xdr:cNvPr id="54" name="Insurance">
          <a:extLst>
            <a:ext uri="{FF2B5EF4-FFF2-40B4-BE49-F238E27FC236}">
              <a16:creationId xmlns:a16="http://schemas.microsoft.com/office/drawing/2014/main" id="{00000000-0008-0000-09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39304" y="8039625"/>
          <a:ext cx="180975"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71752</xdr:colOff>
      <xdr:row>80</xdr:row>
      <xdr:rowOff>23925</xdr:rowOff>
    </xdr:from>
    <xdr:to>
      <xdr:col>11</xdr:col>
      <xdr:colOff>248917</xdr:colOff>
      <xdr:row>81</xdr:row>
      <xdr:rowOff>2970</xdr:rowOff>
    </xdr:to>
    <xdr:pic macro="[0]!Goto_Page">
      <xdr:nvPicPr>
        <xdr:cNvPr id="55" name="Childcare">
          <a:extLst>
            <a:ext uri="{FF2B5EF4-FFF2-40B4-BE49-F238E27FC236}">
              <a16:creationId xmlns:a16="http://schemas.microsoft.com/office/drawing/2014/main" id="{00000000-0008-0000-09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39452" y="7158150"/>
          <a:ext cx="1809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63193</xdr:colOff>
      <xdr:row>82</xdr:row>
      <xdr:rowOff>28212</xdr:rowOff>
    </xdr:from>
    <xdr:to>
      <xdr:col>6</xdr:col>
      <xdr:colOff>247978</xdr:colOff>
      <xdr:row>83</xdr:row>
      <xdr:rowOff>272</xdr:rowOff>
    </xdr:to>
    <xdr:pic macro="[0]!Goto_Page">
      <xdr:nvPicPr>
        <xdr:cNvPr id="56" name="Clothing">
          <a:extLst>
            <a:ext uri="{FF2B5EF4-FFF2-40B4-BE49-F238E27FC236}">
              <a16:creationId xmlns:a16="http://schemas.microsoft.com/office/drawing/2014/main" id="{00000000-0008-0000-09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6943" y="7667262"/>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77560</xdr:colOff>
      <xdr:row>81</xdr:row>
      <xdr:rowOff>28074</xdr:rowOff>
    </xdr:from>
    <xdr:to>
      <xdr:col>11</xdr:col>
      <xdr:colOff>245835</xdr:colOff>
      <xdr:row>82</xdr:row>
      <xdr:rowOff>134</xdr:rowOff>
    </xdr:to>
    <xdr:pic macro="[0]!Goto_Page">
      <xdr:nvPicPr>
        <xdr:cNvPr id="57" name="Education">
          <a:extLst>
            <a:ext uri="{FF2B5EF4-FFF2-40B4-BE49-F238E27FC236}">
              <a16:creationId xmlns:a16="http://schemas.microsoft.com/office/drawing/2014/main" id="{00000000-0008-0000-09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45260" y="7381374"/>
          <a:ext cx="177800"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66908</xdr:colOff>
      <xdr:row>81</xdr:row>
      <xdr:rowOff>28077</xdr:rowOff>
    </xdr:from>
    <xdr:to>
      <xdr:col>6</xdr:col>
      <xdr:colOff>248518</xdr:colOff>
      <xdr:row>82</xdr:row>
      <xdr:rowOff>137</xdr:rowOff>
    </xdr:to>
    <xdr:pic macro="[0]!Goto_Page">
      <xdr:nvPicPr>
        <xdr:cNvPr id="58" name="Groceries">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658" y="7448052"/>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71751</xdr:colOff>
      <xdr:row>83</xdr:row>
      <xdr:rowOff>27573</xdr:rowOff>
    </xdr:from>
    <xdr:to>
      <xdr:col>11</xdr:col>
      <xdr:colOff>248916</xdr:colOff>
      <xdr:row>84</xdr:row>
      <xdr:rowOff>3443</xdr:rowOff>
    </xdr:to>
    <xdr:pic macro="[0]!Goto_Page">
      <xdr:nvPicPr>
        <xdr:cNvPr id="59" name="Medical">
          <a:extLst>
            <a:ext uri="{FF2B5EF4-FFF2-40B4-BE49-F238E27FC236}">
              <a16:creationId xmlns:a16="http://schemas.microsoft.com/office/drawing/2014/main" id="{00000000-0008-0000-09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39451" y="7819023"/>
          <a:ext cx="180975"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71752</xdr:colOff>
      <xdr:row>82</xdr:row>
      <xdr:rowOff>22498</xdr:rowOff>
    </xdr:from>
    <xdr:to>
      <xdr:col>11</xdr:col>
      <xdr:colOff>248917</xdr:colOff>
      <xdr:row>82</xdr:row>
      <xdr:rowOff>193948</xdr:rowOff>
    </xdr:to>
    <xdr:pic macro="[0]!Goto_Page">
      <xdr:nvPicPr>
        <xdr:cNvPr id="60" name="HighEdu">
          <a:extLst>
            <a:ext uri="{FF2B5EF4-FFF2-40B4-BE49-F238E27FC236}">
              <a16:creationId xmlns:a16="http://schemas.microsoft.com/office/drawing/2014/main" id="{00000000-0008-0000-09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39452" y="7594873"/>
          <a:ext cx="18097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66064</xdr:colOff>
      <xdr:row>84</xdr:row>
      <xdr:rowOff>27939</xdr:rowOff>
    </xdr:from>
    <xdr:to>
      <xdr:col>6</xdr:col>
      <xdr:colOff>247674</xdr:colOff>
      <xdr:row>85</xdr:row>
      <xdr:rowOff>3809</xdr:rowOff>
    </xdr:to>
    <xdr:pic macro="[0]!Goto_Page">
      <xdr:nvPicPr>
        <xdr:cNvPr id="61" name="Pet">
          <a:extLst>
            <a:ext uri="{FF2B5EF4-FFF2-40B4-BE49-F238E27FC236}">
              <a16:creationId xmlns:a16="http://schemas.microsoft.com/office/drawing/2014/main" id="{00000000-0008-0000-09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814" y="810513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65801</xdr:colOff>
      <xdr:row>97</xdr:row>
      <xdr:rowOff>26779</xdr:rowOff>
    </xdr:from>
    <xdr:to>
      <xdr:col>6</xdr:col>
      <xdr:colOff>247411</xdr:colOff>
      <xdr:row>98</xdr:row>
      <xdr:rowOff>2014</xdr:rowOff>
    </xdr:to>
    <xdr:pic macro="[0]!Goto_Page">
      <xdr:nvPicPr>
        <xdr:cNvPr id="62" name="LifeSPA">
          <a:extLst>
            <a:ext uri="{FF2B5EF4-FFF2-40B4-BE49-F238E27FC236}">
              <a16:creationId xmlns:a16="http://schemas.microsoft.com/office/drawing/2014/main" id="{00000000-0008-0000-09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551" y="9256504"/>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65831</xdr:colOff>
      <xdr:row>96</xdr:row>
      <xdr:rowOff>26779</xdr:rowOff>
    </xdr:from>
    <xdr:to>
      <xdr:col>6</xdr:col>
      <xdr:colOff>247441</xdr:colOff>
      <xdr:row>97</xdr:row>
      <xdr:rowOff>2014</xdr:rowOff>
    </xdr:to>
    <xdr:pic macro="[0]!Goto_Page">
      <xdr:nvPicPr>
        <xdr:cNvPr id="63" name="Private">
          <a:extLst>
            <a:ext uri="{FF2B5EF4-FFF2-40B4-BE49-F238E27FC236}">
              <a16:creationId xmlns:a16="http://schemas.microsoft.com/office/drawing/2014/main" id="{00000000-0008-0000-09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99581" y="9037429"/>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66730</xdr:colOff>
      <xdr:row>96</xdr:row>
      <xdr:rowOff>19050</xdr:rowOff>
    </xdr:from>
    <xdr:to>
      <xdr:col>14</xdr:col>
      <xdr:colOff>248340</xdr:colOff>
      <xdr:row>96</xdr:row>
      <xdr:rowOff>190500</xdr:rowOff>
    </xdr:to>
    <xdr:pic macro="[0]!Goto_Page">
      <xdr:nvPicPr>
        <xdr:cNvPr id="65" name="HealthIns">
          <a:extLst>
            <a:ext uri="{FF2B5EF4-FFF2-40B4-BE49-F238E27FC236}">
              <a16:creationId xmlns:a16="http://schemas.microsoft.com/office/drawing/2014/main" id="{00000000-0008-0000-09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605" y="902970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66760</xdr:colOff>
      <xdr:row>95</xdr:row>
      <xdr:rowOff>19050</xdr:rowOff>
    </xdr:from>
    <xdr:to>
      <xdr:col>14</xdr:col>
      <xdr:colOff>248370</xdr:colOff>
      <xdr:row>95</xdr:row>
      <xdr:rowOff>190500</xdr:rowOff>
    </xdr:to>
    <xdr:pic macro="[0]!Goto_Page">
      <xdr:nvPicPr>
        <xdr:cNvPr id="66" name="Maintenance">
          <a:extLst>
            <a:ext uri="{FF2B5EF4-FFF2-40B4-BE49-F238E27FC236}">
              <a16:creationId xmlns:a16="http://schemas.microsoft.com/office/drawing/2014/main" id="{00000000-0008-0000-09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635" y="881062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66675</xdr:colOff>
      <xdr:row>97</xdr:row>
      <xdr:rowOff>19050</xdr:rowOff>
    </xdr:from>
    <xdr:to>
      <xdr:col>14</xdr:col>
      <xdr:colOff>248285</xdr:colOff>
      <xdr:row>97</xdr:row>
      <xdr:rowOff>190500</xdr:rowOff>
    </xdr:to>
    <xdr:pic macro="[0]!Goto_Page">
      <xdr:nvPicPr>
        <xdr:cNvPr id="67" name="SecResi">
          <a:extLst>
            <a:ext uri="{FF2B5EF4-FFF2-40B4-BE49-F238E27FC236}">
              <a16:creationId xmlns:a16="http://schemas.microsoft.com/office/drawing/2014/main" id="{00000000-0008-0000-09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550" y="9248775"/>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66675</xdr:colOff>
      <xdr:row>98</xdr:row>
      <xdr:rowOff>19050</xdr:rowOff>
    </xdr:from>
    <xdr:to>
      <xdr:col>14</xdr:col>
      <xdr:colOff>248285</xdr:colOff>
      <xdr:row>98</xdr:row>
      <xdr:rowOff>190500</xdr:rowOff>
    </xdr:to>
    <xdr:pic macro="[0]!Goto_Page">
      <xdr:nvPicPr>
        <xdr:cNvPr id="68" name="OtherExp">
          <a:extLst>
            <a:ext uri="{FF2B5EF4-FFF2-40B4-BE49-F238E27FC236}">
              <a16:creationId xmlns:a16="http://schemas.microsoft.com/office/drawing/2014/main" id="{00000000-0008-0000-09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53550" y="9467850"/>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330200</xdr:colOff>
          <xdr:row>111</xdr:row>
          <xdr:rowOff>25400</xdr:rowOff>
        </xdr:from>
        <xdr:to>
          <xdr:col>4</xdr:col>
          <xdr:colOff>635000</xdr:colOff>
          <xdr:row>111</xdr:row>
          <xdr:rowOff>177800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900-00002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111</xdr:row>
      <xdr:rowOff>57150</xdr:rowOff>
    </xdr:from>
    <xdr:ext cx="115200" cy="115200"/>
    <xdr:pic macro="[0]!Delete_Item">
      <xdr:nvPicPr>
        <xdr:cNvPr id="92" name="Del_NLn_112" descr="Close with solid fill">
          <a:extLst>
            <a:ext uri="{FF2B5EF4-FFF2-40B4-BE49-F238E27FC236}">
              <a16:creationId xmlns:a16="http://schemas.microsoft.com/office/drawing/2014/main" id="{00000000-0008-0000-0900-00005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9550" y="10534650"/>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4</xdr:col>
          <xdr:colOff>368300</xdr:colOff>
          <xdr:row>66</xdr:row>
          <xdr:rowOff>25400</xdr:rowOff>
        </xdr:from>
        <xdr:to>
          <xdr:col>4</xdr:col>
          <xdr:colOff>673100</xdr:colOff>
          <xdr:row>66</xdr:row>
          <xdr:rowOff>177800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900-00003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368300</xdr:colOff>
          <xdr:row>66</xdr:row>
          <xdr:rowOff>25400</xdr:rowOff>
        </xdr:from>
        <xdr:to>
          <xdr:col>5</xdr:col>
          <xdr:colOff>673100</xdr:colOff>
          <xdr:row>66</xdr:row>
          <xdr:rowOff>177800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900-00003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85725</xdr:colOff>
      <xdr:row>66</xdr:row>
      <xdr:rowOff>57150</xdr:rowOff>
    </xdr:from>
    <xdr:ext cx="115200" cy="115200"/>
    <xdr:pic macro="[0]!Delete_Item">
      <xdr:nvPicPr>
        <xdr:cNvPr id="71" name="Del_Lby_67" descr="Close with solid fill">
          <a:extLst>
            <a:ext uri="{FF2B5EF4-FFF2-40B4-BE49-F238E27FC236}">
              <a16:creationId xmlns:a16="http://schemas.microsoft.com/office/drawing/2014/main" id="{00000000-0008-0000-0900-00004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19075" y="5905500"/>
          <a:ext cx="115200" cy="115200"/>
        </a:xfrm>
        <a:prstGeom prst="rect">
          <a:avLst/>
        </a:prstGeom>
      </xdr:spPr>
    </xdr:pic>
    <xdr:clientData/>
  </xdr:oneCellAnchor>
  <xdr:twoCellAnchor>
    <xdr:from>
      <xdr:col>11</xdr:col>
      <xdr:colOff>61219</xdr:colOff>
      <xdr:row>111</xdr:row>
      <xdr:rowOff>49345</xdr:rowOff>
    </xdr:from>
    <xdr:to>
      <xdr:col>11</xdr:col>
      <xdr:colOff>189343</xdr:colOff>
      <xdr:row>111</xdr:row>
      <xdr:rowOff>185195</xdr:rowOff>
    </xdr:to>
    <xdr:pic macro="[0]!Goto_Page">
      <xdr:nvPicPr>
        <xdr:cNvPr id="19" name="RateSheetI_112" descr="Magnifying glass with solid fill" hidden="1">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7490719" y="10526845"/>
          <a:ext cx="128124" cy="135850"/>
        </a:xfrm>
        <a:prstGeom prst="rect">
          <a:avLst/>
        </a:prstGeom>
      </xdr:spPr>
    </xdr:pic>
    <xdr:clientData/>
  </xdr:twoCellAnchor>
  <xdr:twoCellAnchor>
    <xdr:from>
      <xdr:col>13</xdr:col>
      <xdr:colOff>48519</xdr:colOff>
      <xdr:row>111</xdr:row>
      <xdr:rowOff>52520</xdr:rowOff>
    </xdr:from>
    <xdr:to>
      <xdr:col>13</xdr:col>
      <xdr:colOff>179818</xdr:colOff>
      <xdr:row>111</xdr:row>
      <xdr:rowOff>188370</xdr:rowOff>
    </xdr:to>
    <xdr:pic macro="[0]!Goto_Page">
      <xdr:nvPicPr>
        <xdr:cNvPr id="69" name="RateSheetS_112" descr="Magnifying glass with solid fill" hidden="1">
          <a:extLst>
            <a:ext uri="{FF2B5EF4-FFF2-40B4-BE49-F238E27FC236}">
              <a16:creationId xmlns:a16="http://schemas.microsoft.com/office/drawing/2014/main" id="{00000000-0008-0000-0900-00004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9014719" y="10669720"/>
          <a:ext cx="131299" cy="1358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330200</xdr:colOff>
          <xdr:row>111</xdr:row>
          <xdr:rowOff>25400</xdr:rowOff>
        </xdr:from>
        <xdr:to>
          <xdr:col>5</xdr:col>
          <xdr:colOff>635000</xdr:colOff>
          <xdr:row>111</xdr:row>
          <xdr:rowOff>177800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900-00003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685800</xdr:colOff>
      <xdr:row>102</xdr:row>
      <xdr:rowOff>28575</xdr:rowOff>
    </xdr:from>
    <xdr:to>
      <xdr:col>5</xdr:col>
      <xdr:colOff>847237</xdr:colOff>
      <xdr:row>102</xdr:row>
      <xdr:rowOff>190500</xdr:rowOff>
    </xdr:to>
    <xdr:pic>
      <xdr:nvPicPr>
        <xdr:cNvPr id="6" name="Info_btn_LOAN" descr="See the source image">
          <a:hlinkClick xmlns:r="http://schemas.openxmlformats.org/officeDocument/2006/relationships" r:id="" tooltip="ANZ allows gearing benefits to be applied to funds lent to acquire or refinance residential properties that are earning rental income,&#10;generally cash out is not acceptable unless it is used in a subsequent application to facilitate an investment property purchase. &#10;Home Loans in a Company Name can not be marked as deductible"/>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00425" y="10287000"/>
          <a:ext cx="161437"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685800</xdr:colOff>
      <xdr:row>56</xdr:row>
      <xdr:rowOff>19050</xdr:rowOff>
    </xdr:from>
    <xdr:to>
      <xdr:col>5</xdr:col>
      <xdr:colOff>847237</xdr:colOff>
      <xdr:row>56</xdr:row>
      <xdr:rowOff>183642</xdr:rowOff>
    </xdr:to>
    <xdr:pic>
      <xdr:nvPicPr>
        <xdr:cNvPr id="17" name="Info_btn_LIAB" descr="See the source image">
          <a:hlinkClick xmlns:r="http://schemas.openxmlformats.org/officeDocument/2006/relationships" r:id="" tooltip="ANZ allows gearing benefits on loans used to acquire or refinance residential properties that are earning rental income.&#10;Business lending and Home Loans in a Company Name can not be marked as deductible"/>
          <a:extLst>
            <a:ext uri="{FF2B5EF4-FFF2-40B4-BE49-F238E27FC236}">
              <a16:creationId xmlns:a16="http://schemas.microsoft.com/office/drawing/2014/main" id="{00000000-0008-0000-0900-000011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00425" y="5648325"/>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123825</xdr:colOff>
      <xdr:row>2</xdr:row>
      <xdr:rowOff>38100</xdr:rowOff>
    </xdr:from>
    <xdr:to>
      <xdr:col>3</xdr:col>
      <xdr:colOff>593623</xdr:colOff>
      <xdr:row>2</xdr:row>
      <xdr:rowOff>322290</xdr:rowOff>
    </xdr:to>
    <xdr:pic>
      <xdr:nvPicPr>
        <xdr:cNvPr id="25" name="Picture 24" descr="ANZ logo">
          <a:extLst>
            <a:ext uri="{FF2B5EF4-FFF2-40B4-BE49-F238E27FC236}">
              <a16:creationId xmlns:a16="http://schemas.microsoft.com/office/drawing/2014/main" id="{00000000-0008-0000-0900-000019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57175" y="171450"/>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28917</xdr:colOff>
      <xdr:row>47</xdr:row>
      <xdr:rowOff>19051</xdr:rowOff>
    </xdr:from>
    <xdr:ext cx="171450" cy="171450"/>
    <xdr:pic macro="[0]!Goto_Page">
      <xdr:nvPicPr>
        <xdr:cNvPr id="33" name="InvProp_48"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417" y="4676776"/>
          <a:ext cx="171450" cy="1714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76200</xdr:colOff>
      <xdr:row>47</xdr:row>
      <xdr:rowOff>57150</xdr:rowOff>
    </xdr:from>
    <xdr:ext cx="115200" cy="115200"/>
    <xdr:pic macro="[0]!Delete_Item">
      <xdr:nvPicPr>
        <xdr:cNvPr id="34" name="Del_Inc_48" descr="Close with solid fill">
          <a:extLst>
            <a:ext uri="{FF2B5EF4-FFF2-40B4-BE49-F238E27FC236}">
              <a16:creationId xmlns:a16="http://schemas.microsoft.com/office/drawing/2014/main" id="{00000000-0008-0000-0900-00002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9550" y="4714875"/>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5</xdr:col>
          <xdr:colOff>342900</xdr:colOff>
          <xdr:row>27</xdr:row>
          <xdr:rowOff>25400</xdr:rowOff>
        </xdr:from>
        <xdr:to>
          <xdr:col>5</xdr:col>
          <xdr:colOff>647700</xdr:colOff>
          <xdr:row>27</xdr:row>
          <xdr:rowOff>177800</xdr:rowOff>
        </xdr:to>
        <xdr:sp macro="" textlink="">
          <xdr:nvSpPr>
            <xdr:cNvPr id="103551" name="Check Box 1151" hidden="1">
              <a:extLst>
                <a:ext uri="{63B3BB69-23CF-44E3-9099-C40C66FF867C}">
                  <a14:compatExt spid="_x0000_s103551"/>
                </a:ext>
                <a:ext uri="{FF2B5EF4-FFF2-40B4-BE49-F238E27FC236}">
                  <a16:creationId xmlns:a16="http://schemas.microsoft.com/office/drawing/2014/main" id="{00000000-0008-0000-0900-00007F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28</xdr:row>
          <xdr:rowOff>25400</xdr:rowOff>
        </xdr:from>
        <xdr:to>
          <xdr:col>5</xdr:col>
          <xdr:colOff>647700</xdr:colOff>
          <xdr:row>28</xdr:row>
          <xdr:rowOff>177800</xdr:rowOff>
        </xdr:to>
        <xdr:sp macro="" textlink="">
          <xdr:nvSpPr>
            <xdr:cNvPr id="103552" name="Check Box 1152" hidden="1">
              <a:extLst>
                <a:ext uri="{63B3BB69-23CF-44E3-9099-C40C66FF867C}">
                  <a14:compatExt spid="_x0000_s103552"/>
                </a:ext>
                <a:ext uri="{FF2B5EF4-FFF2-40B4-BE49-F238E27FC236}">
                  <a16:creationId xmlns:a16="http://schemas.microsoft.com/office/drawing/2014/main" id="{00000000-0008-0000-0900-000080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25</xdr:row>
          <xdr:rowOff>25400</xdr:rowOff>
        </xdr:from>
        <xdr:to>
          <xdr:col>8</xdr:col>
          <xdr:colOff>711200</xdr:colOff>
          <xdr:row>25</xdr:row>
          <xdr:rowOff>177800</xdr:rowOff>
        </xdr:to>
        <xdr:sp macro="" textlink="">
          <xdr:nvSpPr>
            <xdr:cNvPr id="103553" name="Check Box 1153" hidden="1">
              <a:extLst>
                <a:ext uri="{63B3BB69-23CF-44E3-9099-C40C66FF867C}">
                  <a14:compatExt spid="_x0000_s103553"/>
                </a:ext>
                <a:ext uri="{FF2B5EF4-FFF2-40B4-BE49-F238E27FC236}">
                  <a16:creationId xmlns:a16="http://schemas.microsoft.com/office/drawing/2014/main" id="{00000000-0008-0000-0900-000081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26</xdr:row>
          <xdr:rowOff>25400</xdr:rowOff>
        </xdr:from>
        <xdr:to>
          <xdr:col>8</xdr:col>
          <xdr:colOff>711200</xdr:colOff>
          <xdr:row>26</xdr:row>
          <xdr:rowOff>177800</xdr:rowOff>
        </xdr:to>
        <xdr:sp macro="" textlink="">
          <xdr:nvSpPr>
            <xdr:cNvPr id="103554" name="Check Box 1154" hidden="1">
              <a:extLst>
                <a:ext uri="{63B3BB69-23CF-44E3-9099-C40C66FF867C}">
                  <a14:compatExt spid="_x0000_s103554"/>
                </a:ext>
                <a:ext uri="{FF2B5EF4-FFF2-40B4-BE49-F238E27FC236}">
                  <a16:creationId xmlns:a16="http://schemas.microsoft.com/office/drawing/2014/main" id="{00000000-0008-0000-0900-000082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27</xdr:row>
          <xdr:rowOff>25400</xdr:rowOff>
        </xdr:from>
        <xdr:to>
          <xdr:col>8</xdr:col>
          <xdr:colOff>711200</xdr:colOff>
          <xdr:row>27</xdr:row>
          <xdr:rowOff>177800</xdr:rowOff>
        </xdr:to>
        <xdr:sp macro="" textlink="">
          <xdr:nvSpPr>
            <xdr:cNvPr id="103555" name="Check Box 1155" hidden="1">
              <a:extLst>
                <a:ext uri="{63B3BB69-23CF-44E3-9099-C40C66FF867C}">
                  <a14:compatExt spid="_x0000_s103555"/>
                </a:ext>
                <a:ext uri="{FF2B5EF4-FFF2-40B4-BE49-F238E27FC236}">
                  <a16:creationId xmlns:a16="http://schemas.microsoft.com/office/drawing/2014/main" id="{00000000-0008-0000-0900-000083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28</xdr:row>
          <xdr:rowOff>25400</xdr:rowOff>
        </xdr:from>
        <xdr:to>
          <xdr:col>8</xdr:col>
          <xdr:colOff>711200</xdr:colOff>
          <xdr:row>28</xdr:row>
          <xdr:rowOff>177800</xdr:rowOff>
        </xdr:to>
        <xdr:sp macro="" textlink="">
          <xdr:nvSpPr>
            <xdr:cNvPr id="103556" name="Check Box 1156" hidden="1">
              <a:extLst>
                <a:ext uri="{63B3BB69-23CF-44E3-9099-C40C66FF867C}">
                  <a14:compatExt spid="_x0000_s103556"/>
                </a:ext>
                <a:ext uri="{FF2B5EF4-FFF2-40B4-BE49-F238E27FC236}">
                  <a16:creationId xmlns:a16="http://schemas.microsoft.com/office/drawing/2014/main" id="{00000000-0008-0000-0900-000084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26</xdr:row>
          <xdr:rowOff>25400</xdr:rowOff>
        </xdr:from>
        <xdr:to>
          <xdr:col>5</xdr:col>
          <xdr:colOff>647700</xdr:colOff>
          <xdr:row>26</xdr:row>
          <xdr:rowOff>177800</xdr:rowOff>
        </xdr:to>
        <xdr:sp macro="" textlink="">
          <xdr:nvSpPr>
            <xdr:cNvPr id="103558" name="Check Box 1158" hidden="1">
              <a:extLst>
                <a:ext uri="{63B3BB69-23CF-44E3-9099-C40C66FF867C}">
                  <a14:compatExt spid="_x0000_s103558"/>
                </a:ext>
                <a:ext uri="{FF2B5EF4-FFF2-40B4-BE49-F238E27FC236}">
                  <a16:creationId xmlns:a16="http://schemas.microsoft.com/office/drawing/2014/main" id="{00000000-0008-0000-0900-000086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76200</xdr:colOff>
      <xdr:row>25</xdr:row>
      <xdr:rowOff>57150</xdr:rowOff>
    </xdr:from>
    <xdr:ext cx="115200" cy="115200"/>
    <xdr:pic macro="[0]!Delete_Item">
      <xdr:nvPicPr>
        <xdr:cNvPr id="103491" name="Del_Emp_26" descr="Close with solid fill">
          <a:extLst>
            <a:ext uri="{FF2B5EF4-FFF2-40B4-BE49-F238E27FC236}">
              <a16:creationId xmlns:a16="http://schemas.microsoft.com/office/drawing/2014/main" id="{00000000-0008-0000-0900-000043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9550" y="2962275"/>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5</xdr:col>
          <xdr:colOff>342900</xdr:colOff>
          <xdr:row>27</xdr:row>
          <xdr:rowOff>25400</xdr:rowOff>
        </xdr:from>
        <xdr:to>
          <xdr:col>5</xdr:col>
          <xdr:colOff>647700</xdr:colOff>
          <xdr:row>27</xdr:row>
          <xdr:rowOff>177800</xdr:rowOff>
        </xdr:to>
        <xdr:sp macro="" textlink="">
          <xdr:nvSpPr>
            <xdr:cNvPr id="103559" name="Check Box 1159" hidden="1">
              <a:extLst>
                <a:ext uri="{63B3BB69-23CF-44E3-9099-C40C66FF867C}">
                  <a14:compatExt spid="_x0000_s103559"/>
                </a:ext>
                <a:ext uri="{FF2B5EF4-FFF2-40B4-BE49-F238E27FC236}">
                  <a16:creationId xmlns:a16="http://schemas.microsoft.com/office/drawing/2014/main" id="{00000000-0008-0000-0900-000087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28</xdr:row>
          <xdr:rowOff>25400</xdr:rowOff>
        </xdr:from>
        <xdr:to>
          <xdr:col>5</xdr:col>
          <xdr:colOff>647700</xdr:colOff>
          <xdr:row>28</xdr:row>
          <xdr:rowOff>177800</xdr:rowOff>
        </xdr:to>
        <xdr:sp macro="" textlink="">
          <xdr:nvSpPr>
            <xdr:cNvPr id="103560" name="Check Box 1160" hidden="1">
              <a:extLst>
                <a:ext uri="{63B3BB69-23CF-44E3-9099-C40C66FF867C}">
                  <a14:compatExt spid="_x0000_s103560"/>
                </a:ext>
                <a:ext uri="{FF2B5EF4-FFF2-40B4-BE49-F238E27FC236}">
                  <a16:creationId xmlns:a16="http://schemas.microsoft.com/office/drawing/2014/main" id="{00000000-0008-0000-0900-000088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25</xdr:row>
          <xdr:rowOff>25400</xdr:rowOff>
        </xdr:from>
        <xdr:to>
          <xdr:col>8</xdr:col>
          <xdr:colOff>711200</xdr:colOff>
          <xdr:row>25</xdr:row>
          <xdr:rowOff>177800</xdr:rowOff>
        </xdr:to>
        <xdr:sp macro="" textlink="">
          <xdr:nvSpPr>
            <xdr:cNvPr id="103561" name="Check Box 1161" hidden="1">
              <a:extLst>
                <a:ext uri="{63B3BB69-23CF-44E3-9099-C40C66FF867C}">
                  <a14:compatExt spid="_x0000_s103561"/>
                </a:ext>
                <a:ext uri="{FF2B5EF4-FFF2-40B4-BE49-F238E27FC236}">
                  <a16:creationId xmlns:a16="http://schemas.microsoft.com/office/drawing/2014/main" id="{00000000-0008-0000-0900-000089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26</xdr:row>
          <xdr:rowOff>25400</xdr:rowOff>
        </xdr:from>
        <xdr:to>
          <xdr:col>8</xdr:col>
          <xdr:colOff>711200</xdr:colOff>
          <xdr:row>26</xdr:row>
          <xdr:rowOff>177800</xdr:rowOff>
        </xdr:to>
        <xdr:sp macro="" textlink="">
          <xdr:nvSpPr>
            <xdr:cNvPr id="103562" name="Check Box 1162" hidden="1">
              <a:extLst>
                <a:ext uri="{63B3BB69-23CF-44E3-9099-C40C66FF867C}">
                  <a14:compatExt spid="_x0000_s103562"/>
                </a:ext>
                <a:ext uri="{FF2B5EF4-FFF2-40B4-BE49-F238E27FC236}">
                  <a16:creationId xmlns:a16="http://schemas.microsoft.com/office/drawing/2014/main" id="{00000000-0008-0000-0900-00008A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27</xdr:row>
          <xdr:rowOff>25400</xdr:rowOff>
        </xdr:from>
        <xdr:to>
          <xdr:col>8</xdr:col>
          <xdr:colOff>711200</xdr:colOff>
          <xdr:row>27</xdr:row>
          <xdr:rowOff>177800</xdr:rowOff>
        </xdr:to>
        <xdr:sp macro="" textlink="">
          <xdr:nvSpPr>
            <xdr:cNvPr id="103563" name="Check Box 1163" hidden="1">
              <a:extLst>
                <a:ext uri="{63B3BB69-23CF-44E3-9099-C40C66FF867C}">
                  <a14:compatExt spid="_x0000_s103563"/>
                </a:ext>
                <a:ext uri="{FF2B5EF4-FFF2-40B4-BE49-F238E27FC236}">
                  <a16:creationId xmlns:a16="http://schemas.microsoft.com/office/drawing/2014/main" id="{00000000-0008-0000-0900-00008B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28</xdr:row>
          <xdr:rowOff>25400</xdr:rowOff>
        </xdr:from>
        <xdr:to>
          <xdr:col>8</xdr:col>
          <xdr:colOff>711200</xdr:colOff>
          <xdr:row>28</xdr:row>
          <xdr:rowOff>177800</xdr:rowOff>
        </xdr:to>
        <xdr:sp macro="" textlink="">
          <xdr:nvSpPr>
            <xdr:cNvPr id="103564" name="Check Box 1164" hidden="1">
              <a:extLst>
                <a:ext uri="{63B3BB69-23CF-44E3-9099-C40C66FF867C}">
                  <a14:compatExt spid="_x0000_s103564"/>
                </a:ext>
                <a:ext uri="{FF2B5EF4-FFF2-40B4-BE49-F238E27FC236}">
                  <a16:creationId xmlns:a16="http://schemas.microsoft.com/office/drawing/2014/main" id="{00000000-0008-0000-0900-00008C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26</xdr:row>
          <xdr:rowOff>25400</xdr:rowOff>
        </xdr:from>
        <xdr:to>
          <xdr:col>5</xdr:col>
          <xdr:colOff>647700</xdr:colOff>
          <xdr:row>26</xdr:row>
          <xdr:rowOff>177800</xdr:rowOff>
        </xdr:to>
        <xdr:sp macro="" textlink="">
          <xdr:nvSpPr>
            <xdr:cNvPr id="103565" name="Check Box 1165" hidden="1">
              <a:extLst>
                <a:ext uri="{63B3BB69-23CF-44E3-9099-C40C66FF867C}">
                  <a14:compatExt spid="_x0000_s103565"/>
                </a:ext>
                <a:ext uri="{FF2B5EF4-FFF2-40B4-BE49-F238E27FC236}">
                  <a16:creationId xmlns:a16="http://schemas.microsoft.com/office/drawing/2014/main" id="{00000000-0008-0000-0900-00008D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27</xdr:row>
          <xdr:rowOff>25400</xdr:rowOff>
        </xdr:from>
        <xdr:to>
          <xdr:col>5</xdr:col>
          <xdr:colOff>647700</xdr:colOff>
          <xdr:row>27</xdr:row>
          <xdr:rowOff>177800</xdr:rowOff>
        </xdr:to>
        <xdr:sp macro="" textlink="">
          <xdr:nvSpPr>
            <xdr:cNvPr id="103566" name="Check Box 1166" hidden="1">
              <a:extLst>
                <a:ext uri="{63B3BB69-23CF-44E3-9099-C40C66FF867C}">
                  <a14:compatExt spid="_x0000_s103566"/>
                </a:ext>
                <a:ext uri="{FF2B5EF4-FFF2-40B4-BE49-F238E27FC236}">
                  <a16:creationId xmlns:a16="http://schemas.microsoft.com/office/drawing/2014/main" id="{00000000-0008-0000-0900-00008E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28</xdr:row>
          <xdr:rowOff>25400</xdr:rowOff>
        </xdr:from>
        <xdr:to>
          <xdr:col>5</xdr:col>
          <xdr:colOff>647700</xdr:colOff>
          <xdr:row>28</xdr:row>
          <xdr:rowOff>177800</xdr:rowOff>
        </xdr:to>
        <xdr:sp macro="" textlink="">
          <xdr:nvSpPr>
            <xdr:cNvPr id="103567" name="Check Box 1167" hidden="1">
              <a:extLst>
                <a:ext uri="{63B3BB69-23CF-44E3-9099-C40C66FF867C}">
                  <a14:compatExt spid="_x0000_s103567"/>
                </a:ext>
                <a:ext uri="{FF2B5EF4-FFF2-40B4-BE49-F238E27FC236}">
                  <a16:creationId xmlns:a16="http://schemas.microsoft.com/office/drawing/2014/main" id="{00000000-0008-0000-0900-00008F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25</xdr:row>
          <xdr:rowOff>25400</xdr:rowOff>
        </xdr:from>
        <xdr:to>
          <xdr:col>8</xdr:col>
          <xdr:colOff>711200</xdr:colOff>
          <xdr:row>25</xdr:row>
          <xdr:rowOff>177800</xdr:rowOff>
        </xdr:to>
        <xdr:sp macro="" textlink="">
          <xdr:nvSpPr>
            <xdr:cNvPr id="103568" name="Check Box 1168" hidden="1">
              <a:extLst>
                <a:ext uri="{63B3BB69-23CF-44E3-9099-C40C66FF867C}">
                  <a14:compatExt spid="_x0000_s103568"/>
                </a:ext>
                <a:ext uri="{FF2B5EF4-FFF2-40B4-BE49-F238E27FC236}">
                  <a16:creationId xmlns:a16="http://schemas.microsoft.com/office/drawing/2014/main" id="{00000000-0008-0000-0900-000090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26</xdr:row>
          <xdr:rowOff>25400</xdr:rowOff>
        </xdr:from>
        <xdr:to>
          <xdr:col>8</xdr:col>
          <xdr:colOff>711200</xdr:colOff>
          <xdr:row>26</xdr:row>
          <xdr:rowOff>177800</xdr:rowOff>
        </xdr:to>
        <xdr:sp macro="" textlink="">
          <xdr:nvSpPr>
            <xdr:cNvPr id="103569" name="Check Box 1169" hidden="1">
              <a:extLst>
                <a:ext uri="{63B3BB69-23CF-44E3-9099-C40C66FF867C}">
                  <a14:compatExt spid="_x0000_s103569"/>
                </a:ext>
                <a:ext uri="{FF2B5EF4-FFF2-40B4-BE49-F238E27FC236}">
                  <a16:creationId xmlns:a16="http://schemas.microsoft.com/office/drawing/2014/main" id="{00000000-0008-0000-0900-000091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27</xdr:row>
          <xdr:rowOff>25400</xdr:rowOff>
        </xdr:from>
        <xdr:to>
          <xdr:col>8</xdr:col>
          <xdr:colOff>711200</xdr:colOff>
          <xdr:row>27</xdr:row>
          <xdr:rowOff>177800</xdr:rowOff>
        </xdr:to>
        <xdr:sp macro="" textlink="">
          <xdr:nvSpPr>
            <xdr:cNvPr id="103570" name="Check Box 1170" hidden="1">
              <a:extLst>
                <a:ext uri="{63B3BB69-23CF-44E3-9099-C40C66FF867C}">
                  <a14:compatExt spid="_x0000_s103570"/>
                </a:ext>
                <a:ext uri="{FF2B5EF4-FFF2-40B4-BE49-F238E27FC236}">
                  <a16:creationId xmlns:a16="http://schemas.microsoft.com/office/drawing/2014/main" id="{00000000-0008-0000-0900-000092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406400</xdr:colOff>
          <xdr:row>28</xdr:row>
          <xdr:rowOff>25400</xdr:rowOff>
        </xdr:from>
        <xdr:to>
          <xdr:col>8</xdr:col>
          <xdr:colOff>711200</xdr:colOff>
          <xdr:row>28</xdr:row>
          <xdr:rowOff>177800</xdr:rowOff>
        </xdr:to>
        <xdr:sp macro="" textlink="">
          <xdr:nvSpPr>
            <xdr:cNvPr id="103571" name="Check Box 1171" hidden="1">
              <a:extLst>
                <a:ext uri="{63B3BB69-23CF-44E3-9099-C40C66FF867C}">
                  <a14:compatExt spid="_x0000_s103571"/>
                </a:ext>
                <a:ext uri="{FF2B5EF4-FFF2-40B4-BE49-F238E27FC236}">
                  <a16:creationId xmlns:a16="http://schemas.microsoft.com/office/drawing/2014/main" id="{00000000-0008-0000-0900-000093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26</xdr:row>
          <xdr:rowOff>25400</xdr:rowOff>
        </xdr:from>
        <xdr:to>
          <xdr:col>5</xdr:col>
          <xdr:colOff>647700</xdr:colOff>
          <xdr:row>26</xdr:row>
          <xdr:rowOff>177800</xdr:rowOff>
        </xdr:to>
        <xdr:sp macro="" textlink="">
          <xdr:nvSpPr>
            <xdr:cNvPr id="103572" name="Check Box 1172" hidden="1">
              <a:extLst>
                <a:ext uri="{63B3BB69-23CF-44E3-9099-C40C66FF867C}">
                  <a14:compatExt spid="_x0000_s103572"/>
                </a:ext>
                <a:ext uri="{FF2B5EF4-FFF2-40B4-BE49-F238E27FC236}">
                  <a16:creationId xmlns:a16="http://schemas.microsoft.com/office/drawing/2014/main" id="{00000000-0008-0000-0900-000094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279400</xdr:colOff>
          <xdr:row>28</xdr:row>
          <xdr:rowOff>25400</xdr:rowOff>
        </xdr:from>
        <xdr:to>
          <xdr:col>12</xdr:col>
          <xdr:colOff>584200</xdr:colOff>
          <xdr:row>28</xdr:row>
          <xdr:rowOff>177800</xdr:rowOff>
        </xdr:to>
        <xdr:sp macro="" textlink="">
          <xdr:nvSpPr>
            <xdr:cNvPr id="103573" name="Check Box 1173" hidden="1">
              <a:extLst>
                <a:ext uri="{63B3BB69-23CF-44E3-9099-C40C66FF867C}">
                  <a14:compatExt spid="_x0000_s103573"/>
                </a:ext>
                <a:ext uri="{FF2B5EF4-FFF2-40B4-BE49-F238E27FC236}">
                  <a16:creationId xmlns:a16="http://schemas.microsoft.com/office/drawing/2014/main" id="{00000000-0008-0000-0900-000095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13</xdr:col>
      <xdr:colOff>28575</xdr:colOff>
      <xdr:row>25</xdr:row>
      <xdr:rowOff>19050</xdr:rowOff>
    </xdr:from>
    <xdr:ext cx="180000" cy="180000"/>
    <xdr:pic macro="[0]!Goto_Page">
      <xdr:nvPicPr>
        <xdr:cNvPr id="103492" name="BaseInc_26" descr="Calculator with solid fill">
          <a:extLst>
            <a:ext uri="{FF2B5EF4-FFF2-40B4-BE49-F238E27FC236}">
              <a16:creationId xmlns:a16="http://schemas.microsoft.com/office/drawing/2014/main" id="{00000000-0008-0000-0900-0000449401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982075" y="2924175"/>
          <a:ext cx="180000" cy="180000"/>
        </a:xfrm>
        <a:prstGeom prst="rect">
          <a:avLst/>
        </a:prstGeom>
      </xdr:spPr>
    </xdr:pic>
    <xdr:clientData/>
  </xdr:oneCellAnchor>
  <xdr:oneCellAnchor>
    <xdr:from>
      <xdr:col>6</xdr:col>
      <xdr:colOff>38100</xdr:colOff>
      <xdr:row>25</xdr:row>
      <xdr:rowOff>28575</xdr:rowOff>
    </xdr:from>
    <xdr:ext cx="171450" cy="171450"/>
    <xdr:pic macro="[0]!Goto_Page">
      <xdr:nvPicPr>
        <xdr:cNvPr id="103493" name="SalCred_26" descr="Credit card with solid fill">
          <a:extLst>
            <a:ext uri="{FF2B5EF4-FFF2-40B4-BE49-F238E27FC236}">
              <a16:creationId xmlns:a16="http://schemas.microsoft.com/office/drawing/2014/main" id="{00000000-0008-0000-0900-0000459401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609975" y="2933700"/>
          <a:ext cx="171450" cy="171450"/>
        </a:xfrm>
        <a:prstGeom prst="rect">
          <a:avLst/>
        </a:prstGeom>
      </xdr:spPr>
    </xdr:pic>
    <xdr:clientData/>
  </xdr:oneCellAnchor>
  <xdr:twoCellAnchor>
    <xdr:from>
      <xdr:col>12</xdr:col>
      <xdr:colOff>609600</xdr:colOff>
      <xdr:row>3</xdr:row>
      <xdr:rowOff>85725</xdr:rowOff>
    </xdr:from>
    <xdr:to>
      <xdr:col>14</xdr:col>
      <xdr:colOff>0</xdr:colOff>
      <xdr:row>5</xdr:row>
      <xdr:rowOff>36195</xdr:rowOff>
    </xdr:to>
    <xdr:sp macro="[0]!Remove_SOP" textlink="">
      <xdr:nvSpPr>
        <xdr:cNvPr id="8" name="DeleteSOP">
          <a:extLst>
            <a:ext uri="{FF2B5EF4-FFF2-40B4-BE49-F238E27FC236}">
              <a16:creationId xmlns:a16="http://schemas.microsoft.com/office/drawing/2014/main" id="{00000000-0008-0000-0900-000008000000}"/>
            </a:ext>
          </a:extLst>
        </xdr:cNvPr>
        <xdr:cNvSpPr/>
      </xdr:nvSpPr>
      <xdr:spPr>
        <a:xfrm>
          <a:off x="8801100" y="609600"/>
          <a:ext cx="914400" cy="274320"/>
        </a:xfrm>
        <a:prstGeom prst="roundRect">
          <a:avLst/>
        </a:prstGeom>
        <a:solidFill>
          <a:schemeClr val="bg1"/>
        </a:solidFill>
        <a:ln>
          <a:solidFill>
            <a:srgbClr val="B6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36000" rtlCol="0" anchor="ctr"/>
        <a:lstStyle/>
        <a:p>
          <a:pPr algn="ctr"/>
          <a:r>
            <a:rPr lang="en-AU" sz="1000">
              <a:solidFill>
                <a:srgbClr val="B60000"/>
              </a:solidFill>
            </a:rPr>
            <a:t>Delete SoP</a:t>
          </a:r>
        </a:p>
      </xdr:txBody>
    </xdr:sp>
    <xdr:clientData/>
  </xdr:twoCellAnchor>
  <xdr:oneCellAnchor>
    <xdr:from>
      <xdr:col>3</xdr:col>
      <xdr:colOff>1190625</xdr:colOff>
      <xdr:row>30</xdr:row>
      <xdr:rowOff>66675</xdr:rowOff>
    </xdr:from>
    <xdr:ext cx="115200" cy="115200"/>
    <xdr:pic macro="[0]!Delete_addback">
      <xdr:nvPicPr>
        <xdr:cNvPr id="10" name="Del_Add_31" descr="Close with solid fill" hidden="1">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71625" y="4019550"/>
          <a:ext cx="115200" cy="115200"/>
        </a:xfrm>
        <a:prstGeom prst="rect">
          <a:avLst/>
        </a:prstGeom>
      </xdr:spPr>
    </xdr:pic>
    <xdr:clientData/>
  </xdr:oneCellAnchor>
  <xdr:oneCellAnchor>
    <xdr:from>
      <xdr:col>3</xdr:col>
      <xdr:colOff>1190625</xdr:colOff>
      <xdr:row>31</xdr:row>
      <xdr:rowOff>76200</xdr:rowOff>
    </xdr:from>
    <xdr:ext cx="115200" cy="115200"/>
    <xdr:pic macro="[0]!Delete_addback">
      <xdr:nvPicPr>
        <xdr:cNvPr id="18" name="Del_Add_32" descr="Close with solid fill" hidden="1">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71625" y="4248150"/>
          <a:ext cx="115200" cy="115200"/>
        </a:xfrm>
        <a:prstGeom prst="rect">
          <a:avLst/>
        </a:prstGeom>
      </xdr:spPr>
    </xdr:pic>
    <xdr:clientData/>
  </xdr:oneCellAnchor>
  <xdr:oneCellAnchor>
    <xdr:from>
      <xdr:col>3</xdr:col>
      <xdr:colOff>1190625</xdr:colOff>
      <xdr:row>32</xdr:row>
      <xdr:rowOff>66675</xdr:rowOff>
    </xdr:from>
    <xdr:ext cx="115200" cy="115200"/>
    <xdr:pic macro="[0]!Delete_addback">
      <xdr:nvPicPr>
        <xdr:cNvPr id="23" name="Del_Add_33" descr="Close with solid fill" hidden="1">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71625" y="4457700"/>
          <a:ext cx="115200" cy="115200"/>
        </a:xfrm>
        <a:prstGeom prst="rect">
          <a:avLst/>
        </a:prstGeom>
      </xdr:spPr>
    </xdr:pic>
    <xdr:clientData/>
  </xdr:oneCellAnchor>
  <xdr:oneCellAnchor>
    <xdr:from>
      <xdr:col>3</xdr:col>
      <xdr:colOff>1190625</xdr:colOff>
      <xdr:row>33</xdr:row>
      <xdr:rowOff>66675</xdr:rowOff>
    </xdr:from>
    <xdr:ext cx="115200" cy="115200"/>
    <xdr:pic macro="[0]!Delete_addback">
      <xdr:nvPicPr>
        <xdr:cNvPr id="24" name="Del_Add_34" descr="Close with solid fill" hidden="1">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71625" y="4676775"/>
          <a:ext cx="115200" cy="115200"/>
        </a:xfrm>
        <a:prstGeom prst="rect">
          <a:avLst/>
        </a:prstGeom>
      </xdr:spPr>
    </xdr:pic>
    <xdr:clientData/>
  </xdr:oneCellAnchor>
  <xdr:twoCellAnchor>
    <xdr:from>
      <xdr:col>4</xdr:col>
      <xdr:colOff>38099</xdr:colOff>
      <xdr:row>34</xdr:row>
      <xdr:rowOff>47625</xdr:rowOff>
    </xdr:from>
    <xdr:to>
      <xdr:col>4</xdr:col>
      <xdr:colOff>848099</xdr:colOff>
      <xdr:row>34</xdr:row>
      <xdr:rowOff>200025</xdr:rowOff>
    </xdr:to>
    <xdr:sp macro="[0]!Add_addback" textlink="">
      <xdr:nvSpPr>
        <xdr:cNvPr id="29" name="Add_Add_35">
          <a:extLst>
            <a:ext uri="{FF2B5EF4-FFF2-40B4-BE49-F238E27FC236}">
              <a16:creationId xmlns:a16="http://schemas.microsoft.com/office/drawing/2014/main" id="{00000000-0008-0000-0900-00001D000000}"/>
            </a:ext>
          </a:extLst>
        </xdr:cNvPr>
        <xdr:cNvSpPr txBox="1"/>
      </xdr:nvSpPr>
      <xdr:spPr>
        <a:xfrm>
          <a:off x="1800224" y="4657725"/>
          <a:ext cx="8100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 Sal Sacrifice</a:t>
          </a:r>
        </a:p>
      </xdr:txBody>
    </xdr:sp>
    <xdr:clientData/>
  </xdr:twoCellAnchor>
  <xdr:twoCellAnchor editAs="oneCell">
    <xdr:from>
      <xdr:col>8</xdr:col>
      <xdr:colOff>133350</xdr:colOff>
      <xdr:row>130</xdr:row>
      <xdr:rowOff>28575</xdr:rowOff>
    </xdr:from>
    <xdr:to>
      <xdr:col>8</xdr:col>
      <xdr:colOff>287730</xdr:colOff>
      <xdr:row>130</xdr:row>
      <xdr:rowOff>190575</xdr:rowOff>
    </xdr:to>
    <xdr:pic macro="[0]!RefreshBP">
      <xdr:nvPicPr>
        <xdr:cNvPr id="30" name="RefreshBP" descr="Repeat with solid fill" hidden="1">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848350" y="13839825"/>
          <a:ext cx="162000" cy="162000"/>
        </a:xfrm>
        <a:prstGeom prst="rect">
          <a:avLst/>
        </a:prstGeom>
      </xdr:spPr>
    </xdr:pic>
    <xdr:clientData/>
  </xdr:twoCellAnchor>
  <xdr:twoCellAnchor>
    <xdr:from>
      <xdr:col>3</xdr:col>
      <xdr:colOff>628650</xdr:colOff>
      <xdr:row>28</xdr:row>
      <xdr:rowOff>28575</xdr:rowOff>
    </xdr:from>
    <xdr:to>
      <xdr:col>3</xdr:col>
      <xdr:colOff>790087</xdr:colOff>
      <xdr:row>28</xdr:row>
      <xdr:rowOff>193167</xdr:rowOff>
    </xdr:to>
    <xdr:pic>
      <xdr:nvPicPr>
        <xdr:cNvPr id="31" name="Inf_Own_29" descr="See the source image" hidden="1">
          <a:hlinkClick xmlns:r="http://schemas.openxmlformats.org/officeDocument/2006/relationships" r:id="" tooltip="If the partnership has liabilities, enter this customer's share of all applicants combined ownership&#10;else enter this customer's % ownership of the partnership"/>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09650" y="3543300"/>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1209675</xdr:colOff>
      <xdr:row>32</xdr:row>
      <xdr:rowOff>57150</xdr:rowOff>
    </xdr:from>
    <xdr:ext cx="115200" cy="115200"/>
    <xdr:pic macro="[0]!Delete_addback">
      <xdr:nvPicPr>
        <xdr:cNvPr id="103488" name="Del_Add_33" descr="Close with solid fill" hidden="1">
          <a:extLst>
            <a:ext uri="{FF2B5EF4-FFF2-40B4-BE49-F238E27FC236}">
              <a16:creationId xmlns:a16="http://schemas.microsoft.com/office/drawing/2014/main" id="{00000000-0008-0000-0900-000040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448175"/>
          <a:ext cx="115200" cy="115200"/>
        </a:xfrm>
        <a:prstGeom prst="rect">
          <a:avLst/>
        </a:prstGeom>
      </xdr:spPr>
    </xdr:pic>
    <xdr:clientData/>
  </xdr:oneCellAnchor>
  <xdr:oneCellAnchor>
    <xdr:from>
      <xdr:col>3</xdr:col>
      <xdr:colOff>1209675</xdr:colOff>
      <xdr:row>31</xdr:row>
      <xdr:rowOff>57150</xdr:rowOff>
    </xdr:from>
    <xdr:ext cx="115200" cy="115200"/>
    <xdr:pic macro="[0]!Delete_addback">
      <xdr:nvPicPr>
        <xdr:cNvPr id="103501" name="Del_Add_32" descr="Close with solid fill" hidden="1">
          <a:extLst>
            <a:ext uri="{FF2B5EF4-FFF2-40B4-BE49-F238E27FC236}">
              <a16:creationId xmlns:a16="http://schemas.microsoft.com/office/drawing/2014/main" id="{00000000-0008-0000-0900-00004D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229100"/>
          <a:ext cx="115200" cy="115200"/>
        </a:xfrm>
        <a:prstGeom prst="rect">
          <a:avLst/>
        </a:prstGeom>
      </xdr:spPr>
    </xdr:pic>
    <xdr:clientData/>
  </xdr:oneCellAnchor>
  <xdr:oneCellAnchor>
    <xdr:from>
      <xdr:col>3</xdr:col>
      <xdr:colOff>1209675</xdr:colOff>
      <xdr:row>29</xdr:row>
      <xdr:rowOff>66675</xdr:rowOff>
    </xdr:from>
    <xdr:ext cx="115200" cy="115200"/>
    <xdr:pic macro="[0]!Delete_addback">
      <xdr:nvPicPr>
        <xdr:cNvPr id="103511" name="Del_Add_30" descr="Close with solid fill" hidden="1">
          <a:extLst>
            <a:ext uri="{FF2B5EF4-FFF2-40B4-BE49-F238E27FC236}">
              <a16:creationId xmlns:a16="http://schemas.microsoft.com/office/drawing/2014/main" id="{00000000-0008-0000-0900-000057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800475"/>
          <a:ext cx="115200" cy="115200"/>
        </a:xfrm>
        <a:prstGeom prst="rect">
          <a:avLst/>
        </a:prstGeom>
      </xdr:spPr>
    </xdr:pic>
    <xdr:clientData/>
  </xdr:oneCellAnchor>
  <xdr:oneCellAnchor>
    <xdr:from>
      <xdr:col>3</xdr:col>
      <xdr:colOff>1209675</xdr:colOff>
      <xdr:row>30</xdr:row>
      <xdr:rowOff>66675</xdr:rowOff>
    </xdr:from>
    <xdr:ext cx="115200" cy="115200"/>
    <xdr:pic macro="[0]!Delete_addback">
      <xdr:nvPicPr>
        <xdr:cNvPr id="35" name="Del_Add_31" descr="Close with solid fill" hidden="1">
          <a:extLst>
            <a:ext uri="{FF2B5EF4-FFF2-40B4-BE49-F238E27FC236}">
              <a16:creationId xmlns:a16="http://schemas.microsoft.com/office/drawing/2014/main" id="{00000000-0008-0000-0900-00002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019550"/>
          <a:ext cx="115200" cy="115200"/>
        </a:xfrm>
        <a:prstGeom prst="rect">
          <a:avLst/>
        </a:prstGeom>
      </xdr:spPr>
    </xdr:pic>
    <xdr:clientData/>
  </xdr:oneCellAnchor>
  <xdr:oneCellAnchor>
    <xdr:from>
      <xdr:col>3</xdr:col>
      <xdr:colOff>1209675</xdr:colOff>
      <xdr:row>33</xdr:row>
      <xdr:rowOff>47625</xdr:rowOff>
    </xdr:from>
    <xdr:ext cx="115200" cy="115200"/>
    <xdr:pic macro="[0]!Delete_addback">
      <xdr:nvPicPr>
        <xdr:cNvPr id="36" name="Del_Add_34" descr="Close with solid fill" hidden="1">
          <a:extLst>
            <a:ext uri="{FF2B5EF4-FFF2-40B4-BE49-F238E27FC236}">
              <a16:creationId xmlns:a16="http://schemas.microsoft.com/office/drawing/2014/main" id="{00000000-0008-0000-0900-00002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65772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47" name="Del_Add_36" descr="Close with solid fill" hidden="1">
          <a:extLst>
            <a:ext uri="{FF2B5EF4-FFF2-40B4-BE49-F238E27FC236}">
              <a16:creationId xmlns:a16="http://schemas.microsoft.com/office/drawing/2014/main" id="{00000000-0008-0000-0900-00002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73380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48" name="Del_Add_36" descr="Close with solid fill" hidden="1">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73380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20" name="Del_Add_36" descr="Close with solid fill" hidden="1">
          <a:extLst>
            <a:ext uri="{FF2B5EF4-FFF2-40B4-BE49-F238E27FC236}">
              <a16:creationId xmlns:a16="http://schemas.microsoft.com/office/drawing/2014/main" id="{00000000-0008-0000-0900-000060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73380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21" name="Del_Add_36" descr="Close with solid fill" hidden="1">
          <a:extLst>
            <a:ext uri="{FF2B5EF4-FFF2-40B4-BE49-F238E27FC236}">
              <a16:creationId xmlns:a16="http://schemas.microsoft.com/office/drawing/2014/main" id="{00000000-0008-0000-0900-000061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73380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31" name="Del_Add_36" descr="Close with solid fill" hidden="1">
          <a:extLst>
            <a:ext uri="{FF2B5EF4-FFF2-40B4-BE49-F238E27FC236}">
              <a16:creationId xmlns:a16="http://schemas.microsoft.com/office/drawing/2014/main" id="{00000000-0008-0000-0900-00006B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82917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32" name="Del_Add_36" descr="Close with solid fill" hidden="1">
          <a:extLst>
            <a:ext uri="{FF2B5EF4-FFF2-40B4-BE49-F238E27FC236}">
              <a16:creationId xmlns:a16="http://schemas.microsoft.com/office/drawing/2014/main" id="{00000000-0008-0000-0900-00006C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82917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34" name="Del_Add_36" descr="Close with solid fill" hidden="1">
          <a:extLst>
            <a:ext uri="{FF2B5EF4-FFF2-40B4-BE49-F238E27FC236}">
              <a16:creationId xmlns:a16="http://schemas.microsoft.com/office/drawing/2014/main" id="{00000000-0008-0000-0900-00006E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82917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35" name="Del_Add_36" descr="Close with solid fill" hidden="1">
          <a:extLst>
            <a:ext uri="{FF2B5EF4-FFF2-40B4-BE49-F238E27FC236}">
              <a16:creationId xmlns:a16="http://schemas.microsoft.com/office/drawing/2014/main" id="{00000000-0008-0000-0900-00006F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82917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45" name="Del_Add_36" descr="Close with solid fill" hidden="1">
          <a:extLst>
            <a:ext uri="{FF2B5EF4-FFF2-40B4-BE49-F238E27FC236}">
              <a16:creationId xmlns:a16="http://schemas.microsoft.com/office/drawing/2014/main" id="{00000000-0008-0000-0900-000079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592455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46" name="Del_Add_36" descr="Close with solid fill" hidden="1">
          <a:extLst>
            <a:ext uri="{FF2B5EF4-FFF2-40B4-BE49-F238E27FC236}">
              <a16:creationId xmlns:a16="http://schemas.microsoft.com/office/drawing/2014/main" id="{00000000-0008-0000-0900-00007A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592455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48" name="Del_Add_36" descr="Close with solid fill" hidden="1">
          <a:extLst>
            <a:ext uri="{FF2B5EF4-FFF2-40B4-BE49-F238E27FC236}">
              <a16:creationId xmlns:a16="http://schemas.microsoft.com/office/drawing/2014/main" id="{00000000-0008-0000-0900-00007C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592455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103549" name="Del_Add_36" descr="Close with solid fill" hidden="1">
          <a:extLst>
            <a:ext uri="{FF2B5EF4-FFF2-40B4-BE49-F238E27FC236}">
              <a16:creationId xmlns:a16="http://schemas.microsoft.com/office/drawing/2014/main" id="{00000000-0008-0000-0900-00007D9401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592455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79" name="Del_Add_36" descr="Close with solid fill" hidden="1">
          <a:extLst>
            <a:ext uri="{FF2B5EF4-FFF2-40B4-BE49-F238E27FC236}">
              <a16:creationId xmlns:a16="http://schemas.microsoft.com/office/drawing/2014/main" id="{00000000-0008-0000-0900-00004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73380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80" name="Del_Add_36" descr="Close with solid fill" hidden="1">
          <a:extLst>
            <a:ext uri="{FF2B5EF4-FFF2-40B4-BE49-F238E27FC236}">
              <a16:creationId xmlns:a16="http://schemas.microsoft.com/office/drawing/2014/main" id="{00000000-0008-0000-0900-00005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73380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82" name="Del_Add_36" descr="Close with solid fill" hidden="1">
          <a:extLst>
            <a:ext uri="{FF2B5EF4-FFF2-40B4-BE49-F238E27FC236}">
              <a16:creationId xmlns:a16="http://schemas.microsoft.com/office/drawing/2014/main" id="{00000000-0008-0000-0900-00005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73380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83" name="Del_Add_36" descr="Close with solid fill" hidden="1">
          <a:extLst>
            <a:ext uri="{FF2B5EF4-FFF2-40B4-BE49-F238E27FC236}">
              <a16:creationId xmlns:a16="http://schemas.microsoft.com/office/drawing/2014/main" id="{00000000-0008-0000-0900-00005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373380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94" name="Del_Add_36" descr="Close with solid fill" hidden="1">
          <a:extLst>
            <a:ext uri="{FF2B5EF4-FFF2-40B4-BE49-F238E27FC236}">
              <a16:creationId xmlns:a16="http://schemas.microsoft.com/office/drawing/2014/main" id="{00000000-0008-0000-0900-00005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82917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95" name="Del_Add_36" descr="Close with solid fill" hidden="1">
          <a:extLst>
            <a:ext uri="{FF2B5EF4-FFF2-40B4-BE49-F238E27FC236}">
              <a16:creationId xmlns:a16="http://schemas.microsoft.com/office/drawing/2014/main" id="{00000000-0008-0000-0900-00005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82917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4993" name="Del_Add_36" descr="Close with solid fill" hidden="1">
          <a:extLst>
            <a:ext uri="{FF2B5EF4-FFF2-40B4-BE49-F238E27FC236}">
              <a16:creationId xmlns:a16="http://schemas.microsoft.com/office/drawing/2014/main" id="{00000000-0008-0000-0900-0000811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82917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4994" name="Del_Add_36" descr="Close with solid fill" hidden="1">
          <a:extLst>
            <a:ext uri="{FF2B5EF4-FFF2-40B4-BE49-F238E27FC236}">
              <a16:creationId xmlns:a16="http://schemas.microsoft.com/office/drawing/2014/main" id="{00000000-0008-0000-0900-0000821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4829175"/>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5008" name="Del_Add_36" descr="Close with solid fill" hidden="1">
          <a:extLst>
            <a:ext uri="{FF2B5EF4-FFF2-40B4-BE49-F238E27FC236}">
              <a16:creationId xmlns:a16="http://schemas.microsoft.com/office/drawing/2014/main" id="{00000000-0008-0000-0900-0000901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592455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5009" name="Del_Add_36" descr="Close with solid fill" hidden="1">
          <a:extLst>
            <a:ext uri="{FF2B5EF4-FFF2-40B4-BE49-F238E27FC236}">
              <a16:creationId xmlns:a16="http://schemas.microsoft.com/office/drawing/2014/main" id="{00000000-0008-0000-0900-0000911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592455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5011" name="Del_Add_36" descr="Close with solid fill" hidden="1">
          <a:extLst>
            <a:ext uri="{FF2B5EF4-FFF2-40B4-BE49-F238E27FC236}">
              <a16:creationId xmlns:a16="http://schemas.microsoft.com/office/drawing/2014/main" id="{00000000-0008-0000-0900-0000931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5924550"/>
          <a:ext cx="115200" cy="115200"/>
        </a:xfrm>
        <a:prstGeom prst="rect">
          <a:avLst/>
        </a:prstGeom>
      </xdr:spPr>
    </xdr:pic>
    <xdr:clientData/>
  </xdr:oneCellAnchor>
  <xdr:oneCellAnchor>
    <xdr:from>
      <xdr:col>3</xdr:col>
      <xdr:colOff>1209675</xdr:colOff>
      <xdr:row>35</xdr:row>
      <xdr:rowOff>0</xdr:rowOff>
    </xdr:from>
    <xdr:ext cx="115200" cy="115200"/>
    <xdr:pic macro="[0]!Delete_addback">
      <xdr:nvPicPr>
        <xdr:cNvPr id="5012" name="Del_Add_36" descr="Close with solid fill" hidden="1">
          <a:extLst>
            <a:ext uri="{FF2B5EF4-FFF2-40B4-BE49-F238E27FC236}">
              <a16:creationId xmlns:a16="http://schemas.microsoft.com/office/drawing/2014/main" id="{00000000-0008-0000-0900-0000941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90675" y="5924550"/>
          <a:ext cx="115200" cy="115200"/>
        </a:xfrm>
        <a:prstGeom prst="rect">
          <a:avLst/>
        </a:prstGeom>
      </xdr:spPr>
    </xdr:pic>
    <xdr:clientData/>
  </xdr:oneCellAnchor>
  <xdr:twoCellAnchor editAs="oneCell">
    <xdr:from>
      <xdr:col>13</xdr:col>
      <xdr:colOff>0</xdr:colOff>
      <xdr:row>25</xdr:row>
      <xdr:rowOff>19050</xdr:rowOff>
    </xdr:from>
    <xdr:to>
      <xdr:col>13</xdr:col>
      <xdr:colOff>170475</xdr:colOff>
      <xdr:row>26</xdr:row>
      <xdr:rowOff>930</xdr:rowOff>
    </xdr:to>
    <xdr:pic macro="[0]!BaseIncomeCalc">
      <xdr:nvPicPr>
        <xdr:cNvPr id="5" name="BaseInc_26" descr="Calculator with solid fill" hidden="1">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9039225" y="2876550"/>
          <a:ext cx="180000" cy="18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279400</xdr:colOff>
          <xdr:row>25</xdr:row>
          <xdr:rowOff>25400</xdr:rowOff>
        </xdr:from>
        <xdr:to>
          <xdr:col>13</xdr:col>
          <xdr:colOff>584200</xdr:colOff>
          <xdr:row>25</xdr:row>
          <xdr:rowOff>177800</xdr:rowOff>
        </xdr:to>
        <xdr:sp macro="" textlink="">
          <xdr:nvSpPr>
            <xdr:cNvPr id="103574" name="Check Box 1174" hidden="1">
              <a:extLst>
                <a:ext uri="{63B3BB69-23CF-44E3-9099-C40C66FF867C}">
                  <a14:compatExt spid="_x0000_s103574"/>
                </a:ext>
                <a:ext uri="{FF2B5EF4-FFF2-40B4-BE49-F238E27FC236}">
                  <a16:creationId xmlns:a16="http://schemas.microsoft.com/office/drawing/2014/main" id="{00000000-0008-0000-0900-000096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266700</xdr:colOff>
          <xdr:row>16</xdr:row>
          <xdr:rowOff>25400</xdr:rowOff>
        </xdr:from>
        <xdr:to>
          <xdr:col>36</xdr:col>
          <xdr:colOff>304800</xdr:colOff>
          <xdr:row>16</xdr:row>
          <xdr:rowOff>177800</xdr:rowOff>
        </xdr:to>
        <xdr:sp macro="" textlink="">
          <xdr:nvSpPr>
            <xdr:cNvPr id="103575" name="Check Box 1175" hidden="1">
              <a:extLst>
                <a:ext uri="{63B3BB69-23CF-44E3-9099-C40C66FF867C}">
                  <a14:compatExt spid="_x0000_s103575"/>
                </a:ext>
                <a:ext uri="{FF2B5EF4-FFF2-40B4-BE49-F238E27FC236}">
                  <a16:creationId xmlns:a16="http://schemas.microsoft.com/office/drawing/2014/main" id="{00000000-0008-0000-0900-000097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266700</xdr:colOff>
          <xdr:row>16</xdr:row>
          <xdr:rowOff>25400</xdr:rowOff>
        </xdr:from>
        <xdr:to>
          <xdr:col>36</xdr:col>
          <xdr:colOff>304800</xdr:colOff>
          <xdr:row>16</xdr:row>
          <xdr:rowOff>177800</xdr:rowOff>
        </xdr:to>
        <xdr:sp macro="" textlink="">
          <xdr:nvSpPr>
            <xdr:cNvPr id="103576" name="Check Box 1176" hidden="1">
              <a:extLst>
                <a:ext uri="{63B3BB69-23CF-44E3-9099-C40C66FF867C}">
                  <a14:compatExt spid="_x0000_s103576"/>
                </a:ext>
                <a:ext uri="{FF2B5EF4-FFF2-40B4-BE49-F238E27FC236}">
                  <a16:creationId xmlns:a16="http://schemas.microsoft.com/office/drawing/2014/main" id="{00000000-0008-0000-0900-0000989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13</xdr:col>
      <xdr:colOff>19048</xdr:colOff>
      <xdr:row>26</xdr:row>
      <xdr:rowOff>57148</xdr:rowOff>
    </xdr:from>
    <xdr:to>
      <xdr:col>13</xdr:col>
      <xdr:colOff>695325</xdr:colOff>
      <xdr:row>27</xdr:row>
      <xdr:rowOff>9525</xdr:rowOff>
    </xdr:to>
    <xdr:sp macro="[0]!Goto_Page" textlink="">
      <xdr:nvSpPr>
        <xdr:cNvPr id="7" name="Mty_Ent_27" hidden="1">
          <a:extLst>
            <a:ext uri="{FF2B5EF4-FFF2-40B4-BE49-F238E27FC236}">
              <a16:creationId xmlns:a16="http://schemas.microsoft.com/office/drawing/2014/main" id="{00000000-0008-0000-0900-000007000000}"/>
            </a:ext>
          </a:extLst>
        </xdr:cNvPr>
        <xdr:cNvSpPr txBox="1"/>
      </xdr:nvSpPr>
      <xdr:spPr>
        <a:xfrm>
          <a:off x="9067798" y="3133723"/>
          <a:ext cx="676277" cy="171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t"/>
        <a:lstStyle/>
        <a:p>
          <a:r>
            <a:rPr lang="en-AU" sz="800" b="0" u="sng">
              <a:solidFill>
                <a:srgbClr val="004165"/>
              </a:solidFill>
              <a:latin typeface="Arial" panose="020B0604020202020204" pitchFamily="34" charset="0"/>
              <a:cs typeface="Arial" panose="020B0604020202020204" pitchFamily="34" charset="0"/>
            </a:rPr>
            <a:t>Multi Entity</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872270</xdr:colOff>
      <xdr:row>200</xdr:row>
      <xdr:rowOff>58066</xdr:rowOff>
    </xdr:from>
    <xdr:to>
      <xdr:col>3</xdr:col>
      <xdr:colOff>1034270</xdr:colOff>
      <xdr:row>201</xdr:row>
      <xdr:rowOff>991</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6333270" y="38564466"/>
          <a:ext cx="162000" cy="171525"/>
          <a:chOff x="1395033" y="2708672"/>
          <a:chExt cx="180000" cy="180000"/>
        </a:xfrm>
      </xdr:grpSpPr>
      <xdr:sp macro="" textlink="">
        <xdr:nvSpPr>
          <xdr:cNvPr id="3" name="Rounded Rectangle 11">
            <a:extLst>
              <a:ext uri="{FF2B5EF4-FFF2-40B4-BE49-F238E27FC236}">
                <a16:creationId xmlns:a16="http://schemas.microsoft.com/office/drawing/2014/main" id="{00000000-0008-0000-0A00-000003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 textlink="">
        <xdr:nvSpPr>
          <xdr:cNvPr id="4" name="Plus 12">
            <a:extLst>
              <a:ext uri="{FF2B5EF4-FFF2-40B4-BE49-F238E27FC236}">
                <a16:creationId xmlns:a16="http://schemas.microsoft.com/office/drawing/2014/main" id="{00000000-0008-0000-0A00-000004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1109383</xdr:colOff>
      <xdr:row>200</xdr:row>
      <xdr:rowOff>56029</xdr:rowOff>
    </xdr:from>
    <xdr:to>
      <xdr:col>3</xdr:col>
      <xdr:colOff>1271383</xdr:colOff>
      <xdr:row>200</xdr:row>
      <xdr:rowOff>189454</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6570383" y="38562429"/>
          <a:ext cx="162000" cy="133425"/>
          <a:chOff x="4601514" y="2624070"/>
          <a:chExt cx="162000" cy="162000"/>
        </a:xfrm>
      </xdr:grpSpPr>
      <xdr:sp macro="" textlink="">
        <xdr:nvSpPr>
          <xdr:cNvPr id="6" name="Rounded Rectangle 14">
            <a:extLst>
              <a:ext uri="{FF2B5EF4-FFF2-40B4-BE49-F238E27FC236}">
                <a16:creationId xmlns:a16="http://schemas.microsoft.com/office/drawing/2014/main" id="{00000000-0008-0000-0A00-000006000000}"/>
              </a:ext>
            </a:extLst>
          </xdr:cNvPr>
          <xdr:cNvSpPr/>
        </xdr:nvSpPr>
        <xdr:spPr>
          <a:xfrm>
            <a:off x="4601514" y="2624070"/>
            <a:ext cx="162000" cy="162000"/>
          </a:xfrm>
          <a:prstGeom prst="roundRect">
            <a:avLst/>
          </a:prstGeom>
          <a:solidFill>
            <a:srgbClr val="FF5050"/>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 textlink="">
        <xdr:nvSpPr>
          <xdr:cNvPr id="7" name="Minus 15">
            <a:extLst>
              <a:ext uri="{FF2B5EF4-FFF2-40B4-BE49-F238E27FC236}">
                <a16:creationId xmlns:a16="http://schemas.microsoft.com/office/drawing/2014/main" id="{00000000-0008-0000-0A00-000007000000}"/>
              </a:ext>
            </a:extLst>
          </xdr:cNvPr>
          <xdr:cNvSpPr/>
        </xdr:nvSpPr>
        <xdr:spPr>
          <a:xfrm>
            <a:off x="4624775" y="2645501"/>
            <a:ext cx="114851" cy="111919"/>
          </a:xfrm>
          <a:prstGeom prst="mathMinus">
            <a:avLst/>
          </a:prstGeom>
          <a:solidFill>
            <a:schemeClr val="bg1"/>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1184030</xdr:colOff>
      <xdr:row>206</xdr:row>
      <xdr:rowOff>61179</xdr:rowOff>
    </xdr:from>
    <xdr:to>
      <xdr:col>3</xdr:col>
      <xdr:colOff>1346030</xdr:colOff>
      <xdr:row>207</xdr:row>
      <xdr:rowOff>4104</xdr:rowOff>
    </xdr:to>
    <xdr:grpSp>
      <xdr:nvGrpSpPr>
        <xdr:cNvPr id="8" name="Group 7">
          <a:extLst>
            <a:ext uri="{FF2B5EF4-FFF2-40B4-BE49-F238E27FC236}">
              <a16:creationId xmlns:a16="http://schemas.microsoft.com/office/drawing/2014/main" id="{00000000-0008-0000-0A00-000008000000}"/>
            </a:ext>
          </a:extLst>
        </xdr:cNvPr>
        <xdr:cNvGrpSpPr/>
      </xdr:nvGrpSpPr>
      <xdr:grpSpPr>
        <a:xfrm>
          <a:off x="6645030" y="40015379"/>
          <a:ext cx="162000" cy="171525"/>
          <a:chOff x="1395033" y="2708672"/>
          <a:chExt cx="180000" cy="180000"/>
        </a:xfrm>
      </xdr:grpSpPr>
      <xdr:sp macro="" textlink="">
        <xdr:nvSpPr>
          <xdr:cNvPr id="9" name="Rounded Rectangle 8">
            <a:extLst>
              <a:ext uri="{FF2B5EF4-FFF2-40B4-BE49-F238E27FC236}">
                <a16:creationId xmlns:a16="http://schemas.microsoft.com/office/drawing/2014/main" id="{00000000-0008-0000-0A00-000009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 textlink="">
        <xdr:nvSpPr>
          <xdr:cNvPr id="10" name="Plus 9">
            <a:extLst>
              <a:ext uri="{FF2B5EF4-FFF2-40B4-BE49-F238E27FC236}">
                <a16:creationId xmlns:a16="http://schemas.microsoft.com/office/drawing/2014/main" id="{00000000-0008-0000-0A00-00000A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3</xdr:col>
      <xdr:colOff>1423148</xdr:colOff>
      <xdr:row>206</xdr:row>
      <xdr:rowOff>56030</xdr:rowOff>
    </xdr:from>
    <xdr:to>
      <xdr:col>3</xdr:col>
      <xdr:colOff>1585148</xdr:colOff>
      <xdr:row>206</xdr:row>
      <xdr:rowOff>189455</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884148" y="40010230"/>
          <a:ext cx="162000" cy="133425"/>
          <a:chOff x="4601514" y="2624070"/>
          <a:chExt cx="162000" cy="162000"/>
        </a:xfrm>
      </xdr:grpSpPr>
      <xdr:sp macro="" textlink="">
        <xdr:nvSpPr>
          <xdr:cNvPr id="12" name="Rounded Rectangle 17">
            <a:extLst>
              <a:ext uri="{FF2B5EF4-FFF2-40B4-BE49-F238E27FC236}">
                <a16:creationId xmlns:a16="http://schemas.microsoft.com/office/drawing/2014/main" id="{00000000-0008-0000-0A00-00000C000000}"/>
              </a:ext>
            </a:extLst>
          </xdr:cNvPr>
          <xdr:cNvSpPr/>
        </xdr:nvSpPr>
        <xdr:spPr>
          <a:xfrm>
            <a:off x="4601514" y="2624070"/>
            <a:ext cx="162000" cy="162000"/>
          </a:xfrm>
          <a:prstGeom prst="roundRect">
            <a:avLst/>
          </a:prstGeom>
          <a:solidFill>
            <a:srgbClr val="FF5050"/>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 textlink="">
        <xdr:nvSpPr>
          <xdr:cNvPr id="13" name="Minus 18">
            <a:extLst>
              <a:ext uri="{FF2B5EF4-FFF2-40B4-BE49-F238E27FC236}">
                <a16:creationId xmlns:a16="http://schemas.microsoft.com/office/drawing/2014/main" id="{00000000-0008-0000-0A00-00000D000000}"/>
              </a:ext>
            </a:extLst>
          </xdr:cNvPr>
          <xdr:cNvSpPr/>
        </xdr:nvSpPr>
        <xdr:spPr>
          <a:xfrm>
            <a:off x="4624775" y="2645501"/>
            <a:ext cx="114851" cy="111919"/>
          </a:xfrm>
          <a:prstGeom prst="mathMinus">
            <a:avLst/>
          </a:prstGeom>
          <a:solidFill>
            <a:schemeClr val="bg1"/>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644280</xdr:colOff>
      <xdr:row>201</xdr:row>
      <xdr:rowOff>40012</xdr:rowOff>
    </xdr:from>
    <xdr:to>
      <xdr:col>9</xdr:col>
      <xdr:colOff>806280</xdr:colOff>
      <xdr:row>201</xdr:row>
      <xdr:rowOff>202012</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17065380" y="38775012"/>
          <a:ext cx="162000" cy="162000"/>
          <a:chOff x="1395033" y="2708672"/>
          <a:chExt cx="180000" cy="180000"/>
        </a:xfrm>
      </xdr:grpSpPr>
      <xdr:sp macro="" textlink="">
        <xdr:nvSpPr>
          <xdr:cNvPr id="15" name="Rounded Rectangle 39">
            <a:extLst>
              <a:ext uri="{FF2B5EF4-FFF2-40B4-BE49-F238E27FC236}">
                <a16:creationId xmlns:a16="http://schemas.microsoft.com/office/drawing/2014/main" id="{00000000-0008-0000-0A00-00000F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 textlink="">
        <xdr:nvSpPr>
          <xdr:cNvPr id="16" name="Plus 40">
            <a:extLst>
              <a:ext uri="{FF2B5EF4-FFF2-40B4-BE49-F238E27FC236}">
                <a16:creationId xmlns:a16="http://schemas.microsoft.com/office/drawing/2014/main" id="{00000000-0008-0000-0A00-000010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883398</xdr:colOff>
      <xdr:row>201</xdr:row>
      <xdr:rowOff>34863</xdr:rowOff>
    </xdr:from>
    <xdr:to>
      <xdr:col>9</xdr:col>
      <xdr:colOff>978723</xdr:colOff>
      <xdr:row>201</xdr:row>
      <xdr:rowOff>196863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17304498" y="38769863"/>
          <a:ext cx="95325" cy="162000"/>
          <a:chOff x="4601514" y="2624070"/>
          <a:chExt cx="162000" cy="162000"/>
        </a:xfrm>
      </xdr:grpSpPr>
      <xdr:sp macro="" textlink="">
        <xdr:nvSpPr>
          <xdr:cNvPr id="18" name="Rounded Rectangle 42">
            <a:extLst>
              <a:ext uri="{FF2B5EF4-FFF2-40B4-BE49-F238E27FC236}">
                <a16:creationId xmlns:a16="http://schemas.microsoft.com/office/drawing/2014/main" id="{00000000-0008-0000-0A00-000012000000}"/>
              </a:ext>
            </a:extLst>
          </xdr:cNvPr>
          <xdr:cNvSpPr/>
        </xdr:nvSpPr>
        <xdr:spPr>
          <a:xfrm>
            <a:off x="4601514" y="2624070"/>
            <a:ext cx="162000" cy="162000"/>
          </a:xfrm>
          <a:prstGeom prst="roundRect">
            <a:avLst/>
          </a:prstGeom>
          <a:solidFill>
            <a:srgbClr val="FF5050"/>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 textlink="">
        <xdr:nvSpPr>
          <xdr:cNvPr id="19" name="Minus 43">
            <a:extLst>
              <a:ext uri="{FF2B5EF4-FFF2-40B4-BE49-F238E27FC236}">
                <a16:creationId xmlns:a16="http://schemas.microsoft.com/office/drawing/2014/main" id="{00000000-0008-0000-0A00-000013000000}"/>
              </a:ext>
            </a:extLst>
          </xdr:cNvPr>
          <xdr:cNvSpPr/>
        </xdr:nvSpPr>
        <xdr:spPr>
          <a:xfrm>
            <a:off x="4624775" y="2645501"/>
            <a:ext cx="114851" cy="111919"/>
          </a:xfrm>
          <a:prstGeom prst="mathMinus">
            <a:avLst/>
          </a:prstGeom>
          <a:solidFill>
            <a:schemeClr val="bg1"/>
          </a:solidFill>
          <a:ln>
            <a:solidFill>
              <a:srgbClr val="FF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17</xdr:col>
      <xdr:colOff>1809750</xdr:colOff>
      <xdr:row>165</xdr:row>
      <xdr:rowOff>0</xdr:rowOff>
    </xdr:from>
    <xdr:to>
      <xdr:col>17</xdr:col>
      <xdr:colOff>2705550</xdr:colOff>
      <xdr:row>165</xdr:row>
      <xdr:rowOff>242560</xdr:rowOff>
    </xdr:to>
    <xdr:sp macro="[0]!Export_New_Loans" textlink="">
      <xdr:nvSpPr>
        <xdr:cNvPr id="20" name="MaxBorrowingLMI">
          <a:extLst>
            <a:ext uri="{FF2B5EF4-FFF2-40B4-BE49-F238E27FC236}">
              <a16:creationId xmlns:a16="http://schemas.microsoft.com/office/drawing/2014/main" id="{00000000-0008-0000-0A00-000014000000}"/>
            </a:ext>
          </a:extLst>
        </xdr:cNvPr>
        <xdr:cNvSpPr/>
      </xdr:nvSpPr>
      <xdr:spPr>
        <a:xfrm>
          <a:off x="25431750" y="31518225"/>
          <a:ext cx="895800" cy="24256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baseline="0">
              <a:solidFill>
                <a:srgbClr val="FFFFFF"/>
              </a:solidFill>
            </a:rPr>
            <a:t>Export to SOP</a:t>
          </a:r>
          <a:endParaRPr lang="en-AU" sz="800">
            <a:solidFill>
              <a:srgbClr val="FFFFFF"/>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3719</xdr:colOff>
      <xdr:row>0</xdr:row>
      <xdr:rowOff>13607</xdr:rowOff>
    </xdr:from>
    <xdr:to>
      <xdr:col>2</xdr:col>
      <xdr:colOff>1425048</xdr:colOff>
      <xdr:row>2</xdr:row>
      <xdr:rowOff>92925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a:srcRect l="33243"/>
        <a:stretch/>
      </xdr:blipFill>
      <xdr:spPr>
        <a:xfrm>
          <a:off x="3719" y="13607"/>
          <a:ext cx="2248099" cy="460318"/>
        </a:xfrm>
        <a:prstGeom prst="rect">
          <a:avLst/>
        </a:prstGeom>
      </xdr:spPr>
    </xdr:pic>
    <xdr:clientData/>
  </xdr:twoCellAnchor>
  <xdr:twoCellAnchor editAs="oneCell">
    <xdr:from>
      <xdr:col>2</xdr:col>
      <xdr:colOff>1428636</xdr:colOff>
      <xdr:row>0</xdr:row>
      <xdr:rowOff>0</xdr:rowOff>
    </xdr:from>
    <xdr:to>
      <xdr:col>11</xdr:col>
      <xdr:colOff>1165621</xdr:colOff>
      <xdr:row>2</xdr:row>
      <xdr:rowOff>76143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247786" y="0"/>
          <a:ext cx="16404754" cy="457143"/>
        </a:xfrm>
        <a:prstGeom prst="rect">
          <a:avLst/>
        </a:prstGeom>
      </xdr:spPr>
    </xdr:pic>
    <xdr:clientData/>
  </xdr:twoCellAnchor>
  <xdr:oneCellAnchor>
    <xdr:from>
      <xdr:col>2</xdr:col>
      <xdr:colOff>1516585</xdr:colOff>
      <xdr:row>0</xdr:row>
      <xdr:rowOff>37111</xdr:rowOff>
    </xdr:from>
    <xdr:ext cx="2859181" cy="342786"/>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2335735" y="37111"/>
          <a:ext cx="285918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600" b="1">
              <a:solidFill>
                <a:schemeClr val="bg1"/>
              </a:solidFill>
              <a:latin typeface="+mn-lt"/>
            </a:rPr>
            <a:t>HOME</a:t>
          </a:r>
          <a:r>
            <a:rPr lang="en-AU" sz="1600" b="1" baseline="0">
              <a:solidFill>
                <a:schemeClr val="bg1"/>
              </a:solidFill>
              <a:latin typeface="+mn-lt"/>
            </a:rPr>
            <a:t> LOANS PARAMETER FILE</a:t>
          </a:r>
          <a:endParaRPr lang="en-AU" sz="1600" b="1">
            <a:solidFill>
              <a:schemeClr val="bg1"/>
            </a:solidFill>
            <a:latin typeface="+mn-lt"/>
          </a:endParaRPr>
        </a:p>
      </xdr:txBody>
    </xdr:sp>
    <xdr:clientData/>
  </xdr:oneCellAnchor>
</xdr:wsDr>
</file>

<file path=xl/drawings/drawing13.xml><?xml version="1.0" encoding="utf-8"?>
<xdr:wsDr xmlns:xdr="http://schemas.openxmlformats.org/drawingml/2006/spreadsheetDrawing" xmlns:a="http://schemas.openxmlformats.org/drawingml/2006/main">
  <xdr:twoCellAnchor>
    <xdr:from>
      <xdr:col>12</xdr:col>
      <xdr:colOff>492576</xdr:colOff>
      <xdr:row>3</xdr:row>
      <xdr:rowOff>70758</xdr:rowOff>
    </xdr:from>
    <xdr:to>
      <xdr:col>13</xdr:col>
      <xdr:colOff>37826</xdr:colOff>
      <xdr:row>4</xdr:row>
      <xdr:rowOff>174591</xdr:rowOff>
    </xdr:to>
    <xdr:sp macro="[0]!Update_cell" textlink="">
      <xdr:nvSpPr>
        <xdr:cNvPr id="3" name="btnUseValue">
          <a:extLst>
            <a:ext uri="{FF2B5EF4-FFF2-40B4-BE49-F238E27FC236}">
              <a16:creationId xmlns:a16="http://schemas.microsoft.com/office/drawing/2014/main" id="{00000000-0008-0000-0C00-000003000000}"/>
            </a:ext>
          </a:extLst>
        </xdr:cNvPr>
        <xdr:cNvSpPr/>
      </xdr:nvSpPr>
      <xdr:spPr>
        <a:xfrm>
          <a:off x="11615659" y="525841"/>
          <a:ext cx="720000" cy="25200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ctr"/>
          <a:r>
            <a:rPr lang="en-AU" sz="1000">
              <a:solidFill>
                <a:srgbClr val="FFFFFF"/>
              </a:solidFill>
            </a:rPr>
            <a:t>Use </a:t>
          </a:r>
          <a:r>
            <a:rPr lang="en-AU" sz="1000">
              <a:solidFill>
                <a:srgbClr val="FFFFFF"/>
              </a:solidFill>
              <a:latin typeface="+mn-lt"/>
              <a:cs typeface="Arial" panose="020B0604020202020204" pitchFamily="34" charset="0"/>
            </a:rPr>
            <a:t>Value</a:t>
          </a:r>
        </a:p>
      </xdr:txBody>
    </xdr:sp>
    <xdr:clientData/>
  </xdr:twoCellAnchor>
  <xdr:twoCellAnchor>
    <xdr:from>
      <xdr:col>11</xdr:col>
      <xdr:colOff>861331</xdr:colOff>
      <xdr:row>3</xdr:row>
      <xdr:rowOff>70757</xdr:rowOff>
    </xdr:from>
    <xdr:to>
      <xdr:col>12</xdr:col>
      <xdr:colOff>395998</xdr:colOff>
      <xdr:row>4</xdr:row>
      <xdr:rowOff>174590</xdr:rowOff>
    </xdr:to>
    <xdr:sp macro="[0]!Return_to_cell" textlink="">
      <xdr:nvSpPr>
        <xdr:cNvPr id="4" name="btnReturn">
          <a:extLst>
            <a:ext uri="{FF2B5EF4-FFF2-40B4-BE49-F238E27FC236}">
              <a16:creationId xmlns:a16="http://schemas.microsoft.com/office/drawing/2014/main" id="{00000000-0008-0000-0C00-000004000000}"/>
            </a:ext>
          </a:extLst>
        </xdr:cNvPr>
        <xdr:cNvSpPr/>
      </xdr:nvSpPr>
      <xdr:spPr>
        <a:xfrm>
          <a:off x="10799081" y="525840"/>
          <a:ext cx="720000" cy="2520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latin typeface="+mn-lt"/>
              <a:cs typeface="Arial" panose="020B0604020202020204" pitchFamily="34" charset="0"/>
            </a:rPr>
            <a:t>Return</a:t>
          </a:r>
        </a:p>
      </xdr:txBody>
    </xdr:sp>
    <xdr:clientData/>
  </xdr:twoCellAnchor>
  <xdr:twoCellAnchor>
    <xdr:from>
      <xdr:col>4</xdr:col>
      <xdr:colOff>864392</xdr:colOff>
      <xdr:row>15</xdr:row>
      <xdr:rowOff>28961</xdr:rowOff>
    </xdr:from>
    <xdr:to>
      <xdr:col>4</xdr:col>
      <xdr:colOff>1026392</xdr:colOff>
      <xdr:row>15</xdr:row>
      <xdr:rowOff>171911</xdr:rowOff>
    </xdr:to>
    <xdr:grpSp>
      <xdr:nvGrpSpPr>
        <xdr:cNvPr id="5" name="add_LMI_Security">
          <a:extLst>
            <a:ext uri="{FF2B5EF4-FFF2-40B4-BE49-F238E27FC236}">
              <a16:creationId xmlns:a16="http://schemas.microsoft.com/office/drawing/2014/main" id="{00000000-0008-0000-0C00-000005000000}"/>
            </a:ext>
          </a:extLst>
        </xdr:cNvPr>
        <xdr:cNvGrpSpPr/>
      </xdr:nvGrpSpPr>
      <xdr:grpSpPr>
        <a:xfrm>
          <a:off x="1816892" y="2238761"/>
          <a:ext cx="162000" cy="142950"/>
          <a:chOff x="1395033" y="2708672"/>
          <a:chExt cx="180000" cy="180000"/>
        </a:xfrm>
      </xdr:grpSpPr>
      <xdr:sp macro="[0]!Add_LMI_Item" textlink="">
        <xdr:nvSpPr>
          <xdr:cNvPr id="6" name="add_LMI_Security">
            <a:extLst>
              <a:ext uri="{FF2B5EF4-FFF2-40B4-BE49-F238E27FC236}">
                <a16:creationId xmlns:a16="http://schemas.microsoft.com/office/drawing/2014/main" id="{00000000-0008-0000-0C00-000006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MI_Item" textlink="">
        <xdr:nvSpPr>
          <xdr:cNvPr id="7" name="add_LMI_Security">
            <a:extLst>
              <a:ext uri="{FF2B5EF4-FFF2-40B4-BE49-F238E27FC236}">
                <a16:creationId xmlns:a16="http://schemas.microsoft.com/office/drawing/2014/main" id="{00000000-0008-0000-0C00-000007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891136</xdr:colOff>
      <xdr:row>23</xdr:row>
      <xdr:rowOff>65942</xdr:rowOff>
    </xdr:from>
    <xdr:to>
      <xdr:col>4</xdr:col>
      <xdr:colOff>1053136</xdr:colOff>
      <xdr:row>23</xdr:row>
      <xdr:rowOff>199367</xdr:rowOff>
    </xdr:to>
    <xdr:grpSp>
      <xdr:nvGrpSpPr>
        <xdr:cNvPr id="11" name="add_LMI_Loan">
          <a:extLst>
            <a:ext uri="{FF2B5EF4-FFF2-40B4-BE49-F238E27FC236}">
              <a16:creationId xmlns:a16="http://schemas.microsoft.com/office/drawing/2014/main" id="{00000000-0008-0000-0C00-00000B000000}"/>
            </a:ext>
          </a:extLst>
        </xdr:cNvPr>
        <xdr:cNvGrpSpPr/>
      </xdr:nvGrpSpPr>
      <xdr:grpSpPr>
        <a:xfrm>
          <a:off x="1843636" y="3558442"/>
          <a:ext cx="162000" cy="133425"/>
          <a:chOff x="1395033" y="2708672"/>
          <a:chExt cx="180000" cy="180000"/>
        </a:xfrm>
      </xdr:grpSpPr>
      <xdr:sp macro="[0]!Add_LMI_Item" textlink="">
        <xdr:nvSpPr>
          <xdr:cNvPr id="12" name="add_LMI_Loan">
            <a:extLst>
              <a:ext uri="{FF2B5EF4-FFF2-40B4-BE49-F238E27FC236}">
                <a16:creationId xmlns:a16="http://schemas.microsoft.com/office/drawing/2014/main" id="{00000000-0008-0000-0C00-00000C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MI_Item" textlink="">
        <xdr:nvSpPr>
          <xdr:cNvPr id="13" name="add_LMI_Loan">
            <a:extLst>
              <a:ext uri="{FF2B5EF4-FFF2-40B4-BE49-F238E27FC236}">
                <a16:creationId xmlns:a16="http://schemas.microsoft.com/office/drawing/2014/main" id="{00000000-0008-0000-0C00-00000D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11</xdr:col>
      <xdr:colOff>41273</xdr:colOff>
      <xdr:row>3</xdr:row>
      <xdr:rowOff>66675</xdr:rowOff>
    </xdr:from>
    <xdr:to>
      <xdr:col>11</xdr:col>
      <xdr:colOff>761273</xdr:colOff>
      <xdr:row>4</xdr:row>
      <xdr:rowOff>170508</xdr:rowOff>
    </xdr:to>
    <xdr:sp macro="[0]!Clear_LMI_Calc" textlink="">
      <xdr:nvSpPr>
        <xdr:cNvPr id="17" name="btnClear">
          <a:extLst>
            <a:ext uri="{FF2B5EF4-FFF2-40B4-BE49-F238E27FC236}">
              <a16:creationId xmlns:a16="http://schemas.microsoft.com/office/drawing/2014/main" id="{00000000-0008-0000-0C00-000011000000}"/>
            </a:ext>
          </a:extLst>
        </xdr:cNvPr>
        <xdr:cNvSpPr/>
      </xdr:nvSpPr>
      <xdr:spPr>
        <a:xfrm>
          <a:off x="9979023" y="521758"/>
          <a:ext cx="720000" cy="252000"/>
        </a:xfrm>
        <a:prstGeom prst="roundRect">
          <a:avLst/>
        </a:prstGeom>
        <a:solidFill>
          <a:srgbClr val="B6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latin typeface="+mn-lt"/>
              <a:cs typeface="Arial" panose="020B0604020202020204" pitchFamily="34" charset="0"/>
            </a:rPr>
            <a:t>Clear</a:t>
          </a:r>
          <a:r>
            <a:rPr lang="en-AU" sz="1000">
              <a:solidFill>
                <a:srgbClr val="FFFFFF"/>
              </a:solidFill>
              <a:latin typeface="+mn-lt"/>
            </a:rPr>
            <a:t>  </a:t>
          </a:r>
        </a:p>
      </xdr:txBody>
    </xdr:sp>
    <xdr:clientData/>
  </xdr:twoCellAnchor>
  <xdr:twoCellAnchor>
    <xdr:from>
      <xdr:col>12</xdr:col>
      <xdr:colOff>266700</xdr:colOff>
      <xdr:row>23</xdr:row>
      <xdr:rowOff>0</xdr:rowOff>
    </xdr:from>
    <xdr:to>
      <xdr:col>12</xdr:col>
      <xdr:colOff>1162500</xdr:colOff>
      <xdr:row>23</xdr:row>
      <xdr:rowOff>242560</xdr:rowOff>
    </xdr:to>
    <xdr:sp macro="[0]!GOALSEEK_POLICY" textlink="">
      <xdr:nvSpPr>
        <xdr:cNvPr id="22" name="MaxBorrowingLMI">
          <a:extLst>
            <a:ext uri="{FF2B5EF4-FFF2-40B4-BE49-F238E27FC236}">
              <a16:creationId xmlns:a16="http://schemas.microsoft.com/office/drawing/2014/main" id="{00000000-0008-0000-0C00-000016000000}"/>
            </a:ext>
          </a:extLst>
        </xdr:cNvPr>
        <xdr:cNvSpPr/>
      </xdr:nvSpPr>
      <xdr:spPr>
        <a:xfrm>
          <a:off x="11144250" y="3524250"/>
          <a:ext cx="895800" cy="24256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baseline="0">
              <a:solidFill>
                <a:srgbClr val="FFFFFF"/>
              </a:solidFill>
              <a:latin typeface="+mn-lt"/>
            </a:rPr>
            <a:t>Max </a:t>
          </a:r>
          <a:r>
            <a:rPr lang="en-AU" sz="800" baseline="0">
              <a:solidFill>
                <a:srgbClr val="FFFFFF"/>
              </a:solidFill>
              <a:latin typeface="+mn-lt"/>
              <a:cs typeface="Arial" panose="020B0604020202020204" pitchFamily="34" charset="0"/>
            </a:rPr>
            <a:t>Borrowing</a:t>
          </a:r>
          <a:endParaRPr lang="en-AU" sz="800">
            <a:solidFill>
              <a:srgbClr val="FFFFFF"/>
            </a:solidFill>
            <a:latin typeface="+mn-lt"/>
            <a:cs typeface="Arial" panose="020B0604020202020204" pitchFamily="34" charset="0"/>
          </a:endParaRPr>
        </a:p>
      </xdr:txBody>
    </xdr:sp>
    <xdr:clientData/>
  </xdr:twoCellAnchor>
  <xdr:twoCellAnchor>
    <xdr:from>
      <xdr:col>3</xdr:col>
      <xdr:colOff>0</xdr:colOff>
      <xdr:row>8</xdr:row>
      <xdr:rowOff>0</xdr:rowOff>
    </xdr:from>
    <xdr:to>
      <xdr:col>4</xdr:col>
      <xdr:colOff>323850</xdr:colOff>
      <xdr:row>9</xdr:row>
      <xdr:rowOff>0</xdr:rowOff>
    </xdr:to>
    <xdr:sp macro="[0]!ToggleButtonX" textlink="">
      <xdr:nvSpPr>
        <xdr:cNvPr id="23" name="LMI_ExistingLend_True">
          <a:extLst>
            <a:ext uri="{FF2B5EF4-FFF2-40B4-BE49-F238E27FC236}">
              <a16:creationId xmlns:a16="http://schemas.microsoft.com/office/drawing/2014/main" id="{00000000-0008-0000-0C00-000017000000}"/>
            </a:ext>
          </a:extLst>
        </xdr:cNvPr>
        <xdr:cNvSpPr/>
      </xdr:nvSpPr>
      <xdr:spPr>
        <a:xfrm>
          <a:off x="238125" y="1190625"/>
          <a:ext cx="914400" cy="21907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Yes</a:t>
          </a:r>
        </a:p>
      </xdr:txBody>
    </xdr:sp>
    <xdr:clientData/>
  </xdr:twoCellAnchor>
  <xdr:twoCellAnchor>
    <xdr:from>
      <xdr:col>4</xdr:col>
      <xdr:colOff>390525</xdr:colOff>
      <xdr:row>8</xdr:row>
      <xdr:rowOff>0</xdr:rowOff>
    </xdr:from>
    <xdr:to>
      <xdr:col>5</xdr:col>
      <xdr:colOff>38100</xdr:colOff>
      <xdr:row>9</xdr:row>
      <xdr:rowOff>0</xdr:rowOff>
    </xdr:to>
    <xdr:sp macro="[0]!ToggleButtonX" textlink="">
      <xdr:nvSpPr>
        <xdr:cNvPr id="24" name="LMI_ExistingLend_False">
          <a:extLst>
            <a:ext uri="{FF2B5EF4-FFF2-40B4-BE49-F238E27FC236}">
              <a16:creationId xmlns:a16="http://schemas.microsoft.com/office/drawing/2014/main" id="{00000000-0008-0000-0C00-000018000000}"/>
            </a:ext>
          </a:extLst>
        </xdr:cNvPr>
        <xdr:cNvSpPr/>
      </xdr:nvSpPr>
      <xdr:spPr>
        <a:xfrm>
          <a:off x="1219200" y="1190625"/>
          <a:ext cx="914400" cy="219075"/>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No</a:t>
          </a:r>
        </a:p>
      </xdr:txBody>
    </xdr:sp>
    <xdr:clientData/>
  </xdr:twoCellAnchor>
  <xdr:twoCellAnchor>
    <xdr:from>
      <xdr:col>7</xdr:col>
      <xdr:colOff>1104900</xdr:colOff>
      <xdr:row>23</xdr:row>
      <xdr:rowOff>47625</xdr:rowOff>
    </xdr:from>
    <xdr:to>
      <xdr:col>8</xdr:col>
      <xdr:colOff>257625</xdr:colOff>
      <xdr:row>23</xdr:row>
      <xdr:rowOff>209550</xdr:rowOff>
    </xdr:to>
    <xdr:sp macro="[0]!Import_New_Loans" textlink="">
      <xdr:nvSpPr>
        <xdr:cNvPr id="29" name="ImportSOP" hidden="1">
          <a:extLst>
            <a:ext uri="{FF2B5EF4-FFF2-40B4-BE49-F238E27FC236}">
              <a16:creationId xmlns:a16="http://schemas.microsoft.com/office/drawing/2014/main" id="{00000000-0008-0000-0C00-00001D000000}"/>
            </a:ext>
          </a:extLst>
        </xdr:cNvPr>
        <xdr:cNvSpPr/>
      </xdr:nvSpPr>
      <xdr:spPr>
        <a:xfrm>
          <a:off x="5715000" y="3571875"/>
          <a:ext cx="895800" cy="16192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baseline="0">
              <a:solidFill>
                <a:srgbClr val="FFFFFF"/>
              </a:solidFill>
            </a:rPr>
            <a:t>Copy from SOP</a:t>
          </a:r>
          <a:endParaRPr lang="en-AU" sz="800">
            <a:solidFill>
              <a:srgbClr val="FFFFFF"/>
            </a:solidFill>
          </a:endParaRPr>
        </a:p>
      </xdr:txBody>
    </xdr:sp>
    <xdr:clientData/>
  </xdr:twoCellAnchor>
  <xdr:twoCellAnchor>
    <xdr:from>
      <xdr:col>8</xdr:col>
      <xdr:colOff>304800</xdr:colOff>
      <xdr:row>23</xdr:row>
      <xdr:rowOff>47625</xdr:rowOff>
    </xdr:from>
    <xdr:to>
      <xdr:col>9</xdr:col>
      <xdr:colOff>86175</xdr:colOff>
      <xdr:row>23</xdr:row>
      <xdr:rowOff>209550</xdr:rowOff>
    </xdr:to>
    <xdr:sp macro="[0]!Export_New_Loans" textlink="">
      <xdr:nvSpPr>
        <xdr:cNvPr id="39" name="ExportSOP" hidden="1">
          <a:extLst>
            <a:ext uri="{FF2B5EF4-FFF2-40B4-BE49-F238E27FC236}">
              <a16:creationId xmlns:a16="http://schemas.microsoft.com/office/drawing/2014/main" id="{00000000-0008-0000-0C00-000027000000}"/>
            </a:ext>
          </a:extLst>
        </xdr:cNvPr>
        <xdr:cNvSpPr/>
      </xdr:nvSpPr>
      <xdr:spPr>
        <a:xfrm>
          <a:off x="6657975" y="3571875"/>
          <a:ext cx="895800" cy="16192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800" baseline="0">
              <a:solidFill>
                <a:srgbClr val="FFFFFF"/>
              </a:solidFill>
            </a:rPr>
            <a:t>Copy to SOP</a:t>
          </a:r>
          <a:endParaRPr lang="en-AU" sz="800">
            <a:solidFill>
              <a:srgbClr val="FFFFFF"/>
            </a:solidFill>
          </a:endParaRPr>
        </a:p>
      </xdr:txBody>
    </xdr:sp>
    <xdr:clientData/>
  </xdr:twoCellAnchor>
  <mc:AlternateContent xmlns:mc="http://schemas.openxmlformats.org/markup-compatibility/2006">
    <mc:Choice xmlns:a14="http://schemas.microsoft.com/office/drawing/2010/main" Requires="a14">
      <xdr:twoCellAnchor editAs="oneCell">
        <xdr:from>
          <xdr:col>11</xdr:col>
          <xdr:colOff>520700</xdr:colOff>
          <xdr:row>23</xdr:row>
          <xdr:rowOff>50800</xdr:rowOff>
        </xdr:from>
        <xdr:to>
          <xdr:col>11</xdr:col>
          <xdr:colOff>825500</xdr:colOff>
          <xdr:row>23</xdr:row>
          <xdr:rowOff>203200</xdr:rowOff>
        </xdr:to>
        <xdr:sp macro="" textlink="">
          <xdr:nvSpPr>
            <xdr:cNvPr id="8208" name="ChkFinanceLMI" hidden="1">
              <a:extLst>
                <a:ext uri="{63B3BB69-23CF-44E3-9099-C40C66FF867C}">
                  <a14:compatExt spid="_x0000_s8208"/>
                </a:ext>
                <a:ext uri="{FF2B5EF4-FFF2-40B4-BE49-F238E27FC236}">
                  <a16:creationId xmlns:a16="http://schemas.microsoft.com/office/drawing/2014/main" id="{00000000-0008-0000-0C00-00001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558800</xdr:colOff>
          <xdr:row>25</xdr:row>
          <xdr:rowOff>25400</xdr:rowOff>
        </xdr:from>
        <xdr:to>
          <xdr:col>5</xdr:col>
          <xdr:colOff>863600</xdr:colOff>
          <xdr:row>25</xdr:row>
          <xdr:rowOff>177800</xdr:rowOff>
        </xdr:to>
        <xdr:sp macro="" textlink="">
          <xdr:nvSpPr>
            <xdr:cNvPr id="8342" name="Check Box 150" hidden="1">
              <a:extLst>
                <a:ext uri="{63B3BB69-23CF-44E3-9099-C40C66FF867C}">
                  <a14:compatExt spid="_x0000_s8342"/>
                </a:ext>
                <a:ext uri="{FF2B5EF4-FFF2-40B4-BE49-F238E27FC236}">
                  <a16:creationId xmlns:a16="http://schemas.microsoft.com/office/drawing/2014/main" id="{00000000-0008-0000-0C00-00009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736600</xdr:colOff>
          <xdr:row>25</xdr:row>
          <xdr:rowOff>25400</xdr:rowOff>
        </xdr:from>
        <xdr:to>
          <xdr:col>7</xdr:col>
          <xdr:colOff>1041400</xdr:colOff>
          <xdr:row>25</xdr:row>
          <xdr:rowOff>177800</xdr:rowOff>
        </xdr:to>
        <xdr:sp macro="" textlink="">
          <xdr:nvSpPr>
            <xdr:cNvPr id="8343" name="Check Box 151" hidden="1">
              <a:extLst>
                <a:ext uri="{63B3BB69-23CF-44E3-9099-C40C66FF867C}">
                  <a14:compatExt spid="_x0000_s8343"/>
                </a:ext>
                <a:ext uri="{FF2B5EF4-FFF2-40B4-BE49-F238E27FC236}">
                  <a16:creationId xmlns:a16="http://schemas.microsoft.com/office/drawing/2014/main" id="{00000000-0008-0000-0C00-00009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85725</xdr:colOff>
      <xdr:row>25</xdr:row>
      <xdr:rowOff>57150</xdr:rowOff>
    </xdr:from>
    <xdr:ext cx="115200" cy="115200"/>
    <xdr:pic macro="[0]!Delete_LMI_Item">
      <xdr:nvPicPr>
        <xdr:cNvPr id="14" name="Del_LnL_26" descr="Close with solid fill">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0196" y="4797238"/>
          <a:ext cx="115200" cy="115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3</xdr:col>
          <xdr:colOff>203200</xdr:colOff>
          <xdr:row>25</xdr:row>
          <xdr:rowOff>25400</xdr:rowOff>
        </xdr:from>
        <xdr:to>
          <xdr:col>3</xdr:col>
          <xdr:colOff>508000</xdr:colOff>
          <xdr:row>25</xdr:row>
          <xdr:rowOff>177800</xdr:rowOff>
        </xdr:to>
        <xdr:sp macro="" textlink="">
          <xdr:nvSpPr>
            <xdr:cNvPr id="8344" name="Check Box 152" hidden="1">
              <a:extLst>
                <a:ext uri="{63B3BB69-23CF-44E3-9099-C40C66FF867C}">
                  <a14:compatExt spid="_x0000_s8344"/>
                </a:ext>
                <a:ext uri="{FF2B5EF4-FFF2-40B4-BE49-F238E27FC236}">
                  <a16:creationId xmlns:a16="http://schemas.microsoft.com/office/drawing/2014/main" id="{00000000-0008-0000-0C00-00009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17</xdr:row>
          <xdr:rowOff>25400</xdr:rowOff>
        </xdr:from>
        <xdr:to>
          <xdr:col>11</xdr:col>
          <xdr:colOff>800100</xdr:colOff>
          <xdr:row>17</xdr:row>
          <xdr:rowOff>177800</xdr:rowOff>
        </xdr:to>
        <xdr:sp macro="" textlink="">
          <xdr:nvSpPr>
            <xdr:cNvPr id="8349" name="Check Box 157" hidden="1">
              <a:extLst>
                <a:ext uri="{63B3BB69-23CF-44E3-9099-C40C66FF867C}">
                  <a14:compatExt spid="_x0000_s8349"/>
                </a:ext>
                <a:ext uri="{FF2B5EF4-FFF2-40B4-BE49-F238E27FC236}">
                  <a16:creationId xmlns:a16="http://schemas.microsoft.com/office/drawing/2014/main" id="{00000000-0008-0000-0C00-00009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85725</xdr:colOff>
      <xdr:row>17</xdr:row>
      <xdr:rowOff>66675</xdr:rowOff>
    </xdr:from>
    <xdr:ext cx="115200" cy="115200"/>
    <xdr:pic macro="[0]!Delete_LMI_Item">
      <xdr:nvPicPr>
        <xdr:cNvPr id="15" name="Del_Sec_18" descr="Close with solid fill">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8600" y="2697956"/>
          <a:ext cx="115200" cy="115200"/>
        </a:xfrm>
        <a:prstGeom prst="rect">
          <a:avLst/>
        </a:prstGeom>
      </xdr:spPr>
    </xdr:pic>
    <xdr:clientData/>
  </xdr:oneCellAnchor>
  <xdr:twoCellAnchor editAs="oneCell">
    <xdr:from>
      <xdr:col>2</xdr:col>
      <xdr:colOff>142875</xdr:colOff>
      <xdr:row>2</xdr:row>
      <xdr:rowOff>47625</xdr:rowOff>
    </xdr:from>
    <xdr:to>
      <xdr:col>4</xdr:col>
      <xdr:colOff>29743</xdr:colOff>
      <xdr:row>2</xdr:row>
      <xdr:rowOff>335625</xdr:rowOff>
    </xdr:to>
    <xdr:pic>
      <xdr:nvPicPr>
        <xdr:cNvPr id="2" name="Picture 1" descr="ANZ logo">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6225"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28575</xdr:colOff>
      <xdr:row>14</xdr:row>
      <xdr:rowOff>19050</xdr:rowOff>
    </xdr:from>
    <xdr:to>
      <xdr:col>3</xdr:col>
      <xdr:colOff>942975</xdr:colOff>
      <xdr:row>15</xdr:row>
      <xdr:rowOff>0</xdr:rowOff>
    </xdr:to>
    <xdr:sp macro="[0]!ToggleButtonX" textlink="">
      <xdr:nvSpPr>
        <xdr:cNvPr id="3" name="FC_FHB_True">
          <a:extLst>
            <a:ext uri="{FF2B5EF4-FFF2-40B4-BE49-F238E27FC236}">
              <a16:creationId xmlns:a16="http://schemas.microsoft.com/office/drawing/2014/main" id="{00000000-0008-0000-0D00-000003000000}"/>
            </a:ext>
          </a:extLst>
        </xdr:cNvPr>
        <xdr:cNvSpPr/>
      </xdr:nvSpPr>
      <xdr:spPr>
        <a:xfrm>
          <a:off x="228600" y="2800350"/>
          <a:ext cx="914400" cy="238125"/>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latin typeface="Myriad Pro" panose="020B0503030403020204" pitchFamily="34" charset="0"/>
            </a:rPr>
            <a:t>Yes</a:t>
          </a:r>
        </a:p>
      </xdr:txBody>
    </xdr:sp>
    <xdr:clientData/>
  </xdr:twoCellAnchor>
  <xdr:twoCellAnchor>
    <xdr:from>
      <xdr:col>3</xdr:col>
      <xdr:colOff>1009650</xdr:colOff>
      <xdr:row>14</xdr:row>
      <xdr:rowOff>19050</xdr:rowOff>
    </xdr:from>
    <xdr:to>
      <xdr:col>3</xdr:col>
      <xdr:colOff>1924050</xdr:colOff>
      <xdr:row>15</xdr:row>
      <xdr:rowOff>0</xdr:rowOff>
    </xdr:to>
    <xdr:sp macro="[0]!ToggleButtonX" textlink="">
      <xdr:nvSpPr>
        <xdr:cNvPr id="4" name="FC_FHB_False">
          <a:extLst>
            <a:ext uri="{FF2B5EF4-FFF2-40B4-BE49-F238E27FC236}">
              <a16:creationId xmlns:a16="http://schemas.microsoft.com/office/drawing/2014/main" id="{00000000-0008-0000-0D00-000004000000}"/>
            </a:ext>
          </a:extLst>
        </xdr:cNvPr>
        <xdr:cNvSpPr/>
      </xdr:nvSpPr>
      <xdr:spPr>
        <a:xfrm>
          <a:off x="1209675" y="2800350"/>
          <a:ext cx="914400" cy="23812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Myriad Pro" panose="020B0503030403020204" pitchFamily="34" charset="0"/>
            </a:rPr>
            <a:t>No</a:t>
          </a:r>
        </a:p>
      </xdr:txBody>
    </xdr:sp>
    <xdr:clientData/>
  </xdr:twoCellAnchor>
  <xdr:twoCellAnchor>
    <xdr:from>
      <xdr:col>3</xdr:col>
      <xdr:colOff>28575</xdr:colOff>
      <xdr:row>15</xdr:row>
      <xdr:rowOff>276225</xdr:rowOff>
    </xdr:from>
    <xdr:to>
      <xdr:col>3</xdr:col>
      <xdr:colOff>942975</xdr:colOff>
      <xdr:row>16</xdr:row>
      <xdr:rowOff>257175</xdr:rowOff>
    </xdr:to>
    <xdr:sp macro="[0]!ToggleButtonX" textlink="">
      <xdr:nvSpPr>
        <xdr:cNvPr id="9" name="FC_LockRate_True">
          <a:extLst>
            <a:ext uri="{FF2B5EF4-FFF2-40B4-BE49-F238E27FC236}">
              <a16:creationId xmlns:a16="http://schemas.microsoft.com/office/drawing/2014/main" id="{00000000-0008-0000-0D00-000009000000}"/>
            </a:ext>
          </a:extLst>
        </xdr:cNvPr>
        <xdr:cNvSpPr/>
      </xdr:nvSpPr>
      <xdr:spPr>
        <a:xfrm>
          <a:off x="228600" y="4324350"/>
          <a:ext cx="914400" cy="257175"/>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latin typeface="Myriad Pro" panose="020B0503030403020204" pitchFamily="34" charset="0"/>
            </a:rPr>
            <a:t>Yes</a:t>
          </a:r>
        </a:p>
      </xdr:txBody>
    </xdr:sp>
    <xdr:clientData/>
  </xdr:twoCellAnchor>
  <xdr:twoCellAnchor>
    <xdr:from>
      <xdr:col>3</xdr:col>
      <xdr:colOff>1009650</xdr:colOff>
      <xdr:row>15</xdr:row>
      <xdr:rowOff>276225</xdr:rowOff>
    </xdr:from>
    <xdr:to>
      <xdr:col>3</xdr:col>
      <xdr:colOff>1924050</xdr:colOff>
      <xdr:row>16</xdr:row>
      <xdr:rowOff>257175</xdr:rowOff>
    </xdr:to>
    <xdr:sp macro="[0]!ToggleButtonX" textlink="">
      <xdr:nvSpPr>
        <xdr:cNvPr id="10" name="FC_LockRate_False">
          <a:extLst>
            <a:ext uri="{FF2B5EF4-FFF2-40B4-BE49-F238E27FC236}">
              <a16:creationId xmlns:a16="http://schemas.microsoft.com/office/drawing/2014/main" id="{00000000-0008-0000-0D00-00000A000000}"/>
            </a:ext>
          </a:extLst>
        </xdr:cNvPr>
        <xdr:cNvSpPr/>
      </xdr:nvSpPr>
      <xdr:spPr>
        <a:xfrm>
          <a:off x="1209675" y="4324350"/>
          <a:ext cx="914400" cy="25717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Myriad Pro" panose="020B0503030403020204" pitchFamily="34" charset="0"/>
            </a:rPr>
            <a:t>No</a:t>
          </a:r>
        </a:p>
      </xdr:txBody>
    </xdr:sp>
    <xdr:clientData/>
  </xdr:twoCellAnchor>
  <xdr:twoCellAnchor>
    <xdr:from>
      <xdr:col>3</xdr:col>
      <xdr:colOff>19050</xdr:colOff>
      <xdr:row>25</xdr:row>
      <xdr:rowOff>0</xdr:rowOff>
    </xdr:from>
    <xdr:to>
      <xdr:col>3</xdr:col>
      <xdr:colOff>933450</xdr:colOff>
      <xdr:row>25</xdr:row>
      <xdr:rowOff>285750</xdr:rowOff>
    </xdr:to>
    <xdr:sp macro="[0]!ToggleButtonX" textlink="">
      <xdr:nvSpPr>
        <xdr:cNvPr id="11" name="FC_CapLMI_True">
          <a:extLst>
            <a:ext uri="{FF2B5EF4-FFF2-40B4-BE49-F238E27FC236}">
              <a16:creationId xmlns:a16="http://schemas.microsoft.com/office/drawing/2014/main" id="{00000000-0008-0000-0D00-00000B000000}"/>
            </a:ext>
          </a:extLst>
        </xdr:cNvPr>
        <xdr:cNvSpPr/>
      </xdr:nvSpPr>
      <xdr:spPr>
        <a:xfrm>
          <a:off x="219075" y="6743700"/>
          <a:ext cx="914400" cy="257175"/>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latin typeface="Myriad Pro" panose="020B0503030403020204" pitchFamily="34" charset="0"/>
            </a:rPr>
            <a:t>Yes</a:t>
          </a:r>
        </a:p>
      </xdr:txBody>
    </xdr:sp>
    <xdr:clientData/>
  </xdr:twoCellAnchor>
  <xdr:twoCellAnchor>
    <xdr:from>
      <xdr:col>3</xdr:col>
      <xdr:colOff>1000125</xdr:colOff>
      <xdr:row>25</xdr:row>
      <xdr:rowOff>0</xdr:rowOff>
    </xdr:from>
    <xdr:to>
      <xdr:col>3</xdr:col>
      <xdr:colOff>1914525</xdr:colOff>
      <xdr:row>25</xdr:row>
      <xdr:rowOff>285750</xdr:rowOff>
    </xdr:to>
    <xdr:sp macro="[0]!ToggleButtonX" textlink="">
      <xdr:nvSpPr>
        <xdr:cNvPr id="12" name="FC_CapLMI_False">
          <a:extLst>
            <a:ext uri="{FF2B5EF4-FFF2-40B4-BE49-F238E27FC236}">
              <a16:creationId xmlns:a16="http://schemas.microsoft.com/office/drawing/2014/main" id="{00000000-0008-0000-0D00-00000C000000}"/>
            </a:ext>
          </a:extLst>
        </xdr:cNvPr>
        <xdr:cNvSpPr/>
      </xdr:nvSpPr>
      <xdr:spPr>
        <a:xfrm>
          <a:off x="1200150" y="6743700"/>
          <a:ext cx="914400" cy="25717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Myriad Pro" panose="020B0503030403020204" pitchFamily="34" charset="0"/>
            </a:rPr>
            <a:t>No</a:t>
          </a:r>
        </a:p>
      </xdr:txBody>
    </xdr:sp>
    <xdr:clientData/>
  </xdr:twoCellAnchor>
  <xdr:twoCellAnchor>
    <xdr:from>
      <xdr:col>5</xdr:col>
      <xdr:colOff>38100</xdr:colOff>
      <xdr:row>8</xdr:row>
      <xdr:rowOff>19050</xdr:rowOff>
    </xdr:from>
    <xdr:to>
      <xdr:col>5</xdr:col>
      <xdr:colOff>952500</xdr:colOff>
      <xdr:row>9</xdr:row>
      <xdr:rowOff>0</xdr:rowOff>
    </xdr:to>
    <xdr:sp macro="[0]!ToggleButtonX" textlink="">
      <xdr:nvSpPr>
        <xdr:cNvPr id="13" name="FC_Foreign_True">
          <a:extLst>
            <a:ext uri="{FF2B5EF4-FFF2-40B4-BE49-F238E27FC236}">
              <a16:creationId xmlns:a16="http://schemas.microsoft.com/office/drawing/2014/main" id="{00000000-0008-0000-0D00-00000D000000}"/>
            </a:ext>
          </a:extLst>
        </xdr:cNvPr>
        <xdr:cNvSpPr/>
      </xdr:nvSpPr>
      <xdr:spPr>
        <a:xfrm>
          <a:off x="2724150" y="1771650"/>
          <a:ext cx="914400" cy="238125"/>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latin typeface="Myriad Pro" panose="020B0503030403020204" pitchFamily="34" charset="0"/>
            </a:rPr>
            <a:t>Yes</a:t>
          </a:r>
        </a:p>
      </xdr:txBody>
    </xdr:sp>
    <xdr:clientData/>
  </xdr:twoCellAnchor>
  <xdr:twoCellAnchor>
    <xdr:from>
      <xdr:col>5</xdr:col>
      <xdr:colOff>1019175</xdr:colOff>
      <xdr:row>8</xdr:row>
      <xdr:rowOff>19050</xdr:rowOff>
    </xdr:from>
    <xdr:to>
      <xdr:col>5</xdr:col>
      <xdr:colOff>1933575</xdr:colOff>
      <xdr:row>9</xdr:row>
      <xdr:rowOff>0</xdr:rowOff>
    </xdr:to>
    <xdr:sp macro="[0]!ToggleButtonX" textlink="">
      <xdr:nvSpPr>
        <xdr:cNvPr id="14" name="FC_Foreign_False">
          <a:extLst>
            <a:ext uri="{FF2B5EF4-FFF2-40B4-BE49-F238E27FC236}">
              <a16:creationId xmlns:a16="http://schemas.microsoft.com/office/drawing/2014/main" id="{00000000-0008-0000-0D00-00000E000000}"/>
            </a:ext>
          </a:extLst>
        </xdr:cNvPr>
        <xdr:cNvSpPr/>
      </xdr:nvSpPr>
      <xdr:spPr>
        <a:xfrm>
          <a:off x="3705225" y="1771650"/>
          <a:ext cx="914400" cy="23812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latin typeface="Myriad Pro" panose="020B0503030403020204" pitchFamily="34" charset="0"/>
            </a:rPr>
            <a:t>No</a:t>
          </a:r>
        </a:p>
      </xdr:txBody>
    </xdr:sp>
    <xdr:clientData/>
  </xdr:twoCellAnchor>
  <xdr:twoCellAnchor editAs="oneCell">
    <xdr:from>
      <xdr:col>4</xdr:col>
      <xdr:colOff>3878</xdr:colOff>
      <xdr:row>22</xdr:row>
      <xdr:rowOff>243727</xdr:rowOff>
    </xdr:from>
    <xdr:to>
      <xdr:col>5</xdr:col>
      <xdr:colOff>144362</xdr:colOff>
      <xdr:row>24</xdr:row>
      <xdr:rowOff>15240</xdr:rowOff>
    </xdr:to>
    <xdr:pic macro="[0]!Goto_Page">
      <xdr:nvPicPr>
        <xdr:cNvPr id="15" name="LMI">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stretch>
          <a:fillRect/>
        </a:stretch>
      </xdr:blipFill>
      <xdr:spPr>
        <a:xfrm>
          <a:off x="2585153" y="6111127"/>
          <a:ext cx="249069" cy="280148"/>
        </a:xfrm>
        <a:prstGeom prst="rect">
          <a:avLst/>
        </a:prstGeom>
      </xdr:spPr>
    </xdr:pic>
    <xdr:clientData/>
  </xdr:twoCellAnchor>
  <xdr:twoCellAnchor>
    <xdr:from>
      <xdr:col>5</xdr:col>
      <xdr:colOff>28575</xdr:colOff>
      <xdr:row>14</xdr:row>
      <xdr:rowOff>19050</xdr:rowOff>
    </xdr:from>
    <xdr:to>
      <xdr:col>5</xdr:col>
      <xdr:colOff>942975</xdr:colOff>
      <xdr:row>15</xdr:row>
      <xdr:rowOff>0</xdr:rowOff>
    </xdr:to>
    <xdr:sp macro="[0]!ToggleButtonX" textlink="">
      <xdr:nvSpPr>
        <xdr:cNvPr id="16" name="FC_FHB_Income_True" hidden="1">
          <a:extLst>
            <a:ext uri="{FF2B5EF4-FFF2-40B4-BE49-F238E27FC236}">
              <a16:creationId xmlns:a16="http://schemas.microsoft.com/office/drawing/2014/main" id="{00000000-0008-0000-0D00-000010000000}"/>
            </a:ext>
          </a:extLst>
        </xdr:cNvPr>
        <xdr:cNvSpPr/>
      </xdr:nvSpPr>
      <xdr:spPr>
        <a:xfrm>
          <a:off x="2714625" y="2800350"/>
          <a:ext cx="914400" cy="238125"/>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rgbClr val="004165"/>
              </a:solidFill>
            </a:rPr>
            <a:t>Yes</a:t>
          </a:r>
        </a:p>
      </xdr:txBody>
    </xdr:sp>
    <xdr:clientData/>
  </xdr:twoCellAnchor>
  <xdr:twoCellAnchor>
    <xdr:from>
      <xdr:col>5</xdr:col>
      <xdr:colOff>1009650</xdr:colOff>
      <xdr:row>14</xdr:row>
      <xdr:rowOff>19050</xdr:rowOff>
    </xdr:from>
    <xdr:to>
      <xdr:col>5</xdr:col>
      <xdr:colOff>1924050</xdr:colOff>
      <xdr:row>15</xdr:row>
      <xdr:rowOff>0</xdr:rowOff>
    </xdr:to>
    <xdr:sp macro="[0]!ToggleButtonX" textlink="">
      <xdr:nvSpPr>
        <xdr:cNvPr id="17" name="FC_FHB_Income_False" hidden="1">
          <a:extLst>
            <a:ext uri="{FF2B5EF4-FFF2-40B4-BE49-F238E27FC236}">
              <a16:creationId xmlns:a16="http://schemas.microsoft.com/office/drawing/2014/main" id="{00000000-0008-0000-0D00-000011000000}"/>
            </a:ext>
          </a:extLst>
        </xdr:cNvPr>
        <xdr:cNvSpPr/>
      </xdr:nvSpPr>
      <xdr:spPr>
        <a:xfrm>
          <a:off x="3695700" y="2800350"/>
          <a:ext cx="914400" cy="23812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rgbClr val="FFFFFF"/>
              </a:solidFill>
            </a:rPr>
            <a:t>No</a:t>
          </a:r>
        </a:p>
      </xdr:txBody>
    </xdr:sp>
    <xdr:clientData/>
  </xdr:twoCellAnchor>
  <xdr:twoCellAnchor>
    <xdr:from>
      <xdr:col>11</xdr:col>
      <xdr:colOff>2110898</xdr:colOff>
      <xdr:row>3</xdr:row>
      <xdr:rowOff>57858</xdr:rowOff>
    </xdr:from>
    <xdr:to>
      <xdr:col>12</xdr:col>
      <xdr:colOff>339248</xdr:colOff>
      <xdr:row>5</xdr:row>
      <xdr:rowOff>8328</xdr:rowOff>
    </xdr:to>
    <xdr:sp macro="[0]!Clear_Fees" textlink="">
      <xdr:nvSpPr>
        <xdr:cNvPr id="18" name="ClearFees">
          <a:extLst>
            <a:ext uri="{FF2B5EF4-FFF2-40B4-BE49-F238E27FC236}">
              <a16:creationId xmlns:a16="http://schemas.microsoft.com/office/drawing/2014/main" id="{00000000-0008-0000-0D00-000012000000}"/>
            </a:ext>
          </a:extLst>
        </xdr:cNvPr>
        <xdr:cNvSpPr/>
      </xdr:nvSpPr>
      <xdr:spPr>
        <a:xfrm>
          <a:off x="7454423" y="581733"/>
          <a:ext cx="914400" cy="274320"/>
        </a:xfrm>
        <a:prstGeom prst="roundRect">
          <a:avLst/>
        </a:prstGeom>
        <a:solidFill>
          <a:srgbClr val="B6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latin typeface="+mn-lt"/>
              <a:cs typeface="Arial" panose="020B0604020202020204" pitchFamily="34" charset="0"/>
            </a:rPr>
            <a:t>Clear</a:t>
          </a:r>
        </a:p>
      </xdr:txBody>
    </xdr:sp>
    <xdr:clientData/>
  </xdr:twoCellAnchor>
  <xdr:twoCellAnchor>
    <xdr:from>
      <xdr:col>12</xdr:col>
      <xdr:colOff>447674</xdr:colOff>
      <xdr:row>3</xdr:row>
      <xdr:rowOff>57150</xdr:rowOff>
    </xdr:from>
    <xdr:to>
      <xdr:col>13</xdr:col>
      <xdr:colOff>38099</xdr:colOff>
      <xdr:row>5</xdr:row>
      <xdr:rowOff>7620</xdr:rowOff>
    </xdr:to>
    <xdr:sp macro="[0]!Update_cell" textlink="">
      <xdr:nvSpPr>
        <xdr:cNvPr id="19" name="btnUseValue">
          <a:extLst>
            <a:ext uri="{FF2B5EF4-FFF2-40B4-BE49-F238E27FC236}">
              <a16:creationId xmlns:a16="http://schemas.microsoft.com/office/drawing/2014/main" id="{00000000-0008-0000-0D00-000013000000}"/>
            </a:ext>
          </a:extLst>
        </xdr:cNvPr>
        <xdr:cNvSpPr/>
      </xdr:nvSpPr>
      <xdr:spPr>
        <a:xfrm>
          <a:off x="8477249" y="581025"/>
          <a:ext cx="914400" cy="274320"/>
        </a:xfrm>
        <a:prstGeom prst="roundRect">
          <a:avLst/>
        </a:prstGeom>
        <a:solidFill>
          <a:srgbClr val="0072AC"/>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rIns="72000" rtlCol="0" anchor="ctr"/>
        <a:lstStyle/>
        <a:p>
          <a:pPr algn="ctr"/>
          <a:r>
            <a:rPr lang="en-AU" sz="1000">
              <a:solidFill>
                <a:srgbClr val="FFFFFF"/>
              </a:solidFill>
              <a:latin typeface="+mn-lt"/>
              <a:cs typeface="Arial" panose="020B0604020202020204" pitchFamily="34" charset="0"/>
            </a:rPr>
            <a:t>Use Value</a:t>
          </a:r>
        </a:p>
      </xdr:txBody>
    </xdr:sp>
    <xdr:clientData/>
  </xdr:twoCellAnchor>
  <xdr:twoCellAnchor>
    <xdr:from>
      <xdr:col>3</xdr:col>
      <xdr:colOff>19050</xdr:colOff>
      <xdr:row>26</xdr:row>
      <xdr:rowOff>247650</xdr:rowOff>
    </xdr:from>
    <xdr:to>
      <xdr:col>3</xdr:col>
      <xdr:colOff>933450</xdr:colOff>
      <xdr:row>27</xdr:row>
      <xdr:rowOff>247650</xdr:rowOff>
    </xdr:to>
    <xdr:sp macro="[0]!ToggleButtonX" textlink="">
      <xdr:nvSpPr>
        <xdr:cNvPr id="20" name="FC_APT_True" hidden="1">
          <a:extLst>
            <a:ext uri="{FF2B5EF4-FFF2-40B4-BE49-F238E27FC236}">
              <a16:creationId xmlns:a16="http://schemas.microsoft.com/office/drawing/2014/main" id="{00000000-0008-0000-0D00-000014000000}"/>
            </a:ext>
          </a:extLst>
        </xdr:cNvPr>
        <xdr:cNvSpPr/>
      </xdr:nvSpPr>
      <xdr:spPr>
        <a:xfrm>
          <a:off x="219075" y="6115050"/>
          <a:ext cx="914400" cy="257175"/>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rgbClr val="004165"/>
              </a:solidFill>
            </a:rPr>
            <a:t>Yes</a:t>
          </a:r>
        </a:p>
      </xdr:txBody>
    </xdr:sp>
    <xdr:clientData/>
  </xdr:twoCellAnchor>
  <xdr:twoCellAnchor>
    <xdr:from>
      <xdr:col>3</xdr:col>
      <xdr:colOff>1000125</xdr:colOff>
      <xdr:row>26</xdr:row>
      <xdr:rowOff>247650</xdr:rowOff>
    </xdr:from>
    <xdr:to>
      <xdr:col>3</xdr:col>
      <xdr:colOff>1914525</xdr:colOff>
      <xdr:row>27</xdr:row>
      <xdr:rowOff>247650</xdr:rowOff>
    </xdr:to>
    <xdr:sp macro="[0]!ToggleButtonX" textlink="">
      <xdr:nvSpPr>
        <xdr:cNvPr id="21" name="FC_APT_False" hidden="1">
          <a:extLst>
            <a:ext uri="{FF2B5EF4-FFF2-40B4-BE49-F238E27FC236}">
              <a16:creationId xmlns:a16="http://schemas.microsoft.com/office/drawing/2014/main" id="{00000000-0008-0000-0D00-000015000000}"/>
            </a:ext>
          </a:extLst>
        </xdr:cNvPr>
        <xdr:cNvSpPr/>
      </xdr:nvSpPr>
      <xdr:spPr>
        <a:xfrm>
          <a:off x="1200150" y="6115050"/>
          <a:ext cx="914400" cy="257175"/>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rgbClr val="FFFFFF"/>
              </a:solidFill>
            </a:rPr>
            <a:t>No</a:t>
          </a:r>
        </a:p>
      </xdr:txBody>
    </xdr:sp>
    <xdr:clientData/>
  </xdr:twoCellAnchor>
  <xdr:twoCellAnchor editAs="oneCell">
    <xdr:from>
      <xdr:col>3</xdr:col>
      <xdr:colOff>85725</xdr:colOff>
      <xdr:row>2</xdr:row>
      <xdr:rowOff>47625</xdr:rowOff>
    </xdr:from>
    <xdr:to>
      <xdr:col>3</xdr:col>
      <xdr:colOff>816508</xdr:colOff>
      <xdr:row>2</xdr:row>
      <xdr:rowOff>331815</xdr:rowOff>
    </xdr:to>
    <xdr:pic>
      <xdr:nvPicPr>
        <xdr:cNvPr id="2" name="Picture 1" descr="ANZ logo">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50"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3</xdr:col>
      <xdr:colOff>644280</xdr:colOff>
      <xdr:row>7</xdr:row>
      <xdr:rowOff>40012</xdr:rowOff>
    </xdr:from>
    <xdr:to>
      <xdr:col>3</xdr:col>
      <xdr:colOff>806280</xdr:colOff>
      <xdr:row>7</xdr:row>
      <xdr:rowOff>202012</xdr:rowOff>
    </xdr:to>
    <xdr:grpSp>
      <xdr:nvGrpSpPr>
        <xdr:cNvPr id="3" name="addRepaymentRow">
          <a:extLst>
            <a:ext uri="{FF2B5EF4-FFF2-40B4-BE49-F238E27FC236}">
              <a16:creationId xmlns:a16="http://schemas.microsoft.com/office/drawing/2014/main" id="{00000000-0008-0000-0E00-000003000000}"/>
            </a:ext>
          </a:extLst>
        </xdr:cNvPr>
        <xdr:cNvGrpSpPr/>
      </xdr:nvGrpSpPr>
      <xdr:grpSpPr>
        <a:xfrm>
          <a:off x="1012580" y="1030612"/>
          <a:ext cx="162000" cy="162000"/>
          <a:chOff x="1395033" y="2708672"/>
          <a:chExt cx="180000" cy="180000"/>
        </a:xfrm>
      </xdr:grpSpPr>
      <xdr:sp macro="[0]!Add_Loan_Repayment" textlink="">
        <xdr:nvSpPr>
          <xdr:cNvPr id="4" name="addRepaymentRow">
            <a:extLst>
              <a:ext uri="{FF2B5EF4-FFF2-40B4-BE49-F238E27FC236}">
                <a16:creationId xmlns:a16="http://schemas.microsoft.com/office/drawing/2014/main" id="{00000000-0008-0000-0E00-000004000000}"/>
              </a:ext>
            </a:extLst>
          </xdr:cNvPr>
          <xdr:cNvSpPr/>
        </xdr:nvSpPr>
        <xdr:spPr>
          <a:xfrm>
            <a:off x="1395033" y="2708672"/>
            <a:ext cx="180000" cy="1800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900">
                <a:solidFill>
                  <a:srgbClr val="004165"/>
                </a:solidFill>
              </a:rPr>
              <a:t>        </a:t>
            </a:r>
          </a:p>
        </xdr:txBody>
      </xdr:sp>
      <xdr:sp macro="[0]!Add_Loan_Repayment" textlink="">
        <xdr:nvSpPr>
          <xdr:cNvPr id="5" name="addRepaymentRow">
            <a:extLst>
              <a:ext uri="{FF2B5EF4-FFF2-40B4-BE49-F238E27FC236}">
                <a16:creationId xmlns:a16="http://schemas.microsoft.com/office/drawing/2014/main" id="{00000000-0008-0000-0E00-000005000000}"/>
              </a:ext>
            </a:extLst>
          </xdr:cNvPr>
          <xdr:cNvSpPr/>
        </xdr:nvSpPr>
        <xdr:spPr>
          <a:xfrm>
            <a:off x="1423665" y="2732724"/>
            <a:ext cx="126000" cy="126000"/>
          </a:xfrm>
          <a:prstGeom prst="mathPlus">
            <a:avLst/>
          </a:prstGeom>
          <a:solidFill>
            <a:schemeClr val="bg1"/>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20</xdr:col>
      <xdr:colOff>534458</xdr:colOff>
      <xdr:row>3</xdr:row>
      <xdr:rowOff>66675</xdr:rowOff>
    </xdr:from>
    <xdr:to>
      <xdr:col>22</xdr:col>
      <xdr:colOff>58208</xdr:colOff>
      <xdr:row>4</xdr:row>
      <xdr:rowOff>236220</xdr:rowOff>
    </xdr:to>
    <xdr:sp macro="[0]!Clear_Repayments_Sheet" textlink="">
      <xdr:nvSpPr>
        <xdr:cNvPr id="9" name="ClearRepaymentCalc">
          <a:extLst>
            <a:ext uri="{FF2B5EF4-FFF2-40B4-BE49-F238E27FC236}">
              <a16:creationId xmlns:a16="http://schemas.microsoft.com/office/drawing/2014/main" id="{00000000-0008-0000-0E00-000009000000}"/>
            </a:ext>
          </a:extLst>
        </xdr:cNvPr>
        <xdr:cNvSpPr/>
      </xdr:nvSpPr>
      <xdr:spPr>
        <a:xfrm>
          <a:off x="12869333" y="590550"/>
          <a:ext cx="914400" cy="274320"/>
        </a:xfrm>
        <a:prstGeom prst="roundRect">
          <a:avLst/>
        </a:prstGeom>
        <a:solidFill>
          <a:srgbClr val="B6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b="0">
              <a:solidFill>
                <a:srgbClr val="FFFFFF"/>
              </a:solidFill>
              <a:latin typeface="+mn-lt"/>
              <a:ea typeface="Verdana" panose="020B0604030504040204" pitchFamily="34" charset="0"/>
              <a:cs typeface="Arial" panose="020B0604020202020204" pitchFamily="34" charset="0"/>
            </a:rPr>
            <a:t>Clear</a:t>
          </a:r>
        </a:p>
      </xdr:txBody>
    </xdr:sp>
    <xdr:clientData/>
  </xdr:twoCellAnchor>
  <mc:AlternateContent xmlns:mc="http://schemas.openxmlformats.org/markup-compatibility/2006">
    <mc:Choice xmlns:a14="http://schemas.microsoft.com/office/drawing/2010/main" Requires="a14">
      <xdr:twoCellAnchor editAs="oneCell">
        <xdr:from>
          <xdr:col>4</xdr:col>
          <xdr:colOff>330200</xdr:colOff>
          <xdr:row>9</xdr:row>
          <xdr:rowOff>25400</xdr:rowOff>
        </xdr:from>
        <xdr:to>
          <xdr:col>4</xdr:col>
          <xdr:colOff>635000</xdr:colOff>
          <xdr:row>9</xdr:row>
          <xdr:rowOff>177800</xdr:rowOff>
        </xdr:to>
        <xdr:sp macro="" textlink="">
          <xdr:nvSpPr>
            <xdr:cNvPr id="13370" name="Check Box 58" hidden="1">
              <a:extLst>
                <a:ext uri="{63B3BB69-23CF-44E3-9099-C40C66FF867C}">
                  <a14:compatExt spid="_x0000_s13370"/>
                </a:ext>
                <a:ext uri="{FF2B5EF4-FFF2-40B4-BE49-F238E27FC236}">
                  <a16:creationId xmlns:a16="http://schemas.microsoft.com/office/drawing/2014/main" id="{00000000-0008-0000-0E00-00003A3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2</xdr:col>
      <xdr:colOff>85725</xdr:colOff>
      <xdr:row>9</xdr:row>
      <xdr:rowOff>57150</xdr:rowOff>
    </xdr:from>
    <xdr:ext cx="115200" cy="115200"/>
    <xdr:pic macro="[0]!Delete_Loan_Repayment">
      <xdr:nvPicPr>
        <xdr:cNvPr id="6" name="Del_LnR_10" descr="Close with solid fill">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8125" y="1524000"/>
          <a:ext cx="115200" cy="115200"/>
        </a:xfrm>
        <a:prstGeom prst="rect">
          <a:avLst/>
        </a:prstGeom>
      </xdr:spPr>
    </xdr:pic>
    <xdr:clientData/>
  </xdr:oneCellAnchor>
  <xdr:twoCellAnchor editAs="oneCell">
    <xdr:from>
      <xdr:col>2</xdr:col>
      <xdr:colOff>161925</xdr:colOff>
      <xdr:row>2</xdr:row>
      <xdr:rowOff>47625</xdr:rowOff>
    </xdr:from>
    <xdr:to>
      <xdr:col>3</xdr:col>
      <xdr:colOff>639343</xdr:colOff>
      <xdr:row>2</xdr:row>
      <xdr:rowOff>335625</xdr:rowOff>
    </xdr:to>
    <xdr:pic>
      <xdr:nvPicPr>
        <xdr:cNvPr id="2" name="Del_LnR_3" descr="ANZ logo">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5275"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7</xdr:col>
      <xdr:colOff>72768</xdr:colOff>
      <xdr:row>63</xdr:row>
      <xdr:rowOff>35563</xdr:rowOff>
    </xdr:from>
    <xdr:to>
      <xdr:col>7</xdr:col>
      <xdr:colOff>240674</xdr:colOff>
      <xdr:row>64</xdr:row>
      <xdr:rowOff>9655</xdr:rowOff>
    </xdr:to>
    <xdr:pic>
      <xdr:nvPicPr>
        <xdr:cNvPr id="10" name="Info_btn_LS_5" descr="See the source image">
          <a:hlinkClick xmlns:r="http://schemas.openxmlformats.org/officeDocument/2006/relationships" r:id="" tooltip="Value of new property limited by the LVR without LMI of the &#10;unconditional contract price or ANZ valuation."/>
          <a:extLst>
            <a:ext uri="{FF2B5EF4-FFF2-40B4-BE49-F238E27FC236}">
              <a16:creationId xmlns:a16="http://schemas.microsoft.com/office/drawing/2014/main" id="{00000000-0008-0000-0F00-00000A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6343" y="10903588"/>
          <a:ext cx="167906"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82651</xdr:colOff>
      <xdr:row>60</xdr:row>
      <xdr:rowOff>16565</xdr:rowOff>
    </xdr:from>
    <xdr:to>
      <xdr:col>7</xdr:col>
      <xdr:colOff>244340</xdr:colOff>
      <xdr:row>60</xdr:row>
      <xdr:rowOff>181157</xdr:rowOff>
    </xdr:to>
    <xdr:pic>
      <xdr:nvPicPr>
        <xdr:cNvPr id="14" name="Info_btn_LS_4" descr="See the source image">
          <a:hlinkClick xmlns:r="http://schemas.openxmlformats.org/officeDocument/2006/relationships" r:id="" tooltip="This loan is secured by the new property only and is ongoing. "/>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26226" y="10313090"/>
          <a:ext cx="161689"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85881</xdr:colOff>
      <xdr:row>55</xdr:row>
      <xdr:rowOff>19871</xdr:rowOff>
    </xdr:from>
    <xdr:to>
      <xdr:col>7</xdr:col>
      <xdr:colOff>247101</xdr:colOff>
      <xdr:row>55</xdr:row>
      <xdr:rowOff>184463</xdr:rowOff>
    </xdr:to>
    <xdr:pic>
      <xdr:nvPicPr>
        <xdr:cNvPr id="18" name="Info_btn_LS_3" descr="See the source image">
          <a:hlinkClick xmlns:r="http://schemas.openxmlformats.org/officeDocument/2006/relationships" r:id="" tooltip="Net proceeds from sale of existing property"/>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29456" y="9363896"/>
          <a:ext cx="161220"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87768</xdr:colOff>
      <xdr:row>52</xdr:row>
      <xdr:rowOff>4969</xdr:rowOff>
    </xdr:from>
    <xdr:to>
      <xdr:col>7</xdr:col>
      <xdr:colOff>248978</xdr:colOff>
      <xdr:row>52</xdr:row>
      <xdr:rowOff>169561</xdr:rowOff>
    </xdr:to>
    <xdr:pic>
      <xdr:nvPicPr>
        <xdr:cNvPr id="22" name="Info_btn_LS_2" descr="See the source image">
          <a:hlinkClick xmlns:r="http://schemas.openxmlformats.org/officeDocument/2006/relationships" r:id="" tooltip="This loan is secured by both properties and paid out on &#10;sale of the current property."/>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31343" y="8777494"/>
          <a:ext cx="161210"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86503</xdr:colOff>
      <xdr:row>48</xdr:row>
      <xdr:rowOff>27821</xdr:rowOff>
    </xdr:from>
    <xdr:to>
      <xdr:col>7</xdr:col>
      <xdr:colOff>249076</xdr:colOff>
      <xdr:row>48</xdr:row>
      <xdr:rowOff>185056</xdr:rowOff>
    </xdr:to>
    <xdr:pic>
      <xdr:nvPicPr>
        <xdr:cNvPr id="26" name="Info_btn_LS_1" descr="See the source image">
          <a:hlinkClick xmlns:r="http://schemas.openxmlformats.org/officeDocument/2006/relationships" r:id="" tooltip="This is based on the 'LVR without LMI' lending limits on each property. &#10;Peak debt above this amount may be considered by Credit Assessment &#10;for an LMI waiver in rare cases."/>
          <a:extLst>
            <a:ext uri="{FF2B5EF4-FFF2-40B4-BE49-F238E27FC236}">
              <a16:creationId xmlns:a16="http://schemas.microsoft.com/office/drawing/2014/main" id="{00000000-0008-0000-0F00-00001A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30078" y="8028821"/>
          <a:ext cx="162573" cy="157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66236</xdr:colOff>
      <xdr:row>28</xdr:row>
      <xdr:rowOff>26010</xdr:rowOff>
    </xdr:from>
    <xdr:to>
      <xdr:col>15</xdr:col>
      <xdr:colOff>229805</xdr:colOff>
      <xdr:row>28</xdr:row>
      <xdr:rowOff>188672</xdr:rowOff>
    </xdr:to>
    <xdr:pic>
      <xdr:nvPicPr>
        <xdr:cNvPr id="30" name="Info_btn_AS_1" descr="See the source image" hidden="1">
          <a:hlinkClick xmlns:r="http://schemas.openxmlformats.org/officeDocument/2006/relationships" r:id="" tooltip="This is normally 80% but may be less for certain property types &amp; mining &#10;town postcodes. Check MCR sections 7.1 Property Types and Loan to &#10;Value (LVR) Thresholds and  7.2 Mining Town Requirements for the &#10;correct 'Max LVR without LMI' for your property."/>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96186" y="4798035"/>
          <a:ext cx="163569" cy="162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76018</xdr:colOff>
      <xdr:row>34</xdr:row>
      <xdr:rowOff>12404</xdr:rowOff>
    </xdr:from>
    <xdr:to>
      <xdr:col>7</xdr:col>
      <xdr:colOff>234967</xdr:colOff>
      <xdr:row>34</xdr:row>
      <xdr:rowOff>182536</xdr:rowOff>
    </xdr:to>
    <xdr:pic>
      <xdr:nvPicPr>
        <xdr:cNvPr id="34" name="Info_btn_AI_4" descr="See the source image">
          <a:hlinkClick xmlns:r="http://schemas.openxmlformats.org/officeDocument/2006/relationships" r:id="" tooltip="Minimise Residual Component - Allows customer to have &#10;minimum residual loan post paying out the Bridging loan. Select &#10;this option to nominate an  amount of funds to be retained by &#10;the customer. &#10;&#10;Maximise Residual Component - Allows customer to keep &#10;maximum surplus funds from the sale of the existing property &#10;&#10;Customise Residual Component - allows a specific residual loan &#10;amount to be provided based on customer's eligibility"/>
          <a:extLst>
            <a:ext uri="{FF2B5EF4-FFF2-40B4-BE49-F238E27FC236}">
              <a16:creationId xmlns:a16="http://schemas.microsoft.com/office/drawing/2014/main" id="{00000000-0008-0000-0F00-00002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9593" y="5622629"/>
          <a:ext cx="158949" cy="1701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76019</xdr:colOff>
      <xdr:row>32</xdr:row>
      <xdr:rowOff>57014</xdr:rowOff>
    </xdr:from>
    <xdr:to>
      <xdr:col>7</xdr:col>
      <xdr:colOff>234968</xdr:colOff>
      <xdr:row>33</xdr:row>
      <xdr:rowOff>31106</xdr:rowOff>
    </xdr:to>
    <xdr:pic>
      <xdr:nvPicPr>
        <xdr:cNvPr id="38" name="Info_btn_AI_3" descr="See the source image">
          <a:extLst>
            <a:ext uri="{FF2B5EF4-FFF2-40B4-BE49-F238E27FC236}">
              <a16:creationId xmlns:a16="http://schemas.microsoft.com/office/drawing/2014/main" id="{00000000-0008-0000-0F00-000026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9594" y="5381489"/>
          <a:ext cx="158949"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74562</xdr:colOff>
      <xdr:row>30</xdr:row>
      <xdr:rowOff>11600</xdr:rowOff>
    </xdr:from>
    <xdr:to>
      <xdr:col>7</xdr:col>
      <xdr:colOff>244892</xdr:colOff>
      <xdr:row>31</xdr:row>
      <xdr:rowOff>11906</xdr:rowOff>
    </xdr:to>
    <xdr:pic>
      <xdr:nvPicPr>
        <xdr:cNvPr id="75" name="Info_btn_AI_2" descr="See the source image">
          <a:hlinkClick xmlns:r="http://schemas.openxmlformats.org/officeDocument/2006/relationships" r:id="" tooltip="Please use manual calculations if a customer has multiple loans &#10;and they would like to treat them differently"/>
          <a:extLst>
            <a:ext uri="{FF2B5EF4-FFF2-40B4-BE49-F238E27FC236}">
              <a16:creationId xmlns:a16="http://schemas.microsoft.com/office/drawing/2014/main" id="{00000000-0008-0000-0F00-00004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8137" y="5069375"/>
          <a:ext cx="170330" cy="171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84087</xdr:colOff>
      <xdr:row>26</xdr:row>
      <xdr:rowOff>59225</xdr:rowOff>
    </xdr:from>
    <xdr:to>
      <xdr:col>7</xdr:col>
      <xdr:colOff>254417</xdr:colOff>
      <xdr:row>27</xdr:row>
      <xdr:rowOff>40481</xdr:rowOff>
    </xdr:to>
    <xdr:pic>
      <xdr:nvPicPr>
        <xdr:cNvPr id="42" name="Info_btn_AI_1" descr="See the source image">
          <a:hlinkClick xmlns:r="http://schemas.openxmlformats.org/officeDocument/2006/relationships" r:id="" tooltip="Maximum 12 month bridging term for newly constructed, &#10;established dwelling and construction. If an unconditional COS is &#10;held then align bridging period to the settlement date (round up &#10;to the nearest month)."/>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27662" y="4488350"/>
          <a:ext cx="170330" cy="171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79084</xdr:colOff>
      <xdr:row>12</xdr:row>
      <xdr:rowOff>11595</xdr:rowOff>
    </xdr:from>
    <xdr:to>
      <xdr:col>15</xdr:col>
      <xdr:colOff>242716</xdr:colOff>
      <xdr:row>12</xdr:row>
      <xdr:rowOff>176187</xdr:rowOff>
    </xdr:to>
    <xdr:pic>
      <xdr:nvPicPr>
        <xdr:cNvPr id="46" name="Info_btn_CP_5" descr="See the source image">
          <a:hlinkClick xmlns:r="http://schemas.openxmlformats.org/officeDocument/2006/relationships" r:id="" tooltip="Property type definitions can be found in MCR sections 7.1 &#10;Property Types and Loan to Value (LVR) Thresholds "/>
          <a:extLst>
            <a:ext uri="{FF2B5EF4-FFF2-40B4-BE49-F238E27FC236}">
              <a16:creationId xmlns:a16="http://schemas.microsoft.com/office/drawing/2014/main" id="{00000000-0008-0000-0F00-00002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9034" y="1964220"/>
          <a:ext cx="163632"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74479</xdr:colOff>
      <xdr:row>14</xdr:row>
      <xdr:rowOff>99390</xdr:rowOff>
    </xdr:from>
    <xdr:to>
      <xdr:col>15</xdr:col>
      <xdr:colOff>238033</xdr:colOff>
      <xdr:row>15</xdr:row>
      <xdr:rowOff>73482</xdr:rowOff>
    </xdr:to>
    <xdr:pic>
      <xdr:nvPicPr>
        <xdr:cNvPr id="50" name="Info_btn_CP_4" descr="See the source image">
          <a:hlinkClick xmlns:r="http://schemas.openxmlformats.org/officeDocument/2006/relationships" r:id="" tooltip="Please note that for the actual bridging &#10;application, either COS or valuation is &#10;required (estimation is not accepted)"/>
          <a:extLst>
            <a:ext uri="{FF2B5EF4-FFF2-40B4-BE49-F238E27FC236}">
              <a16:creationId xmlns:a16="http://schemas.microsoft.com/office/drawing/2014/main" id="{00000000-0008-0000-0F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4429" y="2433015"/>
          <a:ext cx="163554"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69913</xdr:colOff>
      <xdr:row>18</xdr:row>
      <xdr:rowOff>21533</xdr:rowOff>
    </xdr:from>
    <xdr:to>
      <xdr:col>15</xdr:col>
      <xdr:colOff>234507</xdr:colOff>
      <xdr:row>18</xdr:row>
      <xdr:rowOff>186125</xdr:rowOff>
    </xdr:to>
    <xdr:pic>
      <xdr:nvPicPr>
        <xdr:cNvPr id="54" name="Info_btn_CP_3" descr="See the source image">
          <a:hlinkClick xmlns:r="http://schemas.openxmlformats.org/officeDocument/2006/relationships" r:id="" tooltip="Net Sale Proceeds is equal to Max &#10;Bridging Component."/>
          <a:extLst>
            <a:ext uri="{FF2B5EF4-FFF2-40B4-BE49-F238E27FC236}">
              <a16:creationId xmlns:a16="http://schemas.microsoft.com/office/drawing/2014/main" id="{00000000-0008-0000-0F00-000036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99863" y="3117158"/>
          <a:ext cx="164594"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76145</xdr:colOff>
      <xdr:row>17</xdr:row>
      <xdr:rowOff>16459</xdr:rowOff>
    </xdr:from>
    <xdr:to>
      <xdr:col>15</xdr:col>
      <xdr:colOff>239647</xdr:colOff>
      <xdr:row>17</xdr:row>
      <xdr:rowOff>181051</xdr:rowOff>
    </xdr:to>
    <xdr:pic>
      <xdr:nvPicPr>
        <xdr:cNvPr id="58" name="Info_btn_CP_2" descr="See the source image">
          <a:hlinkClick xmlns:r="http://schemas.openxmlformats.org/officeDocument/2006/relationships" r:id="" tooltip="This is an allowance to cover agent &#10;commission and other sales costs. It is &#10;calculated as 5% (with unconditional &#10;COS) or 10% of the property value."/>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6095" y="2921584"/>
          <a:ext cx="163502"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75771</xdr:colOff>
      <xdr:row>13</xdr:row>
      <xdr:rowOff>16565</xdr:rowOff>
    </xdr:from>
    <xdr:to>
      <xdr:col>15</xdr:col>
      <xdr:colOff>239403</xdr:colOff>
      <xdr:row>13</xdr:row>
      <xdr:rowOff>181157</xdr:rowOff>
    </xdr:to>
    <xdr:pic>
      <xdr:nvPicPr>
        <xdr:cNvPr id="62" name="Info_btn_CP_1" descr="See the source image">
          <a:hlinkClick xmlns:r="http://schemas.openxmlformats.org/officeDocument/2006/relationships" r:id="" tooltip="This is normally 80% but may be less for certain property &#10;types &amp; mining town postcodes. Refer to MCR for Property&#10;Types and Loan to Value (LVR) Thresholds"/>
          <a:extLst>
            <a:ext uri="{FF2B5EF4-FFF2-40B4-BE49-F238E27FC236}">
              <a16:creationId xmlns:a16="http://schemas.microsoft.com/office/drawing/2014/main" id="{00000000-0008-0000-0F00-00003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105721" y="2159690"/>
          <a:ext cx="163632"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71079</xdr:colOff>
      <xdr:row>12</xdr:row>
      <xdr:rowOff>21535</xdr:rowOff>
    </xdr:from>
    <xdr:to>
      <xdr:col>7</xdr:col>
      <xdr:colOff>232517</xdr:colOff>
      <xdr:row>12</xdr:row>
      <xdr:rowOff>186127</xdr:rowOff>
    </xdr:to>
    <xdr:pic>
      <xdr:nvPicPr>
        <xdr:cNvPr id="66" name="Info_btn_NP_3" descr="See the source image">
          <a:hlinkClick xmlns:r="http://schemas.openxmlformats.org/officeDocument/2006/relationships" r:id="" tooltip="Property type definitions can be found in MCR sections 7.1 &#10;Property Types and Loan to Value (LVR) Thresholds "/>
          <a:extLst>
            <a:ext uri="{FF2B5EF4-FFF2-40B4-BE49-F238E27FC236}">
              <a16:creationId xmlns:a16="http://schemas.microsoft.com/office/drawing/2014/main" id="{00000000-0008-0000-0F00-00004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4654" y="1974160"/>
          <a:ext cx="161438"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76199</xdr:colOff>
      <xdr:row>18</xdr:row>
      <xdr:rowOff>19464</xdr:rowOff>
    </xdr:from>
    <xdr:to>
      <xdr:col>7</xdr:col>
      <xdr:colOff>237631</xdr:colOff>
      <xdr:row>18</xdr:row>
      <xdr:rowOff>184056</xdr:rowOff>
    </xdr:to>
    <xdr:pic>
      <xdr:nvPicPr>
        <xdr:cNvPr id="70" name="Info_btn_NP_2" descr="See the source image">
          <a:hlinkClick xmlns:r="http://schemas.openxmlformats.org/officeDocument/2006/relationships" r:id="" tooltip="This is an allowance for purchase costs including stamp duty,&#10;conveyancing fees etc. ANZ generally allows 5% of the purchase&#10;price (or land cost for construction), however you can click the&#10;calculator icon to calculate the estimated state-based purchase&#10;costs or enter your own estimated cost."/>
          <a:extLst>
            <a:ext uri="{FF2B5EF4-FFF2-40B4-BE49-F238E27FC236}">
              <a16:creationId xmlns:a16="http://schemas.microsoft.com/office/drawing/2014/main" id="{00000000-0008-0000-0F00-00004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9774" y="3115089"/>
          <a:ext cx="161432"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69420</xdr:colOff>
      <xdr:row>13</xdr:row>
      <xdr:rowOff>19879</xdr:rowOff>
    </xdr:from>
    <xdr:to>
      <xdr:col>7</xdr:col>
      <xdr:colOff>230857</xdr:colOff>
      <xdr:row>13</xdr:row>
      <xdr:rowOff>184471</xdr:rowOff>
    </xdr:to>
    <xdr:pic>
      <xdr:nvPicPr>
        <xdr:cNvPr id="74" name="Info_btn_NP_1" descr="See the source image">
          <a:hlinkClick xmlns:r="http://schemas.openxmlformats.org/officeDocument/2006/relationships" r:id="" tooltip="This is normally 80% but may be less for certain property types &amp;&#10;mining town postcodes. Refer to MCR for Property Types and&#10;Loan to Value (LVR) Thresholds"/>
          <a:extLst>
            <a:ext uri="{FF2B5EF4-FFF2-40B4-BE49-F238E27FC236}">
              <a16:creationId xmlns:a16="http://schemas.microsoft.com/office/drawing/2014/main" id="{00000000-0008-0000-0F00-00004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2995" y="2163004"/>
          <a:ext cx="161437"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1323975</xdr:colOff>
      <xdr:row>31</xdr:row>
      <xdr:rowOff>76201</xdr:rowOff>
    </xdr:from>
    <xdr:to>
      <xdr:col>6</xdr:col>
      <xdr:colOff>638174</xdr:colOff>
      <xdr:row>33</xdr:row>
      <xdr:rowOff>14909</xdr:rowOff>
    </xdr:to>
    <xdr:sp macro="[0]!AI_Additional" textlink="">
      <xdr:nvSpPr>
        <xdr:cNvPr id="76" name="AI_AS_True">
          <a:extLst>
            <a:ext uri="{FF2B5EF4-FFF2-40B4-BE49-F238E27FC236}">
              <a16:creationId xmlns:a16="http://schemas.microsoft.com/office/drawing/2014/main" id="{00000000-0008-0000-0F00-00004C000000}"/>
            </a:ext>
          </a:extLst>
        </xdr:cNvPr>
        <xdr:cNvSpPr/>
      </xdr:nvSpPr>
      <xdr:spPr>
        <a:xfrm>
          <a:off x="4429125" y="5305426"/>
          <a:ext cx="638174" cy="224458"/>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Yes</a:t>
          </a:r>
        </a:p>
      </xdr:txBody>
    </xdr:sp>
    <xdr:clientData/>
  </xdr:twoCellAnchor>
  <xdr:twoCellAnchor>
    <xdr:from>
      <xdr:col>6</xdr:col>
      <xdr:colOff>676275</xdr:colOff>
      <xdr:row>31</xdr:row>
      <xdr:rowOff>76201</xdr:rowOff>
    </xdr:from>
    <xdr:to>
      <xdr:col>7</xdr:col>
      <xdr:colOff>9524</xdr:colOff>
      <xdr:row>33</xdr:row>
      <xdr:rowOff>14909</xdr:rowOff>
    </xdr:to>
    <xdr:sp macro="[0]!AI_Additional" textlink="">
      <xdr:nvSpPr>
        <xdr:cNvPr id="77" name="AI_AS_False">
          <a:extLst>
            <a:ext uri="{FF2B5EF4-FFF2-40B4-BE49-F238E27FC236}">
              <a16:creationId xmlns:a16="http://schemas.microsoft.com/office/drawing/2014/main" id="{00000000-0008-0000-0F00-00004D000000}"/>
            </a:ext>
          </a:extLst>
        </xdr:cNvPr>
        <xdr:cNvSpPr/>
      </xdr:nvSpPr>
      <xdr:spPr>
        <a:xfrm>
          <a:off x="5105400" y="5305426"/>
          <a:ext cx="647699" cy="224458"/>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No</a:t>
          </a:r>
        </a:p>
      </xdr:txBody>
    </xdr:sp>
    <xdr:clientData/>
  </xdr:twoCellAnchor>
  <xdr:twoCellAnchor>
    <xdr:from>
      <xdr:col>5</xdr:col>
      <xdr:colOff>1323975</xdr:colOff>
      <xdr:row>35</xdr:row>
      <xdr:rowOff>50110</xdr:rowOff>
    </xdr:from>
    <xdr:to>
      <xdr:col>6</xdr:col>
      <xdr:colOff>638174</xdr:colOff>
      <xdr:row>36</xdr:row>
      <xdr:rowOff>179319</xdr:rowOff>
    </xdr:to>
    <xdr:sp macro="[0]!SetRetainFunds" textlink="">
      <xdr:nvSpPr>
        <xdr:cNvPr id="78" name="AI_RetainFunds_True" hidden="1">
          <a:extLst>
            <a:ext uri="{FF2B5EF4-FFF2-40B4-BE49-F238E27FC236}">
              <a16:creationId xmlns:a16="http://schemas.microsoft.com/office/drawing/2014/main" id="{00000000-0008-0000-0F00-00004E000000}"/>
            </a:ext>
          </a:extLst>
        </xdr:cNvPr>
        <xdr:cNvSpPr/>
      </xdr:nvSpPr>
      <xdr:spPr>
        <a:xfrm>
          <a:off x="4429125" y="5850835"/>
          <a:ext cx="638174" cy="224459"/>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Yes</a:t>
          </a:r>
        </a:p>
      </xdr:txBody>
    </xdr:sp>
    <xdr:clientData/>
  </xdr:twoCellAnchor>
  <xdr:twoCellAnchor>
    <xdr:from>
      <xdr:col>6</xdr:col>
      <xdr:colOff>676275</xdr:colOff>
      <xdr:row>35</xdr:row>
      <xdr:rowOff>50110</xdr:rowOff>
    </xdr:from>
    <xdr:to>
      <xdr:col>7</xdr:col>
      <xdr:colOff>9524</xdr:colOff>
      <xdr:row>36</xdr:row>
      <xdr:rowOff>179319</xdr:rowOff>
    </xdr:to>
    <xdr:sp macro="[0]!SetRetainFunds" textlink="">
      <xdr:nvSpPr>
        <xdr:cNvPr id="79" name="AI_RetainFunds_False" hidden="1">
          <a:extLst>
            <a:ext uri="{FF2B5EF4-FFF2-40B4-BE49-F238E27FC236}">
              <a16:creationId xmlns:a16="http://schemas.microsoft.com/office/drawing/2014/main" id="{00000000-0008-0000-0F00-00004F000000}"/>
            </a:ext>
          </a:extLst>
        </xdr:cNvPr>
        <xdr:cNvSpPr/>
      </xdr:nvSpPr>
      <xdr:spPr>
        <a:xfrm>
          <a:off x="5105400" y="5850835"/>
          <a:ext cx="647699" cy="224459"/>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No</a:t>
          </a:r>
        </a:p>
      </xdr:txBody>
    </xdr:sp>
    <xdr:clientData/>
  </xdr:twoCellAnchor>
  <xdr:twoCellAnchor>
    <xdr:from>
      <xdr:col>13</xdr:col>
      <xdr:colOff>1571625</xdr:colOff>
      <xdr:row>14</xdr:row>
      <xdr:rowOff>71233</xdr:rowOff>
    </xdr:from>
    <xdr:to>
      <xdr:col>14</xdr:col>
      <xdr:colOff>638174</xdr:colOff>
      <xdr:row>15</xdr:row>
      <xdr:rowOff>99807</xdr:rowOff>
    </xdr:to>
    <xdr:sp macro="[0]!CP_COS_X" textlink="">
      <xdr:nvSpPr>
        <xdr:cNvPr id="80" name="CP_COS_True">
          <a:extLst>
            <a:ext uri="{FF2B5EF4-FFF2-40B4-BE49-F238E27FC236}">
              <a16:creationId xmlns:a16="http://schemas.microsoft.com/office/drawing/2014/main" id="{00000000-0008-0000-0F00-000050000000}"/>
            </a:ext>
          </a:extLst>
        </xdr:cNvPr>
        <xdr:cNvSpPr/>
      </xdr:nvSpPr>
      <xdr:spPr>
        <a:xfrm>
          <a:off x="9705975" y="2404858"/>
          <a:ext cx="647699" cy="219074"/>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Yes</a:t>
          </a:r>
        </a:p>
      </xdr:txBody>
    </xdr:sp>
    <xdr:clientData/>
  </xdr:twoCellAnchor>
  <xdr:twoCellAnchor>
    <xdr:from>
      <xdr:col>14</xdr:col>
      <xdr:colOff>676274</xdr:colOff>
      <xdr:row>14</xdr:row>
      <xdr:rowOff>71233</xdr:rowOff>
    </xdr:from>
    <xdr:to>
      <xdr:col>15</xdr:col>
      <xdr:colOff>11048</xdr:colOff>
      <xdr:row>15</xdr:row>
      <xdr:rowOff>99807</xdr:rowOff>
    </xdr:to>
    <xdr:sp macro="[0]!CP_COS_X" textlink="">
      <xdr:nvSpPr>
        <xdr:cNvPr id="81" name="CP_COS_False">
          <a:extLst>
            <a:ext uri="{FF2B5EF4-FFF2-40B4-BE49-F238E27FC236}">
              <a16:creationId xmlns:a16="http://schemas.microsoft.com/office/drawing/2014/main" id="{00000000-0008-0000-0F00-000051000000}"/>
            </a:ext>
          </a:extLst>
        </xdr:cNvPr>
        <xdr:cNvSpPr/>
      </xdr:nvSpPr>
      <xdr:spPr>
        <a:xfrm>
          <a:off x="10391774" y="2404858"/>
          <a:ext cx="649224" cy="219074"/>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No</a:t>
          </a:r>
        </a:p>
      </xdr:txBody>
    </xdr:sp>
    <xdr:clientData/>
  </xdr:twoCellAnchor>
  <xdr:twoCellAnchor editAs="oneCell">
    <xdr:from>
      <xdr:col>5</xdr:col>
      <xdr:colOff>863846</xdr:colOff>
      <xdr:row>18</xdr:row>
      <xdr:rowOff>23447</xdr:rowOff>
    </xdr:from>
    <xdr:to>
      <xdr:col>5</xdr:col>
      <xdr:colOff>1021177</xdr:colOff>
      <xdr:row>18</xdr:row>
      <xdr:rowOff>188039</xdr:rowOff>
    </xdr:to>
    <xdr:pic macro="[0]!NP_Property_Costs">
      <xdr:nvPicPr>
        <xdr:cNvPr id="83" name="NP_PC5_True">
          <a:extLst>
            <a:ext uri="{FF2B5EF4-FFF2-40B4-BE49-F238E27FC236}">
              <a16:creationId xmlns:a16="http://schemas.microsoft.com/office/drawing/2014/main" id="{00000000-0008-0000-0F00-00005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064246" y="3119072"/>
          <a:ext cx="157331"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1026617</xdr:colOff>
      <xdr:row>18</xdr:row>
      <xdr:rowOff>22945</xdr:rowOff>
    </xdr:from>
    <xdr:to>
      <xdr:col>5</xdr:col>
      <xdr:colOff>1181598</xdr:colOff>
      <xdr:row>18</xdr:row>
      <xdr:rowOff>187537</xdr:rowOff>
    </xdr:to>
    <xdr:pic macro="[0]!NP_Property_Costs">
      <xdr:nvPicPr>
        <xdr:cNvPr id="84" name="NP_PCC_True" hidden="1">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27017" y="3118570"/>
          <a:ext cx="154981"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1031130</xdr:colOff>
      <xdr:row>18</xdr:row>
      <xdr:rowOff>26377</xdr:rowOff>
    </xdr:from>
    <xdr:to>
      <xdr:col>5</xdr:col>
      <xdr:colOff>1190916</xdr:colOff>
      <xdr:row>19</xdr:row>
      <xdr:rowOff>469</xdr:rowOff>
    </xdr:to>
    <xdr:pic macro="[0]!NP_Property_Costs">
      <xdr:nvPicPr>
        <xdr:cNvPr id="85" name="NP_PCC_False">
          <a:extLst>
            <a:ext uri="{FF2B5EF4-FFF2-40B4-BE49-F238E27FC236}">
              <a16:creationId xmlns:a16="http://schemas.microsoft.com/office/drawing/2014/main" id="{00000000-0008-0000-0F00-00005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31530" y="3122002"/>
          <a:ext cx="159786"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859101</xdr:colOff>
      <xdr:row>18</xdr:row>
      <xdr:rowOff>27842</xdr:rowOff>
    </xdr:from>
    <xdr:to>
      <xdr:col>5</xdr:col>
      <xdr:colOff>1017843</xdr:colOff>
      <xdr:row>19</xdr:row>
      <xdr:rowOff>1934</xdr:rowOff>
    </xdr:to>
    <xdr:pic macro="[0]!NP_Property_Costs">
      <xdr:nvPicPr>
        <xdr:cNvPr id="86" name="NP_PC5_False" hidden="1">
          <a:extLst>
            <a:ext uri="{FF2B5EF4-FFF2-40B4-BE49-F238E27FC236}">
              <a16:creationId xmlns:a16="http://schemas.microsoft.com/office/drawing/2014/main" id="{00000000-0008-0000-0F00-00005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059501" y="3123467"/>
          <a:ext cx="158742"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638175</xdr:colOff>
      <xdr:row>3</xdr:row>
      <xdr:rowOff>38100</xdr:rowOff>
    </xdr:from>
    <xdr:to>
      <xdr:col>16</xdr:col>
      <xdr:colOff>476251</xdr:colOff>
      <xdr:row>4</xdr:row>
      <xdr:rowOff>207645</xdr:rowOff>
    </xdr:to>
    <xdr:sp macro="[0]!RequestBridgingPDF" textlink="">
      <xdr:nvSpPr>
        <xdr:cNvPr id="88" name="Btn_PDF">
          <a:extLst>
            <a:ext uri="{FF2B5EF4-FFF2-40B4-BE49-F238E27FC236}">
              <a16:creationId xmlns:a16="http://schemas.microsoft.com/office/drawing/2014/main" id="{00000000-0008-0000-0F00-000058000000}"/>
            </a:ext>
          </a:extLst>
        </xdr:cNvPr>
        <xdr:cNvSpPr/>
      </xdr:nvSpPr>
      <xdr:spPr>
        <a:xfrm>
          <a:off x="10220325" y="561975"/>
          <a:ext cx="1590676" cy="274320"/>
        </a:xfrm>
        <a:prstGeom prst="roundRect">
          <a:avLst/>
        </a:prstGeom>
        <a:solidFill>
          <a:srgbClr val="0072AC"/>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rPr>
            <a:t>Generate</a:t>
          </a:r>
          <a:r>
            <a:rPr lang="en-AU" sz="1000" baseline="0">
              <a:solidFill>
                <a:srgbClr val="FFFFFF"/>
              </a:solidFill>
            </a:rPr>
            <a:t> PDF Summary</a:t>
          </a:r>
          <a:endParaRPr lang="en-AU" sz="1000">
            <a:solidFill>
              <a:srgbClr val="FFFFFF"/>
            </a:solidFill>
          </a:endParaRPr>
        </a:p>
      </xdr:txBody>
    </xdr:sp>
    <xdr:clientData/>
  </xdr:twoCellAnchor>
  <xdr:twoCellAnchor>
    <xdr:from>
      <xdr:col>13</xdr:col>
      <xdr:colOff>1209675</xdr:colOff>
      <xdr:row>3</xdr:row>
      <xdr:rowOff>38100</xdr:rowOff>
    </xdr:from>
    <xdr:to>
      <xdr:col>14</xdr:col>
      <xdr:colOff>542925</xdr:colOff>
      <xdr:row>4</xdr:row>
      <xdr:rowOff>207645</xdr:rowOff>
    </xdr:to>
    <xdr:sp macro="[0]!Clear_BF_Calc" textlink="">
      <xdr:nvSpPr>
        <xdr:cNvPr id="89" name="Btn_ClearFees">
          <a:extLst>
            <a:ext uri="{FF2B5EF4-FFF2-40B4-BE49-F238E27FC236}">
              <a16:creationId xmlns:a16="http://schemas.microsoft.com/office/drawing/2014/main" id="{00000000-0008-0000-0F00-000059000000}"/>
            </a:ext>
          </a:extLst>
        </xdr:cNvPr>
        <xdr:cNvSpPr/>
      </xdr:nvSpPr>
      <xdr:spPr>
        <a:xfrm>
          <a:off x="9210675" y="561975"/>
          <a:ext cx="914400" cy="274320"/>
        </a:xfrm>
        <a:prstGeom prst="roundRect">
          <a:avLst/>
        </a:prstGeom>
        <a:solidFill>
          <a:srgbClr val="B6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rPr>
            <a:t>Clear</a:t>
          </a:r>
        </a:p>
      </xdr:txBody>
    </xdr:sp>
    <xdr:clientData/>
  </xdr:twoCellAnchor>
  <xdr:twoCellAnchor editAs="oneCell">
    <xdr:from>
      <xdr:col>2</xdr:col>
      <xdr:colOff>123825</xdr:colOff>
      <xdr:row>2</xdr:row>
      <xdr:rowOff>38100</xdr:rowOff>
    </xdr:from>
    <xdr:to>
      <xdr:col>3</xdr:col>
      <xdr:colOff>667918</xdr:colOff>
      <xdr:row>2</xdr:row>
      <xdr:rowOff>326100</xdr:rowOff>
    </xdr:to>
    <xdr:pic>
      <xdr:nvPicPr>
        <xdr:cNvPr id="2" name="Picture 1" descr="ANZ logo">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57175" y="171450"/>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3</xdr:row>
      <xdr:rowOff>57260</xdr:rowOff>
    </xdr:from>
    <xdr:to>
      <xdr:col>8</xdr:col>
      <xdr:colOff>0</xdr:colOff>
      <xdr:row>6</xdr:row>
      <xdr:rowOff>0</xdr:rowOff>
    </xdr:to>
    <xdr:grpSp>
      <xdr:nvGrpSpPr>
        <xdr:cNvPr id="2" name="Group 1" hidden="1">
          <a:extLst>
            <a:ext uri="{FF2B5EF4-FFF2-40B4-BE49-F238E27FC236}">
              <a16:creationId xmlns:a16="http://schemas.microsoft.com/office/drawing/2014/main" id="{00000000-0008-0000-1000-000002000000}"/>
            </a:ext>
          </a:extLst>
        </xdr:cNvPr>
        <xdr:cNvGrpSpPr/>
      </xdr:nvGrpSpPr>
      <xdr:grpSpPr>
        <a:xfrm>
          <a:off x="1447800" y="1187560"/>
          <a:ext cx="1282700" cy="234840"/>
          <a:chOff x="1493520" y="834360"/>
          <a:chExt cx="6818372" cy="271236"/>
        </a:xfrm>
      </xdr:grpSpPr>
      <xdr:sp macro="" textlink="">
        <xdr:nvSpPr>
          <xdr:cNvPr id="3" name="1_3_Phone" hidden="1">
            <a:extLst>
              <a:ext uri="{FF2B5EF4-FFF2-40B4-BE49-F238E27FC236}">
                <a16:creationId xmlns:a16="http://schemas.microsoft.com/office/drawing/2014/main" id="{00000000-0008-0000-1000-000003000000}"/>
              </a:ext>
            </a:extLst>
          </xdr:cNvPr>
          <xdr:cNvSpPr txBox="1"/>
        </xdr:nvSpPr>
        <xdr:spPr>
          <a:xfrm>
            <a:off x="7139640" y="841036"/>
            <a:ext cx="117225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latin typeface="Arial" panose="020B0604020202020204" pitchFamily="34" charset="0"/>
                <a:cs typeface="Arial" panose="020B0604020202020204" pitchFamily="34" charset="0"/>
              </a:rPr>
              <a:t>1</a:t>
            </a:r>
          </a:p>
        </xdr:txBody>
      </xdr:sp>
      <xdr:sp macro="" textlink="">
        <xdr:nvSpPr>
          <xdr:cNvPr id="4" name="1_2_Email" hidden="1">
            <a:extLst>
              <a:ext uri="{FF2B5EF4-FFF2-40B4-BE49-F238E27FC236}">
                <a16:creationId xmlns:a16="http://schemas.microsoft.com/office/drawing/2014/main" id="{00000000-0008-0000-1000-000004000000}"/>
              </a:ext>
            </a:extLst>
          </xdr:cNvPr>
          <xdr:cNvSpPr txBox="1"/>
        </xdr:nvSpPr>
        <xdr:spPr>
          <a:xfrm>
            <a:off x="4283493" y="834360"/>
            <a:ext cx="22335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t>1</a:t>
            </a:r>
            <a:endParaRPr lang="en-AU">
              <a:latin typeface="Arial" panose="020B0604020202020204" pitchFamily="34" charset="0"/>
              <a:cs typeface="Arial" panose="020B0604020202020204" pitchFamily="34" charset="0"/>
            </a:endParaRPr>
          </a:p>
        </xdr:txBody>
      </xdr:sp>
      <xdr:sp macro="" textlink="">
        <xdr:nvSpPr>
          <xdr:cNvPr id="5" name="1_1_LenderName" hidden="1">
            <a:extLst>
              <a:ext uri="{FF2B5EF4-FFF2-40B4-BE49-F238E27FC236}">
                <a16:creationId xmlns:a16="http://schemas.microsoft.com/office/drawing/2014/main" id="{00000000-0008-0000-1000-000005000000}"/>
              </a:ext>
            </a:extLst>
          </xdr:cNvPr>
          <xdr:cNvSpPr txBox="1"/>
        </xdr:nvSpPr>
        <xdr:spPr>
          <a:xfrm>
            <a:off x="1493520" y="840091"/>
            <a:ext cx="21822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latin typeface="Arial" panose="020B0604020202020204" pitchFamily="34" charset="0"/>
                <a:cs typeface="Arial" panose="020B0604020202020204" pitchFamily="34" charset="0"/>
              </a:rPr>
              <a:t>1</a:t>
            </a:r>
          </a:p>
        </xdr:txBody>
      </xdr:sp>
    </xdr:grpSp>
    <xdr:clientData/>
  </xdr:twoCellAnchor>
  <xdr:twoCellAnchor>
    <xdr:from>
      <xdr:col>9</xdr:col>
      <xdr:colOff>347871</xdr:colOff>
      <xdr:row>3</xdr:row>
      <xdr:rowOff>63887</xdr:rowOff>
    </xdr:from>
    <xdr:to>
      <xdr:col>10</xdr:col>
      <xdr:colOff>102689</xdr:colOff>
      <xdr:row>6</xdr:row>
      <xdr:rowOff>0</xdr:rowOff>
    </xdr:to>
    <xdr:sp macro="" textlink="">
      <xdr:nvSpPr>
        <xdr:cNvPr id="6" name="1_4_Date" hidden="1">
          <a:extLst>
            <a:ext uri="{FF2B5EF4-FFF2-40B4-BE49-F238E27FC236}">
              <a16:creationId xmlns:a16="http://schemas.microsoft.com/office/drawing/2014/main" id="{00000000-0008-0000-1000-000006000000}"/>
            </a:ext>
          </a:extLst>
        </xdr:cNvPr>
        <xdr:cNvSpPr txBox="1"/>
      </xdr:nvSpPr>
      <xdr:spPr>
        <a:xfrm>
          <a:off x="3776871" y="1168787"/>
          <a:ext cx="107243" cy="839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AU">
              <a:latin typeface="Arial" panose="020B0604020202020204" pitchFamily="34" charset="0"/>
              <a:cs typeface="Arial" panose="020B0604020202020204" pitchFamily="34" charset="0"/>
            </a:rPr>
            <a:t>27/06/2022</a:t>
          </a:r>
        </a:p>
      </xdr:txBody>
    </xdr:sp>
    <xdr:clientData/>
  </xdr:twoCellAnchor>
  <xdr:twoCellAnchor editAs="oneCell">
    <xdr:from>
      <xdr:col>7</xdr:col>
      <xdr:colOff>133349</xdr:colOff>
      <xdr:row>21</xdr:row>
      <xdr:rowOff>180591</xdr:rowOff>
    </xdr:from>
    <xdr:to>
      <xdr:col>8</xdr:col>
      <xdr:colOff>762385</xdr:colOff>
      <xdr:row>23</xdr:row>
      <xdr:rowOff>26290</xdr:rowOff>
    </xdr:to>
    <xdr:pic>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05074" y="4647816"/>
          <a:ext cx="819536" cy="417199"/>
        </a:xfrm>
        <a:prstGeom prst="rect">
          <a:avLst/>
        </a:prstGeom>
      </xdr:spPr>
    </xdr:pic>
    <xdr:clientData/>
  </xdr:twoCellAnchor>
  <xdr:twoCellAnchor editAs="oneCell">
    <xdr:from>
      <xdr:col>18</xdr:col>
      <xdr:colOff>37185</xdr:colOff>
      <xdr:row>21</xdr:row>
      <xdr:rowOff>171450</xdr:rowOff>
    </xdr:from>
    <xdr:to>
      <xdr:col>19</xdr:col>
      <xdr:colOff>81153</xdr:colOff>
      <xdr:row>23</xdr:row>
      <xdr:rowOff>16384</xdr:rowOff>
    </xdr:to>
    <xdr:pic>
      <xdr:nvPicPr>
        <xdr:cNvPr id="15" name="Pictur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999835" y="4638675"/>
          <a:ext cx="405918" cy="416434"/>
        </a:xfrm>
        <a:prstGeom prst="rect">
          <a:avLst/>
        </a:prstGeom>
      </xdr:spPr>
    </xdr:pic>
    <xdr:clientData/>
  </xdr:twoCellAnchor>
  <xdr:twoCellAnchor editAs="oneCell">
    <xdr:from>
      <xdr:col>1</xdr:col>
      <xdr:colOff>9525</xdr:colOff>
      <xdr:row>0</xdr:row>
      <xdr:rowOff>0</xdr:rowOff>
    </xdr:from>
    <xdr:to>
      <xdr:col>32</xdr:col>
      <xdr:colOff>3671</xdr:colOff>
      <xdr:row>1</xdr:row>
      <xdr:rowOff>0</xdr:rowOff>
    </xdr:to>
    <xdr:pic>
      <xdr:nvPicPr>
        <xdr:cNvPr id="17" name="Pictur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0025" y="0"/>
          <a:ext cx="10281146" cy="6858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7</xdr:col>
      <xdr:colOff>69849</xdr:colOff>
      <xdr:row>11</xdr:row>
      <xdr:rowOff>15875</xdr:rowOff>
    </xdr:from>
    <xdr:to>
      <xdr:col>7</xdr:col>
      <xdr:colOff>984249</xdr:colOff>
      <xdr:row>11</xdr:row>
      <xdr:rowOff>244475</xdr:rowOff>
    </xdr:to>
    <xdr:sp macro="[0]!ToggleButtonY" textlink="">
      <xdr:nvSpPr>
        <xdr:cNvPr id="3" name="FXT_1">
          <a:extLst>
            <a:ext uri="{FF2B5EF4-FFF2-40B4-BE49-F238E27FC236}">
              <a16:creationId xmlns:a16="http://schemas.microsoft.com/office/drawing/2014/main" id="{00000000-0008-0000-1100-000003000000}"/>
            </a:ext>
          </a:extLst>
        </xdr:cNvPr>
        <xdr:cNvSpPr/>
      </xdr:nvSpPr>
      <xdr:spPr>
        <a:xfrm>
          <a:off x="3336924" y="1930400"/>
          <a:ext cx="914400" cy="2286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1 Year</a:t>
          </a:r>
        </a:p>
      </xdr:txBody>
    </xdr:sp>
    <xdr:clientData/>
  </xdr:twoCellAnchor>
  <xdr:twoCellAnchor>
    <xdr:from>
      <xdr:col>7</xdr:col>
      <xdr:colOff>1041400</xdr:colOff>
      <xdr:row>11</xdr:row>
      <xdr:rowOff>15875</xdr:rowOff>
    </xdr:from>
    <xdr:to>
      <xdr:col>8</xdr:col>
      <xdr:colOff>317500</xdr:colOff>
      <xdr:row>11</xdr:row>
      <xdr:rowOff>244475</xdr:rowOff>
    </xdr:to>
    <xdr:sp macro="[0]!ToggleButtonY" textlink="">
      <xdr:nvSpPr>
        <xdr:cNvPr id="4" name="FXT_2">
          <a:extLst>
            <a:ext uri="{FF2B5EF4-FFF2-40B4-BE49-F238E27FC236}">
              <a16:creationId xmlns:a16="http://schemas.microsoft.com/office/drawing/2014/main" id="{00000000-0008-0000-1100-000004000000}"/>
            </a:ext>
          </a:extLst>
        </xdr:cNvPr>
        <xdr:cNvSpPr/>
      </xdr:nvSpPr>
      <xdr:spPr>
        <a:xfrm>
          <a:off x="4308475" y="1930400"/>
          <a:ext cx="914400"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2</a:t>
          </a:r>
          <a:r>
            <a:rPr lang="en-AU" sz="1000" baseline="0">
              <a:solidFill>
                <a:srgbClr val="004165"/>
              </a:solidFill>
            </a:rPr>
            <a:t> Years</a:t>
          </a:r>
          <a:endParaRPr lang="en-AU" sz="1000">
            <a:solidFill>
              <a:srgbClr val="004165"/>
            </a:solidFill>
          </a:endParaRPr>
        </a:p>
      </xdr:txBody>
    </xdr:sp>
    <xdr:clientData/>
  </xdr:twoCellAnchor>
  <xdr:twoCellAnchor>
    <xdr:from>
      <xdr:col>9</xdr:col>
      <xdr:colOff>739774</xdr:colOff>
      <xdr:row>11</xdr:row>
      <xdr:rowOff>19050</xdr:rowOff>
    </xdr:from>
    <xdr:to>
      <xdr:col>9</xdr:col>
      <xdr:colOff>1654174</xdr:colOff>
      <xdr:row>11</xdr:row>
      <xdr:rowOff>247650</xdr:rowOff>
    </xdr:to>
    <xdr:sp macro="[0]!ToggleButtonY" textlink="">
      <xdr:nvSpPr>
        <xdr:cNvPr id="5" name="FXT_5">
          <a:extLst>
            <a:ext uri="{FF2B5EF4-FFF2-40B4-BE49-F238E27FC236}">
              <a16:creationId xmlns:a16="http://schemas.microsoft.com/office/drawing/2014/main" id="{00000000-0008-0000-1100-000005000000}"/>
            </a:ext>
          </a:extLst>
        </xdr:cNvPr>
        <xdr:cNvSpPr/>
      </xdr:nvSpPr>
      <xdr:spPr>
        <a:xfrm>
          <a:off x="7216774" y="1933575"/>
          <a:ext cx="914400"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5</a:t>
          </a:r>
          <a:r>
            <a:rPr lang="en-AU" sz="1000" baseline="0">
              <a:solidFill>
                <a:srgbClr val="004165"/>
              </a:solidFill>
            </a:rPr>
            <a:t> Years</a:t>
          </a:r>
          <a:endParaRPr lang="en-AU" sz="1000">
            <a:solidFill>
              <a:srgbClr val="004165"/>
            </a:solidFill>
          </a:endParaRPr>
        </a:p>
      </xdr:txBody>
    </xdr:sp>
    <xdr:clientData/>
  </xdr:twoCellAnchor>
  <xdr:twoCellAnchor>
    <xdr:from>
      <xdr:col>8</xdr:col>
      <xdr:colOff>1339850</xdr:colOff>
      <xdr:row>11</xdr:row>
      <xdr:rowOff>19050</xdr:rowOff>
    </xdr:from>
    <xdr:to>
      <xdr:col>9</xdr:col>
      <xdr:colOff>682625</xdr:colOff>
      <xdr:row>11</xdr:row>
      <xdr:rowOff>247650</xdr:rowOff>
    </xdr:to>
    <xdr:sp macro="[0]!ToggleButtonY" textlink="">
      <xdr:nvSpPr>
        <xdr:cNvPr id="6" name="FXT_4">
          <a:extLst>
            <a:ext uri="{FF2B5EF4-FFF2-40B4-BE49-F238E27FC236}">
              <a16:creationId xmlns:a16="http://schemas.microsoft.com/office/drawing/2014/main" id="{00000000-0008-0000-1100-000006000000}"/>
            </a:ext>
          </a:extLst>
        </xdr:cNvPr>
        <xdr:cNvSpPr/>
      </xdr:nvSpPr>
      <xdr:spPr>
        <a:xfrm>
          <a:off x="6245225" y="1933575"/>
          <a:ext cx="914400"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4</a:t>
          </a:r>
          <a:r>
            <a:rPr lang="en-AU" sz="1000" baseline="0">
              <a:solidFill>
                <a:srgbClr val="004165"/>
              </a:solidFill>
            </a:rPr>
            <a:t> Years</a:t>
          </a:r>
          <a:endParaRPr lang="en-AU" sz="1000">
            <a:solidFill>
              <a:srgbClr val="004165"/>
            </a:solidFill>
          </a:endParaRPr>
        </a:p>
      </xdr:txBody>
    </xdr:sp>
    <xdr:clientData/>
  </xdr:twoCellAnchor>
  <xdr:twoCellAnchor>
    <xdr:from>
      <xdr:col>8</xdr:col>
      <xdr:colOff>368300</xdr:colOff>
      <xdr:row>11</xdr:row>
      <xdr:rowOff>19050</xdr:rowOff>
    </xdr:from>
    <xdr:to>
      <xdr:col>8</xdr:col>
      <xdr:colOff>1282700</xdr:colOff>
      <xdr:row>11</xdr:row>
      <xdr:rowOff>247650</xdr:rowOff>
    </xdr:to>
    <xdr:sp macro="[0]!ToggleButtonY" textlink="">
      <xdr:nvSpPr>
        <xdr:cNvPr id="7" name="FXT_3">
          <a:extLst>
            <a:ext uri="{FF2B5EF4-FFF2-40B4-BE49-F238E27FC236}">
              <a16:creationId xmlns:a16="http://schemas.microsoft.com/office/drawing/2014/main" id="{00000000-0008-0000-1100-000007000000}"/>
            </a:ext>
          </a:extLst>
        </xdr:cNvPr>
        <xdr:cNvSpPr/>
      </xdr:nvSpPr>
      <xdr:spPr>
        <a:xfrm>
          <a:off x="5273675" y="1933575"/>
          <a:ext cx="914400"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3</a:t>
          </a:r>
          <a:r>
            <a:rPr lang="en-AU" sz="1000" baseline="0">
              <a:solidFill>
                <a:srgbClr val="004165"/>
              </a:solidFill>
            </a:rPr>
            <a:t> Years</a:t>
          </a:r>
          <a:endParaRPr lang="en-AU" sz="1000">
            <a:solidFill>
              <a:srgbClr val="004165"/>
            </a:solidFill>
          </a:endParaRPr>
        </a:p>
      </xdr:txBody>
    </xdr:sp>
    <xdr:clientData/>
  </xdr:twoCellAnchor>
  <xdr:twoCellAnchor>
    <xdr:from>
      <xdr:col>7</xdr:col>
      <xdr:colOff>69850</xdr:colOff>
      <xdr:row>12</xdr:row>
      <xdr:rowOff>15875</xdr:rowOff>
    </xdr:from>
    <xdr:to>
      <xdr:col>8</xdr:col>
      <xdr:colOff>315214</xdr:colOff>
      <xdr:row>12</xdr:row>
      <xdr:rowOff>244475</xdr:rowOff>
    </xdr:to>
    <xdr:sp macro="[0]!ToggleButtonY" textlink="">
      <xdr:nvSpPr>
        <xdr:cNvPr id="8" name="INV_FALSE">
          <a:extLst>
            <a:ext uri="{FF2B5EF4-FFF2-40B4-BE49-F238E27FC236}">
              <a16:creationId xmlns:a16="http://schemas.microsoft.com/office/drawing/2014/main" id="{00000000-0008-0000-1100-000008000000}"/>
            </a:ext>
          </a:extLst>
        </xdr:cNvPr>
        <xdr:cNvSpPr/>
      </xdr:nvSpPr>
      <xdr:spPr>
        <a:xfrm>
          <a:off x="3336925" y="2216150"/>
          <a:ext cx="1883664" cy="2286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Owner Occupied</a:t>
          </a:r>
        </a:p>
      </xdr:txBody>
    </xdr:sp>
    <xdr:clientData/>
  </xdr:twoCellAnchor>
  <xdr:twoCellAnchor>
    <xdr:from>
      <xdr:col>8</xdr:col>
      <xdr:colOff>371475</xdr:colOff>
      <xdr:row>12</xdr:row>
      <xdr:rowOff>19050</xdr:rowOff>
    </xdr:from>
    <xdr:to>
      <xdr:col>9</xdr:col>
      <xdr:colOff>683514</xdr:colOff>
      <xdr:row>12</xdr:row>
      <xdr:rowOff>247650</xdr:rowOff>
    </xdr:to>
    <xdr:sp macro="[0]!ToggleButtonY" textlink="">
      <xdr:nvSpPr>
        <xdr:cNvPr id="9" name="INV_TRUE">
          <a:extLst>
            <a:ext uri="{FF2B5EF4-FFF2-40B4-BE49-F238E27FC236}">
              <a16:creationId xmlns:a16="http://schemas.microsoft.com/office/drawing/2014/main" id="{00000000-0008-0000-1100-000009000000}"/>
            </a:ext>
          </a:extLst>
        </xdr:cNvPr>
        <xdr:cNvSpPr/>
      </xdr:nvSpPr>
      <xdr:spPr>
        <a:xfrm>
          <a:off x="5276850" y="2219325"/>
          <a:ext cx="1883664"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Investment</a:t>
          </a:r>
        </a:p>
      </xdr:txBody>
    </xdr:sp>
    <xdr:clientData/>
  </xdr:twoCellAnchor>
  <xdr:twoCellAnchor>
    <xdr:from>
      <xdr:col>7</xdr:col>
      <xdr:colOff>66675</xdr:colOff>
      <xdr:row>13</xdr:row>
      <xdr:rowOff>28575</xdr:rowOff>
    </xdr:from>
    <xdr:to>
      <xdr:col>8</xdr:col>
      <xdr:colOff>312039</xdr:colOff>
      <xdr:row>13</xdr:row>
      <xdr:rowOff>257175</xdr:rowOff>
    </xdr:to>
    <xdr:sp macro="[0]!ToggleButtonY" textlink="">
      <xdr:nvSpPr>
        <xdr:cNvPr id="10" name="RTP_P&amp;I">
          <a:extLst>
            <a:ext uri="{FF2B5EF4-FFF2-40B4-BE49-F238E27FC236}">
              <a16:creationId xmlns:a16="http://schemas.microsoft.com/office/drawing/2014/main" id="{00000000-0008-0000-1100-00000A000000}"/>
            </a:ext>
          </a:extLst>
        </xdr:cNvPr>
        <xdr:cNvSpPr/>
      </xdr:nvSpPr>
      <xdr:spPr>
        <a:xfrm>
          <a:off x="3333750" y="2514600"/>
          <a:ext cx="1883664" cy="2286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Principal and Interest</a:t>
          </a:r>
        </a:p>
      </xdr:txBody>
    </xdr:sp>
    <xdr:clientData/>
  </xdr:twoCellAnchor>
  <xdr:twoCellAnchor>
    <xdr:from>
      <xdr:col>8</xdr:col>
      <xdr:colOff>371475</xdr:colOff>
      <xdr:row>13</xdr:row>
      <xdr:rowOff>25400</xdr:rowOff>
    </xdr:from>
    <xdr:to>
      <xdr:col>9</xdr:col>
      <xdr:colOff>683514</xdr:colOff>
      <xdr:row>13</xdr:row>
      <xdr:rowOff>254000</xdr:rowOff>
    </xdr:to>
    <xdr:sp macro="[0]!ToggleButtonY" textlink="">
      <xdr:nvSpPr>
        <xdr:cNvPr id="11" name="RTP_IO">
          <a:extLst>
            <a:ext uri="{FF2B5EF4-FFF2-40B4-BE49-F238E27FC236}">
              <a16:creationId xmlns:a16="http://schemas.microsoft.com/office/drawing/2014/main" id="{00000000-0008-0000-1100-00000B000000}"/>
            </a:ext>
          </a:extLst>
        </xdr:cNvPr>
        <xdr:cNvSpPr/>
      </xdr:nvSpPr>
      <xdr:spPr>
        <a:xfrm>
          <a:off x="5276850" y="2511425"/>
          <a:ext cx="1883664"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Interest Only</a:t>
          </a:r>
        </a:p>
      </xdr:txBody>
    </xdr:sp>
    <xdr:clientData/>
  </xdr:twoCellAnchor>
  <xdr:twoCellAnchor>
    <xdr:from>
      <xdr:col>9</xdr:col>
      <xdr:colOff>739775</xdr:colOff>
      <xdr:row>13</xdr:row>
      <xdr:rowOff>31750</xdr:rowOff>
    </xdr:from>
    <xdr:to>
      <xdr:col>10</xdr:col>
      <xdr:colOff>947039</xdr:colOff>
      <xdr:row>13</xdr:row>
      <xdr:rowOff>260350</xdr:rowOff>
    </xdr:to>
    <xdr:sp macro="[0]!ToggleButtonY" textlink="">
      <xdr:nvSpPr>
        <xdr:cNvPr id="12" name="RTP_IIA" hidden="1">
          <a:extLst>
            <a:ext uri="{FF2B5EF4-FFF2-40B4-BE49-F238E27FC236}">
              <a16:creationId xmlns:a16="http://schemas.microsoft.com/office/drawing/2014/main" id="{00000000-0008-0000-1100-00000C000000}"/>
            </a:ext>
          </a:extLst>
        </xdr:cNvPr>
        <xdr:cNvSpPr/>
      </xdr:nvSpPr>
      <xdr:spPr>
        <a:xfrm>
          <a:off x="7216775" y="2517775"/>
          <a:ext cx="1883664"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a:solidFill>
                <a:srgbClr val="004165"/>
              </a:solidFill>
            </a:rPr>
            <a:t>Interest</a:t>
          </a:r>
          <a:r>
            <a:rPr lang="en-AU" sz="1100" baseline="0">
              <a:solidFill>
                <a:srgbClr val="004165"/>
              </a:solidFill>
            </a:rPr>
            <a:t> in Advance</a:t>
          </a:r>
          <a:endParaRPr lang="en-AU" sz="1100">
            <a:solidFill>
              <a:srgbClr val="004165"/>
            </a:solidFill>
          </a:endParaRPr>
        </a:p>
      </xdr:txBody>
    </xdr:sp>
    <xdr:clientData/>
  </xdr:twoCellAnchor>
  <xdr:twoCellAnchor>
    <xdr:from>
      <xdr:col>7</xdr:col>
      <xdr:colOff>73024</xdr:colOff>
      <xdr:row>14</xdr:row>
      <xdr:rowOff>25400</xdr:rowOff>
    </xdr:from>
    <xdr:to>
      <xdr:col>7</xdr:col>
      <xdr:colOff>987424</xdr:colOff>
      <xdr:row>14</xdr:row>
      <xdr:rowOff>254000</xdr:rowOff>
    </xdr:to>
    <xdr:sp macro="[0]!ToggleButtonY" textlink="">
      <xdr:nvSpPr>
        <xdr:cNvPr id="13" name="LVR_lte80">
          <a:extLst>
            <a:ext uri="{FF2B5EF4-FFF2-40B4-BE49-F238E27FC236}">
              <a16:creationId xmlns:a16="http://schemas.microsoft.com/office/drawing/2014/main" id="{00000000-0008-0000-1100-00000D000000}"/>
            </a:ext>
          </a:extLst>
        </xdr:cNvPr>
        <xdr:cNvSpPr/>
      </xdr:nvSpPr>
      <xdr:spPr>
        <a:xfrm>
          <a:off x="3340099" y="2797175"/>
          <a:ext cx="914400" cy="2286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&lt;= 80%</a:t>
          </a:r>
        </a:p>
      </xdr:txBody>
    </xdr:sp>
    <xdr:clientData/>
  </xdr:twoCellAnchor>
  <xdr:twoCellAnchor>
    <xdr:from>
      <xdr:col>7</xdr:col>
      <xdr:colOff>1047750</xdr:colOff>
      <xdr:row>14</xdr:row>
      <xdr:rowOff>28575</xdr:rowOff>
    </xdr:from>
    <xdr:to>
      <xdr:col>8</xdr:col>
      <xdr:colOff>323850</xdr:colOff>
      <xdr:row>14</xdr:row>
      <xdr:rowOff>257175</xdr:rowOff>
    </xdr:to>
    <xdr:sp macro="[0]!ToggleButtonY" textlink="">
      <xdr:nvSpPr>
        <xdr:cNvPr id="14" name="LVR_gt80">
          <a:extLst>
            <a:ext uri="{FF2B5EF4-FFF2-40B4-BE49-F238E27FC236}">
              <a16:creationId xmlns:a16="http://schemas.microsoft.com/office/drawing/2014/main" id="{00000000-0008-0000-1100-00000E000000}"/>
            </a:ext>
          </a:extLst>
        </xdr:cNvPr>
        <xdr:cNvSpPr/>
      </xdr:nvSpPr>
      <xdr:spPr>
        <a:xfrm>
          <a:off x="4314825" y="2800350"/>
          <a:ext cx="914400"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&gt; 80%</a:t>
          </a:r>
        </a:p>
      </xdr:txBody>
    </xdr:sp>
    <xdr:clientData/>
  </xdr:twoCellAnchor>
  <xdr:twoCellAnchor>
    <xdr:from>
      <xdr:col>8</xdr:col>
      <xdr:colOff>76200</xdr:colOff>
      <xdr:row>9</xdr:row>
      <xdr:rowOff>0</xdr:rowOff>
    </xdr:from>
    <xdr:to>
      <xdr:col>8</xdr:col>
      <xdr:colOff>762000</xdr:colOff>
      <xdr:row>10</xdr:row>
      <xdr:rowOff>0</xdr:rowOff>
    </xdr:to>
    <xdr:sp macro="[0]!ToggleButtonY" textlink="">
      <xdr:nvSpPr>
        <xdr:cNvPr id="15" name="LMR_TRUE">
          <a:extLst>
            <a:ext uri="{FF2B5EF4-FFF2-40B4-BE49-F238E27FC236}">
              <a16:creationId xmlns:a16="http://schemas.microsoft.com/office/drawing/2014/main" id="{00000000-0008-0000-1100-00000F000000}"/>
            </a:ext>
          </a:extLst>
        </xdr:cNvPr>
        <xdr:cNvSpPr/>
      </xdr:nvSpPr>
      <xdr:spPr>
        <a:xfrm>
          <a:off x="4981575" y="1524000"/>
          <a:ext cx="685800" cy="228600"/>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Yes</a:t>
          </a:r>
        </a:p>
      </xdr:txBody>
    </xdr:sp>
    <xdr:clientData/>
  </xdr:twoCellAnchor>
  <xdr:twoCellAnchor>
    <xdr:from>
      <xdr:col>8</xdr:col>
      <xdr:colOff>809626</xdr:colOff>
      <xdr:row>9</xdr:row>
      <xdr:rowOff>0</xdr:rowOff>
    </xdr:from>
    <xdr:to>
      <xdr:col>8</xdr:col>
      <xdr:colOff>1495426</xdr:colOff>
      <xdr:row>10</xdr:row>
      <xdr:rowOff>0</xdr:rowOff>
    </xdr:to>
    <xdr:sp macro="[0]!ToggleButtonY" textlink="">
      <xdr:nvSpPr>
        <xdr:cNvPr id="16" name="LMR_FALSE">
          <a:extLst>
            <a:ext uri="{FF2B5EF4-FFF2-40B4-BE49-F238E27FC236}">
              <a16:creationId xmlns:a16="http://schemas.microsoft.com/office/drawing/2014/main" id="{00000000-0008-0000-1100-000010000000}"/>
            </a:ext>
          </a:extLst>
        </xdr:cNvPr>
        <xdr:cNvSpPr/>
      </xdr:nvSpPr>
      <xdr:spPr>
        <a:xfrm>
          <a:off x="5715001" y="1524000"/>
          <a:ext cx="685800" cy="228600"/>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No</a:t>
          </a:r>
        </a:p>
      </xdr:txBody>
    </xdr:sp>
    <xdr:clientData/>
  </xdr:twoCellAnchor>
  <xdr:twoCellAnchor editAs="oneCell">
    <xdr:from>
      <xdr:col>3</xdr:col>
      <xdr:colOff>161925</xdr:colOff>
      <xdr:row>2</xdr:row>
      <xdr:rowOff>47625</xdr:rowOff>
    </xdr:from>
    <xdr:to>
      <xdr:col>5</xdr:col>
      <xdr:colOff>429793</xdr:colOff>
      <xdr:row>2</xdr:row>
      <xdr:rowOff>335625</xdr:rowOff>
    </xdr:to>
    <xdr:pic>
      <xdr:nvPicPr>
        <xdr:cNvPr id="17" name="Picture 16" descr="ANZ logo">
          <a:extLst>
            <a:ext uri="{FF2B5EF4-FFF2-40B4-BE49-F238E27FC236}">
              <a16:creationId xmlns:a16="http://schemas.microsoft.com/office/drawing/2014/main" id="{00000000-0008-0000-11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50"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20</xdr:col>
      <xdr:colOff>238125</xdr:colOff>
      <xdr:row>3</xdr:row>
      <xdr:rowOff>85724</xdr:rowOff>
    </xdr:from>
    <xdr:to>
      <xdr:col>22</xdr:col>
      <xdr:colOff>161926</xdr:colOff>
      <xdr:row>5</xdr:row>
      <xdr:rowOff>112394</xdr:rowOff>
    </xdr:to>
    <xdr:sp macro="[0]!CNST_PDF_Export" textlink="">
      <xdr:nvSpPr>
        <xdr:cNvPr id="4" name="Btn_PDF">
          <a:extLst>
            <a:ext uri="{FF2B5EF4-FFF2-40B4-BE49-F238E27FC236}">
              <a16:creationId xmlns:a16="http://schemas.microsoft.com/office/drawing/2014/main" id="{00000000-0008-0000-1200-000004000000}"/>
            </a:ext>
          </a:extLst>
        </xdr:cNvPr>
        <xdr:cNvSpPr/>
      </xdr:nvSpPr>
      <xdr:spPr>
        <a:xfrm>
          <a:off x="11049000" y="609599"/>
          <a:ext cx="1552576" cy="274320"/>
        </a:xfrm>
        <a:prstGeom prst="roundRect">
          <a:avLst/>
        </a:prstGeom>
        <a:solidFill>
          <a:srgbClr val="0072AC"/>
        </a:solid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rPr>
            <a:t>Generate</a:t>
          </a:r>
          <a:r>
            <a:rPr lang="en-AU" sz="1000" baseline="0">
              <a:solidFill>
                <a:srgbClr val="FFFFFF"/>
              </a:solidFill>
            </a:rPr>
            <a:t> PDF Summary</a:t>
          </a:r>
          <a:endParaRPr lang="en-AU" sz="1000">
            <a:solidFill>
              <a:srgbClr val="FFFFFF"/>
            </a:solidFill>
          </a:endParaRPr>
        </a:p>
      </xdr:txBody>
    </xdr:sp>
    <xdr:clientData/>
  </xdr:twoCellAnchor>
  <xdr:twoCellAnchor>
    <xdr:from>
      <xdr:col>20</xdr:col>
      <xdr:colOff>581023</xdr:colOff>
      <xdr:row>7</xdr:row>
      <xdr:rowOff>9525</xdr:rowOff>
    </xdr:from>
    <xdr:to>
      <xdr:col>20</xdr:col>
      <xdr:colOff>773047</xdr:colOff>
      <xdr:row>8</xdr:row>
      <xdr:rowOff>116205</xdr:rowOff>
    </xdr:to>
    <xdr:pic>
      <xdr:nvPicPr>
        <xdr:cNvPr id="37" name="CL_BTN_5" descr="See the source image">
          <a:hlinkClick xmlns:r="http://schemas.openxmlformats.org/officeDocument/2006/relationships" r:id="" tooltip="Loan Balance total also includes any applicable land/home loan &amp; financed LMI"/>
          <a:extLst>
            <a:ext uri="{FF2B5EF4-FFF2-40B4-BE49-F238E27FC236}">
              <a16:creationId xmlns:a16="http://schemas.microsoft.com/office/drawing/2014/main" id="{00000000-0008-0000-1200-000025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391898" y="1066800"/>
          <a:ext cx="192024" cy="1924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47632</xdr:colOff>
      <xdr:row>18</xdr:row>
      <xdr:rowOff>3886</xdr:rowOff>
    </xdr:from>
    <xdr:to>
      <xdr:col>7</xdr:col>
      <xdr:colOff>96782</xdr:colOff>
      <xdr:row>19</xdr:row>
      <xdr:rowOff>5410</xdr:rowOff>
    </xdr:to>
    <xdr:pic>
      <xdr:nvPicPr>
        <xdr:cNvPr id="20" name="CL_BTN_4" descr="See the source image">
          <a:hlinkClick xmlns:r="http://schemas.openxmlformats.org/officeDocument/2006/relationships" r:id="" tooltip="This is the interest rate that the customer could expect today. It is indicative only and is subject to change."/>
          <a:extLst>
            <a:ext uri="{FF2B5EF4-FFF2-40B4-BE49-F238E27FC236}">
              <a16:creationId xmlns:a16="http://schemas.microsoft.com/office/drawing/2014/main" id="{00000000-0008-0000-1200-000014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7" y="3051886"/>
          <a:ext cx="192025" cy="192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47625</xdr:colOff>
      <xdr:row>11</xdr:row>
      <xdr:rowOff>19050</xdr:rowOff>
    </xdr:from>
    <xdr:to>
      <xdr:col>7</xdr:col>
      <xdr:colOff>96774</xdr:colOff>
      <xdr:row>12</xdr:row>
      <xdr:rowOff>20574</xdr:rowOff>
    </xdr:to>
    <xdr:pic>
      <xdr:nvPicPr>
        <xdr:cNvPr id="23" name="CL_BTN_3" descr="See the source image">
          <a:hlinkClick xmlns:r="http://schemas.openxmlformats.org/officeDocument/2006/relationships" r:id="" tooltip="This covers any LMI premium that will be financed into the construction loan. This does not include any LMI premium that has already been paid"/>
          <a:extLst>
            <a:ext uri="{FF2B5EF4-FFF2-40B4-BE49-F238E27FC236}">
              <a16:creationId xmlns:a16="http://schemas.microsoft.com/office/drawing/2014/main" id="{00000000-0008-0000-1200-000017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1733550"/>
          <a:ext cx="192024" cy="192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47625</xdr:colOff>
      <xdr:row>10</xdr:row>
      <xdr:rowOff>19050</xdr:rowOff>
    </xdr:from>
    <xdr:to>
      <xdr:col>7</xdr:col>
      <xdr:colOff>96774</xdr:colOff>
      <xdr:row>11</xdr:row>
      <xdr:rowOff>20574</xdr:rowOff>
    </xdr:to>
    <xdr:pic>
      <xdr:nvPicPr>
        <xdr:cNvPr id="27" name="CL_BTN_2" descr="See the source image">
          <a:hlinkClick xmlns:r="http://schemas.openxmlformats.org/officeDocument/2006/relationships" r:id="" tooltip="This includes all funds that the customer needs to borrow to cover works outside the building contract (i.e. pool, landscaping etc.)"/>
          <a:extLst>
            <a:ext uri="{FF2B5EF4-FFF2-40B4-BE49-F238E27FC236}">
              <a16:creationId xmlns:a16="http://schemas.microsoft.com/office/drawing/2014/main" id="{00000000-0008-0000-1200-00001B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1543050"/>
          <a:ext cx="192024" cy="192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43816</xdr:colOff>
      <xdr:row>9</xdr:row>
      <xdr:rowOff>7618</xdr:rowOff>
    </xdr:from>
    <xdr:to>
      <xdr:col>7</xdr:col>
      <xdr:colOff>92965</xdr:colOff>
      <xdr:row>10</xdr:row>
      <xdr:rowOff>9142</xdr:rowOff>
    </xdr:to>
    <xdr:pic>
      <xdr:nvPicPr>
        <xdr:cNvPr id="31" name="CL_BTN_1" descr="See the source image">
          <a:hlinkClick xmlns:r="http://schemas.openxmlformats.org/officeDocument/2006/relationships" r:id="" tooltip="This includes all funds contributed by the customer including deposit and First Home Owner Grant"/>
          <a:extLst>
            <a:ext uri="{FF2B5EF4-FFF2-40B4-BE49-F238E27FC236}">
              <a16:creationId xmlns:a16="http://schemas.microsoft.com/office/drawing/2014/main" id="{00000000-0008-0000-1200-00001F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1391" y="1341118"/>
          <a:ext cx="192024" cy="192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13</xdr:row>
      <xdr:rowOff>133350</xdr:rowOff>
    </xdr:from>
    <xdr:to>
      <xdr:col>5</xdr:col>
      <xdr:colOff>647699</xdr:colOff>
      <xdr:row>14</xdr:row>
      <xdr:rowOff>161924</xdr:rowOff>
    </xdr:to>
    <xdr:sp macro="[0]!ToggleButtonX" textlink="">
      <xdr:nvSpPr>
        <xdr:cNvPr id="41" name="LND_True">
          <a:extLst>
            <a:ext uri="{FF2B5EF4-FFF2-40B4-BE49-F238E27FC236}">
              <a16:creationId xmlns:a16="http://schemas.microsoft.com/office/drawing/2014/main" id="{00000000-0008-0000-1200-000029000000}"/>
            </a:ext>
          </a:extLst>
        </xdr:cNvPr>
        <xdr:cNvSpPr/>
      </xdr:nvSpPr>
      <xdr:spPr>
        <a:xfrm>
          <a:off x="2114550" y="2228850"/>
          <a:ext cx="647699" cy="219074"/>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Yes</a:t>
          </a:r>
        </a:p>
      </xdr:txBody>
    </xdr:sp>
    <xdr:clientData/>
  </xdr:twoCellAnchor>
  <xdr:twoCellAnchor>
    <xdr:from>
      <xdr:col>5</xdr:col>
      <xdr:colOff>685799</xdr:colOff>
      <xdr:row>13</xdr:row>
      <xdr:rowOff>133350</xdr:rowOff>
    </xdr:from>
    <xdr:to>
      <xdr:col>5</xdr:col>
      <xdr:colOff>1335023</xdr:colOff>
      <xdr:row>14</xdr:row>
      <xdr:rowOff>161924</xdr:rowOff>
    </xdr:to>
    <xdr:sp macro="[0]!ToggleButtonX" textlink="">
      <xdr:nvSpPr>
        <xdr:cNvPr id="42" name="LND_False">
          <a:extLst>
            <a:ext uri="{FF2B5EF4-FFF2-40B4-BE49-F238E27FC236}">
              <a16:creationId xmlns:a16="http://schemas.microsoft.com/office/drawing/2014/main" id="{00000000-0008-0000-1200-00002A000000}"/>
            </a:ext>
          </a:extLst>
        </xdr:cNvPr>
        <xdr:cNvSpPr/>
      </xdr:nvSpPr>
      <xdr:spPr>
        <a:xfrm>
          <a:off x="2800349" y="2228850"/>
          <a:ext cx="649224" cy="219074"/>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No</a:t>
          </a:r>
        </a:p>
      </xdr:txBody>
    </xdr:sp>
    <xdr:clientData/>
  </xdr:twoCellAnchor>
  <xdr:twoCellAnchor>
    <xdr:from>
      <xdr:col>5</xdr:col>
      <xdr:colOff>0</xdr:colOff>
      <xdr:row>15</xdr:row>
      <xdr:rowOff>9525</xdr:rowOff>
    </xdr:from>
    <xdr:to>
      <xdr:col>5</xdr:col>
      <xdr:colOff>647699</xdr:colOff>
      <xdr:row>16</xdr:row>
      <xdr:rowOff>38099</xdr:rowOff>
    </xdr:to>
    <xdr:sp macro="[0]!ToggleButtonX" textlink="">
      <xdr:nvSpPr>
        <xdr:cNvPr id="43" name="CEL_True">
          <a:extLst>
            <a:ext uri="{FF2B5EF4-FFF2-40B4-BE49-F238E27FC236}">
              <a16:creationId xmlns:a16="http://schemas.microsoft.com/office/drawing/2014/main" id="{00000000-0008-0000-1200-00002B000000}"/>
            </a:ext>
          </a:extLst>
        </xdr:cNvPr>
        <xdr:cNvSpPr/>
      </xdr:nvSpPr>
      <xdr:spPr>
        <a:xfrm>
          <a:off x="2114550" y="2486025"/>
          <a:ext cx="647699" cy="219074"/>
        </a:xfrm>
        <a:prstGeom prst="roundRect">
          <a:avLst/>
        </a:prstGeom>
        <a:solidFill>
          <a:srgbClr val="FFFFFF"/>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004165"/>
              </a:solidFill>
            </a:rPr>
            <a:t>Yes</a:t>
          </a:r>
        </a:p>
      </xdr:txBody>
    </xdr:sp>
    <xdr:clientData/>
  </xdr:twoCellAnchor>
  <xdr:twoCellAnchor>
    <xdr:from>
      <xdr:col>5</xdr:col>
      <xdr:colOff>685799</xdr:colOff>
      <xdr:row>15</xdr:row>
      <xdr:rowOff>9525</xdr:rowOff>
    </xdr:from>
    <xdr:to>
      <xdr:col>5</xdr:col>
      <xdr:colOff>1335023</xdr:colOff>
      <xdr:row>16</xdr:row>
      <xdr:rowOff>38099</xdr:rowOff>
    </xdr:to>
    <xdr:sp macro="[0]!ToggleButtonX" textlink="">
      <xdr:nvSpPr>
        <xdr:cNvPr id="44" name="CEL_False">
          <a:extLst>
            <a:ext uri="{FF2B5EF4-FFF2-40B4-BE49-F238E27FC236}">
              <a16:creationId xmlns:a16="http://schemas.microsoft.com/office/drawing/2014/main" id="{00000000-0008-0000-1200-00002C000000}"/>
            </a:ext>
          </a:extLst>
        </xdr:cNvPr>
        <xdr:cNvSpPr/>
      </xdr:nvSpPr>
      <xdr:spPr>
        <a:xfrm>
          <a:off x="2800349" y="2486025"/>
          <a:ext cx="649224" cy="219074"/>
        </a:xfrm>
        <a:prstGeom prst="roundRect">
          <a:avLst/>
        </a:prstGeom>
        <a:solidFill>
          <a:srgbClr val="004165"/>
        </a:solidFill>
        <a:ln>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000">
              <a:solidFill>
                <a:srgbClr val="FFFFFF"/>
              </a:solidFill>
            </a:rPr>
            <a:t>No</a:t>
          </a:r>
        </a:p>
      </xdr:txBody>
    </xdr:sp>
    <xdr:clientData/>
  </xdr:twoCellAnchor>
  <xdr:twoCellAnchor>
    <xdr:from>
      <xdr:col>15</xdr:col>
      <xdr:colOff>381000</xdr:colOff>
      <xdr:row>10</xdr:row>
      <xdr:rowOff>28575</xdr:rowOff>
    </xdr:from>
    <xdr:to>
      <xdr:col>15</xdr:col>
      <xdr:colOff>518160</xdr:colOff>
      <xdr:row>10</xdr:row>
      <xdr:rowOff>165735</xdr:rowOff>
    </xdr:to>
    <xdr:grpSp>
      <xdr:nvGrpSpPr>
        <xdr:cNvPr id="7" name="Radio_Dollar">
          <a:extLst>
            <a:ext uri="{FF2B5EF4-FFF2-40B4-BE49-F238E27FC236}">
              <a16:creationId xmlns:a16="http://schemas.microsoft.com/office/drawing/2014/main" id="{00000000-0008-0000-1200-000007000000}"/>
            </a:ext>
          </a:extLst>
        </xdr:cNvPr>
        <xdr:cNvGrpSpPr/>
      </xdr:nvGrpSpPr>
      <xdr:grpSpPr>
        <a:xfrm>
          <a:off x="6565900" y="1514475"/>
          <a:ext cx="137160" cy="137160"/>
          <a:chOff x="13096875" y="1219200"/>
          <a:chExt cx="137160" cy="137160"/>
        </a:xfrm>
      </xdr:grpSpPr>
      <xdr:sp macro="" textlink="">
        <xdr:nvSpPr>
          <xdr:cNvPr id="6" name="RD_Dollar">
            <a:extLst>
              <a:ext uri="{FF2B5EF4-FFF2-40B4-BE49-F238E27FC236}">
                <a16:creationId xmlns:a16="http://schemas.microsoft.com/office/drawing/2014/main" id="{00000000-0008-0000-1200-000006000000}"/>
              </a:ext>
            </a:extLst>
          </xdr:cNvPr>
          <xdr:cNvSpPr/>
        </xdr:nvSpPr>
        <xdr:spPr>
          <a:xfrm>
            <a:off x="13096875" y="1219200"/>
            <a:ext cx="137160" cy="137160"/>
          </a:xfrm>
          <a:prstGeom prst="ellipse">
            <a:avLst/>
          </a:prstGeom>
          <a:solidFill>
            <a:schemeClr val="bg1"/>
          </a:solidFill>
          <a:ln w="6350">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ToggleButtonZ" textlink="">
        <xdr:nvSpPr>
          <xdr:cNvPr id="45" name="PER_False">
            <a:extLst>
              <a:ext uri="{FF2B5EF4-FFF2-40B4-BE49-F238E27FC236}">
                <a16:creationId xmlns:a16="http://schemas.microsoft.com/office/drawing/2014/main" id="{00000000-0008-0000-1200-00002D000000}"/>
              </a:ext>
            </a:extLst>
          </xdr:cNvPr>
          <xdr:cNvSpPr/>
        </xdr:nvSpPr>
        <xdr:spPr>
          <a:xfrm>
            <a:off x="13127581" y="1252104"/>
            <a:ext cx="73152" cy="73152"/>
          </a:xfrm>
          <a:prstGeom prst="ellipse">
            <a:avLst/>
          </a:prstGeom>
          <a:solidFill>
            <a:srgbClr val="FFFFFF"/>
          </a:solidFill>
          <a:ln w="6350" cap="flat" cmpd="sng" algn="ctr">
            <a:solidFill>
              <a:srgbClr val="FFFFFF"/>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004165"/>
              </a:solidFill>
            </a:endParaRPr>
          </a:p>
        </xdr:txBody>
      </xdr:sp>
    </xdr:grpSp>
    <xdr:clientData/>
  </xdr:twoCellAnchor>
  <xdr:twoCellAnchor>
    <xdr:from>
      <xdr:col>14</xdr:col>
      <xdr:colOff>200025</xdr:colOff>
      <xdr:row>10</xdr:row>
      <xdr:rowOff>28575</xdr:rowOff>
    </xdr:from>
    <xdr:to>
      <xdr:col>14</xdr:col>
      <xdr:colOff>337185</xdr:colOff>
      <xdr:row>10</xdr:row>
      <xdr:rowOff>165735</xdr:rowOff>
    </xdr:to>
    <xdr:grpSp>
      <xdr:nvGrpSpPr>
        <xdr:cNvPr id="8" name="Radio_Percent">
          <a:extLst>
            <a:ext uri="{FF2B5EF4-FFF2-40B4-BE49-F238E27FC236}">
              <a16:creationId xmlns:a16="http://schemas.microsoft.com/office/drawing/2014/main" id="{00000000-0008-0000-1200-000008000000}"/>
            </a:ext>
          </a:extLst>
        </xdr:cNvPr>
        <xdr:cNvGrpSpPr/>
      </xdr:nvGrpSpPr>
      <xdr:grpSpPr>
        <a:xfrm>
          <a:off x="5749925" y="1514475"/>
          <a:ext cx="137160" cy="137160"/>
          <a:chOff x="13382625" y="1219200"/>
          <a:chExt cx="137160" cy="137160"/>
        </a:xfrm>
      </xdr:grpSpPr>
      <xdr:sp macro="" textlink="">
        <xdr:nvSpPr>
          <xdr:cNvPr id="39" name="RD_Percent">
            <a:extLst>
              <a:ext uri="{FF2B5EF4-FFF2-40B4-BE49-F238E27FC236}">
                <a16:creationId xmlns:a16="http://schemas.microsoft.com/office/drawing/2014/main" id="{00000000-0008-0000-1200-000027000000}"/>
              </a:ext>
            </a:extLst>
          </xdr:cNvPr>
          <xdr:cNvSpPr/>
        </xdr:nvSpPr>
        <xdr:spPr>
          <a:xfrm>
            <a:off x="13382625" y="1219200"/>
            <a:ext cx="137160" cy="137160"/>
          </a:xfrm>
          <a:prstGeom prst="ellipse">
            <a:avLst/>
          </a:prstGeom>
          <a:solidFill>
            <a:schemeClr val="bg1"/>
          </a:solidFill>
          <a:ln w="6350">
            <a:solidFill>
              <a:srgbClr val="00416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ToggleButtonZ" textlink="">
        <xdr:nvSpPr>
          <xdr:cNvPr id="40" name="PER_True">
            <a:extLst>
              <a:ext uri="{FF2B5EF4-FFF2-40B4-BE49-F238E27FC236}">
                <a16:creationId xmlns:a16="http://schemas.microsoft.com/office/drawing/2014/main" id="{00000000-0008-0000-1200-000028000000}"/>
              </a:ext>
            </a:extLst>
          </xdr:cNvPr>
          <xdr:cNvSpPr/>
        </xdr:nvSpPr>
        <xdr:spPr>
          <a:xfrm>
            <a:off x="13415529" y="1252104"/>
            <a:ext cx="73152" cy="73152"/>
          </a:xfrm>
          <a:prstGeom prst="ellipse">
            <a:avLst/>
          </a:prstGeom>
          <a:solidFill>
            <a:srgbClr val="004165"/>
          </a:solidFill>
          <a:ln w="6350" cap="flat" cmpd="sng" algn="ctr">
            <a:solidFill>
              <a:srgbClr val="004165"/>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FFFF"/>
              </a:solidFill>
            </a:endParaRPr>
          </a:p>
        </xdr:txBody>
      </xdr:sp>
    </xdr:grpSp>
    <xdr:clientData/>
  </xdr:twoCellAnchor>
  <xdr:twoCellAnchor>
    <xdr:from>
      <xdr:col>19</xdr:col>
      <xdr:colOff>228600</xdr:colOff>
      <xdr:row>3</xdr:row>
      <xdr:rowOff>85724</xdr:rowOff>
    </xdr:from>
    <xdr:to>
      <xdr:col>20</xdr:col>
      <xdr:colOff>28575</xdr:colOff>
      <xdr:row>5</xdr:row>
      <xdr:rowOff>112394</xdr:rowOff>
    </xdr:to>
    <xdr:sp macro="[0]!Clear_CL_Calc" textlink="">
      <xdr:nvSpPr>
        <xdr:cNvPr id="46" name="Btn_ClearFees">
          <a:extLst>
            <a:ext uri="{FF2B5EF4-FFF2-40B4-BE49-F238E27FC236}">
              <a16:creationId xmlns:a16="http://schemas.microsoft.com/office/drawing/2014/main" id="{00000000-0008-0000-1200-00002E000000}"/>
            </a:ext>
          </a:extLst>
        </xdr:cNvPr>
        <xdr:cNvSpPr/>
      </xdr:nvSpPr>
      <xdr:spPr>
        <a:xfrm>
          <a:off x="9925050" y="609599"/>
          <a:ext cx="914400" cy="274320"/>
        </a:xfrm>
        <a:prstGeom prst="roundRect">
          <a:avLst/>
        </a:prstGeom>
        <a:solidFill>
          <a:srgbClr val="B6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rPr>
            <a:t>Clear</a:t>
          </a:r>
        </a:p>
      </xdr:txBody>
    </xdr:sp>
    <xdr:clientData/>
  </xdr:twoCellAnchor>
  <xdr:twoCellAnchor editAs="oneCell">
    <xdr:from>
      <xdr:col>3</xdr:col>
      <xdr:colOff>1495425</xdr:colOff>
      <xdr:row>11</xdr:row>
      <xdr:rowOff>28575</xdr:rowOff>
    </xdr:from>
    <xdr:to>
      <xdr:col>4</xdr:col>
      <xdr:colOff>112161</xdr:colOff>
      <xdr:row>12</xdr:row>
      <xdr:rowOff>2667</xdr:rowOff>
    </xdr:to>
    <xdr:pic macro="[0]!Goto_Page">
      <xdr:nvPicPr>
        <xdr:cNvPr id="48" name="ConLoan">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19275" y="1743075"/>
          <a:ext cx="159786"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180975</xdr:colOff>
      <xdr:row>2</xdr:row>
      <xdr:rowOff>47625</xdr:rowOff>
    </xdr:from>
    <xdr:to>
      <xdr:col>3</xdr:col>
      <xdr:colOff>704113</xdr:colOff>
      <xdr:row>2</xdr:row>
      <xdr:rowOff>326100</xdr:rowOff>
    </xdr:to>
    <xdr:pic>
      <xdr:nvPicPr>
        <xdr:cNvPr id="2" name="Picture 1" descr="ANZ logo">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325" y="180975"/>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4</xdr:col>
      <xdr:colOff>390939</xdr:colOff>
      <xdr:row>21</xdr:row>
      <xdr:rowOff>44892</xdr:rowOff>
    </xdr:from>
    <xdr:to>
      <xdr:col>15</xdr:col>
      <xdr:colOff>662610</xdr:colOff>
      <xdr:row>22</xdr:row>
      <xdr:rowOff>142958</xdr:rowOff>
    </xdr:to>
    <xdr:grpSp>
      <xdr:nvGrpSpPr>
        <xdr:cNvPr id="3" name="Group 2" hidden="1">
          <a:extLst>
            <a:ext uri="{FF2B5EF4-FFF2-40B4-BE49-F238E27FC236}">
              <a16:creationId xmlns:a16="http://schemas.microsoft.com/office/drawing/2014/main" id="{00000000-0008-0000-1300-000003000000}"/>
            </a:ext>
          </a:extLst>
        </xdr:cNvPr>
        <xdr:cNvGrpSpPr/>
      </xdr:nvGrpSpPr>
      <xdr:grpSpPr>
        <a:xfrm>
          <a:off x="1914939" y="4083492"/>
          <a:ext cx="2379871" cy="263166"/>
          <a:chOff x="3338209" y="3425190"/>
          <a:chExt cx="6649347" cy="259080"/>
        </a:xfrm>
      </xdr:grpSpPr>
      <xdr:sp macro="" textlink="PP_P6">
        <xdr:nvSpPr>
          <xdr:cNvPr id="4" name="4_6" hidden="1">
            <a:extLst>
              <a:ext uri="{FF2B5EF4-FFF2-40B4-BE49-F238E27FC236}">
                <a16:creationId xmlns:a16="http://schemas.microsoft.com/office/drawing/2014/main" id="{00000000-0008-0000-1300-000004000000}"/>
              </a:ext>
            </a:extLst>
          </xdr:cNvPr>
          <xdr:cNvSpPr txBox="1"/>
        </xdr:nvSpPr>
        <xdr:spPr>
          <a:xfrm>
            <a:off x="9029421" y="3425190"/>
            <a:ext cx="958135"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22EE536F-1F0C-4321-AEBA-12F4FAA9C1D3}" type="TxLink">
              <a:rPr lang="en-US" sz="900" b="0" i="0" u="none" strike="noStrike">
                <a:solidFill>
                  <a:srgbClr val="757171"/>
                </a:solidFill>
                <a:latin typeface="Arial"/>
                <a:cs typeface="Arial"/>
              </a:rPr>
              <a:pPr algn="ctr"/>
              <a:t>10%</a:t>
            </a:fld>
            <a:endParaRPr lang="en-AU"/>
          </a:p>
        </xdr:txBody>
      </xdr:sp>
      <xdr:sp macro="" textlink="PP_P5">
        <xdr:nvSpPr>
          <xdr:cNvPr id="5" name="4_5" hidden="1">
            <a:extLst>
              <a:ext uri="{FF2B5EF4-FFF2-40B4-BE49-F238E27FC236}">
                <a16:creationId xmlns:a16="http://schemas.microsoft.com/office/drawing/2014/main" id="{00000000-0008-0000-1300-000005000000}"/>
              </a:ext>
            </a:extLst>
          </xdr:cNvPr>
          <xdr:cNvSpPr txBox="1"/>
        </xdr:nvSpPr>
        <xdr:spPr>
          <a:xfrm>
            <a:off x="7899306" y="3425190"/>
            <a:ext cx="955743"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C0BB2A11-8663-4469-B868-CC25042DAC0F}" type="TxLink">
              <a:rPr lang="en-US" sz="900" b="0" i="0" u="none" strike="noStrike">
                <a:solidFill>
                  <a:srgbClr val="757171"/>
                </a:solidFill>
                <a:latin typeface="Arial"/>
                <a:cs typeface="Arial"/>
              </a:rPr>
              <a:pPr algn="ctr"/>
              <a:t>25%</a:t>
            </a:fld>
            <a:endParaRPr lang="en-AU"/>
          </a:p>
        </xdr:txBody>
      </xdr:sp>
      <xdr:sp macro="" textlink="PP_P4">
        <xdr:nvSpPr>
          <xdr:cNvPr id="6" name="4_4" hidden="1">
            <a:extLst>
              <a:ext uri="{FF2B5EF4-FFF2-40B4-BE49-F238E27FC236}">
                <a16:creationId xmlns:a16="http://schemas.microsoft.com/office/drawing/2014/main" id="{00000000-0008-0000-1300-000006000000}"/>
              </a:ext>
            </a:extLst>
          </xdr:cNvPr>
          <xdr:cNvSpPr txBox="1"/>
        </xdr:nvSpPr>
        <xdr:spPr>
          <a:xfrm>
            <a:off x="6755667" y="3425190"/>
            <a:ext cx="93726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A4D10196-A216-487C-AADE-68509C03697F}" type="TxLink">
              <a:rPr lang="en-US" sz="900" b="0" i="0" u="none" strike="noStrike">
                <a:solidFill>
                  <a:srgbClr val="757171"/>
                </a:solidFill>
                <a:latin typeface="Arial"/>
                <a:cs typeface="Arial"/>
              </a:rPr>
              <a:pPr algn="ctr"/>
              <a:t>35%</a:t>
            </a:fld>
            <a:endParaRPr lang="en-AU"/>
          </a:p>
        </xdr:txBody>
      </xdr:sp>
      <xdr:sp macro="" textlink="PP_P3">
        <xdr:nvSpPr>
          <xdr:cNvPr id="7" name="4_3" hidden="1">
            <a:extLst>
              <a:ext uri="{FF2B5EF4-FFF2-40B4-BE49-F238E27FC236}">
                <a16:creationId xmlns:a16="http://schemas.microsoft.com/office/drawing/2014/main" id="{00000000-0008-0000-1300-000007000000}"/>
              </a:ext>
            </a:extLst>
          </xdr:cNvPr>
          <xdr:cNvSpPr txBox="1"/>
        </xdr:nvSpPr>
        <xdr:spPr>
          <a:xfrm>
            <a:off x="5618932" y="3425190"/>
            <a:ext cx="964476"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831107D4-538A-4673-B7F2-15437D5273AD}" type="TxLink">
              <a:rPr lang="en-US" sz="900" b="0" i="0" u="none" strike="noStrike">
                <a:solidFill>
                  <a:srgbClr val="757171"/>
                </a:solidFill>
                <a:latin typeface="Arial"/>
                <a:cs typeface="Arial"/>
              </a:rPr>
              <a:pPr algn="ctr"/>
              <a:t>15%</a:t>
            </a:fld>
            <a:endParaRPr lang="en-AU"/>
          </a:p>
        </xdr:txBody>
      </xdr:sp>
      <xdr:sp macro="" textlink="PP_P2">
        <xdr:nvSpPr>
          <xdr:cNvPr id="8" name="4_2" hidden="1">
            <a:extLst>
              <a:ext uri="{FF2B5EF4-FFF2-40B4-BE49-F238E27FC236}">
                <a16:creationId xmlns:a16="http://schemas.microsoft.com/office/drawing/2014/main" id="{00000000-0008-0000-1300-000008000000}"/>
              </a:ext>
            </a:extLst>
          </xdr:cNvPr>
          <xdr:cNvSpPr txBox="1"/>
        </xdr:nvSpPr>
        <xdr:spPr>
          <a:xfrm>
            <a:off x="4497211" y="3425190"/>
            <a:ext cx="943469"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78215DD4-3492-4C1A-B013-8BD282C3F86E}" type="TxLink">
              <a:rPr lang="en-US" sz="900" b="0" i="0" u="none" strike="noStrike">
                <a:solidFill>
                  <a:srgbClr val="757171"/>
                </a:solidFill>
                <a:latin typeface="Arial"/>
                <a:cs typeface="Arial"/>
              </a:rPr>
              <a:pPr algn="ctr"/>
              <a:t>10%</a:t>
            </a:fld>
            <a:endParaRPr lang="en-AU"/>
          </a:p>
        </xdr:txBody>
      </xdr:sp>
      <xdr:sp macro="" textlink="PP_P1">
        <xdr:nvSpPr>
          <xdr:cNvPr id="9" name="4_1" hidden="1">
            <a:extLst>
              <a:ext uri="{FF2B5EF4-FFF2-40B4-BE49-F238E27FC236}">
                <a16:creationId xmlns:a16="http://schemas.microsoft.com/office/drawing/2014/main" id="{00000000-0008-0000-1300-000009000000}"/>
              </a:ext>
            </a:extLst>
          </xdr:cNvPr>
          <xdr:cNvSpPr txBox="1"/>
        </xdr:nvSpPr>
        <xdr:spPr>
          <a:xfrm>
            <a:off x="3338209" y="3425190"/>
            <a:ext cx="94423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38357398-DE7C-43EE-80BC-00A01F9B80D8}" type="TxLink">
              <a:rPr lang="en-US" sz="900" b="0" i="0" u="none" strike="noStrike">
                <a:solidFill>
                  <a:srgbClr val="757171"/>
                </a:solidFill>
                <a:latin typeface="Arial"/>
                <a:cs typeface="Arial"/>
              </a:rPr>
              <a:pPr algn="ctr"/>
              <a:t>5%</a:t>
            </a:fld>
            <a:endParaRPr lang="en-AU"/>
          </a:p>
        </xdr:txBody>
      </xdr:sp>
    </xdr:grpSp>
    <xdr:clientData/>
  </xdr:twoCellAnchor>
  <xdr:oneCellAnchor>
    <xdr:from>
      <xdr:col>3</xdr:col>
      <xdr:colOff>57650</xdr:colOff>
      <xdr:row>13</xdr:row>
      <xdr:rowOff>132522</xdr:rowOff>
    </xdr:from>
    <xdr:ext cx="739140" cy="259080"/>
    <xdr:sp macro="" textlink="'Construction Loan Calculator'!G19">
      <xdr:nvSpPr>
        <xdr:cNvPr id="10" name="3_1" hidden="1">
          <a:extLst>
            <a:ext uri="{FF2B5EF4-FFF2-40B4-BE49-F238E27FC236}">
              <a16:creationId xmlns:a16="http://schemas.microsoft.com/office/drawing/2014/main" id="{00000000-0008-0000-1300-00000A000000}"/>
            </a:ext>
          </a:extLst>
        </xdr:cNvPr>
        <xdr:cNvSpPr txBox="1"/>
      </xdr:nvSpPr>
      <xdr:spPr>
        <a:xfrm>
          <a:off x="1467350" y="2237547"/>
          <a:ext cx="73914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marL="0" indent="0" algn="ctr"/>
          <a:fld id="{4241CB59-CBDC-41A1-8DAF-0D03974CFE63}" type="TxLink">
            <a:rPr lang="en-US" sz="900" b="0" i="0" u="none" strike="noStrike">
              <a:solidFill>
                <a:srgbClr val="757171"/>
              </a:solidFill>
              <a:latin typeface="Arial"/>
              <a:ea typeface="+mn-ea"/>
              <a:cs typeface="Arial"/>
            </a:rPr>
            <a:pPr marL="0" indent="0" algn="ctr"/>
            <a:t>0.00</a:t>
          </a:fld>
          <a:endParaRPr lang="en-AU" sz="900" b="0" i="0" u="none" strike="noStrike">
            <a:solidFill>
              <a:srgbClr val="757171"/>
            </a:solidFill>
            <a:latin typeface="Arial"/>
            <a:ea typeface="+mn-ea"/>
            <a:cs typeface="Arial"/>
          </a:endParaRPr>
        </a:p>
      </xdr:txBody>
    </xdr:sp>
    <xdr:clientData/>
  </xdr:oneCellAnchor>
  <xdr:twoCellAnchor>
    <xdr:from>
      <xdr:col>3</xdr:col>
      <xdr:colOff>34788</xdr:colOff>
      <xdr:row>11</xdr:row>
      <xdr:rowOff>3976</xdr:rowOff>
    </xdr:from>
    <xdr:to>
      <xdr:col>17</xdr:col>
      <xdr:colOff>60960</xdr:colOff>
      <xdr:row>12</xdr:row>
      <xdr:rowOff>103036</xdr:rowOff>
    </xdr:to>
    <xdr:grpSp>
      <xdr:nvGrpSpPr>
        <xdr:cNvPr id="11" name="Group 10" hidden="1">
          <a:extLst>
            <a:ext uri="{FF2B5EF4-FFF2-40B4-BE49-F238E27FC236}">
              <a16:creationId xmlns:a16="http://schemas.microsoft.com/office/drawing/2014/main" id="{00000000-0008-0000-1300-00000B000000}"/>
            </a:ext>
          </a:extLst>
        </xdr:cNvPr>
        <xdr:cNvGrpSpPr/>
      </xdr:nvGrpSpPr>
      <xdr:grpSpPr>
        <a:xfrm>
          <a:off x="860288" y="2175676"/>
          <a:ext cx="3594872" cy="251460"/>
          <a:chOff x="1531620" y="1790700"/>
          <a:chExt cx="8529821" cy="259080"/>
        </a:xfrm>
      </xdr:grpSpPr>
      <xdr:sp macro="" textlink="'Construction Loan Calculator'!F13">
        <xdr:nvSpPr>
          <xdr:cNvPr id="12" name="2_6" hidden="1">
            <a:extLst>
              <a:ext uri="{FF2B5EF4-FFF2-40B4-BE49-F238E27FC236}">
                <a16:creationId xmlns:a16="http://schemas.microsoft.com/office/drawing/2014/main" id="{00000000-0008-0000-1300-00000C000000}"/>
              </a:ext>
            </a:extLst>
          </xdr:cNvPr>
          <xdr:cNvSpPr txBox="1"/>
        </xdr:nvSpPr>
        <xdr:spPr>
          <a:xfrm>
            <a:off x="9070872" y="1790700"/>
            <a:ext cx="990569"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AF9FEC18-517C-478B-8418-75C925C90FB2}" type="TxLink">
              <a:rPr lang="en-US" sz="900" b="1" i="0" u="none" strike="noStrike">
                <a:solidFill>
                  <a:srgbClr val="666666"/>
                </a:solidFill>
                <a:latin typeface="Arial"/>
                <a:cs typeface="Arial"/>
              </a:rPr>
              <a:pPr algn="ctr"/>
              <a:t> $0 </a:t>
            </a:fld>
            <a:endParaRPr lang="en-AU"/>
          </a:p>
        </xdr:txBody>
      </xdr:sp>
      <xdr:sp macro="" textlink="CL1_vCustCont">
        <xdr:nvSpPr>
          <xdr:cNvPr id="13" name="2_5" hidden="1">
            <a:extLst>
              <a:ext uri="{FF2B5EF4-FFF2-40B4-BE49-F238E27FC236}">
                <a16:creationId xmlns:a16="http://schemas.microsoft.com/office/drawing/2014/main" id="{00000000-0008-0000-1300-00000D000000}"/>
              </a:ext>
            </a:extLst>
          </xdr:cNvPr>
          <xdr:cNvSpPr txBox="1"/>
        </xdr:nvSpPr>
        <xdr:spPr>
          <a:xfrm>
            <a:off x="7744627" y="1790700"/>
            <a:ext cx="73914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B4D43E92-B880-48D1-BF48-1E09BE8F50A9}" type="TxLink">
              <a:rPr lang="en-US" sz="900" b="0" i="0" u="none" strike="noStrike">
                <a:solidFill>
                  <a:srgbClr val="666666"/>
                </a:solidFill>
                <a:latin typeface="Arial"/>
                <a:cs typeface="Arial"/>
              </a:rPr>
              <a:pPr algn="ctr"/>
              <a:t> $0 </a:t>
            </a:fld>
            <a:endParaRPr lang="en-AU"/>
          </a:p>
        </xdr:txBody>
      </xdr:sp>
      <xdr:sp macro="" textlink="CL1_LMI">
        <xdr:nvSpPr>
          <xdr:cNvPr id="14" name="2_4" hidden="1">
            <a:extLst>
              <a:ext uri="{FF2B5EF4-FFF2-40B4-BE49-F238E27FC236}">
                <a16:creationId xmlns:a16="http://schemas.microsoft.com/office/drawing/2014/main" id="{00000000-0008-0000-1300-00000E000000}"/>
              </a:ext>
            </a:extLst>
          </xdr:cNvPr>
          <xdr:cNvSpPr txBox="1"/>
        </xdr:nvSpPr>
        <xdr:spPr>
          <a:xfrm>
            <a:off x="5984050" y="1790700"/>
            <a:ext cx="73914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7CC69DDC-4BFD-4702-B629-5A574550CEF3}" type="TxLink">
              <a:rPr lang="en-US" sz="900" b="0" i="0" u="none" strike="noStrike">
                <a:solidFill>
                  <a:srgbClr val="666666"/>
                </a:solidFill>
                <a:latin typeface="Arial"/>
                <a:cs typeface="Arial"/>
              </a:rPr>
              <a:pPr algn="ctr"/>
              <a:t> $0 </a:t>
            </a:fld>
            <a:endParaRPr lang="en-AU"/>
          </a:p>
        </xdr:txBody>
      </xdr:sp>
      <xdr:sp macro="" textlink="CL1_vAddBorrow">
        <xdr:nvSpPr>
          <xdr:cNvPr id="15" name="2_3" hidden="1">
            <a:extLst>
              <a:ext uri="{FF2B5EF4-FFF2-40B4-BE49-F238E27FC236}">
                <a16:creationId xmlns:a16="http://schemas.microsoft.com/office/drawing/2014/main" id="{00000000-0008-0000-1300-00000F000000}"/>
              </a:ext>
            </a:extLst>
          </xdr:cNvPr>
          <xdr:cNvSpPr txBox="1"/>
        </xdr:nvSpPr>
        <xdr:spPr>
          <a:xfrm>
            <a:off x="4675048" y="1790700"/>
            <a:ext cx="73914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4C78DC05-2528-4307-B270-E5CCF7E2C72C}" type="TxLink">
              <a:rPr lang="en-US" sz="900" b="0" i="0" u="none" strike="noStrike">
                <a:solidFill>
                  <a:srgbClr val="666666"/>
                </a:solidFill>
                <a:latin typeface="Arial"/>
                <a:cs typeface="Arial"/>
              </a:rPr>
              <a:pPr algn="ctr"/>
              <a:t> $0 </a:t>
            </a:fld>
            <a:endParaRPr lang="en-AU"/>
          </a:p>
        </xdr:txBody>
      </xdr:sp>
      <xdr:sp macro="" textlink="CL1_vContract">
        <xdr:nvSpPr>
          <xdr:cNvPr id="16" name="2_2_vContract" hidden="1">
            <a:extLst>
              <a:ext uri="{FF2B5EF4-FFF2-40B4-BE49-F238E27FC236}">
                <a16:creationId xmlns:a16="http://schemas.microsoft.com/office/drawing/2014/main" id="{00000000-0008-0000-1300-000010000000}"/>
              </a:ext>
            </a:extLst>
          </xdr:cNvPr>
          <xdr:cNvSpPr txBox="1"/>
        </xdr:nvSpPr>
        <xdr:spPr>
          <a:xfrm>
            <a:off x="2959827" y="1790700"/>
            <a:ext cx="982949"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7A0434BA-E870-4136-9700-F13AB7D0123B}" type="TxLink">
              <a:rPr lang="en-US" sz="900" b="0" i="0" u="none" strike="noStrike">
                <a:solidFill>
                  <a:srgbClr val="666666"/>
                </a:solidFill>
                <a:latin typeface="Arial"/>
                <a:cs typeface="Arial"/>
              </a:rPr>
              <a:pPr algn="ctr"/>
              <a:t> $0 </a:t>
            </a:fld>
            <a:endParaRPr lang="en-AU"/>
          </a:p>
        </xdr:txBody>
      </xdr:sp>
      <xdr:sp macro="" textlink="P_A3">
        <xdr:nvSpPr>
          <xdr:cNvPr id="17" name="2_1_ExLand" hidden="1">
            <a:extLst>
              <a:ext uri="{FF2B5EF4-FFF2-40B4-BE49-F238E27FC236}">
                <a16:creationId xmlns:a16="http://schemas.microsoft.com/office/drawing/2014/main" id="{00000000-0008-0000-1300-000011000000}"/>
              </a:ext>
            </a:extLst>
          </xdr:cNvPr>
          <xdr:cNvSpPr txBox="1"/>
        </xdr:nvSpPr>
        <xdr:spPr>
          <a:xfrm>
            <a:off x="1531620" y="1790700"/>
            <a:ext cx="73914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AE3DC1A8-85F4-4DC9-A57C-44C260E1B400}" type="TxLink">
              <a:rPr lang="en-US" sz="900" b="0" i="0" u="none" strike="noStrike">
                <a:solidFill>
                  <a:srgbClr val="666666"/>
                </a:solidFill>
                <a:latin typeface="Arial"/>
                <a:cs typeface="Arial"/>
              </a:rPr>
              <a:pPr algn="ctr"/>
              <a:t> </a:t>
            </a:fld>
            <a:endParaRPr lang="en-AU"/>
          </a:p>
        </xdr:txBody>
      </xdr:sp>
    </xdr:grpSp>
    <xdr:clientData/>
  </xdr:twoCellAnchor>
  <xdr:twoCellAnchor>
    <xdr:from>
      <xdr:col>3</xdr:col>
      <xdr:colOff>76200</xdr:colOff>
      <xdr:row>5</xdr:row>
      <xdr:rowOff>57260</xdr:rowOff>
    </xdr:from>
    <xdr:to>
      <xdr:col>13</xdr:col>
      <xdr:colOff>0</xdr:colOff>
      <xdr:row>7</xdr:row>
      <xdr:rowOff>8463</xdr:rowOff>
    </xdr:to>
    <xdr:grpSp>
      <xdr:nvGrpSpPr>
        <xdr:cNvPr id="18" name="Group 17" hidden="1">
          <a:extLst>
            <a:ext uri="{FF2B5EF4-FFF2-40B4-BE49-F238E27FC236}">
              <a16:creationId xmlns:a16="http://schemas.microsoft.com/office/drawing/2014/main" id="{00000000-0008-0000-1300-000012000000}"/>
            </a:ext>
          </a:extLst>
        </xdr:cNvPr>
        <xdr:cNvGrpSpPr/>
      </xdr:nvGrpSpPr>
      <xdr:grpSpPr>
        <a:xfrm>
          <a:off x="901700" y="1225660"/>
          <a:ext cx="2882900" cy="370303"/>
          <a:chOff x="1493520" y="834360"/>
          <a:chExt cx="6818372" cy="271236"/>
        </a:xfrm>
      </xdr:grpSpPr>
      <xdr:sp macro="" textlink="">
        <xdr:nvSpPr>
          <xdr:cNvPr id="19" name="1_3_Phone" hidden="1">
            <a:extLst>
              <a:ext uri="{FF2B5EF4-FFF2-40B4-BE49-F238E27FC236}">
                <a16:creationId xmlns:a16="http://schemas.microsoft.com/office/drawing/2014/main" id="{00000000-0008-0000-1300-000013000000}"/>
              </a:ext>
            </a:extLst>
          </xdr:cNvPr>
          <xdr:cNvSpPr txBox="1"/>
        </xdr:nvSpPr>
        <xdr:spPr>
          <a:xfrm>
            <a:off x="7139640" y="841036"/>
            <a:ext cx="117225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latin typeface="Arial" panose="020B0604020202020204" pitchFamily="34" charset="0"/>
                <a:cs typeface="Arial" panose="020B0604020202020204" pitchFamily="34" charset="0"/>
              </a:rPr>
              <a:t>1</a:t>
            </a:r>
          </a:p>
        </xdr:txBody>
      </xdr:sp>
      <xdr:sp macro="" textlink="">
        <xdr:nvSpPr>
          <xdr:cNvPr id="20" name="1_2_Email" hidden="1">
            <a:extLst>
              <a:ext uri="{FF2B5EF4-FFF2-40B4-BE49-F238E27FC236}">
                <a16:creationId xmlns:a16="http://schemas.microsoft.com/office/drawing/2014/main" id="{00000000-0008-0000-1300-000014000000}"/>
              </a:ext>
            </a:extLst>
          </xdr:cNvPr>
          <xdr:cNvSpPr txBox="1"/>
        </xdr:nvSpPr>
        <xdr:spPr>
          <a:xfrm>
            <a:off x="4283493" y="834360"/>
            <a:ext cx="22335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t>1</a:t>
            </a:r>
            <a:endParaRPr lang="en-AU">
              <a:latin typeface="Arial" panose="020B0604020202020204" pitchFamily="34" charset="0"/>
              <a:cs typeface="Arial" panose="020B0604020202020204" pitchFamily="34" charset="0"/>
            </a:endParaRPr>
          </a:p>
        </xdr:txBody>
      </xdr:sp>
      <xdr:sp macro="" textlink="">
        <xdr:nvSpPr>
          <xdr:cNvPr id="21" name="1_1_LenderName" hidden="1">
            <a:extLst>
              <a:ext uri="{FF2B5EF4-FFF2-40B4-BE49-F238E27FC236}">
                <a16:creationId xmlns:a16="http://schemas.microsoft.com/office/drawing/2014/main" id="{00000000-0008-0000-1300-000015000000}"/>
              </a:ext>
            </a:extLst>
          </xdr:cNvPr>
          <xdr:cNvSpPr txBox="1"/>
        </xdr:nvSpPr>
        <xdr:spPr>
          <a:xfrm>
            <a:off x="1493520" y="840091"/>
            <a:ext cx="21822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latin typeface="Arial" panose="020B0604020202020204" pitchFamily="34" charset="0"/>
                <a:cs typeface="Arial" panose="020B0604020202020204" pitchFamily="34" charset="0"/>
              </a:rPr>
              <a:t>1</a:t>
            </a:r>
          </a:p>
        </xdr:txBody>
      </xdr:sp>
    </xdr:grpSp>
    <xdr:clientData/>
  </xdr:twoCellAnchor>
  <xdr:twoCellAnchor>
    <xdr:from>
      <xdr:col>14</xdr:col>
      <xdr:colOff>419149</xdr:colOff>
      <xdr:row>24</xdr:row>
      <xdr:rowOff>41910</xdr:rowOff>
    </xdr:from>
    <xdr:to>
      <xdr:col>15</xdr:col>
      <xdr:colOff>669235</xdr:colOff>
      <xdr:row>25</xdr:row>
      <xdr:rowOff>137160</xdr:rowOff>
    </xdr:to>
    <xdr:sp macro="" textlink="CL2_PP6">
      <xdr:nvSpPr>
        <xdr:cNvPr id="22" name="5_6" hidden="1">
          <a:extLst>
            <a:ext uri="{FF2B5EF4-FFF2-40B4-BE49-F238E27FC236}">
              <a16:creationId xmlns:a16="http://schemas.microsoft.com/office/drawing/2014/main" id="{00000000-0008-0000-1300-000016000000}"/>
            </a:ext>
          </a:extLst>
        </xdr:cNvPr>
        <xdr:cNvSpPr txBox="1"/>
      </xdr:nvSpPr>
      <xdr:spPr>
        <a:xfrm>
          <a:off x="8877349" y="3928110"/>
          <a:ext cx="954936"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F617F455-6976-4234-A9FF-862490C4D936}" type="TxLink">
            <a:rPr lang="en-US" sz="900" b="0" i="0" u="none" strike="noStrike">
              <a:solidFill>
                <a:srgbClr val="757171"/>
              </a:solidFill>
              <a:latin typeface="Arial"/>
              <a:cs typeface="Arial"/>
            </a:rPr>
            <a:pPr algn="ctr"/>
            <a:t> $0 </a:t>
          </a:fld>
          <a:endParaRPr lang="en-AU"/>
        </a:p>
      </xdr:txBody>
    </xdr:sp>
    <xdr:clientData/>
  </xdr:twoCellAnchor>
  <xdr:twoCellAnchor>
    <xdr:from>
      <xdr:col>12</xdr:col>
      <xdr:colOff>686243</xdr:colOff>
      <xdr:row>24</xdr:row>
      <xdr:rowOff>41910</xdr:rowOff>
    </xdr:from>
    <xdr:to>
      <xdr:col>14</xdr:col>
      <xdr:colOff>225287</xdr:colOff>
      <xdr:row>25</xdr:row>
      <xdr:rowOff>137160</xdr:rowOff>
    </xdr:to>
    <xdr:sp macro="" textlink="CL2_PP5">
      <xdr:nvSpPr>
        <xdr:cNvPr id="23" name="5_5" hidden="1">
          <a:extLst>
            <a:ext uri="{FF2B5EF4-FFF2-40B4-BE49-F238E27FC236}">
              <a16:creationId xmlns:a16="http://schemas.microsoft.com/office/drawing/2014/main" id="{00000000-0008-0000-1300-000017000000}"/>
            </a:ext>
          </a:extLst>
        </xdr:cNvPr>
        <xdr:cNvSpPr txBox="1"/>
      </xdr:nvSpPr>
      <xdr:spPr>
        <a:xfrm>
          <a:off x="7734743" y="3928110"/>
          <a:ext cx="948744"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69089C5C-64FE-4C22-8977-00923F32BE27}" type="TxLink">
            <a:rPr lang="en-US" sz="900" b="0" i="0" u="none" strike="noStrike">
              <a:solidFill>
                <a:srgbClr val="757171"/>
              </a:solidFill>
              <a:latin typeface="Arial"/>
              <a:cs typeface="Arial"/>
            </a:rPr>
            <a:pPr algn="ctr"/>
            <a:t> $0 </a:t>
          </a:fld>
          <a:endParaRPr lang="en-AU"/>
        </a:p>
      </xdr:txBody>
    </xdr:sp>
    <xdr:clientData/>
  </xdr:twoCellAnchor>
  <xdr:twoCellAnchor>
    <xdr:from>
      <xdr:col>10</xdr:col>
      <xdr:colOff>270849</xdr:colOff>
      <xdr:row>24</xdr:row>
      <xdr:rowOff>41910</xdr:rowOff>
    </xdr:from>
    <xdr:to>
      <xdr:col>12</xdr:col>
      <xdr:colOff>503584</xdr:colOff>
      <xdr:row>25</xdr:row>
      <xdr:rowOff>137160</xdr:rowOff>
    </xdr:to>
    <xdr:sp macro="" textlink="CL2_PP4">
      <xdr:nvSpPr>
        <xdr:cNvPr id="24" name="5_4" hidden="1">
          <a:extLst>
            <a:ext uri="{FF2B5EF4-FFF2-40B4-BE49-F238E27FC236}">
              <a16:creationId xmlns:a16="http://schemas.microsoft.com/office/drawing/2014/main" id="{00000000-0008-0000-1300-000018000000}"/>
            </a:ext>
          </a:extLst>
        </xdr:cNvPr>
        <xdr:cNvSpPr txBox="1"/>
      </xdr:nvSpPr>
      <xdr:spPr>
        <a:xfrm>
          <a:off x="6614499" y="3928110"/>
          <a:ext cx="937585"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84AD560B-F4AA-48DD-AD06-E70C3258E7CF}" type="TxLink">
            <a:rPr lang="en-US" sz="900" b="0" i="0" u="none" strike="noStrike">
              <a:solidFill>
                <a:srgbClr val="757171"/>
              </a:solidFill>
              <a:latin typeface="Arial"/>
              <a:cs typeface="Arial"/>
            </a:rPr>
            <a:pPr algn="ctr"/>
            <a:t> $0 </a:t>
          </a:fld>
          <a:endParaRPr lang="en-AU"/>
        </a:p>
      </xdr:txBody>
    </xdr:sp>
    <xdr:clientData/>
  </xdr:twoCellAnchor>
  <xdr:twoCellAnchor>
    <xdr:from>
      <xdr:col>7</xdr:col>
      <xdr:colOff>535127</xdr:colOff>
      <xdr:row>24</xdr:row>
      <xdr:rowOff>41910</xdr:rowOff>
    </xdr:from>
    <xdr:to>
      <xdr:col>10</xdr:col>
      <xdr:colOff>86139</xdr:colOff>
      <xdr:row>25</xdr:row>
      <xdr:rowOff>137160</xdr:rowOff>
    </xdr:to>
    <xdr:sp macro="" textlink="CL2_PP3">
      <xdr:nvSpPr>
        <xdr:cNvPr id="25" name="5_3" hidden="1">
          <a:extLst>
            <a:ext uri="{FF2B5EF4-FFF2-40B4-BE49-F238E27FC236}">
              <a16:creationId xmlns:a16="http://schemas.microsoft.com/office/drawing/2014/main" id="{00000000-0008-0000-1300-000019000000}"/>
            </a:ext>
          </a:extLst>
        </xdr:cNvPr>
        <xdr:cNvSpPr txBox="1"/>
      </xdr:nvSpPr>
      <xdr:spPr>
        <a:xfrm>
          <a:off x="5469077" y="3928110"/>
          <a:ext cx="960712"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F2065808-BBFA-4E87-960F-D75846F0CDC8}" type="TxLink">
            <a:rPr lang="en-US" sz="900" b="0" i="0" u="none" strike="noStrike">
              <a:solidFill>
                <a:srgbClr val="757171"/>
              </a:solidFill>
              <a:latin typeface="Arial"/>
              <a:cs typeface="Arial"/>
            </a:rPr>
            <a:pPr algn="ctr"/>
            <a:t> $0 </a:t>
          </a:fld>
          <a:endParaRPr lang="en-AU"/>
        </a:p>
      </xdr:txBody>
    </xdr:sp>
    <xdr:clientData/>
  </xdr:twoCellAnchor>
  <xdr:twoCellAnchor>
    <xdr:from>
      <xdr:col>6</xdr:col>
      <xdr:colOff>92702</xdr:colOff>
      <xdr:row>24</xdr:row>
      <xdr:rowOff>41910</xdr:rowOff>
    </xdr:from>
    <xdr:to>
      <xdr:col>7</xdr:col>
      <xdr:colOff>374794</xdr:colOff>
      <xdr:row>25</xdr:row>
      <xdr:rowOff>137160</xdr:rowOff>
    </xdr:to>
    <xdr:sp macro="" textlink="CL2_PP2">
      <xdr:nvSpPr>
        <xdr:cNvPr id="26" name="5_2" hidden="1">
          <a:extLst>
            <a:ext uri="{FF2B5EF4-FFF2-40B4-BE49-F238E27FC236}">
              <a16:creationId xmlns:a16="http://schemas.microsoft.com/office/drawing/2014/main" id="{00000000-0008-0000-1300-00001A000000}"/>
            </a:ext>
          </a:extLst>
        </xdr:cNvPr>
        <xdr:cNvSpPr txBox="1"/>
      </xdr:nvSpPr>
      <xdr:spPr>
        <a:xfrm>
          <a:off x="4321802" y="3928110"/>
          <a:ext cx="986942"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3E153211-74B9-42B6-81F3-9FD9FA9294D1}" type="TxLink">
            <a:rPr lang="en-US" sz="900" b="0" i="0" u="none" strike="noStrike">
              <a:solidFill>
                <a:srgbClr val="757171"/>
              </a:solidFill>
              <a:latin typeface="Arial"/>
              <a:cs typeface="Arial"/>
            </a:rPr>
            <a:pPr algn="ctr"/>
            <a:t> $0 </a:t>
          </a:fld>
          <a:endParaRPr lang="en-AU"/>
        </a:p>
      </xdr:txBody>
    </xdr:sp>
    <xdr:clientData/>
  </xdr:twoCellAnchor>
  <xdr:twoCellAnchor>
    <xdr:from>
      <xdr:col>4</xdr:col>
      <xdr:colOff>377385</xdr:colOff>
      <xdr:row>24</xdr:row>
      <xdr:rowOff>41910</xdr:rowOff>
    </xdr:from>
    <xdr:to>
      <xdr:col>5</xdr:col>
      <xdr:colOff>659476</xdr:colOff>
      <xdr:row>25</xdr:row>
      <xdr:rowOff>137160</xdr:rowOff>
    </xdr:to>
    <xdr:sp macro="" textlink="CL2_PP1">
      <xdr:nvSpPr>
        <xdr:cNvPr id="27" name="5_1" hidden="1">
          <a:extLst>
            <a:ext uri="{FF2B5EF4-FFF2-40B4-BE49-F238E27FC236}">
              <a16:creationId xmlns:a16="http://schemas.microsoft.com/office/drawing/2014/main" id="{00000000-0008-0000-1300-00001B000000}"/>
            </a:ext>
          </a:extLst>
        </xdr:cNvPr>
        <xdr:cNvSpPr txBox="1"/>
      </xdr:nvSpPr>
      <xdr:spPr>
        <a:xfrm>
          <a:off x="3196785" y="3928110"/>
          <a:ext cx="986941" cy="2571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BBDCB987-D645-4BEA-A22A-071EF0412922}" type="TxLink">
            <a:rPr lang="en-US" sz="900" b="0" i="0" u="none" strike="noStrike">
              <a:solidFill>
                <a:srgbClr val="757171"/>
              </a:solidFill>
              <a:latin typeface="Arial"/>
              <a:cs typeface="Arial"/>
            </a:rPr>
            <a:pPr algn="ctr"/>
            <a:t> $0 </a:t>
          </a:fld>
          <a:endParaRPr lang="en-AU"/>
        </a:p>
      </xdr:txBody>
    </xdr:sp>
    <xdr:clientData/>
  </xdr:twoCellAnchor>
  <xdr:twoCellAnchor>
    <xdr:from>
      <xdr:col>14</xdr:col>
      <xdr:colOff>430585</xdr:colOff>
      <xdr:row>26</xdr:row>
      <xdr:rowOff>19050</xdr:rowOff>
    </xdr:from>
    <xdr:to>
      <xdr:col>15</xdr:col>
      <xdr:colOff>658540</xdr:colOff>
      <xdr:row>27</xdr:row>
      <xdr:rowOff>118110</xdr:rowOff>
    </xdr:to>
    <xdr:sp macro="" textlink="PP_CC6">
      <xdr:nvSpPr>
        <xdr:cNvPr id="28" name="6_6" hidden="1">
          <a:extLst>
            <a:ext uri="{FF2B5EF4-FFF2-40B4-BE49-F238E27FC236}">
              <a16:creationId xmlns:a16="http://schemas.microsoft.com/office/drawing/2014/main" id="{00000000-0008-0000-1300-00001C000000}"/>
            </a:ext>
          </a:extLst>
        </xdr:cNvPr>
        <xdr:cNvSpPr txBox="1"/>
      </xdr:nvSpPr>
      <xdr:spPr>
        <a:xfrm>
          <a:off x="8888785" y="4229100"/>
          <a:ext cx="932805"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D8BC3E8B-EB15-457D-A6BD-CB438A02628D}" type="TxLink">
            <a:rPr lang="en-US" sz="900" b="0" i="0" u="none" strike="noStrike">
              <a:solidFill>
                <a:srgbClr val="757171"/>
              </a:solidFill>
              <a:latin typeface="Arial"/>
              <a:cs typeface="Arial"/>
            </a:rPr>
            <a:pPr algn="ctr"/>
            <a:t>  </a:t>
          </a:fld>
          <a:endParaRPr lang="en-AU"/>
        </a:p>
      </xdr:txBody>
    </xdr:sp>
    <xdr:clientData/>
  </xdr:twoCellAnchor>
  <xdr:twoCellAnchor>
    <xdr:from>
      <xdr:col>12</xdr:col>
      <xdr:colOff>697678</xdr:colOff>
      <xdr:row>26</xdr:row>
      <xdr:rowOff>19050</xdr:rowOff>
    </xdr:from>
    <xdr:to>
      <xdr:col>14</xdr:col>
      <xdr:colOff>214638</xdr:colOff>
      <xdr:row>27</xdr:row>
      <xdr:rowOff>118110</xdr:rowOff>
    </xdr:to>
    <xdr:sp macro="" textlink="PP_CC5">
      <xdr:nvSpPr>
        <xdr:cNvPr id="29" name="6_5" hidden="1">
          <a:extLst>
            <a:ext uri="{FF2B5EF4-FFF2-40B4-BE49-F238E27FC236}">
              <a16:creationId xmlns:a16="http://schemas.microsoft.com/office/drawing/2014/main" id="{00000000-0008-0000-1300-00001D000000}"/>
            </a:ext>
          </a:extLst>
        </xdr:cNvPr>
        <xdr:cNvSpPr txBox="1"/>
      </xdr:nvSpPr>
      <xdr:spPr>
        <a:xfrm>
          <a:off x="7746178" y="4229100"/>
          <a:ext cx="926660"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8128AC9F-152A-4FE9-ABA0-811F89C005D2}" type="TxLink">
            <a:rPr lang="en-US" sz="900" b="0" i="0" u="none" strike="noStrike">
              <a:solidFill>
                <a:srgbClr val="757171"/>
              </a:solidFill>
              <a:latin typeface="Arial"/>
              <a:cs typeface="Arial"/>
            </a:rPr>
            <a:pPr algn="ctr"/>
            <a:t>  </a:t>
          </a:fld>
          <a:endParaRPr lang="en-AU"/>
        </a:p>
      </xdr:txBody>
    </xdr:sp>
    <xdr:clientData/>
  </xdr:twoCellAnchor>
  <xdr:twoCellAnchor>
    <xdr:from>
      <xdr:col>10</xdr:col>
      <xdr:colOff>282283</xdr:colOff>
      <xdr:row>26</xdr:row>
      <xdr:rowOff>19050</xdr:rowOff>
    </xdr:from>
    <xdr:to>
      <xdr:col>12</xdr:col>
      <xdr:colOff>493287</xdr:colOff>
      <xdr:row>27</xdr:row>
      <xdr:rowOff>118110</xdr:rowOff>
    </xdr:to>
    <xdr:sp macro="" textlink="PP_CC4">
      <xdr:nvSpPr>
        <xdr:cNvPr id="30" name="6_4" hidden="1">
          <a:extLst>
            <a:ext uri="{FF2B5EF4-FFF2-40B4-BE49-F238E27FC236}">
              <a16:creationId xmlns:a16="http://schemas.microsoft.com/office/drawing/2014/main" id="{00000000-0008-0000-1300-00001E000000}"/>
            </a:ext>
          </a:extLst>
        </xdr:cNvPr>
        <xdr:cNvSpPr txBox="1"/>
      </xdr:nvSpPr>
      <xdr:spPr>
        <a:xfrm>
          <a:off x="6625933" y="4229100"/>
          <a:ext cx="915854"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A4CF9F64-C56C-452C-8259-80EC546BF478}" type="TxLink">
            <a:rPr lang="en-US" sz="900" b="0" i="0" u="none" strike="noStrike">
              <a:solidFill>
                <a:srgbClr val="757171"/>
              </a:solidFill>
              <a:latin typeface="Arial"/>
              <a:cs typeface="Arial"/>
            </a:rPr>
            <a:pPr algn="ctr"/>
            <a:t>  </a:t>
          </a:fld>
          <a:endParaRPr lang="en-AU"/>
        </a:p>
      </xdr:txBody>
    </xdr:sp>
    <xdr:clientData/>
  </xdr:twoCellAnchor>
  <xdr:twoCellAnchor>
    <xdr:from>
      <xdr:col>7</xdr:col>
      <xdr:colOff>546562</xdr:colOff>
      <xdr:row>26</xdr:row>
      <xdr:rowOff>19050</xdr:rowOff>
    </xdr:from>
    <xdr:to>
      <xdr:col>10</xdr:col>
      <xdr:colOff>75214</xdr:colOff>
      <xdr:row>27</xdr:row>
      <xdr:rowOff>118110</xdr:rowOff>
    </xdr:to>
    <xdr:sp macro="" textlink="PP_CC3">
      <xdr:nvSpPr>
        <xdr:cNvPr id="31" name="6_3" hidden="1">
          <a:extLst>
            <a:ext uri="{FF2B5EF4-FFF2-40B4-BE49-F238E27FC236}">
              <a16:creationId xmlns:a16="http://schemas.microsoft.com/office/drawing/2014/main" id="{00000000-0008-0000-1300-00001F000000}"/>
            </a:ext>
          </a:extLst>
        </xdr:cNvPr>
        <xdr:cNvSpPr txBox="1"/>
      </xdr:nvSpPr>
      <xdr:spPr>
        <a:xfrm>
          <a:off x="5480512" y="4229100"/>
          <a:ext cx="938352"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CE63EAFD-B229-4C39-ABD4-97BD87AD7465}" type="TxLink">
            <a:rPr lang="en-US" sz="900" b="0" i="0" u="none" strike="noStrike">
              <a:solidFill>
                <a:srgbClr val="757171"/>
              </a:solidFill>
              <a:latin typeface="Arial"/>
              <a:cs typeface="Arial"/>
            </a:rPr>
            <a:pPr algn="ctr"/>
            <a:t>  </a:t>
          </a:fld>
          <a:endParaRPr lang="en-AU"/>
        </a:p>
      </xdr:txBody>
    </xdr:sp>
    <xdr:clientData/>
  </xdr:twoCellAnchor>
  <xdr:twoCellAnchor>
    <xdr:from>
      <xdr:col>6</xdr:col>
      <xdr:colOff>104137</xdr:colOff>
      <xdr:row>26</xdr:row>
      <xdr:rowOff>19050</xdr:rowOff>
    </xdr:from>
    <xdr:to>
      <xdr:col>7</xdr:col>
      <xdr:colOff>363359</xdr:colOff>
      <xdr:row>27</xdr:row>
      <xdr:rowOff>118110</xdr:rowOff>
    </xdr:to>
    <xdr:sp macro="" textlink="PP_CC2">
      <xdr:nvSpPr>
        <xdr:cNvPr id="32" name="6_2" hidden="1">
          <a:extLst>
            <a:ext uri="{FF2B5EF4-FFF2-40B4-BE49-F238E27FC236}">
              <a16:creationId xmlns:a16="http://schemas.microsoft.com/office/drawing/2014/main" id="{00000000-0008-0000-1300-000020000000}"/>
            </a:ext>
          </a:extLst>
        </xdr:cNvPr>
        <xdr:cNvSpPr txBox="1"/>
      </xdr:nvSpPr>
      <xdr:spPr>
        <a:xfrm>
          <a:off x="4333237" y="4229100"/>
          <a:ext cx="964072"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27D3066B-26F7-4236-A692-6C654BEE8D01}" type="TxLink">
            <a:rPr lang="en-US" sz="900" b="0" i="0" u="none" strike="noStrike">
              <a:solidFill>
                <a:srgbClr val="757171"/>
              </a:solidFill>
              <a:latin typeface="Arial"/>
              <a:cs typeface="Arial"/>
            </a:rPr>
            <a:pPr algn="ctr"/>
            <a:t>  </a:t>
          </a:fld>
          <a:endParaRPr lang="en-AU"/>
        </a:p>
      </xdr:txBody>
    </xdr:sp>
    <xdr:clientData/>
  </xdr:twoCellAnchor>
  <xdr:twoCellAnchor>
    <xdr:from>
      <xdr:col>4</xdr:col>
      <xdr:colOff>388820</xdr:colOff>
      <xdr:row>26</xdr:row>
      <xdr:rowOff>19050</xdr:rowOff>
    </xdr:from>
    <xdr:to>
      <xdr:col>5</xdr:col>
      <xdr:colOff>648041</xdr:colOff>
      <xdr:row>27</xdr:row>
      <xdr:rowOff>118110</xdr:rowOff>
    </xdr:to>
    <xdr:sp macro="" textlink="PP_CC1">
      <xdr:nvSpPr>
        <xdr:cNvPr id="33" name="6_1" hidden="1">
          <a:extLst>
            <a:ext uri="{FF2B5EF4-FFF2-40B4-BE49-F238E27FC236}">
              <a16:creationId xmlns:a16="http://schemas.microsoft.com/office/drawing/2014/main" id="{00000000-0008-0000-1300-000021000000}"/>
            </a:ext>
          </a:extLst>
        </xdr:cNvPr>
        <xdr:cNvSpPr txBox="1"/>
      </xdr:nvSpPr>
      <xdr:spPr>
        <a:xfrm>
          <a:off x="3208220" y="4229100"/>
          <a:ext cx="964071"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C056ADE2-64BF-4E39-BEBA-17EC2164A85B}" type="TxLink">
            <a:rPr lang="en-US" sz="900" b="0" i="0" u="none" strike="noStrike">
              <a:solidFill>
                <a:srgbClr val="757171"/>
              </a:solidFill>
              <a:latin typeface="Arial"/>
              <a:cs typeface="Arial"/>
            </a:rPr>
            <a:pPr algn="ctr"/>
            <a:t>  </a:t>
          </a:fld>
          <a:endParaRPr lang="en-AU"/>
        </a:p>
      </xdr:txBody>
    </xdr:sp>
    <xdr:clientData/>
  </xdr:twoCellAnchor>
  <xdr:twoCellAnchor>
    <xdr:from>
      <xdr:col>14</xdr:col>
      <xdr:colOff>430585</xdr:colOff>
      <xdr:row>29</xdr:row>
      <xdr:rowOff>49530</xdr:rowOff>
    </xdr:from>
    <xdr:to>
      <xdr:col>15</xdr:col>
      <xdr:colOff>658540</xdr:colOff>
      <xdr:row>30</xdr:row>
      <xdr:rowOff>148590</xdr:rowOff>
    </xdr:to>
    <xdr:sp macro="" textlink="CL2_LBAL6">
      <xdr:nvSpPr>
        <xdr:cNvPr id="34" name="7_6" hidden="1">
          <a:extLst>
            <a:ext uri="{FF2B5EF4-FFF2-40B4-BE49-F238E27FC236}">
              <a16:creationId xmlns:a16="http://schemas.microsoft.com/office/drawing/2014/main" id="{00000000-0008-0000-1300-000022000000}"/>
            </a:ext>
          </a:extLst>
        </xdr:cNvPr>
        <xdr:cNvSpPr txBox="1"/>
      </xdr:nvSpPr>
      <xdr:spPr>
        <a:xfrm>
          <a:off x="8888785" y="4745355"/>
          <a:ext cx="932805"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4C65C1AE-05D6-479B-958A-39EEA10DB3D9}" type="TxLink">
            <a:rPr lang="en-US" sz="900" b="0" i="0" u="none" strike="noStrike">
              <a:solidFill>
                <a:srgbClr val="757171"/>
              </a:solidFill>
              <a:latin typeface="Arial"/>
              <a:cs typeface="Arial"/>
            </a:rPr>
            <a:pPr algn="ctr"/>
            <a:t> $0 </a:t>
          </a:fld>
          <a:endParaRPr lang="en-AU"/>
        </a:p>
      </xdr:txBody>
    </xdr:sp>
    <xdr:clientData/>
  </xdr:twoCellAnchor>
  <xdr:twoCellAnchor>
    <xdr:from>
      <xdr:col>12</xdr:col>
      <xdr:colOff>697678</xdr:colOff>
      <xdr:row>29</xdr:row>
      <xdr:rowOff>49530</xdr:rowOff>
    </xdr:from>
    <xdr:to>
      <xdr:col>14</xdr:col>
      <xdr:colOff>214638</xdr:colOff>
      <xdr:row>30</xdr:row>
      <xdr:rowOff>148590</xdr:rowOff>
    </xdr:to>
    <xdr:sp macro="" textlink="CL2_LBAL5">
      <xdr:nvSpPr>
        <xdr:cNvPr id="35" name="7_5" hidden="1">
          <a:extLst>
            <a:ext uri="{FF2B5EF4-FFF2-40B4-BE49-F238E27FC236}">
              <a16:creationId xmlns:a16="http://schemas.microsoft.com/office/drawing/2014/main" id="{00000000-0008-0000-1300-000023000000}"/>
            </a:ext>
          </a:extLst>
        </xdr:cNvPr>
        <xdr:cNvSpPr txBox="1"/>
      </xdr:nvSpPr>
      <xdr:spPr>
        <a:xfrm>
          <a:off x="7746178" y="4745355"/>
          <a:ext cx="926660"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BFBC94B4-5138-4D48-971F-0978F6B06A0F}" type="TxLink">
            <a:rPr lang="en-US" sz="900" b="0" i="0" u="none" strike="noStrike">
              <a:solidFill>
                <a:srgbClr val="757171"/>
              </a:solidFill>
              <a:latin typeface="Arial"/>
              <a:cs typeface="Arial"/>
            </a:rPr>
            <a:pPr algn="ctr"/>
            <a:t> $0 </a:t>
          </a:fld>
          <a:endParaRPr lang="en-AU"/>
        </a:p>
      </xdr:txBody>
    </xdr:sp>
    <xdr:clientData/>
  </xdr:twoCellAnchor>
  <xdr:twoCellAnchor>
    <xdr:from>
      <xdr:col>10</xdr:col>
      <xdr:colOff>282283</xdr:colOff>
      <xdr:row>29</xdr:row>
      <xdr:rowOff>49530</xdr:rowOff>
    </xdr:from>
    <xdr:to>
      <xdr:col>12</xdr:col>
      <xdr:colOff>493287</xdr:colOff>
      <xdr:row>30</xdr:row>
      <xdr:rowOff>148590</xdr:rowOff>
    </xdr:to>
    <xdr:sp macro="" textlink="CL2_LBAL4">
      <xdr:nvSpPr>
        <xdr:cNvPr id="36" name="7_4" hidden="1">
          <a:extLst>
            <a:ext uri="{FF2B5EF4-FFF2-40B4-BE49-F238E27FC236}">
              <a16:creationId xmlns:a16="http://schemas.microsoft.com/office/drawing/2014/main" id="{00000000-0008-0000-1300-000024000000}"/>
            </a:ext>
          </a:extLst>
        </xdr:cNvPr>
        <xdr:cNvSpPr txBox="1"/>
      </xdr:nvSpPr>
      <xdr:spPr>
        <a:xfrm>
          <a:off x="6625933" y="4745355"/>
          <a:ext cx="915854"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00255E5C-28BC-4905-868A-253104019AA0}" type="TxLink">
            <a:rPr lang="en-US" sz="900" b="0" i="0" u="none" strike="noStrike">
              <a:solidFill>
                <a:srgbClr val="757171"/>
              </a:solidFill>
              <a:latin typeface="Arial"/>
              <a:cs typeface="Arial"/>
            </a:rPr>
            <a:pPr algn="ctr"/>
            <a:t> $0 </a:t>
          </a:fld>
          <a:endParaRPr lang="en-AU"/>
        </a:p>
      </xdr:txBody>
    </xdr:sp>
    <xdr:clientData/>
  </xdr:twoCellAnchor>
  <xdr:twoCellAnchor>
    <xdr:from>
      <xdr:col>7</xdr:col>
      <xdr:colOff>546562</xdr:colOff>
      <xdr:row>29</xdr:row>
      <xdr:rowOff>49530</xdr:rowOff>
    </xdr:from>
    <xdr:to>
      <xdr:col>10</xdr:col>
      <xdr:colOff>75214</xdr:colOff>
      <xdr:row>30</xdr:row>
      <xdr:rowOff>148590</xdr:rowOff>
    </xdr:to>
    <xdr:sp macro="" textlink="CL2_LBAL3">
      <xdr:nvSpPr>
        <xdr:cNvPr id="37" name="7_3" hidden="1">
          <a:extLst>
            <a:ext uri="{FF2B5EF4-FFF2-40B4-BE49-F238E27FC236}">
              <a16:creationId xmlns:a16="http://schemas.microsoft.com/office/drawing/2014/main" id="{00000000-0008-0000-1300-000025000000}"/>
            </a:ext>
          </a:extLst>
        </xdr:cNvPr>
        <xdr:cNvSpPr txBox="1"/>
      </xdr:nvSpPr>
      <xdr:spPr>
        <a:xfrm>
          <a:off x="5480512" y="4745355"/>
          <a:ext cx="938352"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4356BA72-7EFE-4854-A98E-B11E6D3AA65F}" type="TxLink">
            <a:rPr lang="en-US" sz="900" b="0" i="0" u="none" strike="noStrike">
              <a:solidFill>
                <a:srgbClr val="757171"/>
              </a:solidFill>
              <a:latin typeface="Arial"/>
              <a:cs typeface="Arial"/>
            </a:rPr>
            <a:pPr algn="ctr"/>
            <a:t> $0 </a:t>
          </a:fld>
          <a:endParaRPr lang="en-AU"/>
        </a:p>
      </xdr:txBody>
    </xdr:sp>
    <xdr:clientData/>
  </xdr:twoCellAnchor>
  <xdr:twoCellAnchor>
    <xdr:from>
      <xdr:col>6</xdr:col>
      <xdr:colOff>104137</xdr:colOff>
      <xdr:row>29</xdr:row>
      <xdr:rowOff>49530</xdr:rowOff>
    </xdr:from>
    <xdr:to>
      <xdr:col>7</xdr:col>
      <xdr:colOff>363359</xdr:colOff>
      <xdr:row>30</xdr:row>
      <xdr:rowOff>148590</xdr:rowOff>
    </xdr:to>
    <xdr:sp macro="" textlink="CL2_LBAL2">
      <xdr:nvSpPr>
        <xdr:cNvPr id="38" name="7_2" hidden="1">
          <a:extLst>
            <a:ext uri="{FF2B5EF4-FFF2-40B4-BE49-F238E27FC236}">
              <a16:creationId xmlns:a16="http://schemas.microsoft.com/office/drawing/2014/main" id="{00000000-0008-0000-1300-000026000000}"/>
            </a:ext>
          </a:extLst>
        </xdr:cNvPr>
        <xdr:cNvSpPr txBox="1"/>
      </xdr:nvSpPr>
      <xdr:spPr>
        <a:xfrm>
          <a:off x="4333237" y="4745355"/>
          <a:ext cx="964072"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B86FF91F-C13E-46DB-9C0B-9DA5B0F3453B}" type="TxLink">
            <a:rPr lang="en-US" sz="900" b="0" i="0" u="none" strike="noStrike">
              <a:solidFill>
                <a:srgbClr val="757171"/>
              </a:solidFill>
              <a:latin typeface="Arial"/>
              <a:cs typeface="Arial"/>
            </a:rPr>
            <a:pPr algn="ctr"/>
            <a:t> $0 </a:t>
          </a:fld>
          <a:endParaRPr lang="en-AU"/>
        </a:p>
      </xdr:txBody>
    </xdr:sp>
    <xdr:clientData/>
  </xdr:twoCellAnchor>
  <xdr:twoCellAnchor>
    <xdr:from>
      <xdr:col>4</xdr:col>
      <xdr:colOff>388820</xdr:colOff>
      <xdr:row>29</xdr:row>
      <xdr:rowOff>49530</xdr:rowOff>
    </xdr:from>
    <xdr:to>
      <xdr:col>5</xdr:col>
      <xdr:colOff>648041</xdr:colOff>
      <xdr:row>30</xdr:row>
      <xdr:rowOff>148590</xdr:rowOff>
    </xdr:to>
    <xdr:sp macro="" textlink="CL2_LBAL1">
      <xdr:nvSpPr>
        <xdr:cNvPr id="39" name="7_1" hidden="1">
          <a:extLst>
            <a:ext uri="{FF2B5EF4-FFF2-40B4-BE49-F238E27FC236}">
              <a16:creationId xmlns:a16="http://schemas.microsoft.com/office/drawing/2014/main" id="{00000000-0008-0000-1300-000027000000}"/>
            </a:ext>
          </a:extLst>
        </xdr:cNvPr>
        <xdr:cNvSpPr txBox="1"/>
      </xdr:nvSpPr>
      <xdr:spPr>
        <a:xfrm>
          <a:off x="3208220" y="4745355"/>
          <a:ext cx="964071"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6C7F32CE-4D53-4CCB-9BB9-D52F5D3B992A}" type="TxLink">
            <a:rPr lang="en-US" sz="900" b="0" i="0" u="none" strike="noStrike">
              <a:solidFill>
                <a:srgbClr val="757171"/>
              </a:solidFill>
              <a:latin typeface="Arial"/>
              <a:cs typeface="Arial"/>
            </a:rPr>
            <a:pPr algn="ctr"/>
            <a:t> $0 </a:t>
          </a:fld>
          <a:endParaRPr lang="en-AU" b="0"/>
        </a:p>
      </xdr:txBody>
    </xdr:sp>
    <xdr:clientData/>
  </xdr:twoCellAnchor>
  <xdr:twoCellAnchor>
    <xdr:from>
      <xdr:col>9</xdr:col>
      <xdr:colOff>153065</xdr:colOff>
      <xdr:row>37</xdr:row>
      <xdr:rowOff>125730</xdr:rowOff>
    </xdr:from>
    <xdr:to>
      <xdr:col>15</xdr:col>
      <xdr:colOff>236053</xdr:colOff>
      <xdr:row>38</xdr:row>
      <xdr:rowOff>0</xdr:rowOff>
    </xdr:to>
    <xdr:grpSp>
      <xdr:nvGrpSpPr>
        <xdr:cNvPr id="40" name="Group 39" hidden="1">
          <a:extLst>
            <a:ext uri="{FF2B5EF4-FFF2-40B4-BE49-F238E27FC236}">
              <a16:creationId xmlns:a16="http://schemas.microsoft.com/office/drawing/2014/main" id="{00000000-0008-0000-1300-000028000000}"/>
            </a:ext>
          </a:extLst>
        </xdr:cNvPr>
        <xdr:cNvGrpSpPr/>
      </xdr:nvGrpSpPr>
      <xdr:grpSpPr>
        <a:xfrm>
          <a:off x="2820065" y="6983730"/>
          <a:ext cx="1467288" cy="128270"/>
          <a:chOff x="5829016" y="6206490"/>
          <a:chExt cx="4026084" cy="259080"/>
        </a:xfrm>
      </xdr:grpSpPr>
      <xdr:sp macro="" textlink="'Construction Loan Calculator'!J27">
        <xdr:nvSpPr>
          <xdr:cNvPr id="41" name="10_2" hidden="1">
            <a:extLst>
              <a:ext uri="{FF2B5EF4-FFF2-40B4-BE49-F238E27FC236}">
                <a16:creationId xmlns:a16="http://schemas.microsoft.com/office/drawing/2014/main" id="{00000000-0008-0000-1300-000029000000}"/>
              </a:ext>
            </a:extLst>
          </xdr:cNvPr>
          <xdr:cNvSpPr txBox="1"/>
        </xdr:nvSpPr>
        <xdr:spPr>
          <a:xfrm>
            <a:off x="8358317" y="6206490"/>
            <a:ext cx="1496783"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marL="0" indent="0" algn="ctr"/>
            <a:fld id="{40084B40-84A2-4ABB-8969-8F5F8600CA0C}" type="TxLink">
              <a:rPr lang="en-US" sz="900" b="0" i="0" u="none" strike="noStrike">
                <a:solidFill>
                  <a:srgbClr val="757171"/>
                </a:solidFill>
                <a:latin typeface="Arial"/>
                <a:ea typeface="+mn-ea"/>
                <a:cs typeface="Arial"/>
              </a:rPr>
              <a:pPr marL="0" indent="0" algn="ctr"/>
              <a:t>$0</a:t>
            </a:fld>
            <a:endParaRPr lang="en-AU" sz="900" b="0" i="0" u="none" strike="noStrike">
              <a:solidFill>
                <a:srgbClr val="757171"/>
              </a:solidFill>
              <a:latin typeface="Arial"/>
              <a:ea typeface="+mn-ea"/>
              <a:cs typeface="Arial"/>
            </a:endParaRPr>
          </a:p>
        </xdr:txBody>
      </xdr:sp>
      <xdr:sp macro="" textlink="'Construction Loan Calculator'!J26">
        <xdr:nvSpPr>
          <xdr:cNvPr id="42" name="10_1" hidden="1">
            <a:extLst>
              <a:ext uri="{FF2B5EF4-FFF2-40B4-BE49-F238E27FC236}">
                <a16:creationId xmlns:a16="http://schemas.microsoft.com/office/drawing/2014/main" id="{00000000-0008-0000-1300-00002A000000}"/>
              </a:ext>
            </a:extLst>
          </xdr:cNvPr>
          <xdr:cNvSpPr txBox="1"/>
        </xdr:nvSpPr>
        <xdr:spPr>
          <a:xfrm>
            <a:off x="5829016" y="6206490"/>
            <a:ext cx="146963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marL="0" indent="0" algn="ctr"/>
            <a:fld id="{0B041E10-4904-42C6-802B-31B06728C713}" type="TxLink">
              <a:rPr lang="en-US" sz="900" b="0" i="0" u="none" strike="noStrike">
                <a:solidFill>
                  <a:srgbClr val="757171"/>
                </a:solidFill>
                <a:latin typeface="Arial"/>
                <a:ea typeface="+mn-ea"/>
                <a:cs typeface="Arial"/>
              </a:rPr>
              <a:pPr marL="0" indent="0" algn="ctr"/>
              <a:t>$0</a:t>
            </a:fld>
            <a:endParaRPr lang="en-AU" sz="900" b="0" i="0" u="none" strike="noStrike">
              <a:solidFill>
                <a:srgbClr val="757171"/>
              </a:solidFill>
              <a:latin typeface="Arial"/>
              <a:ea typeface="+mn-ea"/>
              <a:cs typeface="Arial"/>
            </a:endParaRPr>
          </a:p>
        </xdr:txBody>
      </xdr:sp>
    </xdr:grpSp>
    <xdr:clientData/>
  </xdr:twoCellAnchor>
  <xdr:oneCellAnchor>
    <xdr:from>
      <xdr:col>4</xdr:col>
      <xdr:colOff>0</xdr:colOff>
      <xdr:row>36</xdr:row>
      <xdr:rowOff>148590</xdr:rowOff>
    </xdr:from>
    <xdr:ext cx="1676400" cy="259080"/>
    <xdr:sp macro="" textlink="'Construction Loan Calculator'!U18">
      <xdr:nvSpPr>
        <xdr:cNvPr id="43" name="9_1" hidden="1">
          <a:extLst>
            <a:ext uri="{FF2B5EF4-FFF2-40B4-BE49-F238E27FC236}">
              <a16:creationId xmlns:a16="http://schemas.microsoft.com/office/drawing/2014/main" id="{00000000-0008-0000-1300-00002B000000}"/>
            </a:ext>
          </a:extLst>
        </xdr:cNvPr>
        <xdr:cNvSpPr txBox="1"/>
      </xdr:nvSpPr>
      <xdr:spPr>
        <a:xfrm>
          <a:off x="2502840" y="5977890"/>
          <a:ext cx="1676400" cy="2590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E47672F1-D832-4579-95B0-E3DA83881907}" type="TxLink">
            <a:rPr lang="en-US" sz="900" b="0" i="0" u="none" strike="noStrike">
              <a:solidFill>
                <a:srgbClr val="757171"/>
              </a:solidFill>
              <a:latin typeface="Arial"/>
              <a:cs typeface="Arial"/>
            </a:rPr>
            <a:pPr algn="ctr"/>
            <a:t> $0 </a:t>
          </a:fld>
          <a:endParaRPr lang="en-AU"/>
        </a:p>
      </xdr:txBody>
    </xdr:sp>
    <xdr:clientData/>
  </xdr:oneCellAnchor>
  <xdr:twoCellAnchor>
    <xdr:from>
      <xdr:col>14</xdr:col>
      <xdr:colOff>430585</xdr:colOff>
      <xdr:row>31</xdr:row>
      <xdr:rowOff>19050</xdr:rowOff>
    </xdr:from>
    <xdr:to>
      <xdr:col>15</xdr:col>
      <xdr:colOff>658540</xdr:colOff>
      <xdr:row>32</xdr:row>
      <xdr:rowOff>118110</xdr:rowOff>
    </xdr:to>
    <xdr:sp macro="" textlink="'Construction Loan Calculator'!V17">
      <xdr:nvSpPr>
        <xdr:cNvPr id="44" name="8_6" hidden="1">
          <a:extLst>
            <a:ext uri="{FF2B5EF4-FFF2-40B4-BE49-F238E27FC236}">
              <a16:creationId xmlns:a16="http://schemas.microsoft.com/office/drawing/2014/main" id="{00000000-0008-0000-1300-00002C000000}"/>
            </a:ext>
          </a:extLst>
        </xdr:cNvPr>
        <xdr:cNvSpPr txBox="1"/>
      </xdr:nvSpPr>
      <xdr:spPr>
        <a:xfrm>
          <a:off x="8888785" y="5038725"/>
          <a:ext cx="932805"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CB9A5720-54F1-4700-BC64-2F9D06F2B9CE}" type="TxLink">
            <a:rPr lang="en-US" sz="900" b="0" i="0" u="none" strike="noStrike">
              <a:solidFill>
                <a:srgbClr val="757171"/>
              </a:solidFill>
              <a:latin typeface="Arial"/>
              <a:cs typeface="Arial"/>
            </a:rPr>
            <a:pPr algn="ctr"/>
            <a:t> $0 </a:t>
          </a:fld>
          <a:endParaRPr lang="en-AU"/>
        </a:p>
      </xdr:txBody>
    </xdr:sp>
    <xdr:clientData/>
  </xdr:twoCellAnchor>
  <xdr:twoCellAnchor>
    <xdr:from>
      <xdr:col>12</xdr:col>
      <xdr:colOff>697678</xdr:colOff>
      <xdr:row>31</xdr:row>
      <xdr:rowOff>19050</xdr:rowOff>
    </xdr:from>
    <xdr:to>
      <xdr:col>14</xdr:col>
      <xdr:colOff>214638</xdr:colOff>
      <xdr:row>32</xdr:row>
      <xdr:rowOff>118110</xdr:rowOff>
    </xdr:to>
    <xdr:sp macro="" textlink="'Construction Loan Calculator'!V16">
      <xdr:nvSpPr>
        <xdr:cNvPr id="45" name="8_5" hidden="1">
          <a:extLst>
            <a:ext uri="{FF2B5EF4-FFF2-40B4-BE49-F238E27FC236}">
              <a16:creationId xmlns:a16="http://schemas.microsoft.com/office/drawing/2014/main" id="{00000000-0008-0000-1300-00002D000000}"/>
            </a:ext>
          </a:extLst>
        </xdr:cNvPr>
        <xdr:cNvSpPr txBox="1"/>
      </xdr:nvSpPr>
      <xdr:spPr>
        <a:xfrm>
          <a:off x="7746178" y="5038725"/>
          <a:ext cx="926660"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955AA378-35BB-4324-AA8D-E0356DF9BC4F}" type="TxLink">
            <a:rPr lang="en-US" sz="900" b="0" i="0" u="none" strike="noStrike">
              <a:solidFill>
                <a:srgbClr val="757171"/>
              </a:solidFill>
              <a:latin typeface="Arial"/>
              <a:cs typeface="Arial"/>
            </a:rPr>
            <a:pPr algn="ctr"/>
            <a:t> $0 </a:t>
          </a:fld>
          <a:endParaRPr lang="en-AU"/>
        </a:p>
      </xdr:txBody>
    </xdr:sp>
    <xdr:clientData/>
  </xdr:twoCellAnchor>
  <xdr:twoCellAnchor>
    <xdr:from>
      <xdr:col>10</xdr:col>
      <xdr:colOff>282283</xdr:colOff>
      <xdr:row>31</xdr:row>
      <xdr:rowOff>19050</xdr:rowOff>
    </xdr:from>
    <xdr:to>
      <xdr:col>12</xdr:col>
      <xdr:colOff>493287</xdr:colOff>
      <xdr:row>32</xdr:row>
      <xdr:rowOff>118110</xdr:rowOff>
    </xdr:to>
    <xdr:sp macro="" textlink="'Construction Loan Calculator'!V15">
      <xdr:nvSpPr>
        <xdr:cNvPr id="46" name="8_4" hidden="1">
          <a:extLst>
            <a:ext uri="{FF2B5EF4-FFF2-40B4-BE49-F238E27FC236}">
              <a16:creationId xmlns:a16="http://schemas.microsoft.com/office/drawing/2014/main" id="{00000000-0008-0000-1300-00002E000000}"/>
            </a:ext>
          </a:extLst>
        </xdr:cNvPr>
        <xdr:cNvSpPr txBox="1"/>
      </xdr:nvSpPr>
      <xdr:spPr>
        <a:xfrm>
          <a:off x="6625933" y="5038725"/>
          <a:ext cx="915854"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D2EA00B9-1AF5-4815-99D4-2C455947CD5E}" type="TxLink">
            <a:rPr lang="en-US" sz="900" b="0" i="0" u="none" strike="noStrike">
              <a:solidFill>
                <a:srgbClr val="757171"/>
              </a:solidFill>
              <a:latin typeface="Arial"/>
              <a:cs typeface="Arial"/>
            </a:rPr>
            <a:pPr algn="ctr"/>
            <a:t> $0 </a:t>
          </a:fld>
          <a:endParaRPr lang="en-AU"/>
        </a:p>
      </xdr:txBody>
    </xdr:sp>
    <xdr:clientData/>
  </xdr:twoCellAnchor>
  <xdr:twoCellAnchor>
    <xdr:from>
      <xdr:col>7</xdr:col>
      <xdr:colOff>546562</xdr:colOff>
      <xdr:row>31</xdr:row>
      <xdr:rowOff>19050</xdr:rowOff>
    </xdr:from>
    <xdr:to>
      <xdr:col>10</xdr:col>
      <xdr:colOff>75214</xdr:colOff>
      <xdr:row>32</xdr:row>
      <xdr:rowOff>118110</xdr:rowOff>
    </xdr:to>
    <xdr:sp macro="" textlink="'Construction Loan Calculator'!V14">
      <xdr:nvSpPr>
        <xdr:cNvPr id="47" name="8_3" hidden="1">
          <a:extLst>
            <a:ext uri="{FF2B5EF4-FFF2-40B4-BE49-F238E27FC236}">
              <a16:creationId xmlns:a16="http://schemas.microsoft.com/office/drawing/2014/main" id="{00000000-0008-0000-1300-00002F000000}"/>
            </a:ext>
          </a:extLst>
        </xdr:cNvPr>
        <xdr:cNvSpPr txBox="1"/>
      </xdr:nvSpPr>
      <xdr:spPr>
        <a:xfrm>
          <a:off x="5480512" y="5038725"/>
          <a:ext cx="938352"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118670B9-7471-4ED0-A291-4B7D5694E829}" type="TxLink">
            <a:rPr lang="en-US" sz="900" b="0" i="0" u="none" strike="noStrike">
              <a:solidFill>
                <a:srgbClr val="757171"/>
              </a:solidFill>
              <a:latin typeface="Arial"/>
              <a:cs typeface="Arial"/>
            </a:rPr>
            <a:pPr algn="ctr"/>
            <a:t> $0 </a:t>
          </a:fld>
          <a:endParaRPr lang="en-AU"/>
        </a:p>
      </xdr:txBody>
    </xdr:sp>
    <xdr:clientData/>
  </xdr:twoCellAnchor>
  <xdr:twoCellAnchor>
    <xdr:from>
      <xdr:col>6</xdr:col>
      <xdr:colOff>104137</xdr:colOff>
      <xdr:row>31</xdr:row>
      <xdr:rowOff>19050</xdr:rowOff>
    </xdr:from>
    <xdr:to>
      <xdr:col>7</xdr:col>
      <xdr:colOff>363359</xdr:colOff>
      <xdr:row>32</xdr:row>
      <xdr:rowOff>118110</xdr:rowOff>
    </xdr:to>
    <xdr:sp macro="" textlink="'Construction Loan Calculator'!V13">
      <xdr:nvSpPr>
        <xdr:cNvPr id="48" name="8_2" hidden="1">
          <a:extLst>
            <a:ext uri="{FF2B5EF4-FFF2-40B4-BE49-F238E27FC236}">
              <a16:creationId xmlns:a16="http://schemas.microsoft.com/office/drawing/2014/main" id="{00000000-0008-0000-1300-000030000000}"/>
            </a:ext>
          </a:extLst>
        </xdr:cNvPr>
        <xdr:cNvSpPr txBox="1"/>
      </xdr:nvSpPr>
      <xdr:spPr>
        <a:xfrm>
          <a:off x="4333237" y="5038725"/>
          <a:ext cx="964072"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F2E0AFAE-FFB4-4B84-9B5C-321C4F0E6819}" type="TxLink">
            <a:rPr lang="en-US" sz="900" b="0" i="0" u="none" strike="noStrike">
              <a:solidFill>
                <a:srgbClr val="757171"/>
              </a:solidFill>
              <a:latin typeface="Arial"/>
              <a:cs typeface="Arial"/>
            </a:rPr>
            <a:pPr algn="ctr"/>
            <a:t> $0 </a:t>
          </a:fld>
          <a:endParaRPr lang="en-AU"/>
        </a:p>
      </xdr:txBody>
    </xdr:sp>
    <xdr:clientData/>
  </xdr:twoCellAnchor>
  <xdr:twoCellAnchor>
    <xdr:from>
      <xdr:col>4</xdr:col>
      <xdr:colOff>388820</xdr:colOff>
      <xdr:row>31</xdr:row>
      <xdr:rowOff>19050</xdr:rowOff>
    </xdr:from>
    <xdr:to>
      <xdr:col>5</xdr:col>
      <xdr:colOff>648041</xdr:colOff>
      <xdr:row>32</xdr:row>
      <xdr:rowOff>118110</xdr:rowOff>
    </xdr:to>
    <xdr:sp macro="" textlink="'Construction Loan Calculator'!V12">
      <xdr:nvSpPr>
        <xdr:cNvPr id="49" name="8_1" hidden="1">
          <a:extLst>
            <a:ext uri="{FF2B5EF4-FFF2-40B4-BE49-F238E27FC236}">
              <a16:creationId xmlns:a16="http://schemas.microsoft.com/office/drawing/2014/main" id="{00000000-0008-0000-1300-000031000000}"/>
            </a:ext>
          </a:extLst>
        </xdr:cNvPr>
        <xdr:cNvSpPr txBox="1"/>
      </xdr:nvSpPr>
      <xdr:spPr>
        <a:xfrm>
          <a:off x="3208220" y="5038725"/>
          <a:ext cx="964071" cy="260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fld id="{E9AD0AEC-4BD1-4AB4-AD36-AB89DBBAD34C}" type="TxLink">
            <a:rPr lang="en-US" sz="900" b="0" i="0" u="none" strike="noStrike">
              <a:solidFill>
                <a:srgbClr val="757171"/>
              </a:solidFill>
              <a:latin typeface="Arial"/>
              <a:cs typeface="Arial"/>
            </a:rPr>
            <a:pPr algn="ctr"/>
            <a:t> $0 </a:t>
          </a:fld>
          <a:endParaRPr lang="en-AU"/>
        </a:p>
      </xdr:txBody>
    </xdr:sp>
    <xdr:clientData/>
  </xdr:twoCellAnchor>
  <xdr:twoCellAnchor>
    <xdr:from>
      <xdr:col>14</xdr:col>
      <xdr:colOff>347871</xdr:colOff>
      <xdr:row>5</xdr:row>
      <xdr:rowOff>63887</xdr:rowOff>
    </xdr:from>
    <xdr:to>
      <xdr:col>17</xdr:col>
      <xdr:colOff>102689</xdr:colOff>
      <xdr:row>7</xdr:row>
      <xdr:rowOff>8463</xdr:rowOff>
    </xdr:to>
    <xdr:sp macro="" textlink="">
      <xdr:nvSpPr>
        <xdr:cNvPr id="50" name="1_4_Date" hidden="1">
          <a:extLst>
            <a:ext uri="{FF2B5EF4-FFF2-40B4-BE49-F238E27FC236}">
              <a16:creationId xmlns:a16="http://schemas.microsoft.com/office/drawing/2014/main" id="{00000000-0008-0000-1300-000032000000}"/>
            </a:ext>
          </a:extLst>
        </xdr:cNvPr>
        <xdr:cNvSpPr txBox="1"/>
      </xdr:nvSpPr>
      <xdr:spPr>
        <a:xfrm>
          <a:off x="8806071" y="873512"/>
          <a:ext cx="1164518" cy="268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AU">
              <a:latin typeface="Arial" panose="020B0604020202020204" pitchFamily="34" charset="0"/>
              <a:cs typeface="Arial" panose="020B0604020202020204" pitchFamily="34" charset="0"/>
            </a:rPr>
            <a:t>27/06/2022</a:t>
          </a:r>
        </a:p>
      </xdr:txBody>
    </xdr:sp>
    <xdr:clientData/>
  </xdr:twoCellAnchor>
  <xdr:twoCellAnchor editAs="oneCell">
    <xdr:from>
      <xdr:col>40</xdr:col>
      <xdr:colOff>237420</xdr:colOff>
      <xdr:row>15</xdr:row>
      <xdr:rowOff>127304</xdr:rowOff>
    </xdr:from>
    <xdr:to>
      <xdr:col>41</xdr:col>
      <xdr:colOff>554701</xdr:colOff>
      <xdr:row>16</xdr:row>
      <xdr:rowOff>21929</xdr:rowOff>
    </xdr:to>
    <xdr:pic>
      <xdr:nvPicPr>
        <xdr:cNvPr id="43019" name="Picture 43018">
          <a:extLst>
            <a:ext uri="{FF2B5EF4-FFF2-40B4-BE49-F238E27FC236}">
              <a16:creationId xmlns:a16="http://schemas.microsoft.com/office/drawing/2014/main" id="{00000000-0008-0000-1300-00000BA80000}"/>
            </a:ext>
          </a:extLst>
        </xdr:cNvPr>
        <xdr:cNvPicPr>
          <a:picLocks noChangeAspect="1"/>
        </xdr:cNvPicPr>
      </xdr:nvPicPr>
      <xdr:blipFill rotWithShape="1">
        <a:blip xmlns:r="http://schemas.openxmlformats.org/officeDocument/2006/relationships" r:embed="rId1"/>
        <a:srcRect l="91070"/>
        <a:stretch/>
      </xdr:blipFill>
      <xdr:spPr>
        <a:xfrm>
          <a:off x="9505245" y="3041954"/>
          <a:ext cx="564931" cy="351825"/>
        </a:xfrm>
        <a:prstGeom prst="rect">
          <a:avLst/>
        </a:prstGeom>
      </xdr:spPr>
    </xdr:pic>
    <xdr:clientData/>
  </xdr:twoCellAnchor>
  <xdr:twoCellAnchor editAs="oneCell">
    <xdr:from>
      <xdr:col>33</xdr:col>
      <xdr:colOff>210066</xdr:colOff>
      <xdr:row>15</xdr:row>
      <xdr:rowOff>122752</xdr:rowOff>
    </xdr:from>
    <xdr:to>
      <xdr:col>36</xdr:col>
      <xdr:colOff>156202</xdr:colOff>
      <xdr:row>16</xdr:row>
      <xdr:rowOff>17377</xdr:rowOff>
    </xdr:to>
    <xdr:pic>
      <xdr:nvPicPr>
        <xdr:cNvPr id="71" name="Picture 70">
          <a:extLst>
            <a:ext uri="{FF2B5EF4-FFF2-40B4-BE49-F238E27FC236}">
              <a16:creationId xmlns:a16="http://schemas.microsoft.com/office/drawing/2014/main" id="{00000000-0008-0000-1300-000047000000}"/>
            </a:ext>
          </a:extLst>
        </xdr:cNvPr>
        <xdr:cNvPicPr>
          <a:picLocks noChangeAspect="1"/>
        </xdr:cNvPicPr>
      </xdr:nvPicPr>
      <xdr:blipFill rotWithShape="1">
        <a:blip xmlns:r="http://schemas.openxmlformats.org/officeDocument/2006/relationships" r:embed="rId1"/>
        <a:srcRect l="71942" r="18920"/>
        <a:stretch/>
      </xdr:blipFill>
      <xdr:spPr>
        <a:xfrm>
          <a:off x="8296791" y="3037402"/>
          <a:ext cx="593836" cy="351825"/>
        </a:xfrm>
        <a:prstGeom prst="rect">
          <a:avLst/>
        </a:prstGeom>
      </xdr:spPr>
    </xdr:pic>
    <xdr:clientData/>
  </xdr:twoCellAnchor>
  <xdr:twoCellAnchor editAs="oneCell">
    <xdr:from>
      <xdr:col>27</xdr:col>
      <xdr:colOff>255815</xdr:colOff>
      <xdr:row>15</xdr:row>
      <xdr:rowOff>122707</xdr:rowOff>
    </xdr:from>
    <xdr:to>
      <xdr:col>30</xdr:col>
      <xdr:colOff>78782</xdr:colOff>
      <xdr:row>16</xdr:row>
      <xdr:rowOff>17332</xdr:rowOff>
    </xdr:to>
    <xdr:pic>
      <xdr:nvPicPr>
        <xdr:cNvPr id="72" name="Picture 71">
          <a:extLst>
            <a:ext uri="{FF2B5EF4-FFF2-40B4-BE49-F238E27FC236}">
              <a16:creationId xmlns:a16="http://schemas.microsoft.com/office/drawing/2014/main" id="{00000000-0008-0000-1300-000048000000}"/>
            </a:ext>
          </a:extLst>
        </xdr:cNvPr>
        <xdr:cNvPicPr>
          <a:picLocks noChangeAspect="1"/>
        </xdr:cNvPicPr>
      </xdr:nvPicPr>
      <xdr:blipFill rotWithShape="1">
        <a:blip xmlns:r="http://schemas.openxmlformats.org/officeDocument/2006/relationships" r:embed="rId1"/>
        <a:srcRect l="54268" r="37425"/>
        <a:stretch/>
      </xdr:blipFill>
      <xdr:spPr>
        <a:xfrm>
          <a:off x="7142390" y="3037357"/>
          <a:ext cx="518292" cy="351825"/>
        </a:xfrm>
        <a:prstGeom prst="rect">
          <a:avLst/>
        </a:prstGeom>
      </xdr:spPr>
    </xdr:pic>
    <xdr:clientData/>
  </xdr:twoCellAnchor>
  <xdr:twoCellAnchor editAs="oneCell">
    <xdr:from>
      <xdr:col>22</xdr:col>
      <xdr:colOff>130253</xdr:colOff>
      <xdr:row>15</xdr:row>
      <xdr:rowOff>117217</xdr:rowOff>
    </xdr:from>
    <xdr:to>
      <xdr:col>24</xdr:col>
      <xdr:colOff>332577</xdr:colOff>
      <xdr:row>16</xdr:row>
      <xdr:rowOff>11842</xdr:rowOff>
    </xdr:to>
    <xdr:pic>
      <xdr:nvPicPr>
        <xdr:cNvPr id="73" name="Picture 72">
          <a:extLst>
            <a:ext uri="{FF2B5EF4-FFF2-40B4-BE49-F238E27FC236}">
              <a16:creationId xmlns:a16="http://schemas.microsoft.com/office/drawing/2014/main" id="{00000000-0008-0000-1300-000049000000}"/>
            </a:ext>
          </a:extLst>
        </xdr:cNvPr>
        <xdr:cNvPicPr>
          <a:picLocks noChangeAspect="1"/>
        </xdr:cNvPicPr>
      </xdr:nvPicPr>
      <xdr:blipFill rotWithShape="1">
        <a:blip xmlns:r="http://schemas.openxmlformats.org/officeDocument/2006/relationships" r:embed="rId1"/>
        <a:srcRect l="36282" r="55826"/>
        <a:stretch/>
      </xdr:blipFill>
      <xdr:spPr>
        <a:xfrm>
          <a:off x="5969078" y="3031867"/>
          <a:ext cx="507124" cy="351825"/>
        </a:xfrm>
        <a:prstGeom prst="rect">
          <a:avLst/>
        </a:prstGeom>
      </xdr:spPr>
    </xdr:pic>
    <xdr:clientData/>
  </xdr:twoCellAnchor>
  <xdr:twoCellAnchor editAs="oneCell">
    <xdr:from>
      <xdr:col>19</xdr:col>
      <xdr:colOff>12152</xdr:colOff>
      <xdr:row>15</xdr:row>
      <xdr:rowOff>109240</xdr:rowOff>
    </xdr:from>
    <xdr:to>
      <xdr:col>19</xdr:col>
      <xdr:colOff>504496</xdr:colOff>
      <xdr:row>16</xdr:row>
      <xdr:rowOff>3865</xdr:rowOff>
    </xdr:to>
    <xdr:pic>
      <xdr:nvPicPr>
        <xdr:cNvPr id="74" name="Picture 73">
          <a:extLst>
            <a:ext uri="{FF2B5EF4-FFF2-40B4-BE49-F238E27FC236}">
              <a16:creationId xmlns:a16="http://schemas.microsoft.com/office/drawing/2014/main" id="{00000000-0008-0000-1300-00004A000000}"/>
            </a:ext>
          </a:extLst>
        </xdr:cNvPr>
        <xdr:cNvPicPr>
          <a:picLocks noChangeAspect="1"/>
        </xdr:cNvPicPr>
      </xdr:nvPicPr>
      <xdr:blipFill rotWithShape="1">
        <a:blip xmlns:r="http://schemas.openxmlformats.org/officeDocument/2006/relationships" r:embed="rId1"/>
        <a:srcRect l="18401" r="74122"/>
        <a:stretch/>
      </xdr:blipFill>
      <xdr:spPr>
        <a:xfrm>
          <a:off x="4784177" y="3023890"/>
          <a:ext cx="492344" cy="351825"/>
        </a:xfrm>
        <a:prstGeom prst="rect">
          <a:avLst/>
        </a:prstGeom>
      </xdr:spPr>
    </xdr:pic>
    <xdr:clientData/>
  </xdr:twoCellAnchor>
  <xdr:twoCellAnchor editAs="oneCell">
    <xdr:from>
      <xdr:col>12</xdr:col>
      <xdr:colOff>111345</xdr:colOff>
      <xdr:row>15</xdr:row>
      <xdr:rowOff>81973</xdr:rowOff>
    </xdr:from>
    <xdr:to>
      <xdr:col>14</xdr:col>
      <xdr:colOff>216776</xdr:colOff>
      <xdr:row>15</xdr:row>
      <xdr:rowOff>433798</xdr:rowOff>
    </xdr:to>
    <xdr:pic>
      <xdr:nvPicPr>
        <xdr:cNvPr id="75" name="Picture 74">
          <a:extLst>
            <a:ext uri="{FF2B5EF4-FFF2-40B4-BE49-F238E27FC236}">
              <a16:creationId xmlns:a16="http://schemas.microsoft.com/office/drawing/2014/main" id="{00000000-0008-0000-1300-00004B000000}"/>
            </a:ext>
          </a:extLst>
        </xdr:cNvPr>
        <xdr:cNvPicPr>
          <a:picLocks noChangeAspect="1"/>
        </xdr:cNvPicPr>
      </xdr:nvPicPr>
      <xdr:blipFill rotWithShape="1">
        <a:blip xmlns:r="http://schemas.openxmlformats.org/officeDocument/2006/relationships" r:embed="rId1"/>
        <a:srcRect r="92627"/>
        <a:stretch/>
      </xdr:blipFill>
      <xdr:spPr>
        <a:xfrm>
          <a:off x="3616545" y="2996623"/>
          <a:ext cx="476906" cy="351825"/>
        </a:xfrm>
        <a:prstGeom prst="rect">
          <a:avLst/>
        </a:prstGeom>
      </xdr:spPr>
    </xdr:pic>
    <xdr:clientData/>
  </xdr:twoCellAnchor>
  <xdr:twoCellAnchor editAs="oneCell">
    <xdr:from>
      <xdr:col>1</xdr:col>
      <xdr:colOff>337101</xdr:colOff>
      <xdr:row>0</xdr:row>
      <xdr:rowOff>342900</xdr:rowOff>
    </xdr:from>
    <xdr:to>
      <xdr:col>4</xdr:col>
      <xdr:colOff>57151</xdr:colOff>
      <xdr:row>2</xdr:row>
      <xdr:rowOff>104775</xdr:rowOff>
    </xdr:to>
    <xdr:pic>
      <xdr:nvPicPr>
        <xdr:cNvPr id="56" name="Picture 55">
          <a:extLst>
            <a:ext uri="{FF2B5EF4-FFF2-40B4-BE49-F238E27FC236}">
              <a16:creationId xmlns:a16="http://schemas.microsoft.com/office/drawing/2014/main" id="{00000000-0008-0000-1300-000038000000}"/>
            </a:ext>
          </a:extLst>
        </xdr:cNvPr>
        <xdr:cNvPicPr>
          <a:picLocks noChangeAspect="1"/>
        </xdr:cNvPicPr>
      </xdr:nvPicPr>
      <xdr:blipFill>
        <a:blip xmlns:r="http://schemas.openxmlformats.org/officeDocument/2006/relationships" r:embed="rId2"/>
        <a:stretch>
          <a:fillRect/>
        </a:stretch>
      </xdr:blipFill>
      <xdr:spPr>
        <a:xfrm>
          <a:off x="603801" y="342900"/>
          <a:ext cx="1091650" cy="323850"/>
        </a:xfrm>
        <a:prstGeom prst="rect">
          <a:avLst/>
        </a:prstGeom>
      </xdr:spPr>
    </xdr:pic>
    <xdr:clientData/>
  </xdr:twoCellAnchor>
  <xdr:twoCellAnchor editAs="oneCell">
    <xdr:from>
      <xdr:col>1</xdr:col>
      <xdr:colOff>9526</xdr:colOff>
      <xdr:row>0</xdr:row>
      <xdr:rowOff>19050</xdr:rowOff>
    </xdr:from>
    <xdr:to>
      <xdr:col>43</xdr:col>
      <xdr:colOff>200025</xdr:colOff>
      <xdr:row>3</xdr:row>
      <xdr:rowOff>6382</xdr:rowOff>
    </xdr:to>
    <xdr:pic>
      <xdr:nvPicPr>
        <xdr:cNvPr id="43014" name="Picture 43013" descr="ANZ Construction Loan Conversation Summary">
          <a:extLst>
            <a:ext uri="{FF2B5EF4-FFF2-40B4-BE49-F238E27FC236}">
              <a16:creationId xmlns:a16="http://schemas.microsoft.com/office/drawing/2014/main" id="{00000000-0008-0000-1300-000006A80000}"/>
            </a:ext>
          </a:extLst>
        </xdr:cNvPr>
        <xdr:cNvPicPr>
          <a:picLocks noChangeAspect="1"/>
        </xdr:cNvPicPr>
      </xdr:nvPicPr>
      <xdr:blipFill>
        <a:blip xmlns:r="http://schemas.openxmlformats.org/officeDocument/2006/relationships" r:embed="rId3"/>
        <a:stretch>
          <a:fillRect/>
        </a:stretch>
      </xdr:blipFill>
      <xdr:spPr>
        <a:xfrm>
          <a:off x="200026" y="19050"/>
          <a:ext cx="10420349" cy="70170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10</xdr:col>
      <xdr:colOff>1447800</xdr:colOff>
      <xdr:row>15</xdr:row>
      <xdr:rowOff>19050</xdr:rowOff>
    </xdr:from>
    <xdr:to>
      <xdr:col>10</xdr:col>
      <xdr:colOff>1607586</xdr:colOff>
      <xdr:row>15</xdr:row>
      <xdr:rowOff>183642</xdr:rowOff>
    </xdr:to>
    <xdr:pic macro="[0]!NP_Purchase_Fees">
      <xdr:nvPicPr>
        <xdr:cNvPr id="32" name="NP_PCC_False" hidden="1">
          <a:extLst>
            <a:ext uri="{FF2B5EF4-FFF2-40B4-BE49-F238E27FC236}">
              <a16:creationId xmlns:a16="http://schemas.microsoft.com/office/drawing/2014/main" id="{00000000-0008-0000-1400-00002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35758" y="2159753"/>
          <a:ext cx="159786"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1633045</xdr:colOff>
      <xdr:row>15</xdr:row>
      <xdr:rowOff>22663</xdr:rowOff>
    </xdr:from>
    <xdr:to>
      <xdr:col>11</xdr:col>
      <xdr:colOff>94926</xdr:colOff>
      <xdr:row>15</xdr:row>
      <xdr:rowOff>187255</xdr:rowOff>
    </xdr:to>
    <xdr:pic macro="[0]!NP_Purchase_Fees">
      <xdr:nvPicPr>
        <xdr:cNvPr id="33" name="NP_PC5_True" hidden="1">
          <a:extLst>
            <a:ext uri="{FF2B5EF4-FFF2-40B4-BE49-F238E27FC236}">
              <a16:creationId xmlns:a16="http://schemas.microsoft.com/office/drawing/2014/main" id="{00000000-0008-0000-1400-00002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14545" y="2156263"/>
          <a:ext cx="157331"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1633045</xdr:colOff>
      <xdr:row>15</xdr:row>
      <xdr:rowOff>22663</xdr:rowOff>
    </xdr:from>
    <xdr:to>
      <xdr:col>11</xdr:col>
      <xdr:colOff>96337</xdr:colOff>
      <xdr:row>15</xdr:row>
      <xdr:rowOff>187255</xdr:rowOff>
    </xdr:to>
    <xdr:pic macro="[0]!NP_Purchase_Fees">
      <xdr:nvPicPr>
        <xdr:cNvPr id="34" name="NP_PC5_False">
          <a:extLst>
            <a:ext uri="{FF2B5EF4-FFF2-40B4-BE49-F238E27FC236}">
              <a16:creationId xmlns:a16="http://schemas.microsoft.com/office/drawing/2014/main" id="{00000000-0008-0000-1400-00002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14545" y="2156263"/>
          <a:ext cx="158742"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1448458</xdr:colOff>
      <xdr:row>15</xdr:row>
      <xdr:rowOff>22663</xdr:rowOff>
    </xdr:from>
    <xdr:to>
      <xdr:col>10</xdr:col>
      <xdr:colOff>1604096</xdr:colOff>
      <xdr:row>15</xdr:row>
      <xdr:rowOff>187255</xdr:rowOff>
    </xdr:to>
    <xdr:pic macro="[0]!NP_Purchase_Fees">
      <xdr:nvPicPr>
        <xdr:cNvPr id="35" name="NP_PCC_True">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829958" y="2156263"/>
          <a:ext cx="155638"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1628775</xdr:colOff>
      <xdr:row>15</xdr:row>
      <xdr:rowOff>28575</xdr:rowOff>
    </xdr:from>
    <xdr:to>
      <xdr:col>4</xdr:col>
      <xdr:colOff>92067</xdr:colOff>
      <xdr:row>16</xdr:row>
      <xdr:rowOff>2667</xdr:rowOff>
    </xdr:to>
    <xdr:pic macro="[0]!CP_Sales_Costs">
      <xdr:nvPicPr>
        <xdr:cNvPr id="41" name="CP_PC5_False" hidden="1">
          <a:extLst>
            <a:ext uri="{FF2B5EF4-FFF2-40B4-BE49-F238E27FC236}">
              <a16:creationId xmlns:a16="http://schemas.microsoft.com/office/drawing/2014/main" id="{00000000-0008-0000-1400-00002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52625" y="2162175"/>
          <a:ext cx="158742"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1619250</xdr:colOff>
      <xdr:row>15</xdr:row>
      <xdr:rowOff>19050</xdr:rowOff>
    </xdr:from>
    <xdr:to>
      <xdr:col>4</xdr:col>
      <xdr:colOff>81131</xdr:colOff>
      <xdr:row>15</xdr:row>
      <xdr:rowOff>183642</xdr:rowOff>
    </xdr:to>
    <xdr:pic macro="[0]!NP_Purchase_Fees">
      <xdr:nvPicPr>
        <xdr:cNvPr id="42" name="CP_PC5_True" hidden="1">
          <a:extLst>
            <a:ext uri="{FF2B5EF4-FFF2-40B4-BE49-F238E27FC236}">
              <a16:creationId xmlns:a16="http://schemas.microsoft.com/office/drawing/2014/main" id="{00000000-0008-0000-1400-00002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43100" y="2152650"/>
          <a:ext cx="157331" cy="164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104775</xdr:colOff>
      <xdr:row>3</xdr:row>
      <xdr:rowOff>57150</xdr:rowOff>
    </xdr:from>
    <xdr:to>
      <xdr:col>14</xdr:col>
      <xdr:colOff>76200</xdr:colOff>
      <xdr:row>5</xdr:row>
      <xdr:rowOff>83820</xdr:rowOff>
    </xdr:to>
    <xdr:sp macro="[0]!SWAP_PDF_Export" textlink="">
      <xdr:nvSpPr>
        <xdr:cNvPr id="5" name="Btn_PDF">
          <a:extLst>
            <a:ext uri="{FF2B5EF4-FFF2-40B4-BE49-F238E27FC236}">
              <a16:creationId xmlns:a16="http://schemas.microsoft.com/office/drawing/2014/main" id="{00000000-0008-0000-1400-000005000000}"/>
            </a:ext>
          </a:extLst>
        </xdr:cNvPr>
        <xdr:cNvSpPr/>
      </xdr:nvSpPr>
      <xdr:spPr>
        <a:xfrm>
          <a:off x="6429375" y="581025"/>
          <a:ext cx="1600200" cy="274320"/>
        </a:xfrm>
        <a:prstGeom prst="roundRect">
          <a:avLst/>
        </a:prstGeom>
        <a:solidFill>
          <a:srgbClr val="0072AC"/>
        </a:solidFill>
        <a:ln>
          <a:solidFill>
            <a:srgbClr val="0072A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rPr>
            <a:t>Generate</a:t>
          </a:r>
          <a:r>
            <a:rPr lang="en-AU" sz="1000" baseline="0">
              <a:solidFill>
                <a:srgbClr val="FFFFFF"/>
              </a:solidFill>
            </a:rPr>
            <a:t> PDF Summary</a:t>
          </a:r>
          <a:endParaRPr lang="en-AU" sz="1000">
            <a:solidFill>
              <a:srgbClr val="FFFFFF"/>
            </a:solidFill>
          </a:endParaRPr>
        </a:p>
      </xdr:txBody>
    </xdr:sp>
    <xdr:clientData/>
  </xdr:twoCellAnchor>
  <xdr:twoCellAnchor>
    <xdr:from>
      <xdr:col>10</xdr:col>
      <xdr:colOff>990600</xdr:colOff>
      <xdr:row>3</xdr:row>
      <xdr:rowOff>57149</xdr:rowOff>
    </xdr:from>
    <xdr:to>
      <xdr:col>11</xdr:col>
      <xdr:colOff>209550</xdr:colOff>
      <xdr:row>5</xdr:row>
      <xdr:rowOff>83819</xdr:rowOff>
    </xdr:to>
    <xdr:sp macro="[0]!Clear_SS_Calc" textlink="">
      <xdr:nvSpPr>
        <xdr:cNvPr id="6" name="Btn_ClearFees">
          <a:extLst>
            <a:ext uri="{FF2B5EF4-FFF2-40B4-BE49-F238E27FC236}">
              <a16:creationId xmlns:a16="http://schemas.microsoft.com/office/drawing/2014/main" id="{00000000-0008-0000-1400-000006000000}"/>
            </a:ext>
          </a:extLst>
        </xdr:cNvPr>
        <xdr:cNvSpPr/>
      </xdr:nvSpPr>
      <xdr:spPr>
        <a:xfrm>
          <a:off x="5372100" y="581024"/>
          <a:ext cx="914400" cy="274320"/>
        </a:xfrm>
        <a:prstGeom prst="roundRect">
          <a:avLst/>
        </a:prstGeom>
        <a:solidFill>
          <a:srgbClr val="B6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en-AU" sz="1000">
              <a:solidFill>
                <a:srgbClr val="FFFFFF"/>
              </a:solidFill>
            </a:rPr>
            <a:t>Clear</a:t>
          </a:r>
        </a:p>
      </xdr:txBody>
    </xdr:sp>
    <xdr:clientData/>
  </xdr:twoCellAnchor>
  <xdr:twoCellAnchor>
    <xdr:from>
      <xdr:col>6</xdr:col>
      <xdr:colOff>48042</xdr:colOff>
      <xdr:row>30</xdr:row>
      <xdr:rowOff>34884</xdr:rowOff>
    </xdr:from>
    <xdr:to>
      <xdr:col>6</xdr:col>
      <xdr:colOff>228042</xdr:colOff>
      <xdr:row>31</xdr:row>
      <xdr:rowOff>24384</xdr:rowOff>
    </xdr:to>
    <xdr:pic>
      <xdr:nvPicPr>
        <xdr:cNvPr id="8" name="SS_BTN_4" descr="See the source image">
          <a:hlinkClick xmlns:r="http://schemas.openxmlformats.org/officeDocument/2006/relationships" r:id="" tooltip="If there is a shortfall, customers can contribute their own funds."/>
          <a:extLst>
            <a:ext uri="{FF2B5EF4-FFF2-40B4-BE49-F238E27FC236}">
              <a16:creationId xmlns:a16="http://schemas.microsoft.com/office/drawing/2014/main" id="{00000000-0008-0000-1400-000008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658017" y="4530684"/>
          <a:ext cx="180000" cy="180000"/>
        </a:xfrm>
        <a:prstGeom prst="rect">
          <a:avLst/>
        </a:prstGeom>
        <a:noFill/>
        <a:extLst>
          <a:ext uri="{909E8E84-426E-40DD-AFC4-6F175D3DCCD1}">
            <a14:hiddenFill xmlns:a14="http://schemas.microsoft.com/office/drawing/2010/main">
              <a:solidFill>
                <a:srgbClr val="FFFFFF">
                  <a:alpha val="0"/>
                </a:srgbClr>
              </a:solidFill>
            </a14:hiddenFill>
          </a:ext>
        </a:extLst>
      </xdr:spPr>
    </xdr:pic>
    <xdr:clientData/>
  </xdr:twoCellAnchor>
  <xdr:twoCellAnchor>
    <xdr:from>
      <xdr:col>13</xdr:col>
      <xdr:colOff>58603</xdr:colOff>
      <xdr:row>19</xdr:row>
      <xdr:rowOff>14493</xdr:rowOff>
    </xdr:from>
    <xdr:to>
      <xdr:col>13</xdr:col>
      <xdr:colOff>238603</xdr:colOff>
      <xdr:row>20</xdr:row>
      <xdr:rowOff>3993</xdr:rowOff>
    </xdr:to>
    <xdr:pic>
      <xdr:nvPicPr>
        <xdr:cNvPr id="12" name="SS_BTN_3_2" descr="See the source image">
          <a:hlinkClick xmlns:r="http://schemas.openxmlformats.org/officeDocument/2006/relationships" r:id="" tooltip="Refer to MCR ‘Property Types and Loan to Value (LVR) Thresholds' section to determine whether &#10;LVR requirements have been met for standard and non-standard property types. &#10;Note, LVR has been calculated based on the Purchase price. &#10;Mortgage Security Variations (MSV) will determine if a valuation is required which may affect the LVR position.  &#10;MSV will also determine if a loan reduction is required for customers with an existing LMI waiver."/>
          <a:extLst>
            <a:ext uri="{FF2B5EF4-FFF2-40B4-BE49-F238E27FC236}">
              <a16:creationId xmlns:a16="http://schemas.microsoft.com/office/drawing/2014/main" id="{00000000-0008-0000-1400-00000C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26228" y="2910093"/>
          <a:ext cx="180000" cy="180000"/>
        </a:xfrm>
        <a:prstGeom prst="rect">
          <a:avLst/>
        </a:prstGeom>
        <a:noFill/>
        <a:extLst>
          <a:ext uri="{909E8E84-426E-40DD-AFC4-6F175D3DCCD1}">
            <a14:hiddenFill xmlns:a14="http://schemas.microsoft.com/office/drawing/2010/main">
              <a:solidFill>
                <a:srgbClr val="FFFFFF">
                  <a:alpha val="0"/>
                </a:srgbClr>
              </a:solidFill>
            </a14:hiddenFill>
          </a:ext>
        </a:extLst>
      </xdr:spPr>
    </xdr:pic>
    <xdr:clientData/>
  </xdr:twoCellAnchor>
  <xdr:twoCellAnchor>
    <xdr:from>
      <xdr:col>13</xdr:col>
      <xdr:colOff>49276</xdr:colOff>
      <xdr:row>15</xdr:row>
      <xdr:rowOff>11162</xdr:rowOff>
    </xdr:from>
    <xdr:to>
      <xdr:col>13</xdr:col>
      <xdr:colOff>229276</xdr:colOff>
      <xdr:row>16</xdr:row>
      <xdr:rowOff>662</xdr:rowOff>
    </xdr:to>
    <xdr:pic>
      <xdr:nvPicPr>
        <xdr:cNvPr id="16" name="SS_BTN_3_1" descr="See the source image">
          <a:hlinkClick xmlns:r="http://schemas.openxmlformats.org/officeDocument/2006/relationships" r:id="" tooltip="Purchase fees have been estimated at 5% and can be overwritten with actual fees. &#10;This is an allowance for stamp duty, solicitor fees etc."/>
          <a:extLst>
            <a:ext uri="{FF2B5EF4-FFF2-40B4-BE49-F238E27FC236}">
              <a16:creationId xmlns:a16="http://schemas.microsoft.com/office/drawing/2014/main" id="{00000000-0008-0000-1400-000010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16901" y="2144762"/>
          <a:ext cx="180000" cy="180000"/>
        </a:xfrm>
        <a:prstGeom prst="rect">
          <a:avLst/>
        </a:prstGeom>
        <a:noFill/>
        <a:extLst>
          <a:ext uri="{909E8E84-426E-40DD-AFC4-6F175D3DCCD1}">
            <a14:hiddenFill xmlns:a14="http://schemas.microsoft.com/office/drawing/2010/main">
              <a:solidFill>
                <a:srgbClr val="FFFFFF">
                  <a:alpha val="0"/>
                </a:srgbClr>
              </a:solidFill>
            </a14:hiddenFill>
          </a:ext>
        </a:extLst>
      </xdr:spPr>
    </xdr:pic>
    <xdr:clientData/>
  </xdr:twoCellAnchor>
  <xdr:twoCellAnchor>
    <xdr:from>
      <xdr:col>6</xdr:col>
      <xdr:colOff>45545</xdr:colOff>
      <xdr:row>19</xdr:row>
      <xdr:rowOff>5640</xdr:rowOff>
    </xdr:from>
    <xdr:to>
      <xdr:col>6</xdr:col>
      <xdr:colOff>225545</xdr:colOff>
      <xdr:row>19</xdr:row>
      <xdr:rowOff>185640</xdr:rowOff>
    </xdr:to>
    <xdr:pic>
      <xdr:nvPicPr>
        <xdr:cNvPr id="20" name="SS_BTN_2_2" descr="See the source image">
          <a:hlinkClick xmlns:r="http://schemas.openxmlformats.org/officeDocument/2006/relationships" r:id="" tooltip="Refer to MCR ‘Property Types and Loan to Value (LVR) Thresholds' section to determine whether &#10;LVR requirements have been met for standard and non-standard property types. &#10;Note, LVR has been calculated based on the Sale price."/>
          <a:extLst>
            <a:ext uri="{FF2B5EF4-FFF2-40B4-BE49-F238E27FC236}">
              <a16:creationId xmlns:a16="http://schemas.microsoft.com/office/drawing/2014/main" id="{00000000-0008-0000-1400-000014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655520" y="2901240"/>
          <a:ext cx="180000" cy="180000"/>
        </a:xfrm>
        <a:prstGeom prst="rect">
          <a:avLst/>
        </a:prstGeom>
        <a:noFill/>
        <a:extLst>
          <a:ext uri="{909E8E84-426E-40DD-AFC4-6F175D3DCCD1}">
            <a14:hiddenFill xmlns:a14="http://schemas.microsoft.com/office/drawing/2010/main">
              <a:solidFill>
                <a:srgbClr val="FFFFFF">
                  <a:alpha val="0"/>
                </a:srgbClr>
              </a:solidFill>
            </a14:hiddenFill>
          </a:ext>
        </a:extLst>
      </xdr:spPr>
    </xdr:pic>
    <xdr:clientData/>
  </xdr:twoCellAnchor>
  <xdr:twoCellAnchor>
    <xdr:from>
      <xdr:col>6</xdr:col>
      <xdr:colOff>55070</xdr:colOff>
      <xdr:row>15</xdr:row>
      <xdr:rowOff>12404</xdr:rowOff>
    </xdr:from>
    <xdr:to>
      <xdr:col>6</xdr:col>
      <xdr:colOff>235070</xdr:colOff>
      <xdr:row>16</xdr:row>
      <xdr:rowOff>1904</xdr:rowOff>
    </xdr:to>
    <xdr:pic>
      <xdr:nvPicPr>
        <xdr:cNvPr id="24" name="SS_BTN_2_1" descr="See the source image">
          <a:hlinkClick xmlns:r="http://schemas.openxmlformats.org/officeDocument/2006/relationships" r:id="" tooltip="Sale fees have been estimated at 5% and can be overwritten with actual fees.&#10;This is an allowance for agent commission etc."/>
          <a:extLst>
            <a:ext uri="{FF2B5EF4-FFF2-40B4-BE49-F238E27FC236}">
              <a16:creationId xmlns:a16="http://schemas.microsoft.com/office/drawing/2014/main" id="{00000000-0008-0000-1400-000018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665045" y="2146004"/>
          <a:ext cx="180000" cy="180000"/>
        </a:xfrm>
        <a:prstGeom prst="rect">
          <a:avLst/>
        </a:prstGeom>
        <a:noFill/>
        <a:extLst>
          <a:ext uri="{909E8E84-426E-40DD-AFC4-6F175D3DCCD1}">
            <a14:hiddenFill xmlns:a14="http://schemas.microsoft.com/office/drawing/2010/main">
              <a:solidFill>
                <a:srgbClr val="FFFFFF">
                  <a:alpha val="0"/>
                </a:srgbClr>
              </a:solidFill>
            </a14:hiddenFill>
          </a:ext>
        </a:extLst>
      </xdr:spPr>
    </xdr:pic>
    <xdr:clientData/>
  </xdr:twoCellAnchor>
  <xdr:twoCellAnchor>
    <xdr:from>
      <xdr:col>6</xdr:col>
      <xdr:colOff>60783</xdr:colOff>
      <xdr:row>8</xdr:row>
      <xdr:rowOff>7352</xdr:rowOff>
    </xdr:from>
    <xdr:to>
      <xdr:col>6</xdr:col>
      <xdr:colOff>240783</xdr:colOff>
      <xdr:row>8</xdr:row>
      <xdr:rowOff>187352</xdr:rowOff>
    </xdr:to>
    <xdr:pic>
      <xdr:nvPicPr>
        <xdr:cNvPr id="28" name="SS_BTN_1" descr="See the source image">
          <a:hlinkClick xmlns:r="http://schemas.openxmlformats.org/officeDocument/2006/relationships" r:id="" tooltip="Please include any debts (consumer/business) currently secured by this property. &#10;This loan amount should remain the same after the Security Swap."/>
          <a:extLst>
            <a:ext uri="{FF2B5EF4-FFF2-40B4-BE49-F238E27FC236}">
              <a16:creationId xmlns:a16="http://schemas.microsoft.com/office/drawing/2014/main" id="{00000000-0008-0000-1400-00001C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670758" y="1150352"/>
          <a:ext cx="180000" cy="180000"/>
        </a:xfrm>
        <a:prstGeom prst="rect">
          <a:avLst/>
        </a:prstGeom>
        <a:noFill/>
        <a:extLst>
          <a:ext uri="{909E8E84-426E-40DD-AFC4-6F175D3DCCD1}">
            <a14:hiddenFill xmlns:a14="http://schemas.microsoft.com/office/drawing/2010/main">
              <a:solidFill>
                <a:srgbClr val="FFFFFF">
                  <a:alpha val="0"/>
                </a:srgbClr>
              </a:solidFill>
            </a14:hiddenFill>
          </a:ext>
        </a:extLst>
      </xdr:spPr>
    </xdr:pic>
    <xdr:clientData/>
  </xdr:twoCellAnchor>
  <xdr:twoCellAnchor editAs="oneCell">
    <xdr:from>
      <xdr:col>2</xdr:col>
      <xdr:colOff>161925</xdr:colOff>
      <xdr:row>2</xdr:row>
      <xdr:rowOff>38100</xdr:rowOff>
    </xdr:from>
    <xdr:to>
      <xdr:col>3</xdr:col>
      <xdr:colOff>696493</xdr:colOff>
      <xdr:row>2</xdr:row>
      <xdr:rowOff>326100</xdr:rowOff>
    </xdr:to>
    <xdr:pic>
      <xdr:nvPicPr>
        <xdr:cNvPr id="2" name="Picture 1" descr="ANZ logo">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95275" y="171450"/>
          <a:ext cx="725068" cy="28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3</xdr:col>
      <xdr:colOff>0</xdr:colOff>
      <xdr:row>3</xdr:row>
      <xdr:rowOff>57260</xdr:rowOff>
    </xdr:from>
    <xdr:to>
      <xdr:col>6</xdr:col>
      <xdr:colOff>0</xdr:colOff>
      <xdr:row>7</xdr:row>
      <xdr:rowOff>8463</xdr:rowOff>
    </xdr:to>
    <xdr:grpSp>
      <xdr:nvGrpSpPr>
        <xdr:cNvPr id="2" name="Group 1" hidden="1">
          <a:extLst>
            <a:ext uri="{FF2B5EF4-FFF2-40B4-BE49-F238E27FC236}">
              <a16:creationId xmlns:a16="http://schemas.microsoft.com/office/drawing/2014/main" id="{00000000-0008-0000-1500-000002000000}"/>
            </a:ext>
          </a:extLst>
        </xdr:cNvPr>
        <xdr:cNvGrpSpPr/>
      </xdr:nvGrpSpPr>
      <xdr:grpSpPr>
        <a:xfrm>
          <a:off x="1524000" y="1149460"/>
          <a:ext cx="1676400" cy="814803"/>
          <a:chOff x="1493520" y="834360"/>
          <a:chExt cx="6818372" cy="271236"/>
        </a:xfrm>
      </xdr:grpSpPr>
      <xdr:sp macro="" textlink="">
        <xdr:nvSpPr>
          <xdr:cNvPr id="3" name="1_3_Phone" hidden="1">
            <a:extLst>
              <a:ext uri="{FF2B5EF4-FFF2-40B4-BE49-F238E27FC236}">
                <a16:creationId xmlns:a16="http://schemas.microsoft.com/office/drawing/2014/main" id="{00000000-0008-0000-1500-000003000000}"/>
              </a:ext>
            </a:extLst>
          </xdr:cNvPr>
          <xdr:cNvSpPr txBox="1"/>
        </xdr:nvSpPr>
        <xdr:spPr>
          <a:xfrm>
            <a:off x="7139640" y="841036"/>
            <a:ext cx="117225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latin typeface="Arial" panose="020B0604020202020204" pitchFamily="34" charset="0"/>
                <a:cs typeface="Arial" panose="020B0604020202020204" pitchFamily="34" charset="0"/>
              </a:rPr>
              <a:t>1</a:t>
            </a:r>
          </a:p>
        </xdr:txBody>
      </xdr:sp>
      <xdr:sp macro="" textlink="">
        <xdr:nvSpPr>
          <xdr:cNvPr id="4" name="1_2_Email" hidden="1">
            <a:extLst>
              <a:ext uri="{FF2B5EF4-FFF2-40B4-BE49-F238E27FC236}">
                <a16:creationId xmlns:a16="http://schemas.microsoft.com/office/drawing/2014/main" id="{00000000-0008-0000-1500-000004000000}"/>
              </a:ext>
            </a:extLst>
          </xdr:cNvPr>
          <xdr:cNvSpPr txBox="1"/>
        </xdr:nvSpPr>
        <xdr:spPr>
          <a:xfrm>
            <a:off x="4283493" y="834360"/>
            <a:ext cx="22335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t>1</a:t>
            </a:r>
            <a:endParaRPr lang="en-AU">
              <a:latin typeface="Arial" panose="020B0604020202020204" pitchFamily="34" charset="0"/>
              <a:cs typeface="Arial" panose="020B0604020202020204" pitchFamily="34" charset="0"/>
            </a:endParaRPr>
          </a:p>
        </xdr:txBody>
      </xdr:sp>
      <xdr:sp macro="" textlink="">
        <xdr:nvSpPr>
          <xdr:cNvPr id="5" name="1_1_LenderName" hidden="1">
            <a:extLst>
              <a:ext uri="{FF2B5EF4-FFF2-40B4-BE49-F238E27FC236}">
                <a16:creationId xmlns:a16="http://schemas.microsoft.com/office/drawing/2014/main" id="{00000000-0008-0000-1500-000005000000}"/>
              </a:ext>
            </a:extLst>
          </xdr:cNvPr>
          <xdr:cNvSpPr txBox="1"/>
        </xdr:nvSpPr>
        <xdr:spPr>
          <a:xfrm>
            <a:off x="1493520" y="840091"/>
            <a:ext cx="218227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a:latin typeface="Arial" panose="020B0604020202020204" pitchFamily="34" charset="0"/>
                <a:cs typeface="Arial" panose="020B0604020202020204" pitchFamily="34" charset="0"/>
              </a:rPr>
              <a:t>1</a:t>
            </a:r>
          </a:p>
        </xdr:txBody>
      </xdr:sp>
    </xdr:grpSp>
    <xdr:clientData/>
  </xdr:twoCellAnchor>
  <xdr:twoCellAnchor>
    <xdr:from>
      <xdr:col>7</xdr:col>
      <xdr:colOff>347871</xdr:colOff>
      <xdr:row>3</xdr:row>
      <xdr:rowOff>63887</xdr:rowOff>
    </xdr:from>
    <xdr:to>
      <xdr:col>8</xdr:col>
      <xdr:colOff>102689</xdr:colOff>
      <xdr:row>7</xdr:row>
      <xdr:rowOff>8463</xdr:rowOff>
    </xdr:to>
    <xdr:sp macro="" textlink="">
      <xdr:nvSpPr>
        <xdr:cNvPr id="6" name="1_4_Date" hidden="1">
          <a:extLst>
            <a:ext uri="{FF2B5EF4-FFF2-40B4-BE49-F238E27FC236}">
              <a16:creationId xmlns:a16="http://schemas.microsoft.com/office/drawing/2014/main" id="{00000000-0008-0000-1500-000006000000}"/>
            </a:ext>
          </a:extLst>
        </xdr:cNvPr>
        <xdr:cNvSpPr txBox="1"/>
      </xdr:nvSpPr>
      <xdr:spPr>
        <a:xfrm>
          <a:off x="3776871" y="1168787"/>
          <a:ext cx="107243" cy="839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AU">
              <a:latin typeface="Arial" panose="020B0604020202020204" pitchFamily="34" charset="0"/>
              <a:cs typeface="Arial" panose="020B0604020202020204" pitchFamily="34" charset="0"/>
            </a:rPr>
            <a:t>27/06/2022</a:t>
          </a:r>
        </a:p>
      </xdr:txBody>
    </xdr:sp>
    <xdr:clientData/>
  </xdr:twoCellAnchor>
  <xdr:twoCellAnchor editAs="absolute">
    <xdr:from>
      <xdr:col>22</xdr:col>
      <xdr:colOff>190500</xdr:colOff>
      <xdr:row>0</xdr:row>
      <xdr:rowOff>0</xdr:rowOff>
    </xdr:from>
    <xdr:to>
      <xdr:col>25</xdr:col>
      <xdr:colOff>89356</xdr:colOff>
      <xdr:row>1</xdr:row>
      <xdr:rowOff>1157</xdr:rowOff>
    </xdr:to>
    <xdr:pic>
      <xdr:nvPicPr>
        <xdr:cNvPr id="7" name="Picture 6">
          <a:extLst>
            <a:ext uri="{FF2B5EF4-FFF2-40B4-BE49-F238E27FC236}">
              <a16:creationId xmlns:a16="http://schemas.microsoft.com/office/drawing/2014/main" id="{00000000-0008-0000-15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9147"/>
        <a:stretch/>
      </xdr:blipFill>
      <xdr:spPr>
        <a:xfrm>
          <a:off x="9963150" y="0"/>
          <a:ext cx="1156156" cy="715532"/>
        </a:xfrm>
        <a:prstGeom prst="rect">
          <a:avLst/>
        </a:prstGeom>
      </xdr:spPr>
    </xdr:pic>
    <xdr:clientData/>
  </xdr:twoCellAnchor>
  <xdr:twoCellAnchor editAs="oneCell">
    <xdr:from>
      <xdr:col>6</xdr:col>
      <xdr:colOff>594820</xdr:colOff>
      <xdr:row>29</xdr:row>
      <xdr:rowOff>205809</xdr:rowOff>
    </xdr:from>
    <xdr:to>
      <xdr:col>8</xdr:col>
      <xdr:colOff>377599</xdr:colOff>
      <xdr:row>31</xdr:row>
      <xdr:rowOff>41717</xdr:rowOff>
    </xdr:to>
    <xdr:pic>
      <xdr:nvPicPr>
        <xdr:cNvPr id="8" name="Picture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14245" y="6368484"/>
          <a:ext cx="544779" cy="378833"/>
        </a:xfrm>
        <a:prstGeom prst="rect">
          <a:avLst/>
        </a:prstGeom>
      </xdr:spPr>
    </xdr:pic>
    <xdr:clientData/>
  </xdr:twoCellAnchor>
  <xdr:twoCellAnchor editAs="oneCell">
    <xdr:from>
      <xdr:col>14</xdr:col>
      <xdr:colOff>130950</xdr:colOff>
      <xdr:row>12</xdr:row>
      <xdr:rowOff>170956</xdr:rowOff>
    </xdr:from>
    <xdr:to>
      <xdr:col>14</xdr:col>
      <xdr:colOff>838773</xdr:colOff>
      <xdr:row>14</xdr:row>
      <xdr:rowOff>266207</xdr:rowOff>
    </xdr:to>
    <xdr:pic>
      <xdr:nvPicPr>
        <xdr:cNvPr id="9" name="Picture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817375" y="3104656"/>
          <a:ext cx="707823" cy="457201"/>
        </a:xfrm>
        <a:prstGeom prst="rect">
          <a:avLst/>
        </a:prstGeom>
      </xdr:spPr>
    </xdr:pic>
    <xdr:clientData/>
  </xdr:twoCellAnchor>
  <xdr:twoCellAnchor editAs="oneCell">
    <xdr:from>
      <xdr:col>2</xdr:col>
      <xdr:colOff>427636</xdr:colOff>
      <xdr:row>12</xdr:row>
      <xdr:rowOff>162840</xdr:rowOff>
    </xdr:from>
    <xdr:to>
      <xdr:col>3</xdr:col>
      <xdr:colOff>224869</xdr:colOff>
      <xdr:row>14</xdr:row>
      <xdr:rowOff>263806</xdr:rowOff>
    </xdr:to>
    <xdr:pic>
      <xdr:nvPicPr>
        <xdr:cNvPr id="10" name="Picture 9">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94361" y="3096540"/>
          <a:ext cx="664008" cy="462916"/>
        </a:xfrm>
        <a:prstGeom prst="rect">
          <a:avLst/>
        </a:prstGeom>
      </xdr:spPr>
    </xdr:pic>
    <xdr:clientData/>
  </xdr:twoCellAnchor>
  <xdr:twoCellAnchor editAs="oneCell">
    <xdr:from>
      <xdr:col>6</xdr:col>
      <xdr:colOff>573236</xdr:colOff>
      <xdr:row>28</xdr:row>
      <xdr:rowOff>32939</xdr:rowOff>
    </xdr:from>
    <xdr:to>
      <xdr:col>8</xdr:col>
      <xdr:colOff>346490</xdr:colOff>
      <xdr:row>29</xdr:row>
      <xdr:rowOff>80500</xdr:rowOff>
    </xdr:to>
    <xdr:pic>
      <xdr:nvPicPr>
        <xdr:cNvPr id="11" name="Picture 10">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592661" y="5871764"/>
          <a:ext cx="535254" cy="371411"/>
        </a:xfrm>
        <a:prstGeom prst="rect">
          <a:avLst/>
        </a:prstGeom>
      </xdr:spPr>
    </xdr:pic>
    <xdr:clientData/>
  </xdr:twoCellAnchor>
  <xdr:twoCellAnchor editAs="oneCell">
    <xdr:from>
      <xdr:col>1</xdr:col>
      <xdr:colOff>0</xdr:colOff>
      <xdr:row>0</xdr:row>
      <xdr:rowOff>0</xdr:rowOff>
    </xdr:from>
    <xdr:to>
      <xdr:col>22</xdr:col>
      <xdr:colOff>471870</xdr:colOff>
      <xdr:row>1</xdr:row>
      <xdr:rowOff>242</xdr:rowOff>
    </xdr:to>
    <xdr:pic>
      <xdr:nvPicPr>
        <xdr:cNvPr id="12" name="Picture 11">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0"/>
          <a:ext cx="10054020" cy="71461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woodsd1/AppData/Local/Microsoft/Windows/Temporary%20Internet%20Files/Content.Outlook/7T9Z56RX/ML%20Calculators%20v3.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Woods" refreshedDate="42605.480321296294" createdVersion="4" refreshedVersion="4" minRefreshableVersion="3" recordCount="24" xr:uid="{DC19FA86-2E83-4E1C-AA51-EEB290CE8E15}">
  <cacheSource type="worksheet">
    <worksheetSource ref="D669:L693" sheet="YHL360" r:id="rId2"/>
  </cacheSource>
  <cacheFields count="8">
    <cacheField name="PREDOMINANT PURPOSE" numFmtId="0">
      <sharedItems count="24">
        <s v="New Motor Car"/>
        <s v="Used Motor Car"/>
        <s v="Motor Cycles"/>
        <s v="Boats or Caravans"/>
        <s v="Residential Land"/>
        <s v="Household/Personal"/>
        <s v="Travel Holidays"/>
        <s v="Refinance Existing ANZ Loan"/>
        <s v="Purch Estab - Investment Property"/>
        <s v="Purch New - Investment Property"/>
        <s v="Investment Land"/>
        <s v="Investment Property -  Improvements"/>
        <s v="Construction Investment Property"/>
        <s v="Refinance Investment Loan"/>
        <s v="Investments"/>
        <s v="Refinance Non-ANZ investment loan"/>
        <s v="Construction-Not 1st Home"/>
        <s v="Construction-1st Home"/>
        <s v="Purch New Home-Not 1st Home"/>
        <s v="Purch New Home-1st Home"/>
        <s v="Purch Estab Home-Not 1st Home"/>
        <s v="Purch Estab Home-1st Home"/>
        <s v="Home - Improvements "/>
        <s v="Refinance Non-ANZ Loan"/>
      </sharedItems>
    </cacheField>
    <cacheField name="N" numFmtId="0">
      <sharedItems/>
    </cacheField>
    <cacheField name="X" numFmtId="0">
      <sharedItems/>
    </cacheField>
    <cacheField name="N2" numFmtId="0">
      <sharedItems/>
    </cacheField>
    <cacheField name="PREDOMINANT PURPOSE NA" numFmtId="0">
      <sharedItems containsNonDate="0" containsString="0" containsBlank="1"/>
    </cacheField>
    <cacheField name="LABEL" numFmtId="0">
      <sharedItems containsNonDate="0" containsString="0" containsBlank="1"/>
    </cacheField>
    <cacheField name="CALC" numFmtId="0">
      <sharedItems containsNonDate="0" containsString="0" containsBlank="1"/>
    </cacheField>
    <cacheField name="Purch New Home-1st Home" numFmtId="166">
      <sharedItems containsSemiMixedTypes="0" containsString="0" containsNumber="1" containsInteger="1" minValue="0" maxValue="560000" count="3">
        <n v="0"/>
        <n v="200000"/>
        <n v="56000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oods, David" refreshedDate="44607.539175578706" createdVersion="4" refreshedVersion="6" minRefreshableVersion="3" recordCount="25" xr:uid="{89F81616-8772-4B3C-88C6-080F0F09F58A}">
  <cacheSource type="worksheet">
    <worksheetSource name="PURPOSES"/>
  </cacheSource>
  <cacheFields count="6">
    <cacheField name="PURPOSE_DESCRIPTION" numFmtId="0">
      <sharedItems count="27">
        <s v="predominantPurpose"/>
        <s v="New Motor Car"/>
        <s v="Used Motor Car"/>
        <s v="Motor Cycles"/>
        <s v="Boats or Caravans"/>
        <s v="Residential Land"/>
        <s v="Household/Personal"/>
        <s v="Travel Holidays"/>
        <s v="Refinance Existing ANZ Loan"/>
        <s v="Purch Estab - Investment Property"/>
        <s v="Purch New - Investment Property"/>
        <s v="Investment Land"/>
        <s v="Investment Property - Improvements"/>
        <s v="Construction Investment Property"/>
        <s v="Refinance Investment Loan"/>
        <s v="Investments"/>
        <s v="Refinance Non-ANZ investment loan"/>
        <s v="Construction-Not 1st Home"/>
        <s v="Construction-1st Home"/>
        <s v="Purch New Home-Not 1st Home"/>
        <s v="Purch New Home-1st Home"/>
        <s v="Purch Estab Home-Not 1st Home"/>
        <s v="Purch Estab Home-1st Home"/>
        <s v="Home - Improvements"/>
        <s v="Refinance Non-ANZ Loan"/>
        <s v="Investment Property -  Improvements" u="1"/>
        <s v="Home - Improvements " u="1"/>
      </sharedItems>
    </cacheField>
    <cacheField name="PURPOSE_CODE" numFmtId="0">
      <sharedItems containsMixedTypes="1" containsNumber="1" containsInteger="1" minValue="100" maxValue="371"/>
    </cacheField>
    <cacheField name="ADDITIONAL_FUND" numFmtId="0">
      <sharedItems count="4">
        <s v="additionalFund"/>
        <b v="1"/>
        <b v="0"/>
        <s v="&amp;additionalFund" u="1"/>
      </sharedItems>
    </cacheField>
    <cacheField name="INVESTMENT" numFmtId="0">
      <sharedItems/>
    </cacheField>
    <cacheField name="INVESTEMENT_RATE" numFmtId="0">
      <sharedItems containsMixedTypes="1" containsNumber="1" containsInteger="1" minValue="0" maxValue="0"/>
    </cacheField>
    <cacheField name="PURPOSE_RATE" numFmtId="0">
      <sharedItems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s v="N"/>
    <s v="X"/>
    <s v="N"/>
    <m/>
    <m/>
    <m/>
    <x v="0"/>
  </r>
  <r>
    <x v="1"/>
    <s v="N"/>
    <s v="X"/>
    <s v="N"/>
    <m/>
    <m/>
    <m/>
    <x v="0"/>
  </r>
  <r>
    <x v="2"/>
    <s v="N"/>
    <s v="X"/>
    <s v="N"/>
    <m/>
    <m/>
    <m/>
    <x v="0"/>
  </r>
  <r>
    <x v="3"/>
    <s v="N"/>
    <s v="X"/>
    <s v="N"/>
    <m/>
    <m/>
    <m/>
    <x v="0"/>
  </r>
  <r>
    <x v="4"/>
    <s v="N"/>
    <s v="X"/>
    <s v="N"/>
    <m/>
    <m/>
    <m/>
    <x v="0"/>
  </r>
  <r>
    <x v="5"/>
    <s v="N"/>
    <s v="X"/>
    <s v="N"/>
    <m/>
    <m/>
    <m/>
    <x v="0"/>
  </r>
  <r>
    <x v="6"/>
    <s v="N"/>
    <s v="X"/>
    <s v="N"/>
    <m/>
    <m/>
    <m/>
    <x v="0"/>
  </r>
  <r>
    <x v="7"/>
    <s v="N"/>
    <s v="X"/>
    <s v="N"/>
    <m/>
    <m/>
    <m/>
    <x v="0"/>
  </r>
  <r>
    <x v="8"/>
    <s v="N"/>
    <s v="X"/>
    <s v="N"/>
    <m/>
    <m/>
    <m/>
    <x v="0"/>
  </r>
  <r>
    <x v="9"/>
    <s v="N"/>
    <s v="X"/>
    <s v="N"/>
    <m/>
    <m/>
    <m/>
    <x v="0"/>
  </r>
  <r>
    <x v="10"/>
    <s v="N"/>
    <s v="X"/>
    <s v="N"/>
    <m/>
    <m/>
    <m/>
    <x v="0"/>
  </r>
  <r>
    <x v="11"/>
    <s v="N"/>
    <s v="X"/>
    <s v="N"/>
    <m/>
    <m/>
    <m/>
    <x v="0"/>
  </r>
  <r>
    <x v="12"/>
    <s v="N"/>
    <s v="X"/>
    <s v="N"/>
    <m/>
    <m/>
    <m/>
    <x v="0"/>
  </r>
  <r>
    <x v="13"/>
    <s v="N"/>
    <s v="X"/>
    <s v="N"/>
    <m/>
    <m/>
    <m/>
    <x v="0"/>
  </r>
  <r>
    <x v="14"/>
    <s v="N"/>
    <s v="X"/>
    <s v="N"/>
    <m/>
    <m/>
    <m/>
    <x v="1"/>
  </r>
  <r>
    <x v="15"/>
    <s v="N"/>
    <s v="X"/>
    <s v="N"/>
    <m/>
    <m/>
    <m/>
    <x v="0"/>
  </r>
  <r>
    <x v="16"/>
    <s v="N"/>
    <s v="X"/>
    <s v="N"/>
    <m/>
    <m/>
    <m/>
    <x v="0"/>
  </r>
  <r>
    <x v="17"/>
    <s v="N"/>
    <s v="X"/>
    <s v="N"/>
    <m/>
    <m/>
    <m/>
    <x v="0"/>
  </r>
  <r>
    <x v="18"/>
    <s v="N"/>
    <s v="X"/>
    <s v="N"/>
    <m/>
    <m/>
    <m/>
    <x v="0"/>
  </r>
  <r>
    <x v="19"/>
    <s v="N"/>
    <s v="X"/>
    <s v="N"/>
    <m/>
    <m/>
    <m/>
    <x v="2"/>
  </r>
  <r>
    <x v="20"/>
    <s v="N"/>
    <s v="X"/>
    <s v="N"/>
    <m/>
    <m/>
    <m/>
    <x v="0"/>
  </r>
  <r>
    <x v="21"/>
    <s v="N"/>
    <s v="X"/>
    <s v="N"/>
    <m/>
    <m/>
    <m/>
    <x v="0"/>
  </r>
  <r>
    <x v="22"/>
    <s v="N"/>
    <s v="X"/>
    <s v="N"/>
    <m/>
    <m/>
    <m/>
    <x v="0"/>
  </r>
  <r>
    <x v="23"/>
    <s v="N"/>
    <s v="X"/>
    <s v="N"/>
    <m/>
    <m/>
    <m/>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urposeCode"/>
    <x v="0"/>
    <s v="investment"/>
    <s v="investmentRate"/>
    <s v="purposeRate"/>
  </r>
  <r>
    <x v="1"/>
    <n v="100"/>
    <x v="1"/>
    <b v="0"/>
    <n v="0"/>
    <n v="0"/>
  </r>
  <r>
    <x v="2"/>
    <n v="101"/>
    <x v="1"/>
    <b v="0"/>
    <n v="0"/>
    <n v="0"/>
  </r>
  <r>
    <x v="3"/>
    <n v="103"/>
    <x v="1"/>
    <b v="0"/>
    <n v="0"/>
    <n v="0"/>
  </r>
  <r>
    <x v="4"/>
    <n v="104"/>
    <x v="1"/>
    <b v="0"/>
    <n v="0"/>
    <n v="0"/>
  </r>
  <r>
    <x v="5"/>
    <n v="120"/>
    <x v="2"/>
    <b v="0"/>
    <n v="0"/>
    <n v="0"/>
  </r>
  <r>
    <x v="6"/>
    <n v="140"/>
    <x v="1"/>
    <b v="0"/>
    <n v="0"/>
    <n v="0"/>
  </r>
  <r>
    <x v="7"/>
    <n v="160"/>
    <x v="1"/>
    <b v="0"/>
    <n v="0"/>
    <n v="0"/>
  </r>
  <r>
    <x v="8"/>
    <n v="371"/>
    <x v="2"/>
    <b v="0"/>
    <n v="0"/>
    <n v="0"/>
  </r>
  <r>
    <x v="9"/>
    <n v="180"/>
    <x v="2"/>
    <b v="1"/>
    <n v="0"/>
    <n v="0"/>
  </r>
  <r>
    <x v="10"/>
    <n v="180"/>
    <x v="2"/>
    <b v="1"/>
    <n v="0"/>
    <n v="0"/>
  </r>
  <r>
    <x v="11"/>
    <n v="180"/>
    <x v="2"/>
    <b v="1"/>
    <n v="0"/>
    <n v="0"/>
  </r>
  <r>
    <x v="12"/>
    <n v="180"/>
    <x v="1"/>
    <b v="1"/>
    <n v="0"/>
    <n v="0"/>
  </r>
  <r>
    <x v="13"/>
    <n v="180"/>
    <x v="2"/>
    <b v="1"/>
    <n v="0"/>
    <n v="0"/>
  </r>
  <r>
    <x v="14"/>
    <n v="180"/>
    <x v="2"/>
    <b v="1"/>
    <n v="0"/>
    <n v="0"/>
  </r>
  <r>
    <x v="15"/>
    <n v="185"/>
    <x v="1"/>
    <b v="1"/>
    <n v="0"/>
    <n v="0"/>
  </r>
  <r>
    <x v="16"/>
    <n v="190"/>
    <x v="2"/>
    <b v="1"/>
    <n v="0"/>
    <n v="0"/>
  </r>
  <r>
    <x v="17"/>
    <n v="300"/>
    <x v="2"/>
    <b v="0"/>
    <n v="0"/>
    <n v="0"/>
  </r>
  <r>
    <x v="18"/>
    <n v="301"/>
    <x v="2"/>
    <b v="0"/>
    <n v="0"/>
    <n v="0"/>
  </r>
  <r>
    <x v="19"/>
    <n v="320"/>
    <x v="2"/>
    <b v="0"/>
    <n v="0"/>
    <n v="0"/>
  </r>
  <r>
    <x v="20"/>
    <n v="321"/>
    <x v="2"/>
    <b v="0"/>
    <n v="0"/>
    <n v="0"/>
  </r>
  <r>
    <x v="21"/>
    <n v="340"/>
    <x v="2"/>
    <b v="0"/>
    <n v="0"/>
    <n v="0"/>
  </r>
  <r>
    <x v="22"/>
    <n v="341"/>
    <x v="2"/>
    <b v="0"/>
    <n v="0"/>
    <n v="0"/>
  </r>
  <r>
    <x v="23"/>
    <n v="360"/>
    <x v="1"/>
    <b v="0"/>
    <n v="0"/>
    <n v="0"/>
  </r>
  <r>
    <x v="24"/>
    <n v="370"/>
    <x v="2"/>
    <b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4B402B-47D4-4D6B-ADA1-37285B0477F1}" name="PivotTable3" cacheId="2" applyNumberFormats="0" applyBorderFormats="0" applyFontFormats="0" applyPatternFormats="0" applyAlignmentFormats="0" applyWidthHeightFormats="1" dataCaption="Values" updatedVersion="4" minRefreshableVersion="3" useAutoFormatting="1" rowGrandTotals="0" itemPrintTitles="1" createdVersion="4" indent="0" outline="1" outlineData="1" multipleFieldFilters="0">
  <location ref="D50:D52" firstHeaderRow="1" firstDataRow="1" firstDataCol="1" rowPageCount="1" colPageCount="1"/>
  <pivotFields count="8">
    <pivotField axis="axisRow" showAll="0">
      <items count="25">
        <item x="3"/>
        <item x="12"/>
        <item x="17"/>
        <item x="16"/>
        <item x="22"/>
        <item x="5"/>
        <item x="10"/>
        <item x="11"/>
        <item x="14"/>
        <item x="2"/>
        <item x="0"/>
        <item x="8"/>
        <item x="21"/>
        <item x="20"/>
        <item x="9"/>
        <item x="19"/>
        <item x="18"/>
        <item x="7"/>
        <item x="13"/>
        <item x="15"/>
        <item x="23"/>
        <item x="4"/>
        <item x="6"/>
        <item x="1"/>
        <item t="default"/>
      </items>
    </pivotField>
    <pivotField showAll="0"/>
    <pivotField showAll="0"/>
    <pivotField showAll="0"/>
    <pivotField showAll="0"/>
    <pivotField showAll="0"/>
    <pivotField showAll="0"/>
    <pivotField axis="axisPage" numFmtId="166" multipleItemSelectionAllowed="1" showAll="0">
      <items count="4">
        <item h="1" x="0"/>
        <item x="1"/>
        <item x="2"/>
        <item t="default"/>
      </items>
    </pivotField>
  </pivotFields>
  <rowFields count="1">
    <field x="0"/>
  </rowFields>
  <rowItems count="2">
    <i>
      <x v="8"/>
    </i>
    <i>
      <x v="15"/>
    </i>
  </rowItems>
  <colItems count="1">
    <i/>
  </colItems>
  <pageFields count="1">
    <pageField fld="7"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4523D9-5384-4184-BE14-D4DD0A0436CF}" name="PivotTable1" cacheId="3"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D36:D46" firstHeaderRow="1" firstDataRow="1" firstDataCol="1" rowPageCount="1" colPageCount="1"/>
  <pivotFields count="6">
    <pivotField axis="axisRow" showAll="0">
      <items count="28">
        <item x="4"/>
        <item x="13"/>
        <item x="18"/>
        <item x="17"/>
        <item m="1" x="26"/>
        <item x="6"/>
        <item x="11"/>
        <item m="1" x="25"/>
        <item x="15"/>
        <item x="3"/>
        <item x="1"/>
        <item x="9"/>
        <item x="22"/>
        <item x="21"/>
        <item x="10"/>
        <item x="20"/>
        <item x="19"/>
        <item x="8"/>
        <item x="14"/>
        <item x="16"/>
        <item x="24"/>
        <item x="5"/>
        <item x="7"/>
        <item x="2"/>
        <item x="0"/>
        <item x="12"/>
        <item x="23"/>
        <item t="default"/>
      </items>
    </pivotField>
    <pivotField showAll="0"/>
    <pivotField name="ADDITIONAL FUNDS ITEMS" axis="axisPage" showAll="0">
      <items count="5">
        <item x="2"/>
        <item x="1"/>
        <item m="1" x="3"/>
        <item x="0"/>
        <item t="default"/>
      </items>
    </pivotField>
    <pivotField showAll="0" defaultSubtotal="0"/>
    <pivotField showAll="0"/>
    <pivotField showAll="0"/>
  </pivotFields>
  <rowFields count="1">
    <field x="0"/>
  </rowFields>
  <rowItems count="10">
    <i>
      <x/>
    </i>
    <i>
      <x v="5"/>
    </i>
    <i>
      <x v="8"/>
    </i>
    <i>
      <x v="9"/>
    </i>
    <i>
      <x v="10"/>
    </i>
    <i>
      <x v="22"/>
    </i>
    <i>
      <x v="23"/>
    </i>
    <i>
      <x v="25"/>
    </i>
    <i>
      <x v="26"/>
    </i>
    <i t="grand">
      <x/>
    </i>
  </rowItems>
  <colItems count="1">
    <i/>
  </colItems>
  <pageFields count="1">
    <pageField fld="2"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0D3B343D-F586-4E7D-BD19-0E5B6C152A4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E883FD-5837-4FF7-A750-C3F80C68AC54}" name="Table5" displayName="Table5" ref="D4977:J5032" totalsRowShown="0" headerRowDxfId="81" dataDxfId="79" headerRowBorderDxfId="80" tableBorderDxfId="78" totalsRowBorderDxfId="77" headerRowCellStyle="Accent1_Captured Items" dataCellStyle="Good_Captured Items">
  <autoFilter ref="D4977:J5032" xr:uid="{C3E883FD-5837-4FF7-A750-C3F80C68AC54}"/>
  <tableColumns count="7">
    <tableColumn id="1" xr3:uid="{9257CBF8-560A-4AD6-8C17-407534C1882D}" name="INITIAL RATE CODE" dataDxfId="76" dataCellStyle="Good_Captured Items"/>
    <tableColumn id="2" xr3:uid="{A370450A-28C2-47B7-AD45-86775051BCB3}" name="TERM" dataDxfId="75" dataCellStyle="Good_Captured Items"/>
    <tableColumn id="3" xr3:uid="{8D50B45D-B3A4-48F9-945A-044B8F4C366B}" name="REPAYMENT" dataDxfId="74" dataCellStyle="Good_Captured Items"/>
    <tableColumn id="4" xr3:uid="{0D875D8D-34E0-4FA3-A73F-51A055B0FD00}" name="PURPOSE" dataDxfId="73" dataCellStyle="Good_Captured Items"/>
    <tableColumn id="7" xr3:uid="{5AF754A9-631E-4673-8235-5CF032183A21}" name="LVR" dataDxfId="72" dataCellStyle="Good_Captured Items"/>
    <tableColumn id="5" xr3:uid="{10A2F933-F739-4FBB-841E-4C095296E09A}" name="BREAKFREE" dataDxfId="71" dataCellStyle="Good_Captured Items"/>
    <tableColumn id="6" xr3:uid="{4507D9B4-8E47-470B-BC4E-14D020FCC486}" name="RATE" dataDxfId="70" dataCellStyle="Percent">
      <calculatedColumnFormula>VLOOKUP(D4978,'eAdmin File'!U:Z,6,FALSE)/100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60ABE84-4307-4DF6-A527-865CF512327D}" name="Table15" displayName="Table15" ref="A1:AD1346" tableType="xml" totalsRowShown="0" headerRowCellStyle="Normal 21" dataCellStyle="Normal 21" connectionId="1">
  <autoFilter ref="A1:AD1346" xr:uid="{5E110136-4E33-44B6-B001-98256EC6E974}"/>
  <tableColumns count="30">
    <tableColumn id="1" xr3:uid="{AD1A0C68-1E26-4B3A-A1AB-DF340931CC20}" uniqueName="code" name="code" dataCellStyle="Normal 21">
      <xmlColumnPr mapId="1" xpath="/productdata/country/@code" xmlDataType="string"/>
    </tableColumn>
    <tableColumn id="2" xr3:uid="{C8EAC1EB-1661-4A23-ACA9-36299CD43884}" uniqueName="name" name="name" dataCellStyle="Normal 21">
      <xmlColumnPr mapId="1" xpath="/productdata/country/@name" xmlDataType="string"/>
    </tableColumn>
    <tableColumn id="3" xr3:uid="{03009E7E-2770-427B-B4E0-13DE0268E418}" uniqueName="isactive" name="isactive" dataCellStyle="Normal 21">
      <xmlColumnPr mapId="1" xpath="/productdata/country/@isactive" xmlDataType="integer"/>
    </tableColumn>
    <tableColumn id="4" xr3:uid="{C09D8CEB-D8D1-421E-B2DB-D94D7D1DCA8B}" uniqueName="code" name="code2" dataCellStyle="Normal 21">
      <xmlColumnPr mapId="1" xpath="/productdata/country/interestrates/section/@code" xmlDataType="string"/>
    </tableColumn>
    <tableColumn id="5" xr3:uid="{7F54EA7E-C826-40A2-8760-4A39521D0A92}" uniqueName="name" name="name3" dataCellStyle="Normal 21">
      <xmlColumnPr mapId="1" xpath="/productdata/country/interestrates/section/@name" xmlDataType="string"/>
    </tableColumn>
    <tableColumn id="6" xr3:uid="{8609853A-B35F-4257-9E34-5CBBCA5DFFF6}" uniqueName="isactive" name="isactive4" dataCellStyle="Normal 21">
      <xmlColumnPr mapId="1" xpath="/productdata/country/interestrates/section/@isactive" xmlDataType="integer"/>
    </tableColumn>
    <tableColumn id="7" xr3:uid="{E3381E93-1AA0-439D-B062-DDA8FB26740A}" uniqueName="isfordisplay" name="isfordisplay" dataCellStyle="Normal 21">
      <xmlColumnPr mapId="1" xpath="/productdata/country/interestrates/section/@isfordisplay" xmlDataType="integer"/>
    </tableColumn>
    <tableColumn id="8" xr3:uid="{38C69058-A432-459A-A74F-1FF9E0B12426}" uniqueName="sectiondescription" name="sectiondescription" dataCellStyle="Normal 21">
      <xmlColumnPr mapId="1" xpath="/productdata/country/interestrates/section/sectiondescription" xmlDataType="string"/>
    </tableColumn>
    <tableColumn id="9" xr3:uid="{07099A66-8958-4E90-B84F-3E3156DA992C}" uniqueName="sectioneffectivedate" name="sectioneffectivedate" dataCellStyle="Normal 21">
      <xmlColumnPr mapId="1" xpath="/productdata/country/interestrates/section/sectioneffectivedate" xmlDataType="string"/>
    </tableColumn>
    <tableColumn id="10" xr3:uid="{1FC0E3D1-3579-420B-BA6B-E96CF8A05DE8}" uniqueName="sectioneffectivedateraw" name="sectioneffectivedateraw" dataCellStyle="Normal 21">
      <xmlColumnPr mapId="1" xpath="/productdata/country/interestrates/section/sectioneffectivedateraw" xmlDataType="string"/>
    </tableColumn>
    <tableColumn id="11" xr3:uid="{AEEDE51C-CE4C-453D-8425-1AB19BA8C2FA}" uniqueName="informationurl" name="informationurl" dataCellStyle="Normal 21">
      <xmlColumnPr mapId="1" xpath="/productdata/country/interestrates/section/informationurl" xmlDataType="string"/>
    </tableColumn>
    <tableColumn id="12" xr3:uid="{417AEE6B-5854-492A-8A59-FFE02CA32FEA}" uniqueName="sectiondisclaimer" name="sectiondisclaimer" dataCellStyle="Normal 21">
      <xmlColumnPr mapId="1" xpath="/productdata/country/interestrates/section/sectiondisclaimer" xmlDataType="string"/>
    </tableColumn>
    <tableColumn id="13" xr3:uid="{C6934C34-F82A-4805-A853-270E87475FF3}" uniqueName="code" name="code5" dataCellStyle="Normal 21">
      <xmlColumnPr mapId="1" xpath="/productdata/country/interestrates/section/subsection/@code" xmlDataType="string"/>
    </tableColumn>
    <tableColumn id="14" xr3:uid="{23D2FEB9-B21B-4622-834F-4F9904492032}" uniqueName="name" name="name6" dataCellStyle="Normal 21">
      <xmlColumnPr mapId="1" xpath="/productdata/country/interestrates/section/subsection/@name" xmlDataType="string"/>
    </tableColumn>
    <tableColumn id="15" xr3:uid="{2B3308C1-BFC4-4526-B5CB-6871EDD0BA02}" uniqueName="isactive" name="isactive7" dataCellStyle="Normal 21">
      <xmlColumnPr mapId="1" xpath="/productdata/country/interestrates/section/subsection/@isactive" xmlDataType="integer"/>
    </tableColumn>
    <tableColumn id="16" xr3:uid="{209109A6-665F-464D-888F-C68DC1E950EB}" uniqueName="isfordisplay" name="isfordisplay8" dataCellStyle="Normal 21">
      <xmlColumnPr mapId="1" xpath="/productdata/country/interestrates/section/subsection/@isfordisplay" xmlDataType="integer"/>
    </tableColumn>
    <tableColumn id="17" xr3:uid="{EF229D98-B113-4294-8F0B-9B45664A3224}" uniqueName="subsectiondescription" name="subsectiondescription" dataCellStyle="Normal 21">
      <xmlColumnPr mapId="1" xpath="/productdata/country/interestrates/section/subsection/subsectiondescription" xmlDataType="string"/>
    </tableColumn>
    <tableColumn id="18" xr3:uid="{ACAAB6CF-0BF5-40C6-BE5F-16AB42AE6C61}" uniqueName="tiergrouptitle1" name="tiergrouptitle1" dataCellStyle="Normal 21">
      <xmlColumnPr mapId="1" xpath="/productdata/country/interestrates/section/subsection/tiergrouptitle1" xmlDataType="string"/>
    </tableColumn>
    <tableColumn id="19" xr3:uid="{F8F31872-B4B9-41CB-93B5-6E5CCB91F0DA}" uniqueName="tiergrouptitle2" name="tiergrouptitle2" dataCellStyle="Normal 21">
      <xmlColumnPr mapId="1" xpath="/productdata/country/interestrates/section/subsection/tiergrouptitle2" xmlDataType="string"/>
    </tableColumn>
    <tableColumn id="20" xr3:uid="{3F5921F7-5947-4450-8BB8-734E68EC62CD}" uniqueName="subsectiondisclaimer" name="subsectiondisclaimer" dataCellStyle="Normal 21">
      <xmlColumnPr mapId="1" xpath="/productdata/country/interestrates/section/subsection/subsectiondisclaimer" xmlDataType="string"/>
    </tableColumn>
    <tableColumn id="21" xr3:uid="{E9D09C2C-3B88-4AFA-A7C6-51CD32004610}" uniqueName="code" name="code9" dataCellStyle="Normal 21">
      <xmlColumnPr mapId="1" xpath="/productdata/country/interestrates/section/subsection/baserate/@code" xmlDataType="string"/>
    </tableColumn>
    <tableColumn id="22" xr3:uid="{3B4780FB-29EA-4987-9D07-4D6E10EFFC8F}" uniqueName="isactive" name="isactive10" dataCellStyle="Normal 21">
      <xmlColumnPr mapId="1" xpath="/productdata/country/interestrates/section/subsection/baserate/@isactive" xmlDataType="integer"/>
    </tableColumn>
    <tableColumn id="23" xr3:uid="{149C6486-DF7F-4803-9F7C-904D96E89AD3}" uniqueName="isfordisplay" name="isfordisplay11" dataCellStyle="Normal 21">
      <xmlColumnPr mapId="1" xpath="/productdata/country/interestrates/section/subsection/baserate/@isfordisplay" xmlDataType="integer"/>
    </tableColumn>
    <tableColumn id="24" xr3:uid="{044D5AE7-A21F-497A-A108-8F748A4219F4}" uniqueName="ratename" name="ratename" dataCellStyle="Normal 21">
      <xmlColumnPr mapId="1" xpath="/productdata/country/interestrates/section/subsection/baserate/ratename" xmlDataType="string"/>
    </tableColumn>
    <tableColumn id="25" xr3:uid="{015D2068-2BAC-40E8-B083-50519B432C38}" uniqueName="ratetype" name="ratetype" dataCellStyle="Normal 21">
      <xmlColumnPr mapId="1" xpath="/productdata/country/interestrates/section/subsection/baserate/ratetype" xmlDataType="string"/>
    </tableColumn>
    <tableColumn id="26" xr3:uid="{23442F7B-B33E-4F33-BBB5-A2CCDF43510E}" uniqueName="ratevalue" name="ratevalue" dataCellStyle="Normal 21">
      <xmlColumnPr mapId="1" xpath="/productdata/country/interestrates/section/subsection/baserate/ratevalue" xmlDataType="string"/>
    </tableColumn>
    <tableColumn id="27" xr3:uid="{106DC4B4-3C7C-4A79-B3C8-7368952286BD}" uniqueName="ratesuffix" name="ratesuffix" dataCellStyle="Normal 21">
      <xmlColumnPr mapId="1" xpath="/productdata/country/interestrates/section/subsection/baserate/ratesuffix" xmlDataType="string"/>
    </tableColumn>
    <tableColumn id="28" xr3:uid="{066E3099-01F4-4C9A-BF1F-56284A39C845}" uniqueName="ratenote" name="ratenote" dataCellStyle="Normal 21">
      <xmlColumnPr mapId="1" xpath="/productdata/country/interestrates/section/subsection/baserate/ratenote" xmlDataType="string"/>
    </tableColumn>
    <tableColumn id="29" xr3:uid="{FFACFD19-53F0-427C-915B-3C4867EA715B}" uniqueName="tiername1" name="tiername1" dataCellStyle="Normal 21">
      <xmlColumnPr mapId="1" xpath="/productdata/country/interestrates/section/subsection/baserate/tiername1" xmlDataType="string"/>
    </tableColumn>
    <tableColumn id="30" xr3:uid="{B4E21E8D-B891-45CB-94D6-B9C9CD2F0706}" uniqueName="tiername2" name="tiername2" dataCellStyle="Normal 21">
      <xmlColumnPr mapId="1" xpath="/productdata/country/interestrates/section/subsection/baserate/tiername2" xmlDataType="string"/>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CFF8BC-91FB-4D34-ADF4-80644EB9BEC4}" name="reference_data" displayName="reference_data" ref="A1:B95" tableType="queryTable" totalsRowShown="0">
  <autoFilter ref="A1:B95" xr:uid="{2ECFF8BC-91FB-4D34-ADF4-80644EB9BEC4}"/>
  <tableColumns count="2">
    <tableColumn id="1" xr3:uid="{614EE914-4221-498A-BE2C-FB5FAC44A986}" uniqueName="1" name="Name" queryTableFieldId="1"/>
    <tableColumn id="2" xr3:uid="{CA6D0BC5-DF4B-40F7-99C9-1DA615E19740}" uniqueName="2" name="Valu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13" Type="http://schemas.openxmlformats.org/officeDocument/2006/relationships/ctrlProp" Target="../ctrlProps/ctrlProp41.xml"/><Relationship Id="rId18" Type="http://schemas.openxmlformats.org/officeDocument/2006/relationships/ctrlProp" Target="../ctrlProps/ctrlProp46.xml"/><Relationship Id="rId3" Type="http://schemas.openxmlformats.org/officeDocument/2006/relationships/vmlDrawing" Target="../drawings/vmlDrawing2.vml"/><Relationship Id="rId21" Type="http://schemas.openxmlformats.org/officeDocument/2006/relationships/ctrlProp" Target="../ctrlProps/ctrlProp49.xml"/><Relationship Id="rId7" Type="http://schemas.openxmlformats.org/officeDocument/2006/relationships/ctrlProp" Target="../ctrlProps/ctrlProp35.xml"/><Relationship Id="rId12" Type="http://schemas.openxmlformats.org/officeDocument/2006/relationships/ctrlProp" Target="../ctrlProps/ctrlProp40.xml"/><Relationship Id="rId17" Type="http://schemas.openxmlformats.org/officeDocument/2006/relationships/ctrlProp" Target="../ctrlProps/ctrlProp45.xml"/><Relationship Id="rId2" Type="http://schemas.openxmlformats.org/officeDocument/2006/relationships/drawing" Target="../drawings/drawing8.xml"/><Relationship Id="rId16" Type="http://schemas.openxmlformats.org/officeDocument/2006/relationships/ctrlProp" Target="../ctrlProps/ctrlProp44.xml"/><Relationship Id="rId20"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4.xml"/><Relationship Id="rId11" Type="http://schemas.openxmlformats.org/officeDocument/2006/relationships/ctrlProp" Target="../ctrlProps/ctrlProp39.xml"/><Relationship Id="rId24" Type="http://schemas.openxmlformats.org/officeDocument/2006/relationships/ctrlProp" Target="../ctrlProps/ctrlProp52.xml"/><Relationship Id="rId5" Type="http://schemas.openxmlformats.org/officeDocument/2006/relationships/ctrlProp" Target="../ctrlProps/ctrlProp33.xml"/><Relationship Id="rId15" Type="http://schemas.openxmlformats.org/officeDocument/2006/relationships/ctrlProp" Target="../ctrlProps/ctrlProp43.xml"/><Relationship Id="rId23" Type="http://schemas.openxmlformats.org/officeDocument/2006/relationships/ctrlProp" Target="../ctrlProps/ctrlProp51.xml"/><Relationship Id="rId10" Type="http://schemas.openxmlformats.org/officeDocument/2006/relationships/ctrlProp" Target="../ctrlProps/ctrlProp38.xml"/><Relationship Id="rId19" Type="http://schemas.openxmlformats.org/officeDocument/2006/relationships/ctrlProp" Target="../ctrlProps/ctrlProp47.xml"/><Relationship Id="rId4" Type="http://schemas.openxmlformats.org/officeDocument/2006/relationships/ctrlProp" Target="../ctrlProps/ctrlProp32.xml"/><Relationship Id="rId9" Type="http://schemas.openxmlformats.org/officeDocument/2006/relationships/ctrlProp" Target="../ctrlProps/ctrlProp37.xml"/><Relationship Id="rId14" Type="http://schemas.openxmlformats.org/officeDocument/2006/relationships/ctrlProp" Target="../ctrlProps/ctrlProp42.xml"/><Relationship Id="rId22" Type="http://schemas.openxmlformats.org/officeDocument/2006/relationships/ctrlProp" Target="../ctrlProps/ctrlProp5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3.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65.xml"/><Relationship Id="rId1" Type="http://schemas.openxmlformats.org/officeDocument/2006/relationships/printerSettings" Target="../printerSettings/printerSettings9.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26" Type="http://schemas.openxmlformats.org/officeDocument/2006/relationships/ctrlProp" Target="../ctrlProps/ctrlProp90.xml"/><Relationship Id="rId3" Type="http://schemas.openxmlformats.org/officeDocument/2006/relationships/vmlDrawing" Target="../drawings/vmlDrawing4.vml"/><Relationship Id="rId21" Type="http://schemas.openxmlformats.org/officeDocument/2006/relationships/ctrlProp" Target="../ctrlProps/ctrlProp85.x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5" Type="http://schemas.openxmlformats.org/officeDocument/2006/relationships/ctrlProp" Target="../ctrlProps/ctrlProp89.xml"/><Relationship Id="rId2" Type="http://schemas.openxmlformats.org/officeDocument/2006/relationships/drawing" Target="../drawings/drawing10.xml"/><Relationship Id="rId16" Type="http://schemas.openxmlformats.org/officeDocument/2006/relationships/ctrlProp" Target="../ctrlProps/ctrlProp80.xml"/><Relationship Id="rId20" Type="http://schemas.openxmlformats.org/officeDocument/2006/relationships/ctrlProp" Target="../ctrlProps/ctrlProp84.xml"/><Relationship Id="rId29" Type="http://schemas.openxmlformats.org/officeDocument/2006/relationships/ctrlProp" Target="../ctrlProps/ctrlProp93.xml"/><Relationship Id="rId1" Type="http://schemas.openxmlformats.org/officeDocument/2006/relationships/printerSettings" Target="../printerSettings/printerSettings10.bin"/><Relationship Id="rId6" Type="http://schemas.openxmlformats.org/officeDocument/2006/relationships/ctrlProp" Target="../ctrlProps/ctrlProp70.xml"/><Relationship Id="rId11" Type="http://schemas.openxmlformats.org/officeDocument/2006/relationships/ctrlProp" Target="../ctrlProps/ctrlProp75.xml"/><Relationship Id="rId24" Type="http://schemas.openxmlformats.org/officeDocument/2006/relationships/ctrlProp" Target="../ctrlProps/ctrlProp88.xml"/><Relationship Id="rId32" Type="http://schemas.openxmlformats.org/officeDocument/2006/relationships/ctrlProp" Target="../ctrlProps/ctrlProp96.xml"/><Relationship Id="rId5" Type="http://schemas.openxmlformats.org/officeDocument/2006/relationships/ctrlProp" Target="../ctrlProps/ctrlProp69.xml"/><Relationship Id="rId15" Type="http://schemas.openxmlformats.org/officeDocument/2006/relationships/ctrlProp" Target="../ctrlProps/ctrlProp79.xml"/><Relationship Id="rId23" Type="http://schemas.openxmlformats.org/officeDocument/2006/relationships/ctrlProp" Target="../ctrlProps/ctrlProp87.xml"/><Relationship Id="rId28" Type="http://schemas.openxmlformats.org/officeDocument/2006/relationships/ctrlProp" Target="../ctrlProps/ctrlProp92.xml"/><Relationship Id="rId10" Type="http://schemas.openxmlformats.org/officeDocument/2006/relationships/ctrlProp" Target="../ctrlProps/ctrlProp74.xml"/><Relationship Id="rId19" Type="http://schemas.openxmlformats.org/officeDocument/2006/relationships/ctrlProp" Target="../ctrlProps/ctrlProp83.xml"/><Relationship Id="rId31" Type="http://schemas.openxmlformats.org/officeDocument/2006/relationships/ctrlProp" Target="../ctrlProps/ctrlProp95.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 Id="rId22" Type="http://schemas.openxmlformats.org/officeDocument/2006/relationships/ctrlProp" Target="../ctrlProps/ctrlProp86.xml"/><Relationship Id="rId27" Type="http://schemas.openxmlformats.org/officeDocument/2006/relationships/ctrlProp" Target="../ctrlProps/ctrlProp91.xml"/><Relationship Id="rId30" Type="http://schemas.openxmlformats.org/officeDocument/2006/relationships/ctrlProp" Target="../ctrlProps/ctrlProp94.x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file:///./Roaming/Microsoft/Excel/JSONs" TargetMode="External"/><Relationship Id="rId7" Type="http://schemas.openxmlformats.org/officeDocument/2006/relationships/drawing" Target="../drawings/drawing1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1.bin"/><Relationship Id="rId5" Type="http://schemas.openxmlformats.org/officeDocument/2006/relationships/hyperlink" Target="file:///C:/Users/woodsd1/AppData/Roaming/Microsoft/05.%20Test%20Automation%20Files" TargetMode="External"/><Relationship Id="rId4" Type="http://schemas.openxmlformats.org/officeDocument/2006/relationships/hyperlink" Target="file:///Roaming/Microsoft/Excel" TargetMode="External"/><Relationship Id="rId9"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8" Type="http://schemas.openxmlformats.org/officeDocument/2006/relationships/hyperlink" Target="http://max.anz/FileStore/RiskPolicy/Retail_Credit_Requirements_Mortgages/HTMLZ/mcr_additional_income_sources.htm" TargetMode="External"/><Relationship Id="rId13" Type="http://schemas.openxmlformats.org/officeDocument/2006/relationships/vmlDrawing" Target="../drawings/vmlDrawing6.vml"/><Relationship Id="rId3" Type="http://schemas.openxmlformats.org/officeDocument/2006/relationships/hyperlink" Target="https://www.anz.com.au/content/dam/anzcomau/documents/pdf/anz-credit-cards-key-facts-sheet.pdf" TargetMode="External"/><Relationship Id="rId7" Type="http://schemas.openxmlformats.org/officeDocument/2006/relationships/hyperlink" Target="https://www.anz.com.au/content/dam/anzcomau/documents/pdf/consumer-lending-tc.pdf" TargetMode="External"/><Relationship Id="rId12" Type="http://schemas.openxmlformats.org/officeDocument/2006/relationships/drawing" Target="../drawings/drawing12.xml"/><Relationship Id="rId2" Type="http://schemas.openxmlformats.org/officeDocument/2006/relationships/hyperlink" Target="https://www.anz.com.au/content/dam/anzcomau/documents/pdf/personal-account-fees-charges.pdf" TargetMode="External"/><Relationship Id="rId1" Type="http://schemas.openxmlformats.org/officeDocument/2006/relationships/hyperlink" Target="https://www.anz.com/mobile-au/en/holmes/content.html" TargetMode="External"/><Relationship Id="rId6" Type="http://schemas.openxmlformats.org/officeDocument/2006/relationships/hyperlink" Target="https://www.anz.com.au/content/dam/anzcomau/documents/pdf/anz-mortgages-hero-brochure.pdf" TargetMode="External"/><Relationship Id="rId11" Type="http://schemas.openxmlformats.org/officeDocument/2006/relationships/printerSettings" Target="../printerSettings/printerSettings12.bin"/><Relationship Id="rId5" Type="http://schemas.openxmlformats.org/officeDocument/2006/relationships/hyperlink" Target="https://www.anz.com.au/content/dam/anzcomau/documents/pdf/fixed-rate-loans-what-happens-if-you-pay-early.pdf" TargetMode="External"/><Relationship Id="rId15" Type="http://schemas.openxmlformats.org/officeDocument/2006/relationships/comments" Target="../comments2.xml"/><Relationship Id="rId10" Type="http://schemas.openxmlformats.org/officeDocument/2006/relationships/hyperlink" Target="https://max.global.anz.com/Lists/ExternalDocuments/MPIamendmentadvicebranch.pdf" TargetMode="External"/><Relationship Id="rId4" Type="http://schemas.openxmlformats.org/officeDocument/2006/relationships/hyperlink" Target="https://www.anz.com.au/content/dam/anzcomau/documents/pdf/breakfree-tc.pdf" TargetMode="External"/><Relationship Id="rId9" Type="http://schemas.openxmlformats.org/officeDocument/2006/relationships/hyperlink" Target="https://max.global.anz.com/Work/Products%20and%20services/Pages/anz/sites/Lock-Rate.aspx" TargetMode="External"/><Relationship Id="rId14"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1.xml"/><Relationship Id="rId3" Type="http://schemas.openxmlformats.org/officeDocument/2006/relationships/vmlDrawing" Target="../drawings/vmlDrawing7.vml"/><Relationship Id="rId7" Type="http://schemas.openxmlformats.org/officeDocument/2006/relationships/ctrlProp" Target="../ctrlProps/ctrlProp100.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10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13146-BE3F-498A-B21D-7BA9B7FBD7B9}">
  <sheetPr codeName="Sheet44"/>
  <dimension ref="A1:AS155"/>
  <sheetViews>
    <sheetView showGridLines="0" showRowColHeaders="0" zoomScaleNormal="100" workbookViewId="0">
      <selection activeCell="E6" sqref="E6"/>
    </sheetView>
  </sheetViews>
  <sheetFormatPr baseColWidth="10" defaultColWidth="9" defaultRowHeight="15"/>
  <cols>
    <col min="1" max="3" width="0.83203125" style="2" customWidth="1"/>
    <col min="4" max="4" width="16.6640625" style="2" customWidth="1"/>
    <col min="5" max="5" width="13.6640625" style="2" customWidth="1"/>
    <col min="6" max="6" width="1.33203125" style="2" customWidth="1"/>
    <col min="7" max="7" width="17.1640625" style="2" customWidth="1"/>
    <col min="8" max="8" width="10.5" style="2" customWidth="1"/>
    <col min="9" max="9" width="14.6640625" style="2" customWidth="1"/>
    <col min="10" max="10" width="1.33203125" style="2" customWidth="1"/>
    <col min="11" max="11" width="0.83203125" style="2" customWidth="1"/>
    <col min="12" max="12" width="9" style="2"/>
    <col min="13" max="13" width="10.5" style="2" hidden="1" customWidth="1"/>
    <col min="14" max="14" width="13.6640625" style="2" hidden="1" customWidth="1"/>
    <col min="15" max="15" width="11.83203125" style="2" hidden="1" customWidth="1"/>
    <col min="16" max="16" width="14.1640625" style="2" hidden="1" customWidth="1"/>
    <col min="17" max="16384" width="9" style="2"/>
  </cols>
  <sheetData>
    <row r="1" spans="1:16" ht="5.25" customHeight="1">
      <c r="A1" s="3">
        <f>I6</f>
        <v>0</v>
      </c>
      <c r="B1" s="1"/>
    </row>
    <row r="2" spans="1:16" ht="5.25" customHeight="1">
      <c r="B2" s="730"/>
      <c r="C2" s="731"/>
      <c r="D2" s="731"/>
      <c r="E2" s="731"/>
      <c r="F2" s="731"/>
      <c r="G2" s="731"/>
      <c r="H2" s="731"/>
      <c r="I2" s="731"/>
      <c r="J2" s="731"/>
      <c r="K2" s="732"/>
    </row>
    <row r="3" spans="1:16" ht="8.25" customHeight="1">
      <c r="B3" s="733"/>
      <c r="C3" s="711"/>
      <c r="D3" s="743"/>
      <c r="E3" s="743"/>
      <c r="F3" s="743"/>
      <c r="G3" s="743"/>
      <c r="H3" s="743"/>
      <c r="I3" s="743"/>
      <c r="J3" s="708"/>
      <c r="K3" s="736"/>
    </row>
    <row r="4" spans="1:16" ht="24" customHeight="1">
      <c r="B4" s="733"/>
      <c r="C4" s="742"/>
      <c r="D4" s="7" t="s">
        <v>9046</v>
      </c>
      <c r="J4" s="714"/>
      <c r="K4" s="736"/>
      <c r="M4" s="23"/>
    </row>
    <row r="5" spans="1:16" ht="16">
      <c r="B5" s="733"/>
      <c r="C5" s="742"/>
      <c r="D5" s="7"/>
      <c r="J5" s="714"/>
      <c r="K5" s="736"/>
      <c r="M5" s="1327" t="s">
        <v>9053</v>
      </c>
      <c r="N5" s="1327" t="s">
        <v>9051</v>
      </c>
      <c r="O5" s="1327" t="s">
        <v>9052</v>
      </c>
      <c r="P5" s="1327" t="s">
        <v>50</v>
      </c>
    </row>
    <row r="6" spans="1:16" ht="17.25" customHeight="1">
      <c r="B6" s="733"/>
      <c r="C6" s="742"/>
      <c r="D6" s="1294" t="s">
        <v>8835</v>
      </c>
      <c r="E6" s="783"/>
      <c r="H6" s="59" t="s">
        <v>9047</v>
      </c>
      <c r="I6" s="59" cm="1">
        <f t="array" ref="I6">IF(E7="After Tax",CONVERT_TO_GROSS(CONVERT_TO_ANNUALLY(E6,E12),TRUE,N6,O6),CONVERT_TO_ANNUALLY(E6,E12))</f>
        <v>0</v>
      </c>
      <c r="J6" s="714"/>
      <c r="K6" s="736"/>
      <c r="M6" s="1429" t="s">
        <v>551</v>
      </c>
      <c r="N6" s="1428">
        <v>1</v>
      </c>
      <c r="O6" s="1428">
        <v>0</v>
      </c>
      <c r="P6" s="1428">
        <v>30.416666666666668</v>
      </c>
    </row>
    <row r="7" spans="1:16" ht="17.25" customHeight="1">
      <c r="B7" s="733"/>
      <c r="C7" s="742"/>
      <c r="D7" s="1294" t="s">
        <v>158</v>
      </c>
      <c r="E7" s="924"/>
      <c r="H7" s="59" t="s">
        <v>9048</v>
      </c>
      <c r="I7" s="59">
        <v>15204</v>
      </c>
      <c r="J7" s="714"/>
      <c r="K7" s="736"/>
      <c r="M7" s="23"/>
    </row>
    <row r="8" spans="1:16" ht="17.25" hidden="1" customHeight="1">
      <c r="B8" s="733"/>
      <c r="C8" s="742"/>
      <c r="E8" s="1430" t="s">
        <v>16</v>
      </c>
      <c r="H8" s="59"/>
      <c r="I8" s="59"/>
      <c r="J8" s="714"/>
      <c r="K8" s="736"/>
      <c r="M8" s="23"/>
    </row>
    <row r="9" spans="1:16" ht="17.25" hidden="1" customHeight="1">
      <c r="B9" s="733"/>
      <c r="C9" s="742"/>
      <c r="E9" s="1430" t="s">
        <v>17</v>
      </c>
      <c r="H9" s="59"/>
      <c r="I9" s="59"/>
      <c r="J9" s="714"/>
      <c r="K9" s="736"/>
      <c r="M9" s="23"/>
    </row>
    <row r="10" spans="1:16" ht="17.25" hidden="1" customHeight="1">
      <c r="B10" s="733"/>
      <c r="C10" s="742"/>
      <c r="E10" s="1430" t="s">
        <v>3</v>
      </c>
      <c r="H10" s="59"/>
      <c r="I10" s="59"/>
      <c r="J10" s="714"/>
      <c r="K10" s="736"/>
      <c r="M10" s="23"/>
    </row>
    <row r="11" spans="1:16" ht="17.25" hidden="1" customHeight="1">
      <c r="B11" s="733"/>
      <c r="C11" s="742"/>
      <c r="E11" s="1430" t="s">
        <v>18</v>
      </c>
      <c r="H11" s="59"/>
      <c r="I11" s="59"/>
      <c r="J11" s="714"/>
      <c r="K11" s="736"/>
      <c r="M11" s="23"/>
    </row>
    <row r="12" spans="1:16" ht="17.25" customHeight="1">
      <c r="B12" s="733"/>
      <c r="C12" s="742"/>
      <c r="D12" s="1294" t="s">
        <v>15</v>
      </c>
      <c r="E12" s="783"/>
      <c r="F12" s="724"/>
      <c r="H12" s="1426" t="s">
        <v>9049</v>
      </c>
      <c r="I12" s="59">
        <f>I7-I6</f>
        <v>15204</v>
      </c>
      <c r="J12" s="714"/>
      <c r="K12" s="736"/>
    </row>
    <row r="13" spans="1:16" ht="7.5" customHeight="1">
      <c r="B13" s="733"/>
      <c r="C13" s="713"/>
      <c r="D13" s="1418"/>
      <c r="E13" s="1416"/>
      <c r="F13" s="1418"/>
      <c r="J13" s="714"/>
      <c r="K13" s="736"/>
    </row>
    <row r="14" spans="1:16" ht="17.25" hidden="1" customHeight="1">
      <c r="B14" s="733"/>
      <c r="C14" s="713"/>
      <c r="D14" s="1465" t="s">
        <v>9054</v>
      </c>
      <c r="E14" s="1465"/>
      <c r="F14" s="1465"/>
      <c r="G14" s="1465"/>
      <c r="H14" s="1465"/>
      <c r="I14" s="1465"/>
      <c r="J14" s="1245"/>
      <c r="K14" s="736"/>
    </row>
    <row r="15" spans="1:16" ht="7.5" customHeight="1">
      <c r="B15" s="733"/>
      <c r="C15" s="713"/>
      <c r="D15" s="1418"/>
      <c r="E15" s="1416"/>
      <c r="F15" s="1418"/>
      <c r="G15" s="1416"/>
      <c r="H15" s="1418"/>
      <c r="I15" s="1417"/>
      <c r="J15" s="714"/>
      <c r="K15" s="736"/>
    </row>
    <row r="16" spans="1:16" ht="17.25" hidden="1" customHeight="1">
      <c r="B16" s="733"/>
      <c r="C16" s="713"/>
      <c r="D16" s="1294" t="s">
        <v>9050</v>
      </c>
      <c r="E16" s="783"/>
      <c r="G16" s="1294" cm="1">
        <f t="array" ref="G16">IF(E16="Bonus",ROUND(CONVERT_FREQUENCY(I12, "Annually", "Year to Date", , P6), 2),I12)</f>
        <v>15204</v>
      </c>
      <c r="H16" s="1427" t="str">
        <f>IF(E16="Bonus","YTD","per annum")</f>
        <v>per annum</v>
      </c>
      <c r="I16" s="1417"/>
      <c r="J16" s="714"/>
      <c r="K16" s="736"/>
    </row>
    <row r="17" spans="2:11" ht="7.5" customHeight="1">
      <c r="B17" s="733"/>
      <c r="C17" s="713"/>
      <c r="D17" s="1420"/>
      <c r="E17" s="1413"/>
      <c r="F17" s="1413"/>
      <c r="G17" s="1413"/>
      <c r="H17" s="1413"/>
      <c r="I17" s="1415"/>
      <c r="J17" s="1245"/>
      <c r="K17" s="736"/>
    </row>
    <row r="18" spans="2:11" ht="7.5" customHeight="1">
      <c r="B18" s="733"/>
      <c r="C18" s="709"/>
      <c r="D18" s="944"/>
      <c r="E18" s="944"/>
      <c r="F18" s="944"/>
      <c r="G18" s="944"/>
      <c r="H18" s="944"/>
      <c r="I18" s="944"/>
      <c r="J18" s="716"/>
      <c r="K18" s="736"/>
    </row>
    <row r="19" spans="2:11" ht="28.5" customHeight="1">
      <c r="B19" s="734"/>
      <c r="C19" s="738"/>
      <c r="D19" s="738"/>
      <c r="E19" s="738"/>
      <c r="F19" s="738"/>
      <c r="G19" s="738"/>
      <c r="H19" s="738"/>
      <c r="I19" s="738"/>
      <c r="J19" s="738"/>
      <c r="K19" s="737"/>
    </row>
    <row r="110" spans="12:45">
      <c r="L110" s="2">
        <v>7411.1</v>
      </c>
      <c r="M110" s="2">
        <v>1126273.10537656</v>
      </c>
      <c r="AP110" s="2">
        <v>0</v>
      </c>
      <c r="AQ110" s="2">
        <v>0</v>
      </c>
      <c r="AR110" s="2" t="b">
        <v>0</v>
      </c>
      <c r="AS110" s="2" t="b">
        <v>0</v>
      </c>
    </row>
    <row r="111" spans="12:45">
      <c r="AQ111" s="2">
        <v>0</v>
      </c>
      <c r="AS111" s="2" t="b">
        <v>0</v>
      </c>
    </row>
    <row r="116" spans="43:45">
      <c r="AQ116" s="2">
        <v>366171.90076574101</v>
      </c>
      <c r="AS116" s="2" t="b">
        <v>0</v>
      </c>
    </row>
    <row r="117" spans="43:45">
      <c r="AQ117" s="2">
        <v>370567.56203717098</v>
      </c>
      <c r="AS117" s="2" t="b">
        <v>0</v>
      </c>
    </row>
    <row r="118" spans="43:45">
      <c r="AQ118" s="2">
        <v>370567.56203717098</v>
      </c>
      <c r="AS118" s="2" t="b">
        <v>0</v>
      </c>
    </row>
    <row r="120" spans="43:45">
      <c r="AQ120" s="2">
        <v>333663.40171675902</v>
      </c>
      <c r="AS120" s="2" t="b">
        <v>1</v>
      </c>
    </row>
    <row r="141" spans="43:45">
      <c r="AQ141" s="2">
        <v>0</v>
      </c>
      <c r="AS141" s="2" t="b">
        <v>1</v>
      </c>
    </row>
    <row r="142" spans="43:45">
      <c r="AQ142" s="2">
        <v>0</v>
      </c>
      <c r="AS142" s="2" t="b">
        <v>1</v>
      </c>
    </row>
    <row r="152" spans="43:45">
      <c r="AQ152" s="2">
        <v>523604.09521296702</v>
      </c>
      <c r="AS152" s="2" t="b">
        <v>1</v>
      </c>
    </row>
    <row r="155" spans="43:45">
      <c r="AQ155" s="2">
        <v>393654.89882072899</v>
      </c>
      <c r="AS155" s="2" t="b">
        <v>1</v>
      </c>
    </row>
  </sheetData>
  <sheetProtection algorithmName="SHA-512" hashValue="AhEgzRWJAYIMrY7npjsnGRiJfjp9V1WI6MxkfYeZH7iZdurlaL3KyOvrll0pBPdAaAcIqQTHV6xM3tjXFS5NEQ==" saltValue="bvkp+EBMjQnV193pd/Fe3w==" spinCount="100000" sheet="1"/>
  <mergeCells count="1">
    <mergeCell ref="D14:I14"/>
  </mergeCells>
  <conditionalFormatting sqref="D14:I14">
    <cfRule type="expression" dxfId="690" priority="1">
      <formula>$D$14&lt;&gt;""</formula>
    </cfRule>
  </conditionalFormatting>
  <dataValidations count="4">
    <dataValidation type="decimal" operator="greaterThanOrEqual" allowBlank="1" showInputMessage="1" showErrorMessage="1" sqref="I14:I16" xr:uid="{0971F2CD-335C-4C9A-A8D4-99FCBA0ACDF4}">
      <formula1>0</formula1>
    </dataValidation>
    <dataValidation type="list" allowBlank="1" showInputMessage="1" showErrorMessage="1" sqref="E12" xr:uid="{83A5631F-C4ED-4E6B-B4C9-E14680126227}">
      <formula1>"Weekly, Fortnightly, Four Weekly, Monthly"</formula1>
    </dataValidation>
    <dataValidation type="list" allowBlank="1" showInputMessage="1" showErrorMessage="1" sqref="E7:E11" xr:uid="{1FCE4DBF-800F-43D8-994F-8E405DFE5ED7}">
      <formula1>"After Tax, Before Tax"</formula1>
    </dataValidation>
    <dataValidation type="list" allowBlank="1" showInputMessage="1" showErrorMessage="1" sqref="E16" xr:uid="{C7009EBF-7154-4865-A1FC-4BFFB4976E19}">
      <formula1>"Bonus, Commission, Overtime"</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458B9-3A92-4714-929C-E1F449CF3BB2}">
  <sheetPr codeName="Sheet43"/>
  <dimension ref="A1:AS163"/>
  <sheetViews>
    <sheetView showGridLines="0" showRowColHeaders="0" zoomScaleNormal="100" workbookViewId="0">
      <selection activeCell="D25" sqref="D25:I25"/>
    </sheetView>
  </sheetViews>
  <sheetFormatPr baseColWidth="10" defaultColWidth="9" defaultRowHeight="15"/>
  <cols>
    <col min="1" max="3" width="0.83203125" style="2" customWidth="1"/>
    <col min="4" max="4" width="13.33203125" style="2" customWidth="1"/>
    <col min="5" max="8" width="13.6640625" style="2" customWidth="1"/>
    <col min="9" max="9" width="14.6640625" style="2" customWidth="1"/>
    <col min="10" max="10" width="1.33203125" style="2" customWidth="1"/>
    <col min="11" max="11" width="0.83203125" style="2" customWidth="1"/>
    <col min="12" max="16384" width="9" style="2"/>
  </cols>
  <sheetData>
    <row r="1" spans="1:13" ht="5.25" customHeight="1">
      <c r="A1" s="3">
        <f>I23</f>
        <v>1267</v>
      </c>
      <c r="B1" s="1"/>
    </row>
    <row r="2" spans="1:13" ht="5.25" customHeight="1">
      <c r="B2" s="730"/>
      <c r="C2" s="731"/>
      <c r="D2" s="731"/>
      <c r="E2" s="731"/>
      <c r="F2" s="731"/>
      <c r="G2" s="731"/>
      <c r="H2" s="731"/>
      <c r="I2" s="731"/>
      <c r="J2" s="731"/>
      <c r="K2" s="732"/>
    </row>
    <row r="3" spans="1:13" ht="8.25" customHeight="1">
      <c r="B3" s="733"/>
      <c r="C3" s="711"/>
      <c r="D3" s="743"/>
      <c r="E3" s="743"/>
      <c r="F3" s="743"/>
      <c r="G3" s="743"/>
      <c r="H3" s="743"/>
      <c r="I3" s="743"/>
      <c r="J3" s="708"/>
      <c r="K3" s="736"/>
    </row>
    <row r="4" spans="1:13" ht="24" customHeight="1">
      <c r="B4" s="733"/>
      <c r="C4" s="742"/>
      <c r="D4" s="7" t="s">
        <v>8819</v>
      </c>
      <c r="J4" s="714"/>
      <c r="K4" s="736"/>
      <c r="M4" s="23"/>
    </row>
    <row r="5" spans="1:13" ht="7.5" customHeight="1">
      <c r="B5" s="733"/>
      <c r="C5" s="742"/>
      <c r="D5" s="7"/>
      <c r="J5" s="714"/>
      <c r="K5" s="736"/>
      <c r="M5" s="23"/>
    </row>
    <row r="6" spans="1:13" ht="17.25" hidden="1" customHeight="1">
      <c r="B6" s="733"/>
      <c r="C6" s="742"/>
      <c r="D6" s="724"/>
      <c r="E6" s="1290" t="s">
        <v>16</v>
      </c>
      <c r="F6" s="724"/>
      <c r="G6" s="724"/>
      <c r="H6" s="724"/>
      <c r="J6" s="714"/>
      <c r="K6" s="736"/>
    </row>
    <row r="7" spans="1:13" ht="17.25" hidden="1" customHeight="1">
      <c r="B7" s="733"/>
      <c r="C7" s="742"/>
      <c r="D7" s="724"/>
      <c r="E7" s="1290" t="s">
        <v>17</v>
      </c>
      <c r="F7" s="724"/>
      <c r="G7" s="724"/>
      <c r="H7" s="724"/>
      <c r="J7" s="714"/>
      <c r="K7" s="736"/>
    </row>
    <row r="8" spans="1:13" ht="17.25" hidden="1" customHeight="1">
      <c r="B8" s="733"/>
      <c r="C8" s="742"/>
      <c r="D8" s="724"/>
      <c r="E8" s="1290" t="s">
        <v>3</v>
      </c>
      <c r="F8" s="724"/>
      <c r="G8" s="724"/>
      <c r="H8" s="724"/>
      <c r="J8" s="714"/>
      <c r="K8" s="736"/>
    </row>
    <row r="9" spans="1:13" ht="17.25" hidden="1" customHeight="1">
      <c r="B9" s="733"/>
      <c r="C9" s="742"/>
      <c r="D9" s="724"/>
      <c r="E9" s="1290" t="s">
        <v>18</v>
      </c>
      <c r="F9" s="724" t="b">
        <v>1</v>
      </c>
      <c r="G9" s="724"/>
      <c r="H9" s="724"/>
      <c r="J9" s="714"/>
      <c r="K9" s="736"/>
    </row>
    <row r="10" spans="1:13" ht="17.25" customHeight="1">
      <c r="B10" s="733"/>
      <c r="C10" s="742"/>
      <c r="D10" s="1294" t="s">
        <v>15</v>
      </c>
      <c r="E10" s="783" t="s">
        <v>3</v>
      </c>
      <c r="F10" s="1411" t="s">
        <v>9037</v>
      </c>
      <c r="G10" s="1414" t="s">
        <v>9038</v>
      </c>
      <c r="H10" s="1294" t="s">
        <v>9036</v>
      </c>
      <c r="I10" s="1412"/>
      <c r="J10" s="714"/>
      <c r="K10" s="736"/>
      <c r="M10" s="23"/>
    </row>
    <row r="11" spans="1:13" ht="7.5" customHeight="1">
      <c r="B11" s="733"/>
      <c r="C11" s="742"/>
      <c r="D11" s="7"/>
      <c r="J11" s="714"/>
      <c r="K11" s="736"/>
      <c r="M11" s="23"/>
    </row>
    <row r="12" spans="1:13" ht="5.25" customHeight="1">
      <c r="B12" s="733"/>
      <c r="C12" s="742"/>
      <c r="D12" s="724"/>
      <c r="E12" s="724"/>
      <c r="F12" s="724"/>
      <c r="G12" s="724"/>
      <c r="H12" s="724"/>
      <c r="I12" s="724"/>
      <c r="J12" s="714"/>
      <c r="K12" s="736"/>
    </row>
    <row r="13" spans="1:13" ht="17.25" customHeight="1">
      <c r="B13" s="733"/>
      <c r="C13" s="713"/>
      <c r="D13" s="1424" t="s">
        <v>9033</v>
      </c>
      <c r="E13" s="916">
        <v>1000</v>
      </c>
      <c r="F13" s="1425" t="s">
        <v>9034</v>
      </c>
      <c r="G13" s="916">
        <v>1200</v>
      </c>
      <c r="H13" s="1425" t="s">
        <v>9035</v>
      </c>
      <c r="I13" s="783">
        <v>1600</v>
      </c>
      <c r="J13" s="714"/>
      <c r="K13" s="736"/>
    </row>
    <row r="14" spans="1:13" ht="17.25" hidden="1" customHeight="1">
      <c r="B14" s="733"/>
      <c r="C14" s="713"/>
      <c r="D14" s="1418"/>
      <c r="E14" s="1416"/>
      <c r="F14" s="1418"/>
      <c r="G14" s="1416"/>
      <c r="H14" s="1418"/>
      <c r="I14" s="1417"/>
      <c r="J14" s="714"/>
      <c r="K14" s="736"/>
    </row>
    <row r="15" spans="1:13" ht="17.25" hidden="1" customHeight="1">
      <c r="B15" s="733"/>
      <c r="C15" s="713"/>
      <c r="D15" s="1418"/>
      <c r="E15" s="1416"/>
      <c r="F15" s="1418"/>
      <c r="G15" s="1416"/>
      <c r="H15" s="1418"/>
      <c r="I15" s="1417"/>
      <c r="J15" s="714"/>
      <c r="K15" s="736"/>
    </row>
    <row r="16" spans="1:13" ht="17.25" hidden="1" customHeight="1">
      <c r="B16" s="733"/>
      <c r="C16" s="713"/>
      <c r="D16" s="1418"/>
      <c r="E16" s="1416"/>
      <c r="F16" s="1418"/>
      <c r="G16" s="1416"/>
      <c r="H16" s="1418"/>
      <c r="I16" s="1417"/>
      <c r="J16" s="714"/>
      <c r="K16" s="736"/>
    </row>
    <row r="17" spans="2:11" ht="17.25" hidden="1" customHeight="1">
      <c r="B17" s="733"/>
      <c r="C17" s="713"/>
      <c r="D17" s="1418"/>
      <c r="E17" s="1416"/>
      <c r="F17" s="1418"/>
      <c r="G17" s="1416"/>
      <c r="H17" s="1418"/>
      <c r="I17" s="1417"/>
      <c r="J17" s="714"/>
      <c r="K17" s="736"/>
    </row>
    <row r="18" spans="2:11" ht="17.25" hidden="1" customHeight="1">
      <c r="B18" s="733"/>
      <c r="C18" s="713"/>
      <c r="D18" s="1418"/>
      <c r="E18" s="1416"/>
      <c r="F18" s="1418"/>
      <c r="G18" s="1416"/>
      <c r="H18" s="1418"/>
      <c r="I18" s="1417"/>
      <c r="J18" s="714"/>
      <c r="K18" s="736"/>
    </row>
    <row r="19" spans="2:11" ht="17.25" hidden="1" customHeight="1">
      <c r="B19" s="733"/>
      <c r="C19" s="713"/>
      <c r="D19" s="1418"/>
      <c r="E19" s="1416"/>
      <c r="F19" s="1418"/>
      <c r="G19" s="1416"/>
      <c r="H19" s="1418"/>
      <c r="I19" s="1417"/>
      <c r="J19" s="714"/>
      <c r="K19" s="736"/>
    </row>
    <row r="20" spans="2:11" ht="17.25" hidden="1" customHeight="1">
      <c r="B20" s="733"/>
      <c r="C20" s="713"/>
      <c r="D20" s="1418"/>
      <c r="E20" s="1416"/>
      <c r="F20" s="1418"/>
      <c r="G20" s="1416"/>
      <c r="H20" s="1418"/>
      <c r="I20" s="1417"/>
      <c r="J20" s="714"/>
      <c r="K20" s="736"/>
    </row>
    <row r="21" spans="2:11" ht="17.25" hidden="1" customHeight="1">
      <c r="B21" s="733"/>
      <c r="C21" s="713"/>
      <c r="D21" s="1418"/>
      <c r="E21" s="1416"/>
      <c r="F21" s="1418"/>
      <c r="G21" s="1419"/>
      <c r="H21" s="1418"/>
      <c r="I21" s="1415"/>
      <c r="J21" s="714"/>
      <c r="K21" s="736"/>
    </row>
    <row r="22" spans="2:11" ht="17.25" customHeight="1">
      <c r="B22" s="733"/>
      <c r="C22" s="713"/>
      <c r="D22" s="501"/>
      <c r="E22" s="1352"/>
      <c r="F22" s="1352"/>
      <c r="G22" s="1352"/>
      <c r="H22" s="1352"/>
      <c r="I22" s="501"/>
      <c r="J22" s="714"/>
      <c r="K22" s="736"/>
    </row>
    <row r="23" spans="2:11" ht="17.25" customHeight="1">
      <c r="B23" s="733"/>
      <c r="C23" s="713"/>
      <c r="D23" s="1420"/>
      <c r="E23" s="1413"/>
      <c r="F23" s="1413"/>
      <c r="G23" s="1413"/>
      <c r="H23" s="59" t="s">
        <v>9039</v>
      </c>
      <c r="I23" s="59" cm="1">
        <f t="array" ref="I23">CalcCredit(E10, F9, D13:I21, "Average")</f>
        <v>1267</v>
      </c>
      <c r="J23" s="1245"/>
      <c r="K23" s="736"/>
    </row>
    <row r="24" spans="2:11" ht="7.5" customHeight="1">
      <c r="B24" s="733"/>
      <c r="C24" s="713"/>
      <c r="D24" s="1420"/>
      <c r="E24" s="1413"/>
      <c r="F24" s="1413"/>
      <c r="G24" s="1413"/>
      <c r="H24" s="1413"/>
      <c r="I24" s="1415"/>
      <c r="J24" s="1245"/>
      <c r="K24" s="736"/>
    </row>
    <row r="25" spans="2:11" ht="17.25" customHeight="1">
      <c r="B25" s="733"/>
      <c r="C25" s="713"/>
      <c r="D25" s="1465" t="str" cm="1">
        <f t="array" ref="D25">CalcCredit(E10, F9, D13:I21, "Message")</f>
        <v>Income is volatile, customer enquiry required.</v>
      </c>
      <c r="E25" s="1465"/>
      <c r="F25" s="1465"/>
      <c r="G25" s="1465"/>
      <c r="H25" s="1465"/>
      <c r="I25" s="1465"/>
      <c r="J25" s="1245"/>
      <c r="K25" s="736"/>
    </row>
    <row r="26" spans="2:11" ht="7.5" customHeight="1">
      <c r="B26" s="733"/>
      <c r="C26" s="709"/>
      <c r="D26" s="944"/>
      <c r="E26" s="944"/>
      <c r="F26" s="944"/>
      <c r="G26" s="944"/>
      <c r="H26" s="944"/>
      <c r="I26" s="944"/>
      <c r="J26" s="716"/>
      <c r="K26" s="736"/>
    </row>
    <row r="27" spans="2:11" ht="28.5" customHeight="1">
      <c r="B27" s="734"/>
      <c r="C27" s="738"/>
      <c r="D27" s="738"/>
      <c r="E27" s="738"/>
      <c r="F27" s="738"/>
      <c r="G27" s="738"/>
      <c r="H27" s="738"/>
      <c r="I27" s="738"/>
      <c r="J27" s="738"/>
      <c r="K27" s="737"/>
    </row>
    <row r="118" spans="12:45">
      <c r="L118" s="2">
        <v>7411.1</v>
      </c>
      <c r="M118" s="2">
        <v>1126273.10537656</v>
      </c>
      <c r="AP118" s="2">
        <v>0</v>
      </c>
      <c r="AQ118" s="2">
        <v>0</v>
      </c>
      <c r="AR118" s="2" t="b">
        <v>0</v>
      </c>
      <c r="AS118" s="2" t="b">
        <v>0</v>
      </c>
    </row>
    <row r="119" spans="12:45">
      <c r="AQ119" s="2">
        <v>0</v>
      </c>
      <c r="AS119" s="2" t="b">
        <v>0</v>
      </c>
    </row>
    <row r="124" spans="12:45">
      <c r="AQ124" s="2">
        <v>366171.90076574101</v>
      </c>
      <c r="AS124" s="2" t="b">
        <v>0</v>
      </c>
    </row>
    <row r="125" spans="12:45">
      <c r="AQ125" s="2">
        <v>370567.56203717098</v>
      </c>
      <c r="AS125" s="2" t="b">
        <v>0</v>
      </c>
    </row>
    <row r="126" spans="12:45">
      <c r="AQ126" s="2">
        <v>370567.56203717098</v>
      </c>
      <c r="AS126" s="2" t="b">
        <v>0</v>
      </c>
    </row>
    <row r="128" spans="12:45">
      <c r="AQ128" s="2">
        <v>333663.40171675902</v>
      </c>
      <c r="AS128" s="2" t="b">
        <v>1</v>
      </c>
    </row>
    <row r="149" spans="43:45">
      <c r="AQ149" s="2">
        <v>0</v>
      </c>
      <c r="AS149" s="2" t="b">
        <v>1</v>
      </c>
    </row>
    <row r="150" spans="43:45">
      <c r="AQ150" s="2">
        <v>0</v>
      </c>
      <c r="AS150" s="2" t="b">
        <v>1</v>
      </c>
    </row>
    <row r="160" spans="43:45">
      <c r="AQ160" s="2">
        <v>523604.09521296702</v>
      </c>
      <c r="AS160" s="2" t="b">
        <v>1</v>
      </c>
    </row>
    <row r="163" spans="43:45">
      <c r="AQ163" s="2">
        <v>393654.89882072899</v>
      </c>
      <c r="AS163" s="2" t="b">
        <v>1</v>
      </c>
    </row>
  </sheetData>
  <sheetProtection algorithmName="SHA-512" hashValue="WxrS6GF7hhnnw5FmlIHEYcCWLm7BQckOoY3c/Egj1JrYWjSeGMpmWBhUyMtalVnJ17rOyg+isJeF16IuXYhqRQ==" saltValue="Uy3pmXbMKIxVDxMhLBLDbA==" spinCount="100000" sheet="1"/>
  <mergeCells count="1">
    <mergeCell ref="D25:I25"/>
  </mergeCells>
  <phoneticPr fontId="91" type="noConversion"/>
  <conditionalFormatting sqref="D25:I25">
    <cfRule type="expression" dxfId="689" priority="1">
      <formula>$D$25&lt;&gt;""</formula>
    </cfRule>
  </conditionalFormatting>
  <dataValidations count="3">
    <dataValidation type="list" allowBlank="1" showInputMessage="1" showErrorMessage="1" sqref="E10" xr:uid="{68E7213D-CAD3-4DC0-B3DC-E7C71233EBB8}">
      <formula1>"Weekly, Fortnightly, Four Weekly, Monthly"</formula1>
    </dataValidation>
    <dataValidation type="decimal" operator="greaterThanOrEqual" allowBlank="1" showInputMessage="1" showErrorMessage="1" sqref="I13:I20" xr:uid="{4B99EF0C-8DF4-494F-BC79-DF1151D74785}">
      <formula1>0</formula1>
    </dataValidation>
    <dataValidation type="date" operator="greaterThanOrEqual" allowBlank="1" showInputMessage="1" showErrorMessage="1" sqref="I10" xr:uid="{FBFC2E4E-C985-495C-8686-0C6CB159B5AD}">
      <formula1>43831</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69884-1FA0-4A43-8870-441967ACA7E4}">
  <sheetPr codeName="Sheet14"/>
  <dimension ref="A1:AI35"/>
  <sheetViews>
    <sheetView showGridLines="0" showRowColHeaders="0" workbookViewId="0">
      <selection activeCell="L16" sqref="L16"/>
    </sheetView>
  </sheetViews>
  <sheetFormatPr baseColWidth="10" defaultColWidth="8.83203125" defaultRowHeight="15"/>
  <cols>
    <col min="1" max="2" width="0.83203125" style="2" customWidth="1"/>
    <col min="3" max="3" width="1.5" customWidth="1"/>
    <col min="4" max="4" width="16.1640625" customWidth="1"/>
    <col min="5" max="5" width="29" bestFit="1" customWidth="1"/>
    <col min="6" max="6" width="16.33203125" bestFit="1" customWidth="1"/>
    <col min="7" max="8" width="13.5" customWidth="1"/>
    <col min="9" max="9" width="15.1640625" bestFit="1" customWidth="1"/>
    <col min="10" max="10" width="1.1640625" customWidth="1"/>
    <col min="11" max="11" width="0.83203125" customWidth="1"/>
    <col min="12" max="12" width="12.6640625" bestFit="1" customWidth="1"/>
  </cols>
  <sheetData>
    <row r="1" spans="1:35" s="2" customFormat="1" ht="5.25" customHeight="1">
      <c r="A1" s="3" t="e">
        <f>IF(#REF!=1,$M$8,IF(#REF!=1,#REF!,IF(#REF!=0,$M$8&amp;" "&amp;INT(#REF!*100)&amp;"%",IF(#REF!=0,#REF!&amp;" "&amp;INT(#REF!*100)&amp;"%",$M$8&amp;" "&amp;INT(#REF!*100)&amp;"% "&amp;#REF!&amp;" "&amp;INT(#REF!*100)&amp;"%"))))</f>
        <v>#REF!</v>
      </c>
      <c r="B1" s="514" t="s">
        <v>9004</v>
      </c>
      <c r="AG1" s="1"/>
      <c r="AH1" s="1"/>
      <c r="AI1" s="1"/>
    </row>
    <row r="2" spans="1:35" s="2" customFormat="1" ht="5.25" customHeight="1">
      <c r="B2" s="730"/>
      <c r="C2" s="731"/>
      <c r="D2" s="731"/>
      <c r="E2" s="731"/>
      <c r="F2" s="731"/>
      <c r="G2" s="731"/>
      <c r="H2" s="731"/>
      <c r="I2" s="731"/>
      <c r="J2" s="731"/>
      <c r="K2" s="732"/>
      <c r="AG2" s="1"/>
      <c r="AH2" s="1"/>
      <c r="AI2" s="1"/>
    </row>
    <row r="3" spans="1:35" s="2" customFormat="1" ht="8.25" customHeight="1">
      <c r="B3" s="733"/>
      <c r="C3" s="711"/>
      <c r="D3" s="712"/>
      <c r="E3" s="712"/>
      <c r="F3" s="712"/>
      <c r="G3" s="743"/>
      <c r="H3" s="743"/>
      <c r="I3" s="743"/>
      <c r="J3" s="708"/>
      <c r="K3" s="736"/>
      <c r="AG3" s="1"/>
      <c r="AH3" s="1"/>
      <c r="AI3" s="1"/>
    </row>
    <row r="4" spans="1:35" ht="16">
      <c r="B4" s="733"/>
      <c r="C4" s="1042"/>
      <c r="D4" s="7" t="s">
        <v>9007</v>
      </c>
      <c r="J4" s="1043"/>
      <c r="K4" s="736"/>
    </row>
    <row r="5" spans="1:35">
      <c r="B5" s="733"/>
      <c r="C5" s="1042"/>
      <c r="J5" s="1043"/>
      <c r="K5" s="736"/>
    </row>
    <row r="6" spans="1:35">
      <c r="B6" s="733"/>
      <c r="C6" s="1042"/>
      <c r="D6" s="1466" t="s">
        <v>8994</v>
      </c>
      <c r="E6" s="1381" t="s">
        <v>9014</v>
      </c>
      <c r="F6" s="1385" t="s">
        <v>9029</v>
      </c>
      <c r="G6" s="1386" t="s">
        <v>8995</v>
      </c>
      <c r="H6" s="1386" t="s">
        <v>8996</v>
      </c>
      <c r="I6" s="1386" t="s">
        <v>8997</v>
      </c>
      <c r="J6" s="1043"/>
      <c r="K6" s="736"/>
    </row>
    <row r="7" spans="1:35">
      <c r="B7" s="733"/>
      <c r="C7" s="1042"/>
      <c r="D7" s="1467"/>
      <c r="E7" s="1381" t="s">
        <v>9027</v>
      </c>
      <c r="F7" s="1387">
        <v>2000</v>
      </c>
      <c r="G7" s="1387"/>
      <c r="H7" s="1388"/>
      <c r="I7" s="1388"/>
      <c r="J7" s="1043"/>
      <c r="K7" s="736"/>
    </row>
    <row r="8" spans="1:35">
      <c r="B8" s="733"/>
      <c r="C8" s="1042"/>
      <c r="D8" s="1467"/>
      <c r="E8" s="1381" t="s">
        <v>9028</v>
      </c>
      <c r="F8" s="1387">
        <v>1000</v>
      </c>
      <c r="G8" s="1387"/>
      <c r="H8" s="1388"/>
      <c r="I8" s="1388"/>
      <c r="J8" s="1043"/>
      <c r="K8" s="736"/>
    </row>
    <row r="9" spans="1:35">
      <c r="B9" s="733"/>
      <c r="C9" s="1042"/>
      <c r="D9" s="1467"/>
      <c r="E9" s="1381" t="s">
        <v>8998</v>
      </c>
      <c r="F9" s="1389">
        <f>IF(F7="","",(F8-F7)/F7)</f>
        <v>-0.5</v>
      </c>
      <c r="G9" s="1389" t="str">
        <f>IF(G7="","",(G8-G7)/G7)</f>
        <v/>
      </c>
      <c r="H9" s="1389" t="str">
        <f>IF(H7="","",(H8-H7)/H7)</f>
        <v/>
      </c>
      <c r="I9" s="1389" t="str">
        <f>IF(I7="","",(I8-I7)/I7)</f>
        <v/>
      </c>
      <c r="J9" s="1043"/>
      <c r="K9" s="736"/>
      <c r="L9" s="1379"/>
    </row>
    <row r="10" spans="1:35">
      <c r="B10" s="733"/>
      <c r="C10" s="1042"/>
      <c r="D10" s="1467"/>
      <c r="E10" s="1381" t="s">
        <v>8999</v>
      </c>
      <c r="F10" s="1390">
        <f>'Configurable Items'!$E$134</f>
        <v>1.2</v>
      </c>
      <c r="G10" s="1390">
        <f>'Configurable Items'!$E$134</f>
        <v>1.2</v>
      </c>
      <c r="H10" s="1390">
        <f>'Configurable Items'!$E$134</f>
        <v>1.2</v>
      </c>
      <c r="I10" s="1390">
        <f>'Configurable Items'!$E$134</f>
        <v>1.2</v>
      </c>
      <c r="J10" s="1043"/>
      <c r="K10" s="736"/>
    </row>
    <row r="11" spans="1:35">
      <c r="B11" s="733"/>
      <c r="C11" s="1042"/>
      <c r="D11" s="1467"/>
      <c r="E11" s="1381" t="s">
        <v>9000</v>
      </c>
      <c r="F11" s="1391">
        <f>IF(F7*F10&lt;=F8,F7*F10,F8)</f>
        <v>1000</v>
      </c>
      <c r="G11" s="1391">
        <f>IF(G7*G10&lt;=G8,G7*G10,G8)</f>
        <v>0</v>
      </c>
      <c r="H11" s="1391">
        <f>IF(H7*H10&lt;=H8,H7*H10,H8)</f>
        <v>0</v>
      </c>
      <c r="I11" s="1391">
        <f>IF(I7*I10&lt;=I8,I7*I10,I8)</f>
        <v>0</v>
      </c>
      <c r="J11" s="1043"/>
      <c r="K11" s="736"/>
      <c r="L11" s="1380"/>
    </row>
    <row r="12" spans="1:35">
      <c r="B12" s="733"/>
      <c r="C12" s="1042"/>
      <c r="D12" s="1467"/>
      <c r="E12" s="1381" t="s">
        <v>9001</v>
      </c>
      <c r="F12" s="1391">
        <f>IF(F8-F11&gt;=0,F8-F11,0)</f>
        <v>0</v>
      </c>
      <c r="G12" s="1391">
        <f>IF(G8-G11&gt;=0,G8-G11,0)</f>
        <v>0</v>
      </c>
      <c r="H12" s="1391">
        <f>IF(H8-H11&gt;=0,H8-H11,0)</f>
        <v>0</v>
      </c>
      <c r="I12" s="1391">
        <f>IF(I8-I11&gt;=0,I8-I11,0)</f>
        <v>0</v>
      </c>
      <c r="J12" s="1043"/>
      <c r="K12" s="736"/>
      <c r="L12" s="1380"/>
    </row>
    <row r="13" spans="1:35">
      <c r="B13" s="733"/>
      <c r="C13" s="1042"/>
      <c r="D13" s="1467"/>
      <c r="E13" s="1381" t="s">
        <v>9002</v>
      </c>
      <c r="F13" s="1391">
        <f>F12*0.2</f>
        <v>0</v>
      </c>
      <c r="G13" s="1391">
        <f>G12*0.2</f>
        <v>0</v>
      </c>
      <c r="H13" s="1391">
        <f>H12*0.2</f>
        <v>0</v>
      </c>
      <c r="I13" s="1391">
        <f>I12*0.2</f>
        <v>0</v>
      </c>
      <c r="J13" s="1043"/>
      <c r="K13" s="736"/>
      <c r="L13" s="1380"/>
    </row>
    <row r="14" spans="1:35">
      <c r="B14" s="733"/>
      <c r="C14" s="1042"/>
      <c r="D14" s="1468"/>
      <c r="E14" s="1381" t="s">
        <v>9005</v>
      </c>
      <c r="F14" s="1391">
        <f>F11+F12-F13</f>
        <v>1000</v>
      </c>
      <c r="G14" s="1391">
        <f>G11+G12-G13</f>
        <v>0</v>
      </c>
      <c r="H14" s="1391">
        <f>H11+H12-H13</f>
        <v>0</v>
      </c>
      <c r="I14" s="1391">
        <f>I11+I12-I13</f>
        <v>0</v>
      </c>
      <c r="J14" s="1043"/>
      <c r="K14" s="736"/>
      <c r="L14" s="1380"/>
    </row>
    <row r="15" spans="1:35" ht="11.25" customHeight="1">
      <c r="B15" s="733"/>
      <c r="C15" s="1042"/>
      <c r="D15" s="1392"/>
      <c r="E15" s="1399"/>
      <c r="F15" s="1393"/>
      <c r="G15" s="1393"/>
      <c r="H15" s="1393"/>
      <c r="I15" s="1393"/>
      <c r="J15" s="1043"/>
      <c r="K15" s="736"/>
    </row>
    <row r="16" spans="1:35" ht="17.25" customHeight="1">
      <c r="B16" s="733"/>
      <c r="C16" s="1042"/>
      <c r="D16" s="1466" t="s">
        <v>8595</v>
      </c>
      <c r="E16" s="1381" t="s">
        <v>8992</v>
      </c>
      <c r="F16" s="1394">
        <v>1</v>
      </c>
      <c r="G16" s="1394"/>
      <c r="H16" s="1394"/>
      <c r="I16" s="1394"/>
      <c r="J16" s="1043"/>
      <c r="K16" s="736"/>
    </row>
    <row r="17" spans="2:11" ht="17.25" customHeight="1">
      <c r="B17" s="733"/>
      <c r="C17" s="1042"/>
      <c r="D17" s="1467"/>
      <c r="E17" s="1381" t="s">
        <v>9006</v>
      </c>
      <c r="F17" s="1394"/>
      <c r="G17" s="1394"/>
      <c r="H17" s="1394"/>
      <c r="I17" s="1394"/>
      <c r="J17" s="1043"/>
      <c r="K17" s="736"/>
    </row>
    <row r="18" spans="2:11" ht="17.25" hidden="1" customHeight="1">
      <c r="B18" s="733"/>
      <c r="C18" s="1042"/>
      <c r="D18" s="1467"/>
      <c r="E18" s="1381" t="s">
        <v>9030</v>
      </c>
      <c r="F18" s="1394"/>
      <c r="G18" s="1394"/>
      <c r="H18" s="1394"/>
      <c r="I18" s="1394"/>
      <c r="J18" s="1043"/>
      <c r="K18" s="736"/>
    </row>
    <row r="19" spans="2:11" ht="17.25" hidden="1" customHeight="1">
      <c r="B19" s="733"/>
      <c r="C19" s="1042"/>
      <c r="D19" s="1467"/>
      <c r="E19" s="1381" t="s">
        <v>9031</v>
      </c>
      <c r="F19" s="1394"/>
      <c r="G19" s="1394"/>
      <c r="H19" s="1394"/>
      <c r="I19" s="1394"/>
      <c r="J19" s="1043"/>
      <c r="K19" s="736"/>
    </row>
    <row r="20" spans="2:11" hidden="1">
      <c r="B20" s="733"/>
      <c r="C20" s="1042"/>
      <c r="D20" s="1467"/>
      <c r="E20" s="1381" t="s">
        <v>9008</v>
      </c>
      <c r="F20" s="1395"/>
      <c r="G20" s="1395"/>
      <c r="H20" s="1395"/>
      <c r="I20" s="1395"/>
      <c r="J20" s="1043"/>
      <c r="K20" s="736"/>
    </row>
    <row r="21" spans="2:11" hidden="1">
      <c r="B21" s="733"/>
      <c r="C21" s="1042"/>
      <c r="D21" s="1467"/>
      <c r="E21" s="1381" t="s">
        <v>9009</v>
      </c>
      <c r="F21" s="1395"/>
      <c r="G21" s="1395"/>
      <c r="H21" s="1395"/>
      <c r="I21" s="1395"/>
      <c r="J21" s="1043"/>
      <c r="K21" s="736"/>
    </row>
    <row r="22" spans="2:11" hidden="1">
      <c r="B22" s="733"/>
      <c r="C22" s="1042"/>
      <c r="D22" s="1467"/>
      <c r="E22" s="1381" t="s">
        <v>9010</v>
      </c>
      <c r="F22" s="1395"/>
      <c r="G22" s="1395"/>
      <c r="H22" s="1395"/>
      <c r="I22" s="1395"/>
      <c r="J22" s="1043"/>
      <c r="K22" s="736"/>
    </row>
    <row r="23" spans="2:11" hidden="1">
      <c r="B23" s="733"/>
      <c r="C23" s="1042"/>
      <c r="D23" s="1468"/>
      <c r="E23" s="1381" t="s">
        <v>9011</v>
      </c>
      <c r="F23" s="1395"/>
      <c r="G23" s="1395"/>
      <c r="H23" s="1395"/>
      <c r="I23" s="1395"/>
      <c r="J23" s="1043"/>
      <c r="K23" s="736"/>
    </row>
    <row r="24" spans="2:11" ht="11.25" customHeight="1">
      <c r="B24" s="733"/>
      <c r="C24" s="1042"/>
      <c r="D24" s="1396"/>
      <c r="E24" s="1400"/>
      <c r="F24" s="1397"/>
      <c r="G24" s="1397"/>
      <c r="H24" s="1397"/>
      <c r="I24" s="1397"/>
      <c r="J24" s="1043"/>
      <c r="K24" s="736"/>
    </row>
    <row r="25" spans="2:11" ht="17.25" customHeight="1">
      <c r="B25" s="733"/>
      <c r="C25" s="1042"/>
      <c r="D25" s="1466" t="s">
        <v>9003</v>
      </c>
      <c r="E25" s="1381" t="str">
        <f>E16</f>
        <v>Tanya</v>
      </c>
      <c r="F25" s="1398">
        <f t="shared" ref="F25:F32" si="0">$F$13*F16</f>
        <v>0</v>
      </c>
      <c r="G25" s="1398">
        <f t="shared" ref="G25:G32" si="1">$G$13*G16</f>
        <v>0</v>
      </c>
      <c r="H25" s="1398">
        <f t="shared" ref="H25:H32" si="2">$H$13*H16</f>
        <v>0</v>
      </c>
      <c r="I25" s="1398">
        <f t="shared" ref="I25:I32" si="3">$I$13*I16</f>
        <v>0</v>
      </c>
      <c r="J25" s="1043"/>
      <c r="K25" s="736"/>
    </row>
    <row r="26" spans="2:11" ht="17.25" customHeight="1">
      <c r="B26" s="733"/>
      <c r="C26" s="1042"/>
      <c r="D26" s="1467"/>
      <c r="E26" s="1381" t="str">
        <f t="shared" ref="E26:E32" si="4">E17</f>
        <v>Tom</v>
      </c>
      <c r="F26" s="1398">
        <f t="shared" si="0"/>
        <v>0</v>
      </c>
      <c r="G26" s="1398">
        <f t="shared" si="1"/>
        <v>0</v>
      </c>
      <c r="H26" s="1398">
        <f t="shared" si="2"/>
        <v>0</v>
      </c>
      <c r="I26" s="1398">
        <f t="shared" si="3"/>
        <v>0</v>
      </c>
      <c r="J26" s="1043"/>
      <c r="K26" s="736"/>
    </row>
    <row r="27" spans="2:11" ht="17.25" hidden="1" customHeight="1">
      <c r="B27" s="733"/>
      <c r="C27" s="1042"/>
      <c r="D27" s="1467"/>
      <c r="E27" s="1381" t="str">
        <f t="shared" si="4"/>
        <v>Applicant 3</v>
      </c>
      <c r="F27" s="1398">
        <f t="shared" si="0"/>
        <v>0</v>
      </c>
      <c r="G27" s="1398">
        <f t="shared" si="1"/>
        <v>0</v>
      </c>
      <c r="H27" s="1398">
        <f t="shared" si="2"/>
        <v>0</v>
      </c>
      <c r="I27" s="1398">
        <f t="shared" si="3"/>
        <v>0</v>
      </c>
      <c r="J27" s="1043"/>
      <c r="K27" s="736"/>
    </row>
    <row r="28" spans="2:11" ht="17.25" hidden="1" customHeight="1">
      <c r="B28" s="733"/>
      <c r="C28" s="1042"/>
      <c r="D28" s="1467"/>
      <c r="E28" s="1381" t="str">
        <f t="shared" si="4"/>
        <v>Applicant 4</v>
      </c>
      <c r="F28" s="1398">
        <f t="shared" si="0"/>
        <v>0</v>
      </c>
      <c r="G28" s="1398">
        <f t="shared" si="1"/>
        <v>0</v>
      </c>
      <c r="H28" s="1398">
        <f t="shared" si="2"/>
        <v>0</v>
      </c>
      <c r="I28" s="1398">
        <f t="shared" si="3"/>
        <v>0</v>
      </c>
      <c r="J28" s="1043"/>
      <c r="K28" s="736"/>
    </row>
    <row r="29" spans="2:11" hidden="1">
      <c r="B29" s="733"/>
      <c r="C29" s="1042"/>
      <c r="D29" s="1467"/>
      <c r="E29" s="1384" t="str">
        <f t="shared" si="4"/>
        <v>Applicant 5</v>
      </c>
      <c r="F29" s="1398">
        <f t="shared" si="0"/>
        <v>0</v>
      </c>
      <c r="G29" s="1398">
        <f t="shared" si="1"/>
        <v>0</v>
      </c>
      <c r="H29" s="1398">
        <f t="shared" si="2"/>
        <v>0</v>
      </c>
      <c r="I29" s="1398">
        <f t="shared" si="3"/>
        <v>0</v>
      </c>
      <c r="J29" s="1043"/>
      <c r="K29" s="736"/>
    </row>
    <row r="30" spans="2:11" hidden="1">
      <c r="B30" s="733"/>
      <c r="C30" s="1042"/>
      <c r="D30" s="1467"/>
      <c r="E30" s="1384" t="str">
        <f t="shared" si="4"/>
        <v>Applicant 6</v>
      </c>
      <c r="F30" s="1398">
        <f t="shared" si="0"/>
        <v>0</v>
      </c>
      <c r="G30" s="1398">
        <f t="shared" si="1"/>
        <v>0</v>
      </c>
      <c r="H30" s="1398">
        <f t="shared" si="2"/>
        <v>0</v>
      </c>
      <c r="I30" s="1398">
        <f t="shared" si="3"/>
        <v>0</v>
      </c>
      <c r="J30" s="1043"/>
      <c r="K30" s="736"/>
    </row>
    <row r="31" spans="2:11" hidden="1">
      <c r="B31" s="733"/>
      <c r="C31" s="1042"/>
      <c r="D31" s="1467"/>
      <c r="E31" s="1384" t="str">
        <f t="shared" si="4"/>
        <v>Applicant 7</v>
      </c>
      <c r="F31" s="1398">
        <f t="shared" si="0"/>
        <v>0</v>
      </c>
      <c r="G31" s="1398">
        <f t="shared" si="1"/>
        <v>0</v>
      </c>
      <c r="H31" s="1398">
        <f t="shared" si="2"/>
        <v>0</v>
      </c>
      <c r="I31" s="1398">
        <f t="shared" si="3"/>
        <v>0</v>
      </c>
      <c r="J31" s="1043"/>
      <c r="K31" s="736"/>
    </row>
    <row r="32" spans="2:11" hidden="1">
      <c r="B32" s="733"/>
      <c r="C32" s="1042"/>
      <c r="D32" s="1468"/>
      <c r="E32" s="1384" t="str">
        <f t="shared" si="4"/>
        <v>Applicant 8</v>
      </c>
      <c r="F32" s="1398">
        <f t="shared" si="0"/>
        <v>0</v>
      </c>
      <c r="G32" s="1398">
        <f t="shared" si="1"/>
        <v>0</v>
      </c>
      <c r="H32" s="1398">
        <f t="shared" si="2"/>
        <v>0</v>
      </c>
      <c r="I32" s="1398">
        <f t="shared" si="3"/>
        <v>0</v>
      </c>
      <c r="J32" s="1043"/>
      <c r="K32" s="736"/>
    </row>
    <row r="33" spans="2:35" s="2" customFormat="1" ht="11.25" customHeight="1">
      <c r="B33" s="733"/>
      <c r="C33" s="709"/>
      <c r="D33" s="1383"/>
      <c r="E33" s="715"/>
      <c r="F33" s="715"/>
      <c r="G33" s="727"/>
      <c r="H33" s="727"/>
      <c r="I33" s="727"/>
      <c r="J33" s="716"/>
      <c r="K33" s="736"/>
      <c r="AG33" s="1"/>
      <c r="AH33" s="1"/>
      <c r="AI33" s="1"/>
    </row>
    <row r="34" spans="2:35" s="2" customFormat="1" ht="28.5" customHeight="1">
      <c r="B34" s="734"/>
      <c r="C34" s="738"/>
      <c r="D34" s="738"/>
      <c r="E34" s="738"/>
      <c r="F34" s="738"/>
      <c r="G34" s="738"/>
      <c r="H34" s="738"/>
      <c r="I34" s="738"/>
      <c r="J34" s="738"/>
      <c r="K34" s="737"/>
      <c r="AG34" s="1"/>
      <c r="AH34" s="1"/>
      <c r="AI34" s="1"/>
    </row>
    <row r="35" spans="2:35" s="2" customFormat="1">
      <c r="AG35" s="1"/>
      <c r="AH35" s="1"/>
      <c r="AI35" s="1"/>
    </row>
  </sheetData>
  <sheetProtection algorithmName="SHA-512" hashValue="kcWN7C7R9L4MqYOynm9DugH9bjKK0tKCxGfxsHjDGppXeVZ/2eBtgc8jtDX8C7akbGiSck+Es7d3eABxRwV7tg==" saltValue="qPtDSkApMpjzj+GIAK/yow==" spinCount="100000" sheet="1"/>
  <mergeCells count="3">
    <mergeCell ref="D16:D23"/>
    <mergeCell ref="D25:D32"/>
    <mergeCell ref="D6:D14"/>
  </mergeCells>
  <phoneticPr fontId="91"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EECFC-78DF-4EFF-BBE3-51D3A35CE839}">
  <sheetPr codeName="Sheet30"/>
  <dimension ref="A1:AP131"/>
  <sheetViews>
    <sheetView showGridLines="0" zoomScaleNormal="100" workbookViewId="0">
      <selection activeCell="G18" sqref="G18"/>
    </sheetView>
  </sheetViews>
  <sheetFormatPr baseColWidth="10" defaultColWidth="9" defaultRowHeight="15"/>
  <cols>
    <col min="1" max="2" width="0.83203125" style="2" customWidth="1"/>
    <col min="3" max="3" width="3.1640625" style="2" customWidth="1"/>
    <col min="4" max="4" width="4.1640625" style="2" customWidth="1"/>
    <col min="5" max="5" width="20.33203125" style="2" customWidth="1"/>
    <col min="6" max="6" width="18.6640625" style="2" customWidth="1"/>
    <col min="7" max="7" width="23.1640625" style="2" customWidth="1"/>
    <col min="8" max="8" width="14.1640625" style="2" customWidth="1"/>
    <col min="9" max="9" width="12.6640625" style="2" customWidth="1"/>
    <col min="10" max="10" width="9.83203125" style="2" customWidth="1"/>
    <col min="11" max="11" width="18.33203125" style="2" customWidth="1"/>
    <col min="12" max="12" width="1.33203125" style="2" customWidth="1"/>
    <col min="13" max="13" width="0.83203125" style="2" customWidth="1"/>
    <col min="14" max="14" width="9" style="2"/>
    <col min="15" max="18" width="9" style="2" hidden="1" customWidth="1"/>
    <col min="19" max="19" width="11.5" style="2" hidden="1" customWidth="1"/>
    <col min="20" max="20" width="21" style="2" hidden="1" customWidth="1"/>
    <col min="21" max="21" width="12.1640625" style="2" hidden="1" customWidth="1"/>
    <col min="22" max="23" width="9" style="2" customWidth="1"/>
    <col min="24" max="39" width="9" style="2"/>
    <col min="40" max="42" width="0" style="1" hidden="1" customWidth="1"/>
    <col min="43" max="16384" width="9" style="2"/>
  </cols>
  <sheetData>
    <row r="1" spans="1:23" ht="5.25" customHeight="1">
      <c r="A1" s="3" t="str">
        <f ca="1">IF(O47=1,$O$9,IF(P47=1,$P$9,IF(P47=0,$O$9&amp;" "&amp;INT(O47*100)&amp;"%",IF(O47=0,$P$9&amp;" "&amp;INT(P47*100)&amp;"%",$O$9&amp;" "&amp;INT(O47*100)&amp;"% "&amp;$P$9&amp;" "&amp;INT(P47*100)&amp;"%"))))</f>
        <v>Fan Jiang 0%</v>
      </c>
      <c r="B1" s="514" t="str">
        <f>U47</f>
        <v>3182025135825|3182025141515|</v>
      </c>
    </row>
    <row r="2" spans="1:23" ht="5.25" customHeight="1">
      <c r="B2" s="730"/>
      <c r="C2" s="731"/>
      <c r="D2" s="731"/>
      <c r="E2" s="731"/>
      <c r="F2" s="731"/>
      <c r="G2" s="731"/>
      <c r="H2" s="731"/>
      <c r="I2" s="731"/>
      <c r="J2" s="731"/>
      <c r="K2" s="731"/>
      <c r="L2" s="731"/>
      <c r="M2" s="732"/>
      <c r="O2" s="39" t="s">
        <v>31</v>
      </c>
      <c r="Q2" s="39"/>
    </row>
    <row r="3" spans="1:23" ht="8.25" customHeight="1">
      <c r="B3" s="733"/>
      <c r="C3" s="711"/>
      <c r="D3" s="712"/>
      <c r="E3" s="712"/>
      <c r="F3" s="712"/>
      <c r="G3" s="743"/>
      <c r="H3" s="743"/>
      <c r="I3" s="743"/>
      <c r="J3" s="743"/>
      <c r="K3" s="743"/>
      <c r="L3" s="708"/>
      <c r="M3" s="736"/>
      <c r="O3" s="41" t="str" cm="1">
        <f t="array" aca="1" ref="O3" ca="1">INDIRECT("'" &amp; 'Internal Ref'!G174 &amp; "'!$D$10")</f>
        <v>Fan Jiang</v>
      </c>
    </row>
    <row r="4" spans="1:23" ht="24" customHeight="1">
      <c r="B4" s="733"/>
      <c r="C4" s="742"/>
      <c r="D4" s="7" t="s">
        <v>8596</v>
      </c>
      <c r="E4" s="34"/>
      <c r="F4" s="34"/>
      <c r="L4" s="714"/>
      <c r="M4" s="736"/>
      <c r="O4" s="41" t="str" cm="1">
        <f t="array" aca="1" ref="O4" ca="1">IF(ISBLANK(INDIRECT("'"&amp;'Internal Ref'!G174&amp;"'!D11")),"Other",INDIRECT("'"&amp;'Internal Ref'!G174&amp;"'!D11"))</f>
        <v>Sifei Liu</v>
      </c>
      <c r="Q4" s="36" t="s">
        <v>8643</v>
      </c>
    </row>
    <row r="5" spans="1:23" ht="17.25" customHeight="1">
      <c r="B5" s="733"/>
      <c r="C5" s="742"/>
      <c r="D5" s="1470" t="s">
        <v>13</v>
      </c>
      <c r="E5" s="1470"/>
      <c r="F5" s="833" t="s">
        <v>88</v>
      </c>
      <c r="G5" s="833" t="s">
        <v>89</v>
      </c>
      <c r="H5" s="833" t="s">
        <v>90</v>
      </c>
      <c r="I5" s="833" t="s">
        <v>71</v>
      </c>
      <c r="J5" s="36"/>
      <c r="K5" s="36"/>
      <c r="L5" s="714"/>
      <c r="M5" s="736"/>
      <c r="O5" s="41" t="str" cm="1">
        <f t="array" aca="1" ref="O5" ca="1">IF(ISBLANK(INDIRECT("'" &amp; 'Internal Ref'!G174 &amp; "'!D11")),"",INDIRECT("'" &amp; 'Internal Ref'!G174 &amp; "'!D10")&amp;" 50% "&amp;INDIRECT("'" &amp; 'Internal Ref'!G174 &amp; "'!D11")&amp;" 50%")</f>
        <v>Fan Jiang 50% Sifei Liu 50%</v>
      </c>
      <c r="Q5" s="511">
        <f>COUNTA(H17:H47)</f>
        <v>2</v>
      </c>
    </row>
    <row r="6" spans="1:23" ht="17.25" customHeight="1">
      <c r="B6" s="733"/>
      <c r="C6" s="742"/>
      <c r="D6" s="1471" t="str" cm="1">
        <f t="array" aca="1" ref="D6" ca="1">IF('Internal Ref'!K174="LIABILITY",IF('Internal Ref'!H174="","",INDIRECT("'"&amp;'Internal Ref'!G174&amp;"'!D"&amp;RIGHT('Internal Ref'!H174,LEN('Internal Ref'!H174)-FIND("$",'Internal Ref'!H174,2)))),
IF(INDIRECT("'"&amp;'Internal Ref'!G174&amp;"'!G"&amp;RIGHT('Internal Ref'!H174,LEN('Internal Ref'!H174)-FIND("$",'Internal Ref'!H174,2)))=0,"",INDIRECT("'"&amp;'Internal Ref'!G174&amp;"'!G"&amp;RIGHT('Internal Ref'!H174,LEN('Internal Ref'!H174)-FIND("$",'Internal Ref'!H174,2)))))</f>
        <v/>
      </c>
      <c r="E6" s="1471"/>
      <c r="F6" s="926" t="str" cm="1">
        <f t="array" aca="1" ref="F6" ca="1">IF('Internal Ref'!K174="LIABILITY",IF('Internal Ref'!H174="","",IF(INDIRECT("'"&amp;'Internal Ref'!G174&amp;"'!E"&amp;RIGHT('Internal Ref'!H174,LEN('Internal Ref'!H174)-FIND("$",'Internal Ref'!H174,2)))=0,"FALSE","TRUE")),
"TRUE")</f>
        <v>TRUE</v>
      </c>
      <c r="G6" s="926" t="b">
        <v>1</v>
      </c>
      <c r="H6" s="1301" t="str" cm="1">
        <f t="array" aca="1" ref="H6" ca="1">IF('Internal Ref'!H174="","",IF('Internal Ref'!K174="LIABILITY",IF(INDIRECT("'"&amp;'Internal Ref'!G174&amp;"'!H"&amp;RIGHT('Internal Ref'!H174,LEN('Internal Ref'!H174)-FIND("$",'Internal Ref'!H174,2)))=0,"",INDIRECT("'"&amp;'Internal Ref'!G174&amp;"'!H"&amp;RIGHT('Internal Ref'!H174,LEN('Internal Ref'!H174)-FIND("$",'Internal Ref'!H174,2)))),
IF(INDIRECT("'"&amp;'Internal Ref'!G174&amp;"'!D"&amp;RIGHT('Internal Ref'!H174,LEN('Internal Ref'!H174)-FIND("$",'Internal Ref'!H174,2)))=0,"",INDIRECT("'"&amp;'Internal Ref'!G174&amp;"'!D"&amp;RIGHT('Internal Ref'!H174,LEN('Internal Ref'!H174)-FIND("$",'Internal Ref'!H174,2))))))</f>
        <v/>
      </c>
      <c r="I6" s="1469" t="str" cm="1">
        <f t="array" aca="1" ref="I6" ca="1">IF('Internal Ref'!K174="LIABILITY",IF('Internal Ref'!H174="","",IF(INDIRECT("'"&amp;'Internal Ref'!G174&amp;"'!N"&amp;RIGHT('Internal Ref'!H174,LEN('Internal Ref'!H174)-FIND("$",'Internal Ref'!H174,2)))=0,"",INDIRECT("'"&amp;'Internal Ref'!G174&amp;"'!N"&amp;RIGHT('Internal Ref'!H174,LEN('Internal Ref'!H174)-FIND("$",'Internal Ref'!H174,2))))),
"New Loan")</f>
        <v>New Loan</v>
      </c>
      <c r="J6" s="1469"/>
      <c r="K6" s="1469"/>
      <c r="L6" s="714"/>
      <c r="M6" s="736"/>
      <c r="O6" s="41" t="str" cm="1">
        <f t="array" aca="1" ref="O6" ca="1">IF(ISBLANK(INDIRECT("'" &amp; 'Internal Ref'!G174 &amp; "'!D11")),"","Other")</f>
        <v>Other</v>
      </c>
    </row>
    <row r="7" spans="1:23" ht="8.25" customHeight="1">
      <c r="B7" s="733"/>
      <c r="C7" s="742"/>
      <c r="D7" s="34"/>
      <c r="E7" s="34"/>
      <c r="F7" s="34"/>
      <c r="L7" s="714"/>
      <c r="M7" s="736"/>
    </row>
    <row r="8" spans="1:23" ht="24" customHeight="1">
      <c r="B8" s="733"/>
      <c r="C8" s="742"/>
      <c r="D8" s="1295" t="s">
        <v>8603</v>
      </c>
      <c r="E8" s="34"/>
      <c r="F8" s="34"/>
      <c r="G8" s="1296" t="s">
        <v>8604</v>
      </c>
      <c r="I8" s="7"/>
      <c r="J8" s="7"/>
      <c r="K8" s="7"/>
      <c r="L8" s="714"/>
      <c r="M8" s="736"/>
    </row>
    <row r="9" spans="1:23" ht="20.25" customHeight="1">
      <c r="B9" s="733"/>
      <c r="C9" s="742"/>
      <c r="D9" s="34"/>
      <c r="E9" s="36" t="s">
        <v>71</v>
      </c>
      <c r="F9" s="36" t="s">
        <v>69</v>
      </c>
      <c r="G9" s="36" t="s">
        <v>8629</v>
      </c>
      <c r="H9" s="36" t="s">
        <v>13</v>
      </c>
      <c r="I9" s="36" t="s">
        <v>8602</v>
      </c>
      <c r="J9" s="36" t="s">
        <v>15</v>
      </c>
      <c r="K9" s="36" t="s">
        <v>70</v>
      </c>
      <c r="L9" s="714"/>
      <c r="M9" s="736"/>
      <c r="O9" s="36" t="str" cm="1">
        <f t="array" aca="1" ref="O9" ca="1">INDIRECT("'" &amp; 'Internal Ref'!G174 &amp; "'!$W$10")</f>
        <v>Fan Jiang</v>
      </c>
      <c r="P9" s="36" t="str" cm="1">
        <f t="array" aca="1" ref="P9" ca="1">INDIRECT("'" &amp; 'Internal Ref'!G174 &amp; "'!$W$11")</f>
        <v>Sifei Liu</v>
      </c>
      <c r="Q9" s="36" t="s">
        <v>21</v>
      </c>
      <c r="S9" s="36" t="s">
        <v>8605</v>
      </c>
      <c r="T9" s="36" t="s">
        <v>8606</v>
      </c>
      <c r="U9" s="36" t="s">
        <v>8608</v>
      </c>
      <c r="W9" s="36"/>
    </row>
    <row r="10" spans="1:23" ht="17.25" hidden="1" customHeight="1">
      <c r="B10" s="733"/>
      <c r="C10" s="742"/>
      <c r="D10" s="34"/>
      <c r="E10" s="850"/>
      <c r="F10" s="36"/>
      <c r="G10" s="36"/>
      <c r="H10" s="846"/>
      <c r="I10" s="36"/>
      <c r="J10" s="1297" t="s">
        <v>16</v>
      </c>
      <c r="K10" s="36"/>
      <c r="L10" s="714"/>
      <c r="M10" s="736"/>
    </row>
    <row r="11" spans="1:23" ht="17.25" hidden="1" customHeight="1">
      <c r="B11" s="733"/>
      <c r="C11" s="742"/>
      <c r="D11" s="34"/>
      <c r="E11" s="850"/>
      <c r="F11" s="36"/>
      <c r="G11" s="36"/>
      <c r="H11" s="846"/>
      <c r="I11" s="36"/>
      <c r="J11" s="1297" t="s">
        <v>17</v>
      </c>
      <c r="K11" s="36"/>
      <c r="L11" s="714"/>
      <c r="M11" s="736"/>
    </row>
    <row r="12" spans="1:23" ht="17.25" hidden="1" customHeight="1">
      <c r="B12" s="733"/>
      <c r="C12" s="742"/>
      <c r="D12" s="34"/>
      <c r="E12" s="850"/>
      <c r="F12" s="36"/>
      <c r="G12" s="36"/>
      <c r="H12" s="1297" t="s">
        <v>8060</v>
      </c>
      <c r="I12" s="36"/>
      <c r="J12" s="1297" t="s">
        <v>3</v>
      </c>
      <c r="K12" s="36"/>
      <c r="L12" s="714"/>
      <c r="M12" s="736"/>
    </row>
    <row r="13" spans="1:23" ht="17.25" hidden="1" customHeight="1">
      <c r="B13" s="733"/>
      <c r="C13" s="742"/>
      <c r="D13" s="34"/>
      <c r="E13" s="850"/>
      <c r="F13" s="36"/>
      <c r="G13" s="1297"/>
      <c r="H13" s="1297" t="s">
        <v>75</v>
      </c>
      <c r="I13" s="36"/>
      <c r="J13" s="1297" t="s">
        <v>18</v>
      </c>
      <c r="K13" s="36"/>
      <c r="L13" s="714"/>
      <c r="M13" s="736"/>
    </row>
    <row r="14" spans="1:23" ht="17.25" hidden="1" customHeight="1">
      <c r="B14" s="733"/>
      <c r="C14" s="742"/>
      <c r="D14" s="34"/>
      <c r="E14" s="850"/>
      <c r="F14" s="36"/>
      <c r="G14" s="1297" t="s">
        <v>58</v>
      </c>
      <c r="H14" s="1297" t="s">
        <v>4780</v>
      </c>
      <c r="I14" s="36"/>
      <c r="J14" s="1297" t="s">
        <v>2</v>
      </c>
      <c r="K14" s="36"/>
      <c r="L14" s="714"/>
      <c r="M14" s="736"/>
    </row>
    <row r="15" spans="1:23" ht="17.25" hidden="1" customHeight="1">
      <c r="B15" s="733"/>
      <c r="C15" s="742"/>
      <c r="D15" s="34"/>
      <c r="E15" s="850"/>
      <c r="F15" s="36"/>
      <c r="G15" s="1297" t="str" cm="1">
        <f t="array" aca="1" ref="G15" ca="1">IF(INDIRECT("'" &amp; 'Internal Ref'!G174 &amp; "'!$V$11")="","Other",INDIRECT("'" &amp; 'Internal Ref'!G174 &amp; "'!$V$11"))</f>
        <v>Other</v>
      </c>
      <c r="H15" s="1297" t="s">
        <v>76</v>
      </c>
      <c r="I15" s="36"/>
      <c r="J15" s="1297" t="s">
        <v>19</v>
      </c>
      <c r="K15" s="36"/>
      <c r="L15" s="714"/>
      <c r="M15" s="736"/>
    </row>
    <row r="16" spans="1:23" ht="17.25" hidden="1" customHeight="1">
      <c r="B16" s="733"/>
      <c r="C16" s="713"/>
      <c r="E16" s="850"/>
      <c r="G16" s="1297" cm="1">
        <f t="array" aca="1" ref="G16" ca="1">INDIRECT("'" &amp; 'Internal Ref'!G174 &amp; "'!$V$10")</f>
        <v>0</v>
      </c>
      <c r="H16" s="1297" t="s">
        <v>81</v>
      </c>
      <c r="I16" s="36"/>
      <c r="J16" s="1297" t="s">
        <v>20</v>
      </c>
      <c r="K16" s="36"/>
      <c r="L16" s="714"/>
      <c r="M16" s="736"/>
    </row>
    <row r="17" spans="2:21" ht="17.25" customHeight="1">
      <c r="B17" s="733"/>
      <c r="C17" s="808">
        <f t="shared" ref="C17:C46" si="0">ROW()-17</f>
        <v>0</v>
      </c>
      <c r="D17" s="1300" t="b">
        <v>1</v>
      </c>
      <c r="E17" s="1436"/>
      <c r="F17" s="1437">
        <v>333000</v>
      </c>
      <c r="G17" s="1007" t="s">
        <v>9202</v>
      </c>
      <c r="H17" s="1436" t="s">
        <v>75</v>
      </c>
      <c r="I17" s="1437">
        <v>1500</v>
      </c>
      <c r="J17" s="1007" t="s">
        <v>16</v>
      </c>
      <c r="K17" s="1437">
        <v>1000</v>
      </c>
      <c r="L17" s="714"/>
      <c r="M17" s="736"/>
      <c r="O17" s="510">
        <f t="shared" ref="O17:O46" ca="1" si="1">IF(D17=TRUE,IF(ISERR(SEARCH($O$9,G17)),0,IF(ISERR(SEARCH("%",G17)),1,_xlfn.NUMBERVALUE(MID(G17,SEARCH($O$9,G17)+LEN($O$9),SEARCH("%",G17,SEARCH($O$9,G17)+1)-(SEARCH($O$9,G17)+LEN($O$9)-1))))),0)</f>
        <v>0</v>
      </c>
      <c r="P17" s="510">
        <f t="shared" ref="P17:P46" ca="1" si="2">IF(D17=TRUE,IF(ISERR(SEARCH($P$9,G17)),0,IF(ISERR(SEARCH("%",G17)),1,_xlfn.NUMBERVALUE(MID(G17,SEARCH($P$9,G17)+LEN($P$9),SEARCH("%",G17,SEARCH($P$9,G17)+1)-(SEARCH($P$9,G17)+LEN($P$9)-1))))),0)</f>
        <v>0</v>
      </c>
      <c r="Q17" s="510">
        <f t="shared" ref="Q17:Q46" ca="1" si="3">O17+P17</f>
        <v>0</v>
      </c>
      <c r="S17" s="511">
        <v>1</v>
      </c>
      <c r="T17" s="512">
        <v>3182025135825</v>
      </c>
      <c r="U17" s="512" t="str">
        <f t="shared" ref="U17:U46" si="4">IF(D17=TRUE,T17&amp; "|","")</f>
        <v>3182025135825|</v>
      </c>
    </row>
    <row r="18" spans="2:21" ht="17.25" customHeight="1">
      <c r="B18" s="733"/>
      <c r="C18" s="808">
        <f t="shared" si="0"/>
        <v>1</v>
      </c>
      <c r="D18" s="1299" t="b">
        <v>1</v>
      </c>
      <c r="E18" s="1441"/>
      <c r="F18" s="1442">
        <v>27700</v>
      </c>
      <c r="G18" s="1443" t="s">
        <v>9204</v>
      </c>
      <c r="H18" s="1439" t="s">
        <v>8060</v>
      </c>
      <c r="I18" s="1438"/>
      <c r="J18" s="1440"/>
      <c r="K18" s="1438"/>
      <c r="L18" s="714"/>
      <c r="M18" s="736"/>
      <c r="O18" s="510">
        <f t="shared" ca="1" si="1"/>
        <v>0</v>
      </c>
      <c r="P18" s="510">
        <f t="shared" ca="1" si="2"/>
        <v>0</v>
      </c>
      <c r="Q18" s="510">
        <f t="shared" ca="1" si="3"/>
        <v>0</v>
      </c>
      <c r="S18" s="511">
        <v>2</v>
      </c>
      <c r="T18" s="512">
        <v>3182025141515</v>
      </c>
      <c r="U18" s="512" t="str">
        <f t="shared" si="4"/>
        <v>3182025141515|</v>
      </c>
    </row>
    <row r="19" spans="2:21" ht="17.25" hidden="1" customHeight="1">
      <c r="B19" s="733"/>
      <c r="C19" s="808">
        <f t="shared" si="0"/>
        <v>2</v>
      </c>
      <c r="D19" s="508" t="b">
        <v>0</v>
      </c>
      <c r="E19" s="532"/>
      <c r="F19" s="16"/>
      <c r="G19" s="1031"/>
      <c r="H19" s="1329"/>
      <c r="I19" s="1330"/>
      <c r="J19" s="1331"/>
      <c r="K19" s="1330"/>
      <c r="L19" s="714"/>
      <c r="M19" s="736"/>
      <c r="O19" s="510">
        <f t="shared" si="1"/>
        <v>0</v>
      </c>
      <c r="P19" s="510">
        <f t="shared" si="2"/>
        <v>0</v>
      </c>
      <c r="Q19" s="510">
        <f t="shared" si="3"/>
        <v>0</v>
      </c>
      <c r="S19" s="511">
        <v>2</v>
      </c>
      <c r="T19" s="512">
        <v>3182025103543</v>
      </c>
      <c r="U19" s="512" t="str">
        <f t="shared" si="4"/>
        <v/>
      </c>
    </row>
    <row r="20" spans="2:21" ht="17.25" hidden="1" customHeight="1">
      <c r="B20" s="733"/>
      <c r="C20" s="808">
        <f t="shared" si="0"/>
        <v>3</v>
      </c>
      <c r="D20" s="508" t="b">
        <v>0</v>
      </c>
      <c r="E20" s="532"/>
      <c r="F20" s="16"/>
      <c r="G20" s="1031"/>
      <c r="H20" s="1329"/>
      <c r="I20" s="1330"/>
      <c r="J20" s="1331"/>
      <c r="K20" s="1330"/>
      <c r="L20" s="714"/>
      <c r="M20" s="736"/>
      <c r="O20" s="510">
        <f t="shared" si="1"/>
        <v>0</v>
      </c>
      <c r="P20" s="510">
        <f t="shared" si="2"/>
        <v>0</v>
      </c>
      <c r="Q20" s="510">
        <f t="shared" si="3"/>
        <v>0</v>
      </c>
      <c r="S20" s="511">
        <v>2</v>
      </c>
      <c r="T20" s="512">
        <v>6042024101947</v>
      </c>
      <c r="U20" s="512" t="str">
        <f t="shared" si="4"/>
        <v/>
      </c>
    </row>
    <row r="21" spans="2:21" ht="17.25" hidden="1" customHeight="1">
      <c r="B21" s="733"/>
      <c r="C21" s="808">
        <f t="shared" si="0"/>
        <v>4</v>
      </c>
      <c r="D21" s="508" t="b">
        <v>0</v>
      </c>
      <c r="E21" s="532"/>
      <c r="F21" s="16"/>
      <c r="G21" s="1031"/>
      <c r="H21" s="343"/>
      <c r="I21" s="492"/>
      <c r="J21" s="53"/>
      <c r="K21" s="492"/>
      <c r="L21" s="714"/>
      <c r="M21" s="736"/>
      <c r="O21" s="510">
        <f t="shared" si="1"/>
        <v>0</v>
      </c>
      <c r="P21" s="510">
        <f t="shared" si="2"/>
        <v>0</v>
      </c>
      <c r="Q21" s="510">
        <f t="shared" si="3"/>
        <v>0</v>
      </c>
      <c r="S21" s="511">
        <v>2</v>
      </c>
      <c r="T21" s="512">
        <v>6012023104825</v>
      </c>
      <c r="U21" s="512" t="str">
        <f t="shared" si="4"/>
        <v/>
      </c>
    </row>
    <row r="22" spans="2:21" ht="17.25" hidden="1" customHeight="1">
      <c r="B22" s="733"/>
      <c r="C22" s="808">
        <f t="shared" si="0"/>
        <v>5</v>
      </c>
      <c r="D22" s="508" t="b">
        <v>0</v>
      </c>
      <c r="E22" s="532"/>
      <c r="F22" s="16"/>
      <c r="G22" s="1031"/>
      <c r="H22" s="343"/>
      <c r="I22" s="492"/>
      <c r="J22" s="53"/>
      <c r="K22" s="492"/>
      <c r="L22" s="714"/>
      <c r="M22" s="736"/>
      <c r="O22" s="510">
        <f t="shared" si="1"/>
        <v>0</v>
      </c>
      <c r="P22" s="510">
        <f t="shared" si="2"/>
        <v>0</v>
      </c>
      <c r="Q22" s="510">
        <f t="shared" si="3"/>
        <v>0</v>
      </c>
      <c r="S22" s="511">
        <v>2</v>
      </c>
      <c r="T22" s="512">
        <v>6012023100908</v>
      </c>
      <c r="U22" s="512" t="str">
        <f t="shared" si="4"/>
        <v/>
      </c>
    </row>
    <row r="23" spans="2:21" ht="17.25" hidden="1" customHeight="1">
      <c r="B23" s="733"/>
      <c r="C23" s="808">
        <f t="shared" si="0"/>
        <v>6</v>
      </c>
      <c r="D23" s="508" t="b">
        <v>0</v>
      </c>
      <c r="E23" s="532"/>
      <c r="F23" s="16"/>
      <c r="G23" s="1031"/>
      <c r="H23" s="343"/>
      <c r="I23" s="492"/>
      <c r="J23" s="53"/>
      <c r="K23" s="492"/>
      <c r="L23" s="714"/>
      <c r="M23" s="736"/>
      <c r="O23" s="510">
        <f t="shared" si="1"/>
        <v>0</v>
      </c>
      <c r="P23" s="510">
        <f t="shared" si="2"/>
        <v>0</v>
      </c>
      <c r="Q23" s="510">
        <f t="shared" si="3"/>
        <v>0</v>
      </c>
      <c r="S23" s="511">
        <v>2</v>
      </c>
      <c r="T23" s="512">
        <v>6012023100912</v>
      </c>
      <c r="U23" s="512" t="str">
        <f t="shared" si="4"/>
        <v/>
      </c>
    </row>
    <row r="24" spans="2:21" ht="17.25" hidden="1" customHeight="1">
      <c r="B24" s="733"/>
      <c r="C24" s="808">
        <f t="shared" si="0"/>
        <v>7</v>
      </c>
      <c r="D24" s="508" t="b">
        <v>0</v>
      </c>
      <c r="E24" s="532"/>
      <c r="F24" s="16"/>
      <c r="G24" s="1031"/>
      <c r="H24" s="343"/>
      <c r="I24" s="492"/>
      <c r="J24" s="53"/>
      <c r="K24" s="492"/>
      <c r="L24" s="714"/>
      <c r="M24" s="736"/>
      <c r="O24" s="510">
        <f t="shared" si="1"/>
        <v>0</v>
      </c>
      <c r="P24" s="510">
        <f t="shared" si="2"/>
        <v>0</v>
      </c>
      <c r="Q24" s="510">
        <f t="shared" si="3"/>
        <v>0</v>
      </c>
      <c r="S24" s="511">
        <v>2</v>
      </c>
      <c r="T24" s="512">
        <v>6012023100913</v>
      </c>
      <c r="U24" s="512" t="str">
        <f t="shared" si="4"/>
        <v/>
      </c>
    </row>
    <row r="25" spans="2:21" ht="17.25" hidden="1" customHeight="1">
      <c r="B25" s="733"/>
      <c r="C25" s="808">
        <f t="shared" si="0"/>
        <v>8</v>
      </c>
      <c r="D25" s="508" t="b">
        <v>0</v>
      </c>
      <c r="E25" s="532"/>
      <c r="F25" s="16"/>
      <c r="G25" s="1031"/>
      <c r="H25" s="343"/>
      <c r="I25" s="492"/>
      <c r="J25" s="53"/>
      <c r="K25" s="492"/>
      <c r="L25" s="714"/>
      <c r="M25" s="736"/>
      <c r="O25" s="510">
        <f t="shared" si="1"/>
        <v>0</v>
      </c>
      <c r="P25" s="510">
        <f t="shared" si="2"/>
        <v>0</v>
      </c>
      <c r="Q25" s="510">
        <f t="shared" si="3"/>
        <v>0</v>
      </c>
      <c r="S25" s="511">
        <v>2</v>
      </c>
      <c r="T25" s="512">
        <v>6012023100919</v>
      </c>
      <c r="U25" s="512" t="str">
        <f t="shared" si="4"/>
        <v/>
      </c>
    </row>
    <row r="26" spans="2:21" ht="17.25" hidden="1" customHeight="1">
      <c r="B26" s="733"/>
      <c r="C26" s="808">
        <f t="shared" si="0"/>
        <v>9</v>
      </c>
      <c r="D26" s="508" t="b">
        <v>0</v>
      </c>
      <c r="E26" s="532"/>
      <c r="F26" s="16"/>
      <c r="G26" s="1031"/>
      <c r="H26" s="343"/>
      <c r="I26" s="492"/>
      <c r="J26" s="53"/>
      <c r="K26" s="492"/>
      <c r="L26" s="714"/>
      <c r="M26" s="736"/>
      <c r="O26" s="510">
        <f t="shared" si="1"/>
        <v>0</v>
      </c>
      <c r="P26" s="510">
        <f t="shared" si="2"/>
        <v>0</v>
      </c>
      <c r="Q26" s="510">
        <f t="shared" si="3"/>
        <v>0</v>
      </c>
      <c r="S26" s="511">
        <v>2</v>
      </c>
      <c r="T26" s="512">
        <v>6012023100921</v>
      </c>
      <c r="U26" s="512" t="str">
        <f t="shared" si="4"/>
        <v/>
      </c>
    </row>
    <row r="27" spans="2:21" ht="17.25" hidden="1" customHeight="1">
      <c r="B27" s="733"/>
      <c r="C27" s="808">
        <f t="shared" si="0"/>
        <v>10</v>
      </c>
      <c r="D27" s="508" t="b">
        <v>0</v>
      </c>
      <c r="E27" s="532"/>
      <c r="F27" s="16"/>
      <c r="G27" s="1031"/>
      <c r="H27" s="343"/>
      <c r="I27" s="492"/>
      <c r="J27" s="53"/>
      <c r="K27" s="492"/>
      <c r="L27" s="714"/>
      <c r="M27" s="736"/>
      <c r="O27" s="510">
        <f t="shared" si="1"/>
        <v>0</v>
      </c>
      <c r="P27" s="510">
        <f t="shared" si="2"/>
        <v>0</v>
      </c>
      <c r="Q27" s="510">
        <f t="shared" si="3"/>
        <v>0</v>
      </c>
      <c r="S27" s="511">
        <v>2</v>
      </c>
      <c r="T27" s="512">
        <v>6012023100922</v>
      </c>
      <c r="U27" s="512" t="str">
        <f t="shared" si="4"/>
        <v/>
      </c>
    </row>
    <row r="28" spans="2:21" ht="17.25" hidden="1" customHeight="1">
      <c r="B28" s="733"/>
      <c r="C28" s="808">
        <f t="shared" si="0"/>
        <v>11</v>
      </c>
      <c r="D28" s="508" t="b">
        <v>0</v>
      </c>
      <c r="E28" s="532"/>
      <c r="F28" s="16"/>
      <c r="G28" s="1031"/>
      <c r="H28" s="343"/>
      <c r="I28" s="492"/>
      <c r="J28" s="53"/>
      <c r="K28" s="492"/>
      <c r="L28" s="714"/>
      <c r="M28" s="736"/>
      <c r="O28" s="510">
        <f t="shared" si="1"/>
        <v>0</v>
      </c>
      <c r="P28" s="510">
        <f t="shared" si="2"/>
        <v>0</v>
      </c>
      <c r="Q28" s="510">
        <f t="shared" si="3"/>
        <v>0</v>
      </c>
      <c r="S28" s="511">
        <v>2</v>
      </c>
      <c r="T28" s="512">
        <v>6012023100924</v>
      </c>
      <c r="U28" s="512" t="str">
        <f t="shared" si="4"/>
        <v/>
      </c>
    </row>
    <row r="29" spans="2:21" ht="17.25" hidden="1" customHeight="1">
      <c r="B29" s="733"/>
      <c r="C29" s="808">
        <f t="shared" si="0"/>
        <v>12</v>
      </c>
      <c r="D29" s="508" t="b">
        <v>0</v>
      </c>
      <c r="E29" s="532"/>
      <c r="F29" s="16"/>
      <c r="G29" s="1031"/>
      <c r="H29" s="343"/>
      <c r="I29" s="492"/>
      <c r="J29" s="53"/>
      <c r="K29" s="492"/>
      <c r="L29" s="714"/>
      <c r="M29" s="736"/>
      <c r="O29" s="510">
        <f t="shared" si="1"/>
        <v>0</v>
      </c>
      <c r="P29" s="510">
        <f t="shared" si="2"/>
        <v>0</v>
      </c>
      <c r="Q29" s="510">
        <f t="shared" si="3"/>
        <v>0</v>
      </c>
      <c r="S29" s="511">
        <v>2</v>
      </c>
      <c r="T29" s="512">
        <v>6012023100925</v>
      </c>
      <c r="U29" s="512" t="str">
        <f t="shared" si="4"/>
        <v/>
      </c>
    </row>
    <row r="30" spans="2:21" ht="17.25" hidden="1" customHeight="1">
      <c r="B30" s="733"/>
      <c r="C30" s="808">
        <f t="shared" si="0"/>
        <v>13</v>
      </c>
      <c r="D30" s="508" t="b">
        <v>0</v>
      </c>
      <c r="E30" s="532"/>
      <c r="F30" s="16"/>
      <c r="G30" s="1031"/>
      <c r="H30" s="343"/>
      <c r="I30" s="492"/>
      <c r="J30" s="53"/>
      <c r="K30" s="492"/>
      <c r="L30" s="714"/>
      <c r="M30" s="736"/>
      <c r="O30" s="510">
        <f t="shared" si="1"/>
        <v>0</v>
      </c>
      <c r="P30" s="510">
        <f t="shared" si="2"/>
        <v>0</v>
      </c>
      <c r="Q30" s="510">
        <f t="shared" si="3"/>
        <v>0</v>
      </c>
      <c r="S30" s="511">
        <v>2</v>
      </c>
      <c r="T30" s="512">
        <v>6012023100927</v>
      </c>
      <c r="U30" s="512" t="str">
        <f t="shared" si="4"/>
        <v/>
      </c>
    </row>
    <row r="31" spans="2:21" ht="17.25" hidden="1" customHeight="1">
      <c r="B31" s="733"/>
      <c r="C31" s="808">
        <f t="shared" si="0"/>
        <v>14</v>
      </c>
      <c r="D31" s="508" t="b">
        <v>0</v>
      </c>
      <c r="E31" s="532"/>
      <c r="F31" s="16"/>
      <c r="G31" s="1031"/>
      <c r="H31" s="343"/>
      <c r="I31" s="492"/>
      <c r="J31" s="53"/>
      <c r="K31" s="492"/>
      <c r="L31" s="714"/>
      <c r="M31" s="736"/>
      <c r="O31" s="510">
        <f t="shared" si="1"/>
        <v>0</v>
      </c>
      <c r="P31" s="510">
        <f t="shared" si="2"/>
        <v>0</v>
      </c>
      <c r="Q31" s="510">
        <f t="shared" si="3"/>
        <v>0</v>
      </c>
      <c r="S31" s="511">
        <v>2</v>
      </c>
      <c r="T31" s="512">
        <v>6012023100928</v>
      </c>
      <c r="U31" s="512" t="str">
        <f t="shared" si="4"/>
        <v/>
      </c>
    </row>
    <row r="32" spans="2:21" ht="17.25" hidden="1" customHeight="1">
      <c r="B32" s="733"/>
      <c r="C32" s="808">
        <f t="shared" si="0"/>
        <v>15</v>
      </c>
      <c r="D32" s="508" t="b">
        <v>0</v>
      </c>
      <c r="E32" s="532"/>
      <c r="F32" s="16"/>
      <c r="G32" s="1031"/>
      <c r="H32" s="343"/>
      <c r="I32" s="492"/>
      <c r="J32" s="53"/>
      <c r="K32" s="492"/>
      <c r="L32" s="714"/>
      <c r="M32" s="736"/>
      <c r="O32" s="510">
        <f t="shared" si="1"/>
        <v>0</v>
      </c>
      <c r="P32" s="510">
        <f t="shared" si="2"/>
        <v>0</v>
      </c>
      <c r="Q32" s="510">
        <f t="shared" si="3"/>
        <v>0</v>
      </c>
      <c r="S32" s="511">
        <v>2</v>
      </c>
      <c r="T32" s="512">
        <v>6012023100929</v>
      </c>
      <c r="U32" s="512" t="str">
        <f t="shared" si="4"/>
        <v/>
      </c>
    </row>
    <row r="33" spans="2:21" ht="17.25" hidden="1" customHeight="1">
      <c r="B33" s="733"/>
      <c r="C33" s="808">
        <f t="shared" si="0"/>
        <v>16</v>
      </c>
      <c r="D33" s="508" t="b">
        <v>0</v>
      </c>
      <c r="E33" s="532"/>
      <c r="F33" s="16"/>
      <c r="G33" s="1031"/>
      <c r="H33" s="343"/>
      <c r="I33" s="492"/>
      <c r="J33" s="53"/>
      <c r="K33" s="492"/>
      <c r="L33" s="714"/>
      <c r="M33" s="736"/>
      <c r="O33" s="510">
        <f t="shared" si="1"/>
        <v>0</v>
      </c>
      <c r="P33" s="510">
        <f t="shared" si="2"/>
        <v>0</v>
      </c>
      <c r="Q33" s="510">
        <f t="shared" si="3"/>
        <v>0</v>
      </c>
      <c r="S33" s="511">
        <v>2</v>
      </c>
      <c r="T33" s="512">
        <v>6012023100931</v>
      </c>
      <c r="U33" s="512" t="str">
        <f t="shared" si="4"/>
        <v/>
      </c>
    </row>
    <row r="34" spans="2:21" ht="17.25" hidden="1" customHeight="1">
      <c r="B34" s="733"/>
      <c r="C34" s="808">
        <f t="shared" si="0"/>
        <v>17</v>
      </c>
      <c r="D34" s="508" t="b">
        <v>0</v>
      </c>
      <c r="E34" s="532"/>
      <c r="F34" s="16"/>
      <c r="G34" s="1031"/>
      <c r="H34" s="343"/>
      <c r="I34" s="492"/>
      <c r="J34" s="53"/>
      <c r="K34" s="492"/>
      <c r="L34" s="714"/>
      <c r="M34" s="736"/>
      <c r="O34" s="510">
        <f t="shared" si="1"/>
        <v>0</v>
      </c>
      <c r="P34" s="510">
        <f t="shared" si="2"/>
        <v>0</v>
      </c>
      <c r="Q34" s="510">
        <f t="shared" si="3"/>
        <v>0</v>
      </c>
      <c r="S34" s="511">
        <v>2</v>
      </c>
      <c r="T34" s="512">
        <v>6012023100942</v>
      </c>
      <c r="U34" s="512" t="str">
        <f t="shared" si="4"/>
        <v/>
      </c>
    </row>
    <row r="35" spans="2:21" ht="17.25" hidden="1" customHeight="1">
      <c r="B35" s="733"/>
      <c r="C35" s="808">
        <f t="shared" si="0"/>
        <v>18</v>
      </c>
      <c r="D35" s="508" t="b">
        <v>0</v>
      </c>
      <c r="E35" s="532"/>
      <c r="F35" s="16"/>
      <c r="G35" s="1031"/>
      <c r="H35" s="343"/>
      <c r="I35" s="492"/>
      <c r="J35" s="53"/>
      <c r="K35" s="492"/>
      <c r="L35" s="714"/>
      <c r="M35" s="736"/>
      <c r="O35" s="510">
        <f t="shared" si="1"/>
        <v>0</v>
      </c>
      <c r="P35" s="510">
        <f t="shared" si="2"/>
        <v>0</v>
      </c>
      <c r="Q35" s="510">
        <f t="shared" si="3"/>
        <v>0</v>
      </c>
      <c r="S35" s="511">
        <v>2</v>
      </c>
      <c r="T35" s="512">
        <v>6012023100944</v>
      </c>
      <c r="U35" s="512" t="str">
        <f t="shared" si="4"/>
        <v/>
      </c>
    </row>
    <row r="36" spans="2:21" ht="17.25" hidden="1" customHeight="1">
      <c r="B36" s="733"/>
      <c r="C36" s="808">
        <f t="shared" si="0"/>
        <v>19</v>
      </c>
      <c r="D36" s="508" t="b">
        <v>0</v>
      </c>
      <c r="E36" s="532"/>
      <c r="F36" s="16"/>
      <c r="G36" s="1031"/>
      <c r="H36" s="343"/>
      <c r="I36" s="492"/>
      <c r="J36" s="53"/>
      <c r="K36" s="492"/>
      <c r="L36" s="714"/>
      <c r="M36" s="736"/>
      <c r="O36" s="510">
        <f t="shared" si="1"/>
        <v>0</v>
      </c>
      <c r="P36" s="510">
        <f t="shared" si="2"/>
        <v>0</v>
      </c>
      <c r="Q36" s="510">
        <f t="shared" si="3"/>
        <v>0</v>
      </c>
      <c r="S36" s="511">
        <v>2</v>
      </c>
      <c r="T36" s="512">
        <v>6012023100946</v>
      </c>
      <c r="U36" s="512" t="str">
        <f t="shared" si="4"/>
        <v/>
      </c>
    </row>
    <row r="37" spans="2:21" ht="17.25" hidden="1" customHeight="1">
      <c r="B37" s="733"/>
      <c r="C37" s="808">
        <f t="shared" si="0"/>
        <v>20</v>
      </c>
      <c r="D37" s="508" t="b">
        <v>0</v>
      </c>
      <c r="E37" s="532"/>
      <c r="F37" s="16"/>
      <c r="G37" s="1031"/>
      <c r="H37" s="343"/>
      <c r="I37" s="492"/>
      <c r="J37" s="53"/>
      <c r="K37" s="492"/>
      <c r="L37" s="714"/>
      <c r="M37" s="736"/>
      <c r="O37" s="510">
        <f t="shared" si="1"/>
        <v>0</v>
      </c>
      <c r="P37" s="510">
        <f t="shared" si="2"/>
        <v>0</v>
      </c>
      <c r="Q37" s="510">
        <f t="shared" si="3"/>
        <v>0</v>
      </c>
      <c r="S37" s="511">
        <v>2</v>
      </c>
      <c r="T37" s="512">
        <v>6012023100950</v>
      </c>
      <c r="U37" s="512" t="str">
        <f t="shared" si="4"/>
        <v/>
      </c>
    </row>
    <row r="38" spans="2:21" ht="17.25" hidden="1" customHeight="1">
      <c r="B38" s="733"/>
      <c r="C38" s="808">
        <f t="shared" si="0"/>
        <v>21</v>
      </c>
      <c r="D38" s="508" t="b">
        <v>0</v>
      </c>
      <c r="E38" s="532"/>
      <c r="F38" s="16"/>
      <c r="G38" s="1031"/>
      <c r="H38" s="343"/>
      <c r="I38" s="492"/>
      <c r="J38" s="53"/>
      <c r="K38" s="492"/>
      <c r="L38" s="714"/>
      <c r="M38" s="736"/>
      <c r="O38" s="510">
        <f t="shared" si="1"/>
        <v>0</v>
      </c>
      <c r="P38" s="510">
        <f t="shared" si="2"/>
        <v>0</v>
      </c>
      <c r="Q38" s="510">
        <f t="shared" si="3"/>
        <v>0</v>
      </c>
      <c r="S38" s="511">
        <v>2</v>
      </c>
      <c r="T38" s="512">
        <v>6012023100952</v>
      </c>
      <c r="U38" s="512" t="str">
        <f t="shared" si="4"/>
        <v/>
      </c>
    </row>
    <row r="39" spans="2:21" ht="17.25" hidden="1" customHeight="1">
      <c r="B39" s="733"/>
      <c r="C39" s="808">
        <f t="shared" si="0"/>
        <v>22</v>
      </c>
      <c r="D39" s="508" t="b">
        <v>0</v>
      </c>
      <c r="E39" s="532"/>
      <c r="F39" s="16"/>
      <c r="G39" s="1031"/>
      <c r="H39" s="343"/>
      <c r="I39" s="492"/>
      <c r="J39" s="53"/>
      <c r="K39" s="492"/>
      <c r="L39" s="714"/>
      <c r="M39" s="736"/>
      <c r="O39" s="510">
        <f t="shared" si="1"/>
        <v>0</v>
      </c>
      <c r="P39" s="510">
        <f t="shared" si="2"/>
        <v>0</v>
      </c>
      <c r="Q39" s="510">
        <f t="shared" si="3"/>
        <v>0</v>
      </c>
      <c r="S39" s="511">
        <v>2</v>
      </c>
      <c r="T39" s="512">
        <v>6012023100954</v>
      </c>
      <c r="U39" s="512" t="str">
        <f t="shared" si="4"/>
        <v/>
      </c>
    </row>
    <row r="40" spans="2:21" ht="17.25" hidden="1" customHeight="1">
      <c r="B40" s="733"/>
      <c r="C40" s="808">
        <f t="shared" si="0"/>
        <v>23</v>
      </c>
      <c r="D40" s="508" t="b">
        <v>0</v>
      </c>
      <c r="E40" s="532"/>
      <c r="F40" s="16"/>
      <c r="G40" s="1031"/>
      <c r="H40" s="343"/>
      <c r="I40" s="492"/>
      <c r="J40" s="53"/>
      <c r="K40" s="492"/>
      <c r="L40" s="714"/>
      <c r="M40" s="736"/>
      <c r="O40" s="510">
        <f t="shared" si="1"/>
        <v>0</v>
      </c>
      <c r="P40" s="510">
        <f t="shared" si="2"/>
        <v>0</v>
      </c>
      <c r="Q40" s="510">
        <f t="shared" si="3"/>
        <v>0</v>
      </c>
      <c r="S40" s="511">
        <v>2</v>
      </c>
      <c r="T40" s="512">
        <v>6012023100955</v>
      </c>
      <c r="U40" s="512" t="str">
        <f t="shared" si="4"/>
        <v/>
      </c>
    </row>
    <row r="41" spans="2:21" ht="17.25" hidden="1" customHeight="1">
      <c r="B41" s="733"/>
      <c r="C41" s="808">
        <f t="shared" si="0"/>
        <v>24</v>
      </c>
      <c r="D41" s="508" t="b">
        <v>0</v>
      </c>
      <c r="E41" s="532"/>
      <c r="F41" s="16"/>
      <c r="G41" s="1031"/>
      <c r="H41" s="343"/>
      <c r="I41" s="492"/>
      <c r="J41" s="53"/>
      <c r="K41" s="492"/>
      <c r="L41" s="714"/>
      <c r="M41" s="736"/>
      <c r="O41" s="510">
        <f t="shared" si="1"/>
        <v>0</v>
      </c>
      <c r="P41" s="510">
        <f t="shared" si="2"/>
        <v>0</v>
      </c>
      <c r="Q41" s="510">
        <f t="shared" si="3"/>
        <v>0</v>
      </c>
      <c r="S41" s="511">
        <v>2</v>
      </c>
      <c r="T41" s="512">
        <v>6012023100957</v>
      </c>
      <c r="U41" s="512" t="str">
        <f t="shared" si="4"/>
        <v/>
      </c>
    </row>
    <row r="42" spans="2:21" ht="17.25" hidden="1" customHeight="1">
      <c r="B42" s="733"/>
      <c r="C42" s="808">
        <f t="shared" si="0"/>
        <v>25</v>
      </c>
      <c r="D42" s="508" t="b">
        <v>0</v>
      </c>
      <c r="E42" s="532"/>
      <c r="F42" s="16"/>
      <c r="G42" s="1031"/>
      <c r="H42" s="343"/>
      <c r="I42" s="492"/>
      <c r="J42" s="53"/>
      <c r="K42" s="492"/>
      <c r="L42" s="714"/>
      <c r="M42" s="736"/>
      <c r="O42" s="510">
        <f t="shared" si="1"/>
        <v>0</v>
      </c>
      <c r="P42" s="510">
        <f t="shared" si="2"/>
        <v>0</v>
      </c>
      <c r="Q42" s="510">
        <f t="shared" si="3"/>
        <v>0</v>
      </c>
      <c r="S42" s="511">
        <v>2</v>
      </c>
      <c r="T42" s="512">
        <v>6012023101000</v>
      </c>
      <c r="U42" s="512" t="str">
        <f t="shared" si="4"/>
        <v/>
      </c>
    </row>
    <row r="43" spans="2:21" ht="17.25" hidden="1" customHeight="1">
      <c r="B43" s="733"/>
      <c r="C43" s="808">
        <f t="shared" si="0"/>
        <v>26</v>
      </c>
      <c r="D43" s="508" t="b">
        <v>0</v>
      </c>
      <c r="E43" s="532"/>
      <c r="F43" s="16"/>
      <c r="G43" s="1031"/>
      <c r="H43" s="343"/>
      <c r="I43" s="492"/>
      <c r="J43" s="53"/>
      <c r="K43" s="492"/>
      <c r="L43" s="714"/>
      <c r="M43" s="736"/>
      <c r="O43" s="510">
        <f t="shared" si="1"/>
        <v>0</v>
      </c>
      <c r="P43" s="510">
        <f t="shared" si="2"/>
        <v>0</v>
      </c>
      <c r="Q43" s="510">
        <f t="shared" si="3"/>
        <v>0</v>
      </c>
      <c r="S43" s="511">
        <v>2</v>
      </c>
      <c r="T43" s="512">
        <v>6012023101002</v>
      </c>
      <c r="U43" s="512" t="str">
        <f t="shared" si="4"/>
        <v/>
      </c>
    </row>
    <row r="44" spans="2:21" ht="17.25" hidden="1" customHeight="1">
      <c r="B44" s="733"/>
      <c r="C44" s="808">
        <f t="shared" si="0"/>
        <v>27</v>
      </c>
      <c r="D44" s="508" t="b">
        <v>0</v>
      </c>
      <c r="E44" s="532"/>
      <c r="F44" s="16"/>
      <c r="G44" s="1031"/>
      <c r="H44" s="343"/>
      <c r="I44" s="492"/>
      <c r="J44" s="53"/>
      <c r="K44" s="492"/>
      <c r="L44" s="714"/>
      <c r="M44" s="736"/>
      <c r="O44" s="510">
        <f t="shared" si="1"/>
        <v>0</v>
      </c>
      <c r="P44" s="510">
        <f t="shared" si="2"/>
        <v>0</v>
      </c>
      <c r="Q44" s="510">
        <f t="shared" si="3"/>
        <v>0</v>
      </c>
      <c r="S44" s="511">
        <v>2</v>
      </c>
      <c r="T44" s="512">
        <v>6012023101004</v>
      </c>
      <c r="U44" s="512" t="str">
        <f t="shared" si="4"/>
        <v/>
      </c>
    </row>
    <row r="45" spans="2:21" ht="17.25" hidden="1" customHeight="1">
      <c r="B45" s="733"/>
      <c r="C45" s="808">
        <f t="shared" si="0"/>
        <v>28</v>
      </c>
      <c r="D45" s="508" t="b">
        <v>0</v>
      </c>
      <c r="E45" s="532"/>
      <c r="F45" s="16"/>
      <c r="G45" s="1031"/>
      <c r="H45" s="343"/>
      <c r="I45" s="492"/>
      <c r="J45" s="53"/>
      <c r="K45" s="492"/>
      <c r="L45" s="714"/>
      <c r="M45" s="736"/>
      <c r="O45" s="510">
        <f t="shared" si="1"/>
        <v>0</v>
      </c>
      <c r="P45" s="510">
        <f t="shared" si="2"/>
        <v>0</v>
      </c>
      <c r="Q45" s="510">
        <f t="shared" si="3"/>
        <v>0</v>
      </c>
      <c r="S45" s="511">
        <v>2</v>
      </c>
      <c r="T45" s="512">
        <v>6012023101006</v>
      </c>
      <c r="U45" s="512" t="str">
        <f t="shared" si="4"/>
        <v/>
      </c>
    </row>
    <row r="46" spans="2:21" ht="17.25" hidden="1" customHeight="1">
      <c r="B46" s="733"/>
      <c r="C46" s="808">
        <f t="shared" si="0"/>
        <v>29</v>
      </c>
      <c r="D46" s="508" t="b">
        <v>0</v>
      </c>
      <c r="E46" s="532"/>
      <c r="F46" s="16"/>
      <c r="G46" s="1031"/>
      <c r="H46" s="343"/>
      <c r="I46" s="492"/>
      <c r="J46" s="53"/>
      <c r="K46" s="492"/>
      <c r="L46" s="714"/>
      <c r="M46" s="736"/>
      <c r="O46" s="510">
        <f t="shared" si="1"/>
        <v>0</v>
      </c>
      <c r="P46" s="510">
        <f t="shared" si="2"/>
        <v>0</v>
      </c>
      <c r="Q46" s="510">
        <f t="shared" si="3"/>
        <v>0</v>
      </c>
      <c r="S46" s="511">
        <v>2</v>
      </c>
      <c r="T46" s="512">
        <v>6012023101659</v>
      </c>
      <c r="U46" s="512" t="str">
        <f t="shared" si="4"/>
        <v/>
      </c>
    </row>
    <row r="47" spans="2:21" ht="24" customHeight="1">
      <c r="B47" s="733"/>
      <c r="C47" s="713"/>
      <c r="D47" s="1298" t="s">
        <v>4536</v>
      </c>
      <c r="G47" s="1286"/>
      <c r="I47" s="1286"/>
      <c r="J47" s="1286"/>
      <c r="K47" s="1286"/>
      <c r="L47" s="1245"/>
      <c r="M47" s="736"/>
      <c r="O47" s="509">
        <f ca="1">AVERAGEIFS(O17:O46,$D17:$D46,TRUE)</f>
        <v>0</v>
      </c>
      <c r="P47" s="509">
        <f ca="1">AVERAGEIFS(P17:P46,$D17:$D46,TRUE)</f>
        <v>0</v>
      </c>
      <c r="Q47" s="509">
        <f ca="1">IF(SUM(Q17:Q46)=0,0,AVERAGEIFS(Q17:Q46,$D17:$D46,TRUE))</f>
        <v>0</v>
      </c>
      <c r="R47" s="509"/>
      <c r="U47" s="513" t="str">
        <f>_xlfn.CONCAT(U17:U46)</f>
        <v>3182025135825|3182025141515|</v>
      </c>
    </row>
    <row r="48" spans="2:21" ht="11.25" customHeight="1">
      <c r="B48" s="733"/>
      <c r="C48" s="709"/>
      <c r="D48" s="715"/>
      <c r="E48" s="715"/>
      <c r="F48" s="715"/>
      <c r="G48" s="727"/>
      <c r="H48" s="727"/>
      <c r="I48" s="727"/>
      <c r="J48" s="727"/>
      <c r="K48" s="727"/>
      <c r="L48" s="716"/>
      <c r="M48" s="736"/>
    </row>
    <row r="49" spans="2:13" ht="28.5" customHeight="1">
      <c r="B49" s="734"/>
      <c r="C49" s="738"/>
      <c r="D49" s="738"/>
      <c r="E49" s="738"/>
      <c r="F49" s="738"/>
      <c r="G49" s="738"/>
      <c r="H49" s="738"/>
      <c r="I49" s="738"/>
      <c r="J49" s="738"/>
      <c r="K49" s="738"/>
      <c r="L49" s="738"/>
      <c r="M49" s="737"/>
    </row>
    <row r="120" spans="40:42">
      <c r="AN120" s="1">
        <v>1111174.5610654701</v>
      </c>
      <c r="AP120" s="1" t="b">
        <v>1</v>
      </c>
    </row>
    <row r="121" spans="40:42">
      <c r="AN121" s="1">
        <v>302829.59599233198</v>
      </c>
      <c r="AP121" s="1" t="b">
        <v>0</v>
      </c>
    </row>
    <row r="122" spans="40:42">
      <c r="AN122" s="1">
        <v>500156.40317764302</v>
      </c>
      <c r="AP122" s="1" t="b">
        <v>1</v>
      </c>
    </row>
    <row r="123" spans="40:42">
      <c r="AN123" s="1">
        <v>293352.26262621599</v>
      </c>
      <c r="AP123" s="1" t="b">
        <v>1</v>
      </c>
    </row>
    <row r="128" spans="40:42">
      <c r="AN128" s="1">
        <v>370567.56203717098</v>
      </c>
      <c r="AP128" s="1" t="b">
        <v>0</v>
      </c>
    </row>
    <row r="131" spans="40:42">
      <c r="AN131" s="1">
        <v>0</v>
      </c>
      <c r="AO131" s="1">
        <v>0</v>
      </c>
      <c r="AP131" s="1" t="b">
        <v>0</v>
      </c>
    </row>
  </sheetData>
  <sheetProtection algorithmName="SHA-512" hashValue="tw443BsbmArDtVrtTbNbtSc8Mm/OdOX9gHLptlthPrKYVhZJPaFlZWwXd++Be1d6gHzK62mMJV9vbLS8Pln4FA==" saltValue="FfIkWBOR80n9SfZ8Bad/DQ==" spinCount="100000" sheet="1"/>
  <dataConsolidate/>
  <mergeCells count="3">
    <mergeCell ref="I6:K6"/>
    <mergeCell ref="D5:E5"/>
    <mergeCell ref="D6:E6"/>
  </mergeCells>
  <conditionalFormatting sqref="H17 F17 O17:Q17 S17">
    <cfRule type="expression" dxfId="688" priority="381">
      <formula>AND(F17="",$I17&lt;&gt;"")</formula>
    </cfRule>
  </conditionalFormatting>
  <conditionalFormatting sqref="F17 O17:Q17 S17">
    <cfRule type="expression" dxfId="687" priority="382">
      <formula>AND(H17="Overseas",AND(#REF!&lt;&gt;"Interest",#REF!&lt;&gt;"Dividends",#REF!&lt;&gt;"Rent (Resi)"))</formula>
    </cfRule>
    <cfRule type="expression" dxfId="686" priority="383">
      <formula>AND(OR(#REF!="Interest",#REF!="Dividends",#REF!="Rent (Resi)"),F17="")</formula>
    </cfRule>
  </conditionalFormatting>
  <conditionalFormatting sqref="K17">
    <cfRule type="expression" dxfId="685" priority="384">
      <formula>AND(H17="Overseas",#REF!&lt;&gt;"Rent (Resi)")</formula>
    </cfRule>
  </conditionalFormatting>
  <conditionalFormatting sqref="O17:Q17">
    <cfRule type="expression" dxfId="684" priority="380">
      <formula>$D17=TRUE</formula>
    </cfRule>
  </conditionalFormatting>
  <conditionalFormatting sqref="G17:G18">
    <cfRule type="expression" dxfId="683" priority="379">
      <formula>AND(G17="",D17=TRUE)</formula>
    </cfRule>
  </conditionalFormatting>
  <conditionalFormatting sqref="T17">
    <cfRule type="expression" dxfId="682" priority="375">
      <formula>AND(T17="",$I17&lt;&gt;"")</formula>
    </cfRule>
  </conditionalFormatting>
  <conditionalFormatting sqref="T17">
    <cfRule type="expression" dxfId="681" priority="376">
      <formula>AND(V17="Overseas",AND(#REF!&lt;&gt;"Interest",#REF!&lt;&gt;"Dividends",#REF!&lt;&gt;"Rent (Resi)"))</formula>
    </cfRule>
    <cfRule type="expression" dxfId="680" priority="377">
      <formula>AND(OR(#REF!="Interest",#REF!="Dividends",#REF!="Rent (Resi)"),T17="")</formula>
    </cfRule>
  </conditionalFormatting>
  <conditionalFormatting sqref="F18 O18:Q18 S18">
    <cfRule type="expression" dxfId="679" priority="326">
      <formula>AND(F18="",$I18&lt;&gt;"")</formula>
    </cfRule>
  </conditionalFormatting>
  <conditionalFormatting sqref="F18 O18:Q18 S18">
    <cfRule type="expression" dxfId="678" priority="327">
      <formula>AND(H18="Overseas",AND(#REF!&lt;&gt;"Interest",#REF!&lt;&gt;"Dividends",#REF!&lt;&gt;"Rent (Resi)"))</formula>
    </cfRule>
    <cfRule type="expression" dxfId="677" priority="328">
      <formula>AND(OR(#REF!="Interest",#REF!="Dividends",#REF!="Rent (Resi)"),F18="")</formula>
    </cfRule>
  </conditionalFormatting>
  <conditionalFormatting sqref="K18">
    <cfRule type="expression" dxfId="676" priority="329">
      <formula>AND(H18="Overseas",#REF!&lt;&gt;"Rent (Resi)")</formula>
    </cfRule>
  </conditionalFormatting>
  <conditionalFormatting sqref="O18:Q18">
    <cfRule type="expression" dxfId="675" priority="325">
      <formula>$D18=TRUE</formula>
    </cfRule>
  </conditionalFormatting>
  <conditionalFormatting sqref="T18">
    <cfRule type="expression" dxfId="674" priority="320">
      <formula>AND(T18="",$I18&lt;&gt;"")</formula>
    </cfRule>
  </conditionalFormatting>
  <conditionalFormatting sqref="T18">
    <cfRule type="expression" dxfId="673" priority="321">
      <formula>AND(V18="Overseas",AND(#REF!&lt;&gt;"Interest",#REF!&lt;&gt;"Dividends",#REF!&lt;&gt;"Rent (Resi)"))</formula>
    </cfRule>
    <cfRule type="expression" dxfId="672" priority="322">
      <formula>AND(OR(#REF!="Interest",#REF!="Dividends",#REF!="Rent (Resi)"),T18="")</formula>
    </cfRule>
  </conditionalFormatting>
  <conditionalFormatting sqref="F19 O19:Q19 S19">
    <cfRule type="expression" dxfId="671" priority="315">
      <formula>AND(F19="",$I19&lt;&gt;"")</formula>
    </cfRule>
  </conditionalFormatting>
  <conditionalFormatting sqref="F19 O19:Q19 S19">
    <cfRule type="expression" dxfId="670" priority="316">
      <formula>AND(H19="Overseas",AND(#REF!&lt;&gt;"Interest",#REF!&lt;&gt;"Dividends",#REF!&lt;&gt;"Rent (Resi)"))</formula>
    </cfRule>
    <cfRule type="expression" dxfId="669" priority="317">
      <formula>AND(OR(#REF!="Interest",#REF!="Dividends",#REF!="Rent (Resi)"),F19="")</formula>
    </cfRule>
  </conditionalFormatting>
  <conditionalFormatting sqref="K19">
    <cfRule type="expression" dxfId="668" priority="318">
      <formula>AND(H19="Overseas",#REF!&lt;&gt;"Rent (Resi)")</formula>
    </cfRule>
  </conditionalFormatting>
  <conditionalFormatting sqref="O19:Q19">
    <cfRule type="expression" dxfId="667" priority="314">
      <formula>$D19=TRUE</formula>
    </cfRule>
  </conditionalFormatting>
  <conditionalFormatting sqref="G19">
    <cfRule type="expression" dxfId="666" priority="313">
      <formula>AND(G19="",D19=TRUE)</formula>
    </cfRule>
  </conditionalFormatting>
  <conditionalFormatting sqref="T19">
    <cfRule type="expression" dxfId="665" priority="309">
      <formula>AND(T19="",$I19&lt;&gt;"")</formula>
    </cfRule>
  </conditionalFormatting>
  <conditionalFormatting sqref="T19">
    <cfRule type="expression" dxfId="664" priority="310">
      <formula>AND(V19="Overseas",AND(#REF!&lt;&gt;"Interest",#REF!&lt;&gt;"Dividends",#REF!&lt;&gt;"Rent (Resi)"))</formula>
    </cfRule>
    <cfRule type="expression" dxfId="663" priority="311">
      <formula>AND(OR(#REF!="Interest",#REF!="Dividends",#REF!="Rent (Resi)"),T19="")</formula>
    </cfRule>
  </conditionalFormatting>
  <conditionalFormatting sqref="F20 O20:Q20 S20">
    <cfRule type="expression" dxfId="662" priority="304">
      <formula>AND(F20="",$I20&lt;&gt;"")</formula>
    </cfRule>
  </conditionalFormatting>
  <conditionalFormatting sqref="F20 O20:Q20 S20">
    <cfRule type="expression" dxfId="661" priority="305">
      <formula>AND(H20="Overseas",AND(#REF!&lt;&gt;"Interest",#REF!&lt;&gt;"Dividends",#REF!&lt;&gt;"Rent (Resi)"))</formula>
    </cfRule>
    <cfRule type="expression" dxfId="660" priority="306">
      <formula>AND(OR(#REF!="Interest",#REF!="Dividends",#REF!="Rent (Resi)"),F20="")</formula>
    </cfRule>
  </conditionalFormatting>
  <conditionalFormatting sqref="K20">
    <cfRule type="expression" dxfId="659" priority="307">
      <formula>AND(H20="Overseas",#REF!&lt;&gt;"Rent (Resi)")</formula>
    </cfRule>
  </conditionalFormatting>
  <conditionalFormatting sqref="O20:Q20">
    <cfRule type="expression" dxfId="658" priority="303">
      <formula>$D20=TRUE</formula>
    </cfRule>
  </conditionalFormatting>
  <conditionalFormatting sqref="G20">
    <cfRule type="expression" dxfId="657" priority="302">
      <formula>AND(G20="",D20=TRUE)</formula>
    </cfRule>
  </conditionalFormatting>
  <conditionalFormatting sqref="T20">
    <cfRule type="expression" dxfId="656" priority="298">
      <formula>AND(T20="",$I20&lt;&gt;"")</formula>
    </cfRule>
  </conditionalFormatting>
  <conditionalFormatting sqref="T20">
    <cfRule type="expression" dxfId="655" priority="299">
      <formula>AND(V20="Overseas",AND(#REF!&lt;&gt;"Interest",#REF!&lt;&gt;"Dividends",#REF!&lt;&gt;"Rent (Resi)"))</formula>
    </cfRule>
    <cfRule type="expression" dxfId="654" priority="300">
      <formula>AND(OR(#REF!="Interest",#REF!="Dividends",#REF!="Rent (Resi)"),T20="")</formula>
    </cfRule>
  </conditionalFormatting>
  <conditionalFormatting sqref="H21 F21 O21:Q21 S21">
    <cfRule type="expression" dxfId="653" priority="293">
      <formula>AND(F21="",$I21&lt;&gt;"")</formula>
    </cfRule>
  </conditionalFormatting>
  <conditionalFormatting sqref="F21 O21:Q21 S21">
    <cfRule type="expression" dxfId="652" priority="294">
      <formula>AND(H21="Overseas",AND(#REF!&lt;&gt;"Interest",#REF!&lt;&gt;"Dividends",#REF!&lt;&gt;"Rent (Resi)"))</formula>
    </cfRule>
    <cfRule type="expression" dxfId="651" priority="295">
      <formula>AND(OR(#REF!="Interest",#REF!="Dividends",#REF!="Rent (Resi)"),F21="")</formula>
    </cfRule>
  </conditionalFormatting>
  <conditionalFormatting sqref="K21">
    <cfRule type="expression" dxfId="650" priority="296">
      <formula>AND(H21="Overseas",#REF!&lt;&gt;"Rent (Resi)")</formula>
    </cfRule>
  </conditionalFormatting>
  <conditionalFormatting sqref="O21:Q21">
    <cfRule type="expression" dxfId="649" priority="292">
      <formula>$D21=TRUE</formula>
    </cfRule>
  </conditionalFormatting>
  <conditionalFormatting sqref="G21">
    <cfRule type="expression" dxfId="648" priority="291">
      <formula>AND(G21="",D21=TRUE)</formula>
    </cfRule>
  </conditionalFormatting>
  <conditionalFormatting sqref="T21">
    <cfRule type="expression" dxfId="647" priority="287">
      <formula>AND(T21="",$I21&lt;&gt;"")</formula>
    </cfRule>
  </conditionalFormatting>
  <conditionalFormatting sqref="T21">
    <cfRule type="expression" dxfId="646" priority="288">
      <formula>AND(V21="Overseas",AND(#REF!&lt;&gt;"Interest",#REF!&lt;&gt;"Dividends",#REF!&lt;&gt;"Rent (Resi)"))</formula>
    </cfRule>
    <cfRule type="expression" dxfId="645" priority="289">
      <formula>AND(OR(#REF!="Interest",#REF!="Dividends",#REF!="Rent (Resi)"),T21="")</formula>
    </cfRule>
  </conditionalFormatting>
  <conditionalFormatting sqref="H22 F22 O22:Q22 S22">
    <cfRule type="expression" dxfId="644" priority="282">
      <formula>AND(F22="",$I22&lt;&gt;"")</formula>
    </cfRule>
  </conditionalFormatting>
  <conditionalFormatting sqref="F22 O22:Q22 S22">
    <cfRule type="expression" dxfId="643" priority="283">
      <formula>AND(H22="Overseas",AND(#REF!&lt;&gt;"Interest",#REF!&lt;&gt;"Dividends",#REF!&lt;&gt;"Rent (Resi)"))</formula>
    </cfRule>
    <cfRule type="expression" dxfId="642" priority="284">
      <formula>AND(OR(#REF!="Interest",#REF!="Dividends",#REF!="Rent (Resi)"),F22="")</formula>
    </cfRule>
  </conditionalFormatting>
  <conditionalFormatting sqref="K22">
    <cfRule type="expression" dxfId="641" priority="285">
      <formula>AND(H22="Overseas",#REF!&lt;&gt;"Rent (Resi)")</formula>
    </cfRule>
  </conditionalFormatting>
  <conditionalFormatting sqref="O22:Q22">
    <cfRule type="expression" dxfId="640" priority="281">
      <formula>$D22=TRUE</formula>
    </cfRule>
  </conditionalFormatting>
  <conditionalFormatting sqref="G22">
    <cfRule type="expression" dxfId="639" priority="280">
      <formula>AND(G22="",D22=TRUE)</formula>
    </cfRule>
  </conditionalFormatting>
  <conditionalFormatting sqref="T22">
    <cfRule type="expression" dxfId="638" priority="276">
      <formula>AND(T22="",$I22&lt;&gt;"")</formula>
    </cfRule>
  </conditionalFormatting>
  <conditionalFormatting sqref="T22">
    <cfRule type="expression" dxfId="637" priority="277">
      <formula>AND(V22="Overseas",AND(#REF!&lt;&gt;"Interest",#REF!&lt;&gt;"Dividends",#REF!&lt;&gt;"Rent (Resi)"))</formula>
    </cfRule>
    <cfRule type="expression" dxfId="636" priority="278">
      <formula>AND(OR(#REF!="Interest",#REF!="Dividends",#REF!="Rent (Resi)"),T22="")</formula>
    </cfRule>
  </conditionalFormatting>
  <conditionalFormatting sqref="H23 F23 O23:Q23 S23">
    <cfRule type="expression" dxfId="635" priority="271">
      <formula>AND(F23="",$I23&lt;&gt;"")</formula>
    </cfRule>
  </conditionalFormatting>
  <conditionalFormatting sqref="F23 O23:Q23 S23">
    <cfRule type="expression" dxfId="634" priority="272">
      <formula>AND(H23="Overseas",AND(#REF!&lt;&gt;"Interest",#REF!&lt;&gt;"Dividends",#REF!&lt;&gt;"Rent (Resi)"))</formula>
    </cfRule>
    <cfRule type="expression" dxfId="633" priority="273">
      <formula>AND(OR(#REF!="Interest",#REF!="Dividends",#REF!="Rent (Resi)"),F23="")</formula>
    </cfRule>
  </conditionalFormatting>
  <conditionalFormatting sqref="K23">
    <cfRule type="expression" dxfId="632" priority="274">
      <formula>AND(H23="Overseas",#REF!&lt;&gt;"Rent (Resi)")</formula>
    </cfRule>
  </conditionalFormatting>
  <conditionalFormatting sqref="O23:Q23">
    <cfRule type="expression" dxfId="631" priority="270">
      <formula>$D23=TRUE</formula>
    </cfRule>
  </conditionalFormatting>
  <conditionalFormatting sqref="G23">
    <cfRule type="expression" dxfId="630" priority="269">
      <formula>AND(G23="",D23=TRUE)</formula>
    </cfRule>
  </conditionalFormatting>
  <conditionalFormatting sqref="T23">
    <cfRule type="expression" dxfId="629" priority="265">
      <formula>AND(T23="",$I23&lt;&gt;"")</formula>
    </cfRule>
  </conditionalFormatting>
  <conditionalFormatting sqref="T23">
    <cfRule type="expression" dxfId="628" priority="266">
      <formula>AND(V23="Overseas",AND(#REF!&lt;&gt;"Interest",#REF!&lt;&gt;"Dividends",#REF!&lt;&gt;"Rent (Resi)"))</formula>
    </cfRule>
    <cfRule type="expression" dxfId="627" priority="267">
      <formula>AND(OR(#REF!="Interest",#REF!="Dividends",#REF!="Rent (Resi)"),T23="")</formula>
    </cfRule>
  </conditionalFormatting>
  <conditionalFormatting sqref="H24 F24 O24:Q24 S24">
    <cfRule type="expression" dxfId="626" priority="260">
      <formula>AND(F24="",$I24&lt;&gt;"")</formula>
    </cfRule>
  </conditionalFormatting>
  <conditionalFormatting sqref="F24 O24:Q24 S24">
    <cfRule type="expression" dxfId="625" priority="261">
      <formula>AND(H24="Overseas",AND(#REF!&lt;&gt;"Interest",#REF!&lt;&gt;"Dividends",#REF!&lt;&gt;"Rent (Resi)"))</formula>
    </cfRule>
    <cfRule type="expression" dxfId="624" priority="262">
      <formula>AND(OR(#REF!="Interest",#REF!="Dividends",#REF!="Rent (Resi)"),F24="")</formula>
    </cfRule>
  </conditionalFormatting>
  <conditionalFormatting sqref="K24">
    <cfRule type="expression" dxfId="623" priority="263">
      <formula>AND(H24="Overseas",#REF!&lt;&gt;"Rent (Resi)")</formula>
    </cfRule>
  </conditionalFormatting>
  <conditionalFormatting sqref="O24:Q24">
    <cfRule type="expression" dxfId="622" priority="259">
      <formula>$D24=TRUE</formula>
    </cfRule>
  </conditionalFormatting>
  <conditionalFormatting sqref="G24">
    <cfRule type="expression" dxfId="621" priority="258">
      <formula>AND(G24="",D24=TRUE)</formula>
    </cfRule>
  </conditionalFormatting>
  <conditionalFormatting sqref="T24">
    <cfRule type="expression" dxfId="620" priority="254">
      <formula>AND(T24="",$I24&lt;&gt;"")</formula>
    </cfRule>
  </conditionalFormatting>
  <conditionalFormatting sqref="T24">
    <cfRule type="expression" dxfId="619" priority="255">
      <formula>AND(V24="Overseas",AND(#REF!&lt;&gt;"Interest",#REF!&lt;&gt;"Dividends",#REF!&lt;&gt;"Rent (Resi)"))</formula>
    </cfRule>
    <cfRule type="expression" dxfId="618" priority="256">
      <formula>AND(OR(#REF!="Interest",#REF!="Dividends",#REF!="Rent (Resi)"),T24="")</formula>
    </cfRule>
  </conditionalFormatting>
  <conditionalFormatting sqref="H25 F25 O25:Q25 S25">
    <cfRule type="expression" dxfId="617" priority="249">
      <formula>AND(F25="",$I25&lt;&gt;"")</formula>
    </cfRule>
  </conditionalFormatting>
  <conditionalFormatting sqref="F25 O25:Q25 S25">
    <cfRule type="expression" dxfId="616" priority="250">
      <formula>AND(H25="Overseas",AND(#REF!&lt;&gt;"Interest",#REF!&lt;&gt;"Dividends",#REF!&lt;&gt;"Rent (Resi)"))</formula>
    </cfRule>
    <cfRule type="expression" dxfId="615" priority="251">
      <formula>AND(OR(#REF!="Interest",#REF!="Dividends",#REF!="Rent (Resi)"),F25="")</formula>
    </cfRule>
  </conditionalFormatting>
  <conditionalFormatting sqref="K25">
    <cfRule type="expression" dxfId="614" priority="252">
      <formula>AND(H25="Overseas",#REF!&lt;&gt;"Rent (Resi)")</formula>
    </cfRule>
  </conditionalFormatting>
  <conditionalFormatting sqref="O25:Q25">
    <cfRule type="expression" dxfId="613" priority="248">
      <formula>$D25=TRUE</formula>
    </cfRule>
  </conditionalFormatting>
  <conditionalFormatting sqref="G25">
    <cfRule type="expression" dxfId="612" priority="247">
      <formula>AND(G25="",D25=TRUE)</formula>
    </cfRule>
  </conditionalFormatting>
  <conditionalFormatting sqref="T25">
    <cfRule type="expression" dxfId="611" priority="243">
      <formula>AND(T25="",$I25&lt;&gt;"")</formula>
    </cfRule>
  </conditionalFormatting>
  <conditionalFormatting sqref="T25">
    <cfRule type="expression" dxfId="610" priority="244">
      <formula>AND(V25="Overseas",AND(#REF!&lt;&gt;"Interest",#REF!&lt;&gt;"Dividends",#REF!&lt;&gt;"Rent (Resi)"))</formula>
    </cfRule>
    <cfRule type="expression" dxfId="609" priority="245">
      <formula>AND(OR(#REF!="Interest",#REF!="Dividends",#REF!="Rent (Resi)"),T25="")</formula>
    </cfRule>
  </conditionalFormatting>
  <conditionalFormatting sqref="H26 F26 O26:Q26 S26">
    <cfRule type="expression" dxfId="608" priority="238">
      <formula>AND(F26="",$I26&lt;&gt;"")</formula>
    </cfRule>
  </conditionalFormatting>
  <conditionalFormatting sqref="F26 O26:Q26 S26">
    <cfRule type="expression" dxfId="607" priority="239">
      <formula>AND(H26="Overseas",AND(#REF!&lt;&gt;"Interest",#REF!&lt;&gt;"Dividends",#REF!&lt;&gt;"Rent (Resi)"))</formula>
    </cfRule>
    <cfRule type="expression" dxfId="606" priority="240">
      <formula>AND(OR(#REF!="Interest",#REF!="Dividends",#REF!="Rent (Resi)"),F26="")</formula>
    </cfRule>
  </conditionalFormatting>
  <conditionalFormatting sqref="K26">
    <cfRule type="expression" dxfId="605" priority="241">
      <formula>AND(H26="Overseas",#REF!&lt;&gt;"Rent (Resi)")</formula>
    </cfRule>
  </conditionalFormatting>
  <conditionalFormatting sqref="O26:Q26">
    <cfRule type="expression" dxfId="604" priority="237">
      <formula>$D26=TRUE</formula>
    </cfRule>
  </conditionalFormatting>
  <conditionalFormatting sqref="G26">
    <cfRule type="expression" dxfId="603" priority="236">
      <formula>AND(G26="",D26=TRUE)</formula>
    </cfRule>
  </conditionalFormatting>
  <conditionalFormatting sqref="T26">
    <cfRule type="expression" dxfId="602" priority="232">
      <formula>AND(T26="",$I26&lt;&gt;"")</formula>
    </cfRule>
  </conditionalFormatting>
  <conditionalFormatting sqref="T26">
    <cfRule type="expression" dxfId="601" priority="233">
      <formula>AND(V26="Overseas",AND(#REF!&lt;&gt;"Interest",#REF!&lt;&gt;"Dividends",#REF!&lt;&gt;"Rent (Resi)"))</formula>
    </cfRule>
    <cfRule type="expression" dxfId="600" priority="234">
      <formula>AND(OR(#REF!="Interest",#REF!="Dividends",#REF!="Rent (Resi)"),T26="")</formula>
    </cfRule>
  </conditionalFormatting>
  <conditionalFormatting sqref="H27 F27 O27:Q27 S27">
    <cfRule type="expression" dxfId="599" priority="227">
      <formula>AND(F27="",$I27&lt;&gt;"")</formula>
    </cfRule>
  </conditionalFormatting>
  <conditionalFormatting sqref="F27 O27:Q27 S27">
    <cfRule type="expression" dxfId="598" priority="228">
      <formula>AND(H27="Overseas",AND(#REF!&lt;&gt;"Interest",#REF!&lt;&gt;"Dividends",#REF!&lt;&gt;"Rent (Resi)"))</formula>
    </cfRule>
    <cfRule type="expression" dxfId="597" priority="229">
      <formula>AND(OR(#REF!="Interest",#REF!="Dividends",#REF!="Rent (Resi)"),F27="")</formula>
    </cfRule>
  </conditionalFormatting>
  <conditionalFormatting sqref="K27">
    <cfRule type="expression" dxfId="596" priority="230">
      <formula>AND(H27="Overseas",#REF!&lt;&gt;"Rent (Resi)")</formula>
    </cfRule>
  </conditionalFormatting>
  <conditionalFormatting sqref="O27:Q27">
    <cfRule type="expression" dxfId="595" priority="226">
      <formula>$D27=TRUE</formula>
    </cfRule>
  </conditionalFormatting>
  <conditionalFormatting sqref="G27">
    <cfRule type="expression" dxfId="594" priority="225">
      <formula>AND(G27="",D27=TRUE)</formula>
    </cfRule>
  </conditionalFormatting>
  <conditionalFormatting sqref="T27">
    <cfRule type="expression" dxfId="593" priority="221">
      <formula>AND(T27="",$I27&lt;&gt;"")</formula>
    </cfRule>
  </conditionalFormatting>
  <conditionalFormatting sqref="T27">
    <cfRule type="expression" dxfId="592" priority="222">
      <formula>AND(V27="Overseas",AND(#REF!&lt;&gt;"Interest",#REF!&lt;&gt;"Dividends",#REF!&lt;&gt;"Rent (Resi)"))</formula>
    </cfRule>
    <cfRule type="expression" dxfId="591" priority="223">
      <formula>AND(OR(#REF!="Interest",#REF!="Dividends",#REF!="Rent (Resi)"),T27="")</formula>
    </cfRule>
  </conditionalFormatting>
  <conditionalFormatting sqref="H28 F28 O28:Q28 S28">
    <cfRule type="expression" dxfId="590" priority="216">
      <formula>AND(F28="",$I28&lt;&gt;"")</formula>
    </cfRule>
  </conditionalFormatting>
  <conditionalFormatting sqref="F28 O28:Q28 S28">
    <cfRule type="expression" dxfId="589" priority="217">
      <formula>AND(H28="Overseas",AND(#REF!&lt;&gt;"Interest",#REF!&lt;&gt;"Dividends",#REF!&lt;&gt;"Rent (Resi)"))</formula>
    </cfRule>
    <cfRule type="expression" dxfId="588" priority="218">
      <formula>AND(OR(#REF!="Interest",#REF!="Dividends",#REF!="Rent (Resi)"),F28="")</formula>
    </cfRule>
  </conditionalFormatting>
  <conditionalFormatting sqref="K28">
    <cfRule type="expression" dxfId="587" priority="219">
      <formula>AND(H28="Overseas",#REF!&lt;&gt;"Rent (Resi)")</formula>
    </cfRule>
  </conditionalFormatting>
  <conditionalFormatting sqref="O28:Q28">
    <cfRule type="expression" dxfId="586" priority="215">
      <formula>$D28=TRUE</formula>
    </cfRule>
  </conditionalFormatting>
  <conditionalFormatting sqref="G28">
    <cfRule type="expression" dxfId="585" priority="214">
      <formula>AND(G28="",D28=TRUE)</formula>
    </cfRule>
  </conditionalFormatting>
  <conditionalFormatting sqref="T28">
    <cfRule type="expression" dxfId="584" priority="210">
      <formula>AND(T28="",$I28&lt;&gt;"")</formula>
    </cfRule>
  </conditionalFormatting>
  <conditionalFormatting sqref="T28">
    <cfRule type="expression" dxfId="583" priority="211">
      <formula>AND(V28="Overseas",AND(#REF!&lt;&gt;"Interest",#REF!&lt;&gt;"Dividends",#REF!&lt;&gt;"Rent (Resi)"))</formula>
    </cfRule>
    <cfRule type="expression" dxfId="582" priority="212">
      <formula>AND(OR(#REF!="Interest",#REF!="Dividends",#REF!="Rent (Resi)"),T28="")</formula>
    </cfRule>
  </conditionalFormatting>
  <conditionalFormatting sqref="H29 F29 O29:Q29 S29">
    <cfRule type="expression" dxfId="581" priority="205">
      <formula>AND(F29="",$I29&lt;&gt;"")</formula>
    </cfRule>
  </conditionalFormatting>
  <conditionalFormatting sqref="F29 O29:Q29 S29">
    <cfRule type="expression" dxfId="580" priority="206">
      <formula>AND(H29="Overseas",AND(#REF!&lt;&gt;"Interest",#REF!&lt;&gt;"Dividends",#REF!&lt;&gt;"Rent (Resi)"))</formula>
    </cfRule>
    <cfRule type="expression" dxfId="579" priority="207">
      <formula>AND(OR(#REF!="Interest",#REF!="Dividends",#REF!="Rent (Resi)"),F29="")</formula>
    </cfRule>
  </conditionalFormatting>
  <conditionalFormatting sqref="K29">
    <cfRule type="expression" dxfId="578" priority="208">
      <formula>AND(H29="Overseas",#REF!&lt;&gt;"Rent (Resi)")</formula>
    </cfRule>
  </conditionalFormatting>
  <conditionalFormatting sqref="O29:Q29">
    <cfRule type="expression" dxfId="577" priority="204">
      <formula>$D29=TRUE</formula>
    </cfRule>
  </conditionalFormatting>
  <conditionalFormatting sqref="G29">
    <cfRule type="expression" dxfId="576" priority="203">
      <formula>AND(G29="",D29=TRUE)</formula>
    </cfRule>
  </conditionalFormatting>
  <conditionalFormatting sqref="T29">
    <cfRule type="expression" dxfId="575" priority="199">
      <formula>AND(T29="",$I29&lt;&gt;"")</formula>
    </cfRule>
  </conditionalFormatting>
  <conditionalFormatting sqref="T29">
    <cfRule type="expression" dxfId="574" priority="200">
      <formula>AND(V29="Overseas",AND(#REF!&lt;&gt;"Interest",#REF!&lt;&gt;"Dividends",#REF!&lt;&gt;"Rent (Resi)"))</formula>
    </cfRule>
    <cfRule type="expression" dxfId="573" priority="201">
      <formula>AND(OR(#REF!="Interest",#REF!="Dividends",#REF!="Rent (Resi)"),T29="")</formula>
    </cfRule>
  </conditionalFormatting>
  <conditionalFormatting sqref="H30 F30 O30:Q30 S30">
    <cfRule type="expression" dxfId="572" priority="194">
      <formula>AND(F30="",$I30&lt;&gt;"")</formula>
    </cfRule>
  </conditionalFormatting>
  <conditionalFormatting sqref="F30 O30:Q30 S30">
    <cfRule type="expression" dxfId="571" priority="195">
      <formula>AND(H30="Overseas",AND(#REF!&lt;&gt;"Interest",#REF!&lt;&gt;"Dividends",#REF!&lt;&gt;"Rent (Resi)"))</formula>
    </cfRule>
    <cfRule type="expression" dxfId="570" priority="196">
      <formula>AND(OR(#REF!="Interest",#REF!="Dividends",#REF!="Rent (Resi)"),F30="")</formula>
    </cfRule>
  </conditionalFormatting>
  <conditionalFormatting sqref="K30">
    <cfRule type="expression" dxfId="569" priority="197">
      <formula>AND(H30="Overseas",#REF!&lt;&gt;"Rent (Resi)")</formula>
    </cfRule>
  </conditionalFormatting>
  <conditionalFormatting sqref="O30:Q30">
    <cfRule type="expression" dxfId="568" priority="193">
      <formula>$D30=TRUE</formula>
    </cfRule>
  </conditionalFormatting>
  <conditionalFormatting sqref="G30">
    <cfRule type="expression" dxfId="567" priority="192">
      <formula>AND(G30="",D30=TRUE)</formula>
    </cfRule>
  </conditionalFormatting>
  <conditionalFormatting sqref="T30">
    <cfRule type="expression" dxfId="566" priority="188">
      <formula>AND(T30="",$I30&lt;&gt;"")</formula>
    </cfRule>
  </conditionalFormatting>
  <conditionalFormatting sqref="T30">
    <cfRule type="expression" dxfId="565" priority="189">
      <formula>AND(V30="Overseas",AND(#REF!&lt;&gt;"Interest",#REF!&lt;&gt;"Dividends",#REF!&lt;&gt;"Rent (Resi)"))</formula>
    </cfRule>
    <cfRule type="expression" dxfId="564" priority="190">
      <formula>AND(OR(#REF!="Interest",#REF!="Dividends",#REF!="Rent (Resi)"),T30="")</formula>
    </cfRule>
  </conditionalFormatting>
  <conditionalFormatting sqref="H31 F31 O31:Q31 S31">
    <cfRule type="expression" dxfId="563" priority="183">
      <formula>AND(F31="",$I31&lt;&gt;"")</formula>
    </cfRule>
  </conditionalFormatting>
  <conditionalFormatting sqref="F31 O31:Q31 S31">
    <cfRule type="expression" dxfId="562" priority="184">
      <formula>AND(H31="Overseas",AND(#REF!&lt;&gt;"Interest",#REF!&lt;&gt;"Dividends",#REF!&lt;&gt;"Rent (Resi)"))</formula>
    </cfRule>
    <cfRule type="expression" dxfId="561" priority="185">
      <formula>AND(OR(#REF!="Interest",#REF!="Dividends",#REF!="Rent (Resi)"),F31="")</formula>
    </cfRule>
  </conditionalFormatting>
  <conditionalFormatting sqref="K31">
    <cfRule type="expression" dxfId="560" priority="186">
      <formula>AND(H31="Overseas",#REF!&lt;&gt;"Rent (Resi)")</formula>
    </cfRule>
  </conditionalFormatting>
  <conditionalFormatting sqref="O31:Q31">
    <cfRule type="expression" dxfId="559" priority="182">
      <formula>$D31=TRUE</formula>
    </cfRule>
  </conditionalFormatting>
  <conditionalFormatting sqref="G31">
    <cfRule type="expression" dxfId="558" priority="181">
      <formula>AND(G31="",D31=TRUE)</formula>
    </cfRule>
  </conditionalFormatting>
  <conditionalFormatting sqref="T31">
    <cfRule type="expression" dxfId="557" priority="177">
      <formula>AND(T31="",$I31&lt;&gt;"")</formula>
    </cfRule>
  </conditionalFormatting>
  <conditionalFormatting sqref="T31">
    <cfRule type="expression" dxfId="556" priority="178">
      <formula>AND(V31="Overseas",AND(#REF!&lt;&gt;"Interest",#REF!&lt;&gt;"Dividends",#REF!&lt;&gt;"Rent (Resi)"))</formula>
    </cfRule>
    <cfRule type="expression" dxfId="555" priority="179">
      <formula>AND(OR(#REF!="Interest",#REF!="Dividends",#REF!="Rent (Resi)"),T31="")</formula>
    </cfRule>
  </conditionalFormatting>
  <conditionalFormatting sqref="H32 F32 O32:Q32 S32">
    <cfRule type="expression" dxfId="554" priority="172">
      <formula>AND(F32="",$I32&lt;&gt;"")</formula>
    </cfRule>
  </conditionalFormatting>
  <conditionalFormatting sqref="F32 O32:Q32 S32">
    <cfRule type="expression" dxfId="553" priority="173">
      <formula>AND(H32="Overseas",AND(#REF!&lt;&gt;"Interest",#REF!&lt;&gt;"Dividends",#REF!&lt;&gt;"Rent (Resi)"))</formula>
    </cfRule>
    <cfRule type="expression" dxfId="552" priority="174">
      <formula>AND(OR(#REF!="Interest",#REF!="Dividends",#REF!="Rent (Resi)"),F32="")</formula>
    </cfRule>
  </conditionalFormatting>
  <conditionalFormatting sqref="K32">
    <cfRule type="expression" dxfId="551" priority="175">
      <formula>AND(H32="Overseas",#REF!&lt;&gt;"Rent (Resi)")</formula>
    </cfRule>
  </conditionalFormatting>
  <conditionalFormatting sqref="O32:Q32">
    <cfRule type="expression" dxfId="550" priority="171">
      <formula>$D32=TRUE</formula>
    </cfRule>
  </conditionalFormatting>
  <conditionalFormatting sqref="G32">
    <cfRule type="expression" dxfId="549" priority="170">
      <formula>AND(G32="",D32=TRUE)</formula>
    </cfRule>
  </conditionalFormatting>
  <conditionalFormatting sqref="T32">
    <cfRule type="expression" dxfId="548" priority="166">
      <formula>AND(T32="",$I32&lt;&gt;"")</formula>
    </cfRule>
  </conditionalFormatting>
  <conditionalFormatting sqref="T32">
    <cfRule type="expression" dxfId="547" priority="167">
      <formula>AND(V32="Overseas",AND(#REF!&lt;&gt;"Interest",#REF!&lt;&gt;"Dividends",#REF!&lt;&gt;"Rent (Resi)"))</formula>
    </cfRule>
    <cfRule type="expression" dxfId="546" priority="168">
      <formula>AND(OR(#REF!="Interest",#REF!="Dividends",#REF!="Rent (Resi)"),T32="")</formula>
    </cfRule>
  </conditionalFormatting>
  <conditionalFormatting sqref="H33 F33 O33:Q33 S33">
    <cfRule type="expression" dxfId="545" priority="161">
      <formula>AND(F33="",$I33&lt;&gt;"")</formula>
    </cfRule>
  </conditionalFormatting>
  <conditionalFormatting sqref="F33 O33:Q33 S33">
    <cfRule type="expression" dxfId="544" priority="162">
      <formula>AND(H33="Overseas",AND(#REF!&lt;&gt;"Interest",#REF!&lt;&gt;"Dividends",#REF!&lt;&gt;"Rent (Resi)"))</formula>
    </cfRule>
    <cfRule type="expression" dxfId="543" priority="163">
      <formula>AND(OR(#REF!="Interest",#REF!="Dividends",#REF!="Rent (Resi)"),F33="")</formula>
    </cfRule>
  </conditionalFormatting>
  <conditionalFormatting sqref="K33">
    <cfRule type="expression" dxfId="542" priority="164">
      <formula>AND(H33="Overseas",#REF!&lt;&gt;"Rent (Resi)")</formula>
    </cfRule>
  </conditionalFormatting>
  <conditionalFormatting sqref="O33:Q33">
    <cfRule type="expression" dxfId="541" priority="160">
      <formula>$D33=TRUE</formula>
    </cfRule>
  </conditionalFormatting>
  <conditionalFormatting sqref="G33">
    <cfRule type="expression" dxfId="540" priority="159">
      <formula>AND(G33="",D33=TRUE)</formula>
    </cfRule>
  </conditionalFormatting>
  <conditionalFormatting sqref="T33">
    <cfRule type="expression" dxfId="539" priority="155">
      <formula>AND(T33="",$I33&lt;&gt;"")</formula>
    </cfRule>
  </conditionalFormatting>
  <conditionalFormatting sqref="T33">
    <cfRule type="expression" dxfId="538" priority="156">
      <formula>AND(V33="Overseas",AND(#REF!&lt;&gt;"Interest",#REF!&lt;&gt;"Dividends",#REF!&lt;&gt;"Rent (Resi)"))</formula>
    </cfRule>
    <cfRule type="expression" dxfId="537" priority="157">
      <formula>AND(OR(#REF!="Interest",#REF!="Dividends",#REF!="Rent (Resi)"),T33="")</formula>
    </cfRule>
  </conditionalFormatting>
  <conditionalFormatting sqref="H34 F34 O34:Q34 S34">
    <cfRule type="expression" dxfId="536" priority="150">
      <formula>AND(F34="",$I34&lt;&gt;"")</formula>
    </cfRule>
  </conditionalFormatting>
  <conditionalFormatting sqref="F34 O34:Q34 S34">
    <cfRule type="expression" dxfId="535" priority="151">
      <formula>AND(H34="Overseas",AND(#REF!&lt;&gt;"Interest",#REF!&lt;&gt;"Dividends",#REF!&lt;&gt;"Rent (Resi)"))</formula>
    </cfRule>
    <cfRule type="expression" dxfId="534" priority="152">
      <formula>AND(OR(#REF!="Interest",#REF!="Dividends",#REF!="Rent (Resi)"),F34="")</formula>
    </cfRule>
  </conditionalFormatting>
  <conditionalFormatting sqref="K34">
    <cfRule type="expression" dxfId="533" priority="153">
      <formula>AND(H34="Overseas",#REF!&lt;&gt;"Rent (Resi)")</formula>
    </cfRule>
  </conditionalFormatting>
  <conditionalFormatting sqref="O34:Q34">
    <cfRule type="expression" dxfId="532" priority="149">
      <formula>$D34=TRUE</formula>
    </cfRule>
  </conditionalFormatting>
  <conditionalFormatting sqref="G34">
    <cfRule type="expression" dxfId="531" priority="148">
      <formula>AND(G34="",D34=TRUE)</formula>
    </cfRule>
  </conditionalFormatting>
  <conditionalFormatting sqref="T34">
    <cfRule type="expression" dxfId="530" priority="144">
      <formula>AND(T34="",$I34&lt;&gt;"")</formula>
    </cfRule>
  </conditionalFormatting>
  <conditionalFormatting sqref="T34">
    <cfRule type="expression" dxfId="529" priority="145">
      <formula>AND(V34="Overseas",AND(#REF!&lt;&gt;"Interest",#REF!&lt;&gt;"Dividends",#REF!&lt;&gt;"Rent (Resi)"))</formula>
    </cfRule>
    <cfRule type="expression" dxfId="528" priority="146">
      <formula>AND(OR(#REF!="Interest",#REF!="Dividends",#REF!="Rent (Resi)"),T34="")</formula>
    </cfRule>
  </conditionalFormatting>
  <conditionalFormatting sqref="H35 F35 O35:Q35 S35">
    <cfRule type="expression" dxfId="527" priority="139">
      <formula>AND(F35="",$I35&lt;&gt;"")</formula>
    </cfRule>
  </conditionalFormatting>
  <conditionalFormatting sqref="F35 O35:Q35 S35">
    <cfRule type="expression" dxfId="526" priority="140">
      <formula>AND(H35="Overseas",AND(#REF!&lt;&gt;"Interest",#REF!&lt;&gt;"Dividends",#REF!&lt;&gt;"Rent (Resi)"))</formula>
    </cfRule>
    <cfRule type="expression" dxfId="525" priority="141">
      <formula>AND(OR(#REF!="Interest",#REF!="Dividends",#REF!="Rent (Resi)"),F35="")</formula>
    </cfRule>
  </conditionalFormatting>
  <conditionalFormatting sqref="K35">
    <cfRule type="expression" dxfId="524" priority="142">
      <formula>AND(H35="Overseas",#REF!&lt;&gt;"Rent (Resi)")</formula>
    </cfRule>
  </conditionalFormatting>
  <conditionalFormatting sqref="O35:Q35">
    <cfRule type="expression" dxfId="523" priority="138">
      <formula>$D35=TRUE</formula>
    </cfRule>
  </conditionalFormatting>
  <conditionalFormatting sqref="G35">
    <cfRule type="expression" dxfId="522" priority="137">
      <formula>AND(G35="",D35=TRUE)</formula>
    </cfRule>
  </conditionalFormatting>
  <conditionalFormatting sqref="T35">
    <cfRule type="expression" dxfId="521" priority="133">
      <formula>AND(T35="",$I35&lt;&gt;"")</formula>
    </cfRule>
  </conditionalFormatting>
  <conditionalFormatting sqref="T35">
    <cfRule type="expression" dxfId="520" priority="134">
      <formula>AND(V35="Overseas",AND(#REF!&lt;&gt;"Interest",#REF!&lt;&gt;"Dividends",#REF!&lt;&gt;"Rent (Resi)"))</formula>
    </cfRule>
    <cfRule type="expression" dxfId="519" priority="135">
      <formula>AND(OR(#REF!="Interest",#REF!="Dividends",#REF!="Rent (Resi)"),T35="")</formula>
    </cfRule>
  </conditionalFormatting>
  <conditionalFormatting sqref="H36 F36 O36:Q36 S36">
    <cfRule type="expression" dxfId="518" priority="128">
      <formula>AND(F36="",$I36&lt;&gt;"")</formula>
    </cfRule>
  </conditionalFormatting>
  <conditionalFormatting sqref="F36 O36:Q36 S36">
    <cfRule type="expression" dxfId="517" priority="129">
      <formula>AND(H36="Overseas",AND(#REF!&lt;&gt;"Interest",#REF!&lt;&gt;"Dividends",#REF!&lt;&gt;"Rent (Resi)"))</formula>
    </cfRule>
    <cfRule type="expression" dxfId="516" priority="130">
      <formula>AND(OR(#REF!="Interest",#REF!="Dividends",#REF!="Rent (Resi)"),F36="")</formula>
    </cfRule>
  </conditionalFormatting>
  <conditionalFormatting sqref="K36">
    <cfRule type="expression" dxfId="515" priority="131">
      <formula>AND(H36="Overseas",#REF!&lt;&gt;"Rent (Resi)")</formula>
    </cfRule>
  </conditionalFormatting>
  <conditionalFormatting sqref="O36:Q36">
    <cfRule type="expression" dxfId="514" priority="127">
      <formula>$D36=TRUE</formula>
    </cfRule>
  </conditionalFormatting>
  <conditionalFormatting sqref="G36">
    <cfRule type="expression" dxfId="513" priority="126">
      <formula>AND(G36="",D36=TRUE)</formula>
    </cfRule>
  </conditionalFormatting>
  <conditionalFormatting sqref="T36">
    <cfRule type="expression" dxfId="512" priority="122">
      <formula>AND(T36="",$I36&lt;&gt;"")</formula>
    </cfRule>
  </conditionalFormatting>
  <conditionalFormatting sqref="T36">
    <cfRule type="expression" dxfId="511" priority="123">
      <formula>AND(V36="Overseas",AND(#REF!&lt;&gt;"Interest",#REF!&lt;&gt;"Dividends",#REF!&lt;&gt;"Rent (Resi)"))</formula>
    </cfRule>
    <cfRule type="expression" dxfId="510" priority="124">
      <formula>AND(OR(#REF!="Interest",#REF!="Dividends",#REF!="Rent (Resi)"),T36="")</formula>
    </cfRule>
  </conditionalFormatting>
  <conditionalFormatting sqref="H37 F37 O37:Q37 S37">
    <cfRule type="expression" dxfId="509" priority="117">
      <formula>AND(F37="",$I37&lt;&gt;"")</formula>
    </cfRule>
  </conditionalFormatting>
  <conditionalFormatting sqref="F37 O37:Q37 S37">
    <cfRule type="expression" dxfId="508" priority="118">
      <formula>AND(H37="Overseas",AND(#REF!&lt;&gt;"Interest",#REF!&lt;&gt;"Dividends",#REF!&lt;&gt;"Rent (Resi)"))</formula>
    </cfRule>
    <cfRule type="expression" dxfId="507" priority="119">
      <formula>AND(OR(#REF!="Interest",#REF!="Dividends",#REF!="Rent (Resi)"),F37="")</formula>
    </cfRule>
  </conditionalFormatting>
  <conditionalFormatting sqref="K37">
    <cfRule type="expression" dxfId="506" priority="120">
      <formula>AND(H37="Overseas",#REF!&lt;&gt;"Rent (Resi)")</formula>
    </cfRule>
  </conditionalFormatting>
  <conditionalFormatting sqref="O37:Q37">
    <cfRule type="expression" dxfId="505" priority="116">
      <formula>$D37=TRUE</formula>
    </cfRule>
  </conditionalFormatting>
  <conditionalFormatting sqref="G37">
    <cfRule type="expression" dxfId="504" priority="115">
      <formula>AND(G37="",D37=TRUE)</formula>
    </cfRule>
  </conditionalFormatting>
  <conditionalFormatting sqref="T37">
    <cfRule type="expression" dxfId="503" priority="111">
      <formula>AND(T37="",$I37&lt;&gt;"")</formula>
    </cfRule>
  </conditionalFormatting>
  <conditionalFormatting sqref="T37">
    <cfRule type="expression" dxfId="502" priority="112">
      <formula>AND(V37="Overseas",AND(#REF!&lt;&gt;"Interest",#REF!&lt;&gt;"Dividends",#REF!&lt;&gt;"Rent (Resi)"))</formula>
    </cfRule>
    <cfRule type="expression" dxfId="501" priority="113">
      <formula>AND(OR(#REF!="Interest",#REF!="Dividends",#REF!="Rent (Resi)"),T37="")</formula>
    </cfRule>
  </conditionalFormatting>
  <conditionalFormatting sqref="H38 F38 O38:Q38 S38">
    <cfRule type="expression" dxfId="500" priority="106">
      <formula>AND(F38="",$I38&lt;&gt;"")</formula>
    </cfRule>
  </conditionalFormatting>
  <conditionalFormatting sqref="F38 O38:Q38 S38">
    <cfRule type="expression" dxfId="499" priority="107">
      <formula>AND(H38="Overseas",AND(#REF!&lt;&gt;"Interest",#REF!&lt;&gt;"Dividends",#REF!&lt;&gt;"Rent (Resi)"))</formula>
    </cfRule>
    <cfRule type="expression" dxfId="498" priority="108">
      <formula>AND(OR(#REF!="Interest",#REF!="Dividends",#REF!="Rent (Resi)"),F38="")</formula>
    </cfRule>
  </conditionalFormatting>
  <conditionalFormatting sqref="K38">
    <cfRule type="expression" dxfId="497" priority="109">
      <formula>AND(H38="Overseas",#REF!&lt;&gt;"Rent (Resi)")</formula>
    </cfRule>
  </conditionalFormatting>
  <conditionalFormatting sqref="O38:Q38">
    <cfRule type="expression" dxfId="496" priority="105">
      <formula>$D38=TRUE</formula>
    </cfRule>
  </conditionalFormatting>
  <conditionalFormatting sqref="G38">
    <cfRule type="expression" dxfId="495" priority="104">
      <formula>AND(G38="",D38=TRUE)</formula>
    </cfRule>
  </conditionalFormatting>
  <conditionalFormatting sqref="T38">
    <cfRule type="expression" dxfId="494" priority="100">
      <formula>AND(T38="",$I38&lt;&gt;"")</formula>
    </cfRule>
  </conditionalFormatting>
  <conditionalFormatting sqref="T38">
    <cfRule type="expression" dxfId="493" priority="101">
      <formula>AND(V38="Overseas",AND(#REF!&lt;&gt;"Interest",#REF!&lt;&gt;"Dividends",#REF!&lt;&gt;"Rent (Resi)"))</formula>
    </cfRule>
    <cfRule type="expression" dxfId="492" priority="102">
      <formula>AND(OR(#REF!="Interest",#REF!="Dividends",#REF!="Rent (Resi)"),T38="")</formula>
    </cfRule>
  </conditionalFormatting>
  <conditionalFormatting sqref="H39 F39 O39:Q39 S39">
    <cfRule type="expression" dxfId="491" priority="95">
      <formula>AND(F39="",$I39&lt;&gt;"")</formula>
    </cfRule>
  </conditionalFormatting>
  <conditionalFormatting sqref="F39 O39:Q39 S39">
    <cfRule type="expression" dxfId="490" priority="96">
      <formula>AND(H39="Overseas",AND(#REF!&lt;&gt;"Interest",#REF!&lt;&gt;"Dividends",#REF!&lt;&gt;"Rent (Resi)"))</formula>
    </cfRule>
    <cfRule type="expression" dxfId="489" priority="97">
      <formula>AND(OR(#REF!="Interest",#REF!="Dividends",#REF!="Rent (Resi)"),F39="")</formula>
    </cfRule>
  </conditionalFormatting>
  <conditionalFormatting sqref="K39">
    <cfRule type="expression" dxfId="488" priority="98">
      <formula>AND(H39="Overseas",#REF!&lt;&gt;"Rent (Resi)")</formula>
    </cfRule>
  </conditionalFormatting>
  <conditionalFormatting sqref="O39:Q39">
    <cfRule type="expression" dxfId="487" priority="94">
      <formula>$D39=TRUE</formula>
    </cfRule>
  </conditionalFormatting>
  <conditionalFormatting sqref="G39">
    <cfRule type="expression" dxfId="486" priority="93">
      <formula>AND(G39="",D39=TRUE)</formula>
    </cfRule>
  </conditionalFormatting>
  <conditionalFormatting sqref="T39">
    <cfRule type="expression" dxfId="485" priority="89">
      <formula>AND(T39="",$I39&lt;&gt;"")</formula>
    </cfRule>
  </conditionalFormatting>
  <conditionalFormatting sqref="T39">
    <cfRule type="expression" dxfId="484" priority="90">
      <formula>AND(V39="Overseas",AND(#REF!&lt;&gt;"Interest",#REF!&lt;&gt;"Dividends",#REF!&lt;&gt;"Rent (Resi)"))</formula>
    </cfRule>
    <cfRule type="expression" dxfId="483" priority="91">
      <formula>AND(OR(#REF!="Interest",#REF!="Dividends",#REF!="Rent (Resi)"),T39="")</formula>
    </cfRule>
  </conditionalFormatting>
  <conditionalFormatting sqref="H40 F40 O40:Q40 S40">
    <cfRule type="expression" dxfId="482" priority="84">
      <formula>AND(F40="",$I40&lt;&gt;"")</formula>
    </cfRule>
  </conditionalFormatting>
  <conditionalFormatting sqref="F40 O40:Q40 S40">
    <cfRule type="expression" dxfId="481" priority="85">
      <formula>AND(H40="Overseas",AND(#REF!&lt;&gt;"Interest",#REF!&lt;&gt;"Dividends",#REF!&lt;&gt;"Rent (Resi)"))</formula>
    </cfRule>
    <cfRule type="expression" dxfId="480" priority="86">
      <formula>AND(OR(#REF!="Interest",#REF!="Dividends",#REF!="Rent (Resi)"),F40="")</formula>
    </cfRule>
  </conditionalFormatting>
  <conditionalFormatting sqref="K40">
    <cfRule type="expression" dxfId="479" priority="87">
      <formula>AND(H40="Overseas",#REF!&lt;&gt;"Rent (Resi)")</formula>
    </cfRule>
  </conditionalFormatting>
  <conditionalFormatting sqref="O40:Q40">
    <cfRule type="expression" dxfId="478" priority="83">
      <formula>$D40=TRUE</formula>
    </cfRule>
  </conditionalFormatting>
  <conditionalFormatting sqref="G40">
    <cfRule type="expression" dxfId="477" priority="82">
      <formula>AND(G40="",D40=TRUE)</formula>
    </cfRule>
  </conditionalFormatting>
  <conditionalFormatting sqref="T40">
    <cfRule type="expression" dxfId="476" priority="78">
      <formula>AND(T40="",$I40&lt;&gt;"")</formula>
    </cfRule>
  </conditionalFormatting>
  <conditionalFormatting sqref="T40">
    <cfRule type="expression" dxfId="475" priority="79">
      <formula>AND(V40="Overseas",AND(#REF!&lt;&gt;"Interest",#REF!&lt;&gt;"Dividends",#REF!&lt;&gt;"Rent (Resi)"))</formula>
    </cfRule>
    <cfRule type="expression" dxfId="474" priority="80">
      <formula>AND(OR(#REF!="Interest",#REF!="Dividends",#REF!="Rent (Resi)"),T40="")</formula>
    </cfRule>
  </conditionalFormatting>
  <conditionalFormatting sqref="H41 F41 O41:Q41 S41">
    <cfRule type="expression" dxfId="473" priority="73">
      <formula>AND(F41="",$I41&lt;&gt;"")</formula>
    </cfRule>
  </conditionalFormatting>
  <conditionalFormatting sqref="F41 O41:Q41 S41">
    <cfRule type="expression" dxfId="472" priority="74">
      <formula>AND(H41="Overseas",AND(#REF!&lt;&gt;"Interest",#REF!&lt;&gt;"Dividends",#REF!&lt;&gt;"Rent (Resi)"))</formula>
    </cfRule>
    <cfRule type="expression" dxfId="471" priority="75">
      <formula>AND(OR(#REF!="Interest",#REF!="Dividends",#REF!="Rent (Resi)"),F41="")</formula>
    </cfRule>
  </conditionalFormatting>
  <conditionalFormatting sqref="K41">
    <cfRule type="expression" dxfId="470" priority="76">
      <formula>AND(H41="Overseas",#REF!&lt;&gt;"Rent (Resi)")</formula>
    </cfRule>
  </conditionalFormatting>
  <conditionalFormatting sqref="O41:Q41">
    <cfRule type="expression" dxfId="469" priority="72">
      <formula>$D41=TRUE</formula>
    </cfRule>
  </conditionalFormatting>
  <conditionalFormatting sqref="G41">
    <cfRule type="expression" dxfId="468" priority="71">
      <formula>AND(G41="",D41=TRUE)</formula>
    </cfRule>
  </conditionalFormatting>
  <conditionalFormatting sqref="T41">
    <cfRule type="expression" dxfId="467" priority="67">
      <formula>AND(T41="",$I41&lt;&gt;"")</formula>
    </cfRule>
  </conditionalFormatting>
  <conditionalFormatting sqref="T41">
    <cfRule type="expression" dxfId="466" priority="68">
      <formula>AND(V41="Overseas",AND(#REF!&lt;&gt;"Interest",#REF!&lt;&gt;"Dividends",#REF!&lt;&gt;"Rent (Resi)"))</formula>
    </cfRule>
    <cfRule type="expression" dxfId="465" priority="69">
      <formula>AND(OR(#REF!="Interest",#REF!="Dividends",#REF!="Rent (Resi)"),T41="")</formula>
    </cfRule>
  </conditionalFormatting>
  <conditionalFormatting sqref="H42 F42 O42:Q42 S42">
    <cfRule type="expression" dxfId="464" priority="62">
      <formula>AND(F42="",$I42&lt;&gt;"")</formula>
    </cfRule>
  </conditionalFormatting>
  <conditionalFormatting sqref="F42 O42:Q42 S42">
    <cfRule type="expression" dxfId="463" priority="63">
      <formula>AND(H42="Overseas",AND(#REF!&lt;&gt;"Interest",#REF!&lt;&gt;"Dividends",#REF!&lt;&gt;"Rent (Resi)"))</formula>
    </cfRule>
    <cfRule type="expression" dxfId="462" priority="64">
      <formula>AND(OR(#REF!="Interest",#REF!="Dividends",#REF!="Rent (Resi)"),F42="")</formula>
    </cfRule>
  </conditionalFormatting>
  <conditionalFormatting sqref="K42">
    <cfRule type="expression" dxfId="461" priority="65">
      <formula>AND(H42="Overseas",#REF!&lt;&gt;"Rent (Resi)")</formula>
    </cfRule>
  </conditionalFormatting>
  <conditionalFormatting sqref="O42:Q42">
    <cfRule type="expression" dxfId="460" priority="61">
      <formula>$D42=TRUE</formula>
    </cfRule>
  </conditionalFormatting>
  <conditionalFormatting sqref="G42">
    <cfRule type="expression" dxfId="459" priority="60">
      <formula>AND(G42="",D42=TRUE)</formula>
    </cfRule>
  </conditionalFormatting>
  <conditionalFormatting sqref="T42">
    <cfRule type="expression" dxfId="458" priority="56">
      <formula>AND(T42="",$I42&lt;&gt;"")</formula>
    </cfRule>
  </conditionalFormatting>
  <conditionalFormatting sqref="T42">
    <cfRule type="expression" dxfId="457" priority="57">
      <formula>AND(V42="Overseas",AND(#REF!&lt;&gt;"Interest",#REF!&lt;&gt;"Dividends",#REF!&lt;&gt;"Rent (Resi)"))</formula>
    </cfRule>
    <cfRule type="expression" dxfId="456" priority="58">
      <formula>AND(OR(#REF!="Interest",#REF!="Dividends",#REF!="Rent (Resi)"),T42="")</formula>
    </cfRule>
  </conditionalFormatting>
  <conditionalFormatting sqref="H43 F43 O43:Q43 S43">
    <cfRule type="expression" dxfId="455" priority="51">
      <formula>AND(F43="",$I43&lt;&gt;"")</formula>
    </cfRule>
  </conditionalFormatting>
  <conditionalFormatting sqref="F43 O43:Q43 S43">
    <cfRule type="expression" dxfId="454" priority="52">
      <formula>AND(H43="Overseas",AND(#REF!&lt;&gt;"Interest",#REF!&lt;&gt;"Dividends",#REF!&lt;&gt;"Rent (Resi)"))</formula>
    </cfRule>
    <cfRule type="expression" dxfId="453" priority="53">
      <formula>AND(OR(#REF!="Interest",#REF!="Dividends",#REF!="Rent (Resi)"),F43="")</formula>
    </cfRule>
  </conditionalFormatting>
  <conditionalFormatting sqref="K43">
    <cfRule type="expression" dxfId="452" priority="54">
      <formula>AND(H43="Overseas",#REF!&lt;&gt;"Rent (Resi)")</formula>
    </cfRule>
  </conditionalFormatting>
  <conditionalFormatting sqref="O43:Q43">
    <cfRule type="expression" dxfId="451" priority="50">
      <formula>$D43=TRUE</formula>
    </cfRule>
  </conditionalFormatting>
  <conditionalFormatting sqref="G43">
    <cfRule type="expression" dxfId="450" priority="49">
      <formula>AND(G43="",D43=TRUE)</formula>
    </cfRule>
  </conditionalFormatting>
  <conditionalFormatting sqref="T43">
    <cfRule type="expression" dxfId="449" priority="45">
      <formula>AND(T43="",$I43&lt;&gt;"")</formula>
    </cfRule>
  </conditionalFormatting>
  <conditionalFormatting sqref="T43">
    <cfRule type="expression" dxfId="448" priority="46">
      <formula>AND(V43="Overseas",AND(#REF!&lt;&gt;"Interest",#REF!&lt;&gt;"Dividends",#REF!&lt;&gt;"Rent (Resi)"))</formula>
    </cfRule>
    <cfRule type="expression" dxfId="447" priority="47">
      <formula>AND(OR(#REF!="Interest",#REF!="Dividends",#REF!="Rent (Resi)"),T43="")</formula>
    </cfRule>
  </conditionalFormatting>
  <conditionalFormatting sqref="H44 F44 O44:Q44 S44">
    <cfRule type="expression" dxfId="446" priority="40">
      <formula>AND(F44="",$I44&lt;&gt;"")</formula>
    </cfRule>
  </conditionalFormatting>
  <conditionalFormatting sqref="F44 O44:Q44 S44">
    <cfRule type="expression" dxfId="445" priority="41">
      <formula>AND(H44="Overseas",AND(#REF!&lt;&gt;"Interest",#REF!&lt;&gt;"Dividends",#REF!&lt;&gt;"Rent (Resi)"))</formula>
    </cfRule>
    <cfRule type="expression" dxfId="444" priority="42">
      <formula>AND(OR(#REF!="Interest",#REF!="Dividends",#REF!="Rent (Resi)"),F44="")</formula>
    </cfRule>
  </conditionalFormatting>
  <conditionalFormatting sqref="K44">
    <cfRule type="expression" dxfId="443" priority="43">
      <formula>AND(H44="Overseas",#REF!&lt;&gt;"Rent (Resi)")</formula>
    </cfRule>
  </conditionalFormatting>
  <conditionalFormatting sqref="O44:Q44">
    <cfRule type="expression" dxfId="442" priority="39">
      <formula>$D44=TRUE</formula>
    </cfRule>
  </conditionalFormatting>
  <conditionalFormatting sqref="G44">
    <cfRule type="expression" dxfId="441" priority="38">
      <formula>AND(G44="",D44=TRUE)</formula>
    </cfRule>
  </conditionalFormatting>
  <conditionalFormatting sqref="T44">
    <cfRule type="expression" dxfId="440" priority="34">
      <formula>AND(T44="",$I44&lt;&gt;"")</formula>
    </cfRule>
  </conditionalFormatting>
  <conditionalFormatting sqref="T44">
    <cfRule type="expression" dxfId="439" priority="35">
      <formula>AND(V44="Overseas",AND(#REF!&lt;&gt;"Interest",#REF!&lt;&gt;"Dividends",#REF!&lt;&gt;"Rent (Resi)"))</formula>
    </cfRule>
    <cfRule type="expression" dxfId="438" priority="36">
      <formula>AND(OR(#REF!="Interest",#REF!="Dividends",#REF!="Rent (Resi)"),T44="")</formula>
    </cfRule>
  </conditionalFormatting>
  <conditionalFormatting sqref="H45 F45 O45:Q45 S45">
    <cfRule type="expression" dxfId="437" priority="29">
      <formula>AND(F45="",$I45&lt;&gt;"")</formula>
    </cfRule>
  </conditionalFormatting>
  <conditionalFormatting sqref="F45 O45:Q45 S45">
    <cfRule type="expression" dxfId="436" priority="30">
      <formula>AND(H45="Overseas",AND(#REF!&lt;&gt;"Interest",#REF!&lt;&gt;"Dividends",#REF!&lt;&gt;"Rent (Resi)"))</formula>
    </cfRule>
    <cfRule type="expression" dxfId="435" priority="31">
      <formula>AND(OR(#REF!="Interest",#REF!="Dividends",#REF!="Rent (Resi)"),F45="")</formula>
    </cfRule>
  </conditionalFormatting>
  <conditionalFormatting sqref="K45">
    <cfRule type="expression" dxfId="434" priority="32">
      <formula>AND(H45="Overseas",#REF!&lt;&gt;"Rent (Resi)")</formula>
    </cfRule>
  </conditionalFormatting>
  <conditionalFormatting sqref="O45:Q45">
    <cfRule type="expression" dxfId="433" priority="28">
      <formula>$D45=TRUE</formula>
    </cfRule>
  </conditionalFormatting>
  <conditionalFormatting sqref="G45">
    <cfRule type="expression" dxfId="432" priority="27">
      <formula>AND(G45="",D45=TRUE)</formula>
    </cfRule>
  </conditionalFormatting>
  <conditionalFormatting sqref="T45">
    <cfRule type="expression" dxfId="431" priority="23">
      <formula>AND(T45="",$I45&lt;&gt;"")</formula>
    </cfRule>
  </conditionalFormatting>
  <conditionalFormatting sqref="T45">
    <cfRule type="expression" dxfId="430" priority="24">
      <formula>AND(V45="Overseas",AND(#REF!&lt;&gt;"Interest",#REF!&lt;&gt;"Dividends",#REF!&lt;&gt;"Rent (Resi)"))</formula>
    </cfRule>
    <cfRule type="expression" dxfId="429" priority="25">
      <formula>AND(OR(#REF!="Interest",#REF!="Dividends",#REF!="Rent (Resi)"),T45="")</formula>
    </cfRule>
  </conditionalFormatting>
  <conditionalFormatting sqref="H46 F46 O46:Q46 S46">
    <cfRule type="expression" dxfId="428" priority="18">
      <formula>AND(F46="",$I46&lt;&gt;"")</formula>
    </cfRule>
  </conditionalFormatting>
  <conditionalFormatting sqref="F46 O46:Q46 S46">
    <cfRule type="expression" dxfId="427" priority="19">
      <formula>AND(H46="Overseas",AND(#REF!&lt;&gt;"Interest",#REF!&lt;&gt;"Dividends",#REF!&lt;&gt;"Rent (Resi)"))</formula>
    </cfRule>
    <cfRule type="expression" dxfId="426" priority="20">
      <formula>AND(OR(#REF!="Interest",#REF!="Dividends",#REF!="Rent (Resi)"),F46="")</formula>
    </cfRule>
  </conditionalFormatting>
  <conditionalFormatting sqref="K46">
    <cfRule type="expression" dxfId="425" priority="21">
      <formula>AND(H46="Overseas",#REF!&lt;&gt;"Rent (Resi)")</formula>
    </cfRule>
  </conditionalFormatting>
  <conditionalFormatting sqref="O46:Q46">
    <cfRule type="expression" dxfId="424" priority="17">
      <formula>$D46=TRUE</formula>
    </cfRule>
  </conditionalFormatting>
  <conditionalFormatting sqref="G46">
    <cfRule type="expression" dxfId="423" priority="16">
      <formula>AND(G46="",D46=TRUE)</formula>
    </cfRule>
  </conditionalFormatting>
  <conditionalFormatting sqref="T46">
    <cfRule type="expression" dxfId="422" priority="12">
      <formula>AND(T46="",$I46&lt;&gt;"")</formula>
    </cfRule>
  </conditionalFormatting>
  <conditionalFormatting sqref="T46">
    <cfRule type="expression" dxfId="421" priority="13">
      <formula>AND(V46="Overseas",AND(#REF!&lt;&gt;"Interest",#REF!&lt;&gt;"Dividends",#REF!&lt;&gt;"Rent (Resi)"))</formula>
    </cfRule>
    <cfRule type="expression" dxfId="420" priority="14">
      <formula>AND(OR(#REF!="Interest",#REF!="Dividends",#REF!="Rent (Resi)"),T46="")</formula>
    </cfRule>
  </conditionalFormatting>
  <conditionalFormatting sqref="Q5">
    <cfRule type="expression" dxfId="419" priority="8">
      <formula>AND(Q5="",$I4&lt;&gt;"")</formula>
    </cfRule>
  </conditionalFormatting>
  <conditionalFormatting sqref="Q5">
    <cfRule type="expression" dxfId="418" priority="9">
      <formula>AND(S4="Overseas",AND(#REF!&lt;&gt;"Interest",#REF!&lt;&gt;"Dividends",#REF!&lt;&gt;"Rent (Resi)"))</formula>
    </cfRule>
    <cfRule type="expression" dxfId="417" priority="10">
      <formula>AND(OR(#REF!="Interest",#REF!="Dividends",#REF!="Rent (Resi)"),Q5="")</formula>
    </cfRule>
  </conditionalFormatting>
  <conditionalFormatting sqref="H19">
    <cfRule type="expression" dxfId="416" priority="5">
      <formula>AND(H19="",$I19&lt;&gt;"")</formula>
    </cfRule>
  </conditionalFormatting>
  <conditionalFormatting sqref="H20">
    <cfRule type="expression" dxfId="415" priority="4">
      <formula>AND(H20="",$I20&lt;&gt;"")</formula>
    </cfRule>
  </conditionalFormatting>
  <conditionalFormatting sqref="H18">
    <cfRule type="expression" dxfId="414" priority="1">
      <formula>AND(H18="",$I18&lt;&gt;"")</formula>
    </cfRule>
  </conditionalFormatting>
  <dataValidations count="1">
    <dataValidation type="list" allowBlank="1" showInputMessage="1" showErrorMessage="1" sqref="G17:G46" xr:uid="{7ACD8728-C972-4F04-844B-BBA4787D4E5D}">
      <formula1>$O$3:$O$6</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85" id="{D61A3E8B-FF14-4E23-AA46-57AAC2CB2B64}">
            <xm:f>AND(VLOOKUP(H17,'Configurable Items'!$D$4692:$F$4700,3,FALSE),F17="")</xm:f>
            <x14:dxf>
              <fill>
                <patternFill>
                  <bgColor rgb="FFF6C2C2"/>
                </patternFill>
              </fill>
            </x14:dxf>
          </x14:cfRule>
          <xm:sqref>F17 O17:Q46 S17:S46</xm:sqref>
        </x14:conditionalFormatting>
        <x14:conditionalFormatting xmlns:xm="http://schemas.microsoft.com/office/excel/2006/main">
          <x14:cfRule type="expression" priority="378" id="{56B26D0F-95FF-4175-AE2F-44539C2E20FB}">
            <xm:f>AND(VLOOKUP(V17,'Configurable Items'!$D$4692:$F$4700,3,FALSE),T17="")</xm:f>
            <x14:dxf>
              <fill>
                <patternFill>
                  <bgColor rgb="FFFFCCCC"/>
                </patternFill>
              </fill>
            </x14:dxf>
          </x14:cfRule>
          <xm:sqref>T17</xm:sqref>
        </x14:conditionalFormatting>
        <x14:conditionalFormatting xmlns:xm="http://schemas.microsoft.com/office/excel/2006/main">
          <x14:cfRule type="expression" priority="330" id="{F706117A-B611-48FC-9122-EBCA0D2CBCE4}">
            <xm:f>AND(VLOOKUP(H18,'Configurable Items'!$D$4692:$F$4700,3,FALSE),F18="")</xm:f>
            <x14:dxf>
              <fill>
                <patternFill>
                  <bgColor rgb="FFFFCCCC"/>
                </patternFill>
              </fill>
            </x14:dxf>
          </x14:cfRule>
          <xm:sqref>F18</xm:sqref>
        </x14:conditionalFormatting>
        <x14:conditionalFormatting xmlns:xm="http://schemas.microsoft.com/office/excel/2006/main">
          <x14:cfRule type="expression" priority="323" id="{7C57E235-171D-407A-8B75-54B4A27354A7}">
            <xm:f>AND(VLOOKUP(V18,'Configurable Items'!$D$4692:$F$4700,3,FALSE),T18="")</xm:f>
            <x14:dxf>
              <fill>
                <patternFill>
                  <bgColor rgb="FFFFCCCC"/>
                </patternFill>
              </fill>
            </x14:dxf>
          </x14:cfRule>
          <xm:sqref>T18</xm:sqref>
        </x14:conditionalFormatting>
        <x14:conditionalFormatting xmlns:xm="http://schemas.microsoft.com/office/excel/2006/main">
          <x14:cfRule type="expression" priority="319" id="{7246FDC7-F0B5-4F3A-9E4A-209A533293BD}">
            <xm:f>AND(VLOOKUP(H19,'Configurable Items'!$D$4692:$F$4700,3,FALSE),F19="")</xm:f>
            <x14:dxf>
              <fill>
                <patternFill>
                  <bgColor rgb="FFFFCCCC"/>
                </patternFill>
              </fill>
            </x14:dxf>
          </x14:cfRule>
          <xm:sqref>F19</xm:sqref>
        </x14:conditionalFormatting>
        <x14:conditionalFormatting xmlns:xm="http://schemas.microsoft.com/office/excel/2006/main">
          <x14:cfRule type="expression" priority="312" id="{7585069A-58A2-4267-BD52-8EAA5A02D887}">
            <xm:f>AND(VLOOKUP(V19,'Configurable Items'!$D$4692:$F$4700,3,FALSE),T19="")</xm:f>
            <x14:dxf>
              <fill>
                <patternFill>
                  <bgColor rgb="FFFFCCCC"/>
                </patternFill>
              </fill>
            </x14:dxf>
          </x14:cfRule>
          <xm:sqref>T19</xm:sqref>
        </x14:conditionalFormatting>
        <x14:conditionalFormatting xmlns:xm="http://schemas.microsoft.com/office/excel/2006/main">
          <x14:cfRule type="expression" priority="308" id="{8B924B71-D0BB-4205-9E9D-D349C6558EAD}">
            <xm:f>AND(VLOOKUP(H20,'Configurable Items'!$D$4692:$F$4700,3,FALSE),F20="")</xm:f>
            <x14:dxf>
              <fill>
                <patternFill>
                  <bgColor rgb="FFFFCCCC"/>
                </patternFill>
              </fill>
            </x14:dxf>
          </x14:cfRule>
          <xm:sqref>F20</xm:sqref>
        </x14:conditionalFormatting>
        <x14:conditionalFormatting xmlns:xm="http://schemas.microsoft.com/office/excel/2006/main">
          <x14:cfRule type="expression" priority="301" id="{695C342A-D407-49D3-B325-11B4D51B2C44}">
            <xm:f>AND(VLOOKUP(V20,'Configurable Items'!$D$4692:$F$4700,3,FALSE),T20="")</xm:f>
            <x14:dxf>
              <fill>
                <patternFill>
                  <bgColor rgb="FFFFCCCC"/>
                </patternFill>
              </fill>
            </x14:dxf>
          </x14:cfRule>
          <xm:sqref>T20</xm:sqref>
        </x14:conditionalFormatting>
        <x14:conditionalFormatting xmlns:xm="http://schemas.microsoft.com/office/excel/2006/main">
          <x14:cfRule type="expression" priority="297" id="{24286932-E473-49FA-B193-522B60EFD974}">
            <xm:f>AND(VLOOKUP(H21,'Configurable Items'!$D$4692:$F$4700,3,FALSE),F21="")</xm:f>
            <x14:dxf>
              <fill>
                <patternFill>
                  <bgColor rgb="FFFFCCCC"/>
                </patternFill>
              </fill>
            </x14:dxf>
          </x14:cfRule>
          <xm:sqref>F21</xm:sqref>
        </x14:conditionalFormatting>
        <x14:conditionalFormatting xmlns:xm="http://schemas.microsoft.com/office/excel/2006/main">
          <x14:cfRule type="expression" priority="290" id="{FFDDBC9F-2055-4B19-B29C-D91336A5B610}">
            <xm:f>AND(VLOOKUP(V21,'Configurable Items'!$D$4692:$F$4700,3,FALSE),T21="")</xm:f>
            <x14:dxf>
              <fill>
                <patternFill>
                  <bgColor rgb="FFFFCCCC"/>
                </patternFill>
              </fill>
            </x14:dxf>
          </x14:cfRule>
          <xm:sqref>T21</xm:sqref>
        </x14:conditionalFormatting>
        <x14:conditionalFormatting xmlns:xm="http://schemas.microsoft.com/office/excel/2006/main">
          <x14:cfRule type="expression" priority="286" id="{375A85FA-8A03-455F-9DA9-49804C392F6D}">
            <xm:f>AND(VLOOKUP(H22,'Configurable Items'!$D$4692:$F$4700,3,FALSE),F22="")</xm:f>
            <x14:dxf>
              <fill>
                <patternFill>
                  <bgColor rgb="FFFFCCCC"/>
                </patternFill>
              </fill>
            </x14:dxf>
          </x14:cfRule>
          <xm:sqref>F22</xm:sqref>
        </x14:conditionalFormatting>
        <x14:conditionalFormatting xmlns:xm="http://schemas.microsoft.com/office/excel/2006/main">
          <x14:cfRule type="expression" priority="279" id="{F0020395-C726-4EED-97E9-F43966D1F12A}">
            <xm:f>AND(VLOOKUP(V22,'Configurable Items'!$D$4692:$F$4700,3,FALSE),T22="")</xm:f>
            <x14:dxf>
              <fill>
                <patternFill>
                  <bgColor rgb="FFFFCCCC"/>
                </patternFill>
              </fill>
            </x14:dxf>
          </x14:cfRule>
          <xm:sqref>T22</xm:sqref>
        </x14:conditionalFormatting>
        <x14:conditionalFormatting xmlns:xm="http://schemas.microsoft.com/office/excel/2006/main">
          <x14:cfRule type="expression" priority="275" id="{4F3A11E7-1CF1-4D4F-8558-C8F41A2FAD42}">
            <xm:f>AND(VLOOKUP(H23,'Configurable Items'!$D$4692:$F$4700,3,FALSE),F23="")</xm:f>
            <x14:dxf>
              <fill>
                <patternFill>
                  <bgColor rgb="FFFFCCCC"/>
                </patternFill>
              </fill>
            </x14:dxf>
          </x14:cfRule>
          <xm:sqref>F23</xm:sqref>
        </x14:conditionalFormatting>
        <x14:conditionalFormatting xmlns:xm="http://schemas.microsoft.com/office/excel/2006/main">
          <x14:cfRule type="expression" priority="268" id="{8B7175D6-C678-4B89-BEC0-FC4D04466266}">
            <xm:f>AND(VLOOKUP(V23,'Configurable Items'!$D$4692:$F$4700,3,FALSE),T23="")</xm:f>
            <x14:dxf>
              <fill>
                <patternFill>
                  <bgColor rgb="FFFFCCCC"/>
                </patternFill>
              </fill>
            </x14:dxf>
          </x14:cfRule>
          <xm:sqref>T23</xm:sqref>
        </x14:conditionalFormatting>
        <x14:conditionalFormatting xmlns:xm="http://schemas.microsoft.com/office/excel/2006/main">
          <x14:cfRule type="expression" priority="264" id="{6D36B471-C834-4C69-A628-CE2E4D5949E3}">
            <xm:f>AND(VLOOKUP(H24,'Configurable Items'!$D$4692:$F$4700,3,FALSE),F24="")</xm:f>
            <x14:dxf>
              <fill>
                <patternFill>
                  <bgColor rgb="FFFFCCCC"/>
                </patternFill>
              </fill>
            </x14:dxf>
          </x14:cfRule>
          <xm:sqref>F24</xm:sqref>
        </x14:conditionalFormatting>
        <x14:conditionalFormatting xmlns:xm="http://schemas.microsoft.com/office/excel/2006/main">
          <x14:cfRule type="expression" priority="257" id="{F4CAC430-BE70-45E9-9E3C-1EE82FFA768F}">
            <xm:f>AND(VLOOKUP(V24,'Configurable Items'!$D$4692:$F$4700,3,FALSE),T24="")</xm:f>
            <x14:dxf>
              <fill>
                <patternFill>
                  <bgColor rgb="FFFFCCCC"/>
                </patternFill>
              </fill>
            </x14:dxf>
          </x14:cfRule>
          <xm:sqref>T24</xm:sqref>
        </x14:conditionalFormatting>
        <x14:conditionalFormatting xmlns:xm="http://schemas.microsoft.com/office/excel/2006/main">
          <x14:cfRule type="expression" priority="253" id="{82388CDD-8788-4B8D-B8A4-A8B843850246}">
            <xm:f>AND(VLOOKUP(H25,'Configurable Items'!$D$4692:$F$4700,3,FALSE),F25="")</xm:f>
            <x14:dxf>
              <fill>
                <patternFill>
                  <bgColor rgb="FFFFCCCC"/>
                </patternFill>
              </fill>
            </x14:dxf>
          </x14:cfRule>
          <xm:sqref>F25</xm:sqref>
        </x14:conditionalFormatting>
        <x14:conditionalFormatting xmlns:xm="http://schemas.microsoft.com/office/excel/2006/main">
          <x14:cfRule type="expression" priority="246" id="{CE5D05FA-1D93-4FD7-BB50-6A0E660C2B21}">
            <xm:f>AND(VLOOKUP(V25,'Configurable Items'!$D$4692:$F$4700,3,FALSE),T25="")</xm:f>
            <x14:dxf>
              <fill>
                <patternFill>
                  <bgColor rgb="FFFFCCCC"/>
                </patternFill>
              </fill>
            </x14:dxf>
          </x14:cfRule>
          <xm:sqref>T25</xm:sqref>
        </x14:conditionalFormatting>
        <x14:conditionalFormatting xmlns:xm="http://schemas.microsoft.com/office/excel/2006/main">
          <x14:cfRule type="expression" priority="242" id="{C62988DE-E474-483C-8F93-820C2E878BC5}">
            <xm:f>AND(VLOOKUP(H26,'Configurable Items'!$D$4692:$F$4700,3,FALSE),F26="")</xm:f>
            <x14:dxf>
              <fill>
                <patternFill>
                  <bgColor rgb="FFFFCCCC"/>
                </patternFill>
              </fill>
            </x14:dxf>
          </x14:cfRule>
          <xm:sqref>F26</xm:sqref>
        </x14:conditionalFormatting>
        <x14:conditionalFormatting xmlns:xm="http://schemas.microsoft.com/office/excel/2006/main">
          <x14:cfRule type="expression" priority="235" id="{0AF79A68-7791-4115-B04C-15D93F551654}">
            <xm:f>AND(VLOOKUP(V26,'Configurable Items'!$D$4692:$F$4700,3,FALSE),T26="")</xm:f>
            <x14:dxf>
              <fill>
                <patternFill>
                  <bgColor rgb="FFFFCCCC"/>
                </patternFill>
              </fill>
            </x14:dxf>
          </x14:cfRule>
          <xm:sqref>T26</xm:sqref>
        </x14:conditionalFormatting>
        <x14:conditionalFormatting xmlns:xm="http://schemas.microsoft.com/office/excel/2006/main">
          <x14:cfRule type="expression" priority="231" id="{7AFCB345-D955-4848-A745-3A1A14614288}">
            <xm:f>AND(VLOOKUP(H27,'Configurable Items'!$D$4692:$F$4700,3,FALSE),F27="")</xm:f>
            <x14:dxf>
              <fill>
                <patternFill>
                  <bgColor rgb="FFFFCCCC"/>
                </patternFill>
              </fill>
            </x14:dxf>
          </x14:cfRule>
          <xm:sqref>F27</xm:sqref>
        </x14:conditionalFormatting>
        <x14:conditionalFormatting xmlns:xm="http://schemas.microsoft.com/office/excel/2006/main">
          <x14:cfRule type="expression" priority="224" id="{CF162E58-6658-483E-AB0C-6647CE34B159}">
            <xm:f>AND(VLOOKUP(V27,'Configurable Items'!$D$4692:$F$4700,3,FALSE),T27="")</xm:f>
            <x14:dxf>
              <fill>
                <patternFill>
                  <bgColor rgb="FFFFCCCC"/>
                </patternFill>
              </fill>
            </x14:dxf>
          </x14:cfRule>
          <xm:sqref>T27</xm:sqref>
        </x14:conditionalFormatting>
        <x14:conditionalFormatting xmlns:xm="http://schemas.microsoft.com/office/excel/2006/main">
          <x14:cfRule type="expression" priority="220" id="{821D6087-105E-4FAF-8323-091EAF747650}">
            <xm:f>AND(VLOOKUP(H28,'Configurable Items'!$D$4692:$F$4700,3,FALSE),F28="")</xm:f>
            <x14:dxf>
              <fill>
                <patternFill>
                  <bgColor rgb="FFFFCCCC"/>
                </patternFill>
              </fill>
            </x14:dxf>
          </x14:cfRule>
          <xm:sqref>F28</xm:sqref>
        </x14:conditionalFormatting>
        <x14:conditionalFormatting xmlns:xm="http://schemas.microsoft.com/office/excel/2006/main">
          <x14:cfRule type="expression" priority="213" id="{4FEB87D1-8EE7-4956-BCDF-E0140E465254}">
            <xm:f>AND(VLOOKUP(V28,'Configurable Items'!$D$4692:$F$4700,3,FALSE),T28="")</xm:f>
            <x14:dxf>
              <fill>
                <patternFill>
                  <bgColor rgb="FFFFCCCC"/>
                </patternFill>
              </fill>
            </x14:dxf>
          </x14:cfRule>
          <xm:sqref>T28</xm:sqref>
        </x14:conditionalFormatting>
        <x14:conditionalFormatting xmlns:xm="http://schemas.microsoft.com/office/excel/2006/main">
          <x14:cfRule type="expression" priority="209" id="{62974F4D-DD31-40BA-831B-7D19AFD47C54}">
            <xm:f>AND(VLOOKUP(H29,'Configurable Items'!$D$4692:$F$4700,3,FALSE),F29="")</xm:f>
            <x14:dxf>
              <fill>
                <patternFill>
                  <bgColor rgb="FFFFCCCC"/>
                </patternFill>
              </fill>
            </x14:dxf>
          </x14:cfRule>
          <xm:sqref>F29</xm:sqref>
        </x14:conditionalFormatting>
        <x14:conditionalFormatting xmlns:xm="http://schemas.microsoft.com/office/excel/2006/main">
          <x14:cfRule type="expression" priority="202" id="{82CD1927-0D70-43C8-AB5D-618D4336DCB9}">
            <xm:f>AND(VLOOKUP(V29,'Configurable Items'!$D$4692:$F$4700,3,FALSE),T29="")</xm:f>
            <x14:dxf>
              <fill>
                <patternFill>
                  <bgColor rgb="FFFFCCCC"/>
                </patternFill>
              </fill>
            </x14:dxf>
          </x14:cfRule>
          <xm:sqref>T29</xm:sqref>
        </x14:conditionalFormatting>
        <x14:conditionalFormatting xmlns:xm="http://schemas.microsoft.com/office/excel/2006/main">
          <x14:cfRule type="expression" priority="198" id="{9175F500-04FF-4B5E-97E4-80F15FAC3367}">
            <xm:f>AND(VLOOKUP(H30,'Configurable Items'!$D$4692:$F$4700,3,FALSE),F30="")</xm:f>
            <x14:dxf>
              <fill>
                <patternFill>
                  <bgColor rgb="FFFFCCCC"/>
                </patternFill>
              </fill>
            </x14:dxf>
          </x14:cfRule>
          <xm:sqref>F30</xm:sqref>
        </x14:conditionalFormatting>
        <x14:conditionalFormatting xmlns:xm="http://schemas.microsoft.com/office/excel/2006/main">
          <x14:cfRule type="expression" priority="191" id="{2ED3F593-5322-4DE0-8BE5-05E78784447C}">
            <xm:f>AND(VLOOKUP(V30,'Configurable Items'!$D$4692:$F$4700,3,FALSE),T30="")</xm:f>
            <x14:dxf>
              <fill>
                <patternFill>
                  <bgColor rgb="FFFFCCCC"/>
                </patternFill>
              </fill>
            </x14:dxf>
          </x14:cfRule>
          <xm:sqref>T30</xm:sqref>
        </x14:conditionalFormatting>
        <x14:conditionalFormatting xmlns:xm="http://schemas.microsoft.com/office/excel/2006/main">
          <x14:cfRule type="expression" priority="187" id="{C94FA625-375F-4E98-9388-3C5C464CACB6}">
            <xm:f>AND(VLOOKUP(H31,'Configurable Items'!$D$4692:$F$4700,3,FALSE),F31="")</xm:f>
            <x14:dxf>
              <fill>
                <patternFill>
                  <bgColor rgb="FFFFCCCC"/>
                </patternFill>
              </fill>
            </x14:dxf>
          </x14:cfRule>
          <xm:sqref>F31</xm:sqref>
        </x14:conditionalFormatting>
        <x14:conditionalFormatting xmlns:xm="http://schemas.microsoft.com/office/excel/2006/main">
          <x14:cfRule type="expression" priority="180" id="{D724CD6C-5C38-4D01-8121-DBB66EA74828}">
            <xm:f>AND(VLOOKUP(V31,'Configurable Items'!$D$4692:$F$4700,3,FALSE),T31="")</xm:f>
            <x14:dxf>
              <fill>
                <patternFill>
                  <bgColor rgb="FFFFCCCC"/>
                </patternFill>
              </fill>
            </x14:dxf>
          </x14:cfRule>
          <xm:sqref>T31</xm:sqref>
        </x14:conditionalFormatting>
        <x14:conditionalFormatting xmlns:xm="http://schemas.microsoft.com/office/excel/2006/main">
          <x14:cfRule type="expression" priority="176" id="{C436FEE8-A8B5-4076-98F3-E7647260CD22}">
            <xm:f>AND(VLOOKUP(H32,'Configurable Items'!$D$4692:$F$4700,3,FALSE),F32="")</xm:f>
            <x14:dxf>
              <fill>
                <patternFill>
                  <bgColor rgb="FFFFCCCC"/>
                </patternFill>
              </fill>
            </x14:dxf>
          </x14:cfRule>
          <xm:sqref>F32</xm:sqref>
        </x14:conditionalFormatting>
        <x14:conditionalFormatting xmlns:xm="http://schemas.microsoft.com/office/excel/2006/main">
          <x14:cfRule type="expression" priority="169" id="{BD0092BE-39A3-422E-910D-615DB27E0DD5}">
            <xm:f>AND(VLOOKUP(V32,'Configurable Items'!$D$4692:$F$4700,3,FALSE),T32="")</xm:f>
            <x14:dxf>
              <fill>
                <patternFill>
                  <bgColor rgb="FFFFCCCC"/>
                </patternFill>
              </fill>
            </x14:dxf>
          </x14:cfRule>
          <xm:sqref>T32</xm:sqref>
        </x14:conditionalFormatting>
        <x14:conditionalFormatting xmlns:xm="http://schemas.microsoft.com/office/excel/2006/main">
          <x14:cfRule type="expression" priority="165" id="{A36611BC-266F-4BE4-84CB-CEB17CA154DD}">
            <xm:f>AND(VLOOKUP(H33,'Configurable Items'!$D$4692:$F$4700,3,FALSE),F33="")</xm:f>
            <x14:dxf>
              <fill>
                <patternFill>
                  <bgColor rgb="FFFFCCCC"/>
                </patternFill>
              </fill>
            </x14:dxf>
          </x14:cfRule>
          <xm:sqref>F33</xm:sqref>
        </x14:conditionalFormatting>
        <x14:conditionalFormatting xmlns:xm="http://schemas.microsoft.com/office/excel/2006/main">
          <x14:cfRule type="expression" priority="158" id="{A94D4CB2-6FD6-43F9-A833-37C0FB606986}">
            <xm:f>AND(VLOOKUP(V33,'Configurable Items'!$D$4692:$F$4700,3,FALSE),T33="")</xm:f>
            <x14:dxf>
              <fill>
                <patternFill>
                  <bgColor rgb="FFFFCCCC"/>
                </patternFill>
              </fill>
            </x14:dxf>
          </x14:cfRule>
          <xm:sqref>T33</xm:sqref>
        </x14:conditionalFormatting>
        <x14:conditionalFormatting xmlns:xm="http://schemas.microsoft.com/office/excel/2006/main">
          <x14:cfRule type="expression" priority="154" id="{4A1518AC-C439-4E59-86B7-2C9E30148549}">
            <xm:f>AND(VLOOKUP(H34,'Configurable Items'!$D$4692:$F$4700,3,FALSE),F34="")</xm:f>
            <x14:dxf>
              <fill>
                <patternFill>
                  <bgColor rgb="FFFFCCCC"/>
                </patternFill>
              </fill>
            </x14:dxf>
          </x14:cfRule>
          <xm:sqref>F34</xm:sqref>
        </x14:conditionalFormatting>
        <x14:conditionalFormatting xmlns:xm="http://schemas.microsoft.com/office/excel/2006/main">
          <x14:cfRule type="expression" priority="147" id="{FA557631-2BE2-4F64-940B-5916E81E481C}">
            <xm:f>AND(VLOOKUP(V34,'Configurable Items'!$D$4692:$F$4700,3,FALSE),T34="")</xm:f>
            <x14:dxf>
              <fill>
                <patternFill>
                  <bgColor rgb="FFFFCCCC"/>
                </patternFill>
              </fill>
            </x14:dxf>
          </x14:cfRule>
          <xm:sqref>T34</xm:sqref>
        </x14:conditionalFormatting>
        <x14:conditionalFormatting xmlns:xm="http://schemas.microsoft.com/office/excel/2006/main">
          <x14:cfRule type="expression" priority="143" id="{93DB67B0-B79C-4B61-8949-06DA582CF8C4}">
            <xm:f>AND(VLOOKUP(H35,'Configurable Items'!$D$4692:$F$4700,3,FALSE),F35="")</xm:f>
            <x14:dxf>
              <fill>
                <patternFill>
                  <bgColor rgb="FFFFCCCC"/>
                </patternFill>
              </fill>
            </x14:dxf>
          </x14:cfRule>
          <xm:sqref>F35</xm:sqref>
        </x14:conditionalFormatting>
        <x14:conditionalFormatting xmlns:xm="http://schemas.microsoft.com/office/excel/2006/main">
          <x14:cfRule type="expression" priority="136" id="{289B5716-2DC2-4DB5-B423-0323E0271F28}">
            <xm:f>AND(VLOOKUP(V35,'Configurable Items'!$D$4692:$F$4700,3,FALSE),T35="")</xm:f>
            <x14:dxf>
              <fill>
                <patternFill>
                  <bgColor rgb="FFFFCCCC"/>
                </patternFill>
              </fill>
            </x14:dxf>
          </x14:cfRule>
          <xm:sqref>T35</xm:sqref>
        </x14:conditionalFormatting>
        <x14:conditionalFormatting xmlns:xm="http://schemas.microsoft.com/office/excel/2006/main">
          <x14:cfRule type="expression" priority="132" id="{65F53867-686C-476D-93DF-1D5DAEE3AEEE}">
            <xm:f>AND(VLOOKUP(H36,'Configurable Items'!$D$4692:$F$4700,3,FALSE),F36="")</xm:f>
            <x14:dxf>
              <fill>
                <patternFill>
                  <bgColor rgb="FFFFCCCC"/>
                </patternFill>
              </fill>
            </x14:dxf>
          </x14:cfRule>
          <xm:sqref>F36</xm:sqref>
        </x14:conditionalFormatting>
        <x14:conditionalFormatting xmlns:xm="http://schemas.microsoft.com/office/excel/2006/main">
          <x14:cfRule type="expression" priority="125" id="{B3F4F082-F61F-4E4B-A210-647F98099452}">
            <xm:f>AND(VLOOKUP(V36,'Configurable Items'!$D$4692:$F$4700,3,FALSE),T36="")</xm:f>
            <x14:dxf>
              <fill>
                <patternFill>
                  <bgColor rgb="FFFFCCCC"/>
                </patternFill>
              </fill>
            </x14:dxf>
          </x14:cfRule>
          <xm:sqref>T36</xm:sqref>
        </x14:conditionalFormatting>
        <x14:conditionalFormatting xmlns:xm="http://schemas.microsoft.com/office/excel/2006/main">
          <x14:cfRule type="expression" priority="121" id="{9D6374AE-8CE0-415B-87FC-8AE1D58BD2BF}">
            <xm:f>AND(VLOOKUP(H37,'Configurable Items'!$D$4692:$F$4700,3,FALSE),F37="")</xm:f>
            <x14:dxf>
              <fill>
                <patternFill>
                  <bgColor rgb="FFFFCCCC"/>
                </patternFill>
              </fill>
            </x14:dxf>
          </x14:cfRule>
          <xm:sqref>F37</xm:sqref>
        </x14:conditionalFormatting>
        <x14:conditionalFormatting xmlns:xm="http://schemas.microsoft.com/office/excel/2006/main">
          <x14:cfRule type="expression" priority="114" id="{0334B745-3E2D-4B38-908C-392754E2EA2B}">
            <xm:f>AND(VLOOKUP(V37,'Configurable Items'!$D$4692:$F$4700,3,FALSE),T37="")</xm:f>
            <x14:dxf>
              <fill>
                <patternFill>
                  <bgColor rgb="FFFFCCCC"/>
                </patternFill>
              </fill>
            </x14:dxf>
          </x14:cfRule>
          <xm:sqref>T37</xm:sqref>
        </x14:conditionalFormatting>
        <x14:conditionalFormatting xmlns:xm="http://schemas.microsoft.com/office/excel/2006/main">
          <x14:cfRule type="expression" priority="110" id="{82C09A88-3974-4473-88DD-93A68D137134}">
            <xm:f>AND(VLOOKUP(H38,'Configurable Items'!$D$4692:$F$4700,3,FALSE),F38="")</xm:f>
            <x14:dxf>
              <fill>
                <patternFill>
                  <bgColor rgb="FFFFCCCC"/>
                </patternFill>
              </fill>
            </x14:dxf>
          </x14:cfRule>
          <xm:sqref>F38</xm:sqref>
        </x14:conditionalFormatting>
        <x14:conditionalFormatting xmlns:xm="http://schemas.microsoft.com/office/excel/2006/main">
          <x14:cfRule type="expression" priority="103" id="{29C16914-EC79-42C8-90A9-7CA9AA680C79}">
            <xm:f>AND(VLOOKUP(V38,'Configurable Items'!$D$4692:$F$4700,3,FALSE),T38="")</xm:f>
            <x14:dxf>
              <fill>
                <patternFill>
                  <bgColor rgb="FFFFCCCC"/>
                </patternFill>
              </fill>
            </x14:dxf>
          </x14:cfRule>
          <xm:sqref>T38</xm:sqref>
        </x14:conditionalFormatting>
        <x14:conditionalFormatting xmlns:xm="http://schemas.microsoft.com/office/excel/2006/main">
          <x14:cfRule type="expression" priority="99" id="{6A6D314D-8499-46B8-9385-801EB2624906}">
            <xm:f>AND(VLOOKUP(H39,'Configurable Items'!$D$4692:$F$4700,3,FALSE),F39="")</xm:f>
            <x14:dxf>
              <fill>
                <patternFill>
                  <bgColor rgb="FFFFCCCC"/>
                </patternFill>
              </fill>
            </x14:dxf>
          </x14:cfRule>
          <xm:sqref>F39</xm:sqref>
        </x14:conditionalFormatting>
        <x14:conditionalFormatting xmlns:xm="http://schemas.microsoft.com/office/excel/2006/main">
          <x14:cfRule type="expression" priority="92" id="{39D9163B-DE79-4D2A-8790-A9B3A6EF1CA8}">
            <xm:f>AND(VLOOKUP(V39,'Configurable Items'!$D$4692:$F$4700,3,FALSE),T39="")</xm:f>
            <x14:dxf>
              <fill>
                <patternFill>
                  <bgColor rgb="FFFFCCCC"/>
                </patternFill>
              </fill>
            </x14:dxf>
          </x14:cfRule>
          <xm:sqref>T39</xm:sqref>
        </x14:conditionalFormatting>
        <x14:conditionalFormatting xmlns:xm="http://schemas.microsoft.com/office/excel/2006/main">
          <x14:cfRule type="expression" priority="88" id="{3B7980DE-CB4D-4DAA-9FED-05B992A7687C}">
            <xm:f>AND(VLOOKUP(H40,'Configurable Items'!$D$4692:$F$4700,3,FALSE),F40="")</xm:f>
            <x14:dxf>
              <fill>
                <patternFill>
                  <bgColor rgb="FFFFCCCC"/>
                </patternFill>
              </fill>
            </x14:dxf>
          </x14:cfRule>
          <xm:sqref>F40</xm:sqref>
        </x14:conditionalFormatting>
        <x14:conditionalFormatting xmlns:xm="http://schemas.microsoft.com/office/excel/2006/main">
          <x14:cfRule type="expression" priority="81" id="{4F924FBE-EB40-414E-A269-4BB7E0529008}">
            <xm:f>AND(VLOOKUP(V40,'Configurable Items'!$D$4692:$F$4700,3,FALSE),T40="")</xm:f>
            <x14:dxf>
              <fill>
                <patternFill>
                  <bgColor rgb="FFFFCCCC"/>
                </patternFill>
              </fill>
            </x14:dxf>
          </x14:cfRule>
          <xm:sqref>T40</xm:sqref>
        </x14:conditionalFormatting>
        <x14:conditionalFormatting xmlns:xm="http://schemas.microsoft.com/office/excel/2006/main">
          <x14:cfRule type="expression" priority="77" id="{449D2D39-9378-4C88-8B18-CE7215831F96}">
            <xm:f>AND(VLOOKUP(H41,'Configurable Items'!$D$4692:$F$4700,3,FALSE),F41="")</xm:f>
            <x14:dxf>
              <fill>
                <patternFill>
                  <bgColor rgb="FFFFCCCC"/>
                </patternFill>
              </fill>
            </x14:dxf>
          </x14:cfRule>
          <xm:sqref>F41</xm:sqref>
        </x14:conditionalFormatting>
        <x14:conditionalFormatting xmlns:xm="http://schemas.microsoft.com/office/excel/2006/main">
          <x14:cfRule type="expression" priority="70" id="{461C46BB-008C-493D-B237-396E6F726F6A}">
            <xm:f>AND(VLOOKUP(V41,'Configurable Items'!$D$4692:$F$4700,3,FALSE),T41="")</xm:f>
            <x14:dxf>
              <fill>
                <patternFill>
                  <bgColor rgb="FFFFCCCC"/>
                </patternFill>
              </fill>
            </x14:dxf>
          </x14:cfRule>
          <xm:sqref>T41</xm:sqref>
        </x14:conditionalFormatting>
        <x14:conditionalFormatting xmlns:xm="http://schemas.microsoft.com/office/excel/2006/main">
          <x14:cfRule type="expression" priority="66" id="{9EBDF667-0265-4A97-8024-420480CCBEF7}">
            <xm:f>AND(VLOOKUP(H42,'Configurable Items'!$D$4692:$F$4700,3,FALSE),F42="")</xm:f>
            <x14:dxf>
              <fill>
                <patternFill>
                  <bgColor rgb="FFFFCCCC"/>
                </patternFill>
              </fill>
            </x14:dxf>
          </x14:cfRule>
          <xm:sqref>F42</xm:sqref>
        </x14:conditionalFormatting>
        <x14:conditionalFormatting xmlns:xm="http://schemas.microsoft.com/office/excel/2006/main">
          <x14:cfRule type="expression" priority="59" id="{7E6B60E8-8E41-469C-8CA0-976A4DAC6767}">
            <xm:f>AND(VLOOKUP(V42,'Configurable Items'!$D$4692:$F$4700,3,FALSE),T42="")</xm:f>
            <x14:dxf>
              <fill>
                <patternFill>
                  <bgColor rgb="FFFFCCCC"/>
                </patternFill>
              </fill>
            </x14:dxf>
          </x14:cfRule>
          <xm:sqref>T42</xm:sqref>
        </x14:conditionalFormatting>
        <x14:conditionalFormatting xmlns:xm="http://schemas.microsoft.com/office/excel/2006/main">
          <x14:cfRule type="expression" priority="55" id="{F386D81A-1574-4B6C-8D1B-36554A5C59FE}">
            <xm:f>AND(VLOOKUP(H43,'Configurable Items'!$D$4692:$F$4700,3,FALSE),F43="")</xm:f>
            <x14:dxf>
              <fill>
                <patternFill>
                  <bgColor rgb="FFFFCCCC"/>
                </patternFill>
              </fill>
            </x14:dxf>
          </x14:cfRule>
          <xm:sqref>F43</xm:sqref>
        </x14:conditionalFormatting>
        <x14:conditionalFormatting xmlns:xm="http://schemas.microsoft.com/office/excel/2006/main">
          <x14:cfRule type="expression" priority="48" id="{7EA9ED96-65DA-4B1D-9C05-56C0E5CB8C77}">
            <xm:f>AND(VLOOKUP(V43,'Configurable Items'!$D$4692:$F$4700,3,FALSE),T43="")</xm:f>
            <x14:dxf>
              <fill>
                <patternFill>
                  <bgColor rgb="FFFFCCCC"/>
                </patternFill>
              </fill>
            </x14:dxf>
          </x14:cfRule>
          <xm:sqref>T43</xm:sqref>
        </x14:conditionalFormatting>
        <x14:conditionalFormatting xmlns:xm="http://schemas.microsoft.com/office/excel/2006/main">
          <x14:cfRule type="expression" priority="44" id="{493BF4DD-BBD0-495F-AB98-D2B345BF76CC}">
            <xm:f>AND(VLOOKUP(H44,'Configurable Items'!$D$4692:$F$4700,3,FALSE),F44="")</xm:f>
            <x14:dxf>
              <fill>
                <patternFill>
                  <bgColor rgb="FFFFCCCC"/>
                </patternFill>
              </fill>
            </x14:dxf>
          </x14:cfRule>
          <xm:sqref>F44</xm:sqref>
        </x14:conditionalFormatting>
        <x14:conditionalFormatting xmlns:xm="http://schemas.microsoft.com/office/excel/2006/main">
          <x14:cfRule type="expression" priority="37" id="{8841E634-8B10-4298-9715-841B9B10288A}">
            <xm:f>AND(VLOOKUP(V44,'Configurable Items'!$D$4692:$F$4700,3,FALSE),T44="")</xm:f>
            <x14:dxf>
              <fill>
                <patternFill>
                  <bgColor rgb="FFFFCCCC"/>
                </patternFill>
              </fill>
            </x14:dxf>
          </x14:cfRule>
          <xm:sqref>T44</xm:sqref>
        </x14:conditionalFormatting>
        <x14:conditionalFormatting xmlns:xm="http://schemas.microsoft.com/office/excel/2006/main">
          <x14:cfRule type="expression" priority="33" id="{BA17642A-B155-4526-80F8-88014D3E25C2}">
            <xm:f>AND(VLOOKUP(H45,'Configurable Items'!$D$4692:$F$4700,3,FALSE),F45="")</xm:f>
            <x14:dxf>
              <fill>
                <patternFill>
                  <bgColor rgb="FFFFCCCC"/>
                </patternFill>
              </fill>
            </x14:dxf>
          </x14:cfRule>
          <xm:sqref>F45</xm:sqref>
        </x14:conditionalFormatting>
        <x14:conditionalFormatting xmlns:xm="http://schemas.microsoft.com/office/excel/2006/main">
          <x14:cfRule type="expression" priority="26" id="{3730D0B8-7C82-4F21-8675-B0C3D0F34E58}">
            <xm:f>AND(VLOOKUP(V45,'Configurable Items'!$D$4692:$F$4700,3,FALSE),T45="")</xm:f>
            <x14:dxf>
              <fill>
                <patternFill>
                  <bgColor rgb="FFFFCCCC"/>
                </patternFill>
              </fill>
            </x14:dxf>
          </x14:cfRule>
          <xm:sqref>T45</xm:sqref>
        </x14:conditionalFormatting>
        <x14:conditionalFormatting xmlns:xm="http://schemas.microsoft.com/office/excel/2006/main">
          <x14:cfRule type="expression" priority="22" id="{9307B2C1-413E-4DA8-8637-625F63B161C7}">
            <xm:f>AND(VLOOKUP(H46,'Configurable Items'!$D$4692:$F$4700,3,FALSE),F46="")</xm:f>
            <x14:dxf>
              <fill>
                <patternFill>
                  <bgColor rgb="FFFFCCCC"/>
                </patternFill>
              </fill>
            </x14:dxf>
          </x14:cfRule>
          <xm:sqref>F46</xm:sqref>
        </x14:conditionalFormatting>
        <x14:conditionalFormatting xmlns:xm="http://schemas.microsoft.com/office/excel/2006/main">
          <x14:cfRule type="expression" priority="15" id="{C77DC4C4-3040-4F67-A14C-38AFBD31CABD}">
            <xm:f>AND(VLOOKUP(V46,'Configurable Items'!$D$4692:$F$4700,3,FALSE),T46="")</xm:f>
            <x14:dxf>
              <fill>
                <patternFill>
                  <bgColor rgb="FFFFCCCC"/>
                </patternFill>
              </fill>
            </x14:dxf>
          </x14:cfRule>
          <xm:sqref>T46</xm:sqref>
        </x14:conditionalFormatting>
        <x14:conditionalFormatting xmlns:xm="http://schemas.microsoft.com/office/excel/2006/main">
          <x14:cfRule type="expression" priority="11" id="{7AA32A5F-79C9-465C-AF9B-72661D0B23C4}">
            <xm:f>AND(VLOOKUP(S4,'Configurable Items'!$D$4692:$F$4700,3,FALSE),Q5="")</xm:f>
            <x14:dxf>
              <fill>
                <patternFill>
                  <bgColor rgb="FFFFCCCC"/>
                </patternFill>
              </fill>
            </x14:dxf>
          </x14:cfRule>
          <xm:sqref>Q5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5C074-0145-4821-9370-D36D78331803}">
  <sheetPr codeName="Sheet21"/>
  <dimension ref="A1:AP165"/>
  <sheetViews>
    <sheetView showGridLines="0" showRowColHeaders="0" zoomScaleNormal="100" workbookViewId="0">
      <selection activeCell="E13" sqref="E13"/>
    </sheetView>
  </sheetViews>
  <sheetFormatPr baseColWidth="10" defaultColWidth="9" defaultRowHeight="15"/>
  <cols>
    <col min="1" max="3" width="0.83203125" style="2" customWidth="1"/>
    <col min="4" max="4" width="31.1640625" style="2" customWidth="1"/>
    <col min="5" max="5" width="18.1640625" style="2" customWidth="1"/>
    <col min="6" max="6" width="14.6640625" style="2" customWidth="1"/>
    <col min="7" max="7" width="1.33203125" style="2" customWidth="1"/>
    <col min="8" max="8" width="0.83203125" style="2" customWidth="1"/>
    <col min="9" max="16384" width="9" style="2"/>
  </cols>
  <sheetData>
    <row r="1" spans="1:10" ht="5.25" customHeight="1">
      <c r="A1" s="3">
        <f>E27</f>
        <v>0</v>
      </c>
      <c r="B1" s="1"/>
    </row>
    <row r="2" spans="1:10" ht="5.25" customHeight="1">
      <c r="B2" s="730"/>
      <c r="C2" s="731"/>
      <c r="D2" s="731"/>
      <c r="E2" s="731"/>
      <c r="F2" s="731"/>
      <c r="G2" s="731"/>
      <c r="H2" s="732"/>
    </row>
    <row r="3" spans="1:10" ht="8.25" customHeight="1">
      <c r="B3" s="733"/>
      <c r="C3" s="711"/>
      <c r="D3" s="743"/>
      <c r="E3" s="743"/>
      <c r="F3" s="743"/>
      <c r="G3" s="708"/>
      <c r="H3" s="736"/>
    </row>
    <row r="4" spans="1:10" ht="24" customHeight="1">
      <c r="B4" s="733"/>
      <c r="C4" s="742"/>
      <c r="D4" s="7" t="e">
        <f>'Internal Ref'!R252</f>
        <v>#N/A</v>
      </c>
      <c r="G4" s="714"/>
      <c r="H4" s="736"/>
      <c r="J4" s="23"/>
    </row>
    <row r="5" spans="1:10" ht="17.25" customHeight="1">
      <c r="B5" s="733"/>
      <c r="C5" s="742"/>
      <c r="D5" s="724" t="s">
        <v>13</v>
      </c>
      <c r="E5" s="724" t="s">
        <v>14</v>
      </c>
      <c r="F5" s="724" t="s">
        <v>15</v>
      </c>
      <c r="G5" s="714"/>
      <c r="H5" s="736"/>
    </row>
    <row r="6" spans="1:10" ht="17.25" hidden="1" customHeight="1">
      <c r="B6" s="733"/>
      <c r="C6" s="742"/>
      <c r="D6" s="724"/>
      <c r="E6" s="724"/>
      <c r="F6" s="1290" t="s">
        <v>16</v>
      </c>
      <c r="G6" s="714"/>
      <c r="H6" s="736"/>
    </row>
    <row r="7" spans="1:10" ht="17.25" hidden="1" customHeight="1">
      <c r="B7" s="733"/>
      <c r="C7" s="742"/>
      <c r="D7" s="724"/>
      <c r="E7" s="724"/>
      <c r="F7" s="1290" t="s">
        <v>17</v>
      </c>
      <c r="G7" s="714"/>
      <c r="H7" s="736"/>
    </row>
    <row r="8" spans="1:10" ht="17.25" hidden="1" customHeight="1">
      <c r="B8" s="733"/>
      <c r="C8" s="742"/>
      <c r="D8" s="724"/>
      <c r="E8" s="724"/>
      <c r="F8" s="1290" t="s">
        <v>3</v>
      </c>
      <c r="G8" s="714"/>
      <c r="H8" s="736"/>
    </row>
    <row r="9" spans="1:10" ht="17.25" hidden="1" customHeight="1">
      <c r="B9" s="733"/>
      <c r="C9" s="742"/>
      <c r="D9" s="724"/>
      <c r="E9" s="724"/>
      <c r="F9" s="1290" t="s">
        <v>18</v>
      </c>
      <c r="G9" s="714"/>
      <c r="H9" s="736"/>
    </row>
    <row r="10" spans="1:10" ht="17.25" hidden="1" customHeight="1">
      <c r="B10" s="733"/>
      <c r="C10" s="742"/>
      <c r="D10" s="724"/>
      <c r="E10" s="724"/>
      <c r="F10" s="1290" t="s">
        <v>2</v>
      </c>
      <c r="G10" s="714"/>
      <c r="H10" s="736"/>
    </row>
    <row r="11" spans="1:10" ht="17.25" hidden="1" customHeight="1">
      <c r="B11" s="733"/>
      <c r="C11" s="742"/>
      <c r="D11" s="724"/>
      <c r="E11" s="724"/>
      <c r="F11" s="1290" t="s">
        <v>19</v>
      </c>
      <c r="G11" s="714"/>
      <c r="H11" s="736"/>
    </row>
    <row r="12" spans="1:10" ht="17.25" hidden="1" customHeight="1">
      <c r="B12" s="733"/>
      <c r="C12" s="742"/>
      <c r="D12" s="724"/>
      <c r="E12" s="724"/>
      <c r="F12" s="1290" t="s">
        <v>20</v>
      </c>
      <c r="G12" s="714"/>
      <c r="H12" s="736"/>
    </row>
    <row r="13" spans="1:10" ht="17.25" customHeight="1">
      <c r="B13" s="733"/>
      <c r="C13" s="713"/>
      <c r="D13" s="1294" t="e">
        <f ca="1">'Internal Ref'!R253</f>
        <v>#N/A</v>
      </c>
      <c r="E13" s="916"/>
      <c r="F13" s="783" t="s">
        <v>3</v>
      </c>
      <c r="G13" s="714"/>
      <c r="H13" s="736"/>
    </row>
    <row r="14" spans="1:10" ht="17.25" customHeight="1">
      <c r="B14" s="733"/>
      <c r="C14" s="713"/>
      <c r="D14" s="1294" t="e">
        <f ca="1">'Internal Ref'!R254</f>
        <v>#N/A</v>
      </c>
      <c r="E14" s="916"/>
      <c r="F14" s="783" t="s">
        <v>3</v>
      </c>
      <c r="G14" s="714"/>
      <c r="H14" s="736"/>
    </row>
    <row r="15" spans="1:10" ht="17.25" customHeight="1">
      <c r="B15" s="733"/>
      <c r="C15" s="713"/>
      <c r="D15" s="1294" t="e">
        <f ca="1">'Internal Ref'!R255</f>
        <v>#N/A</v>
      </c>
      <c r="E15" s="916"/>
      <c r="F15" s="783" t="s">
        <v>3</v>
      </c>
      <c r="G15" s="714"/>
      <c r="H15" s="736"/>
    </row>
    <row r="16" spans="1:10" ht="17.25" customHeight="1">
      <c r="B16" s="733"/>
      <c r="C16" s="713"/>
      <c r="D16" s="1294" t="e">
        <f ca="1">'Internal Ref'!R256</f>
        <v>#N/A</v>
      </c>
      <c r="E16" s="916"/>
      <c r="F16" s="783" t="s">
        <v>3</v>
      </c>
      <c r="G16" s="714"/>
      <c r="H16" s="736"/>
    </row>
    <row r="17" spans="2:8" ht="17.25" customHeight="1">
      <c r="B17" s="733"/>
      <c r="C17" s="713"/>
      <c r="D17" s="1294" t="e">
        <f ca="1">'Internal Ref'!R257</f>
        <v>#N/A</v>
      </c>
      <c r="E17" s="916"/>
      <c r="F17" s="783" t="s">
        <v>3</v>
      </c>
      <c r="G17" s="714"/>
      <c r="H17" s="736"/>
    </row>
    <row r="18" spans="2:8" ht="17.25" customHeight="1">
      <c r="B18" s="733"/>
      <c r="C18" s="713"/>
      <c r="D18" s="1294" t="e">
        <f ca="1">'Internal Ref'!R258</f>
        <v>#N/A</v>
      </c>
      <c r="E18" s="916"/>
      <c r="F18" s="783" t="s">
        <v>3</v>
      </c>
      <c r="G18" s="714"/>
      <c r="H18" s="736"/>
    </row>
    <row r="19" spans="2:8" ht="17.25" customHeight="1">
      <c r="B19" s="733"/>
      <c r="C19" s="713"/>
      <c r="D19" s="1294" t="e">
        <f ca="1">'Internal Ref'!R259</f>
        <v>#N/A</v>
      </c>
      <c r="E19" s="916"/>
      <c r="F19" s="783" t="s">
        <v>3</v>
      </c>
      <c r="G19" s="714"/>
      <c r="H19" s="736"/>
    </row>
    <row r="20" spans="2:8" ht="17.25" customHeight="1">
      <c r="B20" s="733"/>
      <c r="C20" s="713"/>
      <c r="D20" s="1294" t="e">
        <f ca="1">'Internal Ref'!R260</f>
        <v>#N/A</v>
      </c>
      <c r="E20" s="916"/>
      <c r="F20" s="783" t="s">
        <v>3</v>
      </c>
      <c r="G20" s="714"/>
      <c r="H20" s="736"/>
    </row>
    <row r="21" spans="2:8" ht="17.25" hidden="1" customHeight="1">
      <c r="B21" s="733"/>
      <c r="C21" s="713"/>
      <c r="D21" s="1294" t="e">
        <f ca="1">'Internal Ref'!R261</f>
        <v>#N/A</v>
      </c>
      <c r="E21" s="916"/>
      <c r="F21" s="783" t="s">
        <v>3</v>
      </c>
      <c r="G21" s="714"/>
      <c r="H21" s="736"/>
    </row>
    <row r="22" spans="2:8" ht="17.25" hidden="1" customHeight="1">
      <c r="B22" s="733"/>
      <c r="C22" s="713"/>
      <c r="D22" s="1294" t="e">
        <f ca="1">'Internal Ref'!R262</f>
        <v>#N/A</v>
      </c>
      <c r="E22" s="916"/>
      <c r="F22" s="783" t="s">
        <v>3</v>
      </c>
      <c r="G22" s="714"/>
      <c r="H22" s="736"/>
    </row>
    <row r="23" spans="2:8" ht="17.25" hidden="1" customHeight="1">
      <c r="B23" s="733"/>
      <c r="C23" s="713"/>
      <c r="D23" s="1294" t="e">
        <f ca="1">'Internal Ref'!R263</f>
        <v>#N/A</v>
      </c>
      <c r="E23" s="916"/>
      <c r="F23" s="783" t="s">
        <v>3</v>
      </c>
      <c r="G23" s="714"/>
      <c r="H23" s="736"/>
    </row>
    <row r="24" spans="2:8" ht="17.25" hidden="1" customHeight="1">
      <c r="B24" s="733"/>
      <c r="C24" s="713"/>
      <c r="D24" s="1289" t="e">
        <f ca="1">'Internal Ref'!R264</f>
        <v>#N/A</v>
      </c>
      <c r="E24" s="910"/>
      <c r="F24" s="1288" t="s">
        <v>3</v>
      </c>
      <c r="G24" s="714"/>
      <c r="H24" s="736"/>
    </row>
    <row r="25" spans="2:8" ht="17.25" hidden="1" customHeight="1">
      <c r="B25" s="733"/>
      <c r="C25" s="713"/>
      <c r="D25" s="1287" t="e">
        <f ca="1">'Internal Ref'!R265</f>
        <v>#N/A</v>
      </c>
      <c r="E25" s="910"/>
      <c r="F25" s="1288" t="s">
        <v>3</v>
      </c>
      <c r="G25" s="714"/>
      <c r="H25" s="736"/>
    </row>
    <row r="26" spans="2:8" ht="17.25" hidden="1" customHeight="1">
      <c r="B26" s="733"/>
      <c r="C26" s="713"/>
      <c r="D26" s="1287" t="e">
        <f ca="1">'Internal Ref'!R266</f>
        <v>#N/A</v>
      </c>
      <c r="E26" s="910"/>
      <c r="F26" s="1288" t="s">
        <v>3</v>
      </c>
      <c r="G26" s="714"/>
      <c r="H26" s="736"/>
    </row>
    <row r="27" spans="2:8" ht="17.25" customHeight="1">
      <c r="B27" s="733"/>
      <c r="C27" s="713"/>
      <c r="D27" s="1291" t="s">
        <v>21</v>
      </c>
      <c r="E27" s="1292">
        <f>CONVERT_TO_MONTHLY(E13,F13)
+ CONVERT_TO_MONTHLY(E14,F14)
+ CONVERT_TO_MONTHLY(E15,F15)
+ CONVERT_TO_MONTHLY(E16,F16)
+ CONVERT_TO_MONTHLY(E17,F17)
+ CONVERT_TO_MONTHLY(E18,F18)
+ CONVERT_TO_MONTHLY(E19,F19)
+ CONVERT_TO_MONTHLY(E20,F20)
+ CONVERT_TO_MONTHLY(E21,F21)
+ CONVERT_TO_MONTHLY(E22,F22)
+ CONVERT_TO_MONTHLY(E23,F23)
+ CONVERT_TO_MONTHLY(E24,F24)
+ CONVERT_TO_MONTHLY(E25,F25)
+ CONVERT_TO_MONTHLY(E26,F26)</f>
        <v>0</v>
      </c>
      <c r="F27" s="1293" t="s">
        <v>3</v>
      </c>
      <c r="G27" s="1245"/>
      <c r="H27" s="736"/>
    </row>
    <row r="28" spans="2:8" ht="11.25" customHeight="1">
      <c r="B28" s="733"/>
      <c r="C28" s="709"/>
      <c r="D28" s="727"/>
      <c r="E28" s="727"/>
      <c r="F28" s="727"/>
      <c r="G28" s="716"/>
      <c r="H28" s="736"/>
    </row>
    <row r="29" spans="2:8" ht="28.5" customHeight="1">
      <c r="B29" s="734"/>
      <c r="C29" s="738"/>
      <c r="D29" s="738"/>
      <c r="E29" s="738"/>
      <c r="F29" s="738"/>
      <c r="G29" s="738"/>
      <c r="H29" s="737"/>
    </row>
    <row r="120" spans="9:42">
      <c r="I120" s="2">
        <v>7411.1</v>
      </c>
      <c r="J120" s="2">
        <v>1126273.10537656</v>
      </c>
      <c r="AM120" s="2">
        <v>0</v>
      </c>
      <c r="AN120" s="2">
        <v>0</v>
      </c>
      <c r="AO120" s="2" t="b">
        <v>0</v>
      </c>
      <c r="AP120" s="2" t="b">
        <v>0</v>
      </c>
    </row>
    <row r="121" spans="9:42">
      <c r="AN121" s="2">
        <v>0</v>
      </c>
      <c r="AP121" s="2" t="b">
        <v>0</v>
      </c>
    </row>
    <row r="126" spans="9:42">
      <c r="AN126" s="2">
        <v>366171.90076574101</v>
      </c>
      <c r="AP126" s="2" t="b">
        <v>0</v>
      </c>
    </row>
    <row r="127" spans="9:42">
      <c r="AN127" s="2">
        <v>370567.56203717098</v>
      </c>
      <c r="AP127" s="2" t="b">
        <v>0</v>
      </c>
    </row>
    <row r="128" spans="9:42">
      <c r="AN128" s="2">
        <v>370567.56203717098</v>
      </c>
      <c r="AP128" s="2" t="b">
        <v>0</v>
      </c>
    </row>
    <row r="130" spans="40:42">
      <c r="AN130" s="2">
        <v>333663.40171675902</v>
      </c>
      <c r="AP130" s="2" t="b">
        <v>1</v>
      </c>
    </row>
    <row r="151" spans="40:42">
      <c r="AN151" s="2">
        <v>0</v>
      </c>
      <c r="AP151" s="2" t="b">
        <v>1</v>
      </c>
    </row>
    <row r="152" spans="40:42">
      <c r="AN152" s="2">
        <v>0</v>
      </c>
      <c r="AP152" s="2" t="b">
        <v>1</v>
      </c>
    </row>
    <row r="162" spans="40:42">
      <c r="AN162" s="2">
        <v>523604.09521296702</v>
      </c>
      <c r="AP162" s="2" t="b">
        <v>1</v>
      </c>
    </row>
    <row r="165" spans="40:42">
      <c r="AN165" s="2">
        <v>393654.89882072899</v>
      </c>
      <c r="AP165" s="2" t="b">
        <v>1</v>
      </c>
    </row>
  </sheetData>
  <sheetProtection algorithmName="SHA-512" hashValue="ZjJbDM/P0SHOLlZAE/jLhl0eNmJetcPLQBe9KzKlGkgKcJXRHJR3omKOWenSPqRnqi1PkV8H6l9ht0ePnrwfEg==" saltValue="+KzSGpHQfVx2XMisw63tCQ==" spinCount="100000" sheet="1"/>
  <dataValidations count="2">
    <dataValidation type="list" allowBlank="1" showInputMessage="1" showErrorMessage="1" sqref="F27" xr:uid="{C20BAA63-DF53-454A-BE74-A7C70F261879}">
      <formula1>"Weekly, Fortnightly, Monthly, Annually"</formula1>
    </dataValidation>
    <dataValidation type="list" allowBlank="1" showInputMessage="1" showErrorMessage="1" sqref="F13:F26" xr:uid="{4EB9D9FB-3B07-4F5C-B2DE-E1E1B9BA44B7}">
      <formula1>"Weekly, Fortnightly, Four Weekly, Monthly, Quarterly, Bi Annually, Annually"</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058FE-18AB-44E8-B384-FA19054F8C65}">
  <sheetPr codeName="Sheet32">
    <outlinePr summaryBelow="0"/>
    <pageSetUpPr fitToPage="1"/>
  </sheetPr>
  <dimension ref="B1:AP1573"/>
  <sheetViews>
    <sheetView showGridLines="0" showRowColHeaders="0" zoomScaleNormal="100" workbookViewId="0"/>
  </sheetViews>
  <sheetFormatPr baseColWidth="10" defaultColWidth="8" defaultRowHeight="15"/>
  <cols>
    <col min="1" max="3" width="0.83203125" style="2" customWidth="1"/>
    <col min="4" max="4" width="16.6640625" style="2" customWidth="1"/>
    <col min="5" max="5" width="11.83203125" style="2" customWidth="1"/>
    <col min="6" max="6" width="11.6640625" style="2" customWidth="1"/>
    <col min="7" max="8" width="8.83203125" style="2" customWidth="1"/>
    <col min="9" max="11" width="1.33203125" style="2" customWidth="1"/>
    <col min="12" max="12" width="34.1640625" style="2" customWidth="1"/>
    <col min="13" max="15" width="1.33203125" style="2" customWidth="1"/>
    <col min="16" max="16" width="35.6640625" style="2" customWidth="1"/>
    <col min="17" max="17" width="1.33203125" style="2" customWidth="1"/>
    <col min="18" max="19" width="1" style="2" customWidth="1"/>
    <col min="20" max="20" width="20.1640625" style="2" hidden="1" customWidth="1"/>
    <col min="21" max="21" width="16" style="2" hidden="1" customWidth="1"/>
    <col min="22" max="22" width="10.5" style="2" hidden="1" customWidth="1"/>
    <col min="23" max="23" width="8" style="2" hidden="1" customWidth="1"/>
    <col min="24" max="24" width="9.6640625" style="2" hidden="1" customWidth="1"/>
    <col min="25" max="27" width="8" style="2" hidden="1" customWidth="1"/>
    <col min="28" max="28" width="0" style="2" hidden="1" customWidth="1"/>
    <col min="29" max="29" width="12.83203125" style="2" customWidth="1"/>
    <col min="30" max="39" width="8" style="2"/>
    <col min="40" max="42" width="0" style="2" hidden="1" customWidth="1"/>
    <col min="43" max="16384" width="8" style="2"/>
  </cols>
  <sheetData>
    <row r="1" spans="2:30" ht="5.25" customHeight="1"/>
    <row r="2" spans="2:30" ht="5.25" customHeight="1">
      <c r="B2" s="730"/>
      <c r="C2" s="731"/>
      <c r="D2" s="731"/>
      <c r="E2" s="731"/>
      <c r="F2" s="731"/>
      <c r="G2" s="731"/>
      <c r="H2" s="731"/>
      <c r="I2" s="731"/>
      <c r="J2" s="731"/>
      <c r="K2" s="731"/>
      <c r="L2" s="731"/>
      <c r="M2" s="731"/>
      <c r="N2" s="731"/>
      <c r="O2" s="731"/>
      <c r="P2" s="731"/>
      <c r="Q2" s="731"/>
      <c r="R2" s="732"/>
    </row>
    <row r="3" spans="2:30" ht="30.75" customHeight="1">
      <c r="B3" s="733"/>
      <c r="C3" s="1472" t="s">
        <v>8962</v>
      </c>
      <c r="D3" s="1472"/>
      <c r="E3" s="1472"/>
      <c r="F3" s="1472"/>
      <c r="G3" s="1472"/>
      <c r="H3" s="1472"/>
      <c r="I3" s="1472"/>
      <c r="J3" s="1472"/>
      <c r="K3" s="1472"/>
      <c r="L3" s="829"/>
      <c r="M3" s="830"/>
      <c r="N3" s="830"/>
      <c r="O3" s="830"/>
      <c r="P3" s="829" t="str">
        <f>"Version: " &amp; ML_CALC_VERSION</f>
        <v>Version: HL_Calc_V54_250405</v>
      </c>
      <c r="Q3" s="830"/>
      <c r="R3" s="736"/>
      <c r="T3" s="26" t="s">
        <v>22</v>
      </c>
      <c r="U3" s="2" t="e">
        <f>MATCH(T3,Menu!H:H,FALSE)</f>
        <v>#N/A</v>
      </c>
    </row>
    <row r="4" spans="2:30" ht="8.25" customHeight="1">
      <c r="B4" s="733"/>
      <c r="C4" s="735"/>
      <c r="D4" s="735"/>
      <c r="E4" s="735"/>
      <c r="F4" s="735"/>
      <c r="G4" s="735"/>
      <c r="H4" s="735"/>
      <c r="I4" s="735"/>
      <c r="J4" s="735"/>
      <c r="K4" s="735"/>
      <c r="L4" s="735"/>
      <c r="M4" s="735"/>
      <c r="N4" s="735"/>
      <c r="O4" s="735"/>
      <c r="P4" s="735"/>
      <c r="Q4" s="735"/>
      <c r="R4" s="736"/>
      <c r="T4" s="26" t="s">
        <v>23</v>
      </c>
      <c r="U4" s="2" t="e">
        <f>MATCH(T4,Menu!H:H,FALSE)</f>
        <v>#N/A</v>
      </c>
    </row>
    <row r="5" spans="2:30" ht="19.5" customHeight="1">
      <c r="B5" s="733"/>
      <c r="C5" s="1473" t="s">
        <v>24</v>
      </c>
      <c r="D5" s="1473"/>
      <c r="E5" s="1473"/>
      <c r="F5" s="1473"/>
      <c r="G5" s="1473"/>
      <c r="H5" s="1473"/>
      <c r="I5" s="1473"/>
      <c r="J5" s="832"/>
      <c r="K5" s="1473" t="s">
        <v>25</v>
      </c>
      <c r="L5" s="1473"/>
      <c r="M5" s="832"/>
      <c r="N5" s="832"/>
      <c r="O5" s="1473" t="s">
        <v>7874</v>
      </c>
      <c r="P5" s="1473"/>
      <c r="Q5" s="832"/>
      <c r="R5" s="736"/>
      <c r="T5" s="26" t="s">
        <v>26</v>
      </c>
      <c r="U5" s="2" t="e">
        <f>MATCH(T5,Menu!H:H,FALSE)</f>
        <v>#N/A</v>
      </c>
    </row>
    <row r="6" spans="2:30" ht="6.75" customHeight="1">
      <c r="B6" s="733"/>
      <c r="C6" s="735"/>
      <c r="D6" s="735"/>
      <c r="E6" s="735"/>
      <c r="F6" s="735"/>
      <c r="G6" s="735"/>
      <c r="H6" s="735"/>
      <c r="I6" s="735"/>
      <c r="J6" s="735"/>
      <c r="K6" s="735"/>
      <c r="L6" s="735"/>
      <c r="M6" s="735"/>
      <c r="N6" s="735"/>
      <c r="O6" s="735"/>
      <c r="P6" s="735"/>
      <c r="Q6" s="735"/>
      <c r="R6" s="736"/>
    </row>
    <row r="7" spans="2:30" ht="5.25" customHeight="1">
      <c r="B7" s="733"/>
      <c r="C7" s="711"/>
      <c r="D7" s="712"/>
      <c r="E7" s="712"/>
      <c r="F7" s="712"/>
      <c r="G7" s="712"/>
      <c r="H7" s="712"/>
      <c r="I7" s="708"/>
      <c r="J7" s="735"/>
      <c r="K7" s="711"/>
      <c r="L7" s="712"/>
      <c r="M7" s="708"/>
      <c r="N7" s="735"/>
      <c r="O7" s="711"/>
      <c r="P7" s="712"/>
      <c r="Q7" s="708"/>
      <c r="R7" s="736"/>
    </row>
    <row r="8" spans="2:30" ht="25.5" customHeight="1">
      <c r="B8" s="733"/>
      <c r="C8" s="713"/>
      <c r="D8" s="30"/>
      <c r="E8" s="30"/>
      <c r="F8" s="30"/>
      <c r="G8" s="30"/>
      <c r="H8" s="30"/>
      <c r="I8" s="714"/>
      <c r="J8" s="735"/>
      <c r="K8" s="713"/>
      <c r="L8" s="30"/>
      <c r="M8" s="714"/>
      <c r="N8" s="735"/>
      <c r="O8" s="713"/>
      <c r="P8" s="30"/>
      <c r="Q8" s="714"/>
      <c r="R8" s="736"/>
      <c r="AA8" s="31"/>
      <c r="AB8" s="31"/>
      <c r="AD8" s="31"/>
    </row>
    <row r="9" spans="2:30" ht="5.25" customHeight="1">
      <c r="B9" s="733"/>
      <c r="C9" s="713"/>
      <c r="D9" s="30"/>
      <c r="E9" s="30"/>
      <c r="F9" s="30"/>
      <c r="G9" s="30"/>
      <c r="H9" s="30"/>
      <c r="I9" s="714"/>
      <c r="J9" s="735"/>
      <c r="K9" s="713"/>
      <c r="L9" s="30"/>
      <c r="M9" s="714"/>
      <c r="N9" s="735"/>
      <c r="O9" s="713"/>
      <c r="P9" s="30"/>
      <c r="Q9" s="714"/>
      <c r="R9" s="736"/>
      <c r="T9" s="32" t="s">
        <v>27</v>
      </c>
      <c r="U9" s="32"/>
      <c r="AA9" s="31"/>
      <c r="AB9" s="31"/>
      <c r="AD9" s="31"/>
    </row>
    <row r="10" spans="2:30" ht="89.25" customHeight="1">
      <c r="B10" s="733"/>
      <c r="C10" s="713"/>
      <c r="D10" s="30"/>
      <c r="E10" s="30"/>
      <c r="F10" s="30"/>
      <c r="G10" s="30"/>
      <c r="H10" s="30"/>
      <c r="I10" s="714"/>
      <c r="J10" s="735"/>
      <c r="K10" s="713"/>
      <c r="L10" s="831"/>
      <c r="M10" s="714"/>
      <c r="N10" s="735"/>
      <c r="O10" s="713"/>
      <c r="P10" s="831"/>
      <c r="Q10" s="714"/>
      <c r="R10" s="736"/>
      <c r="AA10" s="31"/>
      <c r="AB10" s="31"/>
      <c r="AD10" s="31"/>
    </row>
    <row r="11" spans="2:30" ht="8.25" customHeight="1">
      <c r="B11" s="733"/>
      <c r="C11" s="709"/>
      <c r="D11" s="715"/>
      <c r="E11" s="715"/>
      <c r="F11" s="715"/>
      <c r="G11" s="715"/>
      <c r="H11" s="715"/>
      <c r="I11" s="716"/>
      <c r="J11" s="735"/>
      <c r="K11" s="709"/>
      <c r="L11" s="715"/>
      <c r="M11" s="716"/>
      <c r="N11" s="735"/>
      <c r="O11" s="709"/>
      <c r="P11" s="715"/>
      <c r="Q11" s="716"/>
      <c r="R11" s="736"/>
      <c r="AA11" s="31"/>
      <c r="AB11" s="31"/>
      <c r="AD11" s="31"/>
    </row>
    <row r="12" spans="2:30">
      <c r="B12" s="734"/>
      <c r="C12" s="738"/>
      <c r="D12" s="738"/>
      <c r="E12" s="738"/>
      <c r="F12" s="738"/>
      <c r="G12" s="738"/>
      <c r="H12" s="738"/>
      <c r="I12" s="738"/>
      <c r="J12" s="738"/>
      <c r="K12" s="738"/>
      <c r="L12" s="738"/>
      <c r="M12" s="738"/>
      <c r="N12" s="738"/>
      <c r="O12" s="738"/>
      <c r="P12" s="738"/>
      <c r="Q12" s="738"/>
      <c r="R12" s="737"/>
      <c r="AA12" s="31"/>
      <c r="AB12" s="31"/>
      <c r="AD12" s="31"/>
    </row>
    <row r="13" spans="2:30">
      <c r="AA13" s="31"/>
      <c r="AB13" s="31"/>
      <c r="AD13" s="31"/>
    </row>
    <row r="14" spans="2:30">
      <c r="AA14" s="31"/>
      <c r="AB14" s="31"/>
      <c r="AD14" s="31"/>
    </row>
    <row r="15" spans="2:30">
      <c r="AA15" s="31"/>
      <c r="AB15" s="31"/>
      <c r="AD15" s="31"/>
    </row>
    <row r="16" spans="2:30">
      <c r="AA16" s="31"/>
      <c r="AB16" s="31"/>
      <c r="AD16" s="31"/>
    </row>
    <row r="17" spans="27:30">
      <c r="AA17" s="31"/>
      <c r="AB17" s="31"/>
      <c r="AD17" s="31"/>
    </row>
    <row r="18" spans="27:30">
      <c r="AA18" s="31"/>
      <c r="AB18" s="31"/>
      <c r="AD18" s="31"/>
    </row>
    <row r="19" spans="27:30">
      <c r="AA19" s="31"/>
      <c r="AB19" s="31"/>
      <c r="AD19" s="31"/>
    </row>
    <row r="20" spans="27:30">
      <c r="AA20" s="31"/>
      <c r="AB20" s="31"/>
      <c r="AD20" s="31"/>
    </row>
    <row r="21" spans="27:30">
      <c r="AA21" s="31"/>
      <c r="AB21" s="31"/>
      <c r="AD21" s="31"/>
    </row>
    <row r="22" spans="27:30">
      <c r="AA22" s="31"/>
      <c r="AB22" s="31"/>
      <c r="AD22" s="31"/>
    </row>
    <row r="23" spans="27:30">
      <c r="AA23" s="31"/>
      <c r="AB23" s="31"/>
      <c r="AD23" s="31"/>
    </row>
    <row r="24" spans="27:30">
      <c r="AA24" s="31"/>
      <c r="AB24" s="31"/>
      <c r="AD24" s="31"/>
    </row>
    <row r="25" spans="27:30">
      <c r="AA25" s="31"/>
      <c r="AB25" s="31"/>
      <c r="AD25" s="31"/>
    </row>
    <row r="26" spans="27:30">
      <c r="AA26" s="31"/>
      <c r="AB26" s="31"/>
      <c r="AD26" s="31"/>
    </row>
    <row r="27" spans="27:30">
      <c r="AA27" s="31"/>
      <c r="AB27" s="31"/>
      <c r="AD27" s="31"/>
    </row>
    <row r="28" spans="27:30">
      <c r="AA28" s="31"/>
      <c r="AB28" s="31"/>
      <c r="AD28" s="31"/>
    </row>
    <row r="29" spans="27:30">
      <c r="AA29" s="31"/>
      <c r="AB29" s="31"/>
      <c r="AD29" s="31"/>
    </row>
    <row r="30" spans="27:30">
      <c r="AA30" s="31"/>
      <c r="AB30" s="31"/>
      <c r="AD30" s="31"/>
    </row>
    <row r="31" spans="27:30">
      <c r="AA31" s="31"/>
      <c r="AB31" s="31"/>
      <c r="AD31" s="31"/>
    </row>
    <row r="32" spans="27:30">
      <c r="AA32" s="31"/>
      <c r="AB32" s="31"/>
      <c r="AD32" s="31"/>
    </row>
    <row r="33" spans="27:30">
      <c r="AA33" s="31"/>
      <c r="AB33" s="31"/>
      <c r="AD33" s="31"/>
    </row>
    <row r="34" spans="27:30">
      <c r="AA34" s="31"/>
      <c r="AB34" s="31"/>
      <c r="AD34" s="31"/>
    </row>
    <row r="35" spans="27:30">
      <c r="AA35" s="31"/>
      <c r="AB35" s="31"/>
      <c r="AD35" s="31"/>
    </row>
    <row r="36" spans="27:30">
      <c r="AA36" s="31"/>
      <c r="AB36" s="31"/>
      <c r="AD36" s="31"/>
    </row>
    <row r="37" spans="27:30">
      <c r="AA37" s="31"/>
      <c r="AB37" s="31"/>
      <c r="AD37" s="31"/>
    </row>
    <row r="38" spans="27:30">
      <c r="AA38" s="31"/>
      <c r="AB38" s="31"/>
      <c r="AD38" s="31"/>
    </row>
    <row r="39" spans="27:30">
      <c r="AA39" s="31"/>
      <c r="AB39" s="31"/>
      <c r="AD39" s="31"/>
    </row>
    <row r="40" spans="27:30">
      <c r="AA40" s="31"/>
      <c r="AB40" s="31"/>
      <c r="AD40" s="31"/>
    </row>
    <row r="41" spans="27:30">
      <c r="AA41" s="31"/>
      <c r="AB41" s="31"/>
      <c r="AD41" s="31"/>
    </row>
    <row r="42" spans="27:30">
      <c r="AA42" s="31"/>
      <c r="AB42" s="31"/>
      <c r="AD42" s="31"/>
    </row>
    <row r="43" spans="27:30">
      <c r="AA43" s="31"/>
      <c r="AB43" s="31"/>
      <c r="AD43" s="31"/>
    </row>
    <row r="44" spans="27:30">
      <c r="AA44" s="31"/>
      <c r="AB44" s="31"/>
      <c r="AD44" s="31"/>
    </row>
    <row r="45" spans="27:30">
      <c r="AA45" s="31"/>
      <c r="AB45" s="31"/>
      <c r="AD45" s="31"/>
    </row>
    <row r="46" spans="27:30">
      <c r="AA46" s="31"/>
      <c r="AB46" s="31"/>
      <c r="AD46" s="31"/>
    </row>
    <row r="47" spans="27:30">
      <c r="AA47" s="31"/>
      <c r="AB47" s="31"/>
      <c r="AD47" s="31"/>
    </row>
    <row r="48" spans="27:30">
      <c r="AA48" s="31"/>
      <c r="AB48" s="31"/>
      <c r="AD48" s="31"/>
    </row>
    <row r="49" spans="27:30">
      <c r="AA49" s="31"/>
      <c r="AB49" s="31"/>
      <c r="AD49" s="31"/>
    </row>
    <row r="50" spans="27:30">
      <c r="AA50" s="31"/>
      <c r="AB50" s="31"/>
      <c r="AD50" s="31"/>
    </row>
    <row r="51" spans="27:30">
      <c r="AA51" s="31"/>
      <c r="AB51" s="31"/>
      <c r="AD51" s="31"/>
    </row>
    <row r="52" spans="27:30">
      <c r="AA52" s="31"/>
      <c r="AB52" s="31"/>
      <c r="AD52" s="31"/>
    </row>
    <row r="53" spans="27:30">
      <c r="AA53" s="31"/>
      <c r="AB53" s="31"/>
      <c r="AD53" s="31"/>
    </row>
    <row r="54" spans="27:30">
      <c r="AA54" s="31"/>
      <c r="AB54" s="31"/>
      <c r="AD54" s="31"/>
    </row>
    <row r="55" spans="27:30">
      <c r="AA55" s="31"/>
      <c r="AB55" s="31"/>
      <c r="AD55" s="31"/>
    </row>
    <row r="56" spans="27:30">
      <c r="AA56" s="31"/>
      <c r="AB56" s="31"/>
      <c r="AD56" s="31"/>
    </row>
    <row r="57" spans="27:30">
      <c r="AA57" s="31"/>
      <c r="AB57" s="31"/>
      <c r="AD57" s="31"/>
    </row>
    <row r="58" spans="27:30">
      <c r="AA58" s="31"/>
      <c r="AB58" s="31"/>
      <c r="AD58" s="31"/>
    </row>
    <row r="59" spans="27:30">
      <c r="AA59" s="31"/>
      <c r="AB59" s="31"/>
      <c r="AD59" s="31"/>
    </row>
    <row r="60" spans="27:30">
      <c r="AA60" s="31"/>
      <c r="AB60" s="31"/>
      <c r="AD60" s="31"/>
    </row>
    <row r="61" spans="27:30">
      <c r="AA61" s="31"/>
      <c r="AB61" s="31"/>
      <c r="AD61" s="31"/>
    </row>
    <row r="62" spans="27:30">
      <c r="AA62" s="31"/>
      <c r="AB62" s="31"/>
      <c r="AD62" s="31"/>
    </row>
    <row r="63" spans="27:30">
      <c r="AA63" s="31"/>
      <c r="AB63" s="31"/>
      <c r="AD63" s="31"/>
    </row>
    <row r="64" spans="27:30">
      <c r="AA64" s="31"/>
      <c r="AB64" s="31"/>
      <c r="AD64" s="31"/>
    </row>
    <row r="65" spans="27:30">
      <c r="AA65" s="31"/>
      <c r="AB65" s="31"/>
      <c r="AD65" s="31"/>
    </row>
    <row r="66" spans="27:30">
      <c r="AA66" s="31"/>
      <c r="AB66" s="31"/>
      <c r="AD66" s="31"/>
    </row>
    <row r="67" spans="27:30">
      <c r="AA67" s="31"/>
      <c r="AB67" s="31"/>
      <c r="AD67" s="31"/>
    </row>
    <row r="68" spans="27:30">
      <c r="AA68" s="31"/>
      <c r="AB68" s="31"/>
      <c r="AD68" s="31"/>
    </row>
    <row r="69" spans="27:30">
      <c r="AA69" s="31"/>
      <c r="AB69" s="31"/>
      <c r="AD69" s="31"/>
    </row>
    <row r="70" spans="27:30">
      <c r="AA70" s="31"/>
      <c r="AB70" s="31"/>
      <c r="AD70" s="31"/>
    </row>
    <row r="71" spans="27:30">
      <c r="AA71" s="31"/>
      <c r="AB71" s="31"/>
      <c r="AD71" s="31"/>
    </row>
    <row r="72" spans="27:30">
      <c r="AA72" s="31"/>
      <c r="AB72" s="31"/>
      <c r="AD72" s="31"/>
    </row>
    <row r="73" spans="27:30">
      <c r="AA73" s="31"/>
      <c r="AB73" s="31"/>
      <c r="AD73" s="31"/>
    </row>
    <row r="74" spans="27:30">
      <c r="AA74" s="31"/>
      <c r="AB74" s="31"/>
      <c r="AD74" s="31"/>
    </row>
    <row r="75" spans="27:30">
      <c r="AA75" s="31"/>
      <c r="AB75" s="31"/>
      <c r="AD75" s="31"/>
    </row>
    <row r="76" spans="27:30">
      <c r="AA76" s="31"/>
      <c r="AB76" s="31"/>
      <c r="AD76" s="31"/>
    </row>
    <row r="77" spans="27:30">
      <c r="AA77" s="31"/>
      <c r="AB77" s="31"/>
      <c r="AD77" s="31"/>
    </row>
    <row r="78" spans="27:30">
      <c r="AA78" s="31"/>
      <c r="AB78" s="31"/>
      <c r="AD78" s="31"/>
    </row>
    <row r="79" spans="27:30">
      <c r="AA79" s="31"/>
      <c r="AB79" s="31"/>
      <c r="AD79" s="31"/>
    </row>
    <row r="80" spans="27:30">
      <c r="AA80" s="31"/>
      <c r="AB80" s="31"/>
      <c r="AD80" s="31"/>
    </row>
    <row r="81" spans="27:30">
      <c r="AA81" s="31"/>
      <c r="AB81" s="31"/>
      <c r="AD81" s="31"/>
    </row>
    <row r="82" spans="27:30">
      <c r="AA82" s="31"/>
      <c r="AB82" s="31"/>
      <c r="AD82" s="31"/>
    </row>
    <row r="83" spans="27:30">
      <c r="AA83" s="31"/>
      <c r="AB83" s="31"/>
    </row>
    <row r="84" spans="27:30">
      <c r="AA84" s="31"/>
      <c r="AB84" s="31"/>
    </row>
    <row r="85" spans="27:30">
      <c r="AA85" s="31"/>
      <c r="AB85" s="31"/>
    </row>
    <row r="86" spans="27:30">
      <c r="AA86" s="31"/>
      <c r="AB86" s="31"/>
    </row>
    <row r="87" spans="27:30">
      <c r="AA87" s="31"/>
      <c r="AB87" s="31"/>
    </row>
    <row r="88" spans="27:30">
      <c r="AA88" s="31"/>
      <c r="AB88" s="31"/>
    </row>
    <row r="89" spans="27:30">
      <c r="AA89" s="31"/>
      <c r="AB89" s="31"/>
    </row>
    <row r="90" spans="27:30">
      <c r="AA90" s="31"/>
      <c r="AB90" s="31"/>
    </row>
    <row r="91" spans="27:30">
      <c r="AA91" s="31"/>
      <c r="AB91" s="31"/>
    </row>
    <row r="92" spans="27:30">
      <c r="AA92" s="31"/>
      <c r="AB92" s="31"/>
    </row>
    <row r="93" spans="27:30">
      <c r="AA93" s="31"/>
      <c r="AB93" s="31"/>
    </row>
    <row r="94" spans="27:30">
      <c r="AA94" s="31"/>
      <c r="AB94" s="31"/>
    </row>
    <row r="95" spans="27:30">
      <c r="AA95" s="31"/>
      <c r="AB95" s="31"/>
    </row>
    <row r="96" spans="27:30">
      <c r="AA96" s="31"/>
      <c r="AB96" s="31"/>
    </row>
    <row r="97" spans="27:28">
      <c r="AA97" s="31"/>
      <c r="AB97" s="31"/>
    </row>
    <row r="98" spans="27:28">
      <c r="AA98" s="31"/>
      <c r="AB98" s="31"/>
    </row>
    <row r="99" spans="27:28">
      <c r="AA99" s="31"/>
      <c r="AB99" s="31"/>
    </row>
    <row r="100" spans="27:28">
      <c r="AA100" s="31"/>
      <c r="AB100" s="31"/>
    </row>
    <row r="101" spans="27:28">
      <c r="AA101" s="31"/>
      <c r="AB101" s="31"/>
    </row>
    <row r="102" spans="27:28">
      <c r="AA102" s="31"/>
      <c r="AB102" s="31"/>
    </row>
    <row r="103" spans="27:28">
      <c r="AA103" s="31"/>
      <c r="AB103" s="31"/>
    </row>
    <row r="104" spans="27:28">
      <c r="AA104" s="31"/>
      <c r="AB104" s="31"/>
    </row>
    <row r="105" spans="27:28">
      <c r="AA105" s="31"/>
      <c r="AB105" s="31"/>
    </row>
    <row r="106" spans="27:28">
      <c r="AA106" s="31"/>
      <c r="AB106" s="31"/>
    </row>
    <row r="107" spans="27:28">
      <c r="AA107" s="31"/>
      <c r="AB107" s="31"/>
    </row>
    <row r="108" spans="27:28">
      <c r="AA108" s="31"/>
      <c r="AB108" s="31"/>
    </row>
    <row r="109" spans="27:28">
      <c r="AA109" s="31"/>
      <c r="AB109" s="31"/>
    </row>
    <row r="110" spans="27:28">
      <c r="AA110" s="31"/>
      <c r="AB110" s="31"/>
    </row>
    <row r="111" spans="27:28">
      <c r="AA111" s="31"/>
      <c r="AB111" s="31"/>
    </row>
    <row r="112" spans="27:28">
      <c r="AA112" s="31"/>
      <c r="AB112" s="31"/>
    </row>
    <row r="113" spans="27:42">
      <c r="AA113" s="31"/>
      <c r="AB113" s="31"/>
    </row>
    <row r="114" spans="27:42">
      <c r="AA114" s="31"/>
      <c r="AB114" s="31"/>
    </row>
    <row r="115" spans="27:42">
      <c r="AA115" s="31"/>
      <c r="AB115" s="31"/>
    </row>
    <row r="116" spans="27:42">
      <c r="AA116" s="31"/>
      <c r="AB116" s="31"/>
    </row>
    <row r="117" spans="27:42">
      <c r="AA117" s="31"/>
      <c r="AB117" s="31"/>
    </row>
    <row r="118" spans="27:42">
      <c r="AA118" s="31"/>
      <c r="AB118" s="31"/>
    </row>
    <row r="119" spans="27:42">
      <c r="AA119" s="31"/>
      <c r="AB119" s="31"/>
    </row>
    <row r="120" spans="27:42">
      <c r="AA120" s="31"/>
      <c r="AB120" s="31"/>
      <c r="AN120" s="2">
        <v>0</v>
      </c>
      <c r="AP120" s="2" t="b">
        <v>0</v>
      </c>
    </row>
    <row r="121" spans="27:42">
      <c r="AA121" s="31"/>
      <c r="AB121" s="31"/>
    </row>
    <row r="122" spans="27:42">
      <c r="AA122" s="31"/>
      <c r="AB122" s="31"/>
    </row>
    <row r="123" spans="27:42">
      <c r="AA123" s="31"/>
      <c r="AB123" s="31"/>
    </row>
    <row r="124" spans="27:42">
      <c r="AA124" s="31"/>
      <c r="AB124" s="31"/>
      <c r="AN124" s="2">
        <v>1969838.7446500701</v>
      </c>
      <c r="AP124" s="2" t="b">
        <v>0</v>
      </c>
    </row>
    <row r="125" spans="27:42">
      <c r="AA125" s="31"/>
      <c r="AB125" s="31"/>
    </row>
    <row r="126" spans="27:42">
      <c r="AA126" s="31"/>
      <c r="AB126" s="31"/>
      <c r="AN126" s="2">
        <v>0</v>
      </c>
      <c r="AP126" s="2" t="b">
        <v>0</v>
      </c>
    </row>
    <row r="127" spans="27:42">
      <c r="AA127" s="31"/>
      <c r="AB127" s="31"/>
    </row>
    <row r="128" spans="27:42">
      <c r="AA128" s="31"/>
      <c r="AB128" s="31"/>
    </row>
    <row r="129" spans="27:28">
      <c r="AA129" s="31"/>
      <c r="AB129" s="31"/>
    </row>
    <row r="130" spans="27:28">
      <c r="AA130" s="31"/>
      <c r="AB130" s="31"/>
    </row>
    <row r="131" spans="27:28">
      <c r="AA131" s="31"/>
      <c r="AB131" s="31"/>
    </row>
    <row r="132" spans="27:28">
      <c r="AA132" s="31"/>
      <c r="AB132" s="31"/>
    </row>
    <row r="133" spans="27:28">
      <c r="AA133" s="31"/>
      <c r="AB133" s="31"/>
    </row>
    <row r="134" spans="27:28">
      <c r="AA134" s="31"/>
      <c r="AB134" s="31"/>
    </row>
    <row r="135" spans="27:28">
      <c r="AA135" s="31"/>
      <c r="AB135" s="31"/>
    </row>
    <row r="136" spans="27:28">
      <c r="AA136" s="31"/>
      <c r="AB136" s="31"/>
    </row>
    <row r="137" spans="27:28">
      <c r="AA137" s="31"/>
      <c r="AB137" s="31"/>
    </row>
    <row r="138" spans="27:28">
      <c r="AA138" s="31"/>
      <c r="AB138" s="31"/>
    </row>
    <row r="139" spans="27:28">
      <c r="AA139" s="31"/>
      <c r="AB139" s="31"/>
    </row>
    <row r="140" spans="27:28">
      <c r="AA140" s="31"/>
      <c r="AB140" s="31"/>
    </row>
    <row r="141" spans="27:28">
      <c r="AA141" s="31"/>
      <c r="AB141" s="31"/>
    </row>
    <row r="142" spans="27:28">
      <c r="AA142" s="31"/>
      <c r="AB142" s="31"/>
    </row>
    <row r="143" spans="27:28">
      <c r="AA143" s="31"/>
      <c r="AB143" s="31"/>
    </row>
    <row r="144" spans="27:28">
      <c r="AA144" s="31"/>
      <c r="AB144" s="31"/>
    </row>
    <row r="145" spans="27:28">
      <c r="AA145" s="31"/>
      <c r="AB145" s="31"/>
    </row>
    <row r="146" spans="27:28">
      <c r="AA146" s="31"/>
      <c r="AB146" s="31"/>
    </row>
    <row r="147" spans="27:28">
      <c r="AA147" s="31"/>
      <c r="AB147" s="31"/>
    </row>
    <row r="148" spans="27:28">
      <c r="AA148" s="31"/>
      <c r="AB148" s="31"/>
    </row>
    <row r="149" spans="27:28">
      <c r="AA149" s="31"/>
      <c r="AB149" s="31"/>
    </row>
    <row r="150" spans="27:28">
      <c r="AA150" s="31"/>
      <c r="AB150" s="31"/>
    </row>
    <row r="151" spans="27:28">
      <c r="AA151" s="31"/>
      <c r="AB151" s="31"/>
    </row>
    <row r="152" spans="27:28">
      <c r="AA152" s="31"/>
      <c r="AB152" s="31"/>
    </row>
    <row r="153" spans="27:28">
      <c r="AA153" s="31"/>
      <c r="AB153" s="31"/>
    </row>
    <row r="154" spans="27:28">
      <c r="AA154" s="31"/>
      <c r="AB154" s="31"/>
    </row>
    <row r="155" spans="27:28">
      <c r="AA155" s="31"/>
      <c r="AB155" s="31"/>
    </row>
    <row r="156" spans="27:28">
      <c r="AA156" s="31"/>
      <c r="AB156" s="31"/>
    </row>
    <row r="157" spans="27:28">
      <c r="AA157" s="31"/>
      <c r="AB157" s="31"/>
    </row>
    <row r="158" spans="27:28">
      <c r="AA158" s="31"/>
      <c r="AB158" s="31"/>
    </row>
    <row r="159" spans="27:28">
      <c r="AA159" s="31"/>
      <c r="AB159" s="31"/>
    </row>
    <row r="160" spans="27:28">
      <c r="AA160" s="31"/>
      <c r="AB160" s="31"/>
    </row>
    <row r="161" spans="27:28">
      <c r="AA161" s="31"/>
      <c r="AB161" s="31"/>
    </row>
    <row r="162" spans="27:28">
      <c r="AA162" s="31"/>
      <c r="AB162" s="31"/>
    </row>
    <row r="163" spans="27:28">
      <c r="AA163" s="31"/>
      <c r="AB163" s="31"/>
    </row>
    <row r="164" spans="27:28">
      <c r="AA164" s="31"/>
      <c r="AB164" s="31"/>
    </row>
    <row r="165" spans="27:28">
      <c r="AA165" s="31"/>
      <c r="AB165" s="31"/>
    </row>
    <row r="166" spans="27:28">
      <c r="AA166" s="31"/>
      <c r="AB166" s="31"/>
    </row>
    <row r="167" spans="27:28">
      <c r="AA167" s="31"/>
      <c r="AB167" s="31"/>
    </row>
    <row r="168" spans="27:28">
      <c r="AA168" s="31"/>
      <c r="AB168" s="31"/>
    </row>
    <row r="169" spans="27:28">
      <c r="AA169" s="31"/>
      <c r="AB169" s="31"/>
    </row>
    <row r="170" spans="27:28">
      <c r="AA170" s="31"/>
      <c r="AB170" s="31"/>
    </row>
    <row r="171" spans="27:28">
      <c r="AA171" s="31"/>
      <c r="AB171" s="31"/>
    </row>
    <row r="172" spans="27:28">
      <c r="AA172" s="31"/>
      <c r="AB172" s="31"/>
    </row>
    <row r="173" spans="27:28">
      <c r="AA173" s="31"/>
      <c r="AB173" s="31"/>
    </row>
    <row r="174" spans="27:28">
      <c r="AA174" s="31"/>
      <c r="AB174" s="31"/>
    </row>
    <row r="175" spans="27:28">
      <c r="AA175" s="31"/>
      <c r="AB175" s="31"/>
    </row>
    <row r="176" spans="27:28">
      <c r="AA176" s="31"/>
      <c r="AB176" s="31"/>
    </row>
    <row r="177" spans="27:28">
      <c r="AA177" s="31"/>
      <c r="AB177" s="31"/>
    </row>
    <row r="178" spans="27:28">
      <c r="AA178" s="31"/>
      <c r="AB178" s="31"/>
    </row>
    <row r="179" spans="27:28">
      <c r="AA179" s="31"/>
      <c r="AB179" s="31"/>
    </row>
    <row r="180" spans="27:28">
      <c r="AA180" s="31"/>
      <c r="AB180" s="31"/>
    </row>
    <row r="181" spans="27:28">
      <c r="AA181" s="31"/>
      <c r="AB181" s="31"/>
    </row>
    <row r="182" spans="27:28">
      <c r="AA182" s="31"/>
      <c r="AB182" s="31"/>
    </row>
    <row r="183" spans="27:28">
      <c r="AA183" s="31"/>
      <c r="AB183" s="31"/>
    </row>
    <row r="184" spans="27:28">
      <c r="AA184" s="31"/>
      <c r="AB184" s="31"/>
    </row>
    <row r="185" spans="27:28">
      <c r="AA185" s="31"/>
      <c r="AB185" s="31"/>
    </row>
    <row r="186" spans="27:28">
      <c r="AA186" s="31"/>
      <c r="AB186" s="31"/>
    </row>
    <row r="187" spans="27:28">
      <c r="AA187" s="31"/>
      <c r="AB187" s="31"/>
    </row>
    <row r="188" spans="27:28">
      <c r="AA188" s="31"/>
      <c r="AB188" s="31"/>
    </row>
    <row r="189" spans="27:28">
      <c r="AA189" s="31"/>
      <c r="AB189" s="31"/>
    </row>
    <row r="190" spans="27:28">
      <c r="AA190" s="31"/>
      <c r="AB190" s="31"/>
    </row>
    <row r="191" spans="27:28">
      <c r="AA191" s="31"/>
      <c r="AB191" s="31"/>
    </row>
    <row r="192" spans="27:28">
      <c r="AA192" s="31"/>
      <c r="AB192" s="31"/>
    </row>
    <row r="193" spans="27:28">
      <c r="AA193" s="31"/>
      <c r="AB193" s="31"/>
    </row>
    <row r="194" spans="27:28">
      <c r="AA194" s="31"/>
      <c r="AB194" s="31"/>
    </row>
    <row r="195" spans="27:28">
      <c r="AA195" s="31"/>
      <c r="AB195" s="31"/>
    </row>
    <row r="196" spans="27:28">
      <c r="AA196" s="31"/>
      <c r="AB196" s="31"/>
    </row>
    <row r="197" spans="27:28">
      <c r="AA197" s="31"/>
      <c r="AB197" s="31"/>
    </row>
    <row r="198" spans="27:28">
      <c r="AA198" s="31"/>
      <c r="AB198" s="31"/>
    </row>
    <row r="199" spans="27:28">
      <c r="AA199" s="31"/>
      <c r="AB199" s="31"/>
    </row>
    <row r="200" spans="27:28">
      <c r="AA200" s="31"/>
      <c r="AB200" s="31"/>
    </row>
    <row r="201" spans="27:28">
      <c r="AA201" s="31"/>
      <c r="AB201" s="31"/>
    </row>
    <row r="202" spans="27:28">
      <c r="AA202" s="31"/>
      <c r="AB202" s="31"/>
    </row>
    <row r="203" spans="27:28">
      <c r="AA203" s="31"/>
      <c r="AB203" s="31"/>
    </row>
    <row r="204" spans="27:28">
      <c r="AA204" s="31"/>
      <c r="AB204" s="31"/>
    </row>
    <row r="205" spans="27:28">
      <c r="AA205" s="31"/>
      <c r="AB205" s="31"/>
    </row>
    <row r="206" spans="27:28">
      <c r="AA206" s="31"/>
      <c r="AB206" s="31"/>
    </row>
    <row r="207" spans="27:28">
      <c r="AA207" s="31"/>
      <c r="AB207" s="31"/>
    </row>
    <row r="208" spans="27:28">
      <c r="AA208" s="31"/>
      <c r="AB208" s="31"/>
    </row>
    <row r="209" spans="27:28">
      <c r="AA209" s="31"/>
      <c r="AB209" s="31"/>
    </row>
    <row r="210" spans="27:28">
      <c r="AA210" s="31"/>
      <c r="AB210" s="31"/>
    </row>
    <row r="211" spans="27:28">
      <c r="AA211" s="31"/>
      <c r="AB211" s="31"/>
    </row>
    <row r="212" spans="27:28">
      <c r="AA212" s="31"/>
      <c r="AB212" s="31"/>
    </row>
    <row r="213" spans="27:28">
      <c r="AA213" s="31"/>
      <c r="AB213" s="31"/>
    </row>
    <row r="214" spans="27:28">
      <c r="AA214" s="31"/>
      <c r="AB214" s="31"/>
    </row>
    <row r="215" spans="27:28">
      <c r="AA215" s="31"/>
      <c r="AB215" s="31"/>
    </row>
    <row r="216" spans="27:28">
      <c r="AA216" s="31"/>
      <c r="AB216" s="31"/>
    </row>
    <row r="217" spans="27:28">
      <c r="AA217" s="31"/>
      <c r="AB217" s="31"/>
    </row>
    <row r="218" spans="27:28">
      <c r="AA218" s="31"/>
      <c r="AB218" s="31"/>
    </row>
    <row r="219" spans="27:28">
      <c r="AA219" s="31"/>
      <c r="AB219" s="31"/>
    </row>
    <row r="220" spans="27:28">
      <c r="AA220" s="31"/>
      <c r="AB220" s="31"/>
    </row>
    <row r="221" spans="27:28">
      <c r="AA221" s="31"/>
      <c r="AB221" s="31"/>
    </row>
    <row r="222" spans="27:28">
      <c r="AA222" s="31"/>
      <c r="AB222" s="31"/>
    </row>
    <row r="223" spans="27:28">
      <c r="AA223" s="31"/>
      <c r="AB223" s="31"/>
    </row>
    <row r="224" spans="27:28">
      <c r="AA224" s="31"/>
      <c r="AB224" s="31"/>
    </row>
    <row r="225" spans="27:28">
      <c r="AA225" s="31"/>
      <c r="AB225" s="31"/>
    </row>
    <row r="226" spans="27:28">
      <c r="AA226" s="31"/>
      <c r="AB226" s="31"/>
    </row>
    <row r="227" spans="27:28">
      <c r="AA227" s="31"/>
      <c r="AB227" s="31"/>
    </row>
    <row r="228" spans="27:28">
      <c r="AA228" s="31"/>
      <c r="AB228" s="31"/>
    </row>
    <row r="229" spans="27:28">
      <c r="AA229" s="31"/>
      <c r="AB229" s="31"/>
    </row>
    <row r="230" spans="27:28">
      <c r="AA230" s="31"/>
      <c r="AB230" s="31"/>
    </row>
    <row r="231" spans="27:28">
      <c r="AA231" s="31"/>
      <c r="AB231" s="31"/>
    </row>
    <row r="232" spans="27:28">
      <c r="AA232" s="31"/>
      <c r="AB232" s="31"/>
    </row>
    <row r="233" spans="27:28">
      <c r="AA233" s="31"/>
      <c r="AB233" s="31"/>
    </row>
    <row r="234" spans="27:28">
      <c r="AA234" s="31"/>
      <c r="AB234" s="31"/>
    </row>
    <row r="235" spans="27:28">
      <c r="AA235" s="31"/>
      <c r="AB235" s="31"/>
    </row>
    <row r="236" spans="27:28">
      <c r="AA236" s="31"/>
      <c r="AB236" s="31"/>
    </row>
    <row r="237" spans="27:28">
      <c r="AA237" s="31"/>
      <c r="AB237" s="31"/>
    </row>
    <row r="238" spans="27:28">
      <c r="AA238" s="31"/>
      <c r="AB238" s="31"/>
    </row>
    <row r="239" spans="27:28">
      <c r="AA239" s="31"/>
      <c r="AB239" s="31"/>
    </row>
    <row r="240" spans="27:28">
      <c r="AA240" s="31"/>
      <c r="AB240" s="31"/>
    </row>
    <row r="241" spans="27:28">
      <c r="AA241" s="31"/>
      <c r="AB241" s="31"/>
    </row>
    <row r="242" spans="27:28">
      <c r="AA242" s="31"/>
      <c r="AB242" s="31"/>
    </row>
    <row r="243" spans="27:28">
      <c r="AA243" s="31"/>
      <c r="AB243" s="31"/>
    </row>
    <row r="244" spans="27:28">
      <c r="AA244" s="31"/>
      <c r="AB244" s="31"/>
    </row>
    <row r="245" spans="27:28">
      <c r="AA245" s="31"/>
      <c r="AB245" s="31"/>
    </row>
    <row r="246" spans="27:28">
      <c r="AA246" s="31"/>
      <c r="AB246" s="31"/>
    </row>
    <row r="247" spans="27:28">
      <c r="AA247" s="31"/>
      <c r="AB247" s="31"/>
    </row>
    <row r="248" spans="27:28">
      <c r="AA248" s="31"/>
      <c r="AB248" s="31"/>
    </row>
    <row r="249" spans="27:28">
      <c r="AA249" s="31"/>
      <c r="AB249" s="31"/>
    </row>
    <row r="250" spans="27:28">
      <c r="AA250" s="31"/>
      <c r="AB250" s="31"/>
    </row>
    <row r="251" spans="27:28">
      <c r="AA251" s="31"/>
      <c r="AB251" s="31"/>
    </row>
    <row r="252" spans="27:28">
      <c r="AA252" s="31"/>
      <c r="AB252" s="31"/>
    </row>
    <row r="253" spans="27:28">
      <c r="AA253" s="31"/>
      <c r="AB253" s="31"/>
    </row>
    <row r="254" spans="27:28">
      <c r="AA254" s="31"/>
      <c r="AB254" s="31"/>
    </row>
    <row r="255" spans="27:28">
      <c r="AA255" s="31"/>
      <c r="AB255" s="31"/>
    </row>
    <row r="256" spans="27:28">
      <c r="AA256" s="31"/>
      <c r="AB256" s="31"/>
    </row>
    <row r="257" spans="27:28">
      <c r="AA257" s="31"/>
      <c r="AB257" s="31"/>
    </row>
    <row r="258" spans="27:28">
      <c r="AA258" s="31"/>
      <c r="AB258" s="31"/>
    </row>
    <row r="259" spans="27:28">
      <c r="AA259" s="31"/>
      <c r="AB259" s="31"/>
    </row>
    <row r="260" spans="27:28">
      <c r="AA260" s="31"/>
      <c r="AB260" s="31"/>
    </row>
    <row r="261" spans="27:28">
      <c r="AA261" s="31"/>
      <c r="AB261" s="31"/>
    </row>
    <row r="262" spans="27:28">
      <c r="AA262" s="31"/>
      <c r="AB262" s="31"/>
    </row>
    <row r="263" spans="27:28">
      <c r="AA263" s="31"/>
      <c r="AB263" s="31"/>
    </row>
    <row r="264" spans="27:28">
      <c r="AA264" s="31"/>
      <c r="AB264" s="31"/>
    </row>
    <row r="265" spans="27:28">
      <c r="AA265" s="31"/>
      <c r="AB265" s="31"/>
    </row>
    <row r="266" spans="27:28">
      <c r="AA266" s="31"/>
      <c r="AB266" s="31"/>
    </row>
    <row r="267" spans="27:28">
      <c r="AA267" s="31"/>
      <c r="AB267" s="31"/>
    </row>
    <row r="268" spans="27:28">
      <c r="AA268" s="31"/>
      <c r="AB268" s="31"/>
    </row>
    <row r="269" spans="27:28">
      <c r="AA269" s="31"/>
      <c r="AB269" s="31"/>
    </row>
    <row r="270" spans="27:28">
      <c r="AA270" s="31"/>
      <c r="AB270" s="31"/>
    </row>
    <row r="271" spans="27:28">
      <c r="AA271" s="31"/>
      <c r="AB271" s="31"/>
    </row>
    <row r="272" spans="27:28">
      <c r="AA272" s="31"/>
      <c r="AB272" s="31"/>
    </row>
    <row r="273" spans="27:28">
      <c r="AA273" s="31"/>
      <c r="AB273" s="31"/>
    </row>
    <row r="274" spans="27:28">
      <c r="AA274" s="31"/>
      <c r="AB274" s="31"/>
    </row>
    <row r="275" spans="27:28">
      <c r="AA275" s="31"/>
      <c r="AB275" s="31"/>
    </row>
    <row r="276" spans="27:28">
      <c r="AA276" s="31"/>
      <c r="AB276" s="31"/>
    </row>
    <row r="277" spans="27:28">
      <c r="AA277" s="31"/>
      <c r="AB277" s="31"/>
    </row>
    <row r="278" spans="27:28">
      <c r="AA278" s="31"/>
      <c r="AB278" s="31"/>
    </row>
    <row r="279" spans="27:28">
      <c r="AA279" s="31"/>
      <c r="AB279" s="31"/>
    </row>
    <row r="280" spans="27:28">
      <c r="AA280" s="31"/>
      <c r="AB280" s="31"/>
    </row>
    <row r="281" spans="27:28">
      <c r="AA281" s="31"/>
      <c r="AB281" s="31"/>
    </row>
    <row r="282" spans="27:28">
      <c r="AA282" s="31"/>
      <c r="AB282" s="31"/>
    </row>
    <row r="283" spans="27:28">
      <c r="AA283" s="31"/>
      <c r="AB283" s="31"/>
    </row>
    <row r="284" spans="27:28">
      <c r="AA284" s="31"/>
      <c r="AB284" s="31"/>
    </row>
    <row r="285" spans="27:28">
      <c r="AA285" s="31"/>
      <c r="AB285" s="31"/>
    </row>
    <row r="286" spans="27:28">
      <c r="AA286" s="31"/>
      <c r="AB286" s="31"/>
    </row>
    <row r="287" spans="27:28">
      <c r="AA287" s="31"/>
      <c r="AB287" s="31"/>
    </row>
    <row r="288" spans="27:28">
      <c r="AA288" s="31"/>
      <c r="AB288" s="31"/>
    </row>
    <row r="289" spans="27:28">
      <c r="AA289" s="31"/>
      <c r="AB289" s="31"/>
    </row>
    <row r="290" spans="27:28">
      <c r="AA290" s="31"/>
      <c r="AB290" s="31"/>
    </row>
    <row r="291" spans="27:28">
      <c r="AA291" s="31"/>
      <c r="AB291" s="31"/>
    </row>
    <row r="292" spans="27:28">
      <c r="AA292" s="31"/>
      <c r="AB292" s="31"/>
    </row>
    <row r="293" spans="27:28">
      <c r="AA293" s="31"/>
      <c r="AB293" s="31"/>
    </row>
    <row r="294" spans="27:28">
      <c r="AA294" s="31"/>
      <c r="AB294" s="31"/>
    </row>
    <row r="295" spans="27:28">
      <c r="AA295" s="31"/>
      <c r="AB295" s="31"/>
    </row>
    <row r="296" spans="27:28">
      <c r="AA296" s="31"/>
      <c r="AB296" s="31"/>
    </row>
    <row r="297" spans="27:28">
      <c r="AA297" s="31"/>
      <c r="AB297" s="31"/>
    </row>
    <row r="298" spans="27:28">
      <c r="AA298" s="31"/>
      <c r="AB298" s="31"/>
    </row>
    <row r="299" spans="27:28">
      <c r="AA299" s="31"/>
      <c r="AB299" s="31"/>
    </row>
    <row r="300" spans="27:28">
      <c r="AA300" s="31"/>
      <c r="AB300" s="31"/>
    </row>
    <row r="301" spans="27:28">
      <c r="AA301" s="31"/>
      <c r="AB301" s="31"/>
    </row>
    <row r="302" spans="27:28">
      <c r="AA302" s="31"/>
      <c r="AB302" s="31"/>
    </row>
    <row r="303" spans="27:28">
      <c r="AA303" s="31"/>
      <c r="AB303" s="31"/>
    </row>
    <row r="304" spans="27:28">
      <c r="AA304" s="31"/>
      <c r="AB304" s="31"/>
    </row>
    <row r="305" spans="27:28">
      <c r="AA305" s="31"/>
      <c r="AB305" s="31"/>
    </row>
    <row r="306" spans="27:28">
      <c r="AA306" s="31"/>
      <c r="AB306" s="31"/>
    </row>
    <row r="307" spans="27:28">
      <c r="AA307" s="31"/>
      <c r="AB307" s="31"/>
    </row>
    <row r="308" spans="27:28">
      <c r="AA308" s="31"/>
      <c r="AB308" s="31"/>
    </row>
    <row r="309" spans="27:28">
      <c r="AA309" s="31"/>
      <c r="AB309" s="31"/>
    </row>
    <row r="310" spans="27:28">
      <c r="AA310" s="31"/>
      <c r="AB310" s="31"/>
    </row>
    <row r="311" spans="27:28">
      <c r="AA311" s="31"/>
      <c r="AB311" s="31"/>
    </row>
    <row r="312" spans="27:28">
      <c r="AA312" s="31"/>
      <c r="AB312" s="31"/>
    </row>
    <row r="313" spans="27:28">
      <c r="AA313" s="31"/>
      <c r="AB313" s="31"/>
    </row>
    <row r="314" spans="27:28">
      <c r="AA314" s="31"/>
      <c r="AB314" s="31"/>
    </row>
    <row r="315" spans="27:28">
      <c r="AA315" s="31"/>
      <c r="AB315" s="31"/>
    </row>
    <row r="316" spans="27:28">
      <c r="AA316" s="31"/>
      <c r="AB316" s="31"/>
    </row>
    <row r="317" spans="27:28">
      <c r="AA317" s="31"/>
      <c r="AB317" s="31"/>
    </row>
    <row r="318" spans="27:28">
      <c r="AA318" s="31"/>
      <c r="AB318" s="31"/>
    </row>
    <row r="319" spans="27:28">
      <c r="AA319" s="31"/>
      <c r="AB319" s="31"/>
    </row>
    <row r="320" spans="27:28">
      <c r="AA320" s="31"/>
      <c r="AB320" s="31"/>
    </row>
    <row r="321" spans="27:28">
      <c r="AA321" s="31"/>
      <c r="AB321" s="31"/>
    </row>
    <row r="322" spans="27:28">
      <c r="AA322" s="31"/>
      <c r="AB322" s="31"/>
    </row>
    <row r="323" spans="27:28">
      <c r="AA323" s="31"/>
      <c r="AB323" s="31"/>
    </row>
    <row r="324" spans="27:28">
      <c r="AA324" s="31"/>
      <c r="AB324" s="31"/>
    </row>
    <row r="325" spans="27:28">
      <c r="AA325" s="31"/>
      <c r="AB325" s="31"/>
    </row>
    <row r="326" spans="27:28">
      <c r="AA326" s="31"/>
      <c r="AB326" s="31"/>
    </row>
    <row r="327" spans="27:28">
      <c r="AA327" s="31"/>
      <c r="AB327" s="31"/>
    </row>
    <row r="328" spans="27:28">
      <c r="AA328" s="31"/>
      <c r="AB328" s="31"/>
    </row>
    <row r="329" spans="27:28">
      <c r="AA329" s="31"/>
      <c r="AB329" s="31"/>
    </row>
    <row r="330" spans="27:28">
      <c r="AA330" s="31"/>
      <c r="AB330" s="31"/>
    </row>
    <row r="331" spans="27:28">
      <c r="AA331" s="31"/>
      <c r="AB331" s="31"/>
    </row>
    <row r="332" spans="27:28">
      <c r="AA332" s="31"/>
      <c r="AB332" s="31"/>
    </row>
    <row r="333" spans="27:28">
      <c r="AA333" s="31"/>
      <c r="AB333" s="31"/>
    </row>
    <row r="334" spans="27:28">
      <c r="AA334" s="31"/>
      <c r="AB334" s="31"/>
    </row>
    <row r="335" spans="27:28">
      <c r="AA335" s="31"/>
      <c r="AB335" s="31"/>
    </row>
    <row r="336" spans="27:28">
      <c r="AA336" s="31"/>
      <c r="AB336" s="31"/>
    </row>
    <row r="337" spans="27:28">
      <c r="AA337" s="31"/>
      <c r="AB337" s="31"/>
    </row>
    <row r="338" spans="27:28">
      <c r="AA338" s="31"/>
      <c r="AB338" s="31"/>
    </row>
    <row r="339" spans="27:28">
      <c r="AA339" s="31"/>
      <c r="AB339" s="31"/>
    </row>
    <row r="340" spans="27:28">
      <c r="AA340" s="31"/>
      <c r="AB340" s="31"/>
    </row>
    <row r="341" spans="27:28">
      <c r="AA341" s="31"/>
      <c r="AB341" s="31"/>
    </row>
    <row r="342" spans="27:28">
      <c r="AA342" s="31"/>
      <c r="AB342" s="31"/>
    </row>
    <row r="343" spans="27:28">
      <c r="AA343" s="31"/>
      <c r="AB343" s="31"/>
    </row>
    <row r="344" spans="27:28">
      <c r="AA344" s="31"/>
      <c r="AB344" s="31"/>
    </row>
    <row r="345" spans="27:28">
      <c r="AA345" s="31"/>
      <c r="AB345" s="31"/>
    </row>
    <row r="346" spans="27:28">
      <c r="AA346" s="31"/>
      <c r="AB346" s="31"/>
    </row>
    <row r="347" spans="27:28">
      <c r="AA347" s="31"/>
      <c r="AB347" s="31"/>
    </row>
    <row r="348" spans="27:28">
      <c r="AA348" s="31"/>
      <c r="AB348" s="31"/>
    </row>
    <row r="349" spans="27:28">
      <c r="AA349" s="31"/>
      <c r="AB349" s="31"/>
    </row>
    <row r="350" spans="27:28">
      <c r="AA350" s="31"/>
      <c r="AB350" s="31"/>
    </row>
    <row r="351" spans="27:28">
      <c r="AA351" s="31"/>
      <c r="AB351" s="31"/>
    </row>
    <row r="352" spans="27:28">
      <c r="AA352" s="31"/>
      <c r="AB352" s="31"/>
    </row>
    <row r="353" spans="27:28">
      <c r="AA353" s="31"/>
      <c r="AB353" s="31"/>
    </row>
    <row r="354" spans="27:28">
      <c r="AA354" s="31"/>
      <c r="AB354" s="31"/>
    </row>
    <row r="355" spans="27:28">
      <c r="AA355" s="31"/>
      <c r="AB355" s="31"/>
    </row>
    <row r="356" spans="27:28">
      <c r="AA356" s="31"/>
      <c r="AB356" s="31"/>
    </row>
    <row r="357" spans="27:28">
      <c r="AA357" s="31"/>
      <c r="AB357" s="31"/>
    </row>
    <row r="358" spans="27:28">
      <c r="AA358" s="31"/>
      <c r="AB358" s="31"/>
    </row>
    <row r="359" spans="27:28">
      <c r="AA359" s="31"/>
      <c r="AB359" s="31"/>
    </row>
    <row r="360" spans="27:28">
      <c r="AA360" s="31"/>
      <c r="AB360" s="31"/>
    </row>
    <row r="361" spans="27:28">
      <c r="AA361" s="31"/>
      <c r="AB361" s="31"/>
    </row>
    <row r="362" spans="27:28">
      <c r="AA362" s="31"/>
      <c r="AB362" s="31"/>
    </row>
    <row r="363" spans="27:28">
      <c r="AA363" s="31"/>
      <c r="AB363" s="31"/>
    </row>
    <row r="364" spans="27:28">
      <c r="AA364" s="31"/>
      <c r="AB364" s="31"/>
    </row>
    <row r="365" spans="27:28">
      <c r="AA365" s="31"/>
      <c r="AB365" s="31"/>
    </row>
    <row r="366" spans="27:28">
      <c r="AA366" s="31"/>
      <c r="AB366" s="31"/>
    </row>
    <row r="367" spans="27:28">
      <c r="AA367" s="31"/>
      <c r="AB367" s="31"/>
    </row>
    <row r="368" spans="27:28">
      <c r="AA368" s="31"/>
      <c r="AB368" s="31"/>
    </row>
    <row r="369" spans="27:28">
      <c r="AA369" s="31"/>
      <c r="AB369" s="31"/>
    </row>
    <row r="370" spans="27:28">
      <c r="AA370" s="31"/>
      <c r="AB370" s="31"/>
    </row>
    <row r="371" spans="27:28">
      <c r="AA371" s="31"/>
      <c r="AB371" s="31"/>
    </row>
    <row r="372" spans="27:28">
      <c r="AA372" s="31"/>
      <c r="AB372" s="31"/>
    </row>
    <row r="373" spans="27:28">
      <c r="AA373" s="31"/>
      <c r="AB373" s="31"/>
    </row>
    <row r="374" spans="27:28">
      <c r="AA374" s="31"/>
      <c r="AB374" s="31"/>
    </row>
    <row r="375" spans="27:28">
      <c r="AA375" s="31"/>
      <c r="AB375" s="31"/>
    </row>
    <row r="376" spans="27:28">
      <c r="AA376" s="31"/>
      <c r="AB376" s="31"/>
    </row>
    <row r="377" spans="27:28">
      <c r="AA377" s="31"/>
      <c r="AB377" s="31"/>
    </row>
    <row r="378" spans="27:28">
      <c r="AA378" s="31"/>
      <c r="AB378" s="31"/>
    </row>
    <row r="379" spans="27:28">
      <c r="AA379" s="31"/>
      <c r="AB379" s="31"/>
    </row>
    <row r="380" spans="27:28">
      <c r="AA380" s="31"/>
      <c r="AB380" s="31"/>
    </row>
    <row r="381" spans="27:28">
      <c r="AA381" s="31"/>
      <c r="AB381" s="31"/>
    </row>
    <row r="382" spans="27:28">
      <c r="AA382" s="31"/>
      <c r="AB382" s="31"/>
    </row>
    <row r="383" spans="27:28">
      <c r="AA383" s="31"/>
      <c r="AB383" s="31"/>
    </row>
    <row r="384" spans="27:28">
      <c r="AA384" s="31"/>
      <c r="AB384" s="31"/>
    </row>
    <row r="385" spans="27:28">
      <c r="AA385" s="31"/>
      <c r="AB385" s="31"/>
    </row>
    <row r="386" spans="27:28">
      <c r="AA386" s="31"/>
      <c r="AB386" s="31"/>
    </row>
    <row r="387" spans="27:28">
      <c r="AA387" s="31"/>
      <c r="AB387" s="31"/>
    </row>
    <row r="388" spans="27:28">
      <c r="AA388" s="31"/>
      <c r="AB388" s="31"/>
    </row>
    <row r="389" spans="27:28">
      <c r="AA389" s="31"/>
      <c r="AB389" s="31"/>
    </row>
    <row r="390" spans="27:28">
      <c r="AA390" s="31"/>
      <c r="AB390" s="31"/>
    </row>
    <row r="391" spans="27:28">
      <c r="AA391" s="31"/>
      <c r="AB391" s="31"/>
    </row>
    <row r="392" spans="27:28">
      <c r="AA392" s="31"/>
      <c r="AB392" s="31"/>
    </row>
    <row r="393" spans="27:28">
      <c r="AA393" s="31"/>
      <c r="AB393" s="31"/>
    </row>
    <row r="394" spans="27:28">
      <c r="AA394" s="31"/>
      <c r="AB394" s="31"/>
    </row>
    <row r="395" spans="27:28">
      <c r="AA395" s="31"/>
      <c r="AB395" s="31"/>
    </row>
    <row r="396" spans="27:28">
      <c r="AA396" s="31"/>
      <c r="AB396" s="31"/>
    </row>
    <row r="397" spans="27:28">
      <c r="AA397" s="31"/>
      <c r="AB397" s="31"/>
    </row>
    <row r="398" spans="27:28">
      <c r="AA398" s="31"/>
      <c r="AB398" s="31"/>
    </row>
    <row r="399" spans="27:28">
      <c r="AA399" s="31"/>
      <c r="AB399" s="31"/>
    </row>
    <row r="400" spans="27:28">
      <c r="AA400" s="31"/>
      <c r="AB400" s="31"/>
    </row>
    <row r="401" spans="27:28">
      <c r="AA401" s="31"/>
      <c r="AB401" s="31"/>
    </row>
    <row r="402" spans="27:28">
      <c r="AA402" s="31"/>
      <c r="AB402" s="31"/>
    </row>
    <row r="403" spans="27:28">
      <c r="AA403" s="31"/>
      <c r="AB403" s="31"/>
    </row>
    <row r="404" spans="27:28">
      <c r="AA404" s="31"/>
      <c r="AB404" s="31"/>
    </row>
    <row r="405" spans="27:28">
      <c r="AA405" s="31"/>
      <c r="AB405" s="31"/>
    </row>
    <row r="406" spans="27:28">
      <c r="AA406" s="31"/>
      <c r="AB406" s="31"/>
    </row>
    <row r="407" spans="27:28">
      <c r="AA407" s="31"/>
      <c r="AB407" s="31"/>
    </row>
    <row r="408" spans="27:28">
      <c r="AA408" s="31"/>
      <c r="AB408" s="31"/>
    </row>
    <row r="409" spans="27:28">
      <c r="AA409" s="31"/>
      <c r="AB409" s="31"/>
    </row>
    <row r="410" spans="27:28">
      <c r="AA410" s="31"/>
      <c r="AB410" s="31"/>
    </row>
    <row r="411" spans="27:28">
      <c r="AA411" s="31"/>
      <c r="AB411" s="31"/>
    </row>
    <row r="412" spans="27:28">
      <c r="AA412" s="31"/>
      <c r="AB412" s="31"/>
    </row>
    <row r="413" spans="27:28">
      <c r="AA413" s="31"/>
      <c r="AB413" s="31"/>
    </row>
    <row r="414" spans="27:28">
      <c r="AA414" s="31"/>
      <c r="AB414" s="31"/>
    </row>
    <row r="415" spans="27:28">
      <c r="AA415" s="31"/>
      <c r="AB415" s="31"/>
    </row>
    <row r="416" spans="27:28">
      <c r="AA416" s="31"/>
      <c r="AB416" s="31"/>
    </row>
    <row r="417" spans="27:28">
      <c r="AA417" s="31"/>
      <c r="AB417" s="31"/>
    </row>
    <row r="418" spans="27:28">
      <c r="AA418" s="31"/>
      <c r="AB418" s="31"/>
    </row>
    <row r="419" spans="27:28">
      <c r="AA419" s="31"/>
      <c r="AB419" s="31"/>
    </row>
    <row r="420" spans="27:28">
      <c r="AA420" s="31"/>
      <c r="AB420" s="31"/>
    </row>
    <row r="421" spans="27:28">
      <c r="AA421" s="31"/>
      <c r="AB421" s="31"/>
    </row>
    <row r="422" spans="27:28">
      <c r="AA422" s="31"/>
      <c r="AB422" s="31"/>
    </row>
    <row r="423" spans="27:28">
      <c r="AA423" s="31"/>
      <c r="AB423" s="31"/>
    </row>
    <row r="424" spans="27:28">
      <c r="AA424" s="31"/>
      <c r="AB424" s="31"/>
    </row>
    <row r="425" spans="27:28">
      <c r="AA425" s="31"/>
      <c r="AB425" s="31"/>
    </row>
    <row r="426" spans="27:28">
      <c r="AA426" s="31"/>
      <c r="AB426" s="31"/>
    </row>
    <row r="427" spans="27:28">
      <c r="AA427" s="31"/>
      <c r="AB427" s="31"/>
    </row>
    <row r="428" spans="27:28">
      <c r="AA428" s="31"/>
      <c r="AB428" s="31"/>
    </row>
    <row r="429" spans="27:28">
      <c r="AA429" s="31"/>
      <c r="AB429" s="31"/>
    </row>
    <row r="430" spans="27:28">
      <c r="AA430" s="31"/>
      <c r="AB430" s="31"/>
    </row>
    <row r="431" spans="27:28">
      <c r="AA431" s="31"/>
      <c r="AB431" s="31"/>
    </row>
    <row r="432" spans="27:28">
      <c r="AA432" s="31"/>
      <c r="AB432" s="31"/>
    </row>
    <row r="433" spans="27:28">
      <c r="AA433" s="31"/>
      <c r="AB433" s="31"/>
    </row>
    <row r="434" spans="27:28">
      <c r="AA434" s="31"/>
      <c r="AB434" s="31"/>
    </row>
    <row r="435" spans="27:28">
      <c r="AA435" s="31"/>
      <c r="AB435" s="31"/>
    </row>
    <row r="436" spans="27:28">
      <c r="AA436" s="31"/>
      <c r="AB436" s="31"/>
    </row>
    <row r="437" spans="27:28">
      <c r="AA437" s="31"/>
      <c r="AB437" s="31"/>
    </row>
    <row r="438" spans="27:28">
      <c r="AA438" s="31"/>
      <c r="AB438" s="31"/>
    </row>
    <row r="439" spans="27:28">
      <c r="AA439" s="31"/>
      <c r="AB439" s="31"/>
    </row>
    <row r="440" spans="27:28">
      <c r="AA440" s="31"/>
      <c r="AB440" s="31"/>
    </row>
    <row r="441" spans="27:28">
      <c r="AA441" s="31"/>
      <c r="AB441" s="31"/>
    </row>
    <row r="442" spans="27:28">
      <c r="AA442" s="31"/>
      <c r="AB442" s="31"/>
    </row>
    <row r="443" spans="27:28">
      <c r="AA443" s="31"/>
      <c r="AB443" s="31"/>
    </row>
    <row r="444" spans="27:28">
      <c r="AA444" s="31"/>
      <c r="AB444" s="31"/>
    </row>
    <row r="445" spans="27:28">
      <c r="AA445" s="31"/>
      <c r="AB445" s="31"/>
    </row>
    <row r="446" spans="27:28">
      <c r="AA446" s="31"/>
      <c r="AB446" s="31"/>
    </row>
    <row r="447" spans="27:28">
      <c r="AA447" s="31"/>
      <c r="AB447" s="31"/>
    </row>
    <row r="448" spans="27:28">
      <c r="AA448" s="31"/>
      <c r="AB448" s="31"/>
    </row>
    <row r="449" spans="27:28">
      <c r="AA449" s="31"/>
      <c r="AB449" s="31"/>
    </row>
    <row r="450" spans="27:28">
      <c r="AA450" s="31"/>
      <c r="AB450" s="31"/>
    </row>
    <row r="451" spans="27:28">
      <c r="AA451" s="31"/>
      <c r="AB451" s="31"/>
    </row>
    <row r="452" spans="27:28">
      <c r="AA452" s="31"/>
      <c r="AB452" s="31"/>
    </row>
    <row r="453" spans="27:28">
      <c r="AA453" s="31"/>
      <c r="AB453" s="31"/>
    </row>
    <row r="454" spans="27:28">
      <c r="AA454" s="31"/>
      <c r="AB454" s="31"/>
    </row>
    <row r="455" spans="27:28">
      <c r="AA455" s="31"/>
      <c r="AB455" s="31"/>
    </row>
    <row r="456" spans="27:28">
      <c r="AA456" s="31"/>
      <c r="AB456" s="31"/>
    </row>
    <row r="457" spans="27:28">
      <c r="AA457" s="31"/>
      <c r="AB457" s="31"/>
    </row>
    <row r="458" spans="27:28">
      <c r="AA458" s="31"/>
      <c r="AB458" s="31"/>
    </row>
    <row r="459" spans="27:28">
      <c r="AA459" s="31"/>
      <c r="AB459" s="31"/>
    </row>
    <row r="460" spans="27:28">
      <c r="AA460" s="31"/>
      <c r="AB460" s="31"/>
    </row>
    <row r="461" spans="27:28">
      <c r="AA461" s="31"/>
      <c r="AB461" s="31"/>
    </row>
    <row r="462" spans="27:28">
      <c r="AA462" s="31"/>
      <c r="AB462" s="31"/>
    </row>
    <row r="463" spans="27:28">
      <c r="AA463" s="31"/>
      <c r="AB463" s="31"/>
    </row>
    <row r="464" spans="27:28">
      <c r="AA464" s="31"/>
      <c r="AB464" s="31"/>
    </row>
    <row r="465" spans="27:28">
      <c r="AA465" s="31"/>
      <c r="AB465" s="31"/>
    </row>
    <row r="466" spans="27:28">
      <c r="AA466" s="31"/>
      <c r="AB466" s="31"/>
    </row>
    <row r="467" spans="27:28">
      <c r="AA467" s="31"/>
      <c r="AB467" s="31"/>
    </row>
    <row r="468" spans="27:28">
      <c r="AA468" s="31"/>
      <c r="AB468" s="31"/>
    </row>
    <row r="469" spans="27:28">
      <c r="AA469" s="31"/>
      <c r="AB469" s="31"/>
    </row>
    <row r="470" spans="27:28">
      <c r="AA470" s="31"/>
      <c r="AB470" s="31"/>
    </row>
    <row r="471" spans="27:28">
      <c r="AA471" s="31"/>
      <c r="AB471" s="31"/>
    </row>
    <row r="472" spans="27:28">
      <c r="AA472" s="31"/>
      <c r="AB472" s="31"/>
    </row>
    <row r="473" spans="27:28">
      <c r="AA473" s="31"/>
      <c r="AB473" s="31"/>
    </row>
    <row r="474" spans="27:28">
      <c r="AA474" s="31"/>
      <c r="AB474" s="31"/>
    </row>
    <row r="475" spans="27:28">
      <c r="AA475" s="31"/>
      <c r="AB475" s="31"/>
    </row>
    <row r="476" spans="27:28">
      <c r="AA476" s="31"/>
      <c r="AB476" s="31"/>
    </row>
    <row r="477" spans="27:28">
      <c r="AA477" s="31"/>
      <c r="AB477" s="31"/>
    </row>
    <row r="478" spans="27:28">
      <c r="AA478" s="31"/>
      <c r="AB478" s="31"/>
    </row>
    <row r="479" spans="27:28">
      <c r="AA479" s="31"/>
      <c r="AB479" s="31"/>
    </row>
    <row r="480" spans="27:28">
      <c r="AA480" s="31"/>
      <c r="AB480" s="31"/>
    </row>
    <row r="481" spans="27:28">
      <c r="AA481" s="31"/>
      <c r="AB481" s="31"/>
    </row>
    <row r="482" spans="27:28">
      <c r="AA482" s="31"/>
      <c r="AB482" s="31"/>
    </row>
    <row r="483" spans="27:28">
      <c r="AA483" s="31"/>
      <c r="AB483" s="31"/>
    </row>
    <row r="484" spans="27:28">
      <c r="AA484" s="31"/>
      <c r="AB484" s="31"/>
    </row>
    <row r="485" spans="27:28">
      <c r="AA485" s="31"/>
      <c r="AB485" s="31"/>
    </row>
    <row r="486" spans="27:28">
      <c r="AA486" s="31"/>
      <c r="AB486" s="31"/>
    </row>
    <row r="487" spans="27:28">
      <c r="AA487" s="31"/>
      <c r="AB487" s="31"/>
    </row>
    <row r="488" spans="27:28">
      <c r="AA488" s="31"/>
      <c r="AB488" s="31"/>
    </row>
    <row r="489" spans="27:28">
      <c r="AA489" s="31"/>
      <c r="AB489" s="31"/>
    </row>
    <row r="490" spans="27:28">
      <c r="AA490" s="31"/>
      <c r="AB490" s="31"/>
    </row>
    <row r="491" spans="27:28">
      <c r="AA491" s="31"/>
      <c r="AB491" s="31"/>
    </row>
    <row r="492" spans="27:28">
      <c r="AA492" s="31"/>
      <c r="AB492" s="31"/>
    </row>
    <row r="493" spans="27:28">
      <c r="AA493" s="31"/>
      <c r="AB493" s="31"/>
    </row>
    <row r="494" spans="27:28">
      <c r="AA494" s="31"/>
      <c r="AB494" s="31"/>
    </row>
    <row r="495" spans="27:28">
      <c r="AA495" s="31"/>
      <c r="AB495" s="31"/>
    </row>
    <row r="496" spans="27:28">
      <c r="AA496" s="31"/>
      <c r="AB496" s="31"/>
    </row>
    <row r="497" spans="27:28">
      <c r="AA497" s="31"/>
      <c r="AB497" s="31"/>
    </row>
    <row r="498" spans="27:28">
      <c r="AA498" s="31"/>
      <c r="AB498" s="31"/>
    </row>
    <row r="499" spans="27:28">
      <c r="AA499" s="31"/>
      <c r="AB499" s="31"/>
    </row>
    <row r="500" spans="27:28">
      <c r="AA500" s="31"/>
      <c r="AB500" s="31"/>
    </row>
    <row r="501" spans="27:28">
      <c r="AA501" s="31"/>
      <c r="AB501" s="31"/>
    </row>
    <row r="502" spans="27:28">
      <c r="AA502" s="31"/>
      <c r="AB502" s="31"/>
    </row>
    <row r="503" spans="27:28">
      <c r="AA503" s="31"/>
      <c r="AB503" s="31"/>
    </row>
    <row r="504" spans="27:28">
      <c r="AA504" s="31"/>
      <c r="AB504" s="31"/>
    </row>
    <row r="505" spans="27:28">
      <c r="AA505" s="31"/>
      <c r="AB505" s="31"/>
    </row>
    <row r="506" spans="27:28">
      <c r="AA506" s="31"/>
      <c r="AB506" s="31"/>
    </row>
    <row r="507" spans="27:28">
      <c r="AA507" s="31"/>
      <c r="AB507" s="31"/>
    </row>
    <row r="508" spans="27:28">
      <c r="AA508" s="31"/>
      <c r="AB508" s="31"/>
    </row>
    <row r="509" spans="27:28">
      <c r="AA509" s="31"/>
      <c r="AB509" s="31"/>
    </row>
    <row r="510" spans="27:28">
      <c r="AA510" s="31"/>
      <c r="AB510" s="31"/>
    </row>
    <row r="511" spans="27:28">
      <c r="AA511" s="31"/>
      <c r="AB511" s="31"/>
    </row>
    <row r="512" spans="27:28">
      <c r="AA512" s="31"/>
      <c r="AB512" s="31"/>
    </row>
    <row r="513" spans="27:28">
      <c r="AA513" s="31"/>
      <c r="AB513" s="31"/>
    </row>
    <row r="514" spans="27:28">
      <c r="AA514" s="31"/>
      <c r="AB514" s="31"/>
    </row>
    <row r="515" spans="27:28">
      <c r="AA515" s="31"/>
      <c r="AB515" s="31"/>
    </row>
    <row r="516" spans="27:28">
      <c r="AA516" s="31"/>
      <c r="AB516" s="31"/>
    </row>
    <row r="517" spans="27:28">
      <c r="AA517" s="31"/>
      <c r="AB517" s="31"/>
    </row>
    <row r="518" spans="27:28">
      <c r="AA518" s="31"/>
      <c r="AB518" s="31"/>
    </row>
    <row r="519" spans="27:28">
      <c r="AA519" s="31"/>
      <c r="AB519" s="31"/>
    </row>
    <row r="520" spans="27:28">
      <c r="AA520" s="31"/>
      <c r="AB520" s="31"/>
    </row>
    <row r="521" spans="27:28">
      <c r="AA521" s="31"/>
      <c r="AB521" s="31"/>
    </row>
    <row r="522" spans="27:28">
      <c r="AA522" s="31"/>
      <c r="AB522" s="31"/>
    </row>
    <row r="523" spans="27:28">
      <c r="AA523" s="31"/>
      <c r="AB523" s="31"/>
    </row>
    <row r="524" spans="27:28">
      <c r="AA524" s="31"/>
      <c r="AB524" s="31"/>
    </row>
    <row r="525" spans="27:28">
      <c r="AA525" s="31"/>
      <c r="AB525" s="31"/>
    </row>
    <row r="526" spans="27:28">
      <c r="AA526" s="31"/>
      <c r="AB526" s="31"/>
    </row>
    <row r="527" spans="27:28">
      <c r="AA527" s="31"/>
      <c r="AB527" s="31"/>
    </row>
    <row r="528" spans="27:28">
      <c r="AA528" s="31"/>
      <c r="AB528" s="31"/>
    </row>
    <row r="529" spans="27:28">
      <c r="AA529" s="31"/>
      <c r="AB529" s="31"/>
    </row>
    <row r="530" spans="27:28">
      <c r="AA530" s="31"/>
      <c r="AB530" s="31"/>
    </row>
    <row r="531" spans="27:28">
      <c r="AA531" s="31"/>
      <c r="AB531" s="31"/>
    </row>
    <row r="532" spans="27:28">
      <c r="AA532" s="31"/>
      <c r="AB532" s="31"/>
    </row>
    <row r="533" spans="27:28">
      <c r="AA533" s="31"/>
      <c r="AB533" s="31"/>
    </row>
    <row r="534" spans="27:28">
      <c r="AA534" s="31"/>
      <c r="AB534" s="31"/>
    </row>
    <row r="535" spans="27:28">
      <c r="AA535" s="31"/>
      <c r="AB535" s="31"/>
    </row>
    <row r="536" spans="27:28">
      <c r="AA536" s="31"/>
      <c r="AB536" s="31"/>
    </row>
    <row r="537" spans="27:28">
      <c r="AA537" s="31"/>
      <c r="AB537" s="31"/>
    </row>
    <row r="538" spans="27:28">
      <c r="AA538" s="31"/>
      <c r="AB538" s="31"/>
    </row>
    <row r="539" spans="27:28">
      <c r="AA539" s="31"/>
      <c r="AB539" s="31"/>
    </row>
    <row r="540" spans="27:28">
      <c r="AA540" s="31"/>
      <c r="AB540" s="31"/>
    </row>
    <row r="541" spans="27:28">
      <c r="AA541" s="31"/>
      <c r="AB541" s="31"/>
    </row>
    <row r="542" spans="27:28">
      <c r="AA542" s="31"/>
      <c r="AB542" s="31"/>
    </row>
    <row r="543" spans="27:28">
      <c r="AA543" s="31"/>
      <c r="AB543" s="31"/>
    </row>
    <row r="544" spans="27:28">
      <c r="AA544" s="31"/>
      <c r="AB544" s="31"/>
    </row>
    <row r="545" spans="27:28">
      <c r="AA545" s="31"/>
      <c r="AB545" s="31"/>
    </row>
    <row r="546" spans="27:28">
      <c r="AA546" s="31"/>
      <c r="AB546" s="31"/>
    </row>
    <row r="547" spans="27:28">
      <c r="AA547" s="31"/>
      <c r="AB547" s="31"/>
    </row>
    <row r="548" spans="27:28">
      <c r="AA548" s="31"/>
      <c r="AB548" s="31"/>
    </row>
    <row r="549" spans="27:28">
      <c r="AA549" s="31"/>
      <c r="AB549" s="31"/>
    </row>
    <row r="550" spans="27:28">
      <c r="AA550" s="31"/>
      <c r="AB550" s="31"/>
    </row>
    <row r="551" spans="27:28">
      <c r="AA551" s="31"/>
      <c r="AB551" s="31"/>
    </row>
    <row r="552" spans="27:28">
      <c r="AA552" s="31"/>
      <c r="AB552" s="31"/>
    </row>
    <row r="553" spans="27:28">
      <c r="AA553" s="31"/>
      <c r="AB553" s="31"/>
    </row>
    <row r="554" spans="27:28">
      <c r="AA554" s="31"/>
      <c r="AB554" s="31"/>
    </row>
    <row r="555" spans="27:28">
      <c r="AA555" s="31"/>
      <c r="AB555" s="31"/>
    </row>
    <row r="556" spans="27:28">
      <c r="AA556" s="31"/>
      <c r="AB556" s="31"/>
    </row>
    <row r="557" spans="27:28">
      <c r="AA557" s="31"/>
      <c r="AB557" s="31"/>
    </row>
    <row r="558" spans="27:28">
      <c r="AA558" s="31"/>
      <c r="AB558" s="31"/>
    </row>
    <row r="559" spans="27:28">
      <c r="AA559" s="31"/>
      <c r="AB559" s="31"/>
    </row>
    <row r="560" spans="27:28">
      <c r="AA560" s="31"/>
      <c r="AB560" s="31"/>
    </row>
    <row r="561" spans="27:28">
      <c r="AA561" s="31"/>
      <c r="AB561" s="31"/>
    </row>
    <row r="562" spans="27:28">
      <c r="AA562" s="31"/>
      <c r="AB562" s="31"/>
    </row>
    <row r="563" spans="27:28">
      <c r="AA563" s="31"/>
      <c r="AB563" s="31"/>
    </row>
    <row r="564" spans="27:28">
      <c r="AA564" s="31"/>
      <c r="AB564" s="31"/>
    </row>
    <row r="565" spans="27:28">
      <c r="AA565" s="31"/>
      <c r="AB565" s="31"/>
    </row>
    <row r="566" spans="27:28">
      <c r="AA566" s="31"/>
      <c r="AB566" s="31"/>
    </row>
    <row r="567" spans="27:28">
      <c r="AA567" s="31"/>
      <c r="AB567" s="31"/>
    </row>
    <row r="568" spans="27:28">
      <c r="AA568" s="31"/>
      <c r="AB568" s="31"/>
    </row>
    <row r="569" spans="27:28">
      <c r="AA569" s="31"/>
      <c r="AB569" s="31"/>
    </row>
    <row r="570" spans="27:28">
      <c r="AA570" s="31"/>
      <c r="AB570" s="31"/>
    </row>
    <row r="571" spans="27:28">
      <c r="AA571" s="31"/>
      <c r="AB571" s="31"/>
    </row>
    <row r="572" spans="27:28">
      <c r="AA572" s="31"/>
      <c r="AB572" s="31"/>
    </row>
    <row r="573" spans="27:28">
      <c r="AA573" s="31"/>
      <c r="AB573" s="31"/>
    </row>
    <row r="574" spans="27:28">
      <c r="AA574" s="31"/>
      <c r="AB574" s="31"/>
    </row>
    <row r="575" spans="27:28">
      <c r="AA575" s="31"/>
      <c r="AB575" s="31"/>
    </row>
    <row r="576" spans="27:28">
      <c r="AA576" s="31"/>
      <c r="AB576" s="31"/>
    </row>
    <row r="577" spans="27:28">
      <c r="AA577" s="31"/>
      <c r="AB577" s="31"/>
    </row>
    <row r="578" spans="27:28">
      <c r="AA578" s="31"/>
      <c r="AB578" s="31"/>
    </row>
    <row r="579" spans="27:28">
      <c r="AA579" s="31"/>
      <c r="AB579" s="31"/>
    </row>
    <row r="580" spans="27:28">
      <c r="AA580" s="31"/>
      <c r="AB580" s="31"/>
    </row>
    <row r="581" spans="27:28">
      <c r="AA581" s="31"/>
      <c r="AB581" s="31"/>
    </row>
    <row r="582" spans="27:28">
      <c r="AA582" s="31"/>
      <c r="AB582" s="31"/>
    </row>
    <row r="583" spans="27:28">
      <c r="AA583" s="31"/>
      <c r="AB583" s="31"/>
    </row>
    <row r="584" spans="27:28">
      <c r="AA584" s="31"/>
      <c r="AB584" s="31"/>
    </row>
    <row r="585" spans="27:28">
      <c r="AA585" s="31"/>
      <c r="AB585" s="31"/>
    </row>
    <row r="586" spans="27:28">
      <c r="AA586" s="31"/>
      <c r="AB586" s="31"/>
    </row>
    <row r="587" spans="27:28">
      <c r="AA587" s="31"/>
      <c r="AB587" s="31"/>
    </row>
    <row r="588" spans="27:28">
      <c r="AA588" s="31"/>
      <c r="AB588" s="31"/>
    </row>
    <row r="589" spans="27:28">
      <c r="AA589" s="31"/>
      <c r="AB589" s="31"/>
    </row>
    <row r="590" spans="27:28">
      <c r="AA590" s="31"/>
      <c r="AB590" s="31"/>
    </row>
    <row r="591" spans="27:28">
      <c r="AA591" s="31"/>
      <c r="AB591" s="31"/>
    </row>
    <row r="592" spans="27:28">
      <c r="AA592" s="31"/>
      <c r="AB592" s="31"/>
    </row>
    <row r="593" spans="27:28">
      <c r="AA593" s="31"/>
      <c r="AB593" s="31"/>
    </row>
    <row r="594" spans="27:28">
      <c r="AA594" s="31"/>
      <c r="AB594" s="31"/>
    </row>
    <row r="595" spans="27:28">
      <c r="AA595" s="31"/>
      <c r="AB595" s="31"/>
    </row>
    <row r="596" spans="27:28">
      <c r="AA596" s="31"/>
      <c r="AB596" s="31"/>
    </row>
    <row r="597" spans="27:28">
      <c r="AA597" s="31"/>
      <c r="AB597" s="31"/>
    </row>
    <row r="598" spans="27:28">
      <c r="AA598" s="31"/>
      <c r="AB598" s="31"/>
    </row>
    <row r="599" spans="27:28">
      <c r="AA599" s="31"/>
      <c r="AB599" s="31"/>
    </row>
    <row r="600" spans="27:28">
      <c r="AA600" s="31"/>
      <c r="AB600" s="31"/>
    </row>
    <row r="601" spans="27:28">
      <c r="AA601" s="31"/>
      <c r="AB601" s="31"/>
    </row>
    <row r="602" spans="27:28">
      <c r="AA602" s="31"/>
      <c r="AB602" s="31"/>
    </row>
    <row r="603" spans="27:28">
      <c r="AA603" s="31"/>
      <c r="AB603" s="31"/>
    </row>
    <row r="604" spans="27:28">
      <c r="AA604" s="31"/>
      <c r="AB604" s="31"/>
    </row>
    <row r="605" spans="27:28">
      <c r="AA605" s="31"/>
      <c r="AB605" s="31"/>
    </row>
    <row r="606" spans="27:28">
      <c r="AA606" s="31"/>
      <c r="AB606" s="31"/>
    </row>
    <row r="607" spans="27:28">
      <c r="AA607" s="31"/>
      <c r="AB607" s="31"/>
    </row>
    <row r="608" spans="27:28">
      <c r="AA608" s="31"/>
      <c r="AB608" s="31"/>
    </row>
    <row r="609" spans="27:28">
      <c r="AA609" s="31"/>
      <c r="AB609" s="31"/>
    </row>
    <row r="610" spans="27:28">
      <c r="AA610" s="31"/>
      <c r="AB610" s="31"/>
    </row>
    <row r="611" spans="27:28">
      <c r="AA611" s="31"/>
      <c r="AB611" s="31"/>
    </row>
    <row r="612" spans="27:28">
      <c r="AA612" s="31"/>
      <c r="AB612" s="31"/>
    </row>
    <row r="613" spans="27:28">
      <c r="AA613" s="31"/>
      <c r="AB613" s="31"/>
    </row>
    <row r="614" spans="27:28">
      <c r="AA614" s="31"/>
      <c r="AB614" s="31"/>
    </row>
    <row r="615" spans="27:28">
      <c r="AA615" s="31"/>
      <c r="AB615" s="31"/>
    </row>
    <row r="616" spans="27:28">
      <c r="AA616" s="31"/>
      <c r="AB616" s="31"/>
    </row>
    <row r="617" spans="27:28">
      <c r="AA617" s="31"/>
      <c r="AB617" s="31"/>
    </row>
    <row r="618" spans="27:28">
      <c r="AA618" s="31"/>
      <c r="AB618" s="31"/>
    </row>
    <row r="619" spans="27:28">
      <c r="AA619" s="31"/>
      <c r="AB619" s="31"/>
    </row>
    <row r="620" spans="27:28">
      <c r="AA620" s="31"/>
      <c r="AB620" s="31"/>
    </row>
    <row r="621" spans="27:28">
      <c r="AA621" s="31"/>
      <c r="AB621" s="31"/>
    </row>
    <row r="622" spans="27:28">
      <c r="AA622" s="31"/>
      <c r="AB622" s="31"/>
    </row>
    <row r="623" spans="27:28">
      <c r="AA623" s="31"/>
      <c r="AB623" s="31"/>
    </row>
    <row r="624" spans="27:28">
      <c r="AA624" s="31"/>
      <c r="AB624" s="31"/>
    </row>
    <row r="625" spans="27:28">
      <c r="AA625" s="31"/>
      <c r="AB625" s="31"/>
    </row>
    <row r="626" spans="27:28">
      <c r="AA626" s="31"/>
      <c r="AB626" s="31"/>
    </row>
    <row r="627" spans="27:28">
      <c r="AA627" s="31"/>
      <c r="AB627" s="31"/>
    </row>
    <row r="628" spans="27:28">
      <c r="AA628" s="31"/>
      <c r="AB628" s="31"/>
    </row>
    <row r="629" spans="27:28">
      <c r="AA629" s="31"/>
      <c r="AB629" s="31"/>
    </row>
    <row r="630" spans="27:28">
      <c r="AA630" s="31"/>
      <c r="AB630" s="31"/>
    </row>
    <row r="631" spans="27:28">
      <c r="AA631" s="31"/>
      <c r="AB631" s="31"/>
    </row>
    <row r="632" spans="27:28">
      <c r="AA632" s="31"/>
      <c r="AB632" s="31"/>
    </row>
    <row r="633" spans="27:28">
      <c r="AA633" s="31"/>
      <c r="AB633" s="31"/>
    </row>
    <row r="634" spans="27:28">
      <c r="AA634" s="31"/>
      <c r="AB634" s="31"/>
    </row>
    <row r="635" spans="27:28">
      <c r="AA635" s="31"/>
      <c r="AB635" s="31"/>
    </row>
    <row r="636" spans="27:28">
      <c r="AA636" s="31"/>
      <c r="AB636" s="31"/>
    </row>
    <row r="637" spans="27:28">
      <c r="AA637" s="31"/>
      <c r="AB637" s="31"/>
    </row>
    <row r="638" spans="27:28">
      <c r="AA638" s="31"/>
      <c r="AB638" s="31"/>
    </row>
    <row r="639" spans="27:28">
      <c r="AA639" s="31"/>
      <c r="AB639" s="31"/>
    </row>
    <row r="640" spans="27:28">
      <c r="AA640" s="31"/>
      <c r="AB640" s="31"/>
    </row>
    <row r="641" spans="27:28">
      <c r="AA641" s="31"/>
      <c r="AB641" s="31"/>
    </row>
    <row r="642" spans="27:28">
      <c r="AA642" s="31"/>
      <c r="AB642" s="31"/>
    </row>
    <row r="643" spans="27:28">
      <c r="AA643" s="31"/>
      <c r="AB643" s="31"/>
    </row>
    <row r="644" spans="27:28">
      <c r="AA644" s="31"/>
      <c r="AB644" s="31"/>
    </row>
    <row r="645" spans="27:28">
      <c r="AA645" s="31"/>
      <c r="AB645" s="31"/>
    </row>
    <row r="646" spans="27:28">
      <c r="AA646" s="31"/>
      <c r="AB646" s="31"/>
    </row>
    <row r="647" spans="27:28">
      <c r="AA647" s="31"/>
      <c r="AB647" s="31"/>
    </row>
    <row r="648" spans="27:28">
      <c r="AA648" s="31"/>
      <c r="AB648" s="31"/>
    </row>
    <row r="649" spans="27:28">
      <c r="AA649" s="31"/>
      <c r="AB649" s="31"/>
    </row>
    <row r="650" spans="27:28">
      <c r="AA650" s="31"/>
      <c r="AB650" s="31"/>
    </row>
    <row r="651" spans="27:28">
      <c r="AA651" s="31"/>
      <c r="AB651" s="31"/>
    </row>
    <row r="652" spans="27:28">
      <c r="AA652" s="31"/>
      <c r="AB652" s="31"/>
    </row>
    <row r="653" spans="27:28">
      <c r="AA653" s="31"/>
      <c r="AB653" s="31"/>
    </row>
    <row r="654" spans="27:28">
      <c r="AA654" s="31"/>
      <c r="AB654" s="31"/>
    </row>
    <row r="655" spans="27:28">
      <c r="AA655" s="31"/>
      <c r="AB655" s="31"/>
    </row>
    <row r="656" spans="27:28">
      <c r="AA656" s="31"/>
      <c r="AB656" s="31"/>
    </row>
    <row r="657" spans="27:28">
      <c r="AA657" s="31"/>
      <c r="AB657" s="31"/>
    </row>
    <row r="658" spans="27:28">
      <c r="AA658" s="31"/>
      <c r="AB658" s="31"/>
    </row>
    <row r="659" spans="27:28">
      <c r="AA659" s="31"/>
      <c r="AB659" s="31"/>
    </row>
    <row r="660" spans="27:28">
      <c r="AA660" s="31"/>
      <c r="AB660" s="31"/>
    </row>
    <row r="661" spans="27:28">
      <c r="AA661" s="31"/>
      <c r="AB661" s="31"/>
    </row>
    <row r="662" spans="27:28">
      <c r="AA662" s="31"/>
      <c r="AB662" s="31"/>
    </row>
    <row r="663" spans="27:28">
      <c r="AA663" s="31"/>
      <c r="AB663" s="31"/>
    </row>
    <row r="664" spans="27:28">
      <c r="AA664" s="31"/>
      <c r="AB664" s="31"/>
    </row>
    <row r="665" spans="27:28">
      <c r="AA665" s="31"/>
      <c r="AB665" s="31"/>
    </row>
    <row r="666" spans="27:28">
      <c r="AA666" s="31"/>
      <c r="AB666" s="31"/>
    </row>
    <row r="667" spans="27:28">
      <c r="AA667" s="31"/>
      <c r="AB667" s="31"/>
    </row>
    <row r="668" spans="27:28">
      <c r="AA668" s="31"/>
      <c r="AB668" s="31"/>
    </row>
    <row r="669" spans="27:28">
      <c r="AA669" s="31"/>
      <c r="AB669" s="31"/>
    </row>
    <row r="670" spans="27:28">
      <c r="AA670" s="31"/>
      <c r="AB670" s="31"/>
    </row>
    <row r="671" spans="27:28">
      <c r="AA671" s="31"/>
      <c r="AB671" s="31"/>
    </row>
    <row r="672" spans="27:28">
      <c r="AA672" s="31"/>
      <c r="AB672" s="31"/>
    </row>
    <row r="673" spans="27:28">
      <c r="AA673" s="31"/>
      <c r="AB673" s="31"/>
    </row>
    <row r="674" spans="27:28">
      <c r="AA674" s="31"/>
      <c r="AB674" s="31"/>
    </row>
    <row r="675" spans="27:28">
      <c r="AA675" s="31"/>
      <c r="AB675" s="31"/>
    </row>
    <row r="676" spans="27:28">
      <c r="AA676" s="31"/>
      <c r="AB676" s="31"/>
    </row>
    <row r="677" spans="27:28">
      <c r="AA677" s="31"/>
      <c r="AB677" s="31"/>
    </row>
    <row r="678" spans="27:28">
      <c r="AA678" s="31"/>
      <c r="AB678" s="31"/>
    </row>
    <row r="679" spans="27:28">
      <c r="AA679" s="31"/>
      <c r="AB679" s="31"/>
    </row>
    <row r="680" spans="27:28">
      <c r="AA680" s="31"/>
      <c r="AB680" s="31"/>
    </row>
    <row r="681" spans="27:28">
      <c r="AA681" s="31"/>
      <c r="AB681" s="31"/>
    </row>
    <row r="682" spans="27:28">
      <c r="AA682" s="31"/>
      <c r="AB682" s="31"/>
    </row>
    <row r="683" spans="27:28">
      <c r="AA683" s="31"/>
      <c r="AB683" s="31"/>
    </row>
    <row r="684" spans="27:28">
      <c r="AA684" s="31"/>
      <c r="AB684" s="31"/>
    </row>
    <row r="685" spans="27:28">
      <c r="AA685" s="31"/>
      <c r="AB685" s="31"/>
    </row>
    <row r="686" spans="27:28">
      <c r="AA686" s="31"/>
      <c r="AB686" s="31"/>
    </row>
    <row r="687" spans="27:28">
      <c r="AA687" s="31"/>
      <c r="AB687" s="31"/>
    </row>
    <row r="688" spans="27:28">
      <c r="AA688" s="31"/>
      <c r="AB688" s="31"/>
    </row>
    <row r="689" spans="27:28">
      <c r="AA689" s="31"/>
      <c r="AB689" s="31"/>
    </row>
    <row r="690" spans="27:28">
      <c r="AA690" s="31"/>
      <c r="AB690" s="31"/>
    </row>
    <row r="691" spans="27:28">
      <c r="AA691" s="31"/>
      <c r="AB691" s="31"/>
    </row>
    <row r="692" spans="27:28">
      <c r="AA692" s="31"/>
      <c r="AB692" s="31"/>
    </row>
    <row r="693" spans="27:28">
      <c r="AA693" s="31"/>
      <c r="AB693" s="31"/>
    </row>
    <row r="694" spans="27:28">
      <c r="AA694" s="31"/>
      <c r="AB694" s="31"/>
    </row>
    <row r="695" spans="27:28">
      <c r="AA695" s="31"/>
      <c r="AB695" s="31"/>
    </row>
    <row r="696" spans="27:28">
      <c r="AA696" s="31"/>
      <c r="AB696" s="31"/>
    </row>
    <row r="697" spans="27:28">
      <c r="AA697" s="31"/>
      <c r="AB697" s="31"/>
    </row>
    <row r="698" spans="27:28">
      <c r="AA698" s="31"/>
      <c r="AB698" s="31"/>
    </row>
    <row r="699" spans="27:28">
      <c r="AA699" s="31"/>
      <c r="AB699" s="31"/>
    </row>
    <row r="700" spans="27:28">
      <c r="AA700" s="31"/>
      <c r="AB700" s="31"/>
    </row>
    <row r="701" spans="27:28">
      <c r="AA701" s="31"/>
      <c r="AB701" s="31"/>
    </row>
    <row r="702" spans="27:28">
      <c r="AA702" s="31"/>
      <c r="AB702" s="31"/>
    </row>
    <row r="703" spans="27:28">
      <c r="AA703" s="31"/>
      <c r="AB703" s="31"/>
    </row>
    <row r="704" spans="27:28">
      <c r="AA704" s="31"/>
      <c r="AB704" s="31"/>
    </row>
    <row r="705" spans="27:28">
      <c r="AA705" s="31"/>
      <c r="AB705" s="31"/>
    </row>
    <row r="706" spans="27:28">
      <c r="AA706" s="31"/>
      <c r="AB706" s="31"/>
    </row>
    <row r="707" spans="27:28">
      <c r="AA707" s="31"/>
      <c r="AB707" s="31"/>
    </row>
    <row r="708" spans="27:28">
      <c r="AA708" s="31"/>
      <c r="AB708" s="31"/>
    </row>
    <row r="709" spans="27:28">
      <c r="AA709" s="31"/>
      <c r="AB709" s="31"/>
    </row>
    <row r="710" spans="27:28">
      <c r="AA710" s="31"/>
      <c r="AB710" s="31"/>
    </row>
    <row r="711" spans="27:28">
      <c r="AA711" s="31"/>
      <c r="AB711" s="31"/>
    </row>
    <row r="712" spans="27:28">
      <c r="AA712" s="31"/>
      <c r="AB712" s="31"/>
    </row>
    <row r="713" spans="27:28">
      <c r="AA713" s="31"/>
      <c r="AB713" s="31"/>
    </row>
    <row r="714" spans="27:28">
      <c r="AA714" s="31"/>
      <c r="AB714" s="31"/>
    </row>
    <row r="715" spans="27:28">
      <c r="AA715" s="31"/>
      <c r="AB715" s="31"/>
    </row>
    <row r="716" spans="27:28">
      <c r="AA716" s="31"/>
      <c r="AB716" s="31"/>
    </row>
    <row r="717" spans="27:28">
      <c r="AA717" s="31"/>
      <c r="AB717" s="31"/>
    </row>
    <row r="718" spans="27:28">
      <c r="AA718" s="31"/>
      <c r="AB718" s="31"/>
    </row>
    <row r="719" spans="27:28">
      <c r="AA719" s="31"/>
      <c r="AB719" s="31"/>
    </row>
    <row r="720" spans="27:28">
      <c r="AA720" s="31"/>
      <c r="AB720" s="31"/>
    </row>
    <row r="721" spans="27:28">
      <c r="AA721" s="31"/>
      <c r="AB721" s="31"/>
    </row>
    <row r="722" spans="27:28">
      <c r="AA722" s="31"/>
      <c r="AB722" s="31"/>
    </row>
    <row r="723" spans="27:28">
      <c r="AA723" s="31"/>
      <c r="AB723" s="31"/>
    </row>
    <row r="724" spans="27:28">
      <c r="AA724" s="31"/>
      <c r="AB724" s="31"/>
    </row>
    <row r="725" spans="27:28">
      <c r="AA725" s="31"/>
      <c r="AB725" s="31"/>
    </row>
    <row r="726" spans="27:28">
      <c r="AA726" s="31"/>
      <c r="AB726" s="31"/>
    </row>
    <row r="727" spans="27:28">
      <c r="AA727" s="31"/>
      <c r="AB727" s="31"/>
    </row>
    <row r="728" spans="27:28">
      <c r="AA728" s="31"/>
      <c r="AB728" s="31"/>
    </row>
    <row r="729" spans="27:28">
      <c r="AA729" s="31"/>
      <c r="AB729" s="31"/>
    </row>
    <row r="730" spans="27:28">
      <c r="AA730" s="31"/>
      <c r="AB730" s="31"/>
    </row>
    <row r="731" spans="27:28">
      <c r="AA731" s="31"/>
      <c r="AB731" s="31"/>
    </row>
    <row r="732" spans="27:28">
      <c r="AA732" s="31"/>
      <c r="AB732" s="31"/>
    </row>
    <row r="733" spans="27:28">
      <c r="AA733" s="31"/>
      <c r="AB733" s="31"/>
    </row>
    <row r="734" spans="27:28">
      <c r="AA734" s="31"/>
      <c r="AB734" s="31"/>
    </row>
    <row r="735" spans="27:28">
      <c r="AA735" s="31"/>
      <c r="AB735" s="31"/>
    </row>
    <row r="736" spans="27:28">
      <c r="AA736" s="31"/>
      <c r="AB736" s="31"/>
    </row>
    <row r="737" spans="27:28">
      <c r="AA737" s="31"/>
      <c r="AB737" s="31"/>
    </row>
    <row r="738" spans="27:28">
      <c r="AA738" s="31"/>
      <c r="AB738" s="31"/>
    </row>
    <row r="739" spans="27:28">
      <c r="AA739" s="31"/>
      <c r="AB739" s="31"/>
    </row>
    <row r="740" spans="27:28">
      <c r="AA740" s="31"/>
      <c r="AB740" s="31"/>
    </row>
    <row r="741" spans="27:28">
      <c r="AA741" s="31"/>
      <c r="AB741" s="31"/>
    </row>
    <row r="742" spans="27:28">
      <c r="AA742" s="31"/>
      <c r="AB742" s="31"/>
    </row>
    <row r="743" spans="27:28">
      <c r="AA743" s="31"/>
      <c r="AB743" s="31"/>
    </row>
    <row r="744" spans="27:28">
      <c r="AA744" s="31"/>
      <c r="AB744" s="31"/>
    </row>
    <row r="745" spans="27:28">
      <c r="AA745" s="31"/>
      <c r="AB745" s="31"/>
    </row>
    <row r="746" spans="27:28">
      <c r="AA746" s="31"/>
      <c r="AB746" s="31"/>
    </row>
    <row r="747" spans="27:28">
      <c r="AA747" s="31"/>
      <c r="AB747" s="31"/>
    </row>
    <row r="748" spans="27:28">
      <c r="AA748" s="31"/>
      <c r="AB748" s="31"/>
    </row>
    <row r="749" spans="27:28">
      <c r="AA749" s="31"/>
      <c r="AB749" s="31"/>
    </row>
    <row r="750" spans="27:28">
      <c r="AA750" s="31"/>
      <c r="AB750" s="31"/>
    </row>
    <row r="751" spans="27:28">
      <c r="AA751" s="31"/>
      <c r="AB751" s="31"/>
    </row>
    <row r="752" spans="27:28">
      <c r="AA752" s="31"/>
      <c r="AB752" s="31"/>
    </row>
    <row r="753" spans="27:28">
      <c r="AA753" s="31"/>
      <c r="AB753" s="31"/>
    </row>
    <row r="754" spans="27:28">
      <c r="AA754" s="31"/>
      <c r="AB754" s="31"/>
    </row>
    <row r="755" spans="27:28">
      <c r="AA755" s="31"/>
      <c r="AB755" s="31"/>
    </row>
    <row r="756" spans="27:28">
      <c r="AA756" s="31"/>
      <c r="AB756" s="31"/>
    </row>
    <row r="757" spans="27:28">
      <c r="AA757" s="31"/>
      <c r="AB757" s="31"/>
    </row>
    <row r="758" spans="27:28">
      <c r="AA758" s="31"/>
      <c r="AB758" s="31"/>
    </row>
    <row r="759" spans="27:28">
      <c r="AA759" s="31"/>
      <c r="AB759" s="31"/>
    </row>
    <row r="760" spans="27:28">
      <c r="AA760" s="31"/>
      <c r="AB760" s="31"/>
    </row>
    <row r="761" spans="27:28">
      <c r="AA761" s="31"/>
      <c r="AB761" s="31"/>
    </row>
    <row r="762" spans="27:28">
      <c r="AA762" s="31"/>
      <c r="AB762" s="31"/>
    </row>
    <row r="763" spans="27:28">
      <c r="AA763" s="31"/>
      <c r="AB763" s="31"/>
    </row>
    <row r="764" spans="27:28">
      <c r="AA764" s="31"/>
      <c r="AB764" s="31"/>
    </row>
    <row r="765" spans="27:28">
      <c r="AA765" s="31"/>
      <c r="AB765" s="31"/>
    </row>
    <row r="766" spans="27:28">
      <c r="AA766" s="31"/>
      <c r="AB766" s="31"/>
    </row>
    <row r="767" spans="27:28">
      <c r="AA767" s="31"/>
      <c r="AB767" s="31"/>
    </row>
    <row r="768" spans="27:28">
      <c r="AA768" s="31"/>
      <c r="AB768" s="31"/>
    </row>
    <row r="769" spans="27:28">
      <c r="AA769" s="31"/>
      <c r="AB769" s="31"/>
    </row>
    <row r="770" spans="27:28">
      <c r="AA770" s="31"/>
      <c r="AB770" s="31"/>
    </row>
    <row r="771" spans="27:28">
      <c r="AA771" s="31"/>
      <c r="AB771" s="31"/>
    </row>
    <row r="772" spans="27:28">
      <c r="AA772" s="31"/>
      <c r="AB772" s="31"/>
    </row>
    <row r="773" spans="27:28">
      <c r="AA773" s="31"/>
      <c r="AB773" s="31"/>
    </row>
    <row r="774" spans="27:28">
      <c r="AA774" s="31"/>
      <c r="AB774" s="31"/>
    </row>
    <row r="775" spans="27:28">
      <c r="AA775" s="31"/>
      <c r="AB775" s="31"/>
    </row>
    <row r="776" spans="27:28">
      <c r="AA776" s="31"/>
      <c r="AB776" s="31"/>
    </row>
    <row r="777" spans="27:28">
      <c r="AA777" s="31"/>
      <c r="AB777" s="31"/>
    </row>
    <row r="778" spans="27:28">
      <c r="AA778" s="31"/>
      <c r="AB778" s="31"/>
    </row>
    <row r="779" spans="27:28">
      <c r="AA779" s="31"/>
      <c r="AB779" s="31"/>
    </row>
    <row r="780" spans="27:28">
      <c r="AA780" s="31"/>
      <c r="AB780" s="31"/>
    </row>
    <row r="781" spans="27:28">
      <c r="AA781" s="31"/>
      <c r="AB781" s="31"/>
    </row>
    <row r="782" spans="27:28">
      <c r="AA782" s="31"/>
      <c r="AB782" s="31"/>
    </row>
    <row r="783" spans="27:28">
      <c r="AA783" s="31"/>
      <c r="AB783" s="31"/>
    </row>
    <row r="784" spans="27:28">
      <c r="AA784" s="31"/>
      <c r="AB784" s="31"/>
    </row>
    <row r="785" spans="27:28">
      <c r="AA785" s="31"/>
      <c r="AB785" s="31"/>
    </row>
    <row r="786" spans="27:28">
      <c r="AA786" s="31"/>
      <c r="AB786" s="31"/>
    </row>
    <row r="787" spans="27:28">
      <c r="AA787" s="31"/>
      <c r="AB787" s="31"/>
    </row>
    <row r="788" spans="27:28">
      <c r="AA788" s="31"/>
      <c r="AB788" s="31"/>
    </row>
    <row r="789" spans="27:28">
      <c r="AA789" s="31"/>
      <c r="AB789" s="31"/>
    </row>
    <row r="790" spans="27:28">
      <c r="AA790" s="31"/>
      <c r="AB790" s="31"/>
    </row>
    <row r="791" spans="27:28">
      <c r="AA791" s="31"/>
      <c r="AB791" s="31"/>
    </row>
    <row r="792" spans="27:28">
      <c r="AA792" s="31"/>
      <c r="AB792" s="31"/>
    </row>
    <row r="793" spans="27:28">
      <c r="AA793" s="31"/>
      <c r="AB793" s="31"/>
    </row>
    <row r="794" spans="27:28">
      <c r="AA794" s="31"/>
      <c r="AB794" s="31"/>
    </row>
    <row r="795" spans="27:28">
      <c r="AA795" s="31"/>
      <c r="AB795" s="31"/>
    </row>
    <row r="796" spans="27:28">
      <c r="AA796" s="31"/>
      <c r="AB796" s="31"/>
    </row>
    <row r="797" spans="27:28">
      <c r="AA797" s="31"/>
      <c r="AB797" s="31"/>
    </row>
    <row r="798" spans="27:28">
      <c r="AA798" s="31"/>
      <c r="AB798" s="31"/>
    </row>
    <row r="799" spans="27:28">
      <c r="AA799" s="31"/>
      <c r="AB799" s="31"/>
    </row>
    <row r="800" spans="27:28">
      <c r="AA800" s="31"/>
      <c r="AB800" s="31"/>
    </row>
    <row r="801" spans="27:28">
      <c r="AA801" s="31"/>
      <c r="AB801" s="31"/>
    </row>
    <row r="802" spans="27:28">
      <c r="AA802" s="31"/>
      <c r="AB802" s="31"/>
    </row>
    <row r="803" spans="27:28">
      <c r="AA803" s="31"/>
      <c r="AB803" s="31"/>
    </row>
    <row r="804" spans="27:28">
      <c r="AA804" s="31"/>
      <c r="AB804" s="31"/>
    </row>
    <row r="805" spans="27:28">
      <c r="AA805" s="31"/>
      <c r="AB805" s="31"/>
    </row>
    <row r="806" spans="27:28">
      <c r="AA806" s="31"/>
      <c r="AB806" s="31"/>
    </row>
    <row r="807" spans="27:28">
      <c r="AA807" s="31"/>
      <c r="AB807" s="31"/>
    </row>
    <row r="808" spans="27:28">
      <c r="AA808" s="31"/>
      <c r="AB808" s="31"/>
    </row>
    <row r="809" spans="27:28">
      <c r="AA809" s="31"/>
      <c r="AB809" s="31"/>
    </row>
    <row r="810" spans="27:28">
      <c r="AA810" s="31"/>
      <c r="AB810" s="31"/>
    </row>
    <row r="811" spans="27:28">
      <c r="AA811" s="31"/>
      <c r="AB811" s="31"/>
    </row>
    <row r="812" spans="27:28">
      <c r="AA812" s="31"/>
      <c r="AB812" s="31"/>
    </row>
    <row r="813" spans="27:28">
      <c r="AA813" s="31"/>
      <c r="AB813" s="31"/>
    </row>
    <row r="814" spans="27:28">
      <c r="AA814" s="31"/>
      <c r="AB814" s="31"/>
    </row>
    <row r="815" spans="27:28">
      <c r="AA815" s="31"/>
      <c r="AB815" s="31"/>
    </row>
    <row r="816" spans="27:28">
      <c r="AA816" s="31"/>
      <c r="AB816" s="31"/>
    </row>
    <row r="817" spans="27:28">
      <c r="AA817" s="31"/>
      <c r="AB817" s="31"/>
    </row>
    <row r="818" spans="27:28">
      <c r="AA818" s="31"/>
      <c r="AB818" s="31"/>
    </row>
    <row r="819" spans="27:28">
      <c r="AA819" s="31"/>
      <c r="AB819" s="31"/>
    </row>
    <row r="820" spans="27:28">
      <c r="AA820" s="31"/>
      <c r="AB820" s="31"/>
    </row>
    <row r="821" spans="27:28">
      <c r="AA821" s="31"/>
      <c r="AB821" s="31"/>
    </row>
    <row r="822" spans="27:28">
      <c r="AA822" s="31"/>
      <c r="AB822" s="31"/>
    </row>
    <row r="823" spans="27:28">
      <c r="AA823" s="31"/>
      <c r="AB823" s="31"/>
    </row>
    <row r="824" spans="27:28">
      <c r="AA824" s="31"/>
      <c r="AB824" s="31"/>
    </row>
    <row r="825" spans="27:28">
      <c r="AA825" s="31"/>
      <c r="AB825" s="31"/>
    </row>
    <row r="826" spans="27:28">
      <c r="AA826" s="31"/>
      <c r="AB826" s="31"/>
    </row>
    <row r="827" spans="27:28">
      <c r="AA827" s="31"/>
      <c r="AB827" s="31"/>
    </row>
    <row r="828" spans="27:28">
      <c r="AA828" s="31"/>
      <c r="AB828" s="31"/>
    </row>
    <row r="829" spans="27:28">
      <c r="AA829" s="31"/>
      <c r="AB829" s="31"/>
    </row>
    <row r="830" spans="27:28">
      <c r="AA830" s="31"/>
      <c r="AB830" s="31"/>
    </row>
    <row r="831" spans="27:28">
      <c r="AA831" s="31"/>
      <c r="AB831" s="31"/>
    </row>
    <row r="832" spans="27:28">
      <c r="AA832" s="31"/>
      <c r="AB832" s="31"/>
    </row>
    <row r="833" spans="27:28">
      <c r="AA833" s="31"/>
      <c r="AB833" s="31"/>
    </row>
    <row r="834" spans="27:28">
      <c r="AA834" s="31"/>
      <c r="AB834" s="31"/>
    </row>
    <row r="835" spans="27:28">
      <c r="AA835" s="31"/>
      <c r="AB835" s="31"/>
    </row>
    <row r="836" spans="27:28">
      <c r="AA836" s="31"/>
      <c r="AB836" s="31"/>
    </row>
    <row r="837" spans="27:28">
      <c r="AA837" s="31"/>
      <c r="AB837" s="31"/>
    </row>
    <row r="838" spans="27:28">
      <c r="AA838" s="31"/>
      <c r="AB838" s="31"/>
    </row>
    <row r="839" spans="27:28">
      <c r="AA839" s="31"/>
      <c r="AB839" s="31"/>
    </row>
    <row r="840" spans="27:28">
      <c r="AA840" s="31"/>
      <c r="AB840" s="31"/>
    </row>
    <row r="841" spans="27:28">
      <c r="AA841" s="31"/>
      <c r="AB841" s="31"/>
    </row>
    <row r="842" spans="27:28">
      <c r="AA842" s="31"/>
      <c r="AB842" s="31"/>
    </row>
    <row r="843" spans="27:28">
      <c r="AA843" s="31"/>
      <c r="AB843" s="31"/>
    </row>
    <row r="844" spans="27:28">
      <c r="AA844" s="31"/>
      <c r="AB844" s="31"/>
    </row>
    <row r="845" spans="27:28">
      <c r="AA845" s="31"/>
      <c r="AB845" s="31"/>
    </row>
    <row r="846" spans="27:28">
      <c r="AA846" s="31"/>
      <c r="AB846" s="31"/>
    </row>
    <row r="847" spans="27:28">
      <c r="AA847" s="31"/>
      <c r="AB847" s="31"/>
    </row>
    <row r="848" spans="27:28">
      <c r="AA848" s="31"/>
      <c r="AB848" s="31"/>
    </row>
    <row r="849" spans="27:28">
      <c r="AA849" s="31"/>
      <c r="AB849" s="31"/>
    </row>
    <row r="850" spans="27:28">
      <c r="AA850" s="31"/>
      <c r="AB850" s="31"/>
    </row>
    <row r="851" spans="27:28">
      <c r="AA851" s="31"/>
      <c r="AB851" s="31"/>
    </row>
    <row r="852" spans="27:28">
      <c r="AA852" s="31"/>
      <c r="AB852" s="31"/>
    </row>
    <row r="853" spans="27:28">
      <c r="AA853" s="31"/>
      <c r="AB853" s="31"/>
    </row>
    <row r="854" spans="27:28">
      <c r="AA854" s="31"/>
      <c r="AB854" s="31"/>
    </row>
    <row r="855" spans="27:28">
      <c r="AA855" s="31"/>
      <c r="AB855" s="31"/>
    </row>
    <row r="856" spans="27:28">
      <c r="AA856" s="31"/>
      <c r="AB856" s="31"/>
    </row>
    <row r="857" spans="27:28">
      <c r="AA857" s="31"/>
      <c r="AB857" s="31"/>
    </row>
    <row r="858" spans="27:28">
      <c r="AA858" s="31"/>
      <c r="AB858" s="31"/>
    </row>
    <row r="859" spans="27:28">
      <c r="AA859" s="31"/>
      <c r="AB859" s="31"/>
    </row>
    <row r="860" spans="27:28">
      <c r="AA860" s="31"/>
      <c r="AB860" s="31"/>
    </row>
    <row r="861" spans="27:28">
      <c r="AA861" s="31"/>
      <c r="AB861" s="31"/>
    </row>
    <row r="862" spans="27:28">
      <c r="AA862" s="31"/>
      <c r="AB862" s="31"/>
    </row>
    <row r="863" spans="27:28">
      <c r="AA863" s="31"/>
      <c r="AB863" s="31"/>
    </row>
    <row r="864" spans="27:28">
      <c r="AA864" s="31"/>
      <c r="AB864" s="31"/>
    </row>
    <row r="865" spans="27:28">
      <c r="AA865" s="31"/>
      <c r="AB865" s="31"/>
    </row>
    <row r="866" spans="27:28">
      <c r="AA866" s="31"/>
      <c r="AB866" s="31"/>
    </row>
    <row r="867" spans="27:28">
      <c r="AA867" s="31"/>
      <c r="AB867" s="31"/>
    </row>
    <row r="868" spans="27:28">
      <c r="AA868" s="31"/>
      <c r="AB868" s="31"/>
    </row>
    <row r="869" spans="27:28">
      <c r="AA869" s="31"/>
      <c r="AB869" s="31"/>
    </row>
    <row r="870" spans="27:28">
      <c r="AA870" s="31"/>
      <c r="AB870" s="31"/>
    </row>
    <row r="871" spans="27:28">
      <c r="AA871" s="31"/>
      <c r="AB871" s="31"/>
    </row>
    <row r="872" spans="27:28">
      <c r="AA872" s="31"/>
      <c r="AB872" s="31"/>
    </row>
    <row r="873" spans="27:28">
      <c r="AA873" s="31"/>
      <c r="AB873" s="31"/>
    </row>
    <row r="874" spans="27:28">
      <c r="AA874" s="31"/>
      <c r="AB874" s="31"/>
    </row>
    <row r="875" spans="27:28">
      <c r="AA875" s="31"/>
      <c r="AB875" s="31"/>
    </row>
    <row r="876" spans="27:28">
      <c r="AA876" s="31"/>
      <c r="AB876" s="31"/>
    </row>
    <row r="877" spans="27:28">
      <c r="AA877" s="31"/>
      <c r="AB877" s="31"/>
    </row>
    <row r="878" spans="27:28">
      <c r="AA878" s="31"/>
      <c r="AB878" s="31"/>
    </row>
    <row r="879" spans="27:28">
      <c r="AA879" s="31"/>
      <c r="AB879" s="31"/>
    </row>
    <row r="880" spans="27:28">
      <c r="AA880" s="31"/>
      <c r="AB880" s="31"/>
    </row>
    <row r="881" spans="27:28">
      <c r="AA881" s="31"/>
      <c r="AB881" s="31"/>
    </row>
    <row r="882" spans="27:28">
      <c r="AA882" s="31"/>
      <c r="AB882" s="31"/>
    </row>
    <row r="883" spans="27:28">
      <c r="AA883" s="31"/>
      <c r="AB883" s="31"/>
    </row>
    <row r="884" spans="27:28">
      <c r="AA884" s="31"/>
      <c r="AB884" s="31"/>
    </row>
    <row r="885" spans="27:28">
      <c r="AA885" s="31"/>
      <c r="AB885" s="31"/>
    </row>
    <row r="886" spans="27:28">
      <c r="AA886" s="31"/>
      <c r="AB886" s="31"/>
    </row>
    <row r="887" spans="27:28">
      <c r="AA887" s="31"/>
      <c r="AB887" s="31"/>
    </row>
    <row r="888" spans="27:28">
      <c r="AA888" s="31"/>
      <c r="AB888" s="31"/>
    </row>
    <row r="889" spans="27:28">
      <c r="AA889" s="31"/>
      <c r="AB889" s="31"/>
    </row>
    <row r="890" spans="27:28">
      <c r="AA890" s="31"/>
      <c r="AB890" s="31"/>
    </row>
    <row r="891" spans="27:28">
      <c r="AA891" s="31"/>
      <c r="AB891" s="31"/>
    </row>
    <row r="892" spans="27:28">
      <c r="AA892" s="31"/>
      <c r="AB892" s="31"/>
    </row>
    <row r="893" spans="27:28">
      <c r="AA893" s="31"/>
      <c r="AB893" s="31"/>
    </row>
    <row r="894" spans="27:28">
      <c r="AA894" s="31"/>
      <c r="AB894" s="31"/>
    </row>
    <row r="895" spans="27:28">
      <c r="AA895" s="31"/>
      <c r="AB895" s="31"/>
    </row>
    <row r="896" spans="27:28">
      <c r="AA896" s="31"/>
      <c r="AB896" s="31"/>
    </row>
    <row r="897" spans="27:28">
      <c r="AA897" s="31"/>
      <c r="AB897" s="31"/>
    </row>
    <row r="898" spans="27:28">
      <c r="AA898" s="31"/>
      <c r="AB898" s="31"/>
    </row>
    <row r="899" spans="27:28">
      <c r="AA899" s="31"/>
      <c r="AB899" s="31"/>
    </row>
    <row r="900" spans="27:28">
      <c r="AA900" s="31"/>
      <c r="AB900" s="31"/>
    </row>
    <row r="901" spans="27:28">
      <c r="AA901" s="31"/>
      <c r="AB901" s="31"/>
    </row>
    <row r="902" spans="27:28">
      <c r="AA902" s="31"/>
      <c r="AB902" s="31"/>
    </row>
    <row r="903" spans="27:28">
      <c r="AA903" s="31"/>
      <c r="AB903" s="31"/>
    </row>
    <row r="904" spans="27:28">
      <c r="AA904" s="31"/>
      <c r="AB904" s="31"/>
    </row>
    <row r="905" spans="27:28">
      <c r="AA905" s="31"/>
      <c r="AB905" s="31"/>
    </row>
    <row r="906" spans="27:28">
      <c r="AA906" s="31"/>
      <c r="AB906" s="31"/>
    </row>
    <row r="907" spans="27:28">
      <c r="AA907" s="31"/>
      <c r="AB907" s="31"/>
    </row>
    <row r="908" spans="27:28">
      <c r="AA908" s="31"/>
      <c r="AB908" s="31"/>
    </row>
    <row r="909" spans="27:28">
      <c r="AA909" s="31"/>
      <c r="AB909" s="31"/>
    </row>
    <row r="910" spans="27:28">
      <c r="AA910" s="31"/>
      <c r="AB910" s="31"/>
    </row>
    <row r="911" spans="27:28">
      <c r="AA911" s="31"/>
      <c r="AB911" s="31"/>
    </row>
    <row r="912" spans="27:28">
      <c r="AA912" s="31"/>
      <c r="AB912" s="31"/>
    </row>
    <row r="913" spans="27:28">
      <c r="AA913" s="31"/>
      <c r="AB913" s="31"/>
    </row>
    <row r="914" spans="27:28">
      <c r="AA914" s="31"/>
      <c r="AB914" s="31"/>
    </row>
    <row r="915" spans="27:28">
      <c r="AA915" s="31"/>
      <c r="AB915" s="31"/>
    </row>
    <row r="916" spans="27:28">
      <c r="AA916" s="31"/>
      <c r="AB916" s="31"/>
    </row>
    <row r="917" spans="27:28">
      <c r="AA917" s="31"/>
      <c r="AB917" s="31"/>
    </row>
    <row r="918" spans="27:28">
      <c r="AA918" s="31"/>
      <c r="AB918" s="31"/>
    </row>
    <row r="919" spans="27:28">
      <c r="AA919" s="31"/>
      <c r="AB919" s="31"/>
    </row>
    <row r="920" spans="27:28">
      <c r="AA920" s="31"/>
      <c r="AB920" s="31"/>
    </row>
    <row r="921" spans="27:28">
      <c r="AA921" s="31"/>
      <c r="AB921" s="31"/>
    </row>
    <row r="922" spans="27:28">
      <c r="AA922" s="31"/>
      <c r="AB922" s="31"/>
    </row>
    <row r="923" spans="27:28">
      <c r="AA923" s="31"/>
      <c r="AB923" s="31"/>
    </row>
    <row r="924" spans="27:28">
      <c r="AA924" s="31"/>
      <c r="AB924" s="31"/>
    </row>
    <row r="925" spans="27:28">
      <c r="AA925" s="31"/>
      <c r="AB925" s="31"/>
    </row>
    <row r="926" spans="27:28">
      <c r="AA926" s="31"/>
      <c r="AB926" s="31"/>
    </row>
    <row r="927" spans="27:28">
      <c r="AA927" s="31"/>
      <c r="AB927" s="31"/>
    </row>
    <row r="928" spans="27:28">
      <c r="AA928" s="31"/>
      <c r="AB928" s="31"/>
    </row>
    <row r="929" spans="27:28">
      <c r="AA929" s="31"/>
      <c r="AB929" s="31"/>
    </row>
    <row r="930" spans="27:28">
      <c r="AA930" s="31"/>
      <c r="AB930" s="31"/>
    </row>
    <row r="931" spans="27:28">
      <c r="AA931" s="31"/>
      <c r="AB931" s="31"/>
    </row>
    <row r="932" spans="27:28">
      <c r="AA932" s="31"/>
      <c r="AB932" s="31"/>
    </row>
    <row r="933" spans="27:28">
      <c r="AA933" s="31"/>
      <c r="AB933" s="31"/>
    </row>
    <row r="934" spans="27:28">
      <c r="AA934" s="31"/>
      <c r="AB934" s="31"/>
    </row>
    <row r="935" spans="27:28">
      <c r="AA935" s="31"/>
      <c r="AB935" s="31"/>
    </row>
    <row r="936" spans="27:28">
      <c r="AA936" s="31"/>
      <c r="AB936" s="31"/>
    </row>
    <row r="937" spans="27:28">
      <c r="AA937" s="31"/>
      <c r="AB937" s="31"/>
    </row>
    <row r="938" spans="27:28">
      <c r="AA938" s="31"/>
      <c r="AB938" s="31"/>
    </row>
    <row r="939" spans="27:28">
      <c r="AA939" s="31"/>
      <c r="AB939" s="31"/>
    </row>
    <row r="940" spans="27:28">
      <c r="AA940" s="31"/>
      <c r="AB940" s="31"/>
    </row>
    <row r="941" spans="27:28">
      <c r="AA941" s="31"/>
      <c r="AB941" s="31"/>
    </row>
    <row r="942" spans="27:28">
      <c r="AA942" s="31"/>
      <c r="AB942" s="31"/>
    </row>
    <row r="943" spans="27:28">
      <c r="AA943" s="31"/>
      <c r="AB943" s="31"/>
    </row>
    <row r="944" spans="27:28">
      <c r="AA944" s="31"/>
      <c r="AB944" s="31"/>
    </row>
    <row r="945" spans="27:28">
      <c r="AA945" s="31"/>
      <c r="AB945" s="31"/>
    </row>
    <row r="946" spans="27:28">
      <c r="AA946" s="31"/>
      <c r="AB946" s="31"/>
    </row>
    <row r="947" spans="27:28">
      <c r="AA947" s="31"/>
      <c r="AB947" s="31"/>
    </row>
    <row r="948" spans="27:28">
      <c r="AA948" s="31"/>
      <c r="AB948" s="31"/>
    </row>
    <row r="949" spans="27:28">
      <c r="AA949" s="31"/>
      <c r="AB949" s="31"/>
    </row>
    <row r="950" spans="27:28">
      <c r="AA950" s="31"/>
      <c r="AB950" s="31"/>
    </row>
    <row r="951" spans="27:28">
      <c r="AA951" s="31"/>
      <c r="AB951" s="31"/>
    </row>
    <row r="952" spans="27:28">
      <c r="AA952" s="31"/>
      <c r="AB952" s="31"/>
    </row>
    <row r="953" spans="27:28">
      <c r="AA953" s="31"/>
      <c r="AB953" s="31"/>
    </row>
    <row r="954" spans="27:28">
      <c r="AA954" s="31"/>
      <c r="AB954" s="31"/>
    </row>
    <row r="955" spans="27:28">
      <c r="AA955" s="31"/>
      <c r="AB955" s="31"/>
    </row>
    <row r="956" spans="27:28">
      <c r="AA956" s="31"/>
      <c r="AB956" s="31"/>
    </row>
    <row r="957" spans="27:28">
      <c r="AA957" s="31"/>
      <c r="AB957" s="31"/>
    </row>
    <row r="958" spans="27:28">
      <c r="AA958" s="31"/>
      <c r="AB958" s="31"/>
    </row>
    <row r="959" spans="27:28">
      <c r="AA959" s="31"/>
      <c r="AB959" s="31"/>
    </row>
    <row r="960" spans="27:28">
      <c r="AA960" s="31"/>
      <c r="AB960" s="31"/>
    </row>
    <row r="961" spans="27:28">
      <c r="AA961" s="31"/>
      <c r="AB961" s="31"/>
    </row>
    <row r="962" spans="27:28">
      <c r="AA962" s="31"/>
      <c r="AB962" s="31"/>
    </row>
    <row r="963" spans="27:28">
      <c r="AA963" s="31"/>
      <c r="AB963" s="31"/>
    </row>
    <row r="964" spans="27:28">
      <c r="AA964" s="31"/>
      <c r="AB964" s="31"/>
    </row>
    <row r="965" spans="27:28">
      <c r="AA965" s="31"/>
      <c r="AB965" s="31"/>
    </row>
    <row r="966" spans="27:28">
      <c r="AA966" s="31"/>
      <c r="AB966" s="31"/>
    </row>
    <row r="967" spans="27:28">
      <c r="AA967" s="31"/>
      <c r="AB967" s="31"/>
    </row>
    <row r="968" spans="27:28">
      <c r="AA968" s="31"/>
      <c r="AB968" s="31"/>
    </row>
    <row r="969" spans="27:28">
      <c r="AA969" s="31"/>
      <c r="AB969" s="31"/>
    </row>
    <row r="970" spans="27:28">
      <c r="AA970" s="31"/>
      <c r="AB970" s="31"/>
    </row>
    <row r="971" spans="27:28">
      <c r="AA971" s="31"/>
      <c r="AB971" s="31"/>
    </row>
    <row r="972" spans="27:28">
      <c r="AA972" s="31"/>
      <c r="AB972" s="31"/>
    </row>
    <row r="973" spans="27:28">
      <c r="AA973" s="31"/>
      <c r="AB973" s="31"/>
    </row>
    <row r="974" spans="27:28">
      <c r="AA974" s="31"/>
      <c r="AB974" s="31"/>
    </row>
    <row r="975" spans="27:28">
      <c r="AA975" s="31"/>
      <c r="AB975" s="31"/>
    </row>
    <row r="976" spans="27:28">
      <c r="AA976" s="31"/>
      <c r="AB976" s="31"/>
    </row>
    <row r="977" spans="27:28">
      <c r="AA977" s="31"/>
      <c r="AB977" s="31"/>
    </row>
    <row r="978" spans="27:28">
      <c r="AA978" s="31"/>
      <c r="AB978" s="31"/>
    </row>
    <row r="979" spans="27:28">
      <c r="AA979" s="31"/>
      <c r="AB979" s="31"/>
    </row>
    <row r="980" spans="27:28">
      <c r="AA980" s="31"/>
      <c r="AB980" s="31"/>
    </row>
    <row r="981" spans="27:28">
      <c r="AA981" s="31"/>
      <c r="AB981" s="31"/>
    </row>
    <row r="982" spans="27:28">
      <c r="AA982" s="31"/>
      <c r="AB982" s="31"/>
    </row>
    <row r="983" spans="27:28">
      <c r="AA983" s="31"/>
      <c r="AB983" s="31"/>
    </row>
    <row r="984" spans="27:28">
      <c r="AA984" s="31"/>
      <c r="AB984" s="31"/>
    </row>
    <row r="985" spans="27:28">
      <c r="AA985" s="31"/>
      <c r="AB985" s="31"/>
    </row>
    <row r="986" spans="27:28">
      <c r="AA986" s="31"/>
      <c r="AB986" s="31"/>
    </row>
    <row r="987" spans="27:28">
      <c r="AA987" s="31"/>
      <c r="AB987" s="31"/>
    </row>
    <row r="988" spans="27:28">
      <c r="AA988" s="31"/>
      <c r="AB988" s="31"/>
    </row>
    <row r="989" spans="27:28">
      <c r="AA989" s="31"/>
      <c r="AB989" s="31"/>
    </row>
    <row r="990" spans="27:28">
      <c r="AA990" s="31"/>
      <c r="AB990" s="31"/>
    </row>
    <row r="991" spans="27:28">
      <c r="AA991" s="31"/>
      <c r="AB991" s="31"/>
    </row>
    <row r="992" spans="27:28">
      <c r="AA992" s="31"/>
      <c r="AB992" s="31"/>
    </row>
    <row r="993" spans="27:28">
      <c r="AA993" s="31"/>
      <c r="AB993" s="31"/>
    </row>
    <row r="994" spans="27:28">
      <c r="AA994" s="31"/>
      <c r="AB994" s="31"/>
    </row>
    <row r="995" spans="27:28">
      <c r="AA995" s="31"/>
      <c r="AB995" s="31"/>
    </row>
    <row r="996" spans="27:28">
      <c r="AA996" s="31"/>
      <c r="AB996" s="31"/>
    </row>
    <row r="997" spans="27:28">
      <c r="AA997" s="31"/>
      <c r="AB997" s="31"/>
    </row>
    <row r="998" spans="27:28">
      <c r="AA998" s="31"/>
      <c r="AB998" s="31"/>
    </row>
    <row r="999" spans="27:28">
      <c r="AA999" s="31"/>
      <c r="AB999" s="31"/>
    </row>
    <row r="1000" spans="27:28">
      <c r="AA1000" s="31"/>
      <c r="AB1000" s="31"/>
    </row>
    <row r="1001" spans="27:28">
      <c r="AA1001" s="31"/>
      <c r="AB1001" s="31"/>
    </row>
    <row r="1002" spans="27:28">
      <c r="AA1002" s="31"/>
      <c r="AB1002" s="31"/>
    </row>
    <row r="1003" spans="27:28">
      <c r="AA1003" s="31"/>
      <c r="AB1003" s="31"/>
    </row>
    <row r="1004" spans="27:28">
      <c r="AA1004" s="31"/>
      <c r="AB1004" s="31"/>
    </row>
    <row r="1005" spans="27:28">
      <c r="AA1005" s="31"/>
      <c r="AB1005" s="31"/>
    </row>
    <row r="1006" spans="27:28">
      <c r="AA1006" s="31"/>
      <c r="AB1006" s="31"/>
    </row>
    <row r="1007" spans="27:28">
      <c r="AA1007" s="31"/>
      <c r="AB1007" s="31"/>
    </row>
    <row r="1008" spans="27:28">
      <c r="AA1008" s="31"/>
      <c r="AB1008" s="31"/>
    </row>
    <row r="1009" spans="27:28">
      <c r="AA1009" s="31"/>
      <c r="AB1009" s="31"/>
    </row>
    <row r="1010" spans="27:28">
      <c r="AA1010" s="31"/>
      <c r="AB1010" s="31"/>
    </row>
    <row r="1011" spans="27:28">
      <c r="AA1011" s="31"/>
      <c r="AB1011" s="31"/>
    </row>
    <row r="1012" spans="27:28">
      <c r="AA1012" s="31"/>
      <c r="AB1012" s="31"/>
    </row>
    <row r="1013" spans="27:28">
      <c r="AA1013" s="31"/>
      <c r="AB1013" s="31"/>
    </row>
    <row r="1014" spans="27:28">
      <c r="AA1014" s="31"/>
      <c r="AB1014" s="31"/>
    </row>
    <row r="1015" spans="27:28">
      <c r="AA1015" s="31"/>
      <c r="AB1015" s="31"/>
    </row>
    <row r="1016" spans="27:28">
      <c r="AA1016" s="31"/>
      <c r="AB1016" s="31"/>
    </row>
    <row r="1017" spans="27:28">
      <c r="AA1017" s="31"/>
      <c r="AB1017" s="31"/>
    </row>
    <row r="1018" spans="27:28">
      <c r="AA1018" s="31"/>
      <c r="AB1018" s="31"/>
    </row>
    <row r="1019" spans="27:28">
      <c r="AA1019" s="31"/>
      <c r="AB1019" s="31"/>
    </row>
    <row r="1020" spans="27:28">
      <c r="AA1020" s="31"/>
      <c r="AB1020" s="31"/>
    </row>
    <row r="1021" spans="27:28">
      <c r="AA1021" s="31"/>
      <c r="AB1021" s="31"/>
    </row>
    <row r="1022" spans="27:28">
      <c r="AA1022" s="31"/>
      <c r="AB1022" s="31"/>
    </row>
    <row r="1023" spans="27:28">
      <c r="AA1023" s="31"/>
      <c r="AB1023" s="31"/>
    </row>
    <row r="1024" spans="27:28">
      <c r="AA1024" s="31"/>
      <c r="AB1024" s="31"/>
    </row>
    <row r="1025" spans="27:28">
      <c r="AA1025" s="31"/>
      <c r="AB1025" s="31"/>
    </row>
    <row r="1026" spans="27:28">
      <c r="AA1026" s="31"/>
      <c r="AB1026" s="31"/>
    </row>
    <row r="1027" spans="27:28">
      <c r="AA1027" s="31"/>
      <c r="AB1027" s="31"/>
    </row>
    <row r="1028" spans="27:28">
      <c r="AA1028" s="31"/>
      <c r="AB1028" s="31"/>
    </row>
    <row r="1029" spans="27:28">
      <c r="AA1029" s="31"/>
      <c r="AB1029" s="31"/>
    </row>
    <row r="1030" spans="27:28">
      <c r="AA1030" s="31"/>
      <c r="AB1030" s="31"/>
    </row>
    <row r="1031" spans="27:28">
      <c r="AA1031" s="31"/>
      <c r="AB1031" s="31"/>
    </row>
    <row r="1032" spans="27:28">
      <c r="AA1032" s="31"/>
      <c r="AB1032" s="31"/>
    </row>
    <row r="1033" spans="27:28">
      <c r="AA1033" s="31"/>
      <c r="AB1033" s="31"/>
    </row>
    <row r="1034" spans="27:28">
      <c r="AA1034" s="31"/>
      <c r="AB1034" s="31"/>
    </row>
    <row r="1035" spans="27:28">
      <c r="AA1035" s="31"/>
      <c r="AB1035" s="31"/>
    </row>
    <row r="1036" spans="27:28">
      <c r="AA1036" s="31"/>
      <c r="AB1036" s="31"/>
    </row>
    <row r="1037" spans="27:28">
      <c r="AA1037" s="31"/>
      <c r="AB1037" s="31"/>
    </row>
    <row r="1038" spans="27:28">
      <c r="AA1038" s="31"/>
      <c r="AB1038" s="31"/>
    </row>
    <row r="1039" spans="27:28">
      <c r="AA1039" s="31"/>
      <c r="AB1039" s="31"/>
    </row>
    <row r="1040" spans="27:28">
      <c r="AA1040" s="31"/>
      <c r="AB1040" s="31"/>
    </row>
    <row r="1041" spans="27:28">
      <c r="AA1041" s="31"/>
      <c r="AB1041" s="31"/>
    </row>
    <row r="1042" spans="27:28">
      <c r="AA1042" s="31"/>
      <c r="AB1042" s="31"/>
    </row>
    <row r="1043" spans="27:28">
      <c r="AA1043" s="31"/>
      <c r="AB1043" s="31"/>
    </row>
    <row r="1044" spans="27:28">
      <c r="AA1044" s="31"/>
      <c r="AB1044" s="31"/>
    </row>
    <row r="1045" spans="27:28">
      <c r="AA1045" s="31"/>
      <c r="AB1045" s="31"/>
    </row>
    <row r="1046" spans="27:28">
      <c r="AA1046" s="31"/>
      <c r="AB1046" s="31"/>
    </row>
    <row r="1047" spans="27:28">
      <c r="AA1047" s="31"/>
      <c r="AB1047" s="31"/>
    </row>
    <row r="1048" spans="27:28">
      <c r="AA1048" s="31"/>
      <c r="AB1048" s="31"/>
    </row>
    <row r="1049" spans="27:28">
      <c r="AA1049" s="31"/>
      <c r="AB1049" s="31"/>
    </row>
    <row r="1050" spans="27:28">
      <c r="AA1050" s="31"/>
      <c r="AB1050" s="31"/>
    </row>
    <row r="1051" spans="27:28">
      <c r="AA1051" s="31"/>
      <c r="AB1051" s="31"/>
    </row>
    <row r="1052" spans="27:28">
      <c r="AA1052" s="31"/>
      <c r="AB1052" s="31"/>
    </row>
    <row r="1053" spans="27:28">
      <c r="AA1053" s="31"/>
      <c r="AB1053" s="31"/>
    </row>
    <row r="1054" spans="27:28">
      <c r="AA1054" s="31"/>
      <c r="AB1054" s="31"/>
    </row>
    <row r="1055" spans="27:28">
      <c r="AA1055" s="31"/>
      <c r="AB1055" s="31"/>
    </row>
    <row r="1056" spans="27:28">
      <c r="AA1056" s="31"/>
      <c r="AB1056" s="31"/>
    </row>
    <row r="1057" spans="27:28">
      <c r="AA1057" s="31"/>
      <c r="AB1057" s="31"/>
    </row>
    <row r="1058" spans="27:28">
      <c r="AA1058" s="31"/>
      <c r="AB1058" s="31"/>
    </row>
    <row r="1059" spans="27:28">
      <c r="AA1059" s="31"/>
      <c r="AB1059" s="31"/>
    </row>
    <row r="1060" spans="27:28">
      <c r="AA1060" s="31"/>
      <c r="AB1060" s="31"/>
    </row>
    <row r="1061" spans="27:28">
      <c r="AA1061" s="31"/>
      <c r="AB1061" s="31"/>
    </row>
    <row r="1062" spans="27:28">
      <c r="AA1062" s="31"/>
      <c r="AB1062" s="31"/>
    </row>
    <row r="1063" spans="27:28">
      <c r="AA1063" s="31"/>
      <c r="AB1063" s="31"/>
    </row>
    <row r="1064" spans="27:28">
      <c r="AA1064" s="31"/>
      <c r="AB1064" s="31"/>
    </row>
    <row r="1065" spans="27:28">
      <c r="AA1065" s="31"/>
      <c r="AB1065" s="31"/>
    </row>
    <row r="1066" spans="27:28">
      <c r="AA1066" s="31"/>
      <c r="AB1066" s="31"/>
    </row>
    <row r="1067" spans="27:28">
      <c r="AA1067" s="31"/>
      <c r="AB1067" s="31"/>
    </row>
    <row r="1068" spans="27:28">
      <c r="AA1068" s="31"/>
      <c r="AB1068" s="31"/>
    </row>
    <row r="1069" spans="27:28">
      <c r="AA1069" s="31"/>
      <c r="AB1069" s="31"/>
    </row>
    <row r="1070" spans="27:28">
      <c r="AA1070" s="31"/>
      <c r="AB1070" s="31"/>
    </row>
    <row r="1071" spans="27:28">
      <c r="AA1071" s="31"/>
      <c r="AB1071" s="31"/>
    </row>
    <row r="1072" spans="27:28">
      <c r="AA1072" s="31"/>
      <c r="AB1072" s="31"/>
    </row>
    <row r="1073" spans="27:28">
      <c r="AA1073" s="31"/>
      <c r="AB1073" s="31"/>
    </row>
    <row r="1074" spans="27:28">
      <c r="AA1074" s="31"/>
      <c r="AB1074" s="31"/>
    </row>
    <row r="1075" spans="27:28">
      <c r="AA1075" s="31"/>
      <c r="AB1075" s="31"/>
    </row>
    <row r="1076" spans="27:28">
      <c r="AA1076" s="31"/>
      <c r="AB1076" s="31"/>
    </row>
    <row r="1077" spans="27:28">
      <c r="AA1077" s="31"/>
      <c r="AB1077" s="31"/>
    </row>
    <row r="1078" spans="27:28">
      <c r="AA1078" s="31"/>
      <c r="AB1078" s="31"/>
    </row>
    <row r="1079" spans="27:28">
      <c r="AA1079" s="31"/>
      <c r="AB1079" s="31"/>
    </row>
    <row r="1080" spans="27:28">
      <c r="AA1080" s="31"/>
      <c r="AB1080" s="31"/>
    </row>
    <row r="1081" spans="27:28">
      <c r="AA1081" s="31"/>
      <c r="AB1081" s="31"/>
    </row>
    <row r="1082" spans="27:28">
      <c r="AA1082" s="31"/>
      <c r="AB1082" s="31"/>
    </row>
    <row r="1083" spans="27:28">
      <c r="AA1083" s="31"/>
      <c r="AB1083" s="31"/>
    </row>
    <row r="1084" spans="27:28">
      <c r="AA1084" s="31"/>
      <c r="AB1084" s="31"/>
    </row>
    <row r="1085" spans="27:28">
      <c r="AA1085" s="31"/>
      <c r="AB1085" s="31"/>
    </row>
    <row r="1086" spans="27:28">
      <c r="AA1086" s="31"/>
      <c r="AB1086" s="31"/>
    </row>
    <row r="1087" spans="27:28">
      <c r="AA1087" s="31"/>
      <c r="AB1087" s="31"/>
    </row>
    <row r="1088" spans="27:28">
      <c r="AA1088" s="31"/>
      <c r="AB1088" s="31"/>
    </row>
    <row r="1089" spans="27:28">
      <c r="AA1089" s="31"/>
      <c r="AB1089" s="31"/>
    </row>
    <row r="1090" spans="27:28">
      <c r="AA1090" s="31"/>
      <c r="AB1090" s="31"/>
    </row>
    <row r="1091" spans="27:28">
      <c r="AA1091" s="31"/>
      <c r="AB1091" s="31"/>
    </row>
    <row r="1092" spans="27:28">
      <c r="AA1092" s="31"/>
      <c r="AB1092" s="31"/>
    </row>
    <row r="1093" spans="27:28">
      <c r="AA1093" s="31"/>
      <c r="AB1093" s="31"/>
    </row>
    <row r="1094" spans="27:28">
      <c r="AA1094" s="31"/>
      <c r="AB1094" s="31"/>
    </row>
    <row r="1095" spans="27:28">
      <c r="AA1095" s="31"/>
      <c r="AB1095" s="31"/>
    </row>
    <row r="1096" spans="27:28">
      <c r="AA1096" s="31"/>
      <c r="AB1096" s="31"/>
    </row>
    <row r="1097" spans="27:28">
      <c r="AA1097" s="31"/>
      <c r="AB1097" s="31"/>
    </row>
    <row r="1098" spans="27:28">
      <c r="AA1098" s="31"/>
      <c r="AB1098" s="31"/>
    </row>
    <row r="1099" spans="27:28">
      <c r="AA1099" s="31"/>
      <c r="AB1099" s="31"/>
    </row>
    <row r="1100" spans="27:28">
      <c r="AA1100" s="31"/>
      <c r="AB1100" s="31"/>
    </row>
    <row r="1101" spans="27:28">
      <c r="AA1101" s="31"/>
      <c r="AB1101" s="31"/>
    </row>
    <row r="1102" spans="27:28">
      <c r="AA1102" s="31"/>
      <c r="AB1102" s="31"/>
    </row>
    <row r="1103" spans="27:28">
      <c r="AA1103" s="31"/>
      <c r="AB1103" s="31"/>
    </row>
    <row r="1104" spans="27:28">
      <c r="AA1104" s="31"/>
      <c r="AB1104" s="31"/>
    </row>
    <row r="1105" spans="27:28">
      <c r="AA1105" s="31"/>
      <c r="AB1105" s="31"/>
    </row>
    <row r="1106" spans="27:28">
      <c r="AA1106" s="31"/>
      <c r="AB1106" s="31"/>
    </row>
    <row r="1107" spans="27:28">
      <c r="AA1107" s="31"/>
      <c r="AB1107" s="31"/>
    </row>
    <row r="1108" spans="27:28">
      <c r="AA1108" s="31"/>
      <c r="AB1108" s="31"/>
    </row>
    <row r="1109" spans="27:28">
      <c r="AA1109" s="31"/>
      <c r="AB1109" s="31"/>
    </row>
    <row r="1110" spans="27:28">
      <c r="AA1110" s="31"/>
      <c r="AB1110" s="31"/>
    </row>
    <row r="1111" spans="27:28">
      <c r="AA1111" s="31"/>
      <c r="AB1111" s="31"/>
    </row>
    <row r="1112" spans="27:28">
      <c r="AA1112" s="31"/>
      <c r="AB1112" s="31"/>
    </row>
    <row r="1113" spans="27:28">
      <c r="AA1113" s="31"/>
      <c r="AB1113" s="31"/>
    </row>
    <row r="1114" spans="27:28">
      <c r="AA1114" s="31"/>
      <c r="AB1114" s="31"/>
    </row>
    <row r="1115" spans="27:28">
      <c r="AA1115" s="31"/>
      <c r="AB1115" s="31"/>
    </row>
    <row r="1116" spans="27:28">
      <c r="AA1116" s="31"/>
      <c r="AB1116" s="31"/>
    </row>
    <row r="1117" spans="27:28">
      <c r="AA1117" s="31"/>
      <c r="AB1117" s="31"/>
    </row>
    <row r="1118" spans="27:28">
      <c r="AA1118" s="31"/>
      <c r="AB1118" s="31"/>
    </row>
    <row r="1119" spans="27:28">
      <c r="AA1119" s="31"/>
      <c r="AB1119" s="31"/>
    </row>
    <row r="1120" spans="27:28">
      <c r="AA1120" s="31"/>
      <c r="AB1120" s="31"/>
    </row>
    <row r="1121" spans="27:28">
      <c r="AA1121" s="31"/>
      <c r="AB1121" s="31"/>
    </row>
    <row r="1122" spans="27:28">
      <c r="AA1122" s="31"/>
      <c r="AB1122" s="31"/>
    </row>
    <row r="1123" spans="27:28">
      <c r="AA1123" s="31"/>
      <c r="AB1123" s="31"/>
    </row>
    <row r="1124" spans="27:28">
      <c r="AA1124" s="31"/>
      <c r="AB1124" s="31"/>
    </row>
    <row r="1125" spans="27:28">
      <c r="AA1125" s="31"/>
      <c r="AB1125" s="31"/>
    </row>
    <row r="1126" spans="27:28">
      <c r="AA1126" s="31"/>
      <c r="AB1126" s="31"/>
    </row>
    <row r="1127" spans="27:28">
      <c r="AA1127" s="31"/>
      <c r="AB1127" s="31"/>
    </row>
    <row r="1128" spans="27:28">
      <c r="AA1128" s="31"/>
      <c r="AB1128" s="31"/>
    </row>
    <row r="1129" spans="27:28">
      <c r="AA1129" s="31"/>
      <c r="AB1129" s="31"/>
    </row>
    <row r="1130" spans="27:28">
      <c r="AA1130" s="31"/>
      <c r="AB1130" s="31"/>
    </row>
    <row r="1131" spans="27:28">
      <c r="AA1131" s="31"/>
      <c r="AB1131" s="31"/>
    </row>
    <row r="1132" spans="27:28">
      <c r="AA1132" s="31"/>
      <c r="AB1132" s="31"/>
    </row>
    <row r="1133" spans="27:28">
      <c r="AA1133" s="31"/>
      <c r="AB1133" s="31"/>
    </row>
    <row r="1134" spans="27:28">
      <c r="AA1134" s="31"/>
      <c r="AB1134" s="31"/>
    </row>
    <row r="1135" spans="27:28">
      <c r="AA1135" s="31"/>
      <c r="AB1135" s="31"/>
    </row>
    <row r="1136" spans="27:28">
      <c r="AA1136" s="31"/>
      <c r="AB1136" s="31"/>
    </row>
    <row r="1137" spans="27:28">
      <c r="AA1137" s="31"/>
      <c r="AB1137" s="31"/>
    </row>
    <row r="1138" spans="27:28">
      <c r="AA1138" s="31"/>
      <c r="AB1138" s="31"/>
    </row>
    <row r="1139" spans="27:28">
      <c r="AA1139" s="31"/>
      <c r="AB1139" s="31"/>
    </row>
    <row r="1140" spans="27:28">
      <c r="AA1140" s="31"/>
      <c r="AB1140" s="31"/>
    </row>
    <row r="1141" spans="27:28">
      <c r="AA1141" s="31"/>
      <c r="AB1141" s="31"/>
    </row>
    <row r="1142" spans="27:28">
      <c r="AA1142" s="31"/>
      <c r="AB1142" s="31"/>
    </row>
    <row r="1143" spans="27:28">
      <c r="AA1143" s="31"/>
      <c r="AB1143" s="31"/>
    </row>
    <row r="1144" spans="27:28">
      <c r="AA1144" s="31"/>
      <c r="AB1144" s="31"/>
    </row>
    <row r="1145" spans="27:28">
      <c r="AA1145" s="31"/>
      <c r="AB1145" s="31"/>
    </row>
    <row r="1146" spans="27:28">
      <c r="AA1146" s="31"/>
      <c r="AB1146" s="31"/>
    </row>
    <row r="1147" spans="27:28">
      <c r="AA1147" s="31"/>
      <c r="AB1147" s="31"/>
    </row>
    <row r="1148" spans="27:28">
      <c r="AA1148" s="31"/>
      <c r="AB1148" s="31"/>
    </row>
    <row r="1149" spans="27:28">
      <c r="AA1149" s="31"/>
      <c r="AB1149" s="31"/>
    </row>
    <row r="1150" spans="27:28">
      <c r="AA1150" s="31"/>
      <c r="AB1150" s="31"/>
    </row>
    <row r="1151" spans="27:28">
      <c r="AA1151" s="31"/>
      <c r="AB1151" s="31"/>
    </row>
    <row r="1152" spans="27:28">
      <c r="AA1152" s="31"/>
      <c r="AB1152" s="31"/>
    </row>
    <row r="1153" spans="27:28">
      <c r="AA1153" s="31"/>
      <c r="AB1153" s="31"/>
    </row>
    <row r="1154" spans="27:28">
      <c r="AA1154" s="31"/>
      <c r="AB1154" s="31"/>
    </row>
    <row r="1155" spans="27:28">
      <c r="AA1155" s="31"/>
      <c r="AB1155" s="31"/>
    </row>
    <row r="1156" spans="27:28">
      <c r="AA1156" s="31"/>
      <c r="AB1156" s="31"/>
    </row>
    <row r="1157" spans="27:28">
      <c r="AA1157" s="31"/>
      <c r="AB1157" s="31"/>
    </row>
    <row r="1158" spans="27:28">
      <c r="AA1158" s="31"/>
      <c r="AB1158" s="31"/>
    </row>
    <row r="1159" spans="27:28">
      <c r="AA1159" s="31"/>
      <c r="AB1159" s="31"/>
    </row>
    <row r="1160" spans="27:28">
      <c r="AA1160" s="31"/>
      <c r="AB1160" s="31"/>
    </row>
    <row r="1161" spans="27:28">
      <c r="AA1161" s="31"/>
      <c r="AB1161" s="31"/>
    </row>
    <row r="1162" spans="27:28">
      <c r="AA1162" s="31"/>
      <c r="AB1162" s="31"/>
    </row>
    <row r="1163" spans="27:28">
      <c r="AA1163" s="31"/>
      <c r="AB1163" s="31"/>
    </row>
    <row r="1164" spans="27:28">
      <c r="AA1164" s="31"/>
      <c r="AB1164" s="31"/>
    </row>
    <row r="1165" spans="27:28">
      <c r="AA1165" s="31"/>
      <c r="AB1165" s="31"/>
    </row>
    <row r="1166" spans="27:28">
      <c r="AA1166" s="31"/>
      <c r="AB1166" s="31"/>
    </row>
    <row r="1167" spans="27:28">
      <c r="AA1167" s="31"/>
      <c r="AB1167" s="31"/>
    </row>
    <row r="1168" spans="27:28">
      <c r="AA1168" s="31"/>
      <c r="AB1168" s="31"/>
    </row>
    <row r="1169" spans="27:28">
      <c r="AA1169" s="31"/>
      <c r="AB1169" s="31"/>
    </row>
    <row r="1170" spans="27:28">
      <c r="AA1170" s="31"/>
      <c r="AB1170" s="31"/>
    </row>
    <row r="1171" spans="27:28">
      <c r="AA1171" s="31"/>
      <c r="AB1171" s="31"/>
    </row>
    <row r="1172" spans="27:28">
      <c r="AA1172" s="31"/>
      <c r="AB1172" s="31"/>
    </row>
    <row r="1173" spans="27:28">
      <c r="AA1173" s="31"/>
      <c r="AB1173" s="31"/>
    </row>
    <row r="1174" spans="27:28">
      <c r="AA1174" s="31"/>
      <c r="AB1174" s="31"/>
    </row>
    <row r="1175" spans="27:28">
      <c r="AA1175" s="31"/>
      <c r="AB1175" s="31"/>
    </row>
    <row r="1176" spans="27:28">
      <c r="AA1176" s="31"/>
      <c r="AB1176" s="31"/>
    </row>
    <row r="1177" spans="27:28">
      <c r="AA1177" s="31"/>
      <c r="AB1177" s="31"/>
    </row>
    <row r="1178" spans="27:28">
      <c r="AA1178" s="31"/>
      <c r="AB1178" s="31"/>
    </row>
    <row r="1179" spans="27:28">
      <c r="AA1179" s="31"/>
      <c r="AB1179" s="31"/>
    </row>
    <row r="1180" spans="27:28">
      <c r="AA1180" s="31"/>
      <c r="AB1180" s="31"/>
    </row>
    <row r="1181" spans="27:28">
      <c r="AA1181" s="31"/>
      <c r="AB1181" s="31"/>
    </row>
    <row r="1182" spans="27:28">
      <c r="AA1182" s="31"/>
      <c r="AB1182" s="31"/>
    </row>
    <row r="1183" spans="27:28">
      <c r="AA1183" s="31"/>
      <c r="AB1183" s="31"/>
    </row>
    <row r="1184" spans="27:28">
      <c r="AA1184" s="31"/>
      <c r="AB1184" s="31"/>
    </row>
    <row r="1185" spans="27:28">
      <c r="AA1185" s="31"/>
      <c r="AB1185" s="31"/>
    </row>
    <row r="1186" spans="27:28">
      <c r="AA1186" s="31"/>
      <c r="AB1186" s="31"/>
    </row>
    <row r="1187" spans="27:28">
      <c r="AA1187" s="31"/>
      <c r="AB1187" s="31"/>
    </row>
    <row r="1188" spans="27:28">
      <c r="AA1188" s="31"/>
      <c r="AB1188" s="31"/>
    </row>
    <row r="1189" spans="27:28">
      <c r="AA1189" s="31"/>
      <c r="AB1189" s="31"/>
    </row>
    <row r="1190" spans="27:28">
      <c r="AA1190" s="31"/>
      <c r="AB1190" s="31"/>
    </row>
    <row r="1191" spans="27:28">
      <c r="AA1191" s="31"/>
      <c r="AB1191" s="31"/>
    </row>
    <row r="1192" spans="27:28">
      <c r="AA1192" s="31"/>
      <c r="AB1192" s="31"/>
    </row>
    <row r="1193" spans="27:28">
      <c r="AA1193" s="31"/>
      <c r="AB1193" s="31"/>
    </row>
    <row r="1194" spans="27:28">
      <c r="AA1194" s="31"/>
      <c r="AB1194" s="31"/>
    </row>
    <row r="1195" spans="27:28">
      <c r="AA1195" s="31"/>
      <c r="AB1195" s="31"/>
    </row>
    <row r="1196" spans="27:28">
      <c r="AA1196" s="31"/>
      <c r="AB1196" s="31"/>
    </row>
    <row r="1197" spans="27:28">
      <c r="AA1197" s="31"/>
      <c r="AB1197" s="31"/>
    </row>
    <row r="1198" spans="27:28">
      <c r="AA1198" s="31"/>
      <c r="AB1198" s="31"/>
    </row>
    <row r="1199" spans="27:28">
      <c r="AA1199" s="31"/>
      <c r="AB1199" s="31"/>
    </row>
    <row r="1200" spans="27:28">
      <c r="AA1200" s="31"/>
      <c r="AB1200" s="31"/>
    </row>
    <row r="1201" spans="27:28">
      <c r="AA1201" s="31"/>
      <c r="AB1201" s="31"/>
    </row>
    <row r="1202" spans="27:28">
      <c r="AA1202" s="31"/>
      <c r="AB1202" s="31"/>
    </row>
    <row r="1203" spans="27:28">
      <c r="AA1203" s="31"/>
      <c r="AB1203" s="31"/>
    </row>
    <row r="1204" spans="27:28">
      <c r="AA1204" s="31"/>
      <c r="AB1204" s="31"/>
    </row>
    <row r="1205" spans="27:28">
      <c r="AA1205" s="31"/>
      <c r="AB1205" s="31"/>
    </row>
    <row r="1206" spans="27:28">
      <c r="AA1206" s="31"/>
      <c r="AB1206" s="31"/>
    </row>
    <row r="1207" spans="27:28">
      <c r="AA1207" s="31"/>
      <c r="AB1207" s="31"/>
    </row>
    <row r="1208" spans="27:28">
      <c r="AA1208" s="31"/>
      <c r="AB1208" s="31"/>
    </row>
    <row r="1209" spans="27:28">
      <c r="AA1209" s="31"/>
      <c r="AB1209" s="31"/>
    </row>
    <row r="1210" spans="27:28">
      <c r="AA1210" s="31"/>
      <c r="AB1210" s="31"/>
    </row>
    <row r="1211" spans="27:28">
      <c r="AA1211" s="31"/>
      <c r="AB1211" s="31"/>
    </row>
    <row r="1212" spans="27:28">
      <c r="AA1212" s="31"/>
      <c r="AB1212" s="31"/>
    </row>
    <row r="1213" spans="27:28">
      <c r="AA1213" s="31"/>
      <c r="AB1213" s="31"/>
    </row>
    <row r="1214" spans="27:28">
      <c r="AA1214" s="31"/>
      <c r="AB1214" s="31"/>
    </row>
    <row r="1215" spans="27:28">
      <c r="AA1215" s="31"/>
      <c r="AB1215" s="31"/>
    </row>
    <row r="1216" spans="27:28">
      <c r="AA1216" s="31"/>
      <c r="AB1216" s="31"/>
    </row>
    <row r="1217" spans="27:28">
      <c r="AA1217" s="31"/>
      <c r="AB1217" s="31"/>
    </row>
    <row r="1218" spans="27:28">
      <c r="AA1218" s="31"/>
      <c r="AB1218" s="31"/>
    </row>
    <row r="1219" spans="27:28">
      <c r="AA1219" s="31"/>
      <c r="AB1219" s="31"/>
    </row>
    <row r="1220" spans="27:28">
      <c r="AA1220" s="31"/>
      <c r="AB1220" s="31"/>
    </row>
    <row r="1221" spans="27:28">
      <c r="AA1221" s="31"/>
      <c r="AB1221" s="31"/>
    </row>
    <row r="1222" spans="27:28">
      <c r="AA1222" s="31"/>
      <c r="AB1222" s="31"/>
    </row>
    <row r="1223" spans="27:28">
      <c r="AA1223" s="31"/>
      <c r="AB1223" s="31"/>
    </row>
    <row r="1224" spans="27:28">
      <c r="AA1224" s="31"/>
      <c r="AB1224" s="31"/>
    </row>
    <row r="1225" spans="27:28">
      <c r="AA1225" s="31"/>
      <c r="AB1225" s="31"/>
    </row>
    <row r="1226" spans="27:28">
      <c r="AA1226" s="31"/>
      <c r="AB1226" s="31"/>
    </row>
    <row r="1227" spans="27:28">
      <c r="AA1227" s="31"/>
      <c r="AB1227" s="31"/>
    </row>
    <row r="1228" spans="27:28">
      <c r="AA1228" s="31"/>
      <c r="AB1228" s="31"/>
    </row>
    <row r="1229" spans="27:28">
      <c r="AA1229" s="31"/>
      <c r="AB1229" s="31"/>
    </row>
    <row r="1230" spans="27:28">
      <c r="AA1230" s="31"/>
      <c r="AB1230" s="31"/>
    </row>
    <row r="1231" spans="27:28">
      <c r="AA1231" s="31"/>
      <c r="AB1231" s="31"/>
    </row>
    <row r="1232" spans="27:28">
      <c r="AA1232" s="31"/>
      <c r="AB1232" s="31"/>
    </row>
    <row r="1233" spans="27:28">
      <c r="AA1233" s="31"/>
      <c r="AB1233" s="31"/>
    </row>
    <row r="1234" spans="27:28">
      <c r="AA1234" s="31"/>
      <c r="AB1234" s="31"/>
    </row>
    <row r="1235" spans="27:28">
      <c r="AA1235" s="31"/>
      <c r="AB1235" s="31"/>
    </row>
    <row r="1236" spans="27:28">
      <c r="AA1236" s="31"/>
      <c r="AB1236" s="31"/>
    </row>
    <row r="1237" spans="27:28">
      <c r="AA1237" s="31"/>
      <c r="AB1237" s="31"/>
    </row>
    <row r="1238" spans="27:28">
      <c r="AA1238" s="31"/>
      <c r="AB1238" s="31"/>
    </row>
    <row r="1239" spans="27:28">
      <c r="AA1239" s="31"/>
      <c r="AB1239" s="31"/>
    </row>
    <row r="1240" spans="27:28">
      <c r="AA1240" s="31"/>
      <c r="AB1240" s="31"/>
    </row>
    <row r="1241" spans="27:28">
      <c r="AA1241" s="31"/>
      <c r="AB1241" s="31"/>
    </row>
    <row r="1242" spans="27:28">
      <c r="AA1242" s="31"/>
      <c r="AB1242" s="31"/>
    </row>
    <row r="1243" spans="27:28">
      <c r="AA1243" s="31"/>
      <c r="AB1243" s="31"/>
    </row>
    <row r="1244" spans="27:28">
      <c r="AA1244" s="31"/>
      <c r="AB1244" s="31"/>
    </row>
    <row r="1245" spans="27:28">
      <c r="AA1245" s="31"/>
      <c r="AB1245" s="31"/>
    </row>
    <row r="1246" spans="27:28">
      <c r="AA1246" s="31"/>
      <c r="AB1246" s="31"/>
    </row>
    <row r="1247" spans="27:28">
      <c r="AA1247" s="31"/>
      <c r="AB1247" s="31"/>
    </row>
    <row r="1248" spans="27:28">
      <c r="AA1248" s="31"/>
      <c r="AB1248" s="31"/>
    </row>
    <row r="1249" spans="27:28">
      <c r="AA1249" s="31"/>
      <c r="AB1249" s="31"/>
    </row>
    <row r="1250" spans="27:28">
      <c r="AA1250" s="31"/>
      <c r="AB1250" s="31"/>
    </row>
    <row r="1251" spans="27:28">
      <c r="AA1251" s="31"/>
      <c r="AB1251" s="31"/>
    </row>
    <row r="1252" spans="27:28">
      <c r="AA1252" s="31"/>
      <c r="AB1252" s="31"/>
    </row>
    <row r="1253" spans="27:28">
      <c r="AA1253" s="31"/>
      <c r="AB1253" s="31"/>
    </row>
    <row r="1254" spans="27:28">
      <c r="AA1254" s="31"/>
      <c r="AB1254" s="31"/>
    </row>
    <row r="1255" spans="27:28">
      <c r="AA1255" s="31"/>
      <c r="AB1255" s="31"/>
    </row>
    <row r="1256" spans="27:28">
      <c r="AA1256" s="31"/>
      <c r="AB1256" s="31"/>
    </row>
    <row r="1257" spans="27:28">
      <c r="AA1257" s="31"/>
      <c r="AB1257" s="31"/>
    </row>
    <row r="1258" spans="27:28">
      <c r="AA1258" s="31"/>
      <c r="AB1258" s="31"/>
    </row>
    <row r="1259" spans="27:28">
      <c r="AA1259" s="31"/>
      <c r="AB1259" s="31"/>
    </row>
    <row r="1260" spans="27:28">
      <c r="AA1260" s="31"/>
      <c r="AB1260" s="31"/>
    </row>
    <row r="1261" spans="27:28">
      <c r="AA1261" s="31"/>
      <c r="AB1261" s="31"/>
    </row>
    <row r="1262" spans="27:28">
      <c r="AA1262" s="31"/>
      <c r="AB1262" s="31"/>
    </row>
    <row r="1263" spans="27:28">
      <c r="AA1263" s="31"/>
      <c r="AB1263" s="31"/>
    </row>
    <row r="1264" spans="27:28">
      <c r="AA1264" s="31"/>
      <c r="AB1264" s="31"/>
    </row>
    <row r="1265" spans="27:28">
      <c r="AA1265" s="31"/>
      <c r="AB1265" s="31"/>
    </row>
    <row r="1266" spans="27:28">
      <c r="AA1266" s="31"/>
      <c r="AB1266" s="31"/>
    </row>
    <row r="1267" spans="27:28">
      <c r="AA1267" s="31"/>
      <c r="AB1267" s="31"/>
    </row>
    <row r="1268" spans="27:28">
      <c r="AA1268" s="31"/>
      <c r="AB1268" s="31"/>
    </row>
    <row r="1269" spans="27:28">
      <c r="AA1269" s="31"/>
      <c r="AB1269" s="31"/>
    </row>
    <row r="1270" spans="27:28">
      <c r="AA1270" s="31"/>
      <c r="AB1270" s="31"/>
    </row>
    <row r="1271" spans="27:28">
      <c r="AA1271" s="31"/>
      <c r="AB1271" s="31"/>
    </row>
    <row r="1272" spans="27:28">
      <c r="AA1272" s="31"/>
      <c r="AB1272" s="31"/>
    </row>
    <row r="1273" spans="27:28">
      <c r="AA1273" s="31"/>
      <c r="AB1273" s="31"/>
    </row>
    <row r="1274" spans="27:28">
      <c r="AA1274" s="31"/>
      <c r="AB1274" s="31"/>
    </row>
    <row r="1275" spans="27:28">
      <c r="AA1275" s="31"/>
      <c r="AB1275" s="31"/>
    </row>
    <row r="1276" spans="27:28">
      <c r="AA1276" s="31"/>
      <c r="AB1276" s="31"/>
    </row>
    <row r="1277" spans="27:28">
      <c r="AA1277" s="31"/>
      <c r="AB1277" s="31"/>
    </row>
    <row r="1278" spans="27:28">
      <c r="AA1278" s="31"/>
      <c r="AB1278" s="31"/>
    </row>
    <row r="1279" spans="27:28">
      <c r="AA1279" s="31"/>
      <c r="AB1279" s="31"/>
    </row>
    <row r="1280" spans="27:28">
      <c r="AA1280" s="31"/>
      <c r="AB1280" s="31"/>
    </row>
    <row r="1281" spans="27:28">
      <c r="AA1281" s="31"/>
      <c r="AB1281" s="31"/>
    </row>
    <row r="1282" spans="27:28">
      <c r="AA1282" s="31"/>
      <c r="AB1282" s="31"/>
    </row>
    <row r="1283" spans="27:28">
      <c r="AA1283" s="31"/>
      <c r="AB1283" s="31"/>
    </row>
    <row r="1284" spans="27:28">
      <c r="AA1284" s="31"/>
      <c r="AB1284" s="31"/>
    </row>
    <row r="1285" spans="27:28">
      <c r="AA1285" s="31"/>
      <c r="AB1285" s="31"/>
    </row>
    <row r="1286" spans="27:28">
      <c r="AA1286" s="31"/>
      <c r="AB1286" s="31"/>
    </row>
    <row r="1287" spans="27:28">
      <c r="AA1287" s="31"/>
      <c r="AB1287" s="31"/>
    </row>
    <row r="1288" spans="27:28">
      <c r="AA1288" s="31"/>
      <c r="AB1288" s="31"/>
    </row>
    <row r="1289" spans="27:28">
      <c r="AA1289" s="31"/>
      <c r="AB1289" s="31"/>
    </row>
    <row r="1290" spans="27:28">
      <c r="AA1290" s="31"/>
      <c r="AB1290" s="31"/>
    </row>
    <row r="1291" spans="27:28">
      <c r="AA1291" s="31"/>
      <c r="AB1291" s="31"/>
    </row>
    <row r="1292" spans="27:28">
      <c r="AA1292" s="31"/>
      <c r="AB1292" s="31"/>
    </row>
    <row r="1293" spans="27:28">
      <c r="AA1293" s="31"/>
      <c r="AB1293" s="31"/>
    </row>
    <row r="1294" spans="27:28">
      <c r="AA1294" s="31"/>
      <c r="AB1294" s="31"/>
    </row>
    <row r="1295" spans="27:28">
      <c r="AA1295" s="31"/>
      <c r="AB1295" s="31"/>
    </row>
    <row r="1296" spans="27:28">
      <c r="AA1296" s="31"/>
      <c r="AB1296" s="31"/>
    </row>
    <row r="1297" spans="27:28">
      <c r="AA1297" s="31"/>
      <c r="AB1297" s="31"/>
    </row>
    <row r="1298" spans="27:28">
      <c r="AA1298" s="31"/>
      <c r="AB1298" s="31"/>
    </row>
    <row r="1299" spans="27:28">
      <c r="AA1299" s="31"/>
      <c r="AB1299" s="31"/>
    </row>
    <row r="1300" spans="27:28">
      <c r="AA1300" s="31"/>
      <c r="AB1300" s="31"/>
    </row>
    <row r="1301" spans="27:28">
      <c r="AA1301" s="31"/>
      <c r="AB1301" s="31"/>
    </row>
    <row r="1302" spans="27:28">
      <c r="AA1302" s="31"/>
      <c r="AB1302" s="31"/>
    </row>
    <row r="1303" spans="27:28">
      <c r="AA1303" s="31"/>
      <c r="AB1303" s="31"/>
    </row>
    <row r="1304" spans="27:28">
      <c r="AA1304" s="31"/>
      <c r="AB1304" s="31"/>
    </row>
    <row r="1305" spans="27:28">
      <c r="AA1305" s="31"/>
      <c r="AB1305" s="31"/>
    </row>
    <row r="1306" spans="27:28">
      <c r="AA1306" s="31"/>
      <c r="AB1306" s="31"/>
    </row>
    <row r="1307" spans="27:28">
      <c r="AA1307" s="31"/>
      <c r="AB1307" s="31"/>
    </row>
    <row r="1308" spans="27:28">
      <c r="AA1308" s="31"/>
      <c r="AB1308" s="31"/>
    </row>
    <row r="1309" spans="27:28">
      <c r="AA1309" s="31"/>
      <c r="AB1309" s="31"/>
    </row>
    <row r="1310" spans="27:28">
      <c r="AA1310" s="31"/>
      <c r="AB1310" s="31"/>
    </row>
    <row r="1311" spans="27:28">
      <c r="AA1311" s="31"/>
      <c r="AB1311" s="31"/>
    </row>
    <row r="1312" spans="27:28">
      <c r="AA1312" s="31"/>
      <c r="AB1312" s="31"/>
    </row>
    <row r="1313" spans="27:28">
      <c r="AA1313" s="31"/>
      <c r="AB1313" s="31"/>
    </row>
    <row r="1314" spans="27:28">
      <c r="AA1314" s="31"/>
      <c r="AB1314" s="31"/>
    </row>
    <row r="1315" spans="27:28">
      <c r="AA1315" s="31"/>
      <c r="AB1315" s="31"/>
    </row>
    <row r="1316" spans="27:28">
      <c r="AA1316" s="31"/>
      <c r="AB1316" s="31"/>
    </row>
    <row r="1317" spans="27:28">
      <c r="AA1317" s="31"/>
      <c r="AB1317" s="31"/>
    </row>
    <row r="1318" spans="27:28">
      <c r="AA1318" s="31"/>
      <c r="AB1318" s="31"/>
    </row>
    <row r="1319" spans="27:28">
      <c r="AA1319" s="31"/>
      <c r="AB1319" s="31"/>
    </row>
    <row r="1320" spans="27:28">
      <c r="AA1320" s="31"/>
      <c r="AB1320" s="31"/>
    </row>
    <row r="1321" spans="27:28">
      <c r="AA1321" s="31"/>
      <c r="AB1321" s="31"/>
    </row>
    <row r="1322" spans="27:28">
      <c r="AA1322" s="31"/>
      <c r="AB1322" s="31"/>
    </row>
    <row r="1323" spans="27:28">
      <c r="AA1323" s="31"/>
      <c r="AB1323" s="31"/>
    </row>
    <row r="1324" spans="27:28">
      <c r="AA1324" s="31"/>
      <c r="AB1324" s="31"/>
    </row>
    <row r="1325" spans="27:28">
      <c r="AA1325" s="31"/>
      <c r="AB1325" s="31"/>
    </row>
    <row r="1326" spans="27:28">
      <c r="AA1326" s="31"/>
      <c r="AB1326" s="31"/>
    </row>
    <row r="1327" spans="27:28">
      <c r="AA1327" s="31"/>
      <c r="AB1327" s="31"/>
    </row>
    <row r="1328" spans="27:28">
      <c r="AA1328" s="31"/>
      <c r="AB1328" s="31"/>
    </row>
    <row r="1329" spans="27:28">
      <c r="AA1329" s="31"/>
      <c r="AB1329" s="31"/>
    </row>
    <row r="1330" spans="27:28">
      <c r="AA1330" s="31"/>
      <c r="AB1330" s="31"/>
    </row>
    <row r="1331" spans="27:28">
      <c r="AA1331" s="31"/>
      <c r="AB1331" s="31"/>
    </row>
    <row r="1332" spans="27:28">
      <c r="AA1332" s="31"/>
      <c r="AB1332" s="31"/>
    </row>
    <row r="1333" spans="27:28">
      <c r="AA1333" s="31"/>
      <c r="AB1333" s="31"/>
    </row>
    <row r="1334" spans="27:28">
      <c r="AA1334" s="31"/>
      <c r="AB1334" s="31"/>
    </row>
    <row r="1335" spans="27:28">
      <c r="AA1335" s="31"/>
      <c r="AB1335" s="31"/>
    </row>
    <row r="1336" spans="27:28">
      <c r="AA1336" s="31"/>
      <c r="AB1336" s="31"/>
    </row>
    <row r="1337" spans="27:28">
      <c r="AA1337" s="31"/>
      <c r="AB1337" s="31"/>
    </row>
    <row r="1338" spans="27:28">
      <c r="AA1338" s="31"/>
      <c r="AB1338" s="31"/>
    </row>
    <row r="1339" spans="27:28">
      <c r="AA1339" s="31"/>
      <c r="AB1339" s="31"/>
    </row>
    <row r="1340" spans="27:28">
      <c r="AA1340" s="31"/>
      <c r="AB1340" s="31"/>
    </row>
    <row r="1341" spans="27:28">
      <c r="AA1341" s="31"/>
      <c r="AB1341" s="31"/>
    </row>
    <row r="1342" spans="27:28">
      <c r="AA1342" s="31"/>
      <c r="AB1342" s="31"/>
    </row>
    <row r="1343" spans="27:28">
      <c r="AA1343" s="31"/>
      <c r="AB1343" s="31"/>
    </row>
    <row r="1344" spans="27:28">
      <c r="AA1344" s="31"/>
      <c r="AB1344" s="31"/>
    </row>
    <row r="1345" spans="27:28">
      <c r="AA1345" s="31"/>
      <c r="AB1345" s="31"/>
    </row>
    <row r="1346" spans="27:28">
      <c r="AA1346" s="31"/>
      <c r="AB1346" s="31"/>
    </row>
    <row r="1347" spans="27:28">
      <c r="AA1347" s="31"/>
      <c r="AB1347" s="31"/>
    </row>
    <row r="1348" spans="27:28">
      <c r="AA1348" s="31"/>
      <c r="AB1348" s="31"/>
    </row>
    <row r="1349" spans="27:28">
      <c r="AA1349" s="31"/>
      <c r="AB1349" s="31"/>
    </row>
    <row r="1350" spans="27:28">
      <c r="AA1350" s="31"/>
      <c r="AB1350" s="31"/>
    </row>
    <row r="1351" spans="27:28">
      <c r="AA1351" s="31"/>
      <c r="AB1351" s="31"/>
    </row>
    <row r="1352" spans="27:28">
      <c r="AA1352" s="31"/>
      <c r="AB1352" s="31"/>
    </row>
    <row r="1353" spans="27:28">
      <c r="AA1353" s="31"/>
      <c r="AB1353" s="31"/>
    </row>
    <row r="1354" spans="27:28">
      <c r="AA1354" s="31"/>
      <c r="AB1354" s="31"/>
    </row>
    <row r="1355" spans="27:28">
      <c r="AA1355" s="31"/>
      <c r="AB1355" s="31"/>
    </row>
    <row r="1356" spans="27:28">
      <c r="AA1356" s="31"/>
      <c r="AB1356" s="31"/>
    </row>
    <row r="1357" spans="27:28">
      <c r="AA1357" s="31"/>
      <c r="AB1357" s="31"/>
    </row>
    <row r="1358" spans="27:28">
      <c r="AA1358" s="31"/>
      <c r="AB1358" s="31"/>
    </row>
    <row r="1359" spans="27:28">
      <c r="AA1359" s="31"/>
      <c r="AB1359" s="31"/>
    </row>
    <row r="1360" spans="27:28">
      <c r="AA1360" s="31"/>
      <c r="AB1360" s="31"/>
    </row>
    <row r="1361" spans="27:28">
      <c r="AA1361" s="31"/>
      <c r="AB1361" s="31"/>
    </row>
    <row r="1362" spans="27:28">
      <c r="AA1362" s="31"/>
      <c r="AB1362" s="31"/>
    </row>
    <row r="1363" spans="27:28">
      <c r="AA1363" s="31"/>
      <c r="AB1363" s="31"/>
    </row>
    <row r="1364" spans="27:28">
      <c r="AA1364" s="31"/>
      <c r="AB1364" s="31"/>
    </row>
    <row r="1365" spans="27:28">
      <c r="AA1365" s="31"/>
      <c r="AB1365" s="31"/>
    </row>
    <row r="1366" spans="27:28">
      <c r="AA1366" s="31"/>
      <c r="AB1366" s="31"/>
    </row>
    <row r="1367" spans="27:28">
      <c r="AA1367" s="31"/>
      <c r="AB1367" s="31"/>
    </row>
    <row r="1368" spans="27:28">
      <c r="AA1368" s="31"/>
      <c r="AB1368" s="31"/>
    </row>
    <row r="1369" spans="27:28">
      <c r="AA1369" s="31"/>
      <c r="AB1369" s="31"/>
    </row>
    <row r="1370" spans="27:28">
      <c r="AA1370" s="31"/>
      <c r="AB1370" s="31"/>
    </row>
    <row r="1371" spans="27:28">
      <c r="AA1371" s="31"/>
      <c r="AB1371" s="31"/>
    </row>
    <row r="1372" spans="27:28">
      <c r="AA1372" s="31"/>
      <c r="AB1372" s="31"/>
    </row>
    <row r="1373" spans="27:28">
      <c r="AA1373" s="31"/>
      <c r="AB1373" s="31"/>
    </row>
    <row r="1374" spans="27:28">
      <c r="AA1374" s="31"/>
      <c r="AB1374" s="31"/>
    </row>
    <row r="1375" spans="27:28">
      <c r="AA1375" s="31"/>
      <c r="AB1375" s="31"/>
    </row>
    <row r="1376" spans="27:28">
      <c r="AA1376" s="31"/>
      <c r="AB1376" s="31"/>
    </row>
    <row r="1377" spans="27:28">
      <c r="AA1377" s="31"/>
      <c r="AB1377" s="31"/>
    </row>
    <row r="1378" spans="27:28">
      <c r="AA1378" s="31"/>
      <c r="AB1378" s="31"/>
    </row>
    <row r="1379" spans="27:28">
      <c r="AA1379" s="31"/>
      <c r="AB1379" s="31"/>
    </row>
    <row r="1380" spans="27:28">
      <c r="AA1380" s="31"/>
      <c r="AB1380" s="31"/>
    </row>
    <row r="1381" spans="27:28">
      <c r="AA1381" s="31"/>
      <c r="AB1381" s="31"/>
    </row>
    <row r="1382" spans="27:28">
      <c r="AA1382" s="31"/>
      <c r="AB1382" s="31"/>
    </row>
    <row r="1383" spans="27:28">
      <c r="AA1383" s="31"/>
      <c r="AB1383" s="31"/>
    </row>
    <row r="1384" spans="27:28">
      <c r="AA1384" s="31"/>
      <c r="AB1384" s="31"/>
    </row>
    <row r="1385" spans="27:28">
      <c r="AA1385" s="31"/>
      <c r="AB1385" s="31"/>
    </row>
    <row r="1386" spans="27:28">
      <c r="AA1386" s="31"/>
      <c r="AB1386" s="31"/>
    </row>
    <row r="1387" spans="27:28">
      <c r="AA1387" s="31"/>
      <c r="AB1387" s="31"/>
    </row>
    <row r="1388" spans="27:28">
      <c r="AA1388" s="31"/>
      <c r="AB1388" s="31"/>
    </row>
    <row r="1389" spans="27:28">
      <c r="AA1389" s="31"/>
      <c r="AB1389" s="31"/>
    </row>
    <row r="1390" spans="27:28">
      <c r="AA1390" s="31"/>
      <c r="AB1390" s="31"/>
    </row>
    <row r="1391" spans="27:28">
      <c r="AA1391" s="31"/>
      <c r="AB1391" s="31"/>
    </row>
    <row r="1392" spans="27:28">
      <c r="AA1392" s="31"/>
      <c r="AB1392" s="31"/>
    </row>
    <row r="1393" spans="27:28">
      <c r="AA1393" s="31"/>
      <c r="AB1393" s="31"/>
    </row>
    <row r="1394" spans="27:28">
      <c r="AA1394" s="31"/>
      <c r="AB1394" s="31"/>
    </row>
    <row r="1395" spans="27:28">
      <c r="AA1395" s="31"/>
      <c r="AB1395" s="31"/>
    </row>
    <row r="1396" spans="27:28">
      <c r="AA1396" s="31"/>
      <c r="AB1396" s="31"/>
    </row>
    <row r="1397" spans="27:28">
      <c r="AA1397" s="31"/>
      <c r="AB1397" s="31"/>
    </row>
    <row r="1398" spans="27:28">
      <c r="AA1398" s="31"/>
      <c r="AB1398" s="31"/>
    </row>
    <row r="1399" spans="27:28">
      <c r="AA1399" s="31"/>
      <c r="AB1399" s="31"/>
    </row>
    <row r="1400" spans="27:28">
      <c r="AA1400" s="31"/>
      <c r="AB1400" s="31"/>
    </row>
    <row r="1401" spans="27:28">
      <c r="AA1401" s="31"/>
      <c r="AB1401" s="31"/>
    </row>
    <row r="1402" spans="27:28">
      <c r="AA1402" s="31"/>
      <c r="AB1402" s="31"/>
    </row>
    <row r="1403" spans="27:28">
      <c r="AA1403" s="31"/>
      <c r="AB1403" s="31"/>
    </row>
    <row r="1404" spans="27:28">
      <c r="AA1404" s="31"/>
      <c r="AB1404" s="31"/>
    </row>
    <row r="1405" spans="27:28">
      <c r="AA1405" s="31"/>
      <c r="AB1405" s="31"/>
    </row>
    <row r="1406" spans="27:28">
      <c r="AA1406" s="31"/>
      <c r="AB1406" s="31"/>
    </row>
    <row r="1407" spans="27:28">
      <c r="AA1407" s="31"/>
      <c r="AB1407" s="31"/>
    </row>
    <row r="1408" spans="27:28">
      <c r="AA1408" s="31"/>
      <c r="AB1408" s="31"/>
    </row>
    <row r="1409" spans="27:28">
      <c r="AA1409" s="31"/>
      <c r="AB1409" s="31"/>
    </row>
    <row r="1410" spans="27:28">
      <c r="AA1410" s="31"/>
      <c r="AB1410" s="31"/>
    </row>
    <row r="1411" spans="27:28">
      <c r="AA1411" s="31"/>
      <c r="AB1411" s="31"/>
    </row>
    <row r="1412" spans="27:28">
      <c r="AA1412" s="31"/>
      <c r="AB1412" s="31"/>
    </row>
    <row r="1413" spans="27:28">
      <c r="AA1413" s="31"/>
      <c r="AB1413" s="31"/>
    </row>
    <row r="1414" spans="27:28">
      <c r="AA1414" s="31"/>
      <c r="AB1414" s="31"/>
    </row>
    <row r="1415" spans="27:28">
      <c r="AA1415" s="31"/>
      <c r="AB1415" s="31"/>
    </row>
    <row r="1416" spans="27:28">
      <c r="AA1416" s="31"/>
      <c r="AB1416" s="31"/>
    </row>
    <row r="1417" spans="27:28">
      <c r="AA1417" s="31"/>
      <c r="AB1417" s="31"/>
    </row>
    <row r="1418" spans="27:28">
      <c r="AA1418" s="31"/>
      <c r="AB1418" s="31"/>
    </row>
    <row r="1419" spans="27:28">
      <c r="AA1419" s="31"/>
      <c r="AB1419" s="31"/>
    </row>
    <row r="1420" spans="27:28">
      <c r="AA1420" s="31"/>
      <c r="AB1420" s="31"/>
    </row>
    <row r="1421" spans="27:28">
      <c r="AA1421" s="31"/>
      <c r="AB1421" s="31"/>
    </row>
    <row r="1422" spans="27:28">
      <c r="AA1422" s="31"/>
      <c r="AB1422" s="31"/>
    </row>
    <row r="1423" spans="27:28">
      <c r="AA1423" s="31"/>
      <c r="AB1423" s="31"/>
    </row>
    <row r="1424" spans="27:28">
      <c r="AA1424" s="31"/>
      <c r="AB1424" s="31"/>
    </row>
    <row r="1425" spans="27:28">
      <c r="AA1425" s="31"/>
      <c r="AB1425" s="31"/>
    </row>
    <row r="1426" spans="27:28">
      <c r="AA1426" s="31"/>
      <c r="AB1426" s="31"/>
    </row>
    <row r="1427" spans="27:28">
      <c r="AA1427" s="31"/>
      <c r="AB1427" s="31"/>
    </row>
    <row r="1428" spans="27:28">
      <c r="AA1428" s="31"/>
      <c r="AB1428" s="31"/>
    </row>
    <row r="1429" spans="27:28">
      <c r="AA1429" s="31"/>
      <c r="AB1429" s="31"/>
    </row>
    <row r="1430" spans="27:28">
      <c r="AA1430" s="31"/>
      <c r="AB1430" s="31"/>
    </row>
    <row r="1431" spans="27:28">
      <c r="AA1431" s="31"/>
      <c r="AB1431" s="31"/>
    </row>
    <row r="1432" spans="27:28">
      <c r="AA1432" s="31"/>
    </row>
    <row r="1433" spans="27:28">
      <c r="AA1433" s="31"/>
    </row>
    <row r="1434" spans="27:28">
      <c r="AA1434" s="31"/>
    </row>
    <row r="1435" spans="27:28">
      <c r="AA1435" s="31"/>
    </row>
    <row r="1436" spans="27:28">
      <c r="AA1436" s="31"/>
    </row>
    <row r="1437" spans="27:28">
      <c r="AA1437" s="31"/>
    </row>
    <row r="1438" spans="27:28">
      <c r="AA1438" s="31"/>
    </row>
    <row r="1439" spans="27:28">
      <c r="AA1439" s="31"/>
    </row>
    <row r="1440" spans="27:28">
      <c r="AA1440" s="31"/>
    </row>
    <row r="1441" spans="27:27">
      <c r="AA1441" s="31"/>
    </row>
    <row r="1442" spans="27:27">
      <c r="AA1442" s="31"/>
    </row>
    <row r="1443" spans="27:27">
      <c r="AA1443" s="31"/>
    </row>
    <row r="1444" spans="27:27">
      <c r="AA1444" s="31"/>
    </row>
    <row r="1445" spans="27:27">
      <c r="AA1445" s="31"/>
    </row>
    <row r="1446" spans="27:27">
      <c r="AA1446" s="31"/>
    </row>
    <row r="1447" spans="27:27">
      <c r="AA1447" s="31"/>
    </row>
    <row r="1448" spans="27:27">
      <c r="AA1448" s="31"/>
    </row>
    <row r="1449" spans="27:27">
      <c r="AA1449" s="31"/>
    </row>
    <row r="1450" spans="27:27">
      <c r="AA1450" s="31"/>
    </row>
    <row r="1451" spans="27:27">
      <c r="AA1451" s="31"/>
    </row>
    <row r="1452" spans="27:27">
      <c r="AA1452" s="31"/>
    </row>
    <row r="1453" spans="27:27">
      <c r="AA1453" s="31"/>
    </row>
    <row r="1454" spans="27:27">
      <c r="AA1454" s="31"/>
    </row>
    <row r="1455" spans="27:27">
      <c r="AA1455" s="31"/>
    </row>
    <row r="1456" spans="27:27">
      <c r="AA1456" s="31"/>
    </row>
    <row r="1457" spans="27:27">
      <c r="AA1457" s="31"/>
    </row>
    <row r="1458" spans="27:27">
      <c r="AA1458" s="31"/>
    </row>
    <row r="1459" spans="27:27">
      <c r="AA1459" s="31"/>
    </row>
    <row r="1460" spans="27:27">
      <c r="AA1460" s="31"/>
    </row>
    <row r="1461" spans="27:27">
      <c r="AA1461" s="31"/>
    </row>
    <row r="1462" spans="27:27">
      <c r="AA1462" s="31"/>
    </row>
    <row r="1463" spans="27:27">
      <c r="AA1463" s="31"/>
    </row>
    <row r="1464" spans="27:27">
      <c r="AA1464" s="31"/>
    </row>
    <row r="1465" spans="27:27">
      <c r="AA1465" s="31"/>
    </row>
    <row r="1466" spans="27:27">
      <c r="AA1466" s="31"/>
    </row>
    <row r="1467" spans="27:27">
      <c r="AA1467" s="31"/>
    </row>
    <row r="1468" spans="27:27">
      <c r="AA1468" s="31"/>
    </row>
    <row r="1469" spans="27:27">
      <c r="AA1469" s="31"/>
    </row>
    <row r="1470" spans="27:27">
      <c r="AA1470" s="31"/>
    </row>
    <row r="1471" spans="27:27">
      <c r="AA1471" s="31"/>
    </row>
    <row r="1472" spans="27:27">
      <c r="AA1472" s="31"/>
    </row>
    <row r="1473" spans="27:27">
      <c r="AA1473" s="31"/>
    </row>
    <row r="1474" spans="27:27">
      <c r="AA1474" s="31"/>
    </row>
    <row r="1475" spans="27:27">
      <c r="AA1475" s="31"/>
    </row>
    <row r="1476" spans="27:27">
      <c r="AA1476" s="31"/>
    </row>
    <row r="1477" spans="27:27">
      <c r="AA1477" s="31"/>
    </row>
    <row r="1478" spans="27:27">
      <c r="AA1478" s="31"/>
    </row>
    <row r="1479" spans="27:27">
      <c r="AA1479" s="31"/>
    </row>
    <row r="1480" spans="27:27">
      <c r="AA1480" s="31"/>
    </row>
    <row r="1481" spans="27:27">
      <c r="AA1481" s="31"/>
    </row>
    <row r="1482" spans="27:27">
      <c r="AA1482" s="31"/>
    </row>
    <row r="1483" spans="27:27">
      <c r="AA1483" s="31"/>
    </row>
    <row r="1484" spans="27:27">
      <c r="AA1484" s="31"/>
    </row>
    <row r="1485" spans="27:27">
      <c r="AA1485" s="31"/>
    </row>
    <row r="1486" spans="27:27">
      <c r="AA1486" s="31"/>
    </row>
    <row r="1487" spans="27:27">
      <c r="AA1487" s="31"/>
    </row>
    <row r="1488" spans="27:27">
      <c r="AA1488" s="31"/>
    </row>
    <row r="1489" spans="27:27">
      <c r="AA1489" s="31"/>
    </row>
    <row r="1490" spans="27:27">
      <c r="AA1490" s="31"/>
    </row>
    <row r="1491" spans="27:27">
      <c r="AA1491" s="31"/>
    </row>
    <row r="1492" spans="27:27">
      <c r="AA1492" s="31"/>
    </row>
    <row r="1493" spans="27:27">
      <c r="AA1493" s="31"/>
    </row>
    <row r="1494" spans="27:27">
      <c r="AA1494" s="31"/>
    </row>
    <row r="1495" spans="27:27">
      <c r="AA1495" s="31"/>
    </row>
    <row r="1496" spans="27:27">
      <c r="AA1496" s="31"/>
    </row>
    <row r="1497" spans="27:27">
      <c r="AA1497" s="31"/>
    </row>
    <row r="1498" spans="27:27">
      <c r="AA1498" s="31"/>
    </row>
    <row r="1499" spans="27:27">
      <c r="AA1499" s="31"/>
    </row>
    <row r="1500" spans="27:27">
      <c r="AA1500" s="31"/>
    </row>
    <row r="1501" spans="27:27">
      <c r="AA1501" s="31"/>
    </row>
    <row r="1502" spans="27:27">
      <c r="AA1502" s="31"/>
    </row>
    <row r="1503" spans="27:27">
      <c r="AA1503" s="31"/>
    </row>
    <row r="1504" spans="27:27">
      <c r="AA1504" s="31"/>
    </row>
    <row r="1505" spans="27:27">
      <c r="AA1505" s="31"/>
    </row>
    <row r="1506" spans="27:27">
      <c r="AA1506" s="31"/>
    </row>
    <row r="1507" spans="27:27">
      <c r="AA1507" s="31"/>
    </row>
    <row r="1508" spans="27:27">
      <c r="AA1508" s="31"/>
    </row>
    <row r="1509" spans="27:27">
      <c r="AA1509" s="31"/>
    </row>
    <row r="1510" spans="27:27">
      <c r="AA1510" s="31"/>
    </row>
    <row r="1511" spans="27:27">
      <c r="AA1511" s="31"/>
    </row>
    <row r="1512" spans="27:27">
      <c r="AA1512" s="31"/>
    </row>
    <row r="1513" spans="27:27">
      <c r="AA1513" s="31"/>
    </row>
    <row r="1514" spans="27:27">
      <c r="AA1514" s="31"/>
    </row>
    <row r="1515" spans="27:27">
      <c r="AA1515" s="31"/>
    </row>
    <row r="1516" spans="27:27">
      <c r="AA1516" s="31"/>
    </row>
    <row r="1517" spans="27:27">
      <c r="AA1517" s="31"/>
    </row>
    <row r="1518" spans="27:27">
      <c r="AA1518" s="31"/>
    </row>
    <row r="1519" spans="27:27">
      <c r="AA1519" s="31"/>
    </row>
    <row r="1520" spans="27:27">
      <c r="AA1520" s="31"/>
    </row>
    <row r="1521" spans="27:27">
      <c r="AA1521" s="31"/>
    </row>
    <row r="1522" spans="27:27">
      <c r="AA1522" s="31"/>
    </row>
    <row r="1523" spans="27:27">
      <c r="AA1523" s="31"/>
    </row>
    <row r="1524" spans="27:27">
      <c r="AA1524" s="31"/>
    </row>
    <row r="1525" spans="27:27">
      <c r="AA1525" s="31"/>
    </row>
    <row r="1526" spans="27:27">
      <c r="AA1526" s="31"/>
    </row>
    <row r="1527" spans="27:27">
      <c r="AA1527" s="31"/>
    </row>
    <row r="1528" spans="27:27">
      <c r="AA1528" s="31"/>
    </row>
    <row r="1529" spans="27:27">
      <c r="AA1529" s="31"/>
    </row>
    <row r="1530" spans="27:27">
      <c r="AA1530" s="31"/>
    </row>
    <row r="1531" spans="27:27">
      <c r="AA1531" s="31"/>
    </row>
    <row r="1532" spans="27:27">
      <c r="AA1532" s="31"/>
    </row>
    <row r="1533" spans="27:27">
      <c r="AA1533" s="31"/>
    </row>
    <row r="1534" spans="27:27">
      <c r="AA1534" s="31"/>
    </row>
    <row r="1535" spans="27:27">
      <c r="AA1535" s="31"/>
    </row>
    <row r="1536" spans="27:27">
      <c r="AA1536" s="31"/>
    </row>
    <row r="1537" spans="27:27">
      <c r="AA1537" s="31"/>
    </row>
    <row r="1538" spans="27:27">
      <c r="AA1538" s="31"/>
    </row>
    <row r="1539" spans="27:27">
      <c r="AA1539" s="31"/>
    </row>
    <row r="1540" spans="27:27">
      <c r="AA1540" s="31"/>
    </row>
    <row r="1541" spans="27:27">
      <c r="AA1541" s="31"/>
    </row>
    <row r="1542" spans="27:27">
      <c r="AA1542" s="31"/>
    </row>
    <row r="1543" spans="27:27">
      <c r="AA1543" s="31"/>
    </row>
    <row r="1544" spans="27:27">
      <c r="AA1544" s="31"/>
    </row>
    <row r="1545" spans="27:27">
      <c r="AA1545" s="31"/>
    </row>
    <row r="1546" spans="27:27">
      <c r="AA1546" s="31"/>
    </row>
    <row r="1547" spans="27:27">
      <c r="AA1547" s="31"/>
    </row>
    <row r="1548" spans="27:27">
      <c r="AA1548" s="31"/>
    </row>
    <row r="1549" spans="27:27">
      <c r="AA1549" s="31"/>
    </row>
    <row r="1550" spans="27:27">
      <c r="AA1550" s="31"/>
    </row>
    <row r="1551" spans="27:27">
      <c r="AA1551" s="31"/>
    </row>
    <row r="1552" spans="27:27">
      <c r="AA1552" s="31"/>
    </row>
    <row r="1553" spans="27:27">
      <c r="AA1553" s="31"/>
    </row>
    <row r="1554" spans="27:27">
      <c r="AA1554" s="31"/>
    </row>
    <row r="1555" spans="27:27">
      <c r="AA1555" s="31"/>
    </row>
    <row r="1556" spans="27:27">
      <c r="AA1556" s="31"/>
    </row>
    <row r="1557" spans="27:27">
      <c r="AA1557" s="31"/>
    </row>
    <row r="1558" spans="27:27">
      <c r="AA1558" s="31"/>
    </row>
    <row r="1559" spans="27:27">
      <c r="AA1559" s="31"/>
    </row>
    <row r="1560" spans="27:27">
      <c r="AA1560" s="31"/>
    </row>
    <row r="1561" spans="27:27">
      <c r="AA1561" s="31"/>
    </row>
    <row r="1562" spans="27:27">
      <c r="AA1562" s="31"/>
    </row>
    <row r="1563" spans="27:27">
      <c r="AA1563" s="31"/>
    </row>
    <row r="1564" spans="27:27">
      <c r="AA1564" s="31"/>
    </row>
    <row r="1565" spans="27:27">
      <c r="AA1565" s="31"/>
    </row>
    <row r="1566" spans="27:27">
      <c r="AA1566" s="31"/>
    </row>
    <row r="1567" spans="27:27">
      <c r="AA1567" s="31"/>
    </row>
    <row r="1568" spans="27:27">
      <c r="AA1568" s="31"/>
    </row>
    <row r="1569" spans="27:27">
      <c r="AA1569" s="31"/>
    </row>
    <row r="1570" spans="27:27">
      <c r="AA1570" s="31"/>
    </row>
    <row r="1571" spans="27:27">
      <c r="AA1571" s="31"/>
    </row>
    <row r="1572" spans="27:27">
      <c r="AA1572" s="31"/>
    </row>
    <row r="1573" spans="27:27">
      <c r="AA1573" s="31"/>
    </row>
  </sheetData>
  <sheetProtection algorithmName="SHA-512" hashValue="EyQZGVVeZDJpl/8zJQW3QRwZ4KX/A+/oofIeRk9JEK2eDCPe1rXDMycw14pmluteTbL5xfowGzvyXtmHlUw5MQ==" saltValue="50jwpmnYUscM/q8jdVjtzQ==" spinCount="100000" sheet="1"/>
  <dataConsolidate/>
  <mergeCells count="4">
    <mergeCell ref="C3:K3"/>
    <mergeCell ref="C5:I5"/>
    <mergeCell ref="K5:L5"/>
    <mergeCell ref="O5:P5"/>
  </mergeCells>
  <pageMargins left="0.7" right="0.7" top="0.75" bottom="0.75" header="0.3" footer="0.3"/>
  <pageSetup paperSize="9" scale="82" fitToHeight="0"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3293D-F1B9-4CD3-BDAA-97CF710C8BF9}">
  <sheetPr codeName="Sheet34">
    <outlinePr summaryBelow="0"/>
    <pageSetUpPr fitToPage="1"/>
  </sheetPr>
  <dimension ref="B1:AR1740"/>
  <sheetViews>
    <sheetView showGridLines="0" showRowColHeaders="0" tabSelected="1" topLeftCell="C161" zoomScaleNormal="100" workbookViewId="0">
      <selection activeCell="AK103" sqref="AK103:AM103"/>
    </sheetView>
  </sheetViews>
  <sheetFormatPr baseColWidth="10" defaultColWidth="8" defaultRowHeight="15"/>
  <cols>
    <col min="1" max="2" width="0.83203125" style="2" customWidth="1"/>
    <col min="3" max="3" width="3.1640625" style="2" customWidth="1"/>
    <col min="4" max="4" width="18.1640625" style="2" customWidth="1"/>
    <col min="5" max="5" width="12.5" style="2" customWidth="1"/>
    <col min="6" max="6" width="11.1640625" style="2" customWidth="1"/>
    <col min="7" max="7" width="13.6640625" style="2" customWidth="1"/>
    <col min="8" max="8" width="15.5" style="2" customWidth="1"/>
    <col min="9" max="9" width="12.5" style="2" customWidth="1"/>
    <col min="10" max="11" width="5" style="2" customWidth="1"/>
    <col min="12" max="14" width="10" style="2" customWidth="1"/>
    <col min="15" max="15" width="12.5" style="2" customWidth="1"/>
    <col min="16" max="16" width="0.6640625" style="2" customWidth="1"/>
    <col min="17" max="17" width="14.33203125" style="2" customWidth="1"/>
    <col min="18" max="18" width="1" style="2" customWidth="1"/>
    <col min="19" max="19" width="14.33203125" style="2" customWidth="1"/>
    <col min="20" max="21" width="0.83203125" style="2" customWidth="1"/>
    <col min="22" max="22" width="1.6640625" style="2" customWidth="1"/>
    <col min="23" max="36" width="13.6640625" style="2" hidden="1" customWidth="1"/>
    <col min="37" max="37" width="13.6640625" style="2" customWidth="1"/>
    <col min="38" max="38" width="16.5" style="2" customWidth="1"/>
    <col min="39" max="39" width="23.6640625" style="2" customWidth="1"/>
    <col min="40" max="43" width="8" style="1" hidden="1" customWidth="1"/>
    <col min="44" max="44" width="8.83203125" style="1" bestFit="1" customWidth="1"/>
    <col min="45" max="45" width="8.83203125" style="2" customWidth="1"/>
    <col min="46" max="46" width="10.1640625" style="2" bestFit="1" customWidth="1"/>
    <col min="47" max="47" width="10.5" style="2" customWidth="1"/>
    <col min="48" max="48" width="10.1640625" style="2" bestFit="1" customWidth="1"/>
    <col min="49" max="49" width="12.1640625" style="2" customWidth="1"/>
    <col min="50" max="50" width="10.1640625" style="2" bestFit="1" customWidth="1"/>
    <col min="51" max="51" width="8.83203125" style="2" bestFit="1" customWidth="1"/>
    <col min="52" max="53" width="10.1640625" style="2" bestFit="1" customWidth="1"/>
    <col min="54" max="54" width="9.6640625" style="2" customWidth="1"/>
    <col min="55" max="16384" width="8" style="2"/>
  </cols>
  <sheetData>
    <row r="1" spans="2:38" ht="5.25" customHeight="1"/>
    <row r="2" spans="2:38" ht="5.25" customHeight="1">
      <c r="B2" s="730"/>
      <c r="C2" s="731"/>
      <c r="D2" s="731"/>
      <c r="E2" s="731"/>
      <c r="F2" s="731"/>
      <c r="G2" s="731"/>
      <c r="H2" s="731"/>
      <c r="I2" s="731"/>
      <c r="J2" s="731"/>
      <c r="K2" s="731"/>
      <c r="L2" s="731"/>
      <c r="M2" s="731"/>
      <c r="N2" s="731"/>
      <c r="O2" s="731"/>
      <c r="P2" s="731"/>
      <c r="Q2" s="731"/>
      <c r="R2" s="731"/>
      <c r="S2" s="731"/>
      <c r="T2" s="731"/>
      <c r="U2" s="732"/>
    </row>
    <row r="3" spans="2:38" ht="30.75" customHeight="1">
      <c r="B3" s="733"/>
      <c r="C3" s="1472" t="s">
        <v>8939</v>
      </c>
      <c r="D3" s="1472"/>
      <c r="E3" s="1472"/>
      <c r="F3" s="1472"/>
      <c r="G3" s="1472"/>
      <c r="H3" s="1472"/>
      <c r="I3" s="1472"/>
      <c r="J3" s="1472"/>
      <c r="K3" s="1472"/>
      <c r="L3" s="1472"/>
      <c r="M3" s="1472"/>
      <c r="N3" s="1472"/>
      <c r="O3" s="1472"/>
      <c r="P3" s="1472"/>
      <c r="Q3" s="1472"/>
      <c r="R3" s="1472"/>
      <c r="S3" s="1472"/>
      <c r="T3" s="1472"/>
      <c r="U3" s="736"/>
    </row>
    <row r="4" spans="2:38" ht="8.25" customHeight="1">
      <c r="B4" s="733"/>
      <c r="C4" s="735"/>
      <c r="D4" s="735"/>
      <c r="E4" s="735"/>
      <c r="F4" s="735"/>
      <c r="G4" s="735"/>
      <c r="H4" s="735"/>
      <c r="I4" s="735"/>
      <c r="J4" s="735"/>
      <c r="K4" s="735"/>
      <c r="L4" s="735"/>
      <c r="M4" s="735"/>
      <c r="N4" s="735"/>
      <c r="O4" s="735"/>
      <c r="P4" s="735"/>
      <c r="Q4" s="735"/>
      <c r="R4" s="735"/>
      <c r="S4" s="735"/>
      <c r="T4" s="735"/>
      <c r="U4" s="736"/>
    </row>
    <row r="5" spans="2:38" ht="17.25" customHeight="1">
      <c r="B5" s="733"/>
      <c r="C5" s="1473" t="str">
        <f>IF(D10="","Select your customers to start",IF(D11="",D10 &amp; IF(RIGHT(D10,1)="s","'","'s") &amp; " Statement of Position",D10&amp;" &amp; " &amp; D11 &amp;IF(RIGHT(D11,1)="s","'","'s") &amp; " Statement of Position"))</f>
        <v>Fan Jiang &amp; Sifei Liu's Statement of Position</v>
      </c>
      <c r="D5" s="1473"/>
      <c r="E5" s="1473"/>
      <c r="F5" s="1473"/>
      <c r="G5" s="1473"/>
      <c r="H5" s="1473"/>
      <c r="I5" s="1473"/>
      <c r="J5" s="1473"/>
      <c r="K5" s="1473"/>
      <c r="L5" s="1473"/>
      <c r="M5" s="1473"/>
      <c r="N5" s="1473"/>
      <c r="O5" s="1473"/>
      <c r="P5" s="1473"/>
      <c r="Q5" s="1473"/>
      <c r="R5" s="1473"/>
      <c r="S5" s="1473"/>
      <c r="T5" s="1473"/>
      <c r="U5" s="736"/>
      <c r="X5" s="31"/>
    </row>
    <row r="6" spans="2:38" ht="6.75" customHeight="1">
      <c r="B6" s="733"/>
      <c r="C6" s="735"/>
      <c r="D6" s="735"/>
      <c r="E6" s="735"/>
      <c r="F6" s="735"/>
      <c r="G6" s="735"/>
      <c r="H6" s="735"/>
      <c r="I6" s="735"/>
      <c r="J6" s="735"/>
      <c r="K6" s="735"/>
      <c r="L6" s="735"/>
      <c r="M6" s="735"/>
      <c r="N6" s="735"/>
      <c r="O6" s="735"/>
      <c r="P6" s="735"/>
      <c r="Q6" s="735"/>
      <c r="R6" s="735"/>
      <c r="S6" s="735"/>
      <c r="T6" s="735"/>
      <c r="U6" s="736"/>
      <c r="W6" s="54"/>
    </row>
    <row r="7" spans="2:38" ht="18" customHeight="1">
      <c r="B7" s="733"/>
      <c r="C7" s="958" t="s">
        <v>28</v>
      </c>
      <c r="D7" s="735"/>
      <c r="E7" s="735"/>
      <c r="F7" s="735"/>
      <c r="G7" s="735"/>
      <c r="H7" s="735"/>
      <c r="I7" s="735"/>
      <c r="J7" s="735"/>
      <c r="K7" s="735"/>
      <c r="L7" s="735"/>
      <c r="M7" s="735"/>
      <c r="N7" s="735"/>
      <c r="O7" s="735"/>
      <c r="P7" s="735"/>
      <c r="Q7" s="735"/>
      <c r="R7" s="735"/>
      <c r="S7" s="735"/>
      <c r="T7" s="735"/>
      <c r="U7" s="736"/>
    </row>
    <row r="8" spans="2:38" ht="7.5" customHeight="1">
      <c r="B8" s="733"/>
      <c r="C8" s="945"/>
      <c r="D8" s="959"/>
      <c r="E8" s="743"/>
      <c r="F8" s="743"/>
      <c r="G8" s="743"/>
      <c r="H8" s="743"/>
      <c r="I8" s="743"/>
      <c r="J8" s="743"/>
      <c r="K8" s="743"/>
      <c r="L8" s="743"/>
      <c r="M8" s="743"/>
      <c r="N8" s="743"/>
      <c r="O8" s="743"/>
      <c r="P8" s="743"/>
      <c r="Q8" s="743"/>
      <c r="R8" s="960"/>
      <c r="S8" s="743"/>
      <c r="T8" s="744"/>
      <c r="U8" s="736"/>
      <c r="W8" s="35"/>
    </row>
    <row r="9" spans="2:38" ht="17.25" customHeight="1">
      <c r="B9" s="733"/>
      <c r="C9" s="742"/>
      <c r="D9" s="833" t="s">
        <v>29</v>
      </c>
      <c r="E9" s="833" t="s">
        <v>30</v>
      </c>
      <c r="F9" s="833" t="s">
        <v>8052</v>
      </c>
      <c r="G9" s="36" t="str">
        <f>IF(D11="","Spouse","")</f>
        <v/>
      </c>
      <c r="H9" s="32"/>
      <c r="I9" s="54"/>
      <c r="J9" s="54"/>
      <c r="K9" s="34"/>
      <c r="L9" s="54"/>
      <c r="M9" s="34"/>
      <c r="N9" s="34"/>
      <c r="O9" s="837"/>
      <c r="P9" s="34"/>
      <c r="Q9" s="857"/>
      <c r="R9" s="34"/>
      <c r="S9" s="32"/>
      <c r="T9" s="714"/>
      <c r="U9" s="736"/>
      <c r="W9" s="39" t="s">
        <v>31</v>
      </c>
      <c r="X9" s="39" t="s">
        <v>32</v>
      </c>
      <c r="Y9" s="39"/>
      <c r="Z9" s="39" t="s">
        <v>8900</v>
      </c>
      <c r="AA9" s="39" t="s">
        <v>33</v>
      </c>
      <c r="AB9" s="39" t="s">
        <v>551</v>
      </c>
      <c r="AC9" s="39" t="s">
        <v>8993</v>
      </c>
      <c r="AD9" s="39" t="s">
        <v>8628</v>
      </c>
    </row>
    <row r="10" spans="2:38" ht="17.25" customHeight="1">
      <c r="B10" s="733"/>
      <c r="C10" s="713"/>
      <c r="D10" s="919" t="s">
        <v>9568</v>
      </c>
      <c r="E10" s="919">
        <v>2</v>
      </c>
      <c r="F10" s="919" t="s">
        <v>4808</v>
      </c>
      <c r="G10" s="920" t="s">
        <v>8050</v>
      </c>
      <c r="I10" s="54"/>
      <c r="J10" s="54"/>
      <c r="L10" s="54"/>
      <c r="M10" s="34"/>
      <c r="O10" s="34"/>
      <c r="P10" s="34"/>
      <c r="R10" s="34"/>
      <c r="T10" s="714"/>
      <c r="U10" s="736"/>
      <c r="W10" s="936" t="str">
        <f>D10</f>
        <v>Fan Jiang</v>
      </c>
      <c r="X10" s="936" t="str">
        <f>D10</f>
        <v>Fan Jiang</v>
      </c>
      <c r="Y10" s="936" t="s">
        <v>34</v>
      </c>
      <c r="Z10" s="936">
        <f>COUNTIFS(D17:D73,X10,H17:H73,"After Tax")</f>
        <v>0</v>
      </c>
      <c r="AA10" s="1024">
        <f>MATCH("Other Incomes",D:D,FALSE)</f>
        <v>74</v>
      </c>
      <c r="AB10" s="936">
        <f>MATCH(AB9,'Internal Ref'!$A$251:$J$251,0)-1</f>
        <v>5</v>
      </c>
      <c r="AC10" s="1378" t="b">
        <v>0</v>
      </c>
      <c r="AD10" s="936">
        <v>1</v>
      </c>
    </row>
    <row r="11" spans="2:38" ht="17.25" customHeight="1">
      <c r="B11" s="733"/>
      <c r="C11" s="713"/>
      <c r="D11" s="919" t="s">
        <v>9569</v>
      </c>
      <c r="E11" s="919"/>
      <c r="F11" s="34"/>
      <c r="G11" s="836"/>
      <c r="M11" s="34"/>
      <c r="N11" s="34"/>
      <c r="O11" s="34"/>
      <c r="P11" s="34"/>
      <c r="R11" s="34"/>
      <c r="T11" s="714"/>
      <c r="U11" s="736"/>
      <c r="W11" s="936" t="str">
        <f>IF(ISBLANK(D11),"Other",D11)</f>
        <v>Sifei Liu</v>
      </c>
      <c r="X11" s="936" t="str">
        <f>IF(ISBLANK(D11),"",D11)</f>
        <v>Sifei Liu</v>
      </c>
      <c r="Y11" s="936" t="s">
        <v>35</v>
      </c>
      <c r="Z11" s="936">
        <f>COUNTIFS(D17:D73,X11,H17:H73,"After Tax")</f>
        <v>0</v>
      </c>
      <c r="AB11" s="936">
        <f>VLOOKUP(AB9,'Internal Ref'!$A$203:$B$206,2,FALSE)</f>
        <v>3</v>
      </c>
      <c r="AC11" s="936">
        <f>COUNTIF(D:D,"SE -*")</f>
        <v>3</v>
      </c>
      <c r="AD11" s="936">
        <f>SUM(G84:G85)</f>
        <v>0</v>
      </c>
      <c r="AE11" s="31"/>
      <c r="AJ11" s="31"/>
    </row>
    <row r="12" spans="2:38" ht="7.5" customHeight="1">
      <c r="B12" s="733"/>
      <c r="C12" s="807"/>
      <c r="D12" s="727"/>
      <c r="E12" s="727"/>
      <c r="F12" s="727"/>
      <c r="G12" s="727"/>
      <c r="H12" s="727"/>
      <c r="I12" s="727"/>
      <c r="J12" s="727"/>
      <c r="K12" s="727"/>
      <c r="L12" s="943"/>
      <c r="M12" s="943"/>
      <c r="N12" s="715"/>
      <c r="O12" s="715"/>
      <c r="P12" s="715"/>
      <c r="Q12" s="944"/>
      <c r="R12" s="828"/>
      <c r="S12" s="944"/>
      <c r="T12" s="908"/>
      <c r="U12" s="736"/>
      <c r="W12" s="936" t="str">
        <f>IF(ISBLANK(D11),"",D10&amp;" 50% "&amp;D11&amp;" 50%")</f>
        <v>Fan Jiang 50% Sifei Liu 50%</v>
      </c>
      <c r="X12" s="42"/>
      <c r="AD12" s="936">
        <f>COUNT(N84:O85)</f>
        <v>0</v>
      </c>
      <c r="AE12" s="31"/>
      <c r="AJ12" s="31"/>
    </row>
    <row r="13" spans="2:38" ht="7.5" customHeight="1">
      <c r="B13" s="733"/>
      <c r="C13" s="731"/>
      <c r="D13" s="731"/>
      <c r="E13" s="731"/>
      <c r="F13" s="731"/>
      <c r="G13" s="731"/>
      <c r="H13" s="731"/>
      <c r="I13" s="731"/>
      <c r="J13" s="731"/>
      <c r="K13" s="731"/>
      <c r="L13" s="951"/>
      <c r="M13" s="951"/>
      <c r="N13" s="731"/>
      <c r="O13" s="731"/>
      <c r="P13" s="731"/>
      <c r="Q13" s="952"/>
      <c r="R13" s="952"/>
      <c r="S13" s="952"/>
      <c r="T13" s="952"/>
      <c r="U13" s="736"/>
      <c r="W13" s="936" t="str">
        <f>IF(ISBLANK(D11),"","Other")</f>
        <v>Other</v>
      </c>
      <c r="X13" s="42"/>
      <c r="AD13" s="1029"/>
      <c r="AE13" s="31"/>
      <c r="AJ13" s="31"/>
    </row>
    <row r="14" spans="2:38" ht="17.25" customHeight="1">
      <c r="B14" s="733"/>
      <c r="C14" s="953" t="s">
        <v>36</v>
      </c>
      <c r="D14" s="953"/>
      <c r="E14" s="738"/>
      <c r="F14" s="738"/>
      <c r="G14" s="738"/>
      <c r="H14" s="738"/>
      <c r="I14" s="738"/>
      <c r="J14" s="954"/>
      <c r="K14" s="954"/>
      <c r="L14" s="954"/>
      <c r="M14" s="954"/>
      <c r="N14" s="954"/>
      <c r="O14" s="738"/>
      <c r="P14" s="738"/>
      <c r="Q14" s="955"/>
      <c r="R14" s="956"/>
      <c r="S14" s="955"/>
      <c r="T14" s="956"/>
      <c r="U14" s="736"/>
      <c r="X14" s="44"/>
      <c r="Y14" s="45"/>
      <c r="AD14" s="31"/>
      <c r="AE14" s="31"/>
      <c r="AL14" s="31"/>
    </row>
    <row r="15" spans="2:38" ht="5.25" customHeight="1">
      <c r="B15" s="733"/>
      <c r="C15" s="969"/>
      <c r="D15" s="743"/>
      <c r="E15" s="743"/>
      <c r="F15" s="743"/>
      <c r="G15" s="970"/>
      <c r="H15" s="971"/>
      <c r="I15" s="971"/>
      <c r="J15" s="971"/>
      <c r="K15" s="743"/>
      <c r="L15" s="743"/>
      <c r="M15" s="743"/>
      <c r="N15" s="743"/>
      <c r="O15" s="743"/>
      <c r="P15" s="743"/>
      <c r="Q15" s="972"/>
      <c r="R15" s="957"/>
      <c r="S15" s="972"/>
      <c r="T15" s="973"/>
      <c r="U15" s="736"/>
      <c r="X15" s="44"/>
      <c r="Y15" s="45"/>
      <c r="AD15" s="31"/>
      <c r="AE15" s="31"/>
      <c r="AK15" s="43"/>
      <c r="AL15" s="31"/>
    </row>
    <row r="16" spans="2:38" ht="19.5" customHeight="1">
      <c r="B16" s="733"/>
      <c r="C16" s="713"/>
      <c r="D16" s="778" t="s">
        <v>40</v>
      </c>
      <c r="M16" s="34"/>
      <c r="N16" s="46"/>
      <c r="O16" s="46"/>
      <c r="P16" s="34"/>
      <c r="Q16" s="994" t="s">
        <v>37</v>
      </c>
      <c r="R16" s="40"/>
      <c r="S16" s="994" t="s">
        <v>38</v>
      </c>
      <c r="T16" s="714"/>
      <c r="U16" s="736"/>
      <c r="X16" s="42"/>
      <c r="AD16" s="31"/>
      <c r="AE16" s="31"/>
      <c r="AK16" s="43" t="s">
        <v>39</v>
      </c>
      <c r="AL16" s="31"/>
    </row>
    <row r="17" spans="2:42" ht="17.25" customHeight="1">
      <c r="B17" s="733"/>
      <c r="C17" s="902"/>
      <c r="D17" s="833" t="s">
        <v>41</v>
      </c>
      <c r="E17" s="833" t="s">
        <v>13</v>
      </c>
      <c r="F17" s="833" t="s">
        <v>42</v>
      </c>
      <c r="G17" s="833" t="s">
        <v>14</v>
      </c>
      <c r="H17" s="833" t="s">
        <v>43</v>
      </c>
      <c r="I17" s="833" t="s">
        <v>44</v>
      </c>
      <c r="J17" s="1470" t="s">
        <v>15</v>
      </c>
      <c r="K17" s="1470"/>
      <c r="L17" s="833" t="s">
        <v>45</v>
      </c>
      <c r="M17" s="833" t="s">
        <v>46</v>
      </c>
      <c r="N17" s="36" t="str">
        <f>IF($AC$11&gt;0,"LMI App?","")</f>
        <v>LMI App?</v>
      </c>
      <c r="O17" s="36" t="str">
        <f>IF(AND($AC$11&gt;0,$AC$10=TRUE),"Prior Year Amt","")</f>
        <v/>
      </c>
      <c r="P17" s="836"/>
      <c r="Q17" s="36" t="s">
        <v>47</v>
      </c>
      <c r="R17" s="850"/>
      <c r="S17" s="39" t="s">
        <v>48</v>
      </c>
      <c r="T17" s="714"/>
      <c r="U17" s="736"/>
      <c r="W17" s="39" t="s">
        <v>49</v>
      </c>
      <c r="X17" s="39" t="s">
        <v>50</v>
      </c>
      <c r="Y17" s="39" t="s">
        <v>51</v>
      </c>
      <c r="Z17" s="39" t="s">
        <v>52</v>
      </c>
      <c r="AA17" s="39" t="s">
        <v>53</v>
      </c>
      <c r="AB17" s="39" t="s">
        <v>54</v>
      </c>
      <c r="AC17" s="39" t="s">
        <v>55</v>
      </c>
      <c r="AD17" s="39" t="s">
        <v>7875</v>
      </c>
      <c r="AE17" s="39" t="s">
        <v>8990</v>
      </c>
      <c r="AK17" s="39" t="s">
        <v>56</v>
      </c>
      <c r="AL17" s="39" t="s">
        <v>21</v>
      </c>
    </row>
    <row r="18" spans="2:42" ht="17.25" hidden="1" customHeight="1">
      <c r="B18" s="733"/>
      <c r="C18" s="713"/>
      <c r="D18" s="48" t="s">
        <v>57</v>
      </c>
      <c r="E18" s="24" t="str">
        <f>IF(LEFT(D28,2)="SE","",'Configurable Items'!#REF!)</f>
        <v/>
      </c>
      <c r="F18" s="32"/>
      <c r="G18" s="32"/>
      <c r="H18" s="32"/>
      <c r="I18" s="32"/>
      <c r="J18" s="32"/>
      <c r="K18" s="48" t="s">
        <v>16</v>
      </c>
      <c r="L18" s="32"/>
      <c r="M18" s="32"/>
      <c r="Q18" s="32"/>
      <c r="R18" s="34"/>
      <c r="S18" s="32"/>
      <c r="T18" s="714"/>
      <c r="U18" s="736"/>
      <c r="W18" s="32"/>
      <c r="X18" s="42"/>
      <c r="AD18" s="31"/>
      <c r="AE18" s="31"/>
      <c r="AK18" s="50"/>
      <c r="AL18" s="31"/>
    </row>
    <row r="19" spans="2:42" ht="17.25" hidden="1" customHeight="1">
      <c r="B19" s="733"/>
      <c r="C19" s="713"/>
      <c r="D19" s="48"/>
      <c r="E19" s="24" t="str">
        <f>IF(LEFT(D28,2)="SE","",'Configurable Items'!#REF!)</f>
        <v/>
      </c>
      <c r="F19" s="32"/>
      <c r="G19" s="32"/>
      <c r="H19" s="32"/>
      <c r="I19" s="32"/>
      <c r="J19" s="24" t="s">
        <v>17</v>
      </c>
      <c r="L19" s="32"/>
      <c r="M19" s="32"/>
      <c r="Q19" s="37"/>
      <c r="R19" s="834"/>
      <c r="S19" s="37"/>
      <c r="T19" s="714"/>
      <c r="U19" s="736"/>
      <c r="W19" s="32"/>
      <c r="X19" s="42"/>
      <c r="AD19" s="31"/>
      <c r="AE19" s="31"/>
      <c r="AK19" s="50"/>
      <c r="AL19" s="31"/>
    </row>
    <row r="20" spans="2:42" ht="17.25" hidden="1" customHeight="1">
      <c r="B20" s="733"/>
      <c r="C20" s="713"/>
      <c r="D20" s="48"/>
      <c r="E20" s="24" t="str">
        <f>IF(LEFT(D28,2)="SE","",'Configurable Items'!#REF!)</f>
        <v/>
      </c>
      <c r="F20" s="32"/>
      <c r="G20" s="32"/>
      <c r="H20" s="32"/>
      <c r="I20" s="32"/>
      <c r="J20" s="24" t="s">
        <v>3</v>
      </c>
      <c r="L20" s="32"/>
      <c r="M20" s="32"/>
      <c r="Q20" s="37"/>
      <c r="R20" s="834"/>
      <c r="S20" s="37"/>
      <c r="T20" s="714"/>
      <c r="U20" s="736"/>
      <c r="W20" s="32"/>
      <c r="X20" s="42"/>
      <c r="AD20" s="31"/>
      <c r="AE20" s="31"/>
      <c r="AK20" s="50"/>
      <c r="AL20" s="31"/>
    </row>
    <row r="21" spans="2:42" ht="17.25" hidden="1" customHeight="1">
      <c r="B21" s="733"/>
      <c r="C21" s="713"/>
      <c r="D21" s="48"/>
      <c r="E21" s="24" t="str">
        <f>IF(LEFT(D28,2)="SE","",'Configurable Items'!#REF!)</f>
        <v/>
      </c>
      <c r="F21" s="32"/>
      <c r="G21" s="32"/>
      <c r="H21" s="32"/>
      <c r="I21" s="32"/>
      <c r="J21" s="24" t="s">
        <v>18</v>
      </c>
      <c r="L21" s="32"/>
      <c r="M21" s="32"/>
      <c r="Q21" s="37"/>
      <c r="R21" s="834"/>
      <c r="S21" s="37"/>
      <c r="T21" s="714"/>
      <c r="U21" s="736"/>
      <c r="W21" s="32"/>
      <c r="X21" s="42"/>
      <c r="AD21" s="31"/>
      <c r="AE21" s="31"/>
      <c r="AK21" s="50"/>
      <c r="AL21" s="31"/>
    </row>
    <row r="22" spans="2:42" ht="17.25" hidden="1" customHeight="1">
      <c r="B22" s="733"/>
      <c r="C22" s="713"/>
      <c r="D22" s="24"/>
      <c r="E22" s="24" t="str">
        <f>IF(LEFT(D28,2)="SE","",'Configurable Items'!#REF!)</f>
        <v/>
      </c>
      <c r="F22" s="32"/>
      <c r="G22" s="32"/>
      <c r="H22" s="24" t="s">
        <v>34</v>
      </c>
      <c r="I22" s="32"/>
      <c r="J22" s="24" t="s">
        <v>2</v>
      </c>
      <c r="L22" s="32"/>
      <c r="M22" s="32"/>
      <c r="Q22" s="37"/>
      <c r="R22" s="834"/>
      <c r="S22" s="37"/>
      <c r="T22" s="714"/>
      <c r="U22" s="736"/>
      <c r="W22" s="32"/>
      <c r="X22" s="42"/>
      <c r="AD22" s="31"/>
      <c r="AE22" s="31"/>
      <c r="AK22" s="50"/>
      <c r="AL22" s="31"/>
    </row>
    <row r="23" spans="2:42" ht="17.25" hidden="1" customHeight="1">
      <c r="B23" s="733"/>
      <c r="C23" s="713"/>
      <c r="D23" s="24" t="s">
        <v>58</v>
      </c>
      <c r="E23" s="24" t="str">
        <f>IF(LEFT(D28,2)="SE",'Configurable Items'!D4789,'Configurable Items'!D4792)</f>
        <v>HOUSING STATUS</v>
      </c>
      <c r="F23" s="32"/>
      <c r="G23" s="32"/>
      <c r="H23" s="842" t="s">
        <v>35</v>
      </c>
      <c r="I23" s="32"/>
      <c r="J23" s="24" t="s">
        <v>19</v>
      </c>
      <c r="L23" s="32"/>
      <c r="M23" s="32"/>
      <c r="Q23" s="37"/>
      <c r="R23" s="834"/>
      <c r="S23" s="37"/>
      <c r="T23" s="714"/>
      <c r="U23" s="736"/>
      <c r="W23" s="32"/>
      <c r="X23" s="42"/>
      <c r="AD23" s="31"/>
      <c r="AE23" s="31"/>
      <c r="AK23" s="50"/>
      <c r="AL23" s="31"/>
    </row>
    <row r="24" spans="2:42" ht="17.25" hidden="1" customHeight="1">
      <c r="B24" s="733"/>
      <c r="C24" s="713"/>
      <c r="D24" s="24" t="str">
        <f>IF($D$11="","Other",$D$11)</f>
        <v>Sifei Liu</v>
      </c>
      <c r="E24" s="24">
        <f>IF(LEFT(D28,2)="SE",'Configurable Items'!D4790,'Configurable Items'!D4793)</f>
        <v>0</v>
      </c>
      <c r="F24" s="24" t="b">
        <v>1</v>
      </c>
      <c r="G24" s="24"/>
      <c r="H24" s="842" t="s">
        <v>51</v>
      </c>
      <c r="I24" s="24" t="b">
        <v>1</v>
      </c>
      <c r="J24" s="24" t="s">
        <v>20</v>
      </c>
      <c r="L24" s="32"/>
      <c r="M24" s="32"/>
      <c r="Q24" s="37"/>
      <c r="R24" s="834"/>
      <c r="S24" s="37"/>
      <c r="T24" s="714"/>
      <c r="U24" s="736"/>
      <c r="W24" s="32"/>
      <c r="X24" s="42"/>
      <c r="AD24" s="31"/>
      <c r="AE24" s="31"/>
      <c r="AK24" s="50"/>
      <c r="AL24" s="31"/>
    </row>
    <row r="25" spans="2:42" ht="17.25" hidden="1" customHeight="1">
      <c r="B25" s="733"/>
      <c r="C25" s="713"/>
      <c r="D25" s="24" t="str">
        <f>$D$10</f>
        <v>Fan Jiang</v>
      </c>
      <c r="E25" s="24" t="str">
        <f>IF(LEFT(D28,2)="SE",'Configurable Items'!D4791,'Configurable Items'!D4794)</f>
        <v>Boarding</v>
      </c>
      <c r="F25" s="24" t="b">
        <v>0</v>
      </c>
      <c r="G25" s="842"/>
      <c r="H25" s="842" t="s">
        <v>59</v>
      </c>
      <c r="I25" s="842" t="b">
        <v>0</v>
      </c>
      <c r="J25" s="842" t="s">
        <v>60</v>
      </c>
      <c r="L25" s="32"/>
      <c r="M25" s="32"/>
      <c r="Q25" s="37"/>
      <c r="R25" s="834"/>
      <c r="S25" s="37"/>
      <c r="T25" s="714"/>
      <c r="U25" s="736"/>
      <c r="W25" s="32"/>
      <c r="X25" s="42"/>
      <c r="AD25" s="31"/>
      <c r="AE25" s="31"/>
      <c r="AK25" s="50"/>
      <c r="AL25" s="31"/>
    </row>
    <row r="26" spans="2:42" ht="17.25" customHeight="1">
      <c r="B26" s="733"/>
      <c r="C26" s="1349" t="str">
        <f>D26</f>
        <v>Fan Jiang</v>
      </c>
      <c r="D26" s="911" t="s">
        <v>9568</v>
      </c>
      <c r="E26" s="930" t="str">
        <f>IF(OR(D28="SE - Sole Trader",D28="SE - Dual App",D28 = "SE - RM Verified"),"Gross Annual Income",
IF(D28="SE - Company Wages","ATO Income","Salary"))</f>
        <v>ATO Income</v>
      </c>
      <c r="F26" s="1026"/>
      <c r="G26" s="910">
        <v>196518</v>
      </c>
      <c r="H26" s="935"/>
      <c r="I26" s="928"/>
      <c r="J26" s="1485" t="s">
        <v>60</v>
      </c>
      <c r="K26" s="1485"/>
      <c r="L26" s="929">
        <v>45108</v>
      </c>
      <c r="M26" s="929">
        <v>45473</v>
      </c>
      <c r="N26" s="340" t="b">
        <v>1</v>
      </c>
      <c r="O26" s="918"/>
      <c r="P26" s="836"/>
      <c r="Q26" s="931">
        <f>IF(E26&lt;&gt;"Salary",
IF(E26="ATO Income",IF(X26+X27=0,0,CONVERT_TO_MONTHLY(G26+G27,J26,X26+X27)),
CONVERT_TO_MONTHLY(G26,J26)),
IF(AND((LEFT(D28,2)&lt;&gt;"SE"),OR(G26="",H26="",J26="")=TRUE)=TRUE,0,
CONVERT_TO_MONTHLY(EmploymentIncomeComponent(E26, D28, G26/(1+(IF(I26=TRUE,mandatorySuperannuationContributions,0))), H26, J26, 0, H201, D30, X26, G27/(1+(IF(I26=TRUE,mandatorySuperannuationContributions,0))), H27, J27, F27, G29/(1+(IF(I26=TRUE,mandatorySuperannuationContributions,0))), H29, J29, F29, G28/(1+(IF(I26=TRUE,mandatorySuperannuationContributions,0))), H28, J28, F28, FALSE),"annually")))</f>
        <v>16342.941598360658</v>
      </c>
      <c r="R26" s="850"/>
      <c r="S26" s="931">
        <f>Q26*AE26</f>
        <v>16342.941598360658</v>
      </c>
      <c r="T26" s="714"/>
      <c r="U26" s="736"/>
      <c r="W26" s="931">
        <f>Q26</f>
        <v>16342.941598360658</v>
      </c>
      <c r="X26" s="1021">
        <f>IF(J26="Year to Date",IF(AND(OR(L26="",M26=""),E26="ATO Income"),0,M26-L26+1),IF(J26="monthly",365/12,IF(J26="fortnightly",14,IF(J26="weekly",7,365))))</f>
        <v>366</v>
      </c>
      <c r="Y26" s="939" t="b">
        <f>IF(E26="","",VLOOKUP(E26,'Configurable Items'!$D$4734:$E$4750,2,FALSE))</f>
        <v>1</v>
      </c>
      <c r="AA26" s="938">
        <f>IF(D28="SE - RM Verified",1,IF(D28="SE - Dual Application",1,0))</f>
        <v>0</v>
      </c>
      <c r="AB26" s="931">
        <f>IF(Y26=TRUE,IF(LEFT(D28,2)="SE",S26,Q26),0)</f>
        <v>16342.941598360658</v>
      </c>
      <c r="AC26" s="931">
        <f>IF(LEFT(D28,2)="SE",S26,Q26)</f>
        <v>16342.941598360658</v>
      </c>
      <c r="AD26" s="31"/>
      <c r="AE26" s="1375" cm="1">
        <f t="array" ref="AE26">SE_NPBT_Volatility(D28, $AC$10, IF(D28="SE - Sole Trader",G26,IF(D28="SE - Company",G31,G34)), IF(D28="SE - Sole Trader",O26,IF(D28="SE - Company",O31,O34)),1)</f>
        <v>1</v>
      </c>
      <c r="AK26" s="931" cm="1">
        <f t="array" ref="AK26">IF(AL26=0,0,IF(LEFT(D28,2)="SE",AL26*(Q26/SUM(Q26:Q27)),
CONVERT_TO_MONTHLY(EmploymentIncomeComponent(E26, D28, G26/(1+(IF(I26=TRUE,mandatorySuperannuationContributions,0))), H26, J26, 0, H186, D30, X26, G27/(1+(IF(I26=TRUE,mandatorySuperannuationContributions,0))), H27, J27, F27, G29/(1+(IF(I26=TRUE,mandatorySuperannuationContributions,0))), H29, J29, F29, G28/(1+(IF(I26=TRUE,mandatorySuperannuationContributions,0))), H28, J28, F28, TRUE),"annually")))</f>
        <v>11483.592380464483</v>
      </c>
      <c r="AL26" s="52">
        <f>AN26+AO26</f>
        <v>11483.592380464483</v>
      </c>
      <c r="AN26" s="537">
        <f>IF(LEFT(D28,2)="SE",CONVERT_TO_NET(SUM(Q26:Q27)*12, TRUE, IF(ISBLANK($D$11),1,2), $E$10+$E$11)/12,
IF(H30="Taxable",CONVERT_TO_NET(SUM(Q26:Q30)*12, TRUE, IF(ISBLANK($D$11),1,2), $E$10+$E$11)/12,CONVERT_TO_NET(SUM(Q26:Q29)*12, TRUE, IF(ISBLANK($D$11),1,2), $E$10+$E$11)/12))</f>
        <v>11483.592380464483</v>
      </c>
      <c r="AO26" s="537">
        <f>IF(LEFT(D28,2)="SE",0,
IF(H30="Taxable",0,Q30))</f>
        <v>0</v>
      </c>
    </row>
    <row r="27" spans="2:42" ht="17.25" customHeight="1">
      <c r="B27" s="733"/>
      <c r="C27" s="1356" t="str">
        <f>D26</f>
        <v>Fan Jiang</v>
      </c>
      <c r="D27" s="36" t="s">
        <v>8963</v>
      </c>
      <c r="E27" s="930" t="str">
        <f>IF(OR(D28="SE - Sole Trader",D28="SE - RM Verified",D28="SE - Dual App"),"",
IF(OR(D28="SE - Partnership",D28="SE - Trust (Ind ATF)",D28="SE - Trust (Comp ATF)"),"Distribution",
IF(D28="SE - Company","Dividends",
IF(D28="SE - Company Wages","Prior Year ATO Income",
"Bonus"))))</f>
        <v>Prior Year ATO Income</v>
      </c>
      <c r="F27" s="928"/>
      <c r="G27" s="910"/>
      <c r="H27" s="935"/>
      <c r="I27" s="928"/>
      <c r="J27" s="1485" t="s">
        <v>60</v>
      </c>
      <c r="K27" s="1485"/>
      <c r="L27" s="929"/>
      <c r="M27" s="929"/>
      <c r="N27" s="836"/>
      <c r="O27" s="836"/>
      <c r="P27" s="836"/>
      <c r="Q27" s="931">
        <f>IF(E27="",0,
IF(E27="Prior Year ATO Income",0,
IF(E27="Bonus",
CONVERT_TO_MONTHLY(EmploymentIncomeComponent(E27, D28, G26/(1+(IF(I26=TRUE,mandatorySuperannuationContributions,0))), H26, J26, 0, H201, D30, X26, G27/(1+(IF(I26=TRUE,mandatorySuperannuationContributions,0))), H27, J27, F27, G29/(1+(IF(I26=TRUE,mandatorySuperannuationContributions,0))), H29, J29, F29, G28/(1+(IF(I26=TRUE,mandatorySuperannuationContributions,0))), H28, J28, F28, FALSE),"annually"),CONVERT_TO_MONTHLY(G27,J27))))</f>
        <v>0</v>
      </c>
      <c r="R27" s="850"/>
      <c r="S27" s="931">
        <f>IF(E27="",0,
IF(G27="",0,
IF(E27="Bonus",CONVERT_TO_MONTHLY(Sensitise_Income(CONVERT_TO_ANNUALLY(Q27,"Monthly"), VLOOKUP(D26,$D$158:$H$159,5,FALSE), BONUS_SENSITIVITY_MULTIPLIER, 0, 0,FALSE),"Annually"),Q27*AE27)))</f>
        <v>0</v>
      </c>
      <c r="T27" s="714"/>
      <c r="U27" s="736"/>
      <c r="W27" s="931">
        <f>Q27</f>
        <v>0</v>
      </c>
      <c r="X27" s="1021">
        <f>IF(J27="Year to Date",IF(OR(L27="",M27=""),0,M27-L27+1),IF(J27="monthly",365/12,IF(J27="fortnightly",14,IF(J27="weekly",7,365))))</f>
        <v>0</v>
      </c>
      <c r="Y27" s="939" t="b">
        <f>IF(E27="","",VLOOKUP(E27,'Configurable Items'!$D$4734:$E$4750,2,FALSE))</f>
        <v>1</v>
      </c>
      <c r="Z27" s="34"/>
      <c r="AB27" s="931">
        <f>IF(Y27=TRUE,IF(LEFT(D28,2)="SE",S27,Q27),0)</f>
        <v>0</v>
      </c>
      <c r="AC27" s="931">
        <f>IF(LEFT(D28,2)="SE",S27,Q27)</f>
        <v>0</v>
      </c>
      <c r="AD27" s="31"/>
      <c r="AE27" s="1375" cm="1">
        <f t="array" ref="AE27">SE_NPBT_Volatility(D28, $AC$10, IF(D28="SE - Sole Trader",G26,IF(D28="SE - Company",G31,G34)), IF(D28="SE - Sole Trader",O26,IF(D28="SE - Company",O31,O34)),2)</f>
        <v>1</v>
      </c>
      <c r="AK27" s="931" cm="1">
        <f t="array" ref="AK27">IF(AL26=0,0,IF(LEFT(D28,2)="SE",IF(Q27="","",AL26*(Q27/SUM(Q26:Q27))),
CONVERT_TO_MONTHLY(EmploymentIncomeComponent(E27, D28, G26/(1+(IF(I26=TRUE,mandatorySuperannuationContributions,0))), H26, J26, 0, H186, D30, X26, G27/(1+(IF(I26=TRUE,mandatorySuperannuationContributions,0))), H27, J27, F27, G29/(1+(IF(I26=TRUE,mandatorySuperannuationContributions,0))), H29, J29, F29, G28/(1+(IF(I26=TRUE,mandatorySuperannuationContributions,0))), H28, J28, F28, TRUE),"annually")))</f>
        <v>0</v>
      </c>
    </row>
    <row r="28" spans="2:42" ht="17.25" customHeight="1">
      <c r="B28" s="733"/>
      <c r="C28" s="1349" t="str">
        <f>D26</f>
        <v>Fan Jiang</v>
      </c>
      <c r="D28" s="924" t="s">
        <v>7871</v>
      </c>
      <c r="E28" s="930" t="str">
        <f>IF(D28="SE - Company Wages","Payslip",
IF(OR(D28="SE - Dual App",D28="SE - RM Verified"),"",
IF(LEFT(D28,2)="SE","Interest",
"Commission")))</f>
        <v>Payslip</v>
      </c>
      <c r="F28" s="928"/>
      <c r="G28" s="910"/>
      <c r="H28" s="924" t="s">
        <v>35</v>
      </c>
      <c r="I28" s="928"/>
      <c r="J28" s="1486" t="s">
        <v>3</v>
      </c>
      <c r="K28" s="1487"/>
      <c r="L28" s="843" t="str">
        <f>IF(AND(E28="Payslip",Q26&gt;0,G28=""),"  Enter Amount",
IF(AND(Q26=0,E28="Payslip"), "  Enter ATO Income",
IF(AND(Q26&gt;0,E28="Payslip",OR(AD28&lt;Q26*0.85,AD28&gt;Q26*1.15)),"  Inconsistent income, enquire and capture in app notes","")))</f>
        <v xml:space="preserve">  Enter Amount</v>
      </c>
      <c r="M28" s="1009"/>
      <c r="N28" s="836"/>
      <c r="O28" s="836"/>
      <c r="P28" s="836"/>
      <c r="Q28" s="931">
        <f>IF(OR(E28="",E28="Payslip"),0,IF(E28="Commission",CONVERT_TO_MONTHLY(EmploymentIncomeComponent(E28, D28, G26/(1+(IF(I26=TRUE,mandatorySuperannuationContributions,0))), H26, J26, 0, H201, D30, X26, G27/(1+(IF(I26=TRUE,mandatorySuperannuationContributions,0))), H27, J27, F27, G29/(1+(IF(I26=TRUE,mandatorySuperannuationContributions,0))), H29, J29, F29, G28/(1+(IF(I26=TRUE,mandatorySuperannuationContributions,0))), H28, J28, F28, FALSE),"annually"),CONVERT_TO_MONTHLY(G28,J28)*D30))</f>
        <v>0</v>
      </c>
      <c r="R28" s="850"/>
      <c r="S28" s="931">
        <f>IF(E28="",0,
IF(G28="",0,
IF(E28="Commission",CONVERT_TO_MONTHLY(Sensitise_Income(CONVERT_TO_ANNUALLY(Q28,"Monthly"), VLOOKUP(D26,$D$158:$H$159,5,FALSE), COMMISSION_SENSITIVITY_MULTIPLIER, 0, 0,FALSE),"Annually"),Q28)))</f>
        <v>0</v>
      </c>
      <c r="T28" s="714"/>
      <c r="U28" s="736"/>
      <c r="W28" s="931">
        <f>IF(LEFT(D28,2)="SE",0,Q28)</f>
        <v>0</v>
      </c>
      <c r="Y28" s="939" t="str">
        <f>IF(OR(E28="",E28="Payslip"),"",VLOOKUP(E28,'Configurable Items'!$D$4734:$E$4750,2,FALSE))</f>
        <v/>
      </c>
      <c r="AA28" s="54"/>
      <c r="AB28" s="931">
        <f>IF(Y28=TRUE,IF(LEFT(D28,2)="SE",S28,Q28),0)</f>
        <v>0</v>
      </c>
      <c r="AC28" s="931">
        <f>IF(LEFT(D28,2)="SE",S28,Q28)</f>
        <v>0</v>
      </c>
      <c r="AD28" s="931" cm="1">
        <f t="array" ref="AD28">IF(E28="Payslip",IF(H28="After Tax",CONVERT_TO_MONTHLY(CONVERT_TO_GROSS(CONVERT_TO_ANNUALLY(G28,J28),TRUE,IF($D$11="",1,2),SUM($E$10:$E$11)),"Annually"),CONVERT_TO_MONTHLY(G28,J28)))</f>
        <v>0</v>
      </c>
      <c r="AE28" s="31"/>
      <c r="AK28" s="931" t="str" cm="1">
        <f t="array" ref="AK28">IF(AL26=0,0,IF(LEFT(D28,2)="SE","",
CONVERT_TO_MONTHLY(EmploymentIncomeComponent(E28, D28, G26/(1+(IF(I26=TRUE,mandatorySuperannuationContributions,0))), H26, J26, 0, H186, D30, X26, G27/(1+(IF(I26=TRUE,mandatorySuperannuationContributions,0))), H27, J27, F27, G29/(1+(IF(I26=TRUE,mandatorySuperannuationContributions,0))), H29, J29, F29, G28/(1+(IF(I26=TRUE,mandatorySuperannuationContributions,0))), H28, J28, F28, TRUE),"annually")))</f>
        <v/>
      </c>
      <c r="AL28" s="31"/>
    </row>
    <row r="29" spans="2:42" ht="17.25" hidden="1" customHeight="1">
      <c r="B29" s="733"/>
      <c r="C29" s="1349" t="str">
        <f>D26</f>
        <v>Fan Jiang</v>
      </c>
      <c r="D29" s="39" t="s">
        <v>8595</v>
      </c>
      <c r="E29" s="930" t="str">
        <f>IF(D28="SE - RM Verified","",
IF(LEFT(D28,2)="SE","Depreciation",
"Overtime"))</f>
        <v>Depreciation</v>
      </c>
      <c r="F29" s="928"/>
      <c r="G29" s="910"/>
      <c r="H29" s="935"/>
      <c r="I29" s="928"/>
      <c r="J29" s="1485" t="s">
        <v>20</v>
      </c>
      <c r="K29" s="1485"/>
      <c r="L29" s="930"/>
      <c r="M29" s="928"/>
      <c r="N29" s="836"/>
      <c r="O29" s="836"/>
      <c r="P29" s="836"/>
      <c r="Q29" s="931">
        <f>IF(E29="",0,IF(E29="Overtime",CONVERT_TO_MONTHLY(EmploymentIncomeComponent(E29, D28, G26/(1+(IF(I26=TRUE,mandatorySuperannuationContributions,0))), H26, J26, 0, H201, D30, X26, G27/(1+(IF(I26=TRUE,mandatorySuperannuationContributions,0))), H27, J27, F27, G29/(1+(IF(I26=TRUE,mandatorySuperannuationContributions,0))), H29, J29, F29, G28/(1+(IF(I26=TRUE,mandatorySuperannuationContributions,0))), H28, J28, F28, FALSE),"annually"),CONVERT_TO_MONTHLY(G29,J29)*D30))</f>
        <v>0</v>
      </c>
      <c r="R29" s="850"/>
      <c r="S29" s="931">
        <f>IF(E29="",0,
IF(G29="",0,
IF(E29="Overtime",CONVERT_TO_MONTHLY(Sensitise_Income(CONVERT_TO_ANNUALLY(Q29,"Monthly"), VLOOKUP(D26,$D$158:$H$159,5,FALSE), COMMISSION_SENSITIVITY_MULTIPLIER, 0, 0,M29),"Annually"),Q29)))</f>
        <v>0</v>
      </c>
      <c r="T29" s="714"/>
      <c r="U29" s="736"/>
      <c r="W29" s="931">
        <f>IF(LEFT(D28,2)="SE",0,Q29)</f>
        <v>0</v>
      </c>
      <c r="Y29" s="939" t="b">
        <f>IF(E29="","",VLOOKUP(E29,'Configurable Items'!$D$4734:$E$4750,2,FALSE))</f>
        <v>0</v>
      </c>
      <c r="AB29" s="931">
        <f>IF(Y29=TRUE,IF(LEFT(D28,2)="SE",S29,Q29),0)</f>
        <v>0</v>
      </c>
      <c r="AC29" s="931">
        <f>IF(LEFT(D28,2)="SE",S29,Q29)</f>
        <v>0</v>
      </c>
      <c r="AD29" s="31"/>
      <c r="AE29" s="31"/>
      <c r="AK29" s="931" t="str" cm="1">
        <f t="array" ref="AK29">IF(AL26=0,0,IF(LEFT(D28,2)="SE","",
CONVERT_TO_MONTHLY(EmploymentIncomeComponent(E29, D28, G26/(1+(IF(I26=TRUE,mandatorySuperannuationContributions,0))), H26, J26, 0, H186, D30, X26, G27/(1+(IF(I26=TRUE,mandatorySuperannuationContributions,0))), H27, J27, F27, G29/(1+(IF(I26=TRUE,mandatorySuperannuationContributions,0))), H29, J29, F29, G28/(1+(IF(I26=TRUE,mandatorySuperannuationContributions,0))), H28, J28, F28, TRUE),"annually")))</f>
        <v/>
      </c>
      <c r="AL29" s="31"/>
      <c r="AN29" s="1435"/>
      <c r="AP29" s="1435"/>
    </row>
    <row r="30" spans="2:42" ht="17.25" hidden="1" customHeight="1">
      <c r="B30" s="733"/>
      <c r="C30" s="1349" t="str">
        <f>D26</f>
        <v>Fan Jiang</v>
      </c>
      <c r="D30" s="1369">
        <v>1</v>
      </c>
      <c r="E30" s="930" t="s">
        <v>8967</v>
      </c>
      <c r="F30" s="928"/>
      <c r="G30" s="910"/>
      <c r="H30" s="930" t="str">
        <f>VLOOKUP(E30,'Configurable Items'!$D$4734:$F$4758,3,FALSE)</f>
        <v/>
      </c>
      <c r="I30" s="928"/>
      <c r="J30" s="1485" t="s">
        <v>20</v>
      </c>
      <c r="K30" s="1485"/>
      <c r="L30" s="1009"/>
      <c r="M30" s="1009"/>
      <c r="N30" s="836"/>
      <c r="O30" s="836"/>
      <c r="P30" s="836"/>
      <c r="Q30" s="931">
        <f>IF(OR(E30= "Select Type",E30= "Select Sacrifice"),0,IF(E30="",0,IF(J30="Year to Date",CONVERT_TO_MONTHLY(G30,J30,X26),CONVERT_TO_MONTHLY(G30,J30))*IF(LEFT(D28,2)="SE",D30,1)))</f>
        <v>0</v>
      </c>
      <c r="R30" s="47"/>
      <c r="S30" s="931">
        <f>Q30</f>
        <v>0</v>
      </c>
      <c r="T30" s="714"/>
      <c r="U30" s="1013"/>
      <c r="W30" s="931">
        <f>Q30</f>
        <v>0</v>
      </c>
      <c r="Y30" s="1022" t="b">
        <f>IF(H30="",IF(E30="",TRUE,VLOOKUP(E30,'Configurable Items'!$D$4734:$E$4758,2,FALSE)),IF(H30="Taxable",TRUE,FALSE))</f>
        <v>1</v>
      </c>
      <c r="Z30" s="1023">
        <f>IF(E30="Personal Tax Deduction",G30,0)</f>
        <v>0</v>
      </c>
      <c r="AB30" s="1020">
        <f>IF(Y30=TRUE,IF(LEFT(D28,2)="SE",S30,Q30),0)</f>
        <v>0</v>
      </c>
      <c r="AC30" s="1023">
        <f>IF(LEFT(D28,2)="SE",S30,Q30)</f>
        <v>0</v>
      </c>
      <c r="AD30" s="31"/>
      <c r="AE30" s="31"/>
      <c r="AK30" s="931" t="str">
        <f>IF(AL26=0,0,IF(LEFT(D28,2)="SE","",
IF(H30="Taxable",AN26-SUM(AK26:AK29),Q30)))</f>
        <v/>
      </c>
    </row>
    <row r="31" spans="2:42" ht="17.25" hidden="1" customHeight="1">
      <c r="B31" s="733"/>
      <c r="C31" s="1349" t="str">
        <f>D26</f>
        <v>Fan Jiang</v>
      </c>
      <c r="D31" s="845"/>
      <c r="E31" s="930" t="s">
        <v>8985</v>
      </c>
      <c r="F31" s="928"/>
      <c r="G31" s="910"/>
      <c r="H31" s="930" t="str">
        <f>VLOOKUP(E31,'Configurable Items'!$D$4734:$F$4758,3,FALSE)</f>
        <v/>
      </c>
      <c r="I31" s="928"/>
      <c r="J31" s="1485" t="s">
        <v>20</v>
      </c>
      <c r="K31" s="1485"/>
      <c r="L31" s="1009"/>
      <c r="M31" s="1009"/>
      <c r="N31" s="846"/>
      <c r="O31" s="918"/>
      <c r="P31" s="846"/>
      <c r="Q31" s="931">
        <f>IF(E31= "Select Type",0,IF(E31="",0,IF(J31="Year to Date",CONVERT_TO_MONTHLY(G31,J31,X26),CONVERT_TO_MONTHLY(G31,J31))*IF(LEFT(D28,2)="SE",D30,1)))</f>
        <v>0</v>
      </c>
      <c r="R31" s="47"/>
      <c r="S31" s="931">
        <f>Q31*AE31</f>
        <v>0</v>
      </c>
      <c r="T31" s="714"/>
      <c r="U31" s="1013"/>
      <c r="W31" s="931">
        <f>IF(LEFT(D28,2)="SE",IF(Y31=TRUE,Q31,0),Q31)</f>
        <v>0</v>
      </c>
      <c r="X31" s="54"/>
      <c r="Y31" s="1022" t="b">
        <f>IF(H31="",IF(E31="",TRUE,VLOOKUP(E31,'Configurable Items'!$D$4734:$E$4758,2,FALSE)),IF(H31="Taxable",TRUE,FALSE))</f>
        <v>1</v>
      </c>
      <c r="Z31" s="1023">
        <f>IF(E31="Personal Tax Deduction",G31,0)</f>
        <v>0</v>
      </c>
      <c r="AB31" s="1020">
        <f>IF(Y31=TRUE,IF(LEFT(D28,2)="SE",S31,Q31),0)</f>
        <v>0</v>
      </c>
      <c r="AC31" s="1023">
        <f>IF(LEFT(D28,2)="SE",S31,Q31)</f>
        <v>0</v>
      </c>
      <c r="AD31" s="31"/>
      <c r="AE31" s="1375" cm="1">
        <f t="array" ref="AE31">SE_NPBT_Volatility(D28, $AC$10, IF(D28="SE - Sole Trader",G26,IF(D28="SE - Company",G31,G34)), IF(D28="SE - Sole Trader",O26,IF(D28="SE - Company",O31,O34)),6)</f>
        <v>1</v>
      </c>
      <c r="AJ31" s="31"/>
    </row>
    <row r="32" spans="2:42" ht="17.25" hidden="1" customHeight="1">
      <c r="B32" s="733"/>
      <c r="C32" s="1349" t="str">
        <f>D26</f>
        <v>Fan Jiang</v>
      </c>
      <c r="D32" s="845"/>
      <c r="E32" s="1348" t="s">
        <v>8977</v>
      </c>
      <c r="F32" s="928"/>
      <c r="G32" s="910"/>
      <c r="H32" s="930" t="str">
        <f>VLOOKUP(E32,'Configurable Items'!$D$4734:$F$4758,3,FALSE)</f>
        <v/>
      </c>
      <c r="I32" s="928"/>
      <c r="J32" s="1485" t="s">
        <v>20</v>
      </c>
      <c r="K32" s="1485"/>
      <c r="L32" s="1009"/>
      <c r="M32" s="1009"/>
      <c r="N32" s="846"/>
      <c r="O32" s="846"/>
      <c r="P32" s="846"/>
      <c r="Q32" s="931">
        <f>IF(E32= "Select Type",0,IF(E32="",0,IF(J32="Year to Date",CONVERT_TO_MONTHLY(G32,J32,X26),CONVERT_TO_MONTHLY(G32,J32))*IF(LEFT(D28,2)="SE",D30,1)))</f>
        <v>0</v>
      </c>
      <c r="R32" s="47"/>
      <c r="S32" s="931">
        <f>Q32</f>
        <v>0</v>
      </c>
      <c r="T32" s="714"/>
      <c r="U32" s="1013"/>
      <c r="W32" s="931">
        <f>IF(LEFT(D28,2)="SE",IF(Y32=TRUE,Q32,0),Q32)</f>
        <v>0</v>
      </c>
      <c r="Y32" s="1022" t="b">
        <f>IF(H32="",IF(E32="",TRUE,VLOOKUP(E32,'Configurable Items'!$D$4734:$E$4758,2,FALSE)),IF(H32="Taxable",TRUE,FALSE))</f>
        <v>0</v>
      </c>
      <c r="Z32" s="1023">
        <f>IF(E32="Personal Tax Deduction",G32,0)</f>
        <v>0</v>
      </c>
      <c r="AB32" s="1020">
        <f>IF(Y32=TRUE,IF(LEFT(D28,2)="SE",S32,Q32),0)</f>
        <v>0</v>
      </c>
      <c r="AC32" s="1023">
        <f>IF(LEFT(D28,2)="SE",S32,Q32)</f>
        <v>0</v>
      </c>
      <c r="AD32" s="31"/>
      <c r="AE32" s="31"/>
      <c r="AJ32" s="31"/>
    </row>
    <row r="33" spans="2:42" ht="17.25" hidden="1" customHeight="1">
      <c r="B33" s="733"/>
      <c r="C33" s="1349" t="str">
        <f>D26</f>
        <v>Fan Jiang</v>
      </c>
      <c r="D33" s="845"/>
      <c r="E33" s="1348" t="s">
        <v>8977</v>
      </c>
      <c r="F33" s="928"/>
      <c r="G33" s="910"/>
      <c r="H33" s="930" t="str">
        <f>VLOOKUP(E33,'Configurable Items'!$D$4734:$F$4758,3,FALSE)</f>
        <v/>
      </c>
      <c r="I33" s="928"/>
      <c r="J33" s="1485" t="s">
        <v>20</v>
      </c>
      <c r="K33" s="1485"/>
      <c r="L33" s="1009"/>
      <c r="M33" s="1009"/>
      <c r="N33" s="846"/>
      <c r="O33" s="846"/>
      <c r="P33" s="846"/>
      <c r="Q33" s="931">
        <f>IF(E33= "Select Type",0,IF(E33="",0,IF(J33="Year to Date",CONVERT_TO_MONTHLY(G33,J33,X26),CONVERT_TO_MONTHLY(G33,J33))*IF(LEFT(D28,2)="SE",D30,1)))</f>
        <v>0</v>
      </c>
      <c r="R33" s="47"/>
      <c r="S33" s="931">
        <f>Q33</f>
        <v>0</v>
      </c>
      <c r="T33" s="714"/>
      <c r="U33" s="1013"/>
      <c r="W33" s="931">
        <f>IF(LEFT(D28,2)="SE",IF(Y33=TRUE,Q33,0),Q33)</f>
        <v>0</v>
      </c>
      <c r="Y33" s="1022" t="b">
        <f>IF(H33="",IF(E33="",TRUE,VLOOKUP(E33,'Configurable Items'!$D$4734:$E$4758,2,FALSE)),IF(H33="Taxable",TRUE,FALSE))</f>
        <v>0</v>
      </c>
      <c r="Z33" s="1023">
        <f>IF(E33="Personal Tax Deduction",G33,0)</f>
        <v>0</v>
      </c>
      <c r="AB33" s="1020">
        <f>IF(Y33=TRUE,IF(LEFT(D28,2)="SE",S33,Q33),0)</f>
        <v>0</v>
      </c>
      <c r="AC33" s="1023">
        <f>IF(LEFT(D28,2)="SE",S33,Q33)</f>
        <v>0</v>
      </c>
      <c r="AD33" s="31"/>
      <c r="AE33" s="31"/>
      <c r="AJ33" s="31"/>
    </row>
    <row r="34" spans="2:42" ht="17.25" hidden="1" customHeight="1">
      <c r="B34" s="733"/>
      <c r="C34" s="1349" t="str">
        <f>D26</f>
        <v>Fan Jiang</v>
      </c>
      <c r="D34" s="845"/>
      <c r="E34" s="1348" t="s">
        <v>8977</v>
      </c>
      <c r="F34" s="928"/>
      <c r="G34" s="910"/>
      <c r="H34" s="930" t="str">
        <f>VLOOKUP(E34,'Configurable Items'!$D$4734:$F$4758,3,FALSE)</f>
        <v/>
      </c>
      <c r="I34" s="928"/>
      <c r="J34" s="1485" t="s">
        <v>20</v>
      </c>
      <c r="K34" s="1485"/>
      <c r="L34" s="1009"/>
      <c r="M34" s="1009"/>
      <c r="N34" s="846"/>
      <c r="O34" s="918"/>
      <c r="P34" s="846"/>
      <c r="Q34" s="931">
        <f>IF(E34= "Select Type",0,IF(E34="",0,IF(J34="Year to Date",CONVERT_TO_MONTHLY(G34,J34,X26),
CONVERT_TO_MONTHLY(G34,J34))*AE34))</f>
        <v>0</v>
      </c>
      <c r="R34" s="47"/>
      <c r="S34" s="931">
        <f>Q34</f>
        <v>0</v>
      </c>
      <c r="T34" s="714"/>
      <c r="U34" s="1013"/>
      <c r="W34" s="931">
        <f>IF(LEFT(D28,2)="SE",IF(Y34=TRUE,Q34,0),Q34)</f>
        <v>0</v>
      </c>
      <c r="Y34" s="1022" t="b">
        <f>IF(H34="",IF(E34="",TRUE,VLOOKUP(E34,'Configurable Items'!$D$4734:$E$4758,2,FALSE)),IF(H34="Taxable",TRUE,FALSE))</f>
        <v>0</v>
      </c>
      <c r="Z34" s="1023">
        <f>IF(E34="Personal Tax Deduction",G34,0)</f>
        <v>0</v>
      </c>
      <c r="AB34" s="1020">
        <f>IF(Y34=TRUE,IF(LEFT(D28,2)="SE",S34,Q34),0)</f>
        <v>0</v>
      </c>
      <c r="AC34" s="1023">
        <f>IF(LEFT(D28,2)="SE",S34,Q34)</f>
        <v>0</v>
      </c>
      <c r="AD34" s="31"/>
      <c r="AE34" s="1375">
        <f>IF(OR(D28="SE - Partnership",D28="SE - Trust (Comp ATF)", D28 = "SE - Trust (Ind ATF)"),0,1)</f>
        <v>1</v>
      </c>
      <c r="AJ34" s="31"/>
    </row>
    <row r="35" spans="2:42" ht="17.25" customHeight="1">
      <c r="B35" s="733"/>
      <c r="C35" s="903"/>
      <c r="D35" s="1354"/>
      <c r="E35" s="859"/>
      <c r="F35" s="1376" t="str" cm="1">
        <f t="array" ref="F35">IF(Employment_Message(D28, D30, G26:G34, O26:O34,$AC$10, AE35)=0,"",Employment_Message(D28, D30, G26:G34, O26:O34,$AC$10, AE35))</f>
        <v/>
      </c>
      <c r="G35" s="861"/>
      <c r="H35" s="1009"/>
      <c r="I35" s="534"/>
      <c r="J35" s="534"/>
      <c r="K35" s="845"/>
      <c r="L35" s="1009"/>
      <c r="M35" s="1009"/>
      <c r="N35" s="846"/>
      <c r="O35" s="846"/>
      <c r="P35" s="846"/>
      <c r="Q35" s="861"/>
      <c r="R35" s="846"/>
      <c r="S35" s="861"/>
      <c r="T35" s="714"/>
      <c r="U35" s="736"/>
      <c r="W35" s="55"/>
      <c r="AD35" s="31"/>
      <c r="AE35" s="1375">
        <f>MIN(AE26:AE31)</f>
        <v>1</v>
      </c>
      <c r="AJ35" s="31"/>
    </row>
    <row r="36" spans="2:42" ht="17.25" hidden="1" customHeight="1">
      <c r="B36" s="733"/>
      <c r="C36" s="713"/>
      <c r="D36" s="48" t="s">
        <v>57</v>
      </c>
      <c r="E36" s="24" t="str">
        <f>IF(LEFT(D46,2)="SE","",'Configurable Items'!#REF!)</f>
        <v/>
      </c>
      <c r="F36" s="32"/>
      <c r="G36" s="32"/>
      <c r="H36" s="32"/>
      <c r="I36" s="32"/>
      <c r="J36" s="32"/>
      <c r="K36" s="48" t="s">
        <v>16</v>
      </c>
      <c r="L36" s="32"/>
      <c r="M36" s="32"/>
      <c r="Q36" s="32"/>
      <c r="R36" s="34"/>
      <c r="S36" s="32"/>
      <c r="T36" s="714"/>
      <c r="U36" s="736"/>
      <c r="W36" s="32"/>
      <c r="X36" s="42"/>
      <c r="AD36" s="31"/>
      <c r="AE36" s="31"/>
      <c r="AK36" s="50"/>
      <c r="AL36" s="31"/>
    </row>
    <row r="37" spans="2:42" ht="17.25" hidden="1" customHeight="1">
      <c r="B37" s="733"/>
      <c r="C37" s="713"/>
      <c r="D37" s="48"/>
      <c r="E37" s="24" t="str">
        <f>IF(LEFT(D46,2)="SE","",'Configurable Items'!#REF!)</f>
        <v/>
      </c>
      <c r="F37" s="32"/>
      <c r="G37" s="32"/>
      <c r="H37" s="32"/>
      <c r="I37" s="32"/>
      <c r="J37" s="24" t="s">
        <v>17</v>
      </c>
      <c r="L37" s="32"/>
      <c r="M37" s="32"/>
      <c r="Q37" s="37"/>
      <c r="R37" s="834"/>
      <c r="S37" s="37"/>
      <c r="T37" s="714"/>
      <c r="U37" s="736"/>
      <c r="W37" s="32"/>
      <c r="X37" s="42"/>
      <c r="AD37" s="31"/>
      <c r="AE37" s="31"/>
      <c r="AK37" s="50"/>
      <c r="AL37" s="31"/>
    </row>
    <row r="38" spans="2:42" ht="17.25" hidden="1" customHeight="1">
      <c r="B38" s="733"/>
      <c r="C38" s="713"/>
      <c r="D38" s="48"/>
      <c r="E38" s="24" t="str">
        <f>IF(LEFT(D46,2)="SE","",'Configurable Items'!#REF!)</f>
        <v/>
      </c>
      <c r="F38" s="32"/>
      <c r="G38" s="32"/>
      <c r="H38" s="32"/>
      <c r="I38" s="32"/>
      <c r="J38" s="24" t="s">
        <v>3</v>
      </c>
      <c r="L38" s="32"/>
      <c r="M38" s="32"/>
      <c r="Q38" s="37"/>
      <c r="R38" s="834"/>
      <c r="S38" s="37"/>
      <c r="T38" s="714"/>
      <c r="U38" s="736"/>
      <c r="W38" s="32"/>
      <c r="X38" s="42"/>
      <c r="AD38" s="31"/>
      <c r="AE38" s="31"/>
      <c r="AK38" s="50"/>
      <c r="AL38" s="31"/>
    </row>
    <row r="39" spans="2:42" ht="17.25" hidden="1" customHeight="1">
      <c r="B39" s="733"/>
      <c r="C39" s="713"/>
      <c r="D39" s="48"/>
      <c r="E39" s="24" t="str">
        <f>IF(LEFT(D46,2)="SE","",'Configurable Items'!#REF!)</f>
        <v/>
      </c>
      <c r="F39" s="32"/>
      <c r="G39" s="32"/>
      <c r="H39" s="32"/>
      <c r="I39" s="32"/>
      <c r="J39" s="24" t="s">
        <v>18</v>
      </c>
      <c r="L39" s="32"/>
      <c r="M39" s="32"/>
      <c r="Q39" s="37"/>
      <c r="R39" s="834"/>
      <c r="S39" s="37"/>
      <c r="T39" s="714"/>
      <c r="U39" s="736"/>
      <c r="W39" s="32"/>
      <c r="X39" s="42"/>
      <c r="AD39" s="31"/>
      <c r="AE39" s="31"/>
      <c r="AK39" s="50"/>
      <c r="AL39" s="31"/>
    </row>
    <row r="40" spans="2:42" ht="17.25" hidden="1" customHeight="1">
      <c r="B40" s="733"/>
      <c r="C40" s="713"/>
      <c r="D40" s="24"/>
      <c r="E40" s="24" t="str">
        <f>IF(LEFT(D46,2)="SE","",'Configurable Items'!#REF!)</f>
        <v/>
      </c>
      <c r="F40" s="32"/>
      <c r="G40" s="32"/>
      <c r="H40" s="24" t="s">
        <v>34</v>
      </c>
      <c r="I40" s="32"/>
      <c r="J40" s="24" t="s">
        <v>2</v>
      </c>
      <c r="L40" s="32"/>
      <c r="M40" s="32"/>
      <c r="Q40" s="37"/>
      <c r="R40" s="834"/>
      <c r="S40" s="37"/>
      <c r="T40" s="714"/>
      <c r="U40" s="736"/>
      <c r="W40" s="32"/>
      <c r="X40" s="42"/>
      <c r="AD40" s="31"/>
      <c r="AE40" s="31"/>
      <c r="AK40" s="50"/>
      <c r="AL40" s="31"/>
    </row>
    <row r="41" spans="2:42" ht="17.25" hidden="1" customHeight="1">
      <c r="B41" s="733"/>
      <c r="C41" s="713"/>
      <c r="D41" s="24" t="s">
        <v>58</v>
      </c>
      <c r="E41" s="24" t="str">
        <f>IF(LEFT(D46,2)="SE",'Configurable Items'!D4807,'Configurable Items'!D4810)</f>
        <v>Fixed P&amp;I</v>
      </c>
      <c r="F41" s="32"/>
      <c r="G41" s="32"/>
      <c r="H41" s="842" t="s">
        <v>35</v>
      </c>
      <c r="I41" s="32"/>
      <c r="J41" s="24" t="s">
        <v>19</v>
      </c>
      <c r="L41" s="32"/>
      <c r="M41" s="32"/>
      <c r="Q41" s="37"/>
      <c r="R41" s="834"/>
      <c r="S41" s="37"/>
      <c r="T41" s="714"/>
      <c r="U41" s="736"/>
      <c r="W41" s="32"/>
      <c r="X41" s="42"/>
      <c r="AD41" s="31"/>
      <c r="AE41" s="31"/>
      <c r="AK41" s="50"/>
      <c r="AL41" s="31"/>
    </row>
    <row r="42" spans="2:42" ht="17.25" hidden="1" customHeight="1">
      <c r="B42" s="733"/>
      <c r="C42" s="713"/>
      <c r="D42" s="24" t="str">
        <f>IF($D$11="","Other",$D$11)</f>
        <v>Sifei Liu</v>
      </c>
      <c r="E42" s="24" t="str">
        <f>IF(LEFT(D46,2)="SE",'Configurable Items'!D4808,'Configurable Items'!D4811)</f>
        <v>Fixed IO</v>
      </c>
      <c r="F42" s="24" t="b">
        <v>1</v>
      </c>
      <c r="G42" s="24"/>
      <c r="H42" s="842" t="s">
        <v>51</v>
      </c>
      <c r="I42" s="24" t="b">
        <v>1</v>
      </c>
      <c r="J42" s="24" t="s">
        <v>20</v>
      </c>
      <c r="L42" s="32"/>
      <c r="M42" s="32"/>
      <c r="Q42" s="37"/>
      <c r="R42" s="834"/>
      <c r="S42" s="37"/>
      <c r="T42" s="714"/>
      <c r="U42" s="736"/>
      <c r="W42" s="32"/>
      <c r="X42" s="42"/>
      <c r="AD42" s="31"/>
      <c r="AE42" s="31"/>
      <c r="AK42" s="50"/>
      <c r="AL42" s="31"/>
    </row>
    <row r="43" spans="2:42" ht="17.25" hidden="1" customHeight="1">
      <c r="B43" s="733"/>
      <c r="C43" s="713"/>
      <c r="D43" s="24" t="str">
        <f>$D$10</f>
        <v>Fan Jiang</v>
      </c>
      <c r="E43" s="24" t="str">
        <f>IF(LEFT(D46,2)="SE",'Configurable Items'!D4809,'Configurable Items'!D4812)</f>
        <v>Fixed IIA</v>
      </c>
      <c r="F43" s="24" t="b">
        <v>0</v>
      </c>
      <c r="G43" s="842"/>
      <c r="H43" s="842" t="s">
        <v>59</v>
      </c>
      <c r="I43" s="842" t="b">
        <v>0</v>
      </c>
      <c r="J43" s="842" t="s">
        <v>60</v>
      </c>
      <c r="L43" s="32"/>
      <c r="M43" s="32"/>
      <c r="Q43" s="37"/>
      <c r="R43" s="834"/>
      <c r="S43" s="37"/>
      <c r="T43" s="714"/>
      <c r="U43" s="736"/>
      <c r="W43" s="32"/>
      <c r="X43" s="42"/>
      <c r="AD43" s="31"/>
      <c r="AE43" s="31"/>
      <c r="AK43" s="50"/>
      <c r="AL43" s="31"/>
    </row>
    <row r="44" spans="2:42" ht="17.25" customHeight="1">
      <c r="B44" s="733"/>
      <c r="C44" s="1349" t="str">
        <f>D44</f>
        <v>Sifei Liu</v>
      </c>
      <c r="D44" s="911" t="s">
        <v>9569</v>
      </c>
      <c r="E44" s="930" t="str">
        <f>IF(OR(D46="SE - Sole Trader",D46="SE - Dual App",D46 = "SE - RM Verified"),"Gross Annual Income",
IF(D46="SE - Company Wages","ATO Income","Salary"))</f>
        <v>ATO Income</v>
      </c>
      <c r="F44" s="1026"/>
      <c r="G44" s="910">
        <v>178744</v>
      </c>
      <c r="H44" s="935"/>
      <c r="I44" s="928"/>
      <c r="J44" s="1485" t="s">
        <v>60</v>
      </c>
      <c r="K44" s="1485"/>
      <c r="L44" s="929">
        <v>45108</v>
      </c>
      <c r="M44" s="929">
        <v>45473</v>
      </c>
      <c r="N44" s="340" t="b">
        <v>1</v>
      </c>
      <c r="O44" s="918"/>
      <c r="P44" s="836"/>
      <c r="Q44" s="931">
        <f>IF(E44&lt;&gt;"Salary",
IF(E44="ATO Income",IF(X44+X45=0,0,CONVERT_TO_MONTHLY(G44+G45,J44,X44+X45)),
CONVERT_TO_MONTHLY(G44,J44)),
IF(AND((LEFT(D46,2)&lt;&gt;"SE"),OR(G44="",H44="",J44="")=TRUE)=TRUE,0,
CONVERT_TO_MONTHLY(EmploymentIncomeComponent(E44, D46, G44/(1+(IF(I44=TRUE,mandatorySuperannuationContributions,0))), H44, J44, 0, H219, D48, X44, G45/(1+(IF(I44=TRUE,mandatorySuperannuationContributions,0))), H45, J45, F45, G47/(1+(IF(I44=TRUE,mandatorySuperannuationContributions,0))), H47, J47, F47, G46/(1+(IF(I44=TRUE,mandatorySuperannuationContributions,0))), H46, J46, F46, FALSE),"annually")))</f>
        <v>14864.810109289618</v>
      </c>
      <c r="R44" s="850"/>
      <c r="S44" s="931">
        <f>Q44*AE44</f>
        <v>14864.810109289618</v>
      </c>
      <c r="T44" s="714"/>
      <c r="U44" s="736"/>
      <c r="W44" s="931">
        <f>Q44</f>
        <v>14864.810109289618</v>
      </c>
      <c r="X44" s="1021">
        <f>IF(J44="Year to Date",IF(AND(OR(L44="",M44=""),E44="ATO Income"),0,M44-L44+1),IF(J44="monthly",365/12,IF(J44="fortnightly",14,IF(J44="weekly",7,365))))</f>
        <v>366</v>
      </c>
      <c r="Y44" s="939" t="b">
        <f>IF(E44="","",VLOOKUP(E44,'Configurable Items'!$D$4734:$E$4750,2,FALSE))</f>
        <v>1</v>
      </c>
      <c r="AA44" s="938">
        <f>IF(D46="SE - RM Verified",1,IF(D46="SE - Dual Application",1,0))</f>
        <v>0</v>
      </c>
      <c r="AB44" s="931">
        <f>IF(Y44=TRUE,IF(LEFT(D46,2)="SE",S44,Q44),0)</f>
        <v>14864.810109289618</v>
      </c>
      <c r="AC44" s="931">
        <f>IF(LEFT(D46,2)="SE",S44,Q44)</f>
        <v>14864.810109289618</v>
      </c>
      <c r="AD44" s="31"/>
      <c r="AE44" s="1375" cm="1">
        <f t="array" ref="AE44">SE_NPBT_Volatility(D46, $AC$10, IF(D46="SE - Sole Trader",G44,IF(D46="SE - Company",G49,G52)), IF(D46="SE - Sole Trader",O44,IF(D46="SE - Company",O49,O52)),1)</f>
        <v>1</v>
      </c>
      <c r="AK44" s="931" cm="1">
        <f t="array" ref="AK44">IF(AL44=0,0,IF(LEFT(D46,2)="SE",AL44*(Q44/SUM(Q44:Q45)),
CONVERT_TO_MONTHLY(EmploymentIncomeComponent(E44, D46, G44/(1+(IF(I44=TRUE,mandatorySuperannuationContributions,0))), H44, J44, 0, H204, D48, X44, G45/(1+(IF(I44=TRUE,mandatorySuperannuationContributions,0))), H45, J45, F45, G47/(1+(IF(I44=TRUE,mandatorySuperannuationContributions,0))), H47, J47, F47, G46/(1+(IF(I44=TRUE,mandatorySuperannuationContributions,0))), H46, J46, F46, TRUE),"annually")))</f>
        <v>10622.700833333334</v>
      </c>
      <c r="AL44" s="52">
        <f>AN44+AO44</f>
        <v>10622.700833333334</v>
      </c>
      <c r="AN44" s="537">
        <f>IF(LEFT(D46,2)="SE",CONVERT_TO_NET(SUM(Q44:Q45)*12, TRUE, IF(ISBLANK($D$11),1,2), $E$10+$E$11)/12,
IF(H48="Taxable",CONVERT_TO_NET(SUM(Q44:Q48)*12, TRUE, IF(ISBLANK($D$11),1,2), $E$10+$E$11)/12,CONVERT_TO_NET(SUM(Q44:Q47)*12, TRUE, IF(ISBLANK($D$11),1,2), $E$10+$E$11)/12))</f>
        <v>10622.700833333334</v>
      </c>
      <c r="AO44" s="537">
        <f>IF(LEFT(D46,2)="SE",0,
IF(H48="Taxable",0,Q48))</f>
        <v>0</v>
      </c>
    </row>
    <row r="45" spans="2:42" ht="17.25" customHeight="1">
      <c r="B45" s="733"/>
      <c r="C45" s="1356" t="str">
        <f>D44</f>
        <v>Sifei Liu</v>
      </c>
      <c r="D45" s="36" t="s">
        <v>8963</v>
      </c>
      <c r="E45" s="930" t="str">
        <f>IF(OR(D46="SE - Sole Trader",D46="SE - RM Verified",D46="SE - Dual App"),"",
IF(OR(D46="SE - Partnership",D46="SE - Trust (Ind ATF)",D46="SE - Trust (Comp ATF)"),"Distribution",
IF(D46="SE - Company","Dividends",
IF(D46="SE - Company Wages","Prior Year ATO Income",
"Bonus"))))</f>
        <v>Prior Year ATO Income</v>
      </c>
      <c r="F45" s="928"/>
      <c r="G45" s="910"/>
      <c r="H45" s="935"/>
      <c r="I45" s="928"/>
      <c r="J45" s="1485" t="s">
        <v>60</v>
      </c>
      <c r="K45" s="1485"/>
      <c r="L45" s="929"/>
      <c r="M45" s="929"/>
      <c r="N45" s="836"/>
      <c r="O45" s="836"/>
      <c r="P45" s="836"/>
      <c r="Q45" s="931">
        <f>IF(E45="",0,
IF(E45="Prior Year ATO Income",0,
IF(E45="Bonus",
CONVERT_TO_MONTHLY(EmploymentIncomeComponent(E45, D46, G44/(1+(IF(I44=TRUE,mandatorySuperannuationContributions,0))), H44, J44, 0, H219, D48, X44, G45/(1+(IF(I44=TRUE,mandatorySuperannuationContributions,0))), H45, J45, F45, G47/(1+(IF(I44=TRUE,mandatorySuperannuationContributions,0))), H47, J47, F47, G46/(1+(IF(I44=TRUE,mandatorySuperannuationContributions,0))), H46, J46, F46, FALSE),"annually"),CONVERT_TO_MONTHLY(G45,J45))))</f>
        <v>0</v>
      </c>
      <c r="R45" s="850"/>
      <c r="S45" s="931">
        <f>IF(E45="",0,
IF(G45="",0,
IF(E45="Bonus",CONVERT_TO_MONTHLY(Sensitise_Income(CONVERT_TO_ANNUALLY(Q45,"Monthly"), VLOOKUP(D44,$D$158:$H$159,5,FALSE), BONUS_SENSITIVITY_MULTIPLIER, 0, 0,FALSE),"Annually"),Q45*AE45)))</f>
        <v>0</v>
      </c>
      <c r="T45" s="714"/>
      <c r="U45" s="736"/>
      <c r="W45" s="931">
        <f>Q45</f>
        <v>0</v>
      </c>
      <c r="X45" s="1021">
        <f>IF(J45="Year to Date",IF(OR(L45="",M45=""),0,M45-L45+1),IF(J45="monthly",365/12,IF(J45="fortnightly",14,IF(J45="weekly",7,365))))</f>
        <v>0</v>
      </c>
      <c r="Y45" s="939" t="b">
        <f>IF(E45="","",VLOOKUP(E45,'Configurable Items'!$D$4734:$E$4750,2,FALSE))</f>
        <v>1</v>
      </c>
      <c r="Z45" s="34"/>
      <c r="AB45" s="931">
        <f>IF(Y45=TRUE,IF(LEFT(D46,2)="SE",S45,Q45),0)</f>
        <v>0</v>
      </c>
      <c r="AC45" s="931">
        <f>IF(LEFT(D46,2)="SE",S45,Q45)</f>
        <v>0</v>
      </c>
      <c r="AD45" s="31"/>
      <c r="AE45" s="1375" cm="1">
        <f t="array" ref="AE45">SE_NPBT_Volatility(D46, $AC$10, IF(D46="SE - Sole Trader",G44,IF(D46="SE - Company",G49,G52)), IF(D46="SE - Sole Trader",O44,IF(D46="SE - Company",O49,O52)),2)</f>
        <v>1</v>
      </c>
      <c r="AK45" s="931" cm="1">
        <f t="array" ref="AK45">IF(AL44=0,0,IF(LEFT(D46,2)="SE",IF(Q45="","",AL44*(Q45/SUM(Q44:Q45))),
CONVERT_TO_MONTHLY(EmploymentIncomeComponent(E45, D46, G44/(1+(IF(I44=TRUE,mandatorySuperannuationContributions,0))), H44, J44, 0, H204, D48, X44, G45/(1+(IF(I44=TRUE,mandatorySuperannuationContributions,0))), H45, J45, F45, G47/(1+(IF(I44=TRUE,mandatorySuperannuationContributions,0))), H47, J47, F47, G46/(1+(IF(I44=TRUE,mandatorySuperannuationContributions,0))), H46, J46, F46, TRUE),"annually")))</f>
        <v>0</v>
      </c>
    </row>
    <row r="46" spans="2:42" ht="17.25" customHeight="1">
      <c r="B46" s="733"/>
      <c r="C46" s="1349" t="str">
        <f>D44</f>
        <v>Sifei Liu</v>
      </c>
      <c r="D46" s="924" t="s">
        <v>7871</v>
      </c>
      <c r="E46" s="930" t="str">
        <f>IF(D46="SE - Company Wages","Payslip",
IF(OR(D46="SE - Dual App",D46="SE - RM Verified"),"",
IF(LEFT(D46,2)="SE","Interest",
"Commission")))</f>
        <v>Payslip</v>
      </c>
      <c r="F46" s="928"/>
      <c r="G46" s="910"/>
      <c r="H46" s="924" t="s">
        <v>35</v>
      </c>
      <c r="I46" s="928"/>
      <c r="J46" s="1486" t="s">
        <v>3</v>
      </c>
      <c r="K46" s="1487"/>
      <c r="L46" s="843" t="str">
        <f>IF(AND(E46="Payslip",Q44&gt;0,G46=""),"  Enter Amount",
IF(AND(Q44=0,E46="Payslip"), "  Enter ATO Income",
IF(AND(Q44&gt;0,E46="Payslip",OR(AD46&lt;Q44*0.85,AD46&gt;Q44*1.15)),"  Inconsistent income, enquire and capture in app notes","")))</f>
        <v xml:space="preserve">  Enter Amount</v>
      </c>
      <c r="M46" s="1009"/>
      <c r="N46" s="836"/>
      <c r="O46" s="836"/>
      <c r="P46" s="836"/>
      <c r="Q46" s="931">
        <f>IF(OR(E46="",E46="Payslip"),0,IF(E46="Commission",CONVERT_TO_MONTHLY(EmploymentIncomeComponent(E46, D46, G44/(1+(IF(I44=TRUE,mandatorySuperannuationContributions,0))), H44, J44, 0, H219, D48, X44, G45/(1+(IF(I44=TRUE,mandatorySuperannuationContributions,0))), H45, J45, F45, G47/(1+(IF(I44=TRUE,mandatorySuperannuationContributions,0))), H47, J47, F47, G46/(1+(IF(I44=TRUE,mandatorySuperannuationContributions,0))), H46, J46, F46, FALSE),"annually"),CONVERT_TO_MONTHLY(G46,J46)*D48))</f>
        <v>0</v>
      </c>
      <c r="R46" s="850"/>
      <c r="S46" s="931">
        <f>IF(E46="",0,
IF(G46="",0,
IF(E46="Commission",CONVERT_TO_MONTHLY(Sensitise_Income(CONVERT_TO_ANNUALLY(Q46,"Monthly"), VLOOKUP(D44,$D$158:$H$159,5,FALSE), COMMISSION_SENSITIVITY_MULTIPLIER, 0, 0,FALSE),"Annually"),Q46)))</f>
        <v>0</v>
      </c>
      <c r="T46" s="714"/>
      <c r="U46" s="736"/>
      <c r="W46" s="931">
        <f>IF(LEFT(D46,2)="SE",0,Q46)</f>
        <v>0</v>
      </c>
      <c r="Y46" s="939" t="str">
        <f>IF(OR(E46="",E46="Payslip"),"",VLOOKUP(E46,'Configurable Items'!$D$4734:$E$4750,2,FALSE))</f>
        <v/>
      </c>
      <c r="AA46" s="54"/>
      <c r="AB46" s="931">
        <f>IF(Y46=TRUE,IF(LEFT(D46,2)="SE",S46,Q46),0)</f>
        <v>0</v>
      </c>
      <c r="AC46" s="931">
        <f>IF(LEFT(D46,2)="SE",S46,Q46)</f>
        <v>0</v>
      </c>
      <c r="AD46" s="931" cm="1">
        <f t="array" ref="AD46">IF(E46="Payslip",IF(H46="After Tax",CONVERT_TO_MONTHLY(CONVERT_TO_GROSS(CONVERT_TO_ANNUALLY(G46,J46),TRUE,IF($D$11="",1,2),SUM($E$10:$E$11)),"Annually"),CONVERT_TO_MONTHLY(G46,J46)))</f>
        <v>0</v>
      </c>
      <c r="AE46" s="31"/>
      <c r="AK46" s="931" t="str" cm="1">
        <f t="array" ref="AK46">IF(AL44=0,0,IF(LEFT(D46,2)="SE","",
CONVERT_TO_MONTHLY(EmploymentIncomeComponent(E46, D46, G44/(1+(IF(I44=TRUE,mandatorySuperannuationContributions,0))), H44, J44, 0, H204, D48, X44, G45/(1+(IF(I44=TRUE,mandatorySuperannuationContributions,0))), H45, J45, F45, G47/(1+(IF(I44=TRUE,mandatorySuperannuationContributions,0))), H47, J47, F47, G46/(1+(IF(I44=TRUE,mandatorySuperannuationContributions,0))), H46, J46, F46, TRUE),"annually")))</f>
        <v/>
      </c>
      <c r="AL46" s="31"/>
    </row>
    <row r="47" spans="2:42" ht="17.25" hidden="1" customHeight="1">
      <c r="B47" s="733"/>
      <c r="C47" s="1349" t="str">
        <f>D44</f>
        <v>Sifei Liu</v>
      </c>
      <c r="D47" s="39" t="s">
        <v>8595</v>
      </c>
      <c r="E47" s="930" t="str">
        <f>IF(D46="SE - RM Verified","",
IF(LEFT(D46,2)="SE","Depreciation",
"Overtime"))</f>
        <v>Depreciation</v>
      </c>
      <c r="F47" s="928"/>
      <c r="G47" s="910"/>
      <c r="H47" s="935"/>
      <c r="I47" s="928"/>
      <c r="J47" s="1485" t="s">
        <v>20</v>
      </c>
      <c r="K47" s="1485"/>
      <c r="L47" s="930"/>
      <c r="M47" s="928"/>
      <c r="N47" s="836"/>
      <c r="O47" s="836"/>
      <c r="P47" s="836"/>
      <c r="Q47" s="931">
        <f>IF(E47="",0,IF(E47="Overtime",CONVERT_TO_MONTHLY(EmploymentIncomeComponent(E47, D46, G44/(1+(IF(I44=TRUE,mandatorySuperannuationContributions,0))), H44, J44, 0, H219, D48, X44, G45/(1+(IF(I44=TRUE,mandatorySuperannuationContributions,0))), H45, J45, F45, G47/(1+(IF(I44=TRUE,mandatorySuperannuationContributions,0))), H47, J47, F47, G46/(1+(IF(I44=TRUE,mandatorySuperannuationContributions,0))), H46, J46, F46, FALSE),"annually"),CONVERT_TO_MONTHLY(G47,J47)*D48))</f>
        <v>0</v>
      </c>
      <c r="R47" s="850"/>
      <c r="S47" s="931">
        <f>IF(E47="",0,
IF(G47="",0,
IF(E47="Overtime",CONVERT_TO_MONTHLY(Sensitise_Income(CONVERT_TO_ANNUALLY(Q47,"Monthly"), VLOOKUP(D44,$D$158:$H$159,5,FALSE), COMMISSION_SENSITIVITY_MULTIPLIER, 0, 0,M47),"Annually"),Q47)))</f>
        <v>0</v>
      </c>
      <c r="T47" s="714"/>
      <c r="U47" s="736"/>
      <c r="W47" s="931">
        <f>IF(LEFT(D46,2)="SE",0,Q47)</f>
        <v>0</v>
      </c>
      <c r="Y47" s="939" t="b">
        <f>IF(E47="","",VLOOKUP(E47,'Configurable Items'!$D$4734:$E$4750,2,FALSE))</f>
        <v>0</v>
      </c>
      <c r="AB47" s="931">
        <f>IF(Y47=TRUE,IF(LEFT(D46,2)="SE",S47,Q47),0)</f>
        <v>0</v>
      </c>
      <c r="AC47" s="931">
        <f>IF(LEFT(D46,2)="SE",S47,Q47)</f>
        <v>0</v>
      </c>
      <c r="AD47" s="31"/>
      <c r="AE47" s="31"/>
      <c r="AK47" s="931" t="str" cm="1">
        <f t="array" ref="AK47">IF(AL44=0,0,IF(LEFT(D46,2)="SE","",
CONVERT_TO_MONTHLY(EmploymentIncomeComponent(E47, D46, G44/(1+(IF(I44=TRUE,mandatorySuperannuationContributions,0))), H44, J44, 0, H204, D48, X44, G45/(1+(IF(I44=TRUE,mandatorySuperannuationContributions,0))), H45, J45, F45, G47/(1+(IF(I44=TRUE,mandatorySuperannuationContributions,0))), H47, J47, F47, G46/(1+(IF(I44=TRUE,mandatorySuperannuationContributions,0))), H46, J46, F46, TRUE),"annually")))</f>
        <v/>
      </c>
      <c r="AL47" s="31"/>
      <c r="AN47" s="1435"/>
      <c r="AP47" s="1435"/>
    </row>
    <row r="48" spans="2:42" ht="17.25" hidden="1" customHeight="1">
      <c r="B48" s="733"/>
      <c r="C48" s="1349" t="str">
        <f>D44</f>
        <v>Sifei Liu</v>
      </c>
      <c r="D48" s="1369">
        <v>1</v>
      </c>
      <c r="E48" s="930" t="s">
        <v>8967</v>
      </c>
      <c r="F48" s="928"/>
      <c r="G48" s="910"/>
      <c r="H48" s="930" t="str">
        <f>VLOOKUP(E48,'Configurable Items'!$D$4734:$F$4758,3,FALSE)</f>
        <v/>
      </c>
      <c r="I48" s="928"/>
      <c r="J48" s="1485" t="s">
        <v>20</v>
      </c>
      <c r="K48" s="1485"/>
      <c r="L48" s="1009"/>
      <c r="M48" s="1009"/>
      <c r="N48" s="836"/>
      <c r="O48" s="836"/>
      <c r="P48" s="836"/>
      <c r="Q48" s="931">
        <f>IF(OR(E48= "Select Type",E48= "Select Sacrifice"),0,IF(E48="",0,IF(J48="Year to Date",CONVERT_TO_MONTHLY(G48,J48,X44),CONVERT_TO_MONTHLY(G48,J48))*IF(LEFT(D46,2)="SE",D48,1)))</f>
        <v>0</v>
      </c>
      <c r="R48" s="47"/>
      <c r="S48" s="931">
        <f>Q48</f>
        <v>0</v>
      </c>
      <c r="T48" s="714"/>
      <c r="U48" s="1013"/>
      <c r="W48" s="931">
        <f>Q48</f>
        <v>0</v>
      </c>
      <c r="Y48" s="1022" t="b">
        <f>IF(H48="",IF(E48="",TRUE,VLOOKUP(E48,'Configurable Items'!$D$4734:$E$4758,2,FALSE)),IF(H48="Taxable",TRUE,FALSE))</f>
        <v>1</v>
      </c>
      <c r="Z48" s="1023">
        <f>IF(E48="Personal Tax Deduction",G48,0)</f>
        <v>0</v>
      </c>
      <c r="AB48" s="1020">
        <f>IF(Y48=TRUE,IF(LEFT(D46,2)="SE",S48,Q48),0)</f>
        <v>0</v>
      </c>
      <c r="AC48" s="1023">
        <f>IF(LEFT(D46,2)="SE",S48,Q48)</f>
        <v>0</v>
      </c>
      <c r="AD48" s="31"/>
      <c r="AE48" s="31"/>
      <c r="AK48" s="931" t="str">
        <f>IF(AL44=0,0,IF(LEFT(D46,2)="SE","",
IF(H48="Taxable",AN44-SUM(AK44:AK47),Q48)))</f>
        <v/>
      </c>
    </row>
    <row r="49" spans="2:41" ht="17.25" hidden="1" customHeight="1">
      <c r="B49" s="733"/>
      <c r="C49" s="1349" t="str">
        <f>D44</f>
        <v>Sifei Liu</v>
      </c>
      <c r="D49" s="845"/>
      <c r="E49" s="930" t="s">
        <v>8985</v>
      </c>
      <c r="F49" s="928"/>
      <c r="G49" s="910"/>
      <c r="H49" s="930" t="str">
        <f>VLOOKUP(E49,'Configurable Items'!$D$4734:$F$4758,3,FALSE)</f>
        <v/>
      </c>
      <c r="I49" s="928"/>
      <c r="J49" s="1485" t="s">
        <v>20</v>
      </c>
      <c r="K49" s="1485"/>
      <c r="L49" s="1009"/>
      <c r="M49" s="1009"/>
      <c r="N49" s="846"/>
      <c r="O49" s="918"/>
      <c r="P49" s="846"/>
      <c r="Q49" s="931">
        <f>IF(E49= "Select Type",0,IF(E49="",0,IF(J49="Year to Date",CONVERT_TO_MONTHLY(G49,J49,X44),CONVERT_TO_MONTHLY(G49,J49))*IF(LEFT(D46,2)="SE",D48,1)))</f>
        <v>0</v>
      </c>
      <c r="R49" s="47"/>
      <c r="S49" s="931">
        <f>Q49*AE49</f>
        <v>0</v>
      </c>
      <c r="T49" s="714"/>
      <c r="U49" s="1013"/>
      <c r="W49" s="931">
        <f>IF(LEFT(D46,2)="SE",IF(Y49=TRUE,Q49,0),Q49)</f>
        <v>0</v>
      </c>
      <c r="X49" s="54"/>
      <c r="Y49" s="1022" t="b">
        <f>IF(H49="",IF(E49="",TRUE,VLOOKUP(E49,'Configurable Items'!$D$4734:$E$4758,2,FALSE)),IF(H49="Taxable",TRUE,FALSE))</f>
        <v>1</v>
      </c>
      <c r="Z49" s="1023">
        <f>IF(E49="Personal Tax Deduction",G49,0)</f>
        <v>0</v>
      </c>
      <c r="AB49" s="1020">
        <f>IF(Y49=TRUE,IF(LEFT(D46,2)="SE",S49,Q49),0)</f>
        <v>0</v>
      </c>
      <c r="AC49" s="1023">
        <f>IF(LEFT(D46,2)="SE",S49,Q49)</f>
        <v>0</v>
      </c>
      <c r="AD49" s="31"/>
      <c r="AE49" s="1375" cm="1">
        <f t="array" ref="AE49">SE_NPBT_Volatility(D46, $AC$10, IF(D46="SE - Sole Trader",G44,IF(D46="SE - Company",G49,G52)), IF(D46="SE - Sole Trader",O44,IF(D46="SE - Company",O49,O52)),6)</f>
        <v>1</v>
      </c>
      <c r="AJ49" s="31"/>
    </row>
    <row r="50" spans="2:41" ht="17.25" hidden="1" customHeight="1">
      <c r="B50" s="733"/>
      <c r="C50" s="1349" t="str">
        <f>D44</f>
        <v>Sifei Liu</v>
      </c>
      <c r="D50" s="845"/>
      <c r="E50" s="1348" t="s">
        <v>8977</v>
      </c>
      <c r="F50" s="928"/>
      <c r="G50" s="910"/>
      <c r="H50" s="930" t="str">
        <f>VLOOKUP(E50,'Configurable Items'!$D$4734:$F$4758,3,FALSE)</f>
        <v/>
      </c>
      <c r="I50" s="928"/>
      <c r="J50" s="1485" t="s">
        <v>20</v>
      </c>
      <c r="K50" s="1485"/>
      <c r="L50" s="1009"/>
      <c r="M50" s="1009"/>
      <c r="N50" s="846"/>
      <c r="O50" s="846"/>
      <c r="P50" s="846"/>
      <c r="Q50" s="931">
        <f>IF(E50= "Select Type",0,IF(E50="",0,IF(J50="Year to Date",CONVERT_TO_MONTHLY(G50,J50,X44),CONVERT_TO_MONTHLY(G50,J50))*IF(LEFT(D46,2)="SE",D48,1)))</f>
        <v>0</v>
      </c>
      <c r="R50" s="47"/>
      <c r="S50" s="931">
        <f>Q50</f>
        <v>0</v>
      </c>
      <c r="T50" s="714"/>
      <c r="U50" s="1013"/>
      <c r="W50" s="931">
        <f>IF(LEFT(D46,2)="SE",IF(Y50=TRUE,Q50,0),Q50)</f>
        <v>0</v>
      </c>
      <c r="Y50" s="1022" t="b">
        <f>IF(H50="",IF(E50="",TRUE,VLOOKUP(E50,'Configurable Items'!$D$4734:$E$4758,2,FALSE)),IF(H50="Taxable",TRUE,FALSE))</f>
        <v>0</v>
      </c>
      <c r="Z50" s="1023">
        <f>IF(E50="Personal Tax Deduction",G50,0)</f>
        <v>0</v>
      </c>
      <c r="AB50" s="1020">
        <f>IF(Y50=TRUE,IF(LEFT(D46,2)="SE",S50,Q50),0)</f>
        <v>0</v>
      </c>
      <c r="AC50" s="1023">
        <f>IF(LEFT(D46,2)="SE",S50,Q50)</f>
        <v>0</v>
      </c>
      <c r="AD50" s="31"/>
      <c r="AE50" s="31"/>
      <c r="AJ50" s="31"/>
    </row>
    <row r="51" spans="2:41" ht="17.25" hidden="1" customHeight="1">
      <c r="B51" s="733"/>
      <c r="C51" s="1349" t="str">
        <f>D44</f>
        <v>Sifei Liu</v>
      </c>
      <c r="D51" s="845"/>
      <c r="E51" s="1348" t="s">
        <v>8977</v>
      </c>
      <c r="F51" s="928"/>
      <c r="G51" s="910"/>
      <c r="H51" s="930" t="str">
        <f>VLOOKUP(E51,'Configurable Items'!$D$4734:$F$4758,3,FALSE)</f>
        <v/>
      </c>
      <c r="I51" s="928"/>
      <c r="J51" s="1485" t="s">
        <v>20</v>
      </c>
      <c r="K51" s="1485"/>
      <c r="L51" s="1009"/>
      <c r="M51" s="1009"/>
      <c r="N51" s="846"/>
      <c r="O51" s="846"/>
      <c r="P51" s="846"/>
      <c r="Q51" s="931">
        <f>IF(E51= "Select Type",0,IF(E51="",0,IF(J51="Year to Date",CONVERT_TO_MONTHLY(G51,J51,X44),CONVERT_TO_MONTHLY(G51,J51))*IF(LEFT(D46,2)="SE",D48,1)))</f>
        <v>0</v>
      </c>
      <c r="R51" s="47"/>
      <c r="S51" s="931">
        <f>Q51</f>
        <v>0</v>
      </c>
      <c r="T51" s="714"/>
      <c r="U51" s="1013"/>
      <c r="W51" s="931">
        <f>IF(LEFT(D46,2)="SE",IF(Y51=TRUE,Q51,0),Q51)</f>
        <v>0</v>
      </c>
      <c r="Y51" s="1022" t="b">
        <f>IF(H51="",IF(E51="",TRUE,VLOOKUP(E51,'Configurable Items'!$D$4734:$E$4758,2,FALSE)),IF(H51="Taxable",TRUE,FALSE))</f>
        <v>0</v>
      </c>
      <c r="Z51" s="1023">
        <f>IF(E51="Personal Tax Deduction",G51,0)</f>
        <v>0</v>
      </c>
      <c r="AB51" s="1020">
        <f>IF(Y51=TRUE,IF(LEFT(D46,2)="SE",S51,Q51),0)</f>
        <v>0</v>
      </c>
      <c r="AC51" s="1023">
        <f>IF(LEFT(D46,2)="SE",S51,Q51)</f>
        <v>0</v>
      </c>
      <c r="AD51" s="31"/>
      <c r="AE51" s="31"/>
      <c r="AJ51" s="31"/>
    </row>
    <row r="52" spans="2:41" ht="17.25" hidden="1" customHeight="1">
      <c r="B52" s="733"/>
      <c r="C52" s="1349" t="str">
        <f>D44</f>
        <v>Sifei Liu</v>
      </c>
      <c r="D52" s="845"/>
      <c r="E52" s="1348" t="s">
        <v>8977</v>
      </c>
      <c r="F52" s="928"/>
      <c r="G52" s="910"/>
      <c r="H52" s="930" t="str">
        <f>VLOOKUP(E52,'Configurable Items'!$D$4734:$F$4758,3,FALSE)</f>
        <v/>
      </c>
      <c r="I52" s="928"/>
      <c r="J52" s="1485" t="s">
        <v>20</v>
      </c>
      <c r="K52" s="1485"/>
      <c r="L52" s="1009"/>
      <c r="M52" s="1009"/>
      <c r="N52" s="846"/>
      <c r="O52" s="918"/>
      <c r="P52" s="846"/>
      <c r="Q52" s="931">
        <f>IF(E52= "Select Type",0,IF(E52="",0,IF(J52="Year to Date",CONVERT_TO_MONTHLY(G52,J52,X44),
CONVERT_TO_MONTHLY(G52,J52))*AE52))</f>
        <v>0</v>
      </c>
      <c r="R52" s="47"/>
      <c r="S52" s="931">
        <f>Q52</f>
        <v>0</v>
      </c>
      <c r="T52" s="714"/>
      <c r="U52" s="1013"/>
      <c r="W52" s="931">
        <f>IF(LEFT(D46,2)="SE",IF(Y52=TRUE,Q52,0),Q52)</f>
        <v>0</v>
      </c>
      <c r="Y52" s="1022" t="b">
        <f>IF(H52="",IF(E52="",TRUE,VLOOKUP(E52,'Configurable Items'!$D$4734:$E$4758,2,FALSE)),IF(H52="Taxable",TRUE,FALSE))</f>
        <v>0</v>
      </c>
      <c r="Z52" s="1023">
        <f>IF(E52="Personal Tax Deduction",G52,0)</f>
        <v>0</v>
      </c>
      <c r="AB52" s="1020">
        <f>IF(Y52=TRUE,IF(LEFT(D46,2)="SE",S52,Q52),0)</f>
        <v>0</v>
      </c>
      <c r="AC52" s="1023">
        <f>IF(LEFT(D46,2)="SE",S52,Q52)</f>
        <v>0</v>
      </c>
      <c r="AD52" s="31"/>
      <c r="AE52" s="1375">
        <f>IF(OR(D46="SE - Partnership",D46="SE - Trust (Comp ATF)", D46 = "SE - Trust (Ind ATF)"),0,1)</f>
        <v>1</v>
      </c>
      <c r="AJ52" s="31"/>
    </row>
    <row r="53" spans="2:41" ht="17.25" customHeight="1">
      <c r="B53" s="733"/>
      <c r="C53" s="903"/>
      <c r="D53" s="1354"/>
      <c r="E53" s="859"/>
      <c r="F53" s="1376" t="str" cm="1">
        <f t="array" ref="F53">IF(Employment_Message(D46, D48, G44:G52, O44:O52,$AC$10, AE53)=0,"",Employment_Message(D46, D48, G44:G52, O44:O52,$AC$10, AE53))</f>
        <v/>
      </c>
      <c r="G53" s="861"/>
      <c r="H53" s="1009"/>
      <c r="I53" s="534"/>
      <c r="J53" s="534"/>
      <c r="K53" s="845"/>
      <c r="L53" s="1009"/>
      <c r="M53" s="1009"/>
      <c r="N53" s="846"/>
      <c r="O53" s="846"/>
      <c r="P53" s="846"/>
      <c r="Q53" s="861"/>
      <c r="R53" s="846"/>
      <c r="S53" s="861"/>
      <c r="T53" s="714"/>
      <c r="U53" s="736"/>
      <c r="W53" s="55"/>
      <c r="AD53" s="31"/>
      <c r="AE53" s="1375">
        <f>MIN(AE44:AE49)</f>
        <v>1</v>
      </c>
      <c r="AJ53" s="31"/>
    </row>
    <row r="54" spans="2:41" ht="17.25" hidden="1" customHeight="1">
      <c r="B54" s="733"/>
      <c r="C54" s="713"/>
      <c r="D54" s="48" t="s">
        <v>57</v>
      </c>
      <c r="E54" s="24" t="str">
        <f>IF(LEFT(D64,2)="SE","",'Configurable Items'!#REF!)</f>
        <v/>
      </c>
      <c r="F54" s="32"/>
      <c r="G54" s="32"/>
      <c r="H54" s="32"/>
      <c r="I54" s="32"/>
      <c r="J54" s="32"/>
      <c r="K54" s="48" t="s">
        <v>16</v>
      </c>
      <c r="L54" s="32"/>
      <c r="M54" s="32"/>
      <c r="Q54" s="32"/>
      <c r="R54" s="34"/>
      <c r="S54" s="32"/>
      <c r="T54" s="714"/>
      <c r="U54" s="736"/>
      <c r="W54" s="32"/>
      <c r="X54" s="42"/>
      <c r="AD54" s="31"/>
      <c r="AE54" s="31"/>
      <c r="AK54" s="50"/>
      <c r="AL54" s="31"/>
    </row>
    <row r="55" spans="2:41" ht="17.25" hidden="1" customHeight="1">
      <c r="B55" s="733"/>
      <c r="C55" s="713"/>
      <c r="D55" s="48"/>
      <c r="E55" s="24" t="str">
        <f>IF(LEFT(D64,2)="SE","",'Configurable Items'!#REF!)</f>
        <v/>
      </c>
      <c r="F55" s="32"/>
      <c r="G55" s="32"/>
      <c r="H55" s="32"/>
      <c r="I55" s="32"/>
      <c r="J55" s="24" t="s">
        <v>17</v>
      </c>
      <c r="L55" s="32"/>
      <c r="M55" s="32"/>
      <c r="Q55" s="37"/>
      <c r="R55" s="834"/>
      <c r="S55" s="37"/>
      <c r="T55" s="714"/>
      <c r="U55" s="736"/>
      <c r="W55" s="32"/>
      <c r="X55" s="42"/>
      <c r="AD55" s="31"/>
      <c r="AE55" s="31"/>
      <c r="AK55" s="50"/>
      <c r="AL55" s="31"/>
    </row>
    <row r="56" spans="2:41" ht="17.25" hidden="1" customHeight="1">
      <c r="B56" s="733"/>
      <c r="C56" s="713"/>
      <c r="D56" s="48"/>
      <c r="E56" s="24" t="str">
        <f>IF(LEFT(D64,2)="SE","",'Configurable Items'!#REF!)</f>
        <v/>
      </c>
      <c r="F56" s="32"/>
      <c r="G56" s="32"/>
      <c r="H56" s="32"/>
      <c r="I56" s="32"/>
      <c r="J56" s="24" t="s">
        <v>3</v>
      </c>
      <c r="L56" s="32"/>
      <c r="M56" s="32"/>
      <c r="Q56" s="37"/>
      <c r="R56" s="834"/>
      <c r="S56" s="37"/>
      <c r="T56" s="714"/>
      <c r="U56" s="736"/>
      <c r="W56" s="32"/>
      <c r="X56" s="42"/>
      <c r="AD56" s="31"/>
      <c r="AE56" s="31"/>
      <c r="AK56" s="50"/>
      <c r="AL56" s="31"/>
    </row>
    <row r="57" spans="2:41" ht="17.25" hidden="1" customHeight="1">
      <c r="B57" s="733"/>
      <c r="C57" s="713"/>
      <c r="D57" s="48"/>
      <c r="E57" s="24" t="str">
        <f>IF(LEFT(D64,2)="SE","",'Configurable Items'!#REF!)</f>
        <v/>
      </c>
      <c r="F57" s="32"/>
      <c r="G57" s="32"/>
      <c r="H57" s="32"/>
      <c r="I57" s="32"/>
      <c r="J57" s="24" t="s">
        <v>18</v>
      </c>
      <c r="L57" s="32"/>
      <c r="M57" s="32"/>
      <c r="Q57" s="37"/>
      <c r="R57" s="834"/>
      <c r="S57" s="37"/>
      <c r="T57" s="714"/>
      <c r="U57" s="736"/>
      <c r="W57" s="32"/>
      <c r="X57" s="42"/>
      <c r="AD57" s="31"/>
      <c r="AE57" s="31"/>
      <c r="AK57" s="50"/>
      <c r="AL57" s="31"/>
    </row>
    <row r="58" spans="2:41" ht="17.25" hidden="1" customHeight="1">
      <c r="B58" s="733"/>
      <c r="C58" s="713"/>
      <c r="D58" s="24"/>
      <c r="E58" s="24" t="str">
        <f>IF(LEFT(D64,2)="SE","",'Configurable Items'!#REF!)</f>
        <v/>
      </c>
      <c r="F58" s="32"/>
      <c r="G58" s="32"/>
      <c r="H58" s="24" t="s">
        <v>34</v>
      </c>
      <c r="I58" s="32"/>
      <c r="J58" s="24" t="s">
        <v>2</v>
      </c>
      <c r="L58" s="32"/>
      <c r="M58" s="32"/>
      <c r="Q58" s="37"/>
      <c r="R58" s="834"/>
      <c r="S58" s="37"/>
      <c r="T58" s="714"/>
      <c r="U58" s="736"/>
      <c r="W58" s="32"/>
      <c r="X58" s="42"/>
      <c r="AD58" s="31"/>
      <c r="AE58" s="31"/>
      <c r="AK58" s="50"/>
      <c r="AL58" s="31"/>
    </row>
    <row r="59" spans="2:41" ht="17.25" hidden="1" customHeight="1">
      <c r="B59" s="733"/>
      <c r="C59" s="713"/>
      <c r="D59" s="24" t="s">
        <v>58</v>
      </c>
      <c r="E59" s="24">
        <f>IF(LEFT(D64,2)="SE",'Configurable Items'!D4825,'Configurable Items'!D4828)</f>
        <v>0</v>
      </c>
      <c r="F59" s="32"/>
      <c r="G59" s="32"/>
      <c r="H59" s="842" t="s">
        <v>35</v>
      </c>
      <c r="I59" s="32"/>
      <c r="J59" s="24" t="s">
        <v>19</v>
      </c>
      <c r="L59" s="32"/>
      <c r="M59" s="32"/>
      <c r="Q59" s="37"/>
      <c r="R59" s="834"/>
      <c r="S59" s="37"/>
      <c r="T59" s="714"/>
      <c r="U59" s="736"/>
      <c r="W59" s="32"/>
      <c r="X59" s="42"/>
      <c r="AD59" s="31"/>
      <c r="AE59" s="31"/>
      <c r="AK59" s="50"/>
      <c r="AL59" s="31"/>
    </row>
    <row r="60" spans="2:41" ht="17.25" hidden="1" customHeight="1">
      <c r="B60" s="733"/>
      <c r="C60" s="713"/>
      <c r="D60" s="24" t="str">
        <f>IF($D$11="","Other",$D$11)</f>
        <v>Sifei Liu</v>
      </c>
      <c r="E60" s="24" t="str">
        <f>IF(LEFT(D64,2)="SE",'Configurable Items'!D4826,'Configurable Items'!D4829)</f>
        <v>LoDoc Ownership</v>
      </c>
      <c r="F60" s="24" t="b">
        <v>1</v>
      </c>
      <c r="G60" s="24"/>
      <c r="H60" s="842" t="s">
        <v>51</v>
      </c>
      <c r="I60" s="24" t="b">
        <v>1</v>
      </c>
      <c r="J60" s="24" t="s">
        <v>20</v>
      </c>
      <c r="L60" s="32"/>
      <c r="M60" s="32"/>
      <c r="Q60" s="37"/>
      <c r="R60" s="834"/>
      <c r="S60" s="37"/>
      <c r="T60" s="714"/>
      <c r="U60" s="736"/>
      <c r="W60" s="32"/>
      <c r="X60" s="42"/>
      <c r="AD60" s="31"/>
      <c r="AE60" s="31"/>
      <c r="AK60" s="50"/>
      <c r="AL60" s="31"/>
    </row>
    <row r="61" spans="2:41" ht="17.25" hidden="1" customHeight="1">
      <c r="B61" s="733"/>
      <c r="C61" s="713"/>
      <c r="D61" s="24" t="str">
        <f>$D$10</f>
        <v>Fan Jiang</v>
      </c>
      <c r="E61" s="24">
        <f>IF(LEFT(D64,2)="SE",'Configurable Items'!D4827,'Configurable Items'!D4830)</f>
        <v>0</v>
      </c>
      <c r="F61" s="24" t="b">
        <v>0</v>
      </c>
      <c r="G61" s="842"/>
      <c r="H61" s="842" t="s">
        <v>59</v>
      </c>
      <c r="I61" s="842" t="b">
        <v>0</v>
      </c>
      <c r="J61" s="842" t="s">
        <v>60</v>
      </c>
      <c r="L61" s="32"/>
      <c r="M61" s="32"/>
      <c r="Q61" s="37"/>
      <c r="R61" s="834"/>
      <c r="S61" s="37"/>
      <c r="T61" s="714"/>
      <c r="U61" s="736"/>
      <c r="W61" s="32"/>
      <c r="X61" s="42"/>
      <c r="AD61" s="31"/>
      <c r="AE61" s="31"/>
      <c r="AK61" s="50"/>
      <c r="AL61" s="31"/>
    </row>
    <row r="62" spans="2:41" ht="17.25" customHeight="1">
      <c r="B62" s="733"/>
      <c r="C62" s="1349" t="str">
        <f>D62</f>
        <v>Fan Jiang</v>
      </c>
      <c r="D62" s="911" t="s">
        <v>9568</v>
      </c>
      <c r="E62" s="930" t="str">
        <f>IF(OR(D64="SE - Sole Trader",D64="SE - Dual App",D64 = "SE - RM Verified"),"Gross Annual Income",
IF(D64="SE - Company Wages","ATO Income","Salary"))</f>
        <v>Salary</v>
      </c>
      <c r="F62" s="1026"/>
      <c r="G62" s="910"/>
      <c r="H62" s="935"/>
      <c r="I62" s="928"/>
      <c r="J62" s="1485" t="s">
        <v>20</v>
      </c>
      <c r="K62" s="1485"/>
      <c r="L62" s="929"/>
      <c r="M62" s="929"/>
      <c r="N62" s="340" t="b">
        <v>1</v>
      </c>
      <c r="O62" s="918"/>
      <c r="P62" s="836"/>
      <c r="Q62" s="931">
        <f>IF(E62&lt;&gt;"Salary",
IF(E62="ATO Income",IF(X62+X63=0,0,CONVERT_TO_MONTHLY(G62+G63,J62,X62+X63)),
CONVERT_TO_MONTHLY(G62,J62)),
IF(AND((LEFT(D64,2)&lt;&gt;"SE"),OR(G62="",H62="",J62="")=TRUE)=TRUE,0,
CONVERT_TO_MONTHLY(EmploymentIncomeComponent(E62, D64, G62/(1+(IF(I62=TRUE,mandatorySuperannuationContributions,0))), H62, J62, 0, H237, D66, X62, G63/(1+(IF(I62=TRUE,mandatorySuperannuationContributions,0))), H63, J63, F63, G65/(1+(IF(I62=TRUE,mandatorySuperannuationContributions,0))), H65, J65, F65, G64/(1+(IF(I62=TRUE,mandatorySuperannuationContributions,0))), H64, J64, F64, FALSE),"annually")))</f>
        <v>0</v>
      </c>
      <c r="R62" s="850"/>
      <c r="S62" s="931">
        <f>Q62*AE62</f>
        <v>0</v>
      </c>
      <c r="T62" s="714"/>
      <c r="U62" s="736"/>
      <c r="W62" s="931">
        <f>Q62</f>
        <v>0</v>
      </c>
      <c r="X62" s="1021">
        <f>IF(J62="Year to Date",IF(AND(OR(L62="",M62=""),E62="ATO Income"),0,M62-L62+1),IF(J62="monthly",365/12,IF(J62="fortnightly",14,IF(J62="weekly",7,365))))</f>
        <v>365</v>
      </c>
      <c r="Y62" s="939" t="b">
        <f>IF(E62="","",VLOOKUP(E62,'Configurable Items'!$D$4734:$E$4750,2,FALSE))</f>
        <v>1</v>
      </c>
      <c r="AA62" s="938">
        <f>IF(D64="SE - RM Verified",1,IF(D64="SE - Dual Application",1,0))</f>
        <v>0</v>
      </c>
      <c r="AB62" s="931">
        <f>IF(Y62=TRUE,IF(LEFT(D64,2)="SE",S62,Q62),0)</f>
        <v>0</v>
      </c>
      <c r="AC62" s="931">
        <f>IF(LEFT(D64,2)="SE",S62,Q62)</f>
        <v>0</v>
      </c>
      <c r="AD62" s="31"/>
      <c r="AE62" s="1375" cm="1">
        <f t="array" ref="AE62">SE_NPBT_Volatility(D64, $AC$10, IF(D64="SE - Sole Trader",G62,IF(D64="SE - Company",G67,G70)), IF(D64="SE - Sole Trader",O62,IF(D64="SE - Company",O67,O70)),1)</f>
        <v>1</v>
      </c>
      <c r="AK62" s="931" cm="1">
        <f t="array" ref="AK62">IF(AL62=0,0,IF(LEFT(D64,2)="SE",AL62*(Q62/SUM(Q62:Q63)),
CONVERT_TO_MONTHLY(EmploymentIncomeComponent(E62, D64, G62/(1+(IF(I62=TRUE,mandatorySuperannuationContributions,0))), H62, J62, 0, H222, D66, X62, G63/(1+(IF(I62=TRUE,mandatorySuperannuationContributions,0))), H63, J63, F63, G65/(1+(IF(I62=TRUE,mandatorySuperannuationContributions,0))), H65, J65, F65, G64/(1+(IF(I62=TRUE,mandatorySuperannuationContributions,0))), H64, J64, F64, TRUE),"annually")))</f>
        <v>0</v>
      </c>
      <c r="AL62" s="52">
        <f>AN62+AO62</f>
        <v>0</v>
      </c>
      <c r="AN62" s="537">
        <f>IF(LEFT(D64,2)="SE",CONVERT_TO_NET(SUM(Q62:Q63)*12, TRUE, IF(ISBLANK($D$11),1,2), $E$10+$E$11)/12,
IF(H66="Taxable",CONVERT_TO_NET(SUM(Q62:Q66)*12, TRUE, IF(ISBLANK($D$11),1,2), $E$10+$E$11)/12,CONVERT_TO_NET(SUM(Q62:Q65)*12, TRUE, IF(ISBLANK($D$11),1,2), $E$10+$E$11)/12))</f>
        <v>0</v>
      </c>
      <c r="AO62" s="537">
        <f>IF(LEFT(D64,2)="SE",0,
IF(H66="Taxable",0,Q66))</f>
        <v>0</v>
      </c>
    </row>
    <row r="63" spans="2:41" ht="17.25" customHeight="1">
      <c r="B63" s="733"/>
      <c r="C63" s="1356" t="str">
        <f>D62</f>
        <v>Fan Jiang</v>
      </c>
      <c r="D63" s="36" t="s">
        <v>8963</v>
      </c>
      <c r="E63" s="930" t="str">
        <f>IF(OR(D64="SE - Sole Trader",D64="SE - RM Verified",D64="SE - Dual App"),"",
IF(OR(D64="SE - Partnership",D64="SE - Trust (Ind ATF)",D64="SE - Trust (Comp ATF)"),"Distribution",
IF(D64="SE - Company","Dividends",
IF(D64="SE - Company Wages","Prior Year ATO Income",
"Bonus"))))</f>
        <v>Dividends</v>
      </c>
      <c r="F63" s="928"/>
      <c r="G63" s="910"/>
      <c r="H63" s="935"/>
      <c r="I63" s="928"/>
      <c r="J63" s="1485" t="s">
        <v>20</v>
      </c>
      <c r="K63" s="1485"/>
      <c r="L63" s="929"/>
      <c r="M63" s="929"/>
      <c r="N63" s="836"/>
      <c r="O63" s="836"/>
      <c r="P63" s="836"/>
      <c r="Q63" s="931">
        <f>IF(E63="",0,
IF(E63="Prior Year ATO Income",0,
IF(E63="Bonus",
CONVERT_TO_MONTHLY(EmploymentIncomeComponent(E63, D64, G62/(1+(IF(I62=TRUE,mandatorySuperannuationContributions,0))), H62, J62, 0, H237, D66, X62, G63/(1+(IF(I62=TRUE,mandatorySuperannuationContributions,0))), H63, J63, F63, G65/(1+(IF(I62=TRUE,mandatorySuperannuationContributions,0))), H65, J65, F65, G64/(1+(IF(I62=TRUE,mandatorySuperannuationContributions,0))), H64, J64, F64, FALSE),"annually"),CONVERT_TO_MONTHLY(G63,J63))))</f>
        <v>0</v>
      </c>
      <c r="R63" s="850"/>
      <c r="S63" s="931">
        <f>IF(E63="",0,
IF(G63="",0,
IF(E63="Bonus",CONVERT_TO_MONTHLY(Sensitise_Income(CONVERT_TO_ANNUALLY(Q63,"Monthly"), VLOOKUP(D62,$D$158:$H$159,5,FALSE), BONUS_SENSITIVITY_MULTIPLIER, 0, 0,FALSE),"Annually"),Q63*AE63)))</f>
        <v>0</v>
      </c>
      <c r="T63" s="714"/>
      <c r="U63" s="736"/>
      <c r="W63" s="931">
        <f>Q63</f>
        <v>0</v>
      </c>
      <c r="X63" s="1021">
        <f>IF(J63="Year to Date",IF(OR(L63="",M63=""),0,M63-L63+1),IF(J63="monthly",365/12,IF(J63="fortnightly",14,IF(J63="weekly",7,365))))</f>
        <v>365</v>
      </c>
      <c r="Y63" s="939" t="b">
        <f>IF(E63="","",VLOOKUP(E63,'Configurable Items'!$D$4734:$E$4750,2,FALSE))</f>
        <v>1</v>
      </c>
      <c r="Z63" s="34"/>
      <c r="AB63" s="931">
        <f>IF(Y63=TRUE,IF(LEFT(D64,2)="SE",S63,Q63),0)</f>
        <v>0</v>
      </c>
      <c r="AC63" s="931">
        <f>IF(LEFT(D64,2)="SE",S63,Q63)</f>
        <v>0</v>
      </c>
      <c r="AD63" s="31"/>
      <c r="AE63" s="1375" cm="1">
        <f t="array" ref="AE63">SE_NPBT_Volatility(D64, $AC$10, IF(D64="SE - Sole Trader",G62,IF(D64="SE - Company",G67,G70)), IF(D64="SE - Sole Trader",O62,IF(D64="SE - Company",O67,O70)),2)</f>
        <v>1</v>
      </c>
      <c r="AK63" s="931" cm="1">
        <f t="array" ref="AK63">IF(AL62=0,0,IF(LEFT(D64,2)="SE",IF(Q63="","",AL62*(Q63/SUM(Q62:Q63))),
CONVERT_TO_MONTHLY(EmploymentIncomeComponent(E63, D64, G62/(1+(IF(I62=TRUE,mandatorySuperannuationContributions,0))), H62, J62, 0, H222, D66, X62, G63/(1+(IF(I62=TRUE,mandatorySuperannuationContributions,0))), H63, J63, F63, G65/(1+(IF(I62=TRUE,mandatorySuperannuationContributions,0))), H65, J65, F65, G64/(1+(IF(I62=TRUE,mandatorySuperannuationContributions,0))), H64, J64, F64, TRUE),"annually")))</f>
        <v>0</v>
      </c>
    </row>
    <row r="64" spans="2:41" ht="17.25" customHeight="1">
      <c r="B64" s="733"/>
      <c r="C64" s="1349" t="str">
        <f>D62</f>
        <v>Fan Jiang</v>
      </c>
      <c r="D64" s="924" t="s">
        <v>1445</v>
      </c>
      <c r="E64" s="930" t="str">
        <f>IF(D64="SE - Company Wages","Payslip",
IF(OR(D64="SE - Dual App",D64="SE - RM Verified"),"",
IF(LEFT(D64,2)="SE","Interest",
"Commission")))</f>
        <v>Interest</v>
      </c>
      <c r="F64" s="928"/>
      <c r="G64" s="910">
        <v>2304</v>
      </c>
      <c r="H64" s="935"/>
      <c r="I64" s="928"/>
      <c r="J64" s="1489" t="s">
        <v>20</v>
      </c>
      <c r="K64" s="1490"/>
      <c r="L64" s="843" t="str">
        <f>IF(AND(E64="Payslip",Q62&gt;0,G64=""),"  Enter Amount",
IF(AND(Q62=0,E64="Payslip"), "  Enter ATO Income",
IF(AND(Q62&gt;0,E64="Payslip",OR(AD64&lt;Q62*0.85,AD64&gt;Q62*1.15)),"  Inconsistent income, enquire and capture in app notes","")))</f>
        <v/>
      </c>
      <c r="M64" s="1009"/>
      <c r="N64" s="836"/>
      <c r="O64" s="836"/>
      <c r="P64" s="836"/>
      <c r="Q64" s="931">
        <f>IF(OR(E64="",E64="Payslip"),0,IF(E64="Commission",CONVERT_TO_MONTHLY(EmploymentIncomeComponent(E64, D64, G62/(1+(IF(I62=TRUE,mandatorySuperannuationContributions,0))), H62, J62, 0, H237, D66, X62, G63/(1+(IF(I62=TRUE,mandatorySuperannuationContributions,0))), H63, J63, F63, G65/(1+(IF(I62=TRUE,mandatorySuperannuationContributions,0))), H65, J65, F65, G64/(1+(IF(I62=TRUE,mandatorySuperannuationContributions,0))), H64, J64, F64, FALSE),"annually"),CONVERT_TO_MONTHLY(G64,J64)*D66))</f>
        <v>192</v>
      </c>
      <c r="R64" s="850"/>
      <c r="S64" s="931">
        <f>IF(E64="",0,
IF(G64="",0,
IF(E64="Commission",CONVERT_TO_MONTHLY(Sensitise_Income(CONVERT_TO_ANNUALLY(Q64,"Monthly"), VLOOKUP(D62,$D$158:$H$159,5,FALSE), COMMISSION_SENSITIVITY_MULTIPLIER, 0, 0,FALSE),"Annually"),Q64)))</f>
        <v>192</v>
      </c>
      <c r="T64" s="714"/>
      <c r="U64" s="736"/>
      <c r="W64" s="931">
        <f>IF(LEFT(D64,2)="SE",0,Q64)</f>
        <v>0</v>
      </c>
      <c r="Y64" s="939" t="b">
        <f>IF(OR(E64="",E64="Payslip"),"",VLOOKUP(E64,'Configurable Items'!$D$4734:$E$4750,2,FALSE))</f>
        <v>0</v>
      </c>
      <c r="AA64" s="54"/>
      <c r="AB64" s="931">
        <f>IF(Y64=TRUE,IF(LEFT(D64,2)="SE",S64,Q64),0)</f>
        <v>0</v>
      </c>
      <c r="AC64" s="931">
        <f>IF(LEFT(D64,2)="SE",S64,Q64)</f>
        <v>192</v>
      </c>
      <c r="AD64" s="931" t="b" cm="1">
        <f t="array" ref="AD64">IF(E64="Payslip",IF(H64="After Tax",CONVERT_TO_MONTHLY(CONVERT_TO_GROSS(CONVERT_TO_ANNUALLY(G64,J64),TRUE,IF($D$11="",1,2),SUM($E$10:$E$11)),"Annually"),CONVERT_TO_MONTHLY(G64,J64)))</f>
        <v>0</v>
      </c>
      <c r="AE64" s="31"/>
      <c r="AK64" s="931" cm="1">
        <f t="array" ref="AK64">IF(AL62=0,0,IF(LEFT(D64,2)="SE","",
CONVERT_TO_MONTHLY(EmploymentIncomeComponent(E64, D64, G62/(1+(IF(I62=TRUE,mandatorySuperannuationContributions,0))), H62, J62, 0, H222, D66, X62, G63/(1+(IF(I62=TRUE,mandatorySuperannuationContributions,0))), H63, J63, F63, G65/(1+(IF(I62=TRUE,mandatorySuperannuationContributions,0))), H65, J65, F65, G64/(1+(IF(I62=TRUE,mandatorySuperannuationContributions,0))), H64, J64, F64, TRUE),"annually")))</f>
        <v>0</v>
      </c>
      <c r="AL64" s="31"/>
    </row>
    <row r="65" spans="2:42" ht="17.25" customHeight="1">
      <c r="B65" s="733"/>
      <c r="C65" s="1349" t="str">
        <f>D62</f>
        <v>Fan Jiang</v>
      </c>
      <c r="D65" s="39" t="s">
        <v>8595</v>
      </c>
      <c r="E65" s="930" t="str">
        <f>IF(D64="SE - RM Verified","",
IF(LEFT(D64,2)="SE","Depreciation",
"Overtime"))</f>
        <v>Depreciation</v>
      </c>
      <c r="F65" s="928"/>
      <c r="G65" s="910">
        <v>63606</v>
      </c>
      <c r="H65" s="935"/>
      <c r="I65" s="928"/>
      <c r="J65" s="1485" t="s">
        <v>20</v>
      </c>
      <c r="K65" s="1485"/>
      <c r="L65" s="930"/>
      <c r="M65" s="928"/>
      <c r="N65" s="836"/>
      <c r="O65" s="836"/>
      <c r="P65" s="836"/>
      <c r="Q65" s="931">
        <f>IF(E65="",0,IF(E65="Overtime",CONVERT_TO_MONTHLY(EmploymentIncomeComponent(E65, D64, G62/(1+(IF(I62=TRUE,mandatorySuperannuationContributions,0))), H62, J62, 0, H237, D66, X62, G63/(1+(IF(I62=TRUE,mandatorySuperannuationContributions,0))), H63, J63, F63, G65/(1+(IF(I62=TRUE,mandatorySuperannuationContributions,0))), H65, J65, F65, G64/(1+(IF(I62=TRUE,mandatorySuperannuationContributions,0))), H64, J64, F64, FALSE),"annually"),CONVERT_TO_MONTHLY(G65,J65)*D66))</f>
        <v>5300.5</v>
      </c>
      <c r="R65" s="850"/>
      <c r="S65" s="931">
        <f>IF(E65="",0,
IF(G65="",0,
IF(E65="Overtime",CONVERT_TO_MONTHLY(Sensitise_Income(CONVERT_TO_ANNUALLY(Q65,"Monthly"), VLOOKUP(D62,$D$158:$H$159,5,FALSE), COMMISSION_SENSITIVITY_MULTIPLIER, 0, 0,M65),"Annually"),Q65)))</f>
        <v>5300.5</v>
      </c>
      <c r="T65" s="714"/>
      <c r="U65" s="736"/>
      <c r="W65" s="931">
        <f>IF(LEFT(D64,2)="SE",0,Q65)</f>
        <v>0</v>
      </c>
      <c r="Y65" s="939" t="b">
        <f>IF(E65="","",VLOOKUP(E65,'Configurable Items'!$D$4734:$E$4750,2,FALSE))</f>
        <v>0</v>
      </c>
      <c r="AB65" s="931">
        <f>IF(Y65=TRUE,IF(LEFT(D64,2)="SE",S65,Q65),0)</f>
        <v>0</v>
      </c>
      <c r="AC65" s="931">
        <f>IF(LEFT(D64,2)="SE",S65,Q65)</f>
        <v>5300.5</v>
      </c>
      <c r="AD65" s="31"/>
      <c r="AE65" s="31"/>
      <c r="AK65" s="931" cm="1">
        <f t="array" ref="AK65">IF(AL62=0,0,IF(LEFT(D64,2)="SE","",
CONVERT_TO_MONTHLY(EmploymentIncomeComponent(E65, D64, G62/(1+(IF(I62=TRUE,mandatorySuperannuationContributions,0))), H62, J62, 0, H222, D66, X62, G63/(1+(IF(I62=TRUE,mandatorySuperannuationContributions,0))), H63, J63, F63, G65/(1+(IF(I62=TRUE,mandatorySuperannuationContributions,0))), H65, J65, F65, G64/(1+(IF(I62=TRUE,mandatorySuperannuationContributions,0))), H64, J64, F64, TRUE),"annually")))</f>
        <v>0</v>
      </c>
      <c r="AL65" s="31"/>
      <c r="AN65" s="1435"/>
      <c r="AP65" s="1435"/>
    </row>
    <row r="66" spans="2:42" ht="17.25" customHeight="1">
      <c r="B66" s="733"/>
      <c r="C66" s="1349" t="str">
        <f>D62</f>
        <v>Fan Jiang</v>
      </c>
      <c r="D66" s="340">
        <v>1</v>
      </c>
      <c r="E66" s="930" t="s">
        <v>8967</v>
      </c>
      <c r="F66" s="928"/>
      <c r="G66" s="910"/>
      <c r="H66" s="930" t="str">
        <f>VLOOKUP(E66,'Configurable Items'!$D$4734:$F$4758,3,FALSE)</f>
        <v/>
      </c>
      <c r="I66" s="928"/>
      <c r="J66" s="1485" t="s">
        <v>20</v>
      </c>
      <c r="K66" s="1485"/>
      <c r="L66" s="1009"/>
      <c r="M66" s="1009"/>
      <c r="N66" s="836"/>
      <c r="O66" s="836"/>
      <c r="P66" s="836"/>
      <c r="Q66" s="931">
        <f>IF(OR(E66= "Select Type",E66= "Select Sacrifice"),0,IF(E66="",0,IF(J66="Year to Date",CONVERT_TO_MONTHLY(G66,J66,X62),CONVERT_TO_MONTHLY(G66,J66))*IF(LEFT(D64,2)="SE",D66,1)))</f>
        <v>0</v>
      </c>
      <c r="R66" s="47"/>
      <c r="S66" s="931">
        <f>Q66</f>
        <v>0</v>
      </c>
      <c r="T66" s="714"/>
      <c r="U66" s="1013"/>
      <c r="W66" s="931">
        <f>Q66</f>
        <v>0</v>
      </c>
      <c r="Y66" s="1022" t="b">
        <f>IF(H66="",IF(E66="",TRUE,VLOOKUP(E66,'Configurable Items'!$D$4734:$E$4758,2,FALSE)),IF(H66="Taxable",TRUE,FALSE))</f>
        <v>1</v>
      </c>
      <c r="Z66" s="1023">
        <f>IF(E66="Personal Tax Deduction",G66,0)</f>
        <v>0</v>
      </c>
      <c r="AB66" s="1020">
        <f>IF(Y66=TRUE,IF(LEFT(D64,2)="SE",S66,Q66),0)</f>
        <v>0</v>
      </c>
      <c r="AC66" s="1023">
        <f>IF(LEFT(D64,2)="SE",S66,Q66)</f>
        <v>0</v>
      </c>
      <c r="AD66" s="31"/>
      <c r="AE66" s="31"/>
      <c r="AK66" s="931">
        <f>IF(AL62=0,0,IF(LEFT(D64,2)="SE","",
IF(H66="Taxable",AN62-SUM(AK62:AK65),Q66)))</f>
        <v>0</v>
      </c>
    </row>
    <row r="67" spans="2:42" ht="17.25" customHeight="1">
      <c r="B67" s="733"/>
      <c r="C67" s="1349" t="str">
        <f>D62</f>
        <v>Fan Jiang</v>
      </c>
      <c r="D67" s="845"/>
      <c r="E67" s="930" t="s">
        <v>8985</v>
      </c>
      <c r="F67" s="928"/>
      <c r="G67" s="910">
        <v>922306</v>
      </c>
      <c r="H67" s="930" t="str">
        <f>VLOOKUP(E67,'Configurable Items'!$D$4734:$F$4758,3,FALSE)</f>
        <v/>
      </c>
      <c r="I67" s="928"/>
      <c r="J67" s="1485" t="s">
        <v>20</v>
      </c>
      <c r="K67" s="1485"/>
      <c r="L67" s="1009"/>
      <c r="M67" s="1009"/>
      <c r="N67" s="846"/>
      <c r="O67" s="918"/>
      <c r="P67" s="846"/>
      <c r="Q67" s="931">
        <f>IF(E67= "Select Type",0,IF(E67="",0,IF(J67="Year to Date",CONVERT_TO_MONTHLY(G67,J67,X62),CONVERT_TO_MONTHLY(G67,J67))*IF(LEFT(D64,2)="SE",D66,1)))</f>
        <v>76858.833333333328</v>
      </c>
      <c r="R67" s="47"/>
      <c r="S67" s="931">
        <f>Q67*AE67</f>
        <v>76858.833333333328</v>
      </c>
      <c r="T67" s="714"/>
      <c r="U67" s="1013"/>
      <c r="W67" s="931">
        <f>IF(LEFT(D64,2)="SE",IF(Y67=TRUE,Q67,0),Q67)</f>
        <v>76858.833333333328</v>
      </c>
      <c r="X67" s="54"/>
      <c r="Y67" s="1022" t="b">
        <f>IF(H67="",IF(E67="",TRUE,VLOOKUP(E67,'Configurable Items'!$D$4734:$E$4758,2,FALSE)),IF(H67="Taxable",TRUE,FALSE))</f>
        <v>1</v>
      </c>
      <c r="Z67" s="1023">
        <f>IF(E67="Personal Tax Deduction",G67,0)</f>
        <v>0</v>
      </c>
      <c r="AB67" s="1020">
        <f>IF(Y67=TRUE,IF(LEFT(D64,2)="SE",S67,Q67),0)</f>
        <v>76858.833333333328</v>
      </c>
      <c r="AC67" s="1023">
        <f>IF(LEFT(D64,2)="SE",S67,Q67)</f>
        <v>76858.833333333328</v>
      </c>
      <c r="AD67" s="31"/>
      <c r="AE67" s="1375" cm="1">
        <f t="array" ref="AE67">SE_NPBT_Volatility(D64, $AC$10, IF(D64="SE - Sole Trader",G62,IF(D64="SE - Company",G67,G70)), IF(D64="SE - Sole Trader",O62,IF(D64="SE - Company",O67,O70)),6)</f>
        <v>1</v>
      </c>
      <c r="AJ67" s="31"/>
    </row>
    <row r="68" spans="2:42" ht="17.25" hidden="1" customHeight="1">
      <c r="B68" s="733"/>
      <c r="C68" s="1349" t="str">
        <f>D62</f>
        <v>Fan Jiang</v>
      </c>
      <c r="D68" s="845"/>
      <c r="E68" s="1348" t="s">
        <v>8977</v>
      </c>
      <c r="F68" s="928"/>
      <c r="G68" s="910"/>
      <c r="H68" s="930" t="str">
        <f>VLOOKUP(E68,'Configurable Items'!$D$4734:$F$4758,3,FALSE)</f>
        <v/>
      </c>
      <c r="I68" s="928"/>
      <c r="J68" s="1485" t="s">
        <v>20</v>
      </c>
      <c r="K68" s="1485"/>
      <c r="L68" s="1009"/>
      <c r="M68" s="1009"/>
      <c r="N68" s="846"/>
      <c r="O68" s="846"/>
      <c r="P68" s="846"/>
      <c r="Q68" s="931">
        <f>IF(E68= "Select Type",0,IF(E68="",0,IF(J68="Year to Date",CONVERT_TO_MONTHLY(G68,J68,X62),CONVERT_TO_MONTHLY(G68,J68))*IF(LEFT(D64,2)="SE",D66,1)))</f>
        <v>0</v>
      </c>
      <c r="R68" s="47"/>
      <c r="S68" s="931">
        <f>Q68</f>
        <v>0</v>
      </c>
      <c r="T68" s="714"/>
      <c r="U68" s="1013"/>
      <c r="W68" s="931">
        <f>IF(LEFT(D64,2)="SE",IF(Y68=TRUE,Q68,0),Q68)</f>
        <v>0</v>
      </c>
      <c r="Y68" s="1022" t="b">
        <f>IF(H68="",IF(E68="",TRUE,VLOOKUP(E68,'Configurable Items'!$D$4734:$E$4758,2,FALSE)),IF(H68="Taxable",TRUE,FALSE))</f>
        <v>0</v>
      </c>
      <c r="Z68" s="1023">
        <f>IF(E68="Personal Tax Deduction",G68,0)</f>
        <v>0</v>
      </c>
      <c r="AB68" s="1020">
        <f>IF(Y68=TRUE,IF(LEFT(D64,2)="SE",S68,Q68),0)</f>
        <v>0</v>
      </c>
      <c r="AC68" s="1023">
        <f>IF(LEFT(D64,2)="SE",S68,Q68)</f>
        <v>0</v>
      </c>
      <c r="AD68" s="31"/>
      <c r="AE68" s="31"/>
      <c r="AJ68" s="31"/>
    </row>
    <row r="69" spans="2:42" ht="17.25" hidden="1" customHeight="1">
      <c r="B69" s="733"/>
      <c r="C69" s="1349" t="str">
        <f>D62</f>
        <v>Fan Jiang</v>
      </c>
      <c r="D69" s="845"/>
      <c r="E69" s="1348" t="s">
        <v>8977</v>
      </c>
      <c r="F69" s="928"/>
      <c r="G69" s="910"/>
      <c r="H69" s="930" t="str">
        <f>VLOOKUP(E69,'Configurable Items'!$D$4734:$F$4758,3,FALSE)</f>
        <v/>
      </c>
      <c r="I69" s="928"/>
      <c r="J69" s="1485" t="s">
        <v>20</v>
      </c>
      <c r="K69" s="1485"/>
      <c r="L69" s="1009"/>
      <c r="M69" s="1009"/>
      <c r="N69" s="846"/>
      <c r="O69" s="846"/>
      <c r="P69" s="846"/>
      <c r="Q69" s="931">
        <f>IF(E69= "Select Type",0,IF(E69="",0,IF(J69="Year to Date",CONVERT_TO_MONTHLY(G69,J69,X62),CONVERT_TO_MONTHLY(G69,J69))*IF(LEFT(D64,2)="SE",D66,1)))</f>
        <v>0</v>
      </c>
      <c r="R69" s="47"/>
      <c r="S69" s="931">
        <f>Q69</f>
        <v>0</v>
      </c>
      <c r="T69" s="714"/>
      <c r="U69" s="1013"/>
      <c r="W69" s="931">
        <f>IF(LEFT(D64,2)="SE",IF(Y69=TRUE,Q69,0),Q69)</f>
        <v>0</v>
      </c>
      <c r="Y69" s="1022" t="b">
        <f>IF(H69="",IF(E69="",TRUE,VLOOKUP(E69,'Configurable Items'!$D$4734:$E$4758,2,FALSE)),IF(H69="Taxable",TRUE,FALSE))</f>
        <v>0</v>
      </c>
      <c r="Z69" s="1023">
        <f>IF(E69="Personal Tax Deduction",G69,0)</f>
        <v>0</v>
      </c>
      <c r="AB69" s="1020">
        <f>IF(Y69=TRUE,IF(LEFT(D64,2)="SE",S69,Q69),0)</f>
        <v>0</v>
      </c>
      <c r="AC69" s="1023">
        <f>IF(LEFT(D64,2)="SE",S69,Q69)</f>
        <v>0</v>
      </c>
      <c r="AD69" s="31"/>
      <c r="AE69" s="31"/>
      <c r="AJ69" s="31"/>
    </row>
    <row r="70" spans="2:42" ht="17.25" hidden="1" customHeight="1">
      <c r="B70" s="733"/>
      <c r="C70" s="1349" t="str">
        <f>D62</f>
        <v>Fan Jiang</v>
      </c>
      <c r="D70" s="845"/>
      <c r="E70" s="1348" t="s">
        <v>8977</v>
      </c>
      <c r="F70" s="928"/>
      <c r="G70" s="910"/>
      <c r="H70" s="930" t="str">
        <f>VLOOKUP(E70,'Configurable Items'!$D$4734:$F$4758,3,FALSE)</f>
        <v/>
      </c>
      <c r="I70" s="928"/>
      <c r="J70" s="1485" t="s">
        <v>20</v>
      </c>
      <c r="K70" s="1485"/>
      <c r="L70" s="1009"/>
      <c r="M70" s="1009"/>
      <c r="N70" s="846"/>
      <c r="O70" s="918"/>
      <c r="P70" s="846"/>
      <c r="Q70" s="931">
        <f>IF(E70= "Select Type",0,IF(E70="",0,IF(J70="Year to Date",CONVERT_TO_MONTHLY(G70,J70,X62),
CONVERT_TO_MONTHLY(G70,J70))*AE70))</f>
        <v>0</v>
      </c>
      <c r="R70" s="47"/>
      <c r="S70" s="931">
        <f>Q70</f>
        <v>0</v>
      </c>
      <c r="T70" s="714"/>
      <c r="U70" s="1013"/>
      <c r="W70" s="931">
        <f>IF(LEFT(D64,2)="SE",IF(Y70=TRUE,Q70,0),Q70)</f>
        <v>0</v>
      </c>
      <c r="Y70" s="1022" t="b">
        <f>IF(H70="",IF(E70="",TRUE,VLOOKUP(E70,'Configurable Items'!$D$4734:$E$4758,2,FALSE)),IF(H70="Taxable",TRUE,FALSE))</f>
        <v>0</v>
      </c>
      <c r="Z70" s="1023">
        <f>IF(E70="Personal Tax Deduction",G70,0)</f>
        <v>0</v>
      </c>
      <c r="AB70" s="1020">
        <f>IF(Y70=TRUE,IF(LEFT(D64,2)="SE",S70,Q70),0)</f>
        <v>0</v>
      </c>
      <c r="AC70" s="1023">
        <f>IF(LEFT(D64,2)="SE",S70,Q70)</f>
        <v>0</v>
      </c>
      <c r="AD70" s="31"/>
      <c r="AE70" s="1375">
        <f>IF(OR(D64="SE - Partnership",D64="SE - Trust (Comp ATF)", D64 = "SE - Trust (Ind ATF)"),0,1)</f>
        <v>1</v>
      </c>
      <c r="AJ70" s="31"/>
    </row>
    <row r="71" spans="2:42" ht="17.25" customHeight="1">
      <c r="B71" s="733"/>
      <c r="C71" s="903"/>
      <c r="D71" s="1354"/>
      <c r="E71" s="859"/>
      <c r="F71" s="1376" t="str" cm="1">
        <f t="array" ref="F71">IF(Employment_Message(D64, D66, G62:G70, O62:O70,$AC$10, AE71)=0,"",Employment_Message(D64, D66, G62:G70, O62:O70,$AC$10, AE71))</f>
        <v/>
      </c>
      <c r="G71" s="861"/>
      <c r="H71" s="1009"/>
      <c r="I71" s="534"/>
      <c r="J71" s="534"/>
      <c r="K71" s="845"/>
      <c r="L71" s="1009"/>
      <c r="M71" s="1009"/>
      <c r="N71" s="846"/>
      <c r="O71" s="846"/>
      <c r="P71" s="846"/>
      <c r="Q71" s="861"/>
      <c r="R71" s="846"/>
      <c r="S71" s="861"/>
      <c r="T71" s="714"/>
      <c r="U71" s="736"/>
      <c r="W71" s="55"/>
      <c r="AD71" s="31"/>
      <c r="AE71" s="1375">
        <f>MIN(AE62:AE67)</f>
        <v>1</v>
      </c>
      <c r="AJ71" s="31"/>
    </row>
    <row r="72" spans="2:42" ht="17.25" hidden="1" customHeight="1">
      <c r="B72" s="733"/>
      <c r="C72" s="903"/>
      <c r="D72" s="1354"/>
      <c r="E72" s="859"/>
      <c r="F72" s="1376"/>
      <c r="G72" s="861"/>
      <c r="H72" s="1009"/>
      <c r="I72" s="534"/>
      <c r="J72" s="534"/>
      <c r="K72" s="845"/>
      <c r="L72" s="1009"/>
      <c r="M72" s="1009"/>
      <c r="N72" s="846"/>
      <c r="O72" s="846"/>
      <c r="P72" s="846"/>
      <c r="Q72" s="861"/>
      <c r="R72" s="846"/>
      <c r="S72" s="861"/>
      <c r="T72" s="714"/>
      <c r="U72" s="736"/>
      <c r="W72" s="55"/>
      <c r="AD72" s="31"/>
      <c r="AE72" s="1401"/>
      <c r="AJ72" s="31"/>
    </row>
    <row r="73" spans="2:42" ht="17.25" customHeight="1">
      <c r="B73" s="733"/>
      <c r="C73" s="713"/>
      <c r="D73" s="1355"/>
      <c r="E73" s="3"/>
      <c r="F73" s="3"/>
      <c r="G73" s="3"/>
      <c r="H73" s="3"/>
      <c r="I73" s="3"/>
      <c r="J73" s="3"/>
      <c r="K73" s="3"/>
      <c r="L73" s="1009"/>
      <c r="M73" s="1009"/>
      <c r="N73" s="3"/>
      <c r="O73" s="3"/>
      <c r="P73" s="3"/>
      <c r="Q73" s="56">
        <f t="array" ref="Q73">SUM(ROUND(Q18:Q72,2))</f>
        <v>113559.08</v>
      </c>
      <c r="R73" s="839"/>
      <c r="S73" s="56">
        <f t="array" ref="S73">SUM(ROUND(S18:S72,2))</f>
        <v>113559.08</v>
      </c>
      <c r="T73" s="714"/>
      <c r="U73" s="736"/>
      <c r="W73" s="54"/>
      <c r="AC73" s="56">
        <f t="array" ref="AC73">SUM(ROUND(AC18:AC72,2))</f>
        <v>113559.08</v>
      </c>
      <c r="AD73" s="31"/>
      <c r="AE73" s="31"/>
      <c r="AJ73" s="31"/>
    </row>
    <row r="74" spans="2:42" ht="16.5" customHeight="1">
      <c r="B74" s="733"/>
      <c r="C74" s="904"/>
      <c r="D74" s="7" t="s">
        <v>61</v>
      </c>
      <c r="G74" s="32"/>
      <c r="H74" s="32"/>
      <c r="I74" s="32"/>
      <c r="J74" s="32"/>
      <c r="K74" s="32"/>
      <c r="M74" s="34"/>
      <c r="N74" s="34"/>
      <c r="O74" s="34"/>
      <c r="P74" s="34"/>
      <c r="Q74" s="30"/>
      <c r="R74" s="66"/>
      <c r="S74" s="30"/>
      <c r="T74" s="714"/>
      <c r="U74" s="736"/>
      <c r="AA74" s="39" t="s">
        <v>62</v>
      </c>
      <c r="AB74" s="39" t="s">
        <v>63</v>
      </c>
      <c r="AC74" s="39"/>
      <c r="AD74" s="39" t="s">
        <v>64</v>
      </c>
      <c r="AE74" s="39"/>
      <c r="AF74" s="39" t="s">
        <v>65</v>
      </c>
      <c r="AG74" s="39" t="s">
        <v>66</v>
      </c>
      <c r="AH74" s="39"/>
      <c r="AJ74" s="31"/>
    </row>
    <row r="75" spans="2:42" ht="16.5" customHeight="1">
      <c r="B75" s="733"/>
      <c r="C75" s="713"/>
      <c r="D75" s="36" t="s">
        <v>41</v>
      </c>
      <c r="E75" s="36" t="s">
        <v>13</v>
      </c>
      <c r="F75" s="36" t="s">
        <v>67</v>
      </c>
      <c r="G75" s="36" t="s">
        <v>68</v>
      </c>
      <c r="H75" s="36" t="s">
        <v>15</v>
      </c>
      <c r="I75" s="36" t="s">
        <v>69</v>
      </c>
      <c r="J75" s="1482" t="s">
        <v>70</v>
      </c>
      <c r="K75" s="1482"/>
      <c r="L75" s="1482"/>
      <c r="M75" s="36" t="s">
        <v>71</v>
      </c>
      <c r="O75" s="850"/>
      <c r="P75" s="850"/>
      <c r="Q75" s="36" t="s">
        <v>47</v>
      </c>
      <c r="R75" s="850"/>
      <c r="S75" s="39" t="s">
        <v>48</v>
      </c>
      <c r="T75" s="714"/>
      <c r="U75" s="736"/>
      <c r="W75" s="39" t="s">
        <v>49</v>
      </c>
      <c r="X75" s="39" t="s">
        <v>54</v>
      </c>
      <c r="Y75" s="39" t="s">
        <v>72</v>
      </c>
      <c r="Z75" s="39" t="s">
        <v>73</v>
      </c>
      <c r="AA75" s="39"/>
      <c r="AB75" s="39" t="str">
        <f>IF($D$10="","",$D$10)</f>
        <v>Fan Jiang</v>
      </c>
      <c r="AC75" s="39" t="str">
        <f>IF($D$11="","",$D$11)</f>
        <v>Sifei Liu</v>
      </c>
      <c r="AD75" s="39" t="str">
        <f>IF($D$10="","",$D$10)</f>
        <v>Fan Jiang</v>
      </c>
      <c r="AE75" s="39" t="str">
        <f>IF($D$11="","",$D$11)</f>
        <v>Sifei Liu</v>
      </c>
      <c r="AF75" s="39"/>
      <c r="AG75" s="39" t="str">
        <f>IF($D$10="","",$D$10)</f>
        <v>Fan Jiang</v>
      </c>
      <c r="AH75" s="39" t="str">
        <f>IF($D$11="","",$D$11)</f>
        <v>Sifei Liu</v>
      </c>
      <c r="AI75" s="39" t="s">
        <v>74</v>
      </c>
      <c r="AJ75" s="36" t="s">
        <v>51</v>
      </c>
      <c r="AK75" s="36" t="s">
        <v>9105</v>
      </c>
      <c r="AL75" s="39" t="s">
        <v>9106</v>
      </c>
    </row>
    <row r="76" spans="2:42" ht="16.5" hidden="1" customHeight="1">
      <c r="B76" s="733"/>
      <c r="C76" s="713"/>
      <c r="D76" s="36"/>
      <c r="E76" s="24" t="s">
        <v>75</v>
      </c>
      <c r="F76" s="36"/>
      <c r="G76" s="36"/>
      <c r="H76" s="36"/>
      <c r="I76" s="36"/>
      <c r="J76" s="36"/>
      <c r="K76" s="36"/>
      <c r="N76" s="850"/>
      <c r="O76" s="850"/>
      <c r="P76" s="850"/>
      <c r="Q76" s="39"/>
      <c r="R76" s="47"/>
      <c r="S76" s="39"/>
      <c r="T76" s="714"/>
      <c r="U76" s="736"/>
      <c r="W76" s="32"/>
      <c r="X76" s="32"/>
      <c r="Y76" s="32"/>
      <c r="AB76" s="32"/>
      <c r="AC76" s="32"/>
      <c r="AD76" s="32"/>
      <c r="AE76" s="32"/>
      <c r="AJ76" s="36"/>
      <c r="AK76" s="36"/>
      <c r="AL76" s="36"/>
    </row>
    <row r="77" spans="2:42" ht="16.5" hidden="1" customHeight="1">
      <c r="B77" s="733"/>
      <c r="C77" s="713"/>
      <c r="D77" s="36"/>
      <c r="E77" s="24" t="s">
        <v>76</v>
      </c>
      <c r="F77" s="36"/>
      <c r="G77" s="36"/>
      <c r="H77" s="24" t="s">
        <v>16</v>
      </c>
      <c r="I77" s="36"/>
      <c r="J77" s="36"/>
      <c r="K77" s="36"/>
      <c r="N77" s="850"/>
      <c r="O77" s="850"/>
      <c r="P77" s="850"/>
      <c r="Q77" s="39"/>
      <c r="R77" s="47"/>
      <c r="S77" s="39"/>
      <c r="T77" s="714"/>
      <c r="U77" s="736"/>
      <c r="W77" s="32"/>
      <c r="X77" s="32"/>
      <c r="Y77" s="32"/>
      <c r="AB77" s="32"/>
      <c r="AC77" s="32"/>
      <c r="AD77" s="32"/>
      <c r="AE77" s="32"/>
      <c r="AJ77" s="36"/>
      <c r="AK77" s="36"/>
      <c r="AL77" s="36"/>
    </row>
    <row r="78" spans="2:42" ht="16.5" hidden="1" customHeight="1">
      <c r="B78" s="733"/>
      <c r="C78" s="713"/>
      <c r="D78" s="36"/>
      <c r="E78" s="24" t="s">
        <v>77</v>
      </c>
      <c r="F78" s="36"/>
      <c r="G78" s="36"/>
      <c r="H78" s="24" t="s">
        <v>17</v>
      </c>
      <c r="I78" s="36"/>
      <c r="J78" s="36"/>
      <c r="K78" s="36"/>
      <c r="N78" s="850"/>
      <c r="O78" s="850"/>
      <c r="P78" s="850"/>
      <c r="Q78" s="39"/>
      <c r="R78" s="47"/>
      <c r="S78" s="39"/>
      <c r="T78" s="714"/>
      <c r="U78" s="736"/>
      <c r="W78" s="32"/>
      <c r="X78" s="32"/>
      <c r="Y78" s="32"/>
      <c r="AB78" s="32"/>
      <c r="AC78" s="32"/>
      <c r="AD78" s="32"/>
      <c r="AE78" s="32"/>
      <c r="AJ78" s="36"/>
      <c r="AK78" s="36"/>
      <c r="AL78" s="36"/>
    </row>
    <row r="79" spans="2:42" ht="16.5" hidden="1" customHeight="1">
      <c r="B79" s="733"/>
      <c r="C79" s="713"/>
      <c r="D79" s="36"/>
      <c r="E79" s="24" t="s">
        <v>78</v>
      </c>
      <c r="F79" s="36"/>
      <c r="G79" s="36"/>
      <c r="H79" s="24" t="s">
        <v>3</v>
      </c>
      <c r="I79" s="36"/>
      <c r="J79" s="36"/>
      <c r="K79" s="36"/>
      <c r="N79" s="850"/>
      <c r="O79" s="850"/>
      <c r="P79" s="850"/>
      <c r="Q79" s="39"/>
      <c r="R79" s="47"/>
      <c r="S79" s="39"/>
      <c r="T79" s="714"/>
      <c r="U79" s="736"/>
      <c r="W79" s="32"/>
      <c r="X79" s="32"/>
      <c r="Y79" s="32"/>
      <c r="AB79" s="32"/>
      <c r="AC79" s="32"/>
      <c r="AD79" s="32"/>
      <c r="AE79" s="32"/>
      <c r="AJ79" s="36"/>
      <c r="AK79" s="36"/>
      <c r="AL79" s="36"/>
    </row>
    <row r="80" spans="2:42" ht="16.5" hidden="1" customHeight="1">
      <c r="B80" s="733"/>
      <c r="C80" s="713"/>
      <c r="D80" s="24"/>
      <c r="E80" s="24" t="s">
        <v>79</v>
      </c>
      <c r="F80" s="36"/>
      <c r="G80" s="36"/>
      <c r="H80" s="24" t="s">
        <v>18</v>
      </c>
      <c r="I80" s="36"/>
      <c r="J80" s="36"/>
      <c r="K80" s="36"/>
      <c r="N80" s="850"/>
      <c r="O80" s="850"/>
      <c r="P80" s="850"/>
      <c r="Q80" s="39"/>
      <c r="R80" s="47"/>
      <c r="S80" s="39"/>
      <c r="T80" s="714"/>
      <c r="U80" s="736"/>
      <c r="W80" s="32"/>
      <c r="X80" s="32"/>
      <c r="Y80" s="32"/>
      <c r="AB80" s="32"/>
      <c r="AC80" s="32"/>
      <c r="AD80" s="32"/>
      <c r="AE80" s="32"/>
      <c r="AJ80" s="36"/>
      <c r="AK80" s="36"/>
      <c r="AL80" s="36"/>
    </row>
    <row r="81" spans="2:38" ht="16.5" hidden="1" customHeight="1">
      <c r="B81" s="733"/>
      <c r="C81" s="713"/>
      <c r="D81" s="24" t="s">
        <v>58</v>
      </c>
      <c r="E81" s="24" t="s">
        <v>80</v>
      </c>
      <c r="F81" s="36"/>
      <c r="G81" s="36"/>
      <c r="H81" s="24" t="s">
        <v>2</v>
      </c>
      <c r="I81" s="36"/>
      <c r="J81" s="36"/>
      <c r="K81" s="36"/>
      <c r="N81" s="850"/>
      <c r="O81" s="850"/>
      <c r="P81" s="850"/>
      <c r="Q81" s="39"/>
      <c r="R81" s="47"/>
      <c r="S81" s="39"/>
      <c r="T81" s="714"/>
      <c r="U81" s="736"/>
      <c r="W81" s="32"/>
      <c r="X81" s="32"/>
      <c r="Y81" s="32"/>
      <c r="AB81" s="32"/>
      <c r="AC81" s="32"/>
      <c r="AD81" s="32"/>
      <c r="AE81" s="32"/>
      <c r="AJ81" s="36"/>
      <c r="AK81" s="36"/>
      <c r="AL81" s="36"/>
    </row>
    <row r="82" spans="2:38" ht="16.5" hidden="1" customHeight="1">
      <c r="B82" s="733"/>
      <c r="C82" s="713"/>
      <c r="D82" s="24" t="str">
        <f>IF($D$11="","Other",$D$11)</f>
        <v>Sifei Liu</v>
      </c>
      <c r="E82" s="24" t="s">
        <v>81</v>
      </c>
      <c r="F82" s="36"/>
      <c r="G82" s="36"/>
      <c r="H82" s="24" t="s">
        <v>19</v>
      </c>
      <c r="I82" s="36"/>
      <c r="J82" s="36"/>
      <c r="K82" s="36"/>
      <c r="N82" s="850"/>
      <c r="O82" s="850"/>
      <c r="P82" s="850"/>
      <c r="Q82" s="39"/>
      <c r="R82" s="47"/>
      <c r="S82" s="39"/>
      <c r="T82" s="714"/>
      <c r="U82" s="736"/>
      <c r="W82" s="32"/>
      <c r="X82" s="32"/>
      <c r="Y82" s="32"/>
      <c r="AB82" s="32"/>
      <c r="AC82" s="32"/>
      <c r="AD82" s="32"/>
      <c r="AE82" s="32"/>
      <c r="AJ82" s="36"/>
      <c r="AK82" s="36"/>
      <c r="AL82" s="36"/>
    </row>
    <row r="83" spans="2:38" ht="16.5" hidden="1" customHeight="1">
      <c r="B83" s="733"/>
      <c r="C83" s="713"/>
      <c r="D83" s="24" t="str">
        <f>$D$10</f>
        <v>Fan Jiang</v>
      </c>
      <c r="E83" s="24" t="s">
        <v>58</v>
      </c>
      <c r="F83" s="36"/>
      <c r="G83" s="36"/>
      <c r="H83" s="24" t="s">
        <v>20</v>
      </c>
      <c r="I83" s="36"/>
      <c r="J83" s="36"/>
      <c r="K83" s="36"/>
      <c r="N83" s="850"/>
      <c r="O83" s="850"/>
      <c r="P83" s="850"/>
      <c r="Q83" s="39"/>
      <c r="R83" s="47"/>
      <c r="S83" s="39"/>
      <c r="T83" s="714"/>
      <c r="U83" s="736"/>
      <c r="W83" s="32"/>
      <c r="X83" s="32"/>
      <c r="Y83" s="32"/>
      <c r="AB83" s="32"/>
      <c r="AC83" s="32"/>
      <c r="AD83" s="32"/>
      <c r="AE83" s="32"/>
      <c r="AJ83" s="36"/>
      <c r="AK83" s="36"/>
      <c r="AL83" s="36"/>
    </row>
    <row r="84" spans="2:38" ht="18" customHeight="1">
      <c r="B84" s="733"/>
      <c r="C84" s="713"/>
      <c r="D84" s="911"/>
      <c r="E84" s="912"/>
      <c r="F84" s="912"/>
      <c r="G84" s="910"/>
      <c r="H84" s="924"/>
      <c r="I84" s="910"/>
      <c r="J84" s="1488"/>
      <c r="K84" s="1488"/>
      <c r="L84" s="1488"/>
      <c r="M84" s="1484"/>
      <c r="N84" s="1484"/>
      <c r="O84" s="1484"/>
      <c r="P84" s="851">
        <v>4072025142449</v>
      </c>
      <c r="Q84" s="931">
        <f>Calculate_CSV_Incomes(ROW(E84), F84, G84, H84, AB84, AC84)</f>
        <v>0</v>
      </c>
      <c r="R84" s="47"/>
      <c r="S84" s="931">
        <f>(IF(ISBLANK(E84),0,Calculate_Income(D84,E84,F84,G84,H84,I84,"BAV",SUM($H$158:$H$159),AA84,Q84,AB84,AC84)))</f>
        <v>0</v>
      </c>
      <c r="T84" s="714"/>
      <c r="U84" s="736"/>
      <c r="W84" s="931">
        <f>HEM_INCOME(IF(E84="Overseas",F84,E84),Q84,S84,I84)</f>
        <v>0</v>
      </c>
      <c r="X84" s="931">
        <f>TAX_INCOME(IF(E84="Overseas",F84,E84), AJ84, Q84, Z84, I84,AF84)</f>
        <v>0</v>
      </c>
      <c r="Y84" s="931">
        <f>IF(E84="Overseas",
IF(F84="Interest",X84,
IF(F84="Dividends",X84,
IF(F84="Employment (Regular)",CONVERT_TO_MONTHLY(G84,H84),
IF(F84="Employment (Irregular)",CONVERT_TO_MONTHLY(G84,H84),
Q84)))),0)</f>
        <v>0</v>
      </c>
      <c r="Z84" s="931">
        <f>IF(OR(E84="Rent (Resi)",F84="Rent (Resi)",E84="Rent (Short Stay)",F84="Rent (Short Stay)"),MIN(CONVERT_TO_MONTHLY(I84*RENTAL_YIELD_CAP*(AB84+AC84),"Annually"),Q84),0)</f>
        <v>0</v>
      </c>
      <c r="AA84" s="934">
        <f>AD84*$H$158+AE84*$H$159</f>
        <v>0</v>
      </c>
      <c r="AB84" s="934">
        <f>IF(D84=$D$10,1,
IF(D84=$D$11,0,
IF(ISERR(SEARCH($D$10,D84)),0,
(MID(D84,LEN($D$10)+2,SEARCH("%",D84)-LEN($D$10)-2)/100))))</f>
        <v>0</v>
      </c>
      <c r="AC84" s="934">
        <f>IF($D$11="",0,IF(D84=$D$11,1,
IF(D84=$D$10,0,
IF(ISERR(SEARCH($D$11,D84)),0,
MID(D84,SEARCH($D$11,D84)+LEN($D$11)+1,LEN(D84)-(SEARCH($D$11,D84)+LEN($D$11)+1))/100))))</f>
        <v>0</v>
      </c>
      <c r="AD84" s="934">
        <f>IF(SUM(AB84:AC84)=0,0,AB84/SUM(AB84:AC84))</f>
        <v>0</v>
      </c>
      <c r="AE84" s="934">
        <f>IF(SUM(AB84:AC84)=0,0,AC84/SUM(AB84:AC84))</f>
        <v>0</v>
      </c>
      <c r="AF84" s="934">
        <f>AC84+AB84</f>
        <v>0</v>
      </c>
      <c r="AG84" s="940">
        <f>IF(Q84=0,0,AB84*AI84)</f>
        <v>0</v>
      </c>
      <c r="AH84" s="940">
        <f>IF(Q84=0,0,AE84*AI84)</f>
        <v>0</v>
      </c>
      <c r="AI84" s="931">
        <f>MAX(RESI_INVESTMENT_EXPENSE_SENSITIVITY_MULTIPLIER * Z84*12, J84)</f>
        <v>0</v>
      </c>
      <c r="AJ84" s="938" t="str">
        <f>IF(IF(ISBLANK(F84),IF(ISBLANK(E84),"",VLOOKUP(E84,'Configurable Items'!$D$4690:$G$4700,4,FALSE)),VLOOKUP(F84,'Configurable Items'!$E$4702:$F$4730,2,FALSE))=0,"",IF(ISBLANK(F84),IF(ISBLANK(E84),"",VLOOKUP(E84,'Configurable Items'!$D$4690:$G$4700,4,FALSE)),VLOOKUP(F84,'Configurable Items'!$E$4702:$F$4730,2,FALSE)))</f>
        <v/>
      </c>
      <c r="AK84" s="931">
        <f>MAX(RESI_INVESTMENT_EXPENSE_SENSITIVITY_MULTIPLIER * Z84,AL84)</f>
        <v>0</v>
      </c>
      <c r="AL84" s="931">
        <f>J84/12*AF84</f>
        <v>0</v>
      </c>
    </row>
    <row r="85" spans="2:38" ht="18" hidden="1" customHeight="1">
      <c r="B85" s="733"/>
      <c r="C85" s="713"/>
      <c r="D85" s="852"/>
      <c r="E85" s="57"/>
      <c r="F85" s="57"/>
      <c r="G85" s="55"/>
      <c r="H85" s="46"/>
      <c r="I85" s="57"/>
      <c r="J85" s="57"/>
      <c r="K85" s="58"/>
      <c r="Q85" s="854"/>
      <c r="R85" s="40"/>
      <c r="S85" s="854"/>
      <c r="T85" s="714"/>
      <c r="U85" s="736"/>
      <c r="AJ85" s="31"/>
    </row>
    <row r="86" spans="2:38" ht="18" customHeight="1">
      <c r="B86" s="733"/>
      <c r="C86" s="713"/>
      <c r="G86" s="32"/>
      <c r="H86" s="32"/>
      <c r="I86" s="32"/>
      <c r="J86" s="32"/>
      <c r="K86" s="32"/>
      <c r="M86" s="34"/>
      <c r="N86" s="34"/>
      <c r="O86" s="34"/>
      <c r="P86" s="34"/>
      <c r="Q86" s="56">
        <f t="array" ref="Q86">SUM(ROUND(Q84:Q85,2))</f>
        <v>0</v>
      </c>
      <c r="R86" s="987"/>
      <c r="S86" s="56">
        <f t="array" ref="S86">SUM(ROUND(S84:S85,2))</f>
        <v>0</v>
      </c>
      <c r="T86" s="714"/>
      <c r="U86" s="736"/>
      <c r="AC86" s="56">
        <f>Q86</f>
        <v>0</v>
      </c>
      <c r="AD86" s="31"/>
      <c r="AE86" s="31"/>
      <c r="AJ86" s="31"/>
    </row>
    <row r="87" spans="2:38" ht="16.5" customHeight="1">
      <c r="B87" s="733"/>
      <c r="C87" s="713"/>
      <c r="D87" s="161" t="s">
        <v>84</v>
      </c>
      <c r="G87" s="32"/>
      <c r="H87" s="32"/>
      <c r="I87" s="32"/>
      <c r="J87" s="32"/>
      <c r="L87" s="34"/>
      <c r="M87" s="34"/>
      <c r="N87" s="34"/>
      <c r="O87" s="34"/>
      <c r="P87" s="34"/>
      <c r="Q87" s="59">
        <f>SUM(Q73,Q86)</f>
        <v>113559.08</v>
      </c>
      <c r="R87" s="856"/>
      <c r="S87" s="59">
        <f>SUM(S73,S86)</f>
        <v>113559.08</v>
      </c>
      <c r="T87" s="901"/>
      <c r="U87" s="736"/>
      <c r="W87" s="54"/>
      <c r="X87" s="60"/>
      <c r="Z87" s="60"/>
      <c r="AA87" s="31"/>
      <c r="AB87" s="61"/>
      <c r="AC87" s="59">
        <f>SUM(AC73,AC86)</f>
        <v>113559.08</v>
      </c>
      <c r="AD87" s="31"/>
      <c r="AE87" s="31"/>
      <c r="AG87" s="54"/>
      <c r="AI87" s="54"/>
      <c r="AJ87" s="31"/>
      <c r="AK87" s="59">
        <f>SUM(AK84:AK86)</f>
        <v>0</v>
      </c>
      <c r="AL87" s="59">
        <f>SUM(AL84:AL86)</f>
        <v>0</v>
      </c>
    </row>
    <row r="88" spans="2:38" ht="7.5" customHeight="1">
      <c r="B88" s="733"/>
      <c r="C88" s="807"/>
      <c r="D88" s="961"/>
      <c r="E88" s="727"/>
      <c r="F88" s="727"/>
      <c r="G88" s="948"/>
      <c r="H88" s="948"/>
      <c r="I88" s="948"/>
      <c r="J88" s="948"/>
      <c r="K88" s="727"/>
      <c r="L88" s="715"/>
      <c r="M88" s="715"/>
      <c r="N88" s="715"/>
      <c r="O88" s="715"/>
      <c r="P88" s="715"/>
      <c r="Q88" s="949"/>
      <c r="R88" s="950"/>
      <c r="S88" s="949"/>
      <c r="T88" s="908"/>
      <c r="U88" s="736"/>
      <c r="W88" s="54"/>
      <c r="X88" s="60"/>
      <c r="Z88" s="60"/>
      <c r="AA88" s="31"/>
      <c r="AB88" s="61"/>
      <c r="AC88" s="59"/>
      <c r="AD88" s="31"/>
      <c r="AE88" s="31"/>
      <c r="AJ88" s="31"/>
    </row>
    <row r="89" spans="2:38" ht="7.5" customHeight="1">
      <c r="B89" s="733"/>
      <c r="C89" s="731"/>
      <c r="D89" s="963"/>
      <c r="E89" s="731"/>
      <c r="F89" s="731"/>
      <c r="G89" s="964"/>
      <c r="H89" s="964"/>
      <c r="I89" s="964"/>
      <c r="J89" s="964"/>
      <c r="K89" s="731"/>
      <c r="L89" s="731"/>
      <c r="M89" s="731"/>
      <c r="N89" s="731"/>
      <c r="O89" s="731"/>
      <c r="P89" s="731"/>
      <c r="Q89" s="965"/>
      <c r="R89" s="952"/>
      <c r="S89" s="965"/>
      <c r="T89" s="952"/>
      <c r="U89" s="736"/>
      <c r="AD89" s="31"/>
      <c r="AE89" s="31"/>
      <c r="AJ89" s="31"/>
    </row>
    <row r="90" spans="2:38" ht="17.25" customHeight="1">
      <c r="B90" s="733"/>
      <c r="C90" s="958" t="s">
        <v>85</v>
      </c>
      <c r="D90" s="735"/>
      <c r="E90" s="735"/>
      <c r="F90" s="735"/>
      <c r="G90" s="966"/>
      <c r="H90" s="967"/>
      <c r="I90" s="967"/>
      <c r="J90" s="967"/>
      <c r="K90" s="735"/>
      <c r="L90" s="735"/>
      <c r="M90" s="735"/>
      <c r="N90" s="735"/>
      <c r="O90" s="735"/>
      <c r="P90" s="735"/>
      <c r="Q90" s="968"/>
      <c r="R90" s="893"/>
      <c r="S90" s="968"/>
      <c r="T90" s="893"/>
      <c r="U90" s="736"/>
      <c r="AD90" s="31"/>
      <c r="AE90" s="31"/>
      <c r="AJ90" s="31"/>
    </row>
    <row r="91" spans="2:38" ht="7.5" customHeight="1">
      <c r="B91" s="733"/>
      <c r="C91" s="969"/>
      <c r="D91" s="743"/>
      <c r="E91" s="743"/>
      <c r="F91" s="743"/>
      <c r="G91" s="970"/>
      <c r="H91" s="971"/>
      <c r="I91" s="971"/>
      <c r="J91" s="971"/>
      <c r="K91" s="743"/>
      <c r="L91" s="743"/>
      <c r="M91" s="743"/>
      <c r="N91" s="743"/>
      <c r="O91" s="743"/>
      <c r="P91" s="743"/>
      <c r="Q91" s="972"/>
      <c r="R91" s="957"/>
      <c r="S91" s="972"/>
      <c r="T91" s="973"/>
      <c r="U91" s="736"/>
      <c r="AD91" s="31"/>
      <c r="AE91" s="31"/>
      <c r="AJ91" s="31"/>
    </row>
    <row r="92" spans="2:38" ht="17.25" customHeight="1">
      <c r="B92" s="733"/>
      <c r="C92" s="713"/>
      <c r="D92" s="858" t="s">
        <v>86</v>
      </c>
      <c r="G92" s="32"/>
      <c r="H92" s="32"/>
      <c r="I92" s="32"/>
      <c r="J92" s="32"/>
      <c r="K92" s="32"/>
      <c r="M92" s="34"/>
      <c r="N92" s="34"/>
      <c r="O92" s="34"/>
      <c r="P92" s="34"/>
      <c r="Q92" s="838"/>
      <c r="R92" s="493"/>
      <c r="S92" s="838"/>
      <c r="T92" s="714"/>
      <c r="U92" s="736"/>
      <c r="AA92" s="39" t="s">
        <v>87</v>
      </c>
      <c r="AB92" s="39" t="s">
        <v>63</v>
      </c>
      <c r="AC92" s="39"/>
      <c r="AD92" s="39" t="s">
        <v>64</v>
      </c>
      <c r="AE92" s="39"/>
      <c r="AF92" s="39" t="s">
        <v>65</v>
      </c>
      <c r="AG92" s="39"/>
      <c r="AH92" s="39" t="s">
        <v>8607</v>
      </c>
      <c r="AI92" s="39"/>
      <c r="AJ92" s="31"/>
    </row>
    <row r="93" spans="2:38" ht="17.25" customHeight="1">
      <c r="B93" s="733"/>
      <c r="C93" s="713"/>
      <c r="D93" s="36" t="s">
        <v>13</v>
      </c>
      <c r="E93" s="36" t="s">
        <v>88</v>
      </c>
      <c r="F93" s="36" t="s">
        <v>89</v>
      </c>
      <c r="G93" s="36" t="s">
        <v>8597</v>
      </c>
      <c r="H93" s="36" t="s">
        <v>90</v>
      </c>
      <c r="I93" s="36" t="s">
        <v>8648</v>
      </c>
      <c r="J93" s="1482" t="s">
        <v>8649</v>
      </c>
      <c r="K93" s="1482"/>
      <c r="L93" s="36" t="s">
        <v>92</v>
      </c>
      <c r="M93" s="36" t="s">
        <v>91</v>
      </c>
      <c r="N93" s="36" t="s">
        <v>15</v>
      </c>
      <c r="O93" s="36" t="s">
        <v>71</v>
      </c>
      <c r="P93" s="850"/>
      <c r="Q93" s="39" t="s">
        <v>93</v>
      </c>
      <c r="R93" s="47"/>
      <c r="S93" s="39" t="s">
        <v>94</v>
      </c>
      <c r="T93" s="714"/>
      <c r="U93" s="736"/>
      <c r="W93" s="39" t="str">
        <f>$D$10 &amp; " Deducation"</f>
        <v>Fan Jiang Deducation</v>
      </c>
      <c r="X93" s="39" t="str">
        <f>$D$11 &amp; " Deducation"</f>
        <v>Sifei Liu Deducation</v>
      </c>
      <c r="Y93" s="39" t="s">
        <v>8598</v>
      </c>
      <c r="Z93" s="39" t="s">
        <v>95</v>
      </c>
      <c r="AA93" s="39"/>
      <c r="AB93" s="39" t="str">
        <f>IF($D$10="","",$D$10)</f>
        <v>Fan Jiang</v>
      </c>
      <c r="AC93" s="39" t="str">
        <f>IF($D$11="","",$D$11)</f>
        <v>Sifei Liu</v>
      </c>
      <c r="AD93" s="39" t="str">
        <f>IF($D$10="","",$D$10)</f>
        <v>Fan Jiang</v>
      </c>
      <c r="AE93" s="39" t="str">
        <f>IF($D$11="","",$D$11)</f>
        <v>Sifei Liu</v>
      </c>
      <c r="AF93" s="39"/>
      <c r="AG93" s="39" t="s">
        <v>8627</v>
      </c>
      <c r="AH93" s="39" t="s">
        <v>8611</v>
      </c>
      <c r="AI93" s="39" t="s">
        <v>8610</v>
      </c>
      <c r="AK93" s="39" t="s">
        <v>8625</v>
      </c>
    </row>
    <row r="94" spans="2:38" ht="17.25" hidden="1" customHeight="1">
      <c r="B94" s="733"/>
      <c r="C94" s="713"/>
      <c r="D94" s="24" t="s">
        <v>96</v>
      </c>
      <c r="E94" s="36"/>
      <c r="F94" s="36"/>
      <c r="G94" s="36"/>
      <c r="H94" s="36"/>
      <c r="I94" s="36"/>
      <c r="J94" s="36"/>
      <c r="K94" s="36"/>
      <c r="L94" s="36"/>
      <c r="M94" s="36"/>
      <c r="N94" s="36"/>
      <c r="O94" s="34"/>
      <c r="P94" s="850"/>
      <c r="Q94" s="39"/>
      <c r="R94" s="47"/>
      <c r="S94" s="39"/>
      <c r="T94" s="714"/>
      <c r="U94" s="736"/>
      <c r="W94" s="32"/>
      <c r="X94" s="32"/>
      <c r="Y94" s="32"/>
      <c r="Z94" s="32"/>
      <c r="AB94" s="32"/>
      <c r="AC94" s="32"/>
      <c r="AD94" s="32"/>
      <c r="AE94" s="32"/>
    </row>
    <row r="95" spans="2:38" ht="17.25" hidden="1" customHeight="1">
      <c r="B95" s="733"/>
      <c r="C95" s="713"/>
      <c r="D95" s="24" t="s">
        <v>97</v>
      </c>
      <c r="E95" s="36"/>
      <c r="F95" s="36"/>
      <c r="G95" s="36"/>
      <c r="H95" s="36"/>
      <c r="I95" s="36"/>
      <c r="J95" s="36"/>
      <c r="K95" s="36"/>
      <c r="L95" s="36"/>
      <c r="M95" s="36"/>
      <c r="N95" s="24"/>
      <c r="O95" s="34"/>
      <c r="P95" s="850"/>
      <c r="Q95" s="39"/>
      <c r="R95" s="47"/>
      <c r="S95" s="39"/>
      <c r="T95" s="714"/>
      <c r="U95" s="736"/>
      <c r="W95" s="32"/>
      <c r="X95" s="32"/>
      <c r="Y95" s="32"/>
      <c r="Z95" s="32"/>
      <c r="AB95" s="32"/>
      <c r="AC95" s="32"/>
      <c r="AD95" s="32"/>
      <c r="AE95" s="32"/>
    </row>
    <row r="96" spans="2:38" ht="17.25" hidden="1" customHeight="1">
      <c r="B96" s="733"/>
      <c r="C96" s="713"/>
      <c r="D96" s="24" t="s">
        <v>98</v>
      </c>
      <c r="E96" s="36"/>
      <c r="F96" s="36"/>
      <c r="G96" s="36"/>
      <c r="H96" s="36"/>
      <c r="I96" s="36"/>
      <c r="J96" s="36"/>
      <c r="K96" s="36"/>
      <c r="L96" s="36"/>
      <c r="M96" s="36"/>
      <c r="N96" s="24" t="s">
        <v>16</v>
      </c>
      <c r="O96" s="34"/>
      <c r="P96" s="850"/>
      <c r="Q96" s="39"/>
      <c r="R96" s="47"/>
      <c r="S96" s="39"/>
      <c r="T96" s="714"/>
      <c r="U96" s="736"/>
      <c r="W96" s="32"/>
      <c r="X96" s="32"/>
      <c r="Y96" s="32"/>
      <c r="Z96" s="32"/>
      <c r="AB96" s="32"/>
      <c r="AC96" s="32"/>
      <c r="AD96" s="32"/>
      <c r="AE96" s="32"/>
    </row>
    <row r="97" spans="2:39" ht="17.25" hidden="1" customHeight="1">
      <c r="B97" s="733"/>
      <c r="C97" s="713"/>
      <c r="D97" s="24" t="s">
        <v>99</v>
      </c>
      <c r="E97" s="36"/>
      <c r="F97" s="36"/>
      <c r="G97" s="36"/>
      <c r="H97" s="36"/>
      <c r="I97" s="36"/>
      <c r="J97" s="36"/>
      <c r="K97" s="36"/>
      <c r="L97" s="36"/>
      <c r="M97" s="36"/>
      <c r="N97" s="24" t="s">
        <v>17</v>
      </c>
      <c r="O97" s="34"/>
      <c r="P97" s="850"/>
      <c r="Q97" s="39"/>
      <c r="R97" s="47"/>
      <c r="S97" s="39"/>
      <c r="T97" s="714"/>
      <c r="U97" s="736"/>
      <c r="W97" s="32"/>
      <c r="X97" s="32"/>
      <c r="Y97" s="32"/>
      <c r="Z97" s="32"/>
      <c r="AB97" s="32"/>
      <c r="AC97" s="32"/>
      <c r="AD97" s="32"/>
      <c r="AE97" s="32"/>
    </row>
    <row r="98" spans="2:39" ht="17.25" hidden="1" customHeight="1">
      <c r="B98" s="733"/>
      <c r="C98" s="713"/>
      <c r="D98" s="24" t="s">
        <v>100</v>
      </c>
      <c r="E98" s="36"/>
      <c r="F98" s="36"/>
      <c r="G98" s="36"/>
      <c r="H98" s="36"/>
      <c r="I98" s="36"/>
      <c r="J98" s="36"/>
      <c r="K98" s="36"/>
      <c r="L98" s="36"/>
      <c r="M98" s="36"/>
      <c r="N98" s="24" t="s">
        <v>3</v>
      </c>
      <c r="O98" s="34"/>
      <c r="P98" s="850"/>
      <c r="Q98" s="39"/>
      <c r="R98" s="47"/>
      <c r="S98" s="39"/>
      <c r="T98" s="714"/>
      <c r="U98" s="736"/>
      <c r="W98" s="32"/>
      <c r="X98" s="32"/>
      <c r="Y98" s="32"/>
      <c r="Z98" s="32"/>
      <c r="AB98" s="32"/>
      <c r="AC98" s="32"/>
      <c r="AD98" s="32"/>
      <c r="AE98" s="32"/>
    </row>
    <row r="99" spans="2:39" ht="17.25" hidden="1" customHeight="1">
      <c r="B99" s="733"/>
      <c r="C99" s="713"/>
      <c r="D99" s="24"/>
      <c r="E99" s="36"/>
      <c r="F99" s="36"/>
      <c r="G99" s="24"/>
      <c r="H99" s="36"/>
      <c r="I99" s="36"/>
      <c r="J99" s="36"/>
      <c r="K99" s="36"/>
      <c r="L99" s="36"/>
      <c r="M99" s="36"/>
      <c r="N99" s="24"/>
      <c r="O99" s="34"/>
      <c r="P99" s="850"/>
      <c r="Q99" s="39"/>
      <c r="R99" s="47"/>
      <c r="S99" s="39"/>
      <c r="T99" s="714"/>
      <c r="U99" s="736"/>
      <c r="W99" s="32"/>
      <c r="X99" s="32"/>
      <c r="Y99" s="32"/>
      <c r="Z99" s="32"/>
      <c r="AB99" s="32"/>
      <c r="AC99" s="32"/>
      <c r="AD99" s="32"/>
      <c r="AE99" s="32"/>
    </row>
    <row r="100" spans="2:39" ht="17.25" hidden="1" customHeight="1">
      <c r="B100" s="733"/>
      <c r="C100" s="713"/>
      <c r="D100" s="24" t="s">
        <v>102</v>
      </c>
      <c r="E100" s="36"/>
      <c r="F100" s="36"/>
      <c r="G100" s="24" t="s">
        <v>58</v>
      </c>
      <c r="H100" s="36"/>
      <c r="I100" s="36"/>
      <c r="J100" s="36"/>
      <c r="K100" s="36"/>
      <c r="L100" s="36"/>
      <c r="M100" s="36"/>
      <c r="N100" s="24" t="s">
        <v>2</v>
      </c>
      <c r="O100" s="34"/>
      <c r="P100" s="850"/>
      <c r="Q100" s="39"/>
      <c r="R100" s="47"/>
      <c r="S100" s="39"/>
      <c r="T100" s="714"/>
      <c r="U100" s="736"/>
      <c r="W100" s="32"/>
      <c r="X100" s="32"/>
      <c r="Y100" s="32"/>
      <c r="Z100" s="32"/>
      <c r="AB100" s="32"/>
      <c r="AC100" s="32"/>
      <c r="AD100" s="32"/>
      <c r="AE100" s="32"/>
    </row>
    <row r="101" spans="2:39" ht="17.25" hidden="1" customHeight="1">
      <c r="B101" s="733"/>
      <c r="C101" s="713"/>
      <c r="D101" s="24" t="s">
        <v>103</v>
      </c>
      <c r="E101" s="24" t="b">
        <v>1</v>
      </c>
      <c r="F101" s="24" t="b">
        <v>1</v>
      </c>
      <c r="G101" s="24" t="str">
        <f>IF($D$11="","Other",$D$11)</f>
        <v>Sifei Liu</v>
      </c>
      <c r="H101" s="36"/>
      <c r="I101" s="36"/>
      <c r="J101" s="36"/>
      <c r="K101" s="36"/>
      <c r="L101" s="36"/>
      <c r="M101" s="36"/>
      <c r="N101" s="24" t="s">
        <v>19</v>
      </c>
      <c r="O101" s="34"/>
      <c r="P101" s="850"/>
      <c r="Q101" s="39"/>
      <c r="R101" s="47"/>
      <c r="S101" s="39"/>
      <c r="T101" s="714"/>
      <c r="U101" s="736"/>
      <c r="W101" s="32"/>
      <c r="X101" s="32"/>
      <c r="Y101" s="32"/>
      <c r="Z101" s="32"/>
      <c r="AB101" s="32"/>
      <c r="AC101" s="32"/>
      <c r="AD101" s="32"/>
      <c r="AE101" s="32"/>
    </row>
    <row r="102" spans="2:39" ht="17.25" hidden="1" customHeight="1">
      <c r="B102" s="733"/>
      <c r="C102" s="713"/>
      <c r="D102" s="24" t="s">
        <v>104</v>
      </c>
      <c r="E102" s="24" t="b">
        <v>0</v>
      </c>
      <c r="F102" s="24" t="b">
        <v>0</v>
      </c>
      <c r="G102" s="24" t="str">
        <f>$D$10</f>
        <v>Fan Jiang</v>
      </c>
      <c r="H102" s="36"/>
      <c r="I102" s="36"/>
      <c r="J102" s="36"/>
      <c r="K102" s="36"/>
      <c r="L102" s="36"/>
      <c r="M102" s="36"/>
      <c r="N102" s="24" t="s">
        <v>20</v>
      </c>
      <c r="O102" s="34"/>
      <c r="P102" s="850"/>
      <c r="Q102" s="39"/>
      <c r="R102" s="47"/>
      <c r="S102" s="39"/>
      <c r="T102" s="714"/>
      <c r="U102" s="736"/>
      <c r="W102" s="32"/>
      <c r="X102" s="32"/>
      <c r="Y102" s="32"/>
      <c r="Z102" s="32"/>
      <c r="AB102" s="32"/>
      <c r="AC102" s="32"/>
      <c r="AD102" s="32"/>
      <c r="AE102" s="32"/>
    </row>
    <row r="103" spans="2:39" ht="17.25" customHeight="1">
      <c r="B103" s="733"/>
      <c r="C103" s="713"/>
      <c r="D103" s="912" t="s">
        <v>99</v>
      </c>
      <c r="E103" s="718"/>
      <c r="F103" s="928"/>
      <c r="G103" s="911"/>
      <c r="H103" s="910">
        <v>15000</v>
      </c>
      <c r="I103" s="1351"/>
      <c r="J103" s="933"/>
      <c r="K103" s="933"/>
      <c r="L103" s="1422"/>
      <c r="M103" s="1351"/>
      <c r="N103" s="935"/>
      <c r="O103" s="912"/>
      <c r="P103" s="850"/>
      <c r="Q103" s="931">
        <f>IF(ISBLANK(D103),0,Calculate_Repayment(D103, E103, H103, M103, N103, J103, K103, L103, FALSE))*(AB103+AC103)</f>
        <v>0</v>
      </c>
      <c r="R103" s="47"/>
      <c r="S103" s="931">
        <f>IF(ISBLANK(D103),0,Calculate_Repayment(D103, E103, H103+I103, M103, N103, J103, K103, L103, TRUE))*(AA103)</f>
        <v>0</v>
      </c>
      <c r="T103" s="714"/>
      <c r="U103" s="736"/>
      <c r="W103" s="931">
        <f>IF(AND($F103=TRUE,OR($D103="Home Loan",$D103="Residential Inv Loan",$D103="Property Line of Credit"),'Internal Ref'!$J$236&gt;0),
IF($L103="",RIL_INDEX_RATE*$H103*AB103,$L103*$H103*AB103),0)</f>
        <v>0</v>
      </c>
      <c r="X103" s="931">
        <f>IF(AND($F103=TRUE,OR($D103="Home Loan",$D103="Residential Inv Loan",$D103="Property Line of Credit"),'Internal Ref'!$J$236&gt;0),
IF($L103="",RIL_INDEX_RATE*$H103*AC103,$L103*$H103*AC103),0)</f>
        <v>0</v>
      </c>
      <c r="Y103" s="931" t="e">
        <f ca="1">VLOOKUP(G103,INDIRECT('Internal Ref'!$G$244),2,FALSE)</f>
        <v>#N/A</v>
      </c>
      <c r="Z103" s="931">
        <f>W103+X103</f>
        <v>0</v>
      </c>
      <c r="AA103" s="934">
        <f>IF(ISERR(SEARCH("^",G103)),AB103+AC103,1)</f>
        <v>0</v>
      </c>
      <c r="AB103" s="934">
        <f>IF(G103=$D$10,1,
IF(G103=$D$11,0,
IF(ISERR(SEARCH($D$10,G103)),0,
(MID(G103,LEN($D$10)+2,SEARCH("%",G103)-LEN($D$10)-2)/100))))</f>
        <v>0</v>
      </c>
      <c r="AC103" s="934">
        <f>IF($D$11="",0,IF(G103=$D$11,1,
IF(G103=$D$10,0,
IF(ISERR(SEARCH($D$11,G103)),0,
MID(G103,SEARCH($D$11,G103)+LEN($D$11)+1,LEN(G103)-(SEARCH($D$11,G103)+LEN($D$11)+IF(ISERR(SEARCH("^",G103)),1,2)))/100))))</f>
        <v>0</v>
      </c>
      <c r="AD103" s="934">
        <f>IF(SUM(AB103:AC103)=0,0,AB103/SUM(AB103:AC103))</f>
        <v>0</v>
      </c>
      <c r="AE103" s="934">
        <f>IF(SUM(AB103:AC103)=0,0,AC103/SUM(AB103:AC103))</f>
        <v>0</v>
      </c>
      <c r="AF103" s="934">
        <f>AC103+AB103</f>
        <v>0</v>
      </c>
      <c r="AG103" s="938">
        <f>IF(AH103="",0,IF(LEN(AH103)-LEN(SUBSTITUTE(AH103,"|",""))=0,"1^",LEN(AH103)-LEN(SUBSTITUTE(AH103,"|",""))))</f>
        <v>0</v>
      </c>
      <c r="AH103" s="930"/>
      <c r="AI103" s="930" t="e">
        <f ca="1">VLOOKUP(G103,INDIRECT('Internal Ref'!$G$244),4,FALSE)</f>
        <v>#N/A</v>
      </c>
      <c r="AK103" s="1474" t="str" cm="1">
        <f t="array" ref="AK103">LinkedSecurities($AB$11,AH103,AG103,"Security",$AD$10+$AD$11+$AD$12)</f>
        <v/>
      </c>
      <c r="AL103" s="1475"/>
      <c r="AM103" s="1476"/>
    </row>
    <row r="104" spans="2:39" ht="2.25" customHeight="1">
      <c r="B104" s="733"/>
      <c r="C104" s="713"/>
      <c r="D104" s="859"/>
      <c r="E104" s="534"/>
      <c r="F104" s="988"/>
      <c r="G104" s="534"/>
      <c r="H104" s="861"/>
      <c r="I104" s="861"/>
      <c r="J104" s="861"/>
      <c r="K104" s="862"/>
      <c r="L104" s="863"/>
      <c r="M104" s="863"/>
      <c r="N104" s="62"/>
      <c r="O104" s="62"/>
      <c r="P104" s="846"/>
      <c r="Q104" s="847"/>
      <c r="R104" s="848"/>
      <c r="S104" s="847"/>
      <c r="T104" s="714"/>
      <c r="U104" s="736"/>
      <c r="AD104" s="31"/>
      <c r="AE104" s="31"/>
      <c r="AJ104" s="31"/>
    </row>
    <row r="105" spans="2:39" ht="17.25" customHeight="1">
      <c r="B105" s="733"/>
      <c r="C105" s="713"/>
      <c r="G105" s="32"/>
      <c r="H105" s="32"/>
      <c r="I105" s="32"/>
      <c r="J105" s="32"/>
      <c r="K105" s="32"/>
      <c r="M105" s="34"/>
      <c r="P105" s="34"/>
      <c r="Q105" s="56">
        <f t="array" ref="Q105">SUM(ROUND(Q103:Q104,2))</f>
        <v>0</v>
      </c>
      <c r="R105" s="834"/>
      <c r="S105" s="56">
        <f t="array" ref="S105">SUM(ROUND(S103:S104,2))</f>
        <v>0</v>
      </c>
      <c r="T105" s="714"/>
      <c r="U105" s="736"/>
      <c r="W105" s="54"/>
      <c r="AD105" s="31"/>
      <c r="AE105" s="31"/>
      <c r="AJ105" s="31"/>
    </row>
    <row r="106" spans="2:39" ht="17.25" customHeight="1">
      <c r="B106" s="733"/>
      <c r="C106" s="713"/>
      <c r="D106" s="858"/>
      <c r="M106" s="34"/>
      <c r="N106" s="34"/>
      <c r="O106" s="34"/>
      <c r="P106" s="34"/>
      <c r="Q106" s="838"/>
      <c r="R106" s="493"/>
      <c r="S106" s="838"/>
      <c r="T106" s="714"/>
      <c r="U106" s="736"/>
      <c r="AD106" s="31"/>
      <c r="AE106" s="31"/>
      <c r="AJ106" s="31"/>
    </row>
    <row r="107" spans="2:39" ht="17.25" customHeight="1">
      <c r="B107" s="733"/>
      <c r="C107" s="713"/>
      <c r="D107" s="858" t="s">
        <v>106</v>
      </c>
      <c r="M107" s="34"/>
      <c r="N107" s="34"/>
      <c r="O107" s="34"/>
      <c r="P107" s="34"/>
      <c r="Q107" s="40"/>
      <c r="R107" s="40"/>
      <c r="S107" s="40"/>
      <c r="T107" s="714"/>
      <c r="U107" s="736"/>
      <c r="W107" s="32"/>
      <c r="AD107" s="31"/>
      <c r="AE107" s="31"/>
      <c r="AJ107" s="31"/>
    </row>
    <row r="108" spans="2:39" ht="17.25" customHeight="1">
      <c r="B108" s="733"/>
      <c r="C108" s="713"/>
      <c r="D108" s="36" t="s">
        <v>13</v>
      </c>
      <c r="E108" s="36" t="s">
        <v>14</v>
      </c>
      <c r="F108" s="36" t="s">
        <v>15</v>
      </c>
      <c r="G108" s="846"/>
      <c r="H108" s="36" t="s">
        <v>13</v>
      </c>
      <c r="I108" s="36" t="s">
        <v>14</v>
      </c>
      <c r="J108" s="1482" t="s">
        <v>15</v>
      </c>
      <c r="K108" s="1482"/>
      <c r="M108" s="34"/>
      <c r="N108" s="34"/>
      <c r="O108" s="34"/>
      <c r="P108" s="34"/>
      <c r="Q108" s="39" t="s">
        <v>93</v>
      </c>
      <c r="R108" s="47"/>
      <c r="S108" s="39" t="s">
        <v>94</v>
      </c>
      <c r="T108" s="714"/>
      <c r="U108" s="736"/>
      <c r="W108" s="39" t="s">
        <v>93</v>
      </c>
      <c r="X108" s="39"/>
      <c r="Y108" s="34"/>
      <c r="AD108" s="31"/>
      <c r="AE108" s="31"/>
      <c r="AJ108" s="31"/>
    </row>
    <row r="109" spans="2:39" ht="17.25" hidden="1" customHeight="1">
      <c r="B109" s="733"/>
      <c r="C109" s="713"/>
      <c r="D109" s="36"/>
      <c r="E109" s="36"/>
      <c r="F109" s="24" t="s">
        <v>16</v>
      </c>
      <c r="G109" s="846"/>
      <c r="H109" s="36"/>
      <c r="I109" s="36"/>
      <c r="J109" s="36"/>
      <c r="K109" s="24" t="s">
        <v>16</v>
      </c>
      <c r="M109" s="34"/>
      <c r="N109" s="34"/>
      <c r="O109" s="34"/>
      <c r="P109" s="34"/>
      <c r="Q109" s="864"/>
      <c r="R109" s="865"/>
      <c r="S109" s="864"/>
      <c r="T109" s="714"/>
      <c r="U109" s="736"/>
      <c r="Y109" s="34"/>
      <c r="AD109" s="31"/>
      <c r="AE109" s="31"/>
      <c r="AJ109" s="31"/>
    </row>
    <row r="110" spans="2:39" ht="17.25" hidden="1" customHeight="1">
      <c r="B110" s="733"/>
      <c r="C110" s="713"/>
      <c r="D110" s="36"/>
      <c r="E110" s="36"/>
      <c r="F110" s="24" t="s">
        <v>17</v>
      </c>
      <c r="G110" s="846"/>
      <c r="H110" s="36"/>
      <c r="I110" s="36"/>
      <c r="J110" s="36"/>
      <c r="K110" s="24" t="s">
        <v>17</v>
      </c>
      <c r="M110" s="34"/>
      <c r="N110" s="34"/>
      <c r="O110" s="34"/>
      <c r="P110" s="34"/>
      <c r="Q110" s="864"/>
      <c r="R110" s="865"/>
      <c r="S110" s="864"/>
      <c r="T110" s="714"/>
      <c r="U110" s="736"/>
      <c r="Y110" s="34"/>
      <c r="AD110" s="31"/>
      <c r="AE110" s="31"/>
      <c r="AJ110" s="31"/>
    </row>
    <row r="111" spans="2:39" ht="17.25" hidden="1" customHeight="1">
      <c r="B111" s="733"/>
      <c r="C111" s="713"/>
      <c r="D111" s="36"/>
      <c r="E111" s="36"/>
      <c r="F111" s="24" t="s">
        <v>3</v>
      </c>
      <c r="G111" s="846"/>
      <c r="H111" s="36"/>
      <c r="I111" s="36"/>
      <c r="J111" s="36"/>
      <c r="K111" s="24" t="s">
        <v>3</v>
      </c>
      <c r="M111" s="34"/>
      <c r="N111" s="34"/>
      <c r="O111" s="34"/>
      <c r="P111" s="34"/>
      <c r="Q111" s="864"/>
      <c r="R111" s="865"/>
      <c r="S111" s="864"/>
      <c r="T111" s="714"/>
      <c r="U111" s="736"/>
      <c r="Y111" s="34"/>
      <c r="AD111" s="31"/>
      <c r="AE111" s="31"/>
      <c r="AJ111" s="31"/>
    </row>
    <row r="112" spans="2:39" ht="17.25" hidden="1" customHeight="1">
      <c r="B112" s="733"/>
      <c r="C112" s="713"/>
      <c r="D112" s="36"/>
      <c r="E112" s="36"/>
      <c r="F112" s="24" t="s">
        <v>18</v>
      </c>
      <c r="G112" s="846"/>
      <c r="H112" s="36"/>
      <c r="I112" s="36"/>
      <c r="J112" s="36"/>
      <c r="K112" s="24" t="s">
        <v>18</v>
      </c>
      <c r="M112" s="34"/>
      <c r="N112" s="34"/>
      <c r="O112" s="34"/>
      <c r="P112" s="34"/>
      <c r="Q112" s="864"/>
      <c r="R112" s="865"/>
      <c r="S112" s="864"/>
      <c r="T112" s="714"/>
      <c r="U112" s="736"/>
      <c r="Y112" s="34"/>
      <c r="AD112" s="31"/>
      <c r="AE112" s="31"/>
      <c r="AJ112" s="31"/>
    </row>
    <row r="113" spans="2:42" ht="17.25" hidden="1" customHeight="1">
      <c r="B113" s="733"/>
      <c r="C113" s="713"/>
      <c r="D113" s="36"/>
      <c r="E113" s="36"/>
      <c r="F113" s="24" t="s">
        <v>2</v>
      </c>
      <c r="G113" s="846"/>
      <c r="H113" s="36"/>
      <c r="I113" s="36"/>
      <c r="J113" s="36"/>
      <c r="K113" s="24" t="s">
        <v>2</v>
      </c>
      <c r="M113" s="34"/>
      <c r="N113" s="34"/>
      <c r="O113" s="34"/>
      <c r="P113" s="34"/>
      <c r="Q113" s="864"/>
      <c r="R113" s="865"/>
      <c r="S113" s="864"/>
      <c r="T113" s="714"/>
      <c r="U113" s="736"/>
      <c r="Y113" s="34"/>
      <c r="AD113" s="31"/>
      <c r="AE113" s="31"/>
      <c r="AJ113" s="31"/>
      <c r="AN113" s="1">
        <v>0</v>
      </c>
      <c r="AP113" s="1" t="b">
        <v>0</v>
      </c>
    </row>
    <row r="114" spans="2:42" ht="17.25" hidden="1" customHeight="1">
      <c r="B114" s="733"/>
      <c r="C114" s="713"/>
      <c r="D114" s="36"/>
      <c r="E114" s="36"/>
      <c r="F114" s="24" t="s">
        <v>19</v>
      </c>
      <c r="G114" s="846"/>
      <c r="H114" s="36"/>
      <c r="I114" s="36"/>
      <c r="J114" s="36"/>
      <c r="K114" s="24" t="s">
        <v>19</v>
      </c>
      <c r="M114" s="34"/>
      <c r="N114" s="34"/>
      <c r="O114" s="34"/>
      <c r="P114" s="34"/>
      <c r="Q114" s="864"/>
      <c r="R114" s="865"/>
      <c r="S114" s="864"/>
      <c r="T114" s="714"/>
      <c r="U114" s="736"/>
      <c r="Y114" s="34"/>
      <c r="AD114" s="31"/>
      <c r="AE114" s="31"/>
      <c r="AJ114" s="31"/>
    </row>
    <row r="115" spans="2:42" ht="17.25" hidden="1" customHeight="1">
      <c r="B115" s="733"/>
      <c r="C115" s="713"/>
      <c r="D115" s="36"/>
      <c r="E115" s="36"/>
      <c r="F115" s="24" t="s">
        <v>20</v>
      </c>
      <c r="G115" s="846"/>
      <c r="H115" s="36"/>
      <c r="I115" s="36"/>
      <c r="J115" s="36"/>
      <c r="K115" s="24" t="s">
        <v>20</v>
      </c>
      <c r="M115" s="34"/>
      <c r="N115" s="34"/>
      <c r="O115" s="34"/>
      <c r="P115" s="34"/>
      <c r="Q115" s="864"/>
      <c r="R115" s="865"/>
      <c r="S115" s="864"/>
      <c r="T115" s="714"/>
      <c r="U115" s="736"/>
      <c r="Y115" s="34"/>
      <c r="AD115" s="31"/>
      <c r="AE115" s="31"/>
      <c r="AJ115" s="31"/>
    </row>
    <row r="116" spans="2:42" ht="17.25" customHeight="1">
      <c r="B116" s="733"/>
      <c r="C116" s="713"/>
      <c r="D116" s="935" t="s">
        <v>9087</v>
      </c>
      <c r="E116" s="910">
        <v>780</v>
      </c>
      <c r="F116" s="924" t="s">
        <v>3</v>
      </c>
      <c r="G116" s="846"/>
      <c r="H116" s="935" t="s">
        <v>107</v>
      </c>
      <c r="I116" s="910">
        <v>500</v>
      </c>
      <c r="J116" s="1484" t="s">
        <v>3</v>
      </c>
      <c r="K116" s="1484"/>
      <c r="M116" s="34"/>
      <c r="N116" s="34"/>
      <c r="O116" s="34"/>
      <c r="P116" s="34"/>
      <c r="Q116" s="931">
        <f>SUM(W108:X121)</f>
        <v>4880</v>
      </c>
      <c r="R116" s="47"/>
      <c r="S116" s="931">
        <f>IF(D10="",0,MAX(Q116,HEM_RATE(IF(ISBLANK(D11),"Single GROSS","Couple GROSS"),SUM(F158:F159),E10+E11,IF(D11="",G10,""))))</f>
        <v>6772</v>
      </c>
      <c r="T116" s="714"/>
      <c r="U116" s="736"/>
      <c r="W116" s="931">
        <f t="shared" ref="W116:W121" si="0">CONVERT_TO_MONTHLY(E116,F116)</f>
        <v>780</v>
      </c>
      <c r="X116" s="931">
        <f t="shared" ref="X116:X121" si="1">CONVERT_TO_MONTHLY(I116,J116)</f>
        <v>500</v>
      </c>
      <c r="AD116" s="31"/>
      <c r="AE116" s="31"/>
      <c r="AJ116" s="31"/>
    </row>
    <row r="117" spans="2:42" ht="17.25" customHeight="1">
      <c r="B117" s="733"/>
      <c r="C117" s="713"/>
      <c r="D117" s="935" t="s">
        <v>108</v>
      </c>
      <c r="E117" s="910">
        <v>200</v>
      </c>
      <c r="F117" s="924" t="s">
        <v>3</v>
      </c>
      <c r="G117" s="846"/>
      <c r="H117" s="935" t="s">
        <v>109</v>
      </c>
      <c r="I117" s="910"/>
      <c r="J117" s="1484" t="s">
        <v>3</v>
      </c>
      <c r="K117" s="1484"/>
      <c r="M117" s="34"/>
      <c r="N117" s="34"/>
      <c r="O117" s="34"/>
      <c r="P117" s="34"/>
      <c r="Q117" s="841"/>
      <c r="R117" s="841"/>
      <c r="S117" s="841"/>
      <c r="T117" s="714"/>
      <c r="U117" s="736"/>
      <c r="W117" s="931">
        <f t="shared" si="0"/>
        <v>200</v>
      </c>
      <c r="X117" s="931">
        <f t="shared" si="1"/>
        <v>0</v>
      </c>
      <c r="AD117" s="31"/>
      <c r="AE117" s="31"/>
      <c r="AJ117" s="31"/>
    </row>
    <row r="118" spans="2:42" ht="17.25" customHeight="1">
      <c r="B118" s="733"/>
      <c r="C118" s="713"/>
      <c r="D118" s="935" t="s">
        <v>110</v>
      </c>
      <c r="E118" s="910">
        <v>750</v>
      </c>
      <c r="F118" s="924" t="s">
        <v>3</v>
      </c>
      <c r="G118" s="846"/>
      <c r="H118" s="935" t="s">
        <v>111</v>
      </c>
      <c r="I118" s="910"/>
      <c r="J118" s="1484" t="s">
        <v>3</v>
      </c>
      <c r="K118" s="1484"/>
      <c r="M118" s="34"/>
      <c r="N118" s="34"/>
      <c r="O118" s="34"/>
      <c r="P118" s="34"/>
      <c r="Q118" s="841"/>
      <c r="R118" s="841"/>
      <c r="S118" s="841"/>
      <c r="T118" s="714"/>
      <c r="U118" s="736"/>
      <c r="W118" s="931">
        <f t="shared" si="0"/>
        <v>750</v>
      </c>
      <c r="X118" s="931">
        <f t="shared" si="1"/>
        <v>0</v>
      </c>
      <c r="AD118" s="31"/>
      <c r="AE118" s="31"/>
      <c r="AJ118" s="31"/>
    </row>
    <row r="119" spans="2:42" ht="17.25" customHeight="1">
      <c r="B119" s="733"/>
      <c r="C119" s="713"/>
      <c r="D119" s="935" t="s">
        <v>112</v>
      </c>
      <c r="E119" s="910">
        <v>300</v>
      </c>
      <c r="F119" s="924" t="s">
        <v>3</v>
      </c>
      <c r="G119" s="846"/>
      <c r="H119" s="935" t="s">
        <v>113</v>
      </c>
      <c r="I119" s="910"/>
      <c r="J119" s="1484" t="s">
        <v>3</v>
      </c>
      <c r="K119" s="1484"/>
      <c r="M119" s="34"/>
      <c r="N119" s="34"/>
      <c r="O119" s="34"/>
      <c r="P119" s="34"/>
      <c r="Q119" s="841"/>
      <c r="R119" s="841"/>
      <c r="S119" s="841"/>
      <c r="T119" s="714"/>
      <c r="U119" s="736"/>
      <c r="W119" s="931">
        <f t="shared" si="0"/>
        <v>300</v>
      </c>
      <c r="X119" s="931">
        <f t="shared" si="1"/>
        <v>0</v>
      </c>
      <c r="AD119" s="31"/>
      <c r="AE119" s="31"/>
      <c r="AJ119" s="31"/>
    </row>
    <row r="120" spans="2:42" ht="17.25" customHeight="1">
      <c r="B120" s="733"/>
      <c r="C120" s="713"/>
      <c r="D120" s="935" t="s">
        <v>114</v>
      </c>
      <c r="E120" s="910">
        <v>2000</v>
      </c>
      <c r="F120" s="924" t="s">
        <v>3</v>
      </c>
      <c r="G120" s="846"/>
      <c r="H120" s="935" t="s">
        <v>115</v>
      </c>
      <c r="I120" s="910">
        <v>150</v>
      </c>
      <c r="J120" s="1484" t="s">
        <v>3</v>
      </c>
      <c r="K120" s="1484"/>
      <c r="M120" s="34"/>
      <c r="N120" s="34"/>
      <c r="O120" s="34"/>
      <c r="P120" s="34"/>
      <c r="Q120" s="841"/>
      <c r="R120" s="841"/>
      <c r="S120" s="841"/>
      <c r="T120" s="714"/>
      <c r="U120" s="736"/>
      <c r="W120" s="931">
        <f t="shared" si="0"/>
        <v>2000</v>
      </c>
      <c r="X120" s="931">
        <f t="shared" si="1"/>
        <v>150</v>
      </c>
      <c r="AD120" s="31"/>
      <c r="AE120" s="31"/>
      <c r="AJ120" s="31"/>
    </row>
    <row r="121" spans="2:42" ht="17.25" customHeight="1">
      <c r="B121" s="733"/>
      <c r="C121" s="713"/>
      <c r="D121" s="935" t="s">
        <v>116</v>
      </c>
      <c r="E121" s="910"/>
      <c r="F121" s="924" t="s">
        <v>3</v>
      </c>
      <c r="G121" s="846"/>
      <c r="H121" s="935" t="s">
        <v>117</v>
      </c>
      <c r="I121" s="910">
        <v>200</v>
      </c>
      <c r="J121" s="1484" t="s">
        <v>3</v>
      </c>
      <c r="K121" s="1484"/>
      <c r="M121" s="34"/>
      <c r="N121" s="34"/>
      <c r="O121" s="34"/>
      <c r="P121" s="34"/>
      <c r="Q121" s="841"/>
      <c r="R121" s="841"/>
      <c r="S121" s="841"/>
      <c r="T121" s="714"/>
      <c r="U121" s="736"/>
      <c r="W121" s="931">
        <f t="shared" si="0"/>
        <v>0</v>
      </c>
      <c r="X121" s="931">
        <f t="shared" si="1"/>
        <v>200</v>
      </c>
      <c r="AD121" s="31"/>
      <c r="AE121" s="31"/>
      <c r="AJ121" s="31"/>
    </row>
    <row r="122" spans="2:42" ht="4.5" customHeight="1">
      <c r="B122" s="733"/>
      <c r="C122" s="713"/>
      <c r="M122" s="34"/>
      <c r="N122" s="34"/>
      <c r="O122" s="34"/>
      <c r="P122" s="34"/>
      <c r="Q122" s="841"/>
      <c r="R122" s="841"/>
      <c r="S122" s="841"/>
      <c r="T122" s="714"/>
      <c r="U122" s="736"/>
      <c r="AD122" s="31"/>
      <c r="AE122" s="31"/>
      <c r="AJ122" s="31"/>
    </row>
    <row r="123" spans="2:42" ht="17.25" customHeight="1">
      <c r="B123" s="733"/>
      <c r="C123" s="713"/>
      <c r="D123" s="858" t="s">
        <v>118</v>
      </c>
      <c r="M123" s="34"/>
      <c r="N123" s="34"/>
      <c r="O123" s="34"/>
      <c r="P123" s="34"/>
      <c r="Q123" s="1027"/>
      <c r="R123" s="1027"/>
      <c r="S123" s="1027"/>
      <c r="T123" s="714"/>
      <c r="U123" s="736"/>
      <c r="AD123" s="31"/>
      <c r="AE123" s="31"/>
      <c r="AJ123" s="31"/>
    </row>
    <row r="124" spans="2:42" ht="17.25" customHeight="1">
      <c r="B124" s="733"/>
      <c r="C124" s="713"/>
      <c r="D124" s="36" t="s">
        <v>13</v>
      </c>
      <c r="E124" s="36" t="s">
        <v>14</v>
      </c>
      <c r="F124" s="36" t="s">
        <v>15</v>
      </c>
      <c r="H124" s="36" t="s">
        <v>13</v>
      </c>
      <c r="I124" s="36" t="s">
        <v>14</v>
      </c>
      <c r="J124" s="1482" t="s">
        <v>15</v>
      </c>
      <c r="K124" s="1482"/>
      <c r="L124" s="36" t="s">
        <v>71</v>
      </c>
      <c r="N124" s="34"/>
      <c r="O124" s="34"/>
      <c r="P124" s="34"/>
      <c r="Q124" s="1027"/>
      <c r="R124" s="1027"/>
      <c r="S124" s="1027"/>
      <c r="T124" s="714"/>
      <c r="U124" s="736"/>
      <c r="AD124" s="31"/>
      <c r="AE124" s="31"/>
      <c r="AJ124" s="31"/>
    </row>
    <row r="125" spans="2:42" ht="17.25" hidden="1" customHeight="1">
      <c r="B125" s="733"/>
      <c r="C125" s="713"/>
      <c r="D125" s="36"/>
      <c r="E125" s="36"/>
      <c r="F125" s="24" t="s">
        <v>16</v>
      </c>
      <c r="G125" s="36"/>
      <c r="M125" s="34"/>
      <c r="N125" s="34"/>
      <c r="O125" s="34"/>
      <c r="P125" s="34"/>
      <c r="Q125" s="40"/>
      <c r="R125" s="40"/>
      <c r="S125" s="40"/>
      <c r="T125" s="714"/>
      <c r="U125" s="736"/>
      <c r="AD125" s="31"/>
      <c r="AE125" s="31"/>
      <c r="AJ125" s="31"/>
    </row>
    <row r="126" spans="2:42" ht="17.25" hidden="1" customHeight="1">
      <c r="B126" s="733"/>
      <c r="C126" s="713"/>
      <c r="D126" s="36"/>
      <c r="E126" s="36"/>
      <c r="F126" s="24" t="s">
        <v>17</v>
      </c>
      <c r="G126" s="36"/>
      <c r="M126" s="34"/>
      <c r="N126" s="34"/>
      <c r="O126" s="34"/>
      <c r="P126" s="34"/>
      <c r="Q126" s="40"/>
      <c r="R126" s="40"/>
      <c r="S126" s="40"/>
      <c r="T126" s="714"/>
      <c r="U126" s="736"/>
      <c r="AD126" s="31"/>
      <c r="AE126" s="31"/>
      <c r="AJ126" s="31"/>
    </row>
    <row r="127" spans="2:42" ht="17.25" hidden="1" customHeight="1">
      <c r="B127" s="733"/>
      <c r="C127" s="713"/>
      <c r="D127" s="36"/>
      <c r="E127" s="36"/>
      <c r="F127" s="24" t="s">
        <v>3</v>
      </c>
      <c r="G127" s="36"/>
      <c r="M127" s="34"/>
      <c r="N127" s="34"/>
      <c r="O127" s="34"/>
      <c r="P127" s="34"/>
      <c r="Q127" s="40"/>
      <c r="R127" s="40"/>
      <c r="S127" s="40"/>
      <c r="T127" s="714"/>
      <c r="U127" s="736"/>
      <c r="AD127" s="31"/>
      <c r="AE127" s="31"/>
      <c r="AJ127" s="31"/>
    </row>
    <row r="128" spans="2:42" ht="17.25" hidden="1" customHeight="1">
      <c r="B128" s="733"/>
      <c r="C128" s="713"/>
      <c r="D128" s="36"/>
      <c r="E128" s="36"/>
      <c r="F128" s="24" t="s">
        <v>18</v>
      </c>
      <c r="G128" s="36"/>
      <c r="M128" s="34"/>
      <c r="N128" s="34"/>
      <c r="O128" s="34"/>
      <c r="P128" s="34"/>
      <c r="Q128" s="40"/>
      <c r="R128" s="40"/>
      <c r="S128" s="40"/>
      <c r="T128" s="714"/>
      <c r="U128" s="736"/>
      <c r="AD128" s="31"/>
      <c r="AE128" s="31"/>
      <c r="AJ128" s="31"/>
    </row>
    <row r="129" spans="2:42" ht="17.25" hidden="1" customHeight="1">
      <c r="B129" s="733"/>
      <c r="C129" s="713"/>
      <c r="D129" s="36"/>
      <c r="E129" s="36"/>
      <c r="F129" s="24" t="s">
        <v>2</v>
      </c>
      <c r="G129" s="36"/>
      <c r="M129" s="34"/>
      <c r="N129" s="34"/>
      <c r="O129" s="34"/>
      <c r="P129" s="34"/>
      <c r="Q129" s="40"/>
      <c r="R129" s="40"/>
      <c r="S129" s="40"/>
      <c r="T129" s="714"/>
      <c r="U129" s="736"/>
      <c r="AD129" s="31"/>
      <c r="AE129" s="31"/>
      <c r="AJ129" s="31"/>
    </row>
    <row r="130" spans="2:42" ht="17.25" hidden="1" customHeight="1">
      <c r="B130" s="733"/>
      <c r="C130" s="713"/>
      <c r="D130" s="36"/>
      <c r="E130" s="36"/>
      <c r="F130" s="24" t="s">
        <v>19</v>
      </c>
      <c r="G130" s="36"/>
      <c r="M130" s="34"/>
      <c r="N130" s="34"/>
      <c r="O130" s="34"/>
      <c r="P130" s="34"/>
      <c r="Q130" s="40"/>
      <c r="R130" s="40"/>
      <c r="S130" s="40"/>
      <c r="T130" s="714"/>
      <c r="U130" s="736"/>
      <c r="AD130" s="31"/>
      <c r="AE130" s="31"/>
      <c r="AJ130" s="31"/>
    </row>
    <row r="131" spans="2:42" ht="17.25" hidden="1" customHeight="1">
      <c r="B131" s="733"/>
      <c r="C131" s="713"/>
      <c r="D131" s="36"/>
      <c r="E131" s="36"/>
      <c r="F131" s="24" t="s">
        <v>20</v>
      </c>
      <c r="G131" s="36"/>
      <c r="M131" s="34"/>
      <c r="N131" s="34"/>
      <c r="O131" s="34"/>
      <c r="P131" s="34"/>
      <c r="Q131" s="40"/>
      <c r="R131" s="40"/>
      <c r="S131" s="40"/>
      <c r="T131" s="714"/>
      <c r="U131" s="736"/>
      <c r="AD131" s="31"/>
      <c r="AE131" s="31"/>
      <c r="AJ131" s="31"/>
      <c r="AN131" s="1">
        <v>0</v>
      </c>
      <c r="AP131" s="1" t="b">
        <v>0</v>
      </c>
    </row>
    <row r="132" spans="2:42" ht="17.25" customHeight="1">
      <c r="B132" s="733"/>
      <c r="C132" s="713"/>
      <c r="D132" s="935" t="s">
        <v>119</v>
      </c>
      <c r="E132" s="910"/>
      <c r="F132" s="924" t="s">
        <v>3</v>
      </c>
      <c r="G132" s="846"/>
      <c r="H132" s="935" t="s">
        <v>120</v>
      </c>
      <c r="I132" s="910"/>
      <c r="J132" s="1484" t="s">
        <v>3</v>
      </c>
      <c r="K132" s="1484"/>
      <c r="L132" s="1479"/>
      <c r="M132" s="1479"/>
      <c r="N132" s="1479"/>
      <c r="O132" s="34"/>
      <c r="P132" s="866"/>
      <c r="Q132" s="931">
        <f>CONVERT_TO_MONTHLY(E132,F132) + CONVERT_TO_MONTHLY(I132,J132)</f>
        <v>0</v>
      </c>
      <c r="R132" s="47"/>
      <c r="S132" s="931">
        <f>IF(F10="",0,MAX(W132,VLOOKUP(F10,'Configurable Items'!$D$4791:$E$4797,2,FALSE)))+X132</f>
        <v>0</v>
      </c>
      <c r="T132" s="714"/>
      <c r="U132" s="736"/>
      <c r="W132" s="931">
        <f>CONVERT_TO_MONTHLY(E132,F132)</f>
        <v>0</v>
      </c>
      <c r="X132" s="931">
        <f>CONVERT_TO_MONTHLY(I132,J132)</f>
        <v>0</v>
      </c>
      <c r="AD132" s="31"/>
      <c r="AE132" s="31"/>
      <c r="AJ132" s="31"/>
    </row>
    <row r="133" spans="2:42" ht="17.25" customHeight="1">
      <c r="B133" s="733"/>
      <c r="C133" s="713"/>
      <c r="D133" s="935" t="s">
        <v>121</v>
      </c>
      <c r="E133" s="910">
        <v>1850</v>
      </c>
      <c r="F133" s="924" t="s">
        <v>3</v>
      </c>
      <c r="G133" s="846"/>
      <c r="H133" s="935" t="s">
        <v>122</v>
      </c>
      <c r="I133" s="910">
        <v>150</v>
      </c>
      <c r="J133" s="1484" t="s">
        <v>3</v>
      </c>
      <c r="K133" s="1484"/>
      <c r="L133" s="1479"/>
      <c r="M133" s="1479"/>
      <c r="N133" s="1479"/>
      <c r="O133" s="34"/>
      <c r="P133" s="866"/>
      <c r="Q133" s="931">
        <f>CONVERT_TO_MONTHLY(E133,F133) + CONVERT_TO_MONTHLY(I133,J133)</f>
        <v>2000</v>
      </c>
      <c r="R133" s="47"/>
      <c r="S133" s="931">
        <f>Q133</f>
        <v>2000</v>
      </c>
      <c r="T133" s="714"/>
      <c r="U133" s="736"/>
      <c r="W133" s="931">
        <f>CONVERT_TO_MONTHLY(E133,F133)</f>
        <v>1850</v>
      </c>
      <c r="X133" s="931">
        <f>CONVERT_TO_MONTHLY(I133,J133)</f>
        <v>150</v>
      </c>
      <c r="AD133" s="31"/>
      <c r="AE133" s="31"/>
      <c r="AJ133" s="31"/>
    </row>
    <row r="134" spans="2:42" ht="17.25" customHeight="1">
      <c r="B134" s="733"/>
      <c r="C134" s="713"/>
      <c r="D134" s="935" t="s">
        <v>123</v>
      </c>
      <c r="E134" s="910">
        <v>200</v>
      </c>
      <c r="F134" s="924" t="s">
        <v>3</v>
      </c>
      <c r="G134" s="846"/>
      <c r="H134" s="935" t="s">
        <v>124</v>
      </c>
      <c r="I134" s="910"/>
      <c r="J134" s="1484" t="s">
        <v>3</v>
      </c>
      <c r="K134" s="1484"/>
      <c r="L134" s="1479"/>
      <c r="M134" s="1479"/>
      <c r="N134" s="1479"/>
      <c r="O134" s="34"/>
      <c r="P134" s="866"/>
      <c r="Q134" s="931">
        <f>CONVERT_TO_MONTHLY(E134,F134) + CONVERT_TO_MONTHLY(I134,J134)</f>
        <v>200</v>
      </c>
      <c r="R134" s="47"/>
      <c r="S134" s="931">
        <f>Q134</f>
        <v>200</v>
      </c>
      <c r="T134" s="714"/>
      <c r="U134" s="736"/>
      <c r="W134" s="931">
        <f>CONVERT_TO_MONTHLY(E134,F134)</f>
        <v>200</v>
      </c>
      <c r="X134" s="931">
        <f>CONVERT_TO_MONTHLY(I134,J134)</f>
        <v>0</v>
      </c>
      <c r="AD134" s="31"/>
      <c r="AE134" s="31"/>
      <c r="AJ134" s="31"/>
    </row>
    <row r="135" spans="2:42" ht="17.25" customHeight="1">
      <c r="B135" s="733"/>
      <c r="C135" s="713"/>
      <c r="D135" s="935" t="s">
        <v>9086</v>
      </c>
      <c r="E135" s="910"/>
      <c r="F135" s="924" t="s">
        <v>3</v>
      </c>
      <c r="G135" s="846"/>
      <c r="H135" s="935" t="s">
        <v>58</v>
      </c>
      <c r="I135" s="910"/>
      <c r="J135" s="1484" t="s">
        <v>3</v>
      </c>
      <c r="K135" s="1484"/>
      <c r="L135" s="1479"/>
      <c r="M135" s="1479"/>
      <c r="N135" s="1479"/>
      <c r="O135" s="34"/>
      <c r="P135" s="866"/>
      <c r="Q135" s="931">
        <f>CONVERT_TO_MONTHLY(E135,F135) + CONVERT_TO_MONTHLY(I135,J135)</f>
        <v>0</v>
      </c>
      <c r="R135" s="47"/>
      <c r="S135" s="931">
        <f>Q135</f>
        <v>0</v>
      </c>
      <c r="T135" s="714"/>
      <c r="U135" s="736"/>
      <c r="W135" s="931">
        <f>CONVERT_TO_MONTHLY(E135,F135)</f>
        <v>0</v>
      </c>
      <c r="X135" s="931">
        <f>CONVERT_TO_MONTHLY(I135,J135)</f>
        <v>0</v>
      </c>
      <c r="AD135" s="31"/>
      <c r="AE135" s="31"/>
      <c r="AJ135" s="31"/>
    </row>
    <row r="136" spans="2:42" ht="17.25" customHeight="1">
      <c r="B136" s="733"/>
      <c r="C136" s="713"/>
      <c r="D136" s="935" t="s">
        <v>125</v>
      </c>
      <c r="E136" s="931">
        <f>AL87</f>
        <v>0</v>
      </c>
      <c r="F136" s="935" t="s">
        <v>3</v>
      </c>
      <c r="G136" s="846"/>
      <c r="P136" s="866"/>
      <c r="Q136" s="931">
        <f>CONVERT_TO_MONTHLY(E136,F136)</f>
        <v>0</v>
      </c>
      <c r="R136" s="47"/>
      <c r="S136" s="931">
        <f>AK87</f>
        <v>0</v>
      </c>
      <c r="T136" s="714"/>
      <c r="U136" s="736"/>
      <c r="W136" s="931">
        <f>CONVERT_TO_MONTHLY(E136,F136)</f>
        <v>0</v>
      </c>
      <c r="AD136" s="31"/>
      <c r="AE136" s="31"/>
      <c r="AJ136" s="31"/>
    </row>
    <row r="137" spans="2:42" ht="17.25" customHeight="1">
      <c r="B137" s="733"/>
      <c r="C137" s="713"/>
      <c r="N137" s="34"/>
      <c r="O137" s="34"/>
      <c r="P137" s="34"/>
      <c r="Q137" s="56">
        <f t="array" ref="Q137">SUM(ROUND(Q132:Q136,2))+ Q116</f>
        <v>7080</v>
      </c>
      <c r="R137" s="834"/>
      <c r="S137" s="56">
        <f t="array" ref="S137">SUM(ROUND(S132:S136,2))+ S116</f>
        <v>8972</v>
      </c>
      <c r="T137" s="714"/>
      <c r="U137" s="736"/>
      <c r="AD137" s="31"/>
      <c r="AE137" s="31"/>
      <c r="AJ137" s="31"/>
    </row>
    <row r="138" spans="2:42" ht="17.25" customHeight="1">
      <c r="B138" s="733"/>
      <c r="C138" s="713"/>
      <c r="D138" s="867" t="s">
        <v>126</v>
      </c>
      <c r="E138" s="34"/>
      <c r="F138" s="34"/>
      <c r="G138" s="34"/>
      <c r="H138" s="34"/>
      <c r="I138" s="34"/>
      <c r="J138" s="34"/>
      <c r="K138" s="34"/>
      <c r="L138" s="34"/>
      <c r="M138" s="34"/>
      <c r="N138" s="34"/>
      <c r="O138" s="34"/>
      <c r="P138" s="34"/>
      <c r="Q138" s="838"/>
      <c r="R138" s="493"/>
      <c r="S138" s="838"/>
      <c r="T138" s="714"/>
      <c r="U138" s="736"/>
      <c r="AA138" s="39" t="s">
        <v>87</v>
      </c>
      <c r="AB138" s="39" t="s">
        <v>63</v>
      </c>
      <c r="AC138" s="39"/>
      <c r="AD138" s="39" t="s">
        <v>64</v>
      </c>
      <c r="AE138" s="39"/>
      <c r="AF138" s="39" t="s">
        <v>65</v>
      </c>
      <c r="AG138" s="39" t="s">
        <v>8607</v>
      </c>
      <c r="AH138" s="39"/>
      <c r="AI138" s="39"/>
      <c r="AJ138" s="31"/>
    </row>
    <row r="139" spans="2:42" ht="17.25" customHeight="1">
      <c r="B139" s="733"/>
      <c r="C139" s="902"/>
      <c r="D139" s="36" t="s">
        <v>14</v>
      </c>
      <c r="E139" s="36" t="s">
        <v>127</v>
      </c>
      <c r="F139" s="36" t="s">
        <v>9200</v>
      </c>
      <c r="G139" s="36" t="s">
        <v>8597</v>
      </c>
      <c r="H139" s="36" t="s">
        <v>128</v>
      </c>
      <c r="I139" s="36" t="s">
        <v>129</v>
      </c>
      <c r="J139" s="1482" t="s">
        <v>8650</v>
      </c>
      <c r="K139" s="1482"/>
      <c r="L139" s="36" t="s">
        <v>132</v>
      </c>
      <c r="M139" s="36" t="s">
        <v>133</v>
      </c>
      <c r="N139" s="36" t="s">
        <v>134</v>
      </c>
      <c r="O139" s="36" t="s">
        <v>135</v>
      </c>
      <c r="P139" s="850"/>
      <c r="Q139" s="39" t="s">
        <v>93</v>
      </c>
      <c r="R139" s="47"/>
      <c r="S139" s="39" t="s">
        <v>94</v>
      </c>
      <c r="T139" s="714"/>
      <c r="U139" s="736"/>
      <c r="W139" s="39" t="str">
        <f>$D$10 &amp; " Deducation"</f>
        <v>Fan Jiang Deducation</v>
      </c>
      <c r="X139" s="39" t="str">
        <f>$D$11 &amp; " Deducation"</f>
        <v>Sifei Liu Deducation</v>
      </c>
      <c r="Y139" s="39" t="s">
        <v>8598</v>
      </c>
      <c r="Z139" s="39" t="s">
        <v>8609</v>
      </c>
      <c r="AB139" s="39" t="str">
        <f>IF($D$10="","",$D$10)</f>
        <v>Fan Jiang</v>
      </c>
      <c r="AC139" s="39" t="str">
        <f>IF($D$11="","",$D$11)</f>
        <v>Sifei Liu</v>
      </c>
      <c r="AD139" s="39" t="str">
        <f>IF($D$10="","",$D$10)</f>
        <v>Fan Jiang</v>
      </c>
      <c r="AE139" s="39" t="str">
        <f>IF($D$11="","",$D$11)</f>
        <v>Sifei Liu</v>
      </c>
      <c r="AF139" s="39"/>
      <c r="AG139" s="39" t="s">
        <v>8627</v>
      </c>
      <c r="AH139" s="39" t="s">
        <v>8611</v>
      </c>
      <c r="AI139" s="39" t="s">
        <v>8610</v>
      </c>
      <c r="AK139" s="39" t="s">
        <v>8625</v>
      </c>
    </row>
    <row r="140" spans="2:42" ht="17.25" hidden="1" customHeight="1">
      <c r="B140" s="733"/>
      <c r="C140" s="902"/>
      <c r="D140" s="36"/>
      <c r="E140" s="36"/>
      <c r="F140" s="36"/>
      <c r="G140" s="36"/>
      <c r="H140" s="24" t="s">
        <v>136</v>
      </c>
      <c r="I140" s="36"/>
      <c r="J140" s="36"/>
      <c r="K140" s="36"/>
      <c r="L140" s="36"/>
      <c r="M140" s="36"/>
      <c r="N140" s="36"/>
      <c r="O140" s="36"/>
      <c r="P140" s="850"/>
      <c r="Q140" s="39"/>
      <c r="R140" s="47"/>
      <c r="S140" s="39"/>
      <c r="T140" s="714"/>
      <c r="U140" s="736"/>
      <c r="W140" s="32"/>
      <c r="X140" s="32"/>
      <c r="AB140" s="32"/>
      <c r="AC140" s="32"/>
      <c r="AD140" s="32"/>
      <c r="AE140" s="32"/>
      <c r="AK140" s="31"/>
    </row>
    <row r="141" spans="2:42" ht="17.25" hidden="1" customHeight="1">
      <c r="B141" s="733"/>
      <c r="C141" s="902"/>
      <c r="D141" s="36"/>
      <c r="E141" s="36"/>
      <c r="F141" s="36"/>
      <c r="G141" s="36"/>
      <c r="H141" s="24" t="s">
        <v>137</v>
      </c>
      <c r="I141" s="36"/>
      <c r="J141" s="36"/>
      <c r="K141" s="36"/>
      <c r="L141" s="36"/>
      <c r="M141" s="36"/>
      <c r="N141" s="36"/>
      <c r="O141" s="36"/>
      <c r="P141" s="850"/>
      <c r="Q141" s="39"/>
      <c r="R141" s="47"/>
      <c r="S141" s="39"/>
      <c r="T141" s="714"/>
      <c r="U141" s="736"/>
      <c r="W141" s="32"/>
      <c r="X141" s="32"/>
      <c r="AB141" s="32"/>
      <c r="AC141" s="32"/>
      <c r="AD141" s="32"/>
      <c r="AE141" s="32"/>
      <c r="AK141" s="31"/>
      <c r="AN141" s="1">
        <v>431618.61017838301</v>
      </c>
      <c r="AP141" s="1" t="b">
        <v>0</v>
      </c>
    </row>
    <row r="142" spans="2:42" ht="17.25" hidden="1" customHeight="1">
      <c r="B142" s="733"/>
      <c r="C142" s="902"/>
      <c r="D142" s="36"/>
      <c r="E142" s="36"/>
      <c r="F142" s="36"/>
      <c r="G142" s="36"/>
      <c r="H142" s="24" t="s">
        <v>138</v>
      </c>
      <c r="I142" s="36"/>
      <c r="J142" s="36"/>
      <c r="K142" s="36"/>
      <c r="L142" s="36"/>
      <c r="M142" s="36"/>
      <c r="N142" s="36"/>
      <c r="O142" s="36"/>
      <c r="P142" s="850"/>
      <c r="Q142" s="39"/>
      <c r="R142" s="47"/>
      <c r="S142" s="39"/>
      <c r="T142" s="714"/>
      <c r="U142" s="736"/>
      <c r="W142" s="32"/>
      <c r="X142" s="32"/>
      <c r="AB142" s="32"/>
      <c r="AC142" s="32"/>
      <c r="AD142" s="32"/>
      <c r="AE142" s="32"/>
      <c r="AK142" s="31"/>
      <c r="AN142" s="1">
        <v>431618.61017838301</v>
      </c>
      <c r="AP142" s="1" t="b">
        <v>0</v>
      </c>
    </row>
    <row r="143" spans="2:42" ht="17.25" hidden="1" customHeight="1">
      <c r="B143" s="733"/>
      <c r="C143" s="902"/>
      <c r="D143" s="36"/>
      <c r="E143" s="36"/>
      <c r="F143" s="36"/>
      <c r="G143" s="36"/>
      <c r="H143" s="24" t="s">
        <v>139</v>
      </c>
      <c r="I143" s="36"/>
      <c r="J143" s="36"/>
      <c r="K143" s="36"/>
      <c r="L143" s="36"/>
      <c r="M143" s="36"/>
      <c r="N143" s="36"/>
      <c r="O143" s="36"/>
      <c r="P143" s="850"/>
      <c r="Q143" s="39"/>
      <c r="R143" s="47"/>
      <c r="S143" s="39"/>
      <c r="T143" s="714"/>
      <c r="U143" s="736"/>
      <c r="W143" s="32"/>
      <c r="X143" s="32"/>
      <c r="AB143" s="32"/>
      <c r="AC143" s="32"/>
      <c r="AD143" s="32"/>
      <c r="AE143" s="32"/>
      <c r="AK143" s="31"/>
      <c r="AN143" s="1">
        <v>431618.61017838301</v>
      </c>
      <c r="AP143" s="1" t="b">
        <v>0</v>
      </c>
    </row>
    <row r="144" spans="2:42" ht="17.25" hidden="1" customHeight="1">
      <c r="B144" s="733"/>
      <c r="C144" s="902"/>
      <c r="D144" s="36"/>
      <c r="E144" s="36"/>
      <c r="F144" s="36"/>
      <c r="G144" s="24"/>
      <c r="H144" s="24" t="s">
        <v>140</v>
      </c>
      <c r="I144" s="36"/>
      <c r="J144" s="36"/>
      <c r="K144" s="36"/>
      <c r="L144" s="36"/>
      <c r="M144" s="36"/>
      <c r="N144" s="36"/>
      <c r="O144" s="36"/>
      <c r="P144" s="850"/>
      <c r="Q144" s="39"/>
      <c r="R144" s="47"/>
      <c r="S144" s="39"/>
      <c r="T144" s="714"/>
      <c r="U144" s="736"/>
      <c r="W144" s="32"/>
      <c r="X144" s="32"/>
      <c r="AB144" s="32"/>
      <c r="AC144" s="32"/>
      <c r="AD144" s="32"/>
      <c r="AE144" s="32"/>
      <c r="AK144" s="31"/>
    </row>
    <row r="145" spans="2:42" ht="17.25" hidden="1" customHeight="1">
      <c r="B145" s="733"/>
      <c r="C145" s="902"/>
      <c r="D145" s="36"/>
      <c r="E145" s="36"/>
      <c r="F145" s="36"/>
      <c r="G145" s="24" t="s">
        <v>58</v>
      </c>
      <c r="H145" s="24" t="s">
        <v>141</v>
      </c>
      <c r="I145" s="36"/>
      <c r="J145" s="36"/>
      <c r="K145" s="36"/>
      <c r="L145" s="36"/>
      <c r="M145" s="36"/>
      <c r="N145" s="36"/>
      <c r="O145" s="36"/>
      <c r="P145" s="850"/>
      <c r="Q145" s="39"/>
      <c r="R145" s="47"/>
      <c r="S145" s="39"/>
      <c r="T145" s="714"/>
      <c r="U145" s="736"/>
      <c r="W145" s="32"/>
      <c r="X145" s="32"/>
      <c r="AB145" s="32"/>
      <c r="AC145" s="32"/>
      <c r="AD145" s="32"/>
      <c r="AE145" s="32"/>
      <c r="AK145" s="31"/>
    </row>
    <row r="146" spans="2:42" ht="17.25" hidden="1" customHeight="1">
      <c r="B146" s="733"/>
      <c r="C146" s="902"/>
      <c r="D146" s="36"/>
      <c r="E146" s="24" t="b">
        <v>1</v>
      </c>
      <c r="F146" s="24" t="b">
        <v>1</v>
      </c>
      <c r="G146" s="24" t="str">
        <f>IF($D$11="","Other",$D$11)</f>
        <v>Sifei Liu</v>
      </c>
      <c r="H146" s="24" t="s">
        <v>142</v>
      </c>
      <c r="I146" s="36"/>
      <c r="J146" s="36"/>
      <c r="K146" s="36"/>
      <c r="L146" s="36"/>
      <c r="M146" s="36"/>
      <c r="N146" s="36"/>
      <c r="O146" s="36"/>
      <c r="P146" s="850"/>
      <c r="Q146" s="39"/>
      <c r="R146" s="47"/>
      <c r="S146" s="39"/>
      <c r="T146" s="714"/>
      <c r="U146" s="736"/>
      <c r="W146" s="32"/>
      <c r="X146" s="32"/>
      <c r="AB146" s="32"/>
      <c r="AC146" s="32"/>
      <c r="AD146" s="32"/>
      <c r="AE146" s="32"/>
      <c r="AK146" s="31"/>
    </row>
    <row r="147" spans="2:42" ht="17.25" hidden="1" customHeight="1">
      <c r="B147" s="733"/>
      <c r="C147" s="902"/>
      <c r="D147" s="36"/>
      <c r="E147" s="24" t="b">
        <v>0</v>
      </c>
      <c r="F147" s="24"/>
      <c r="G147" s="24" t="str">
        <f>$D$10</f>
        <v>Fan Jiang</v>
      </c>
      <c r="H147" s="24" t="s">
        <v>161</v>
      </c>
      <c r="I147" s="868"/>
      <c r="J147" s="868"/>
      <c r="K147" s="868"/>
      <c r="L147" s="36"/>
      <c r="M147" s="36"/>
      <c r="N147" s="868"/>
      <c r="O147" s="36"/>
      <c r="P147" s="850"/>
      <c r="Q147" s="39"/>
      <c r="R147" s="47"/>
      <c r="S147" s="39"/>
      <c r="T147" s="714"/>
      <c r="U147" s="736"/>
      <c r="W147" s="32"/>
      <c r="X147" s="32"/>
      <c r="AB147" s="32"/>
      <c r="AC147" s="32"/>
      <c r="AD147" s="32"/>
      <c r="AE147" s="32"/>
      <c r="AK147" s="31"/>
    </row>
    <row r="148" spans="2:42" ht="17.25" customHeight="1">
      <c r="B148" s="733"/>
      <c r="C148" s="713"/>
      <c r="D148" s="910">
        <v>5600000</v>
      </c>
      <c r="E148" s="718" t="b">
        <v>0</v>
      </c>
      <c r="F148" s="718" t="b">
        <v>0</v>
      </c>
      <c r="G148" s="911" t="s">
        <v>9570</v>
      </c>
      <c r="H148" s="912" t="s">
        <v>139</v>
      </c>
      <c r="I148" s="1628"/>
      <c r="J148" s="1629">
        <v>30</v>
      </c>
      <c r="K148" s="1630">
        <v>0</v>
      </c>
      <c r="L148" s="914">
        <v>2.7699999999999999E-2</v>
      </c>
      <c r="M148" s="934">
        <f>IF(H148="","",RATE_LOOKUP(E148,VLOOKUP(H148,'Configurable Items'!$D$4807:$I$4815,3,FALSE),VLOOKUP(H148,'Configurable Items'!$D$4807:$I$4815,2,FALSE),I148,"Initial")-L148)</f>
        <v>5.62E-2</v>
      </c>
      <c r="N148" s="1422"/>
      <c r="O148" s="934" t="str">
        <f>IF(H148="","",IF(VLOOKUP(H148,'Configurable Items'!$D$4807:$G$4815,4,FALSE),RATE_LOOKUP(E148,VLOOKUP(H148,'Configurable Items'!$D$4807:$I$4815,3,FALSE),VLOOKUP(H148,'Configurable Items'!$D$4807:$I$4815,2,FALSE),'SoP 1'!I148,"Subsequent")-N148,""))</f>
        <v/>
      </c>
      <c r="P148" s="850"/>
      <c r="Q148" s="931">
        <f>IF(H148="",0,IF(AND(J148="",K148="",H148&lt;&gt;"Bridging"),0,Repayments(D148, (J148*12)+K148,#REF!* 12, IF(LEFT(VLOOKUP(H148,'Configurable Items'!$D$4807:$E$4815,2,FALSE),3)="Int",I148*12,0), VLOOKUP(H148,'Configurable Items'!$D$4807:$F$4815,2,FALSE), "Monthly", M148, M148, "Initial","Full")))*(AB148+AC148)</f>
        <v>32219.082689890209</v>
      </c>
      <c r="R148" s="47"/>
      <c r="S148" s="931">
        <f>IF(ISBLANK(H148),0,IF(AND(J148="",K148="",H148&lt;&gt;"Bridging"),0,Calculate_Repayment(IF(H148="EMA","Property Line of Credit","Home Loan"),TRUE,D148,0,"Monthly",0,IF(H148="EMA",360,IF(H148="Bridging",300,IF(VLOOKUP(H148,'Configurable Items'!$D$4807:$H$4815,5,FALSE)=TRUE,(((J148*12+K148)-(I148*12))),J148*12+K148))),IF(O148="",M148,O148),TRUE)))*AA148</f>
        <v>43536.305279291861</v>
      </c>
      <c r="T148" s="714"/>
      <c r="U148" s="736"/>
      <c r="W148" s="931">
        <f>IF(AND(H148&lt;&gt;0,F148=TRUE,'Internal Ref'!$J$236&gt;0),IF(O148="",D148*M148,D148*O148),0)*AB148</f>
        <v>0</v>
      </c>
      <c r="X148" s="931">
        <f>IF(AND(H148&lt;&gt;0,F148=TRUE,'Internal Ref'!$J$236&gt;0),IF(O148="",D148*M148,D148*O148),0)*AC148</f>
        <v>0</v>
      </c>
      <c r="Y148" s="931" t="e">
        <f ca="1">VLOOKUP(G148,INDIRECT('Internal Ref'!$G$244),2,FALSE)</f>
        <v>#N/A</v>
      </c>
      <c r="Z148" s="939" t="s">
        <v>4536</v>
      </c>
      <c r="AA148" s="934">
        <f>IF(ISERR(SEARCH("^",G148)),AB148+AC148,1)</f>
        <v>1</v>
      </c>
      <c r="AB148" s="934">
        <f>IF(G148=$D$10,1,
IF(G148=$D$11,0,
IF(ISERR(SEARCH($D$10,G148)),0,
(MID(G148,LEN($D$10)+2,SEARCH("%",G148)-LEN($D$10)-2)/100))))</f>
        <v>0.5</v>
      </c>
      <c r="AC148" s="934">
        <f>IF($D$11="",0,IF(G148=$D$11,1,
IF(G148=$D$10,0,
IF(ISERR(SEARCH($D$11,G148)),0,
MID(G148,SEARCH($D$11,G148)+LEN($D$11)+1,LEN(G148)-(SEARCH($D$11,G148)+LEN($D$11)+IF(ISERR(SEARCH("^",G148)),1,2)))/100))))</f>
        <v>0.5</v>
      </c>
      <c r="AD148" s="934">
        <f>IF(SUM(AB148:AC148)=0,0,AB148/SUM(AB148:AC148))</f>
        <v>0.5</v>
      </c>
      <c r="AE148" s="934">
        <f>IF(SUM(AB148:AC148)=0,0,AC148/SUM(AB148:AC148))</f>
        <v>0.5</v>
      </c>
      <c r="AF148" s="934">
        <f>AC148+AB148</f>
        <v>1</v>
      </c>
      <c r="AG148" s="938">
        <f>IF(AH148="",0,IF(LEN(AH148)-LEN(SUBSTITUTE(AH148,"|",""))=0,"1^",LEN(AH148)-LEN(SUBSTITUTE(AH148,"|",""))))</f>
        <v>0</v>
      </c>
      <c r="AH148" s="930"/>
      <c r="AI148" s="930" t="e">
        <f ca="1">VLOOKUP(G148,INDIRECT('Internal Ref'!$G$244),4,FALSE)</f>
        <v>#N/A</v>
      </c>
      <c r="AK148" s="1483" t="str" cm="1">
        <f t="array" ref="AK148">LinkedSecurities($AB$11,AH148,AG148,"Security",$AD$10+$AD$11+$AD$12)</f>
        <v/>
      </c>
      <c r="AL148" s="1483"/>
      <c r="AM148" s="1483"/>
    </row>
    <row r="149" spans="2:42" ht="2.25" customHeight="1">
      <c r="B149" s="733"/>
      <c r="C149" s="713"/>
      <c r="D149" s="55"/>
      <c r="E149" s="58"/>
      <c r="F149" s="57"/>
      <c r="G149" s="57"/>
      <c r="H149" s="63"/>
      <c r="I149" s="63"/>
      <c r="J149" s="63"/>
      <c r="K149" s="63"/>
      <c r="L149" s="64"/>
      <c r="M149" s="65"/>
      <c r="N149" s="32"/>
      <c r="O149" s="32"/>
      <c r="Q149" s="854"/>
      <c r="R149" s="40"/>
      <c r="S149" s="854"/>
      <c r="T149" s="714"/>
      <c r="U149" s="736"/>
      <c r="W149" s="55"/>
      <c r="X149" s="46"/>
      <c r="AD149" s="31"/>
      <c r="AE149" s="31"/>
      <c r="AJ149" s="31"/>
      <c r="AN149" s="1">
        <v>0</v>
      </c>
      <c r="AO149" s="1">
        <v>0</v>
      </c>
      <c r="AP149" s="1" t="b">
        <v>0</v>
      </c>
    </row>
    <row r="150" spans="2:42" ht="17.25" customHeight="1">
      <c r="B150" s="733"/>
      <c r="C150" s="713"/>
      <c r="D150" s="869">
        <f t="array" ref="D150">SUM(ROUND(D148:D149,2))</f>
        <v>5600000</v>
      </c>
      <c r="E150" s="32"/>
      <c r="F150" s="32"/>
      <c r="M150" s="34"/>
      <c r="N150" s="32"/>
      <c r="O150" s="32"/>
      <c r="P150" s="34"/>
      <c r="Q150" s="56">
        <f t="array" ref="Q150">SUM(ROUND(Q148:Q149,2))</f>
        <v>32219.08</v>
      </c>
      <c r="R150" s="834"/>
      <c r="S150" s="56">
        <f t="array" ref="S150">SUM(ROUND(S148:S149,2))</f>
        <v>43536.31</v>
      </c>
      <c r="T150" s="714"/>
      <c r="U150" s="736"/>
      <c r="W150" s="56">
        <f t="array" ref="W150">SUM(ROUND(W148:W149,2))</f>
        <v>0</v>
      </c>
      <c r="X150" s="56">
        <f t="array" ref="X150">SUM(ROUND(X148:X149,2))</f>
        <v>0</v>
      </c>
      <c r="AD150" s="31"/>
      <c r="AE150" s="31"/>
      <c r="AJ150" s="31"/>
    </row>
    <row r="151" spans="2:42" ht="17.25" hidden="1" customHeight="1">
      <c r="B151" s="733"/>
      <c r="C151" s="713"/>
      <c r="D151" s="858" t="s">
        <v>144</v>
      </c>
      <c r="E151" s="34"/>
      <c r="F151" s="34"/>
      <c r="G151" s="34"/>
      <c r="H151" s="34"/>
      <c r="I151" s="34"/>
      <c r="J151" s="34"/>
      <c r="K151" s="34"/>
      <c r="L151" s="34"/>
      <c r="M151" s="34"/>
      <c r="N151" s="34"/>
      <c r="O151" s="34"/>
      <c r="P151" s="34"/>
      <c r="Q151" s="870"/>
      <c r="R151" s="493"/>
      <c r="S151" s="870"/>
      <c r="T151" s="714"/>
      <c r="U151" s="736"/>
      <c r="AD151" s="31"/>
      <c r="AE151" s="31"/>
      <c r="AJ151" s="31"/>
    </row>
    <row r="152" spans="2:42" ht="17.25" hidden="1" customHeight="1">
      <c r="B152" s="733"/>
      <c r="C152" s="713"/>
      <c r="D152" s="36" t="s">
        <v>29</v>
      </c>
      <c r="E152" s="850"/>
      <c r="F152" s="850"/>
      <c r="G152" s="850"/>
      <c r="H152" s="850"/>
      <c r="I152" s="836"/>
      <c r="J152" s="836"/>
      <c r="K152" s="850"/>
      <c r="L152" s="836"/>
      <c r="M152" s="850"/>
      <c r="N152" s="850"/>
      <c r="O152" s="850"/>
      <c r="P152" s="850"/>
      <c r="Q152" s="39" t="s">
        <v>93</v>
      </c>
      <c r="R152" s="47"/>
      <c r="S152" s="39" t="s">
        <v>94</v>
      </c>
      <c r="T152" s="714"/>
      <c r="U152" s="736"/>
      <c r="AD152" s="31"/>
      <c r="AE152" s="31"/>
      <c r="AJ152" s="31"/>
    </row>
    <row r="153" spans="2:42" ht="17.25" hidden="1" customHeight="1">
      <c r="B153" s="733"/>
      <c r="C153" s="713"/>
      <c r="D153" s="909" t="str">
        <f>IF(D10="","",D10)</f>
        <v>Fan Jiang</v>
      </c>
      <c r="E153" s="47"/>
      <c r="F153" s="47"/>
      <c r="G153" s="47"/>
      <c r="H153" s="47"/>
      <c r="I153" s="836"/>
      <c r="J153" s="836"/>
      <c r="K153" s="874"/>
      <c r="L153" s="873"/>
      <c r="M153" s="874"/>
      <c r="N153" s="874"/>
      <c r="O153" s="874"/>
      <c r="P153" s="874"/>
      <c r="Q153" s="931">
        <v>0</v>
      </c>
      <c r="R153" s="875"/>
      <c r="S153" s="931">
        <f>SUMPRODUCT($Y$84:$Y$86,$AB$84:$AB$86)*(1-ERMR_MULTIPLIER)</f>
        <v>0</v>
      </c>
      <c r="T153" s="714"/>
      <c r="U153" s="736"/>
      <c r="W153" s="54"/>
      <c r="Y153" s="34"/>
      <c r="AD153" s="31"/>
      <c r="AE153" s="31"/>
      <c r="AJ153" s="31"/>
    </row>
    <row r="154" spans="2:42" ht="17.25" hidden="1" customHeight="1">
      <c r="B154" s="733"/>
      <c r="C154" s="713"/>
      <c r="D154" s="909" t="str">
        <f>IF(D11="","",D11)</f>
        <v>Sifei Liu</v>
      </c>
      <c r="E154" s="866"/>
      <c r="F154" s="47"/>
      <c r="G154" s="47"/>
      <c r="H154" s="47"/>
      <c r="I154" s="871"/>
      <c r="J154" s="871"/>
      <c r="K154" s="872"/>
      <c r="L154" s="876"/>
      <c r="M154" s="872"/>
      <c r="N154" s="872"/>
      <c r="O154" s="872"/>
      <c r="P154" s="872"/>
      <c r="Q154" s="931">
        <v>0</v>
      </c>
      <c r="R154" s="875"/>
      <c r="S154" s="931">
        <f>SUMPRODUCT($Y$84:$Y$86,$AC$84:$AC$86)*(1-ERMR_MULTIPLIER)</f>
        <v>0</v>
      </c>
      <c r="T154" s="714"/>
      <c r="U154" s="736"/>
      <c r="W154" s="54"/>
      <c r="AD154" s="31"/>
      <c r="AE154" s="31"/>
      <c r="AJ154" s="31"/>
    </row>
    <row r="155" spans="2:42" ht="17.25" hidden="1" customHeight="1">
      <c r="B155" s="733"/>
      <c r="C155" s="713"/>
      <c r="D155" s="878">
        <f>W5</f>
        <v>0</v>
      </c>
      <c r="E155" s="66"/>
      <c r="F155" s="66"/>
      <c r="G155" s="66"/>
      <c r="H155" s="879"/>
      <c r="I155" s="34"/>
      <c r="J155" s="34"/>
      <c r="K155" s="881"/>
      <c r="L155" s="67"/>
      <c r="M155" s="881"/>
      <c r="N155" s="881"/>
      <c r="O155" s="881"/>
      <c r="P155" s="881"/>
      <c r="Q155" s="56">
        <f>SUM(Q153:Q154)</f>
        <v>0</v>
      </c>
      <c r="R155" s="834"/>
      <c r="S155" s="56">
        <f>SUM(S153:S154)</f>
        <v>0</v>
      </c>
      <c r="T155" s="905"/>
      <c r="U155" s="736"/>
      <c r="W155" s="54"/>
      <c r="AD155" s="31"/>
      <c r="AE155" s="31"/>
      <c r="AJ155" s="31"/>
    </row>
    <row r="156" spans="2:42" ht="17.25" customHeight="1">
      <c r="B156" s="733"/>
      <c r="C156" s="713"/>
      <c r="D156" s="882" t="s">
        <v>145</v>
      </c>
      <c r="E156" s="34"/>
      <c r="F156" s="34"/>
      <c r="G156" s="34"/>
      <c r="H156" s="34"/>
      <c r="I156" s="34"/>
      <c r="J156" s="34"/>
      <c r="K156" s="34"/>
      <c r="L156" s="34"/>
      <c r="M156" s="34"/>
      <c r="N156" s="34"/>
      <c r="O156" s="34"/>
      <c r="P156" s="34"/>
      <c r="Q156" s="870"/>
      <c r="R156" s="493"/>
      <c r="S156" s="870"/>
      <c r="T156" s="714"/>
      <c r="U156" s="736"/>
      <c r="AD156" s="31"/>
      <c r="AE156" s="31"/>
      <c r="AJ156" s="31"/>
    </row>
    <row r="157" spans="2:42" ht="17.25" customHeight="1">
      <c r="B157" s="733"/>
      <c r="C157" s="713"/>
      <c r="D157" s="36" t="s">
        <v>29</v>
      </c>
      <c r="E157" s="850"/>
      <c r="F157" s="36" t="s">
        <v>146</v>
      </c>
      <c r="G157" s="36" t="s">
        <v>147</v>
      </c>
      <c r="H157" s="36" t="s">
        <v>148</v>
      </c>
      <c r="I157" s="883" t="str">
        <f>IF(AND('Internal Ref'!$J$236=0,'Internal Ref'!$N$236&gt;0),"No gearing applied as no rent entered","")</f>
        <v/>
      </c>
      <c r="J157" s="883"/>
      <c r="K157" s="850"/>
      <c r="L157" s="836"/>
      <c r="M157" s="850"/>
      <c r="N157" s="850"/>
      <c r="O157" s="850"/>
      <c r="P157" s="850"/>
      <c r="Q157" s="39" t="s">
        <v>149</v>
      </c>
      <c r="R157" s="47"/>
      <c r="S157" s="39" t="s">
        <v>149</v>
      </c>
      <c r="T157" s="714"/>
      <c r="U157" s="736"/>
      <c r="AD157" s="31"/>
      <c r="AE157" s="31"/>
      <c r="AJ157" s="31"/>
    </row>
    <row r="158" spans="2:42" ht="17.25" customHeight="1">
      <c r="B158" s="733"/>
      <c r="C158" s="713"/>
      <c r="D158" s="909" t="str">
        <f>IF(D10="","",D10)</f>
        <v>Fan Jiang</v>
      </c>
      <c r="E158" s="850"/>
      <c r="F158" s="1358">
        <f>(SUMIFS($W$18:$W$73,$C$18:$C$73,D158)
+SUMPRODUCT($W$84:$W$86,$AD$84:$AD$86)
-SUM($AG$84:$AG$85)/12
-SUM($W$103:$W$104)/12
-SUM($W$148:$W$149)/12
)*12</f>
        <v>1118421.2991803279</v>
      </c>
      <c r="G158" s="1358">
        <f>MAX((SUMIFS($AB$18:$AB$73,$C$18:$C$73,D158)
+SUMPRODUCT($X$84:$X$85,$AD$84:$AD$85)
-SUM($AG$84:$AG$85)/12
-SUM($W$103:$W$104)/12
-SUM($W$148:$W$149)/12
)*12,0)</f>
        <v>1118421.2991803279</v>
      </c>
      <c r="H158" s="1359">
        <f>IF(G158=0,0,Q158*12/G158)</f>
        <v>0.43972339491784446</v>
      </c>
      <c r="K158" s="989"/>
      <c r="L158" s="1028"/>
      <c r="M158" s="989"/>
      <c r="N158" s="874"/>
      <c r="O158" s="874"/>
      <c r="P158" s="874"/>
      <c r="Q158" s="931">
        <f>TAX_ON_GROSS(G158, TRUE, IF(ISBLANK($D$11),1,2), $E$10+$E$11)/12</f>
        <v>40983.000885333335</v>
      </c>
      <c r="R158" s="875"/>
      <c r="S158" s="931">
        <f>Q158</f>
        <v>40983.000885333335</v>
      </c>
      <c r="T158" s="714"/>
      <c r="U158" s="736"/>
      <c r="W158" s="54"/>
      <c r="Y158" s="34"/>
      <c r="AD158" s="31"/>
      <c r="AE158" s="31"/>
      <c r="AJ158" s="31"/>
    </row>
    <row r="159" spans="2:42" ht="17.25" customHeight="1">
      <c r="B159" s="733"/>
      <c r="C159" s="713"/>
      <c r="D159" s="1323" t="str">
        <f>IF(D11="","",D11)</f>
        <v>Sifei Liu</v>
      </c>
      <c r="E159" s="851"/>
      <c r="F159" s="1362">
        <f>(SUMIFS($W$18:$W$73,$C$18:$C$73,D159)
+SUMPRODUCT($W$84:$W$86,$AE$84:$AE$86)
-SUM($AH$84:$AH$85)/12
-SUM($X$103:$X$104)/12
-SUM($X$148:$X$149)/12
)*12</f>
        <v>178377.72131147541</v>
      </c>
      <c r="G159" s="1362">
        <f>MAX((SUMIFS($AB$18:$AB$73,$C$18:$C$73,D159)
+SUMPRODUCT($X$84:$X$86,$AE$84:$AE$86)
-SUM($AH$84:$AH$85)/12
-SUM($X$103:$X$104)/12
-SUM($X$148:$X$149)/12
)*12,0)</f>
        <v>178377.72131147541</v>
      </c>
      <c r="H159" s="1363">
        <f>IF(G159=0,0,ROUND(Q159*12/G159,4))</f>
        <v>0.28539999999999999</v>
      </c>
      <c r="I159" s="871"/>
      <c r="J159" s="871"/>
      <c r="K159" s="872"/>
      <c r="L159" s="876"/>
      <c r="M159" s="872"/>
      <c r="N159" s="872"/>
      <c r="O159" s="872"/>
      <c r="P159" s="872"/>
      <c r="Q159" s="1324">
        <f>TAX_ON_GROSS(G159, TRUE, IF(ISBLANK($D$11),1,2), $E$10+$E$11)/12</f>
        <v>4242.1092755833333</v>
      </c>
      <c r="R159" s="877"/>
      <c r="S159" s="1324">
        <f>Q159</f>
        <v>4242.1092755833333</v>
      </c>
      <c r="T159" s="714"/>
      <c r="U159" s="736"/>
      <c r="W159" s="54"/>
      <c r="AD159" s="31"/>
      <c r="AE159" s="31"/>
      <c r="AJ159" s="31"/>
    </row>
    <row r="160" spans="2:42" ht="17.25" customHeight="1">
      <c r="B160" s="733"/>
      <c r="C160" s="713"/>
      <c r="D160" s="878" t="str">
        <f>W12</f>
        <v>Fan Jiang 50% Sifei Liu 50%</v>
      </c>
      <c r="E160" s="66"/>
      <c r="F160" s="66"/>
      <c r="G160" s="66"/>
      <c r="H160" s="879">
        <f>AVERAGE(H158:H159)</f>
        <v>0.36256169745892219</v>
      </c>
      <c r="I160" s="34"/>
      <c r="J160" s="34"/>
      <c r="K160" s="881"/>
      <c r="L160" s="67"/>
      <c r="M160" s="881"/>
      <c r="N160" s="881"/>
      <c r="O160" s="881"/>
      <c r="P160" s="881"/>
      <c r="Q160" s="56">
        <f t="array" ref="Q160">SUM(ROUND(Q158:Q159,2))</f>
        <v>45225.11</v>
      </c>
      <c r="R160" s="834"/>
      <c r="S160" s="56">
        <f t="array" ref="S160">SUM(ROUND(S158:S159,2))</f>
        <v>45225.11</v>
      </c>
      <c r="T160" s="905"/>
      <c r="U160" s="736"/>
      <c r="W160" s="54"/>
      <c r="AD160" s="31"/>
      <c r="AE160" s="31"/>
      <c r="AJ160" s="31"/>
    </row>
    <row r="161" spans="2:36" ht="17.25" customHeight="1">
      <c r="B161" s="733"/>
      <c r="C161" s="713"/>
      <c r="D161" s="161" t="s">
        <v>150</v>
      </c>
      <c r="G161" s="32"/>
      <c r="H161" s="32"/>
      <c r="I161" s="48"/>
      <c r="J161" s="48"/>
      <c r="L161" s="34"/>
      <c r="M161" s="34"/>
      <c r="N161" s="34"/>
      <c r="O161" s="34"/>
      <c r="P161" s="34"/>
      <c r="Q161" s="59">
        <f>SUM(Q105,Q137,Q150,Q160)</f>
        <v>84524.19</v>
      </c>
      <c r="R161" s="834"/>
      <c r="S161" s="59">
        <f>SUM(S105,S137,S150,S155,S160)</f>
        <v>97733.42</v>
      </c>
      <c r="T161" s="901"/>
      <c r="U161" s="736"/>
      <c r="W161" s="54">
        <f>Q73-Q158</f>
        <v>72576.079114666674</v>
      </c>
      <c r="AD161" s="31"/>
      <c r="AE161" s="31"/>
      <c r="AJ161" s="31"/>
    </row>
    <row r="162" spans="2:36">
      <c r="B162" s="733"/>
      <c r="C162" s="807"/>
      <c r="D162" s="961"/>
      <c r="E162" s="727"/>
      <c r="F162" s="727"/>
      <c r="G162" s="948"/>
      <c r="H162" s="948"/>
      <c r="I162" s="962"/>
      <c r="J162" s="962"/>
      <c r="K162" s="727"/>
      <c r="L162" s="715"/>
      <c r="M162" s="715"/>
      <c r="N162" s="715"/>
      <c r="O162" s="715"/>
      <c r="P162" s="715"/>
      <c r="Q162" s="949"/>
      <c r="R162" s="828"/>
      <c r="S162" s="949"/>
      <c r="T162" s="908"/>
      <c r="U162" s="736"/>
      <c r="W162" s="54"/>
      <c r="AD162" s="31"/>
      <c r="AE162" s="31"/>
      <c r="AJ162" s="31"/>
    </row>
    <row r="163" spans="2:36" ht="7.5" customHeight="1">
      <c r="B163" s="733"/>
      <c r="C163" s="735"/>
      <c r="D163" s="975"/>
      <c r="E163" s="975"/>
      <c r="F163" s="976"/>
      <c r="G163" s="735"/>
      <c r="H163" s="735"/>
      <c r="I163" s="977"/>
      <c r="J163" s="977"/>
      <c r="K163" s="735"/>
      <c r="L163" s="735"/>
      <c r="M163" s="735"/>
      <c r="N163" s="735"/>
      <c r="O163" s="735"/>
      <c r="P163" s="735"/>
      <c r="Q163" s="893"/>
      <c r="R163" s="893"/>
      <c r="S163" s="893"/>
      <c r="T163" s="893"/>
      <c r="U163" s="736"/>
      <c r="W163" s="54"/>
      <c r="AD163" s="31"/>
      <c r="AE163" s="31"/>
      <c r="AJ163" s="31"/>
    </row>
    <row r="164" spans="2:36" ht="7.5" customHeight="1">
      <c r="B164" s="733"/>
      <c r="C164" s="945"/>
      <c r="D164" s="981"/>
      <c r="E164" s="981"/>
      <c r="F164" s="946"/>
      <c r="G164" s="743"/>
      <c r="H164" s="743"/>
      <c r="I164" s="982"/>
      <c r="J164" s="982"/>
      <c r="K164" s="743"/>
      <c r="L164" s="712"/>
      <c r="M164" s="712"/>
      <c r="N164" s="712"/>
      <c r="O164" s="712"/>
      <c r="P164" s="712"/>
      <c r="Q164" s="825"/>
      <c r="R164" s="825"/>
      <c r="S164" s="825"/>
      <c r="T164" s="947"/>
      <c r="U164" s="736"/>
      <c r="W164" s="54"/>
      <c r="AD164" s="31"/>
      <c r="AE164" s="31"/>
      <c r="AJ164" s="31"/>
    </row>
    <row r="165" spans="2:36" ht="17.25" customHeight="1">
      <c r="B165" s="733"/>
      <c r="C165" s="713"/>
      <c r="D165" s="68" t="s">
        <v>151</v>
      </c>
      <c r="G165" s="32"/>
      <c r="H165" s="32"/>
      <c r="I165" s="32"/>
      <c r="J165" s="32"/>
      <c r="K165" s="32"/>
      <c r="M165" s="34"/>
      <c r="N165" s="34"/>
      <c r="O165" s="34"/>
      <c r="P165" s="34"/>
      <c r="Q165" s="59">
        <f>Q87-Q161</f>
        <v>29034.89</v>
      </c>
      <c r="R165" s="834"/>
      <c r="S165" s="59">
        <f>S87-S161</f>
        <v>15825.660000000003</v>
      </c>
      <c r="T165" s="714"/>
      <c r="U165" s="736"/>
      <c r="AD165" s="31"/>
      <c r="AE165" s="31"/>
      <c r="AJ165" s="31"/>
    </row>
    <row r="166" spans="2:36" ht="17.25" customHeight="1">
      <c r="B166" s="733"/>
      <c r="C166" s="713"/>
      <c r="D166" s="886"/>
      <c r="G166" s="32"/>
      <c r="H166" s="1014" t="str">
        <f>BorrowPower(S165,D148:X149,"Label",ROW(H166))</f>
        <v>OO 100% | 5.62% | 30Y</v>
      </c>
      <c r="I166" s="32"/>
      <c r="J166" s="32"/>
      <c r="K166" s="32"/>
      <c r="M166" s="34"/>
      <c r="N166" s="34"/>
      <c r="O166" s="34"/>
      <c r="P166" s="34"/>
      <c r="Q166" s="59"/>
      <c r="R166" s="834"/>
      <c r="S166" s="59"/>
      <c r="T166" s="714"/>
      <c r="U166" s="736"/>
      <c r="AD166" s="31"/>
      <c r="AE166" s="31"/>
      <c r="AJ166" s="31"/>
    </row>
    <row r="167" spans="2:36" ht="17.25" customHeight="1">
      <c r="B167" s="733"/>
      <c r="C167" s="713"/>
      <c r="D167" s="7" t="s">
        <v>152</v>
      </c>
      <c r="G167" s="1480">
        <f>BorrowPower(S165,D148:X149,"BP",ROW(G167))</f>
        <v>7635499.9981616996</v>
      </c>
      <c r="H167" s="1481"/>
      <c r="I167"/>
      <c r="J167" s="889"/>
      <c r="K167" s="887">
        <v>0</v>
      </c>
      <c r="L167" s="887"/>
      <c r="M167" s="34"/>
      <c r="N167" s="34"/>
      <c r="O167" s="34"/>
      <c r="P167" s="34"/>
      <c r="Q167" s="888"/>
      <c r="R167" s="834"/>
      <c r="S167" s="888"/>
      <c r="T167" s="714"/>
      <c r="U167" s="736"/>
      <c r="AD167" s="31"/>
      <c r="AE167" s="31"/>
      <c r="AJ167" s="31"/>
    </row>
    <row r="168" spans="2:36" ht="17.25" customHeight="1">
      <c r="B168" s="733"/>
      <c r="C168" s="713"/>
      <c r="D168" s="7" t="s">
        <v>153</v>
      </c>
      <c r="G168" s="925"/>
      <c r="H168" s="891" cm="1">
        <f t="array" ref="H168">Calc_DTI(SUMPRODUCT(D148:D149,AF148:AF149),SUMPRODUCT(H103:H104,AF103:AF104), AC73, D84:X85,"DTI")</f>
        <v>4.1094614949915647</v>
      </c>
      <c r="I168" s="32"/>
      <c r="J168" s="32"/>
      <c r="K168" s="32"/>
      <c r="M168" s="34"/>
      <c r="N168" s="34"/>
      <c r="O168" s="34"/>
      <c r="P168" s="34"/>
      <c r="Q168" s="888"/>
      <c r="R168" s="834"/>
      <c r="S168" s="888"/>
      <c r="T168" s="714"/>
      <c r="U168" s="736"/>
      <c r="AD168" s="31"/>
      <c r="AE168" s="31"/>
      <c r="AJ168" s="31"/>
    </row>
    <row r="169" spans="2:36">
      <c r="B169" s="733"/>
      <c r="C169" s="709"/>
      <c r="D169" s="715"/>
      <c r="E169" s="715"/>
      <c r="F169" s="715"/>
      <c r="G169" s="715"/>
      <c r="H169" s="995" t="str" cm="1">
        <f t="array" ref="H169">DTI_Policy($H$168,COUNTIFS(E84:E85,"Rent*",G84:G85,"&gt; 0")+COUNTIFS(F84:F85,"Rent*",G84:G85,"&gt; 0")+COUNTIF(F149:F149,TRUE), "Message")</f>
        <v/>
      </c>
      <c r="I169" s="715"/>
      <c r="J169" s="715"/>
      <c r="K169" s="715"/>
      <c r="L169" s="715"/>
      <c r="M169" s="715"/>
      <c r="N169" s="715"/>
      <c r="O169" s="715"/>
      <c r="P169" s="715"/>
      <c r="Q169" s="828"/>
      <c r="R169" s="828"/>
      <c r="S169" s="828"/>
      <c r="T169" s="716"/>
      <c r="U169" s="736"/>
      <c r="AD169" s="31"/>
      <c r="AE169" s="31"/>
      <c r="AG169" s="39"/>
      <c r="AH169" s="39"/>
      <c r="AJ169" s="31"/>
    </row>
    <row r="170" spans="2:36" ht="7.5" customHeight="1">
      <c r="B170" s="733"/>
      <c r="C170" s="735"/>
      <c r="D170" s="735"/>
      <c r="E170" s="735"/>
      <c r="F170" s="735"/>
      <c r="G170" s="735"/>
      <c r="H170" s="735"/>
      <c r="I170" s="735"/>
      <c r="J170" s="735"/>
      <c r="K170" s="735"/>
      <c r="L170" s="735"/>
      <c r="M170" s="735"/>
      <c r="N170" s="735"/>
      <c r="O170" s="735"/>
      <c r="P170" s="735"/>
      <c r="Q170" s="893"/>
      <c r="R170" s="893"/>
      <c r="S170" s="893"/>
      <c r="T170" s="735"/>
      <c r="U170" s="736"/>
      <c r="AD170" s="31"/>
      <c r="AE170" s="31"/>
      <c r="AG170" s="39"/>
      <c r="AH170" s="39"/>
      <c r="AJ170" s="31"/>
    </row>
    <row r="171" spans="2:36" ht="17.25" hidden="1" customHeight="1">
      <c r="B171" s="733"/>
      <c r="C171" s="1477" t="s">
        <v>154</v>
      </c>
      <c r="D171" s="1477"/>
      <c r="E171" s="1477"/>
      <c r="F171" s="1477"/>
      <c r="G171" s="1477"/>
      <c r="H171" s="1477"/>
      <c r="I171" s="1477"/>
      <c r="J171" s="1477"/>
      <c r="K171" s="1477"/>
      <c r="L171" s="1477"/>
      <c r="M171" s="1477"/>
      <c r="N171" s="1477"/>
      <c r="O171" s="993"/>
      <c r="P171" s="735"/>
      <c r="Q171" s="893"/>
      <c r="R171" s="893"/>
      <c r="S171" s="893"/>
      <c r="T171" s="735"/>
      <c r="U171" s="736"/>
      <c r="AD171" s="31"/>
      <c r="AE171" s="31"/>
      <c r="AG171" s="39"/>
      <c r="AH171" s="39"/>
      <c r="AJ171" s="31"/>
    </row>
    <row r="172" spans="2:36" ht="17.25" hidden="1" customHeight="1">
      <c r="B172" s="733"/>
      <c r="C172" s="945"/>
      <c r="D172" s="743"/>
      <c r="E172" s="743"/>
      <c r="F172" s="743"/>
      <c r="G172" s="743"/>
      <c r="H172" s="743"/>
      <c r="I172" s="743"/>
      <c r="J172" s="743"/>
      <c r="K172" s="743"/>
      <c r="L172" s="743"/>
      <c r="M172" s="743"/>
      <c r="N172" s="743"/>
      <c r="O172" s="707"/>
      <c r="P172" s="707"/>
      <c r="Q172" s="996"/>
      <c r="R172" s="996"/>
      <c r="S172" s="996"/>
      <c r="T172" s="708"/>
      <c r="U172" s="736"/>
      <c r="AD172" s="31"/>
      <c r="AE172" s="31"/>
      <c r="AG172" s="39"/>
      <c r="AH172" s="39"/>
      <c r="AJ172" s="31"/>
    </row>
    <row r="173" spans="2:36" ht="17.25" hidden="1" customHeight="1">
      <c r="B173" s="733"/>
      <c r="C173" s="725"/>
      <c r="D173" s="7" t="s">
        <v>155</v>
      </c>
      <c r="E173" s="7" t="s">
        <v>156</v>
      </c>
      <c r="F173" s="7" t="s">
        <v>157</v>
      </c>
      <c r="G173" s="7" t="s">
        <v>126</v>
      </c>
      <c r="H173" s="7" t="s">
        <v>158</v>
      </c>
      <c r="I173" s="7" t="s">
        <v>159</v>
      </c>
      <c r="J173" s="7"/>
      <c r="L173" s="894" t="s">
        <v>151</v>
      </c>
      <c r="M173" s="895"/>
      <c r="N173" s="71"/>
      <c r="O173" s="71"/>
      <c r="P173" s="71"/>
      <c r="Q173" s="59">
        <f>SUM(I174:I177)</f>
        <v>15825.660000000003</v>
      </c>
      <c r="R173" s="896"/>
      <c r="S173" s="896"/>
      <c r="T173" s="714"/>
      <c r="U173" s="736"/>
      <c r="AD173" s="31"/>
      <c r="AE173" s="31"/>
      <c r="AJ173" s="31"/>
    </row>
    <row r="174" spans="2:36" ht="17.25" hidden="1" customHeight="1">
      <c r="B174" s="733"/>
      <c r="C174" s="725"/>
      <c r="D174" s="1366" t="str">
        <f>VLOOKUP("SoP 1",'Internal Ref'!$A$234:$G$237,2,FALSE)</f>
        <v>Fan Jiang &amp; Sifei Liu</v>
      </c>
      <c r="E174" s="1364">
        <f>VLOOKUP("SoP 1",'Internal Ref'!$A$234:$G$237,3,FALSE)</f>
        <v>113559.08</v>
      </c>
      <c r="F174" s="1365">
        <f>VLOOKUP("SoP 1",'Internal Ref'!$A$234:$G$237,4,FALSE)</f>
        <v>8972</v>
      </c>
      <c r="G174" s="1365">
        <f>VLOOKUP("SoP 1",'Internal Ref'!$A$234:$G$237,5,FALSE)</f>
        <v>43536.31</v>
      </c>
      <c r="H174" s="1365">
        <f>VLOOKUP("SoP 1",'Internal Ref'!$A$234:$G$237,6,FALSE)</f>
        <v>45225.110160916665</v>
      </c>
      <c r="I174" s="1364">
        <f>VLOOKUP("SoP 1",'Internal Ref'!$A$234:$G$237,7,FALSE)</f>
        <v>15825.660000000003</v>
      </c>
      <c r="J174" s="536"/>
      <c r="K174" s="897">
        <f>VLOOKUP("SoP 1",'Internal Ref'!$A$234:$L$237,12,FALSE)</f>
        <v>0</v>
      </c>
      <c r="L174" s="858" t="s">
        <v>152</v>
      </c>
      <c r="M174" s="803"/>
      <c r="N174" s="72"/>
      <c r="O174" s="72"/>
      <c r="P174" s="72"/>
      <c r="Q174" s="1367">
        <f>'SoP 4'!G131 + 'SoP 2'!G131+ 'SoP 1'!G167 + 'SoP 3'!G131</f>
        <v>7635499.9981616996</v>
      </c>
      <c r="R174" s="896"/>
      <c r="S174" s="896"/>
      <c r="T174" s="714"/>
      <c r="U174" s="736"/>
      <c r="AD174" s="31"/>
      <c r="AE174" s="31"/>
      <c r="AJ174" s="31"/>
    </row>
    <row r="175" spans="2:36" ht="17.25" hidden="1" customHeight="1">
      <c r="B175" s="733"/>
      <c r="C175" s="725"/>
      <c r="D175" s="1366" t="str">
        <f>VLOOKUP("SoP 2",'Internal Ref'!$A$234:$G$237,2,FALSE)</f>
        <v/>
      </c>
      <c r="E175" s="1364">
        <f>VLOOKUP("SoP 2",'Internal Ref'!$A$234:$G$237,3,FALSE)</f>
        <v>0</v>
      </c>
      <c r="F175" s="1365">
        <f>VLOOKUP("SoP 2",'Internal Ref'!$A$234:$G$237,4,FALSE)</f>
        <v>0</v>
      </c>
      <c r="G175" s="1365">
        <f>VLOOKUP("SoP 2",'Internal Ref'!$A$234:$G$237,5,FALSE)</f>
        <v>0</v>
      </c>
      <c r="H175" s="1365">
        <f>VLOOKUP("SoP 2",'Internal Ref'!$A$234:$G$237,6,FALSE)</f>
        <v>0</v>
      </c>
      <c r="I175" s="1364">
        <f>VLOOKUP("SoP 2",'Internal Ref'!$A$234:$G$237,7,FALSE)</f>
        <v>0</v>
      </c>
      <c r="J175" s="536"/>
      <c r="K175" s="897">
        <f>VLOOKUP("SoP 2",'Internal Ref'!$A$234:$L$237,12,FALSE)</f>
        <v>0</v>
      </c>
      <c r="L175" s="858" t="s">
        <v>153</v>
      </c>
      <c r="M175" s="803"/>
      <c r="N175" s="72"/>
      <c r="O175" s="72"/>
      <c r="P175" s="72"/>
      <c r="Q175" s="898">
        <f>IF(SUM('Internal Ref'!$J$178:$J$181)=0,0,SUM('Internal Ref'!$J$178:$J$181)/SUM('Internal Ref'!$I$178:$I$181))</f>
        <v>4.1094614949915647</v>
      </c>
      <c r="R175" s="899"/>
      <c r="S175" s="896"/>
      <c r="T175" s="714"/>
      <c r="U175" s="736"/>
      <c r="AD175" s="31"/>
      <c r="AE175" s="31"/>
      <c r="AJ175" s="31"/>
    </row>
    <row r="176" spans="2:36" ht="17.25" hidden="1" customHeight="1">
      <c r="B176" s="733"/>
      <c r="C176" s="725"/>
      <c r="D176" s="1366" t="str">
        <f>VLOOKUP("SoP 3",'Internal Ref'!$A$234:$G$237,2,FALSE)</f>
        <v/>
      </c>
      <c r="E176" s="1364">
        <f>VLOOKUP("SoP 3",'Internal Ref'!$A$234:$G$237,3,FALSE)</f>
        <v>0</v>
      </c>
      <c r="F176" s="1365">
        <f>VLOOKUP("SoP 3",'Internal Ref'!$A$234:$G$237,4,FALSE)</f>
        <v>0</v>
      </c>
      <c r="G176" s="1365">
        <f>VLOOKUP("SoP 3",'Internal Ref'!$A$234:$G$237,5,FALSE)</f>
        <v>0</v>
      </c>
      <c r="H176" s="1365">
        <f>VLOOKUP("SoP 3",'Internal Ref'!$A$234:$G$237,6,FALSE)</f>
        <v>0</v>
      </c>
      <c r="I176" s="1364">
        <f>VLOOKUP("SoP 3",'Internal Ref'!$A$234:$G$237,7,FALSE)</f>
        <v>0</v>
      </c>
      <c r="J176" s="536"/>
      <c r="K176" s="897">
        <f>VLOOKUP("SoP 3",'Internal Ref'!$A$234:$L$237,12,FALSE)</f>
        <v>0</v>
      </c>
      <c r="R176" s="900"/>
      <c r="S176" s="896"/>
      <c r="T176" s="714"/>
      <c r="U176" s="736"/>
      <c r="AD176" s="31"/>
      <c r="AE176" s="31"/>
      <c r="AJ176" s="31"/>
    </row>
    <row r="177" spans="2:36" ht="17.25" hidden="1" customHeight="1">
      <c r="B177" s="733"/>
      <c r="C177" s="725"/>
      <c r="D177" s="1366" t="str">
        <f>VLOOKUP("SoP 4",'Internal Ref'!$A$234:$G$237,2,FALSE)</f>
        <v/>
      </c>
      <c r="E177" s="1364">
        <f>VLOOKUP("SoP 4",'Internal Ref'!$A$234:$G$237,3,FALSE)</f>
        <v>0</v>
      </c>
      <c r="F177" s="1365">
        <f>VLOOKUP("SoP 4",'Internal Ref'!$A$234:$G$237,4,FALSE)</f>
        <v>0</v>
      </c>
      <c r="G177" s="1365">
        <f>VLOOKUP("SoP 4",'Internal Ref'!$A$234:$G$237,5,FALSE)</f>
        <v>0</v>
      </c>
      <c r="H177" s="1365">
        <f>VLOOKUP("SoP 4",'Internal Ref'!$A$234:$G$237,6,FALSE)</f>
        <v>0</v>
      </c>
      <c r="I177" s="1364">
        <f>VLOOKUP("SoP 4",'Internal Ref'!$A$234:$G$237,7,FALSE)</f>
        <v>0</v>
      </c>
      <c r="J177" s="536"/>
      <c r="K177" s="897">
        <f>VLOOKUP("SoP 4",'Internal Ref'!$A$234:$L$237,12,FALSE)</f>
        <v>0</v>
      </c>
      <c r="Q177" s="40"/>
      <c r="R177" s="40"/>
      <c r="S177" s="896"/>
      <c r="T177" s="714"/>
      <c r="U177" s="736"/>
      <c r="AD177" s="31"/>
      <c r="AE177" s="31"/>
      <c r="AJ177" s="31"/>
    </row>
    <row r="178" spans="2:36" ht="17.25" hidden="1" customHeight="1">
      <c r="B178" s="733"/>
      <c r="C178" s="709"/>
      <c r="D178" s="804"/>
      <c r="E178" s="805"/>
      <c r="F178" s="805"/>
      <c r="G178" s="805"/>
      <c r="H178" s="805"/>
      <c r="I178" s="805"/>
      <c r="J178" s="805"/>
      <c r="K178" s="805"/>
      <c r="L178" s="997" t="str" cm="1">
        <f t="array" ref="L178">DTI_Policy(Q175,SUM($K$174:$K$177), "Message")</f>
        <v/>
      </c>
      <c r="M178" s="805"/>
      <c r="N178" s="805"/>
      <c r="O178" s="805"/>
      <c r="P178" s="805"/>
      <c r="Q178" s="727"/>
      <c r="R178" s="805"/>
      <c r="S178" s="805"/>
      <c r="T178" s="710"/>
      <c r="U178" s="736"/>
      <c r="AD178" s="31"/>
      <c r="AE178" s="31"/>
      <c r="AG178" s="39"/>
      <c r="AH178" s="39"/>
      <c r="AJ178" s="31"/>
    </row>
    <row r="179" spans="2:36" ht="17.25" hidden="1" customHeight="1">
      <c r="B179" s="733"/>
      <c r="C179" s="735"/>
      <c r="D179" s="735"/>
      <c r="E179" s="735"/>
      <c r="F179" s="735"/>
      <c r="G179" s="735"/>
      <c r="H179" s="735"/>
      <c r="I179" s="735"/>
      <c r="J179" s="735"/>
      <c r="K179" s="735"/>
      <c r="L179" s="735"/>
      <c r="M179" s="735"/>
      <c r="N179" s="735"/>
      <c r="O179" s="735"/>
      <c r="P179" s="735"/>
      <c r="Q179" s="735"/>
      <c r="R179" s="735"/>
      <c r="S179" s="735"/>
      <c r="T179" s="735"/>
      <c r="U179" s="736"/>
      <c r="AD179" s="31"/>
      <c r="AE179" s="31"/>
      <c r="AG179" s="39"/>
      <c r="AH179" s="39"/>
      <c r="AJ179" s="31"/>
    </row>
    <row r="180" spans="2:36" ht="17.25" customHeight="1">
      <c r="B180" s="733"/>
      <c r="C180" s="775" t="s">
        <v>160</v>
      </c>
      <c r="D180" s="735"/>
      <c r="E180" s="983"/>
      <c r="F180" s="983"/>
      <c r="G180" s="983"/>
      <c r="H180" s="983"/>
      <c r="I180" s="983"/>
      <c r="J180" s="983"/>
      <c r="K180" s="983"/>
      <c r="L180" s="983"/>
      <c r="M180" s="983"/>
      <c r="N180" s="983"/>
      <c r="O180" s="983"/>
      <c r="P180" s="983"/>
      <c r="Q180" s="983"/>
      <c r="R180" s="983"/>
      <c r="S180" s="983"/>
      <c r="T180" s="735"/>
      <c r="U180" s="736"/>
      <c r="AD180" s="31"/>
      <c r="AE180" s="31"/>
      <c r="AG180" s="39"/>
      <c r="AH180" s="39"/>
      <c r="AJ180" s="31"/>
    </row>
    <row r="181" spans="2:36" ht="27" customHeight="1">
      <c r="B181" s="733"/>
      <c r="C181" s="1478" t="str">
        <f ca="1">"This is an estimate only, current as at "&amp;TEXT(TODAY(),"dd/mm/yyyy")&amp;". It is provided for illustrative purposes only and is based on the accuracy of information provided. "&amp;"It does not constitute a quote or offer for credit. All applications for credit are subject to ANZ’s normal credit approval criteria. Terms and conditions apply and are available on application. Fees and charges apply."</f>
        <v>This is an estimate only, current as at 03/06/2025. It is provided for illustrative purposes only and is based on the accuracy of information provided. It does not constitute a quote or offer for credit. All applications for credit are subject to ANZ’s normal credit approval criteria. Terms and conditions apply and are available on application. Fees and charges apply.</v>
      </c>
      <c r="D181" s="1478"/>
      <c r="E181" s="1478"/>
      <c r="F181" s="1478"/>
      <c r="G181" s="1478"/>
      <c r="H181" s="1478"/>
      <c r="I181" s="1478"/>
      <c r="J181" s="1478"/>
      <c r="K181" s="1478"/>
      <c r="L181" s="1478"/>
      <c r="M181" s="1478"/>
      <c r="N181" s="1478"/>
      <c r="O181" s="1478"/>
      <c r="P181" s="1478"/>
      <c r="Q181" s="1478"/>
      <c r="R181" s="1478"/>
      <c r="S181" s="1478"/>
      <c r="T181" s="985"/>
      <c r="U181" s="736"/>
      <c r="AD181" s="31"/>
      <c r="AE181" s="31"/>
      <c r="AG181" s="39"/>
      <c r="AH181" s="39"/>
      <c r="AJ181" s="31"/>
    </row>
    <row r="182" spans="2:36">
      <c r="B182" s="734"/>
      <c r="C182" s="738"/>
      <c r="D182" s="738"/>
      <c r="E182" s="738"/>
      <c r="F182" s="738"/>
      <c r="G182" s="738"/>
      <c r="H182" s="738"/>
      <c r="I182" s="738"/>
      <c r="J182" s="738"/>
      <c r="K182" s="738"/>
      <c r="L182" s="738"/>
      <c r="M182" s="738"/>
      <c r="N182" s="738"/>
      <c r="O182" s="738"/>
      <c r="P182" s="738"/>
      <c r="Q182" s="738"/>
      <c r="R182" s="738"/>
      <c r="S182" s="738"/>
      <c r="T182" s="818" t="str">
        <f>ML_CALC_VERSION</f>
        <v>HL_Calc_V54_250405</v>
      </c>
      <c r="U182" s="737"/>
      <c r="AD182" s="31"/>
      <c r="AE182" s="31"/>
      <c r="AG182" s="39"/>
      <c r="AH182" s="39"/>
      <c r="AJ182" s="31"/>
    </row>
    <row r="183" spans="2:36" ht="24.75" customHeight="1">
      <c r="AD183" s="31"/>
      <c r="AE183" s="31"/>
      <c r="AG183" s="39"/>
      <c r="AH183" s="39"/>
      <c r="AJ183" s="31"/>
    </row>
    <row r="184" spans="2:36" ht="24.75" customHeight="1">
      <c r="AD184" s="31"/>
      <c r="AE184" s="31"/>
      <c r="AJ184" s="31"/>
    </row>
    <row r="185" spans="2:36" ht="24.75" customHeight="1">
      <c r="AD185" s="31"/>
      <c r="AE185" s="31"/>
      <c r="AJ185" s="31"/>
    </row>
    <row r="186" spans="2:36">
      <c r="AD186" s="31"/>
      <c r="AE186" s="31"/>
      <c r="AJ186" s="31"/>
    </row>
    <row r="187" spans="2:36">
      <c r="AD187" s="31"/>
      <c r="AE187" s="31"/>
      <c r="AJ187" s="31"/>
    </row>
    <row r="188" spans="2:36">
      <c r="AD188" s="31"/>
      <c r="AE188" s="31"/>
      <c r="AJ188" s="31"/>
    </row>
    <row r="189" spans="2:36">
      <c r="AD189" s="31"/>
      <c r="AE189" s="31"/>
      <c r="AJ189" s="31"/>
    </row>
    <row r="190" spans="2:36">
      <c r="AD190" s="31"/>
      <c r="AE190" s="31"/>
      <c r="AJ190" s="31"/>
    </row>
    <row r="191" spans="2:36">
      <c r="AD191" s="31"/>
      <c r="AE191" s="31"/>
      <c r="AJ191" s="31"/>
    </row>
    <row r="192" spans="2:36">
      <c r="AD192" s="31"/>
      <c r="AE192" s="31"/>
      <c r="AJ192" s="31"/>
    </row>
    <row r="193" spans="30:42">
      <c r="AD193" s="31"/>
      <c r="AE193" s="31"/>
      <c r="AJ193" s="31"/>
    </row>
    <row r="194" spans="30:42">
      <c r="AD194" s="31"/>
      <c r="AE194" s="31"/>
      <c r="AJ194" s="31"/>
    </row>
    <row r="195" spans="30:42">
      <c r="AD195" s="31"/>
      <c r="AE195" s="31"/>
      <c r="AJ195" s="31"/>
    </row>
    <row r="196" spans="30:42">
      <c r="AD196" s="31"/>
      <c r="AE196" s="31"/>
      <c r="AJ196" s="31"/>
    </row>
    <row r="197" spans="30:42">
      <c r="AD197" s="31"/>
      <c r="AE197" s="31"/>
      <c r="AJ197" s="31"/>
      <c r="AN197" s="1">
        <v>431618.61017838301</v>
      </c>
      <c r="AP197" s="1" t="b">
        <v>0</v>
      </c>
    </row>
    <row r="198" spans="30:42">
      <c r="AD198" s="31"/>
      <c r="AE198" s="31"/>
      <c r="AJ198" s="31"/>
    </row>
    <row r="199" spans="30:42">
      <c r="AD199" s="31"/>
      <c r="AE199" s="31"/>
      <c r="AJ199" s="31"/>
    </row>
    <row r="200" spans="30:42">
      <c r="AD200" s="31"/>
      <c r="AE200" s="31"/>
      <c r="AJ200" s="31"/>
    </row>
    <row r="201" spans="30:42">
      <c r="AD201" s="31"/>
      <c r="AE201" s="31"/>
      <c r="AJ201" s="31"/>
    </row>
    <row r="202" spans="30:42">
      <c r="AD202" s="31"/>
      <c r="AE202" s="31"/>
      <c r="AJ202" s="31"/>
    </row>
    <row r="203" spans="30:42">
      <c r="AD203" s="31"/>
      <c r="AE203" s="31"/>
      <c r="AJ203" s="31"/>
    </row>
    <row r="204" spans="30:42">
      <c r="AD204" s="31"/>
      <c r="AE204" s="31"/>
      <c r="AJ204" s="31"/>
    </row>
    <row r="205" spans="30:42">
      <c r="AD205" s="31"/>
      <c r="AE205" s="31"/>
      <c r="AJ205" s="31"/>
    </row>
    <row r="206" spans="30:42">
      <c r="AD206" s="31"/>
      <c r="AE206" s="31"/>
      <c r="AJ206" s="31"/>
    </row>
    <row r="207" spans="30:42">
      <c r="AD207" s="31"/>
      <c r="AE207" s="31"/>
      <c r="AJ207" s="31"/>
    </row>
    <row r="208" spans="30:42">
      <c r="AD208" s="31"/>
      <c r="AE208" s="31"/>
      <c r="AJ208" s="31"/>
    </row>
    <row r="209" spans="30:36">
      <c r="AD209" s="31"/>
      <c r="AE209" s="31"/>
      <c r="AJ209" s="31"/>
    </row>
    <row r="210" spans="30:36">
      <c r="AD210" s="31"/>
      <c r="AE210" s="31"/>
      <c r="AJ210" s="31"/>
    </row>
    <row r="211" spans="30:36">
      <c r="AD211" s="31"/>
      <c r="AE211" s="31"/>
      <c r="AJ211" s="31"/>
    </row>
    <row r="212" spans="30:36">
      <c r="AD212" s="31"/>
      <c r="AE212" s="31"/>
      <c r="AJ212" s="31"/>
    </row>
    <row r="213" spans="30:36">
      <c r="AD213" s="31"/>
      <c r="AE213" s="31"/>
      <c r="AJ213" s="31"/>
    </row>
    <row r="214" spans="30:36">
      <c r="AD214" s="31"/>
      <c r="AE214" s="31"/>
      <c r="AJ214" s="31"/>
    </row>
    <row r="215" spans="30:36">
      <c r="AD215" s="31"/>
      <c r="AE215" s="31"/>
      <c r="AJ215" s="31"/>
    </row>
    <row r="216" spans="30:36">
      <c r="AD216" s="31"/>
      <c r="AE216" s="31"/>
      <c r="AJ216" s="31"/>
    </row>
    <row r="217" spans="30:36">
      <c r="AD217" s="31"/>
      <c r="AE217" s="31"/>
      <c r="AJ217" s="31"/>
    </row>
    <row r="218" spans="30:36">
      <c r="AD218" s="31"/>
      <c r="AE218" s="31"/>
      <c r="AJ218" s="31"/>
    </row>
    <row r="219" spans="30:36">
      <c r="AD219" s="31"/>
      <c r="AE219" s="31"/>
      <c r="AJ219" s="31"/>
    </row>
    <row r="220" spans="30:36">
      <c r="AD220" s="31"/>
      <c r="AE220" s="31"/>
      <c r="AJ220" s="31"/>
    </row>
    <row r="221" spans="30:36">
      <c r="AD221" s="31"/>
      <c r="AE221" s="31"/>
      <c r="AJ221" s="31"/>
    </row>
    <row r="222" spans="30:36">
      <c r="AD222" s="31"/>
      <c r="AE222" s="31"/>
      <c r="AJ222" s="31"/>
    </row>
    <row r="223" spans="30:36">
      <c r="AD223" s="31"/>
      <c r="AE223" s="31"/>
      <c r="AJ223" s="31"/>
    </row>
    <row r="224" spans="30:36">
      <c r="AD224" s="31"/>
      <c r="AE224" s="31"/>
      <c r="AJ224" s="31"/>
    </row>
    <row r="225" spans="30:36">
      <c r="AD225" s="31"/>
      <c r="AE225" s="31"/>
      <c r="AJ225" s="31"/>
    </row>
    <row r="226" spans="30:36">
      <c r="AD226" s="31"/>
      <c r="AE226" s="31"/>
      <c r="AJ226" s="31"/>
    </row>
    <row r="227" spans="30:36">
      <c r="AD227" s="31"/>
      <c r="AE227" s="31"/>
      <c r="AJ227" s="31"/>
    </row>
    <row r="228" spans="30:36">
      <c r="AD228" s="31"/>
      <c r="AE228" s="31"/>
      <c r="AJ228" s="31"/>
    </row>
    <row r="229" spans="30:36">
      <c r="AD229" s="31"/>
      <c r="AE229" s="31"/>
      <c r="AJ229" s="31"/>
    </row>
    <row r="230" spans="30:36">
      <c r="AD230" s="31"/>
      <c r="AE230" s="31"/>
      <c r="AJ230" s="31"/>
    </row>
    <row r="231" spans="30:36">
      <c r="AD231" s="31"/>
      <c r="AE231" s="31"/>
      <c r="AJ231" s="31"/>
    </row>
    <row r="232" spans="30:36">
      <c r="AD232" s="31"/>
      <c r="AE232" s="31"/>
      <c r="AJ232" s="31"/>
    </row>
    <row r="233" spans="30:36">
      <c r="AD233" s="31"/>
      <c r="AE233" s="31"/>
      <c r="AJ233" s="31"/>
    </row>
    <row r="234" spans="30:36">
      <c r="AD234" s="31"/>
      <c r="AE234" s="31"/>
      <c r="AJ234" s="31"/>
    </row>
    <row r="235" spans="30:36">
      <c r="AD235" s="31"/>
      <c r="AE235" s="31"/>
      <c r="AJ235" s="31"/>
    </row>
    <row r="236" spans="30:36">
      <c r="AD236" s="31"/>
      <c r="AE236" s="31"/>
      <c r="AJ236" s="31"/>
    </row>
    <row r="237" spans="30:36">
      <c r="AD237" s="31"/>
      <c r="AE237" s="31"/>
      <c r="AJ237" s="31"/>
    </row>
    <row r="238" spans="30:36">
      <c r="AD238" s="31"/>
      <c r="AE238" s="31"/>
      <c r="AJ238" s="31"/>
    </row>
    <row r="239" spans="30:36">
      <c r="AD239" s="31"/>
      <c r="AE239" s="31"/>
      <c r="AJ239" s="31"/>
    </row>
    <row r="240" spans="30:36">
      <c r="AD240" s="31"/>
      <c r="AE240" s="31"/>
      <c r="AJ240" s="31"/>
    </row>
    <row r="241" spans="30:36">
      <c r="AD241" s="31"/>
      <c r="AE241" s="31"/>
      <c r="AJ241" s="31"/>
    </row>
    <row r="242" spans="30:36">
      <c r="AD242" s="31"/>
      <c r="AE242" s="31"/>
      <c r="AJ242" s="31"/>
    </row>
    <row r="243" spans="30:36">
      <c r="AD243" s="31"/>
      <c r="AE243" s="31"/>
      <c r="AJ243" s="31"/>
    </row>
    <row r="244" spans="30:36">
      <c r="AD244" s="31"/>
      <c r="AE244" s="31"/>
      <c r="AJ244" s="31"/>
    </row>
    <row r="245" spans="30:36">
      <c r="AD245" s="31"/>
      <c r="AE245" s="31"/>
      <c r="AJ245" s="31"/>
    </row>
    <row r="246" spans="30:36">
      <c r="AD246" s="31"/>
      <c r="AE246" s="31"/>
      <c r="AJ246" s="31"/>
    </row>
    <row r="247" spans="30:36">
      <c r="AD247" s="31"/>
      <c r="AE247" s="31"/>
      <c r="AJ247" s="31"/>
    </row>
    <row r="248" spans="30:36">
      <c r="AD248" s="31"/>
      <c r="AE248" s="31"/>
      <c r="AJ248" s="31"/>
    </row>
    <row r="249" spans="30:36">
      <c r="AD249" s="31"/>
      <c r="AE249" s="31"/>
      <c r="AJ249" s="31"/>
    </row>
    <row r="250" spans="30:36">
      <c r="AD250" s="31"/>
      <c r="AE250" s="31"/>
    </row>
    <row r="251" spans="30:36">
      <c r="AD251" s="31"/>
      <c r="AE251" s="31"/>
    </row>
    <row r="252" spans="30:36">
      <c r="AD252" s="31"/>
      <c r="AE252" s="31"/>
    </row>
    <row r="253" spans="30:36">
      <c r="AD253" s="31"/>
      <c r="AE253" s="31"/>
    </row>
    <row r="254" spans="30:36">
      <c r="AD254" s="31"/>
      <c r="AE254" s="31"/>
    </row>
    <row r="255" spans="30:36">
      <c r="AD255" s="31"/>
      <c r="AE255" s="31"/>
    </row>
    <row r="256" spans="30:36">
      <c r="AD256" s="31"/>
      <c r="AE256" s="31"/>
    </row>
    <row r="257" spans="30:42">
      <c r="AD257" s="31"/>
      <c r="AE257" s="31"/>
    </row>
    <row r="258" spans="30:42">
      <c r="AD258" s="31"/>
      <c r="AE258" s="31"/>
    </row>
    <row r="259" spans="30:42">
      <c r="AD259" s="31"/>
      <c r="AE259" s="31"/>
    </row>
    <row r="260" spans="30:42">
      <c r="AD260" s="31"/>
      <c r="AE260" s="31"/>
    </row>
    <row r="261" spans="30:42">
      <c r="AD261" s="31"/>
      <c r="AE261" s="31"/>
    </row>
    <row r="262" spans="30:42">
      <c r="AD262" s="31"/>
      <c r="AE262" s="31"/>
    </row>
    <row r="263" spans="30:42">
      <c r="AD263" s="31"/>
      <c r="AE263" s="31"/>
    </row>
    <row r="264" spans="30:42">
      <c r="AD264" s="31"/>
      <c r="AE264" s="31"/>
    </row>
    <row r="265" spans="30:42">
      <c r="AD265" s="31"/>
      <c r="AE265" s="31"/>
    </row>
    <row r="266" spans="30:42">
      <c r="AD266" s="31"/>
      <c r="AE266" s="31"/>
    </row>
    <row r="267" spans="30:42">
      <c r="AD267" s="31"/>
      <c r="AE267" s="31"/>
    </row>
    <row r="268" spans="30:42">
      <c r="AD268" s="31"/>
      <c r="AE268" s="31"/>
    </row>
    <row r="269" spans="30:42">
      <c r="AD269" s="31"/>
      <c r="AE269" s="31"/>
    </row>
    <row r="270" spans="30:42">
      <c r="AD270" s="31"/>
      <c r="AE270" s="31"/>
    </row>
    <row r="271" spans="30:42">
      <c r="AD271" s="31"/>
      <c r="AE271" s="31"/>
      <c r="AN271" s="1">
        <v>7025170.7489288598</v>
      </c>
      <c r="AP271" s="1" t="b">
        <v>0</v>
      </c>
    </row>
    <row r="272" spans="30:42">
      <c r="AD272" s="31"/>
      <c r="AE272" s="31"/>
    </row>
    <row r="273" spans="30:31">
      <c r="AD273" s="31"/>
      <c r="AE273" s="31"/>
    </row>
    <row r="274" spans="30:31">
      <c r="AD274" s="31"/>
      <c r="AE274" s="31"/>
    </row>
    <row r="275" spans="30:31">
      <c r="AD275" s="31"/>
      <c r="AE275" s="31"/>
    </row>
    <row r="276" spans="30:31">
      <c r="AD276" s="31"/>
      <c r="AE276" s="31"/>
    </row>
    <row r="277" spans="30:31">
      <c r="AD277" s="31"/>
      <c r="AE277" s="31"/>
    </row>
    <row r="278" spans="30:31">
      <c r="AD278" s="31"/>
      <c r="AE278" s="31"/>
    </row>
    <row r="279" spans="30:31">
      <c r="AD279" s="31"/>
      <c r="AE279" s="31"/>
    </row>
    <row r="280" spans="30:31">
      <c r="AD280" s="31"/>
      <c r="AE280" s="31"/>
    </row>
    <row r="281" spans="30:31">
      <c r="AD281" s="31"/>
      <c r="AE281" s="31"/>
    </row>
    <row r="282" spans="30:31">
      <c r="AD282" s="31"/>
      <c r="AE282" s="31"/>
    </row>
    <row r="283" spans="30:31">
      <c r="AD283" s="31"/>
      <c r="AE283" s="31"/>
    </row>
    <row r="284" spans="30:31">
      <c r="AD284" s="31"/>
      <c r="AE284" s="31"/>
    </row>
    <row r="285" spans="30:31">
      <c r="AD285" s="31"/>
      <c r="AE285" s="31"/>
    </row>
    <row r="286" spans="30:31">
      <c r="AD286" s="31"/>
      <c r="AE286" s="31"/>
    </row>
    <row r="287" spans="30:31">
      <c r="AD287" s="31"/>
      <c r="AE287" s="31"/>
    </row>
    <row r="288" spans="30:31">
      <c r="AD288" s="31"/>
      <c r="AE288" s="31"/>
    </row>
    <row r="289" spans="30:31">
      <c r="AD289" s="31"/>
      <c r="AE289" s="31"/>
    </row>
    <row r="290" spans="30:31">
      <c r="AD290" s="31"/>
      <c r="AE290" s="31"/>
    </row>
    <row r="291" spans="30:31">
      <c r="AD291" s="31"/>
      <c r="AE291" s="31"/>
    </row>
    <row r="292" spans="30:31">
      <c r="AD292" s="31"/>
      <c r="AE292" s="31"/>
    </row>
    <row r="293" spans="30:31">
      <c r="AD293" s="31"/>
      <c r="AE293" s="31"/>
    </row>
    <row r="294" spans="30:31">
      <c r="AD294" s="31"/>
      <c r="AE294" s="31"/>
    </row>
    <row r="295" spans="30:31">
      <c r="AD295" s="31"/>
      <c r="AE295" s="31"/>
    </row>
    <row r="296" spans="30:31">
      <c r="AD296" s="31"/>
      <c r="AE296" s="31"/>
    </row>
    <row r="297" spans="30:31">
      <c r="AD297" s="31"/>
      <c r="AE297" s="31"/>
    </row>
    <row r="298" spans="30:31">
      <c r="AD298" s="31"/>
      <c r="AE298" s="31"/>
    </row>
    <row r="299" spans="30:31">
      <c r="AD299" s="31"/>
      <c r="AE299" s="31"/>
    </row>
    <row r="300" spans="30:31">
      <c r="AD300" s="31"/>
      <c r="AE300" s="31"/>
    </row>
    <row r="301" spans="30:31">
      <c r="AD301" s="31"/>
      <c r="AE301" s="31"/>
    </row>
    <row r="302" spans="30:31">
      <c r="AD302" s="31"/>
      <c r="AE302" s="31"/>
    </row>
    <row r="303" spans="30:31">
      <c r="AD303" s="31"/>
      <c r="AE303" s="31"/>
    </row>
    <row r="304" spans="30:31">
      <c r="AD304" s="31"/>
      <c r="AE304" s="31"/>
    </row>
    <row r="305" spans="30:31">
      <c r="AD305" s="31"/>
      <c r="AE305" s="31"/>
    </row>
    <row r="306" spans="30:31">
      <c r="AD306" s="31"/>
      <c r="AE306" s="31"/>
    </row>
    <row r="307" spans="30:31">
      <c r="AD307" s="31"/>
      <c r="AE307" s="31"/>
    </row>
    <row r="308" spans="30:31">
      <c r="AD308" s="31"/>
      <c r="AE308" s="31"/>
    </row>
    <row r="309" spans="30:31">
      <c r="AD309" s="31"/>
      <c r="AE309" s="31"/>
    </row>
    <row r="310" spans="30:31">
      <c r="AD310" s="31"/>
      <c r="AE310" s="31"/>
    </row>
    <row r="311" spans="30:31">
      <c r="AD311" s="31"/>
      <c r="AE311" s="31"/>
    </row>
    <row r="312" spans="30:31">
      <c r="AD312" s="31"/>
      <c r="AE312" s="31"/>
    </row>
    <row r="313" spans="30:31">
      <c r="AD313" s="31"/>
      <c r="AE313" s="31"/>
    </row>
    <row r="314" spans="30:31">
      <c r="AD314" s="31"/>
      <c r="AE314" s="31"/>
    </row>
    <row r="315" spans="30:31">
      <c r="AD315" s="31"/>
      <c r="AE315" s="31"/>
    </row>
    <row r="316" spans="30:31">
      <c r="AD316" s="31"/>
      <c r="AE316" s="31"/>
    </row>
    <row r="317" spans="30:31">
      <c r="AD317" s="31"/>
      <c r="AE317" s="31"/>
    </row>
    <row r="318" spans="30:31">
      <c r="AD318" s="31"/>
      <c r="AE318" s="31"/>
    </row>
    <row r="319" spans="30:31">
      <c r="AD319" s="31"/>
      <c r="AE319" s="31"/>
    </row>
    <row r="320" spans="30:31">
      <c r="AD320" s="31"/>
      <c r="AE320" s="31"/>
    </row>
    <row r="321" spans="30:31">
      <c r="AD321" s="31"/>
      <c r="AE321" s="31"/>
    </row>
    <row r="322" spans="30:31">
      <c r="AD322" s="31"/>
      <c r="AE322" s="31"/>
    </row>
    <row r="323" spans="30:31">
      <c r="AD323" s="31"/>
      <c r="AE323" s="31"/>
    </row>
    <row r="324" spans="30:31">
      <c r="AD324" s="31"/>
      <c r="AE324" s="31"/>
    </row>
    <row r="325" spans="30:31">
      <c r="AD325" s="31"/>
      <c r="AE325" s="31"/>
    </row>
    <row r="326" spans="30:31">
      <c r="AD326" s="31"/>
      <c r="AE326" s="31"/>
    </row>
    <row r="327" spans="30:31">
      <c r="AD327" s="31"/>
      <c r="AE327" s="31"/>
    </row>
    <row r="328" spans="30:31">
      <c r="AD328" s="31"/>
      <c r="AE328" s="31"/>
    </row>
    <row r="329" spans="30:31">
      <c r="AD329" s="31"/>
      <c r="AE329" s="31"/>
    </row>
    <row r="330" spans="30:31">
      <c r="AD330" s="31"/>
      <c r="AE330" s="31"/>
    </row>
    <row r="331" spans="30:31">
      <c r="AD331" s="31"/>
      <c r="AE331" s="31"/>
    </row>
    <row r="332" spans="30:31">
      <c r="AD332" s="31"/>
      <c r="AE332" s="31"/>
    </row>
    <row r="333" spans="30:31">
      <c r="AD333" s="31"/>
      <c r="AE333" s="31"/>
    </row>
    <row r="334" spans="30:31">
      <c r="AD334" s="31"/>
      <c r="AE334" s="31"/>
    </row>
    <row r="335" spans="30:31">
      <c r="AD335" s="31"/>
      <c r="AE335" s="31"/>
    </row>
    <row r="336" spans="30:31">
      <c r="AD336" s="31"/>
      <c r="AE336" s="31"/>
    </row>
    <row r="337" spans="30:31">
      <c r="AD337" s="31"/>
      <c r="AE337" s="31"/>
    </row>
    <row r="338" spans="30:31">
      <c r="AD338" s="31"/>
      <c r="AE338" s="31"/>
    </row>
    <row r="339" spans="30:31">
      <c r="AD339" s="31"/>
      <c r="AE339" s="31"/>
    </row>
    <row r="340" spans="30:31">
      <c r="AD340" s="31"/>
      <c r="AE340" s="31"/>
    </row>
    <row r="341" spans="30:31">
      <c r="AD341" s="31"/>
      <c r="AE341" s="31"/>
    </row>
    <row r="342" spans="30:31">
      <c r="AD342" s="31"/>
      <c r="AE342" s="31"/>
    </row>
    <row r="343" spans="30:31">
      <c r="AD343" s="31"/>
      <c r="AE343" s="31"/>
    </row>
    <row r="344" spans="30:31">
      <c r="AD344" s="31"/>
      <c r="AE344" s="31"/>
    </row>
    <row r="345" spans="30:31">
      <c r="AD345" s="31"/>
      <c r="AE345" s="31"/>
    </row>
    <row r="346" spans="30:31">
      <c r="AD346" s="31"/>
      <c r="AE346" s="31"/>
    </row>
    <row r="347" spans="30:31">
      <c r="AD347" s="31"/>
      <c r="AE347" s="31"/>
    </row>
    <row r="348" spans="30:31">
      <c r="AD348" s="31"/>
      <c r="AE348" s="31"/>
    </row>
    <row r="349" spans="30:31">
      <c r="AD349" s="31"/>
      <c r="AE349" s="31"/>
    </row>
    <row r="350" spans="30:31">
      <c r="AD350" s="31"/>
      <c r="AE350" s="31"/>
    </row>
    <row r="351" spans="30:31">
      <c r="AD351" s="31"/>
      <c r="AE351" s="31"/>
    </row>
    <row r="352" spans="30:31">
      <c r="AD352" s="31"/>
      <c r="AE352" s="31"/>
    </row>
    <row r="353" spans="30:31">
      <c r="AD353" s="31"/>
      <c r="AE353" s="31"/>
    </row>
    <row r="354" spans="30:31">
      <c r="AD354" s="31"/>
      <c r="AE354" s="31"/>
    </row>
    <row r="355" spans="30:31">
      <c r="AD355" s="31"/>
      <c r="AE355" s="31"/>
    </row>
    <row r="356" spans="30:31">
      <c r="AD356" s="31"/>
      <c r="AE356" s="31"/>
    </row>
    <row r="357" spans="30:31">
      <c r="AD357" s="31"/>
      <c r="AE357" s="31"/>
    </row>
    <row r="358" spans="30:31">
      <c r="AD358" s="31"/>
      <c r="AE358" s="31"/>
    </row>
    <row r="359" spans="30:31">
      <c r="AD359" s="31"/>
      <c r="AE359" s="31"/>
    </row>
    <row r="360" spans="30:31">
      <c r="AD360" s="31"/>
      <c r="AE360" s="31"/>
    </row>
    <row r="361" spans="30:31">
      <c r="AD361" s="31"/>
      <c r="AE361" s="31"/>
    </row>
    <row r="362" spans="30:31">
      <c r="AD362" s="31"/>
      <c r="AE362" s="31"/>
    </row>
    <row r="363" spans="30:31">
      <c r="AD363" s="31"/>
      <c r="AE363" s="31"/>
    </row>
    <row r="364" spans="30:31">
      <c r="AD364" s="31"/>
      <c r="AE364" s="31"/>
    </row>
    <row r="365" spans="30:31">
      <c r="AD365" s="31"/>
      <c r="AE365" s="31"/>
    </row>
    <row r="366" spans="30:31">
      <c r="AD366" s="31"/>
      <c r="AE366" s="31"/>
    </row>
    <row r="367" spans="30:31">
      <c r="AD367" s="31"/>
      <c r="AE367" s="31"/>
    </row>
    <row r="368" spans="30:31">
      <c r="AD368" s="31"/>
      <c r="AE368" s="31"/>
    </row>
    <row r="369" spans="30:31">
      <c r="AD369" s="31"/>
      <c r="AE369" s="31"/>
    </row>
    <row r="370" spans="30:31">
      <c r="AD370" s="31"/>
      <c r="AE370" s="31"/>
    </row>
    <row r="371" spans="30:31">
      <c r="AD371" s="31"/>
      <c r="AE371" s="31"/>
    </row>
    <row r="372" spans="30:31">
      <c r="AD372" s="31"/>
      <c r="AE372" s="31"/>
    </row>
    <row r="373" spans="30:31">
      <c r="AD373" s="31"/>
      <c r="AE373" s="31"/>
    </row>
    <row r="374" spans="30:31">
      <c r="AD374" s="31"/>
      <c r="AE374" s="31"/>
    </row>
    <row r="375" spans="30:31">
      <c r="AD375" s="31"/>
      <c r="AE375" s="31"/>
    </row>
    <row r="376" spans="30:31">
      <c r="AD376" s="31"/>
      <c r="AE376" s="31"/>
    </row>
    <row r="377" spans="30:31">
      <c r="AD377" s="31"/>
      <c r="AE377" s="31"/>
    </row>
    <row r="378" spans="30:31">
      <c r="AD378" s="31"/>
      <c r="AE378" s="31"/>
    </row>
    <row r="379" spans="30:31">
      <c r="AD379" s="31"/>
      <c r="AE379" s="31"/>
    </row>
    <row r="380" spans="30:31">
      <c r="AD380" s="31"/>
      <c r="AE380" s="31"/>
    </row>
    <row r="381" spans="30:31">
      <c r="AD381" s="31"/>
      <c r="AE381" s="31"/>
    </row>
    <row r="382" spans="30:31">
      <c r="AD382" s="31"/>
      <c r="AE382" s="31"/>
    </row>
    <row r="383" spans="30:31">
      <c r="AD383" s="31"/>
      <c r="AE383" s="31"/>
    </row>
    <row r="384" spans="30:31">
      <c r="AD384" s="31"/>
      <c r="AE384" s="31"/>
    </row>
    <row r="385" spans="30:31">
      <c r="AD385" s="31"/>
      <c r="AE385" s="31"/>
    </row>
    <row r="386" spans="30:31">
      <c r="AD386" s="31"/>
      <c r="AE386" s="31"/>
    </row>
    <row r="387" spans="30:31">
      <c r="AD387" s="31"/>
      <c r="AE387" s="31"/>
    </row>
    <row r="388" spans="30:31">
      <c r="AD388" s="31"/>
      <c r="AE388" s="31"/>
    </row>
    <row r="389" spans="30:31">
      <c r="AD389" s="31"/>
      <c r="AE389" s="31"/>
    </row>
    <row r="390" spans="30:31">
      <c r="AD390" s="31"/>
      <c r="AE390" s="31"/>
    </row>
    <row r="391" spans="30:31">
      <c r="AD391" s="31"/>
      <c r="AE391" s="31"/>
    </row>
    <row r="392" spans="30:31">
      <c r="AD392" s="31"/>
      <c r="AE392" s="31"/>
    </row>
    <row r="393" spans="30:31">
      <c r="AD393" s="31"/>
      <c r="AE393" s="31"/>
    </row>
    <row r="394" spans="30:31">
      <c r="AD394" s="31"/>
      <c r="AE394" s="31"/>
    </row>
    <row r="395" spans="30:31">
      <c r="AD395" s="31"/>
      <c r="AE395" s="31"/>
    </row>
    <row r="396" spans="30:31">
      <c r="AD396" s="31"/>
      <c r="AE396" s="31"/>
    </row>
    <row r="397" spans="30:31">
      <c r="AD397" s="31"/>
      <c r="AE397" s="31"/>
    </row>
    <row r="398" spans="30:31">
      <c r="AD398" s="31"/>
      <c r="AE398" s="31"/>
    </row>
    <row r="399" spans="30:31">
      <c r="AD399" s="31"/>
      <c r="AE399" s="31"/>
    </row>
    <row r="400" spans="30:31">
      <c r="AD400" s="31"/>
      <c r="AE400" s="31"/>
    </row>
    <row r="401" spans="30:31">
      <c r="AD401" s="31"/>
      <c r="AE401" s="31"/>
    </row>
    <row r="402" spans="30:31">
      <c r="AD402" s="31"/>
      <c r="AE402" s="31"/>
    </row>
    <row r="403" spans="30:31">
      <c r="AD403" s="31"/>
      <c r="AE403" s="31"/>
    </row>
    <row r="404" spans="30:31">
      <c r="AD404" s="31"/>
      <c r="AE404" s="31"/>
    </row>
    <row r="405" spans="30:31">
      <c r="AD405" s="31"/>
      <c r="AE405" s="31"/>
    </row>
    <row r="406" spans="30:31">
      <c r="AD406" s="31"/>
      <c r="AE406" s="31"/>
    </row>
    <row r="407" spans="30:31">
      <c r="AD407" s="31"/>
      <c r="AE407" s="31"/>
    </row>
    <row r="408" spans="30:31">
      <c r="AD408" s="31"/>
      <c r="AE408" s="31"/>
    </row>
    <row r="409" spans="30:31">
      <c r="AD409" s="31"/>
      <c r="AE409" s="31"/>
    </row>
    <row r="410" spans="30:31">
      <c r="AD410" s="31"/>
      <c r="AE410" s="31"/>
    </row>
    <row r="411" spans="30:31">
      <c r="AD411" s="31"/>
      <c r="AE411" s="31"/>
    </row>
    <row r="412" spans="30:31">
      <c r="AD412" s="31"/>
      <c r="AE412" s="31"/>
    </row>
    <row r="413" spans="30:31">
      <c r="AD413" s="31"/>
      <c r="AE413" s="31"/>
    </row>
    <row r="414" spans="30:31">
      <c r="AD414" s="31"/>
      <c r="AE414" s="31"/>
    </row>
    <row r="415" spans="30:31">
      <c r="AD415" s="31"/>
      <c r="AE415" s="31"/>
    </row>
    <row r="416" spans="30:31">
      <c r="AD416" s="31"/>
      <c r="AE416" s="31"/>
    </row>
    <row r="417" spans="30:31">
      <c r="AD417" s="31"/>
      <c r="AE417" s="31"/>
    </row>
    <row r="418" spans="30:31">
      <c r="AD418" s="31"/>
      <c r="AE418" s="31"/>
    </row>
    <row r="419" spans="30:31">
      <c r="AD419" s="31"/>
      <c r="AE419" s="31"/>
    </row>
    <row r="420" spans="30:31">
      <c r="AD420" s="31"/>
      <c r="AE420" s="31"/>
    </row>
    <row r="421" spans="30:31">
      <c r="AD421" s="31"/>
      <c r="AE421" s="31"/>
    </row>
    <row r="422" spans="30:31">
      <c r="AD422" s="31"/>
      <c r="AE422" s="31"/>
    </row>
    <row r="423" spans="30:31">
      <c r="AD423" s="31"/>
      <c r="AE423" s="31"/>
    </row>
    <row r="424" spans="30:31">
      <c r="AD424" s="31"/>
      <c r="AE424" s="31"/>
    </row>
    <row r="425" spans="30:31">
      <c r="AD425" s="31"/>
      <c r="AE425" s="31"/>
    </row>
    <row r="426" spans="30:31">
      <c r="AD426" s="31"/>
      <c r="AE426" s="31"/>
    </row>
    <row r="427" spans="30:31">
      <c r="AD427" s="31"/>
      <c r="AE427" s="31"/>
    </row>
    <row r="428" spans="30:31">
      <c r="AD428" s="31"/>
      <c r="AE428" s="31"/>
    </row>
    <row r="429" spans="30:31">
      <c r="AD429" s="31"/>
      <c r="AE429" s="31"/>
    </row>
    <row r="430" spans="30:31">
      <c r="AD430" s="31"/>
      <c r="AE430" s="31"/>
    </row>
    <row r="431" spans="30:31">
      <c r="AD431" s="31"/>
      <c r="AE431" s="31"/>
    </row>
    <row r="432" spans="30:31">
      <c r="AD432" s="31"/>
      <c r="AE432" s="31"/>
    </row>
    <row r="433" spans="30:31">
      <c r="AD433" s="31"/>
      <c r="AE433" s="31"/>
    </row>
    <row r="434" spans="30:31">
      <c r="AD434" s="31"/>
      <c r="AE434" s="31"/>
    </row>
    <row r="435" spans="30:31">
      <c r="AD435" s="31"/>
      <c r="AE435" s="31"/>
    </row>
    <row r="436" spans="30:31">
      <c r="AD436" s="31"/>
      <c r="AE436" s="31"/>
    </row>
    <row r="437" spans="30:31">
      <c r="AD437" s="31"/>
      <c r="AE437" s="31"/>
    </row>
    <row r="438" spans="30:31">
      <c r="AD438" s="31"/>
      <c r="AE438" s="31"/>
    </row>
    <row r="439" spans="30:31">
      <c r="AD439" s="31"/>
      <c r="AE439" s="31"/>
    </row>
    <row r="440" spans="30:31">
      <c r="AD440" s="31"/>
      <c r="AE440" s="31"/>
    </row>
    <row r="441" spans="30:31">
      <c r="AD441" s="31"/>
      <c r="AE441" s="31"/>
    </row>
    <row r="442" spans="30:31">
      <c r="AD442" s="31"/>
      <c r="AE442" s="31"/>
    </row>
    <row r="443" spans="30:31">
      <c r="AD443" s="31"/>
      <c r="AE443" s="31"/>
    </row>
    <row r="444" spans="30:31">
      <c r="AD444" s="31"/>
      <c r="AE444" s="31"/>
    </row>
    <row r="445" spans="30:31">
      <c r="AD445" s="31"/>
      <c r="AE445" s="31"/>
    </row>
    <row r="446" spans="30:31">
      <c r="AD446" s="31"/>
      <c r="AE446" s="31"/>
    </row>
    <row r="447" spans="30:31">
      <c r="AD447" s="31"/>
      <c r="AE447" s="31"/>
    </row>
    <row r="448" spans="30:31">
      <c r="AD448" s="31"/>
      <c r="AE448" s="31"/>
    </row>
    <row r="449" spans="30:31">
      <c r="AD449" s="31"/>
      <c r="AE449" s="31"/>
    </row>
    <row r="450" spans="30:31">
      <c r="AD450" s="31"/>
      <c r="AE450" s="31"/>
    </row>
    <row r="451" spans="30:31">
      <c r="AD451" s="31"/>
      <c r="AE451" s="31"/>
    </row>
    <row r="452" spans="30:31">
      <c r="AD452" s="31"/>
      <c r="AE452" s="31"/>
    </row>
    <row r="453" spans="30:31">
      <c r="AD453" s="31"/>
      <c r="AE453" s="31"/>
    </row>
    <row r="454" spans="30:31">
      <c r="AD454" s="31"/>
      <c r="AE454" s="31"/>
    </row>
    <row r="455" spans="30:31">
      <c r="AD455" s="31"/>
      <c r="AE455" s="31"/>
    </row>
    <row r="456" spans="30:31">
      <c r="AD456" s="31"/>
      <c r="AE456" s="31"/>
    </row>
    <row r="457" spans="30:31">
      <c r="AD457" s="31"/>
      <c r="AE457" s="31"/>
    </row>
    <row r="458" spans="30:31">
      <c r="AD458" s="31"/>
      <c r="AE458" s="31"/>
    </row>
    <row r="459" spans="30:31">
      <c r="AD459" s="31"/>
      <c r="AE459" s="31"/>
    </row>
    <row r="460" spans="30:31">
      <c r="AD460" s="31"/>
      <c r="AE460" s="31"/>
    </row>
    <row r="461" spans="30:31">
      <c r="AD461" s="31"/>
      <c r="AE461" s="31"/>
    </row>
    <row r="462" spans="30:31">
      <c r="AD462" s="31"/>
      <c r="AE462" s="31"/>
    </row>
    <row r="463" spans="30:31">
      <c r="AD463" s="31"/>
      <c r="AE463" s="31"/>
    </row>
    <row r="464" spans="30:31">
      <c r="AD464" s="31"/>
      <c r="AE464" s="31"/>
    </row>
    <row r="465" spans="30:31">
      <c r="AD465" s="31"/>
      <c r="AE465" s="31"/>
    </row>
    <row r="466" spans="30:31">
      <c r="AD466" s="31"/>
      <c r="AE466" s="31"/>
    </row>
    <row r="467" spans="30:31">
      <c r="AD467" s="31"/>
      <c r="AE467" s="31"/>
    </row>
    <row r="468" spans="30:31">
      <c r="AD468" s="31"/>
      <c r="AE468" s="31"/>
    </row>
    <row r="469" spans="30:31">
      <c r="AD469" s="31"/>
      <c r="AE469" s="31"/>
    </row>
    <row r="470" spans="30:31">
      <c r="AD470" s="31"/>
      <c r="AE470" s="31"/>
    </row>
    <row r="471" spans="30:31">
      <c r="AD471" s="31"/>
      <c r="AE471" s="31"/>
    </row>
    <row r="472" spans="30:31">
      <c r="AD472" s="31"/>
      <c r="AE472" s="31"/>
    </row>
    <row r="473" spans="30:31">
      <c r="AD473" s="31"/>
      <c r="AE473" s="31"/>
    </row>
    <row r="474" spans="30:31">
      <c r="AD474" s="31"/>
      <c r="AE474" s="31"/>
    </row>
    <row r="475" spans="30:31">
      <c r="AD475" s="31"/>
      <c r="AE475" s="31"/>
    </row>
    <row r="476" spans="30:31">
      <c r="AD476" s="31"/>
      <c r="AE476" s="31"/>
    </row>
    <row r="477" spans="30:31">
      <c r="AD477" s="31"/>
      <c r="AE477" s="31"/>
    </row>
    <row r="478" spans="30:31">
      <c r="AD478" s="31"/>
      <c r="AE478" s="31"/>
    </row>
    <row r="479" spans="30:31">
      <c r="AD479" s="31"/>
      <c r="AE479" s="31"/>
    </row>
    <row r="480" spans="30:31">
      <c r="AD480" s="31"/>
      <c r="AE480" s="31"/>
    </row>
    <row r="481" spans="30:31">
      <c r="AD481" s="31"/>
      <c r="AE481" s="31"/>
    </row>
    <row r="482" spans="30:31">
      <c r="AD482" s="31"/>
      <c r="AE482" s="31"/>
    </row>
    <row r="483" spans="30:31">
      <c r="AD483" s="31"/>
      <c r="AE483" s="31"/>
    </row>
    <row r="484" spans="30:31">
      <c r="AD484" s="31"/>
      <c r="AE484" s="31"/>
    </row>
    <row r="485" spans="30:31">
      <c r="AD485" s="31"/>
      <c r="AE485" s="31"/>
    </row>
    <row r="486" spans="30:31">
      <c r="AD486" s="31"/>
      <c r="AE486" s="31"/>
    </row>
    <row r="487" spans="30:31">
      <c r="AD487" s="31"/>
      <c r="AE487" s="31"/>
    </row>
    <row r="488" spans="30:31">
      <c r="AD488" s="31"/>
      <c r="AE488" s="31"/>
    </row>
    <row r="489" spans="30:31">
      <c r="AD489" s="31"/>
      <c r="AE489" s="31"/>
    </row>
    <row r="490" spans="30:31">
      <c r="AD490" s="31"/>
      <c r="AE490" s="31"/>
    </row>
    <row r="491" spans="30:31">
      <c r="AD491" s="31"/>
      <c r="AE491" s="31"/>
    </row>
    <row r="492" spans="30:31">
      <c r="AD492" s="31"/>
      <c r="AE492" s="31"/>
    </row>
    <row r="493" spans="30:31">
      <c r="AD493" s="31"/>
      <c r="AE493" s="31"/>
    </row>
    <row r="494" spans="30:31">
      <c r="AD494" s="31"/>
      <c r="AE494" s="31"/>
    </row>
    <row r="495" spans="30:31">
      <c r="AD495" s="31"/>
      <c r="AE495" s="31"/>
    </row>
    <row r="496" spans="30:31">
      <c r="AD496" s="31"/>
      <c r="AE496" s="31"/>
    </row>
    <row r="497" spans="30:31">
      <c r="AD497" s="31"/>
      <c r="AE497" s="31"/>
    </row>
    <row r="498" spans="30:31">
      <c r="AD498" s="31"/>
      <c r="AE498" s="31"/>
    </row>
    <row r="499" spans="30:31">
      <c r="AD499" s="31"/>
      <c r="AE499" s="31"/>
    </row>
    <row r="500" spans="30:31">
      <c r="AD500" s="31"/>
      <c r="AE500" s="31"/>
    </row>
    <row r="501" spans="30:31">
      <c r="AD501" s="31"/>
      <c r="AE501" s="31"/>
    </row>
    <row r="502" spans="30:31">
      <c r="AD502" s="31"/>
      <c r="AE502" s="31"/>
    </row>
    <row r="503" spans="30:31">
      <c r="AD503" s="31"/>
      <c r="AE503" s="31"/>
    </row>
    <row r="504" spans="30:31">
      <c r="AD504" s="31"/>
      <c r="AE504" s="31"/>
    </row>
    <row r="505" spans="30:31">
      <c r="AD505" s="31"/>
      <c r="AE505" s="31"/>
    </row>
    <row r="506" spans="30:31">
      <c r="AD506" s="31"/>
      <c r="AE506" s="31"/>
    </row>
    <row r="507" spans="30:31">
      <c r="AD507" s="31"/>
      <c r="AE507" s="31"/>
    </row>
    <row r="508" spans="30:31">
      <c r="AD508" s="31"/>
      <c r="AE508" s="31"/>
    </row>
    <row r="509" spans="30:31">
      <c r="AD509" s="31"/>
      <c r="AE509" s="31"/>
    </row>
    <row r="510" spans="30:31">
      <c r="AD510" s="31"/>
      <c r="AE510" s="31"/>
    </row>
    <row r="511" spans="30:31">
      <c r="AD511" s="31"/>
      <c r="AE511" s="31"/>
    </row>
    <row r="512" spans="30:31">
      <c r="AD512" s="31"/>
      <c r="AE512" s="31"/>
    </row>
    <row r="513" spans="30:31">
      <c r="AD513" s="31"/>
      <c r="AE513" s="31"/>
    </row>
    <row r="514" spans="30:31">
      <c r="AD514" s="31"/>
      <c r="AE514" s="31"/>
    </row>
    <row r="515" spans="30:31">
      <c r="AD515" s="31"/>
      <c r="AE515" s="31"/>
    </row>
    <row r="516" spans="30:31">
      <c r="AD516" s="31"/>
      <c r="AE516" s="31"/>
    </row>
    <row r="517" spans="30:31">
      <c r="AD517" s="31"/>
      <c r="AE517" s="31"/>
    </row>
    <row r="518" spans="30:31">
      <c r="AD518" s="31"/>
      <c r="AE518" s="31"/>
    </row>
    <row r="519" spans="30:31">
      <c r="AD519" s="31"/>
      <c r="AE519" s="31"/>
    </row>
    <row r="520" spans="30:31">
      <c r="AD520" s="31"/>
      <c r="AE520" s="31"/>
    </row>
    <row r="521" spans="30:31">
      <c r="AD521" s="31"/>
      <c r="AE521" s="31"/>
    </row>
    <row r="522" spans="30:31">
      <c r="AD522" s="31"/>
      <c r="AE522" s="31"/>
    </row>
    <row r="523" spans="30:31">
      <c r="AD523" s="31"/>
      <c r="AE523" s="31"/>
    </row>
    <row r="524" spans="30:31">
      <c r="AD524" s="31"/>
      <c r="AE524" s="31"/>
    </row>
    <row r="525" spans="30:31">
      <c r="AD525" s="31"/>
      <c r="AE525" s="31"/>
    </row>
    <row r="526" spans="30:31">
      <c r="AD526" s="31"/>
      <c r="AE526" s="31"/>
    </row>
    <row r="527" spans="30:31">
      <c r="AD527" s="31"/>
      <c r="AE527" s="31"/>
    </row>
    <row r="528" spans="30:31">
      <c r="AD528" s="31"/>
      <c r="AE528" s="31"/>
    </row>
    <row r="529" spans="30:31">
      <c r="AD529" s="31"/>
      <c r="AE529" s="31"/>
    </row>
    <row r="530" spans="30:31">
      <c r="AD530" s="31"/>
      <c r="AE530" s="31"/>
    </row>
    <row r="531" spans="30:31">
      <c r="AD531" s="31"/>
      <c r="AE531" s="31"/>
    </row>
    <row r="532" spans="30:31">
      <c r="AD532" s="31"/>
      <c r="AE532" s="31"/>
    </row>
    <row r="533" spans="30:31">
      <c r="AD533" s="31"/>
      <c r="AE533" s="31"/>
    </row>
    <row r="534" spans="30:31">
      <c r="AD534" s="31"/>
      <c r="AE534" s="31"/>
    </row>
    <row r="535" spans="30:31">
      <c r="AD535" s="31"/>
      <c r="AE535" s="31"/>
    </row>
    <row r="536" spans="30:31">
      <c r="AD536" s="31"/>
      <c r="AE536" s="31"/>
    </row>
    <row r="537" spans="30:31">
      <c r="AD537" s="31"/>
      <c r="AE537" s="31"/>
    </row>
    <row r="538" spans="30:31">
      <c r="AD538" s="31"/>
      <c r="AE538" s="31"/>
    </row>
    <row r="539" spans="30:31">
      <c r="AD539" s="31"/>
      <c r="AE539" s="31"/>
    </row>
    <row r="540" spans="30:31">
      <c r="AD540" s="31"/>
      <c r="AE540" s="31"/>
    </row>
    <row r="541" spans="30:31">
      <c r="AD541" s="31"/>
      <c r="AE541" s="31"/>
    </row>
    <row r="542" spans="30:31">
      <c r="AD542" s="31"/>
      <c r="AE542" s="31"/>
    </row>
    <row r="543" spans="30:31">
      <c r="AD543" s="31"/>
      <c r="AE543" s="31"/>
    </row>
    <row r="544" spans="30:31">
      <c r="AD544" s="31"/>
      <c r="AE544" s="31"/>
    </row>
    <row r="545" spans="30:31">
      <c r="AD545" s="31"/>
      <c r="AE545" s="31"/>
    </row>
    <row r="546" spans="30:31">
      <c r="AD546" s="31"/>
      <c r="AE546" s="31"/>
    </row>
    <row r="547" spans="30:31">
      <c r="AD547" s="31"/>
      <c r="AE547" s="31"/>
    </row>
    <row r="548" spans="30:31">
      <c r="AD548" s="31"/>
      <c r="AE548" s="31"/>
    </row>
    <row r="549" spans="30:31">
      <c r="AD549" s="31"/>
      <c r="AE549" s="31"/>
    </row>
    <row r="550" spans="30:31">
      <c r="AD550" s="31"/>
      <c r="AE550" s="31"/>
    </row>
    <row r="551" spans="30:31">
      <c r="AD551" s="31"/>
      <c r="AE551" s="31"/>
    </row>
    <row r="552" spans="30:31">
      <c r="AD552" s="31"/>
      <c r="AE552" s="31"/>
    </row>
    <row r="553" spans="30:31">
      <c r="AD553" s="31"/>
      <c r="AE553" s="31"/>
    </row>
    <row r="554" spans="30:31">
      <c r="AD554" s="31"/>
      <c r="AE554" s="31"/>
    </row>
    <row r="555" spans="30:31">
      <c r="AD555" s="31"/>
      <c r="AE555" s="31"/>
    </row>
    <row r="556" spans="30:31">
      <c r="AD556" s="31"/>
      <c r="AE556" s="31"/>
    </row>
    <row r="557" spans="30:31">
      <c r="AD557" s="31"/>
      <c r="AE557" s="31"/>
    </row>
    <row r="558" spans="30:31">
      <c r="AD558" s="31"/>
      <c r="AE558" s="31"/>
    </row>
    <row r="559" spans="30:31">
      <c r="AD559" s="31"/>
      <c r="AE559" s="31"/>
    </row>
    <row r="560" spans="30:31">
      <c r="AD560" s="31"/>
      <c r="AE560" s="31"/>
    </row>
    <row r="561" spans="30:31">
      <c r="AD561" s="31"/>
      <c r="AE561" s="31"/>
    </row>
    <row r="562" spans="30:31">
      <c r="AD562" s="31"/>
      <c r="AE562" s="31"/>
    </row>
    <row r="563" spans="30:31">
      <c r="AD563" s="31"/>
      <c r="AE563" s="31"/>
    </row>
    <row r="564" spans="30:31">
      <c r="AD564" s="31"/>
      <c r="AE564" s="31"/>
    </row>
    <row r="565" spans="30:31">
      <c r="AD565" s="31"/>
      <c r="AE565" s="31"/>
    </row>
    <row r="566" spans="30:31">
      <c r="AD566" s="31"/>
      <c r="AE566" s="31"/>
    </row>
    <row r="567" spans="30:31">
      <c r="AD567" s="31"/>
      <c r="AE567" s="31"/>
    </row>
    <row r="568" spans="30:31">
      <c r="AD568" s="31"/>
      <c r="AE568" s="31"/>
    </row>
    <row r="569" spans="30:31">
      <c r="AD569" s="31"/>
      <c r="AE569" s="31"/>
    </row>
    <row r="570" spans="30:31">
      <c r="AD570" s="31"/>
      <c r="AE570" s="31"/>
    </row>
    <row r="571" spans="30:31">
      <c r="AD571" s="31"/>
      <c r="AE571" s="31"/>
    </row>
    <row r="572" spans="30:31">
      <c r="AD572" s="31"/>
      <c r="AE572" s="31"/>
    </row>
    <row r="573" spans="30:31">
      <c r="AD573" s="31"/>
      <c r="AE573" s="31"/>
    </row>
    <row r="574" spans="30:31">
      <c r="AD574" s="31"/>
      <c r="AE574" s="31"/>
    </row>
    <row r="575" spans="30:31">
      <c r="AD575" s="31"/>
      <c r="AE575" s="31"/>
    </row>
    <row r="576" spans="30:31">
      <c r="AD576" s="31"/>
      <c r="AE576" s="31"/>
    </row>
    <row r="577" spans="30:31">
      <c r="AD577" s="31"/>
      <c r="AE577" s="31"/>
    </row>
    <row r="578" spans="30:31">
      <c r="AD578" s="31"/>
      <c r="AE578" s="31"/>
    </row>
    <row r="579" spans="30:31">
      <c r="AD579" s="31"/>
      <c r="AE579" s="31"/>
    </row>
    <row r="580" spans="30:31">
      <c r="AD580" s="31"/>
      <c r="AE580" s="31"/>
    </row>
    <row r="581" spans="30:31">
      <c r="AD581" s="31"/>
      <c r="AE581" s="31"/>
    </row>
    <row r="582" spans="30:31">
      <c r="AD582" s="31"/>
      <c r="AE582" s="31"/>
    </row>
    <row r="583" spans="30:31">
      <c r="AD583" s="31"/>
      <c r="AE583" s="31"/>
    </row>
    <row r="584" spans="30:31">
      <c r="AD584" s="31"/>
      <c r="AE584" s="31"/>
    </row>
    <row r="585" spans="30:31">
      <c r="AD585" s="31"/>
      <c r="AE585" s="31"/>
    </row>
    <row r="586" spans="30:31">
      <c r="AD586" s="31"/>
      <c r="AE586" s="31"/>
    </row>
    <row r="587" spans="30:31">
      <c r="AD587" s="31"/>
      <c r="AE587" s="31"/>
    </row>
    <row r="588" spans="30:31">
      <c r="AD588" s="31"/>
      <c r="AE588" s="31"/>
    </row>
    <row r="589" spans="30:31">
      <c r="AD589" s="31"/>
      <c r="AE589" s="31"/>
    </row>
    <row r="590" spans="30:31">
      <c r="AD590" s="31"/>
      <c r="AE590" s="31"/>
    </row>
    <row r="591" spans="30:31">
      <c r="AD591" s="31"/>
      <c r="AE591" s="31"/>
    </row>
    <row r="592" spans="30:31">
      <c r="AD592" s="31"/>
      <c r="AE592" s="31"/>
    </row>
    <row r="593" spans="30:31">
      <c r="AD593" s="31"/>
      <c r="AE593" s="31"/>
    </row>
    <row r="594" spans="30:31">
      <c r="AD594" s="31"/>
      <c r="AE594" s="31"/>
    </row>
    <row r="595" spans="30:31">
      <c r="AD595" s="31"/>
      <c r="AE595" s="31"/>
    </row>
    <row r="596" spans="30:31">
      <c r="AD596" s="31"/>
      <c r="AE596" s="31"/>
    </row>
    <row r="597" spans="30:31">
      <c r="AD597" s="31"/>
      <c r="AE597" s="31"/>
    </row>
    <row r="598" spans="30:31">
      <c r="AD598" s="31"/>
      <c r="AE598" s="31"/>
    </row>
    <row r="599" spans="30:31">
      <c r="AD599" s="31"/>
      <c r="AE599" s="31"/>
    </row>
    <row r="600" spans="30:31">
      <c r="AD600" s="31"/>
      <c r="AE600" s="31"/>
    </row>
    <row r="601" spans="30:31">
      <c r="AD601" s="31"/>
      <c r="AE601" s="31"/>
    </row>
    <row r="602" spans="30:31">
      <c r="AD602" s="31"/>
      <c r="AE602" s="31"/>
    </row>
    <row r="603" spans="30:31">
      <c r="AD603" s="31"/>
      <c r="AE603" s="31"/>
    </row>
    <row r="604" spans="30:31">
      <c r="AD604" s="31"/>
      <c r="AE604" s="31"/>
    </row>
    <row r="605" spans="30:31">
      <c r="AD605" s="31"/>
      <c r="AE605" s="31"/>
    </row>
    <row r="606" spans="30:31">
      <c r="AD606" s="31"/>
      <c r="AE606" s="31"/>
    </row>
    <row r="607" spans="30:31">
      <c r="AD607" s="31"/>
      <c r="AE607" s="31"/>
    </row>
    <row r="608" spans="30:31">
      <c r="AD608" s="31"/>
      <c r="AE608" s="31"/>
    </row>
    <row r="609" spans="30:31">
      <c r="AD609" s="31"/>
      <c r="AE609" s="31"/>
    </row>
    <row r="610" spans="30:31">
      <c r="AD610" s="31"/>
      <c r="AE610" s="31"/>
    </row>
    <row r="611" spans="30:31">
      <c r="AD611" s="31"/>
      <c r="AE611" s="31"/>
    </row>
    <row r="612" spans="30:31">
      <c r="AD612" s="31"/>
      <c r="AE612" s="31"/>
    </row>
    <row r="613" spans="30:31">
      <c r="AD613" s="31"/>
      <c r="AE613" s="31"/>
    </row>
    <row r="614" spans="30:31">
      <c r="AD614" s="31"/>
      <c r="AE614" s="31"/>
    </row>
    <row r="615" spans="30:31">
      <c r="AD615" s="31"/>
      <c r="AE615" s="31"/>
    </row>
    <row r="616" spans="30:31">
      <c r="AD616" s="31"/>
      <c r="AE616" s="31"/>
    </row>
    <row r="617" spans="30:31">
      <c r="AD617" s="31"/>
      <c r="AE617" s="31"/>
    </row>
    <row r="618" spans="30:31">
      <c r="AD618" s="31"/>
      <c r="AE618" s="31"/>
    </row>
    <row r="619" spans="30:31">
      <c r="AD619" s="31"/>
      <c r="AE619" s="31"/>
    </row>
    <row r="620" spans="30:31">
      <c r="AD620" s="31"/>
      <c r="AE620" s="31"/>
    </row>
    <row r="621" spans="30:31">
      <c r="AD621" s="31"/>
      <c r="AE621" s="31"/>
    </row>
    <row r="622" spans="30:31">
      <c r="AD622" s="31"/>
      <c r="AE622" s="31"/>
    </row>
    <row r="623" spans="30:31">
      <c r="AD623" s="31"/>
      <c r="AE623" s="31"/>
    </row>
    <row r="624" spans="30:31">
      <c r="AD624" s="31"/>
      <c r="AE624" s="31"/>
    </row>
    <row r="625" spans="30:31">
      <c r="AD625" s="31"/>
      <c r="AE625" s="31"/>
    </row>
    <row r="626" spans="30:31">
      <c r="AD626" s="31"/>
      <c r="AE626" s="31"/>
    </row>
    <row r="627" spans="30:31">
      <c r="AD627" s="31"/>
      <c r="AE627" s="31"/>
    </row>
    <row r="628" spans="30:31">
      <c r="AD628" s="31"/>
      <c r="AE628" s="31"/>
    </row>
    <row r="629" spans="30:31">
      <c r="AD629" s="31"/>
      <c r="AE629" s="31"/>
    </row>
    <row r="630" spans="30:31">
      <c r="AD630" s="31"/>
      <c r="AE630" s="31"/>
    </row>
    <row r="631" spans="30:31">
      <c r="AD631" s="31"/>
      <c r="AE631" s="31"/>
    </row>
    <row r="632" spans="30:31">
      <c r="AD632" s="31"/>
      <c r="AE632" s="31"/>
    </row>
    <row r="633" spans="30:31">
      <c r="AD633" s="31"/>
      <c r="AE633" s="31"/>
    </row>
    <row r="634" spans="30:31">
      <c r="AD634" s="31"/>
      <c r="AE634" s="31"/>
    </row>
    <row r="635" spans="30:31">
      <c r="AD635" s="31"/>
      <c r="AE635" s="31"/>
    </row>
    <row r="636" spans="30:31">
      <c r="AD636" s="31"/>
      <c r="AE636" s="31"/>
    </row>
    <row r="637" spans="30:31">
      <c r="AD637" s="31"/>
      <c r="AE637" s="31"/>
    </row>
    <row r="638" spans="30:31">
      <c r="AD638" s="31"/>
      <c r="AE638" s="31"/>
    </row>
    <row r="639" spans="30:31">
      <c r="AD639" s="31"/>
      <c r="AE639" s="31"/>
    </row>
    <row r="640" spans="30:31">
      <c r="AD640" s="31"/>
      <c r="AE640" s="31"/>
    </row>
    <row r="641" spans="30:31">
      <c r="AD641" s="31"/>
      <c r="AE641" s="31"/>
    </row>
    <row r="642" spans="30:31">
      <c r="AD642" s="31"/>
      <c r="AE642" s="31"/>
    </row>
    <row r="643" spans="30:31">
      <c r="AD643" s="31"/>
      <c r="AE643" s="31"/>
    </row>
    <row r="644" spans="30:31">
      <c r="AD644" s="31"/>
      <c r="AE644" s="31"/>
    </row>
    <row r="645" spans="30:31">
      <c r="AD645" s="31"/>
      <c r="AE645" s="31"/>
    </row>
    <row r="646" spans="30:31">
      <c r="AD646" s="31"/>
      <c r="AE646" s="31"/>
    </row>
    <row r="647" spans="30:31">
      <c r="AD647" s="31"/>
      <c r="AE647" s="31"/>
    </row>
    <row r="648" spans="30:31">
      <c r="AD648" s="31"/>
      <c r="AE648" s="31"/>
    </row>
    <row r="649" spans="30:31">
      <c r="AD649" s="31"/>
      <c r="AE649" s="31"/>
    </row>
    <row r="650" spans="30:31">
      <c r="AD650" s="31"/>
      <c r="AE650" s="31"/>
    </row>
    <row r="651" spans="30:31">
      <c r="AD651" s="31"/>
      <c r="AE651" s="31"/>
    </row>
    <row r="652" spans="30:31">
      <c r="AD652" s="31"/>
      <c r="AE652" s="31"/>
    </row>
    <row r="653" spans="30:31">
      <c r="AD653" s="31"/>
      <c r="AE653" s="31"/>
    </row>
    <row r="654" spans="30:31">
      <c r="AD654" s="31"/>
      <c r="AE654" s="31"/>
    </row>
    <row r="655" spans="30:31">
      <c r="AD655" s="31"/>
      <c r="AE655" s="31"/>
    </row>
    <row r="656" spans="30:31">
      <c r="AD656" s="31"/>
      <c r="AE656" s="31"/>
    </row>
    <row r="657" spans="30:31">
      <c r="AD657" s="31"/>
      <c r="AE657" s="31"/>
    </row>
    <row r="658" spans="30:31">
      <c r="AD658" s="31"/>
      <c r="AE658" s="31"/>
    </row>
    <row r="659" spans="30:31">
      <c r="AD659" s="31"/>
      <c r="AE659" s="31"/>
    </row>
    <row r="660" spans="30:31">
      <c r="AD660" s="31"/>
      <c r="AE660" s="31"/>
    </row>
    <row r="661" spans="30:31">
      <c r="AD661" s="31"/>
      <c r="AE661" s="31"/>
    </row>
    <row r="662" spans="30:31">
      <c r="AD662" s="31"/>
      <c r="AE662" s="31"/>
    </row>
    <row r="663" spans="30:31">
      <c r="AD663" s="31"/>
      <c r="AE663" s="31"/>
    </row>
    <row r="664" spans="30:31">
      <c r="AD664" s="31"/>
      <c r="AE664" s="31"/>
    </row>
    <row r="665" spans="30:31">
      <c r="AD665" s="31"/>
      <c r="AE665" s="31"/>
    </row>
    <row r="666" spans="30:31">
      <c r="AD666" s="31"/>
      <c r="AE666" s="31"/>
    </row>
    <row r="667" spans="30:31">
      <c r="AD667" s="31"/>
      <c r="AE667" s="31"/>
    </row>
    <row r="668" spans="30:31">
      <c r="AD668" s="31"/>
      <c r="AE668" s="31"/>
    </row>
    <row r="669" spans="30:31">
      <c r="AD669" s="31"/>
      <c r="AE669" s="31"/>
    </row>
    <row r="670" spans="30:31">
      <c r="AD670" s="31"/>
      <c r="AE670" s="31"/>
    </row>
    <row r="671" spans="30:31">
      <c r="AD671" s="31"/>
      <c r="AE671" s="31"/>
    </row>
    <row r="672" spans="30:31">
      <c r="AD672" s="31"/>
      <c r="AE672" s="31"/>
    </row>
    <row r="673" spans="30:31">
      <c r="AD673" s="31"/>
      <c r="AE673" s="31"/>
    </row>
    <row r="674" spans="30:31">
      <c r="AD674" s="31"/>
      <c r="AE674" s="31"/>
    </row>
    <row r="675" spans="30:31">
      <c r="AD675" s="31"/>
      <c r="AE675" s="31"/>
    </row>
    <row r="676" spans="30:31">
      <c r="AD676" s="31"/>
      <c r="AE676" s="31"/>
    </row>
    <row r="677" spans="30:31">
      <c r="AD677" s="31"/>
      <c r="AE677" s="31"/>
    </row>
    <row r="678" spans="30:31">
      <c r="AD678" s="31"/>
      <c r="AE678" s="31"/>
    </row>
    <row r="679" spans="30:31">
      <c r="AD679" s="31"/>
      <c r="AE679" s="31"/>
    </row>
    <row r="680" spans="30:31">
      <c r="AD680" s="31"/>
      <c r="AE680" s="31"/>
    </row>
    <row r="681" spans="30:31">
      <c r="AD681" s="31"/>
      <c r="AE681" s="31"/>
    </row>
    <row r="682" spans="30:31">
      <c r="AD682" s="31"/>
      <c r="AE682" s="31"/>
    </row>
    <row r="683" spans="30:31">
      <c r="AD683" s="31"/>
      <c r="AE683" s="31"/>
    </row>
    <row r="684" spans="30:31">
      <c r="AD684" s="31"/>
      <c r="AE684" s="31"/>
    </row>
    <row r="685" spans="30:31">
      <c r="AD685" s="31"/>
      <c r="AE685" s="31"/>
    </row>
    <row r="686" spans="30:31">
      <c r="AD686" s="31"/>
      <c r="AE686" s="31"/>
    </row>
    <row r="687" spans="30:31">
      <c r="AD687" s="31"/>
      <c r="AE687" s="31"/>
    </row>
    <row r="688" spans="30:31">
      <c r="AD688" s="31"/>
      <c r="AE688" s="31"/>
    </row>
    <row r="689" spans="30:31">
      <c r="AD689" s="31"/>
      <c r="AE689" s="31"/>
    </row>
    <row r="690" spans="30:31">
      <c r="AD690" s="31"/>
      <c r="AE690" s="31"/>
    </row>
    <row r="691" spans="30:31">
      <c r="AD691" s="31"/>
      <c r="AE691" s="31"/>
    </row>
    <row r="692" spans="30:31">
      <c r="AD692" s="31"/>
      <c r="AE692" s="31"/>
    </row>
    <row r="693" spans="30:31">
      <c r="AD693" s="31"/>
      <c r="AE693" s="31"/>
    </row>
    <row r="694" spans="30:31">
      <c r="AD694" s="31"/>
      <c r="AE694" s="31"/>
    </row>
    <row r="695" spans="30:31">
      <c r="AD695" s="31"/>
      <c r="AE695" s="31"/>
    </row>
    <row r="696" spans="30:31">
      <c r="AD696" s="31"/>
      <c r="AE696" s="31"/>
    </row>
    <row r="697" spans="30:31">
      <c r="AD697" s="31"/>
      <c r="AE697" s="31"/>
    </row>
    <row r="698" spans="30:31">
      <c r="AD698" s="31"/>
      <c r="AE698" s="31"/>
    </row>
    <row r="699" spans="30:31">
      <c r="AD699" s="31"/>
      <c r="AE699" s="31"/>
    </row>
    <row r="700" spans="30:31">
      <c r="AD700" s="31"/>
      <c r="AE700" s="31"/>
    </row>
    <row r="701" spans="30:31">
      <c r="AD701" s="31"/>
      <c r="AE701" s="31"/>
    </row>
    <row r="702" spans="30:31">
      <c r="AD702" s="31"/>
      <c r="AE702" s="31"/>
    </row>
    <row r="703" spans="30:31">
      <c r="AD703" s="31"/>
      <c r="AE703" s="31"/>
    </row>
    <row r="704" spans="30:31">
      <c r="AD704" s="31"/>
      <c r="AE704" s="31"/>
    </row>
    <row r="705" spans="30:31">
      <c r="AD705" s="31"/>
      <c r="AE705" s="31"/>
    </row>
    <row r="706" spans="30:31">
      <c r="AD706" s="31"/>
      <c r="AE706" s="31"/>
    </row>
    <row r="707" spans="30:31">
      <c r="AD707" s="31"/>
      <c r="AE707" s="31"/>
    </row>
    <row r="708" spans="30:31">
      <c r="AD708" s="31"/>
      <c r="AE708" s="31"/>
    </row>
    <row r="709" spans="30:31">
      <c r="AD709" s="31"/>
      <c r="AE709" s="31"/>
    </row>
    <row r="710" spans="30:31">
      <c r="AD710" s="31"/>
      <c r="AE710" s="31"/>
    </row>
    <row r="711" spans="30:31">
      <c r="AD711" s="31"/>
      <c r="AE711" s="31"/>
    </row>
    <row r="712" spans="30:31">
      <c r="AD712" s="31"/>
      <c r="AE712" s="31"/>
    </row>
    <row r="713" spans="30:31">
      <c r="AD713" s="31"/>
      <c r="AE713" s="31"/>
    </row>
    <row r="714" spans="30:31">
      <c r="AD714" s="31"/>
      <c r="AE714" s="31"/>
    </row>
    <row r="715" spans="30:31">
      <c r="AD715" s="31"/>
      <c r="AE715" s="31"/>
    </row>
    <row r="716" spans="30:31">
      <c r="AD716" s="31"/>
      <c r="AE716" s="31"/>
    </row>
    <row r="717" spans="30:31">
      <c r="AD717" s="31"/>
      <c r="AE717" s="31"/>
    </row>
    <row r="718" spans="30:31">
      <c r="AD718" s="31"/>
      <c r="AE718" s="31"/>
    </row>
    <row r="719" spans="30:31">
      <c r="AD719" s="31"/>
      <c r="AE719" s="31"/>
    </row>
    <row r="720" spans="30:31">
      <c r="AD720" s="31"/>
      <c r="AE720" s="31"/>
    </row>
    <row r="721" spans="30:31">
      <c r="AD721" s="31"/>
      <c r="AE721" s="31"/>
    </row>
    <row r="722" spans="30:31">
      <c r="AD722" s="31"/>
      <c r="AE722" s="31"/>
    </row>
    <row r="723" spans="30:31">
      <c r="AD723" s="31"/>
      <c r="AE723" s="31"/>
    </row>
    <row r="724" spans="30:31">
      <c r="AD724" s="31"/>
      <c r="AE724" s="31"/>
    </row>
    <row r="725" spans="30:31">
      <c r="AD725" s="31"/>
      <c r="AE725" s="31"/>
    </row>
    <row r="726" spans="30:31">
      <c r="AD726" s="31"/>
      <c r="AE726" s="31"/>
    </row>
    <row r="727" spans="30:31">
      <c r="AD727" s="31"/>
      <c r="AE727" s="31"/>
    </row>
    <row r="728" spans="30:31">
      <c r="AD728" s="31"/>
      <c r="AE728" s="31"/>
    </row>
    <row r="729" spans="30:31">
      <c r="AD729" s="31"/>
      <c r="AE729" s="31"/>
    </row>
    <row r="730" spans="30:31">
      <c r="AD730" s="31"/>
      <c r="AE730" s="31"/>
    </row>
    <row r="731" spans="30:31">
      <c r="AD731" s="31"/>
      <c r="AE731" s="31"/>
    </row>
    <row r="732" spans="30:31">
      <c r="AD732" s="31"/>
      <c r="AE732" s="31"/>
    </row>
    <row r="733" spans="30:31">
      <c r="AD733" s="31"/>
      <c r="AE733" s="31"/>
    </row>
    <row r="734" spans="30:31">
      <c r="AD734" s="31"/>
      <c r="AE734" s="31"/>
    </row>
    <row r="735" spans="30:31">
      <c r="AD735" s="31"/>
      <c r="AE735" s="31"/>
    </row>
    <row r="736" spans="30:31">
      <c r="AD736" s="31"/>
      <c r="AE736" s="31"/>
    </row>
    <row r="737" spans="30:31">
      <c r="AD737" s="31"/>
      <c r="AE737" s="31"/>
    </row>
    <row r="738" spans="30:31">
      <c r="AD738" s="31"/>
      <c r="AE738" s="31"/>
    </row>
    <row r="739" spans="30:31">
      <c r="AD739" s="31"/>
      <c r="AE739" s="31"/>
    </row>
    <row r="740" spans="30:31">
      <c r="AD740" s="31"/>
      <c r="AE740" s="31"/>
    </row>
    <row r="741" spans="30:31">
      <c r="AD741" s="31"/>
      <c r="AE741" s="31"/>
    </row>
    <row r="742" spans="30:31">
      <c r="AD742" s="31"/>
      <c r="AE742" s="31"/>
    </row>
    <row r="743" spans="30:31">
      <c r="AD743" s="31"/>
      <c r="AE743" s="31"/>
    </row>
    <row r="744" spans="30:31">
      <c r="AD744" s="31"/>
      <c r="AE744" s="31"/>
    </row>
    <row r="745" spans="30:31">
      <c r="AD745" s="31"/>
      <c r="AE745" s="31"/>
    </row>
    <row r="746" spans="30:31">
      <c r="AD746" s="31"/>
      <c r="AE746" s="31"/>
    </row>
    <row r="747" spans="30:31">
      <c r="AD747" s="31"/>
      <c r="AE747" s="31"/>
    </row>
    <row r="748" spans="30:31">
      <c r="AD748" s="31"/>
      <c r="AE748" s="31"/>
    </row>
    <row r="749" spans="30:31">
      <c r="AD749" s="31"/>
      <c r="AE749" s="31"/>
    </row>
    <row r="750" spans="30:31">
      <c r="AD750" s="31"/>
      <c r="AE750" s="31"/>
    </row>
    <row r="751" spans="30:31">
      <c r="AD751" s="31"/>
      <c r="AE751" s="31"/>
    </row>
    <row r="752" spans="30:31">
      <c r="AD752" s="31"/>
      <c r="AE752" s="31"/>
    </row>
    <row r="753" spans="30:31">
      <c r="AD753" s="31"/>
      <c r="AE753" s="31"/>
    </row>
    <row r="754" spans="30:31">
      <c r="AD754" s="31"/>
      <c r="AE754" s="31"/>
    </row>
    <row r="755" spans="30:31">
      <c r="AD755" s="31"/>
      <c r="AE755" s="31"/>
    </row>
    <row r="756" spans="30:31">
      <c r="AD756" s="31"/>
      <c r="AE756" s="31"/>
    </row>
    <row r="757" spans="30:31">
      <c r="AD757" s="31"/>
      <c r="AE757" s="31"/>
    </row>
    <row r="758" spans="30:31">
      <c r="AD758" s="31"/>
      <c r="AE758" s="31"/>
    </row>
    <row r="759" spans="30:31">
      <c r="AD759" s="31"/>
      <c r="AE759" s="31"/>
    </row>
    <row r="760" spans="30:31">
      <c r="AD760" s="31"/>
      <c r="AE760" s="31"/>
    </row>
    <row r="761" spans="30:31">
      <c r="AD761" s="31"/>
      <c r="AE761" s="31"/>
    </row>
    <row r="762" spans="30:31">
      <c r="AD762" s="31"/>
      <c r="AE762" s="31"/>
    </row>
    <row r="763" spans="30:31">
      <c r="AD763" s="31"/>
      <c r="AE763" s="31"/>
    </row>
    <row r="764" spans="30:31">
      <c r="AD764" s="31"/>
      <c r="AE764" s="31"/>
    </row>
    <row r="765" spans="30:31">
      <c r="AD765" s="31"/>
      <c r="AE765" s="31"/>
    </row>
    <row r="766" spans="30:31">
      <c r="AD766" s="31"/>
      <c r="AE766" s="31"/>
    </row>
    <row r="767" spans="30:31">
      <c r="AD767" s="31"/>
      <c r="AE767" s="31"/>
    </row>
    <row r="768" spans="30:31">
      <c r="AD768" s="31"/>
      <c r="AE768" s="31"/>
    </row>
    <row r="769" spans="30:31">
      <c r="AD769" s="31"/>
      <c r="AE769" s="31"/>
    </row>
    <row r="770" spans="30:31">
      <c r="AD770" s="31"/>
      <c r="AE770" s="31"/>
    </row>
    <row r="771" spans="30:31">
      <c r="AD771" s="31"/>
      <c r="AE771" s="31"/>
    </row>
    <row r="772" spans="30:31">
      <c r="AD772" s="31"/>
      <c r="AE772" s="31"/>
    </row>
    <row r="773" spans="30:31">
      <c r="AD773" s="31"/>
      <c r="AE773" s="31"/>
    </row>
    <row r="774" spans="30:31">
      <c r="AD774" s="31"/>
      <c r="AE774" s="31"/>
    </row>
    <row r="775" spans="30:31">
      <c r="AD775" s="31"/>
      <c r="AE775" s="31"/>
    </row>
    <row r="776" spans="30:31">
      <c r="AD776" s="31"/>
      <c r="AE776" s="31"/>
    </row>
    <row r="777" spans="30:31">
      <c r="AD777" s="31"/>
      <c r="AE777" s="31"/>
    </row>
    <row r="778" spans="30:31">
      <c r="AD778" s="31"/>
      <c r="AE778" s="31"/>
    </row>
    <row r="779" spans="30:31">
      <c r="AD779" s="31"/>
      <c r="AE779" s="31"/>
    </row>
    <row r="780" spans="30:31">
      <c r="AD780" s="31"/>
      <c r="AE780" s="31"/>
    </row>
    <row r="781" spans="30:31">
      <c r="AD781" s="31"/>
      <c r="AE781" s="31"/>
    </row>
    <row r="782" spans="30:31">
      <c r="AD782" s="31"/>
      <c r="AE782" s="31"/>
    </row>
    <row r="783" spans="30:31">
      <c r="AD783" s="31"/>
      <c r="AE783" s="31"/>
    </row>
    <row r="784" spans="30:31">
      <c r="AD784" s="31"/>
      <c r="AE784" s="31"/>
    </row>
    <row r="785" spans="30:31">
      <c r="AD785" s="31"/>
      <c r="AE785" s="31"/>
    </row>
    <row r="786" spans="30:31">
      <c r="AD786" s="31"/>
      <c r="AE786" s="31"/>
    </row>
    <row r="787" spans="30:31">
      <c r="AD787" s="31"/>
      <c r="AE787" s="31"/>
    </row>
    <row r="788" spans="30:31">
      <c r="AD788" s="31"/>
      <c r="AE788" s="31"/>
    </row>
    <row r="789" spans="30:31">
      <c r="AD789" s="31"/>
      <c r="AE789" s="31"/>
    </row>
    <row r="790" spans="30:31">
      <c r="AD790" s="31"/>
      <c r="AE790" s="31"/>
    </row>
    <row r="791" spans="30:31">
      <c r="AD791" s="31"/>
      <c r="AE791" s="31"/>
    </row>
    <row r="792" spans="30:31">
      <c r="AD792" s="31"/>
      <c r="AE792" s="31"/>
    </row>
    <row r="793" spans="30:31">
      <c r="AD793" s="31"/>
      <c r="AE793" s="31"/>
    </row>
    <row r="794" spans="30:31">
      <c r="AD794" s="31"/>
      <c r="AE794" s="31"/>
    </row>
    <row r="795" spans="30:31">
      <c r="AD795" s="31"/>
      <c r="AE795" s="31"/>
    </row>
    <row r="796" spans="30:31">
      <c r="AD796" s="31"/>
      <c r="AE796" s="31"/>
    </row>
    <row r="797" spans="30:31">
      <c r="AD797" s="31"/>
      <c r="AE797" s="31"/>
    </row>
    <row r="798" spans="30:31">
      <c r="AD798" s="31"/>
      <c r="AE798" s="31"/>
    </row>
    <row r="799" spans="30:31">
      <c r="AD799" s="31"/>
      <c r="AE799" s="31"/>
    </row>
    <row r="800" spans="30:31">
      <c r="AD800" s="31"/>
      <c r="AE800" s="31"/>
    </row>
    <row r="801" spans="30:31">
      <c r="AD801" s="31"/>
      <c r="AE801" s="31"/>
    </row>
    <row r="802" spans="30:31">
      <c r="AD802" s="31"/>
      <c r="AE802" s="31"/>
    </row>
    <row r="803" spans="30:31">
      <c r="AD803" s="31"/>
      <c r="AE803" s="31"/>
    </row>
    <row r="804" spans="30:31">
      <c r="AD804" s="31"/>
      <c r="AE804" s="31"/>
    </row>
    <row r="805" spans="30:31">
      <c r="AD805" s="31"/>
      <c r="AE805" s="31"/>
    </row>
    <row r="806" spans="30:31">
      <c r="AD806" s="31"/>
      <c r="AE806" s="31"/>
    </row>
    <row r="807" spans="30:31">
      <c r="AD807" s="31"/>
      <c r="AE807" s="31"/>
    </row>
    <row r="808" spans="30:31">
      <c r="AD808" s="31"/>
      <c r="AE808" s="31"/>
    </row>
    <row r="809" spans="30:31">
      <c r="AD809" s="31"/>
      <c r="AE809" s="31"/>
    </row>
    <row r="810" spans="30:31">
      <c r="AD810" s="31"/>
      <c r="AE810" s="31"/>
    </row>
    <row r="811" spans="30:31">
      <c r="AD811" s="31"/>
      <c r="AE811" s="31"/>
    </row>
    <row r="812" spans="30:31">
      <c r="AD812" s="31"/>
      <c r="AE812" s="31"/>
    </row>
    <row r="813" spans="30:31">
      <c r="AD813" s="31"/>
      <c r="AE813" s="31"/>
    </row>
    <row r="814" spans="30:31">
      <c r="AD814" s="31"/>
      <c r="AE814" s="31"/>
    </row>
    <row r="815" spans="30:31">
      <c r="AD815" s="31"/>
      <c r="AE815" s="31"/>
    </row>
    <row r="816" spans="30:31">
      <c r="AD816" s="31"/>
      <c r="AE816" s="31"/>
    </row>
    <row r="817" spans="30:31">
      <c r="AD817" s="31"/>
      <c r="AE817" s="31"/>
    </row>
    <row r="818" spans="30:31">
      <c r="AD818" s="31"/>
      <c r="AE818" s="31"/>
    </row>
    <row r="819" spans="30:31">
      <c r="AD819" s="31"/>
      <c r="AE819" s="31"/>
    </row>
    <row r="820" spans="30:31">
      <c r="AD820" s="31"/>
      <c r="AE820" s="31"/>
    </row>
    <row r="821" spans="30:31">
      <c r="AD821" s="31"/>
      <c r="AE821" s="31"/>
    </row>
    <row r="822" spans="30:31">
      <c r="AD822" s="31"/>
      <c r="AE822" s="31"/>
    </row>
    <row r="823" spans="30:31">
      <c r="AD823" s="31"/>
      <c r="AE823" s="31"/>
    </row>
    <row r="824" spans="30:31">
      <c r="AD824" s="31"/>
      <c r="AE824" s="31"/>
    </row>
    <row r="825" spans="30:31">
      <c r="AD825" s="31"/>
      <c r="AE825" s="31"/>
    </row>
    <row r="826" spans="30:31">
      <c r="AD826" s="31"/>
      <c r="AE826" s="31"/>
    </row>
    <row r="827" spans="30:31">
      <c r="AD827" s="31"/>
      <c r="AE827" s="31"/>
    </row>
    <row r="828" spans="30:31">
      <c r="AD828" s="31"/>
      <c r="AE828" s="31"/>
    </row>
    <row r="829" spans="30:31">
      <c r="AD829" s="31"/>
      <c r="AE829" s="31"/>
    </row>
    <row r="830" spans="30:31">
      <c r="AD830" s="31"/>
      <c r="AE830" s="31"/>
    </row>
    <row r="831" spans="30:31">
      <c r="AD831" s="31"/>
      <c r="AE831" s="31"/>
    </row>
    <row r="832" spans="30:31">
      <c r="AD832" s="31"/>
      <c r="AE832" s="31"/>
    </row>
    <row r="833" spans="30:31">
      <c r="AD833" s="31"/>
      <c r="AE833" s="31"/>
    </row>
    <row r="834" spans="30:31">
      <c r="AD834" s="31"/>
      <c r="AE834" s="31"/>
    </row>
    <row r="835" spans="30:31">
      <c r="AD835" s="31"/>
      <c r="AE835" s="31"/>
    </row>
    <row r="836" spans="30:31">
      <c r="AD836" s="31"/>
      <c r="AE836" s="31"/>
    </row>
    <row r="837" spans="30:31">
      <c r="AD837" s="31"/>
      <c r="AE837" s="31"/>
    </row>
    <row r="838" spans="30:31">
      <c r="AD838" s="31"/>
      <c r="AE838" s="31"/>
    </row>
    <row r="839" spans="30:31">
      <c r="AD839" s="31"/>
      <c r="AE839" s="31"/>
    </row>
    <row r="840" spans="30:31">
      <c r="AD840" s="31"/>
      <c r="AE840" s="31"/>
    </row>
    <row r="841" spans="30:31">
      <c r="AD841" s="31"/>
      <c r="AE841" s="31"/>
    </row>
    <row r="842" spans="30:31">
      <c r="AD842" s="31"/>
      <c r="AE842" s="31"/>
    </row>
    <row r="843" spans="30:31">
      <c r="AD843" s="31"/>
      <c r="AE843" s="31"/>
    </row>
    <row r="844" spans="30:31">
      <c r="AD844" s="31"/>
      <c r="AE844" s="31"/>
    </row>
    <row r="845" spans="30:31">
      <c r="AD845" s="31"/>
      <c r="AE845" s="31"/>
    </row>
    <row r="846" spans="30:31">
      <c r="AD846" s="31"/>
      <c r="AE846" s="31"/>
    </row>
    <row r="847" spans="30:31">
      <c r="AD847" s="31"/>
      <c r="AE847" s="31"/>
    </row>
    <row r="848" spans="30:31">
      <c r="AD848" s="31"/>
      <c r="AE848" s="31"/>
    </row>
    <row r="849" spans="30:31">
      <c r="AD849" s="31"/>
      <c r="AE849" s="31"/>
    </row>
    <row r="850" spans="30:31">
      <c r="AD850" s="31"/>
      <c r="AE850" s="31"/>
    </row>
    <row r="851" spans="30:31">
      <c r="AD851" s="31"/>
      <c r="AE851" s="31"/>
    </row>
    <row r="852" spans="30:31">
      <c r="AD852" s="31"/>
      <c r="AE852" s="31"/>
    </row>
    <row r="853" spans="30:31">
      <c r="AD853" s="31"/>
      <c r="AE853" s="31"/>
    </row>
    <row r="854" spans="30:31">
      <c r="AD854" s="31"/>
      <c r="AE854" s="31"/>
    </row>
    <row r="855" spans="30:31">
      <c r="AD855" s="31"/>
      <c r="AE855" s="31"/>
    </row>
    <row r="856" spans="30:31">
      <c r="AD856" s="31"/>
      <c r="AE856" s="31"/>
    </row>
    <row r="857" spans="30:31">
      <c r="AD857" s="31"/>
      <c r="AE857" s="31"/>
    </row>
    <row r="858" spans="30:31">
      <c r="AD858" s="31"/>
      <c r="AE858" s="31"/>
    </row>
    <row r="859" spans="30:31">
      <c r="AD859" s="31"/>
      <c r="AE859" s="31"/>
    </row>
    <row r="860" spans="30:31">
      <c r="AD860" s="31"/>
      <c r="AE860" s="31"/>
    </row>
    <row r="861" spans="30:31">
      <c r="AD861" s="31"/>
      <c r="AE861" s="31"/>
    </row>
    <row r="862" spans="30:31">
      <c r="AD862" s="31"/>
      <c r="AE862" s="31"/>
    </row>
    <row r="863" spans="30:31">
      <c r="AD863" s="31"/>
      <c r="AE863" s="31"/>
    </row>
    <row r="864" spans="30:31">
      <c r="AD864" s="31"/>
      <c r="AE864" s="31"/>
    </row>
    <row r="865" spans="30:31">
      <c r="AD865" s="31"/>
      <c r="AE865" s="31"/>
    </row>
    <row r="866" spans="30:31">
      <c r="AD866" s="31"/>
      <c r="AE866" s="31"/>
    </row>
    <row r="867" spans="30:31">
      <c r="AD867" s="31"/>
      <c r="AE867" s="31"/>
    </row>
    <row r="868" spans="30:31">
      <c r="AD868" s="31"/>
      <c r="AE868" s="31"/>
    </row>
    <row r="869" spans="30:31">
      <c r="AD869" s="31"/>
      <c r="AE869" s="31"/>
    </row>
    <row r="870" spans="30:31">
      <c r="AD870" s="31"/>
      <c r="AE870" s="31"/>
    </row>
    <row r="871" spans="30:31">
      <c r="AD871" s="31"/>
      <c r="AE871" s="31"/>
    </row>
    <row r="872" spans="30:31">
      <c r="AD872" s="31"/>
      <c r="AE872" s="31"/>
    </row>
    <row r="873" spans="30:31">
      <c r="AD873" s="31"/>
      <c r="AE873" s="31"/>
    </row>
    <row r="874" spans="30:31">
      <c r="AD874" s="31"/>
      <c r="AE874" s="31"/>
    </row>
    <row r="875" spans="30:31">
      <c r="AD875" s="31"/>
      <c r="AE875" s="31"/>
    </row>
    <row r="876" spans="30:31">
      <c r="AD876" s="31"/>
      <c r="AE876" s="31"/>
    </row>
    <row r="877" spans="30:31">
      <c r="AD877" s="31"/>
      <c r="AE877" s="31"/>
    </row>
    <row r="878" spans="30:31">
      <c r="AD878" s="31"/>
      <c r="AE878" s="31"/>
    </row>
    <row r="879" spans="30:31">
      <c r="AD879" s="31"/>
      <c r="AE879" s="31"/>
    </row>
    <row r="880" spans="30:31">
      <c r="AD880" s="31"/>
      <c r="AE880" s="31"/>
    </row>
    <row r="881" spans="30:31">
      <c r="AD881" s="31"/>
      <c r="AE881" s="31"/>
    </row>
    <row r="882" spans="30:31">
      <c r="AD882" s="31"/>
      <c r="AE882" s="31"/>
    </row>
    <row r="883" spans="30:31">
      <c r="AD883" s="31"/>
      <c r="AE883" s="31"/>
    </row>
    <row r="884" spans="30:31">
      <c r="AD884" s="31"/>
      <c r="AE884" s="31"/>
    </row>
    <row r="885" spans="30:31">
      <c r="AD885" s="31"/>
      <c r="AE885" s="31"/>
    </row>
    <row r="886" spans="30:31">
      <c r="AD886" s="31"/>
      <c r="AE886" s="31"/>
    </row>
    <row r="887" spans="30:31">
      <c r="AD887" s="31"/>
      <c r="AE887" s="31"/>
    </row>
    <row r="888" spans="30:31">
      <c r="AD888" s="31"/>
      <c r="AE888" s="31"/>
    </row>
    <row r="889" spans="30:31">
      <c r="AD889" s="31"/>
      <c r="AE889" s="31"/>
    </row>
    <row r="890" spans="30:31">
      <c r="AD890" s="31"/>
      <c r="AE890" s="31"/>
    </row>
    <row r="891" spans="30:31">
      <c r="AD891" s="31"/>
      <c r="AE891" s="31"/>
    </row>
    <row r="892" spans="30:31">
      <c r="AD892" s="31"/>
      <c r="AE892" s="31"/>
    </row>
    <row r="893" spans="30:31">
      <c r="AD893" s="31"/>
      <c r="AE893" s="31"/>
    </row>
    <row r="894" spans="30:31">
      <c r="AD894" s="31"/>
      <c r="AE894" s="31"/>
    </row>
    <row r="895" spans="30:31">
      <c r="AD895" s="31"/>
      <c r="AE895" s="31"/>
    </row>
    <row r="896" spans="30:31">
      <c r="AD896" s="31"/>
      <c r="AE896" s="31"/>
    </row>
    <row r="897" spans="30:31">
      <c r="AD897" s="31"/>
      <c r="AE897" s="31"/>
    </row>
    <row r="898" spans="30:31">
      <c r="AD898" s="31"/>
      <c r="AE898" s="31"/>
    </row>
    <row r="899" spans="30:31">
      <c r="AD899" s="31"/>
      <c r="AE899" s="31"/>
    </row>
    <row r="900" spans="30:31">
      <c r="AD900" s="31"/>
      <c r="AE900" s="31"/>
    </row>
    <row r="901" spans="30:31">
      <c r="AD901" s="31"/>
      <c r="AE901" s="31"/>
    </row>
    <row r="902" spans="30:31">
      <c r="AD902" s="31"/>
      <c r="AE902" s="31"/>
    </row>
    <row r="903" spans="30:31">
      <c r="AD903" s="31"/>
      <c r="AE903" s="31"/>
    </row>
    <row r="904" spans="30:31">
      <c r="AD904" s="31"/>
      <c r="AE904" s="31"/>
    </row>
    <row r="905" spans="30:31">
      <c r="AD905" s="31"/>
      <c r="AE905" s="31"/>
    </row>
    <row r="906" spans="30:31">
      <c r="AD906" s="31"/>
      <c r="AE906" s="31"/>
    </row>
    <row r="907" spans="30:31">
      <c r="AD907" s="31"/>
      <c r="AE907" s="31"/>
    </row>
    <row r="908" spans="30:31">
      <c r="AD908" s="31"/>
      <c r="AE908" s="31"/>
    </row>
    <row r="909" spans="30:31">
      <c r="AD909" s="31"/>
      <c r="AE909" s="31"/>
    </row>
    <row r="910" spans="30:31">
      <c r="AD910" s="31"/>
      <c r="AE910" s="31"/>
    </row>
    <row r="911" spans="30:31">
      <c r="AD911" s="31"/>
      <c r="AE911" s="31"/>
    </row>
    <row r="912" spans="30:31">
      <c r="AD912" s="31"/>
      <c r="AE912" s="31"/>
    </row>
    <row r="913" spans="30:31">
      <c r="AD913" s="31"/>
      <c r="AE913" s="31"/>
    </row>
    <row r="914" spans="30:31">
      <c r="AD914" s="31"/>
      <c r="AE914" s="31"/>
    </row>
    <row r="915" spans="30:31">
      <c r="AD915" s="31"/>
      <c r="AE915" s="31"/>
    </row>
    <row r="916" spans="30:31">
      <c r="AD916" s="31"/>
      <c r="AE916" s="31"/>
    </row>
    <row r="917" spans="30:31">
      <c r="AD917" s="31"/>
      <c r="AE917" s="31"/>
    </row>
    <row r="918" spans="30:31">
      <c r="AD918" s="31"/>
      <c r="AE918" s="31"/>
    </row>
    <row r="919" spans="30:31">
      <c r="AD919" s="31"/>
      <c r="AE919" s="31"/>
    </row>
    <row r="920" spans="30:31">
      <c r="AD920" s="31"/>
      <c r="AE920" s="31"/>
    </row>
    <row r="921" spans="30:31">
      <c r="AD921" s="31"/>
      <c r="AE921" s="31"/>
    </row>
    <row r="922" spans="30:31">
      <c r="AD922" s="31"/>
      <c r="AE922" s="31"/>
    </row>
    <row r="923" spans="30:31">
      <c r="AD923" s="31"/>
      <c r="AE923" s="31"/>
    </row>
    <row r="924" spans="30:31">
      <c r="AD924" s="31"/>
      <c r="AE924" s="31"/>
    </row>
    <row r="925" spans="30:31">
      <c r="AD925" s="31"/>
      <c r="AE925" s="31"/>
    </row>
    <row r="926" spans="30:31">
      <c r="AD926" s="31"/>
      <c r="AE926" s="31"/>
    </row>
    <row r="927" spans="30:31">
      <c r="AD927" s="31"/>
      <c r="AE927" s="31"/>
    </row>
    <row r="928" spans="30:31">
      <c r="AD928" s="31"/>
      <c r="AE928" s="31"/>
    </row>
    <row r="929" spans="30:31">
      <c r="AD929" s="31"/>
      <c r="AE929" s="31"/>
    </row>
    <row r="930" spans="30:31">
      <c r="AD930" s="31"/>
      <c r="AE930" s="31"/>
    </row>
    <row r="931" spans="30:31">
      <c r="AD931" s="31"/>
      <c r="AE931" s="31"/>
    </row>
    <row r="932" spans="30:31">
      <c r="AD932" s="31"/>
      <c r="AE932" s="31"/>
    </row>
    <row r="933" spans="30:31">
      <c r="AD933" s="31"/>
      <c r="AE933" s="31"/>
    </row>
    <row r="934" spans="30:31">
      <c r="AD934" s="31"/>
      <c r="AE934" s="31"/>
    </row>
    <row r="935" spans="30:31">
      <c r="AD935" s="31"/>
      <c r="AE935" s="31"/>
    </row>
    <row r="936" spans="30:31">
      <c r="AD936" s="31"/>
      <c r="AE936" s="31"/>
    </row>
    <row r="937" spans="30:31">
      <c r="AD937" s="31"/>
      <c r="AE937" s="31"/>
    </row>
    <row r="938" spans="30:31">
      <c r="AD938" s="31"/>
      <c r="AE938" s="31"/>
    </row>
    <row r="939" spans="30:31">
      <c r="AD939" s="31"/>
      <c r="AE939" s="31"/>
    </row>
    <row r="940" spans="30:31">
      <c r="AD940" s="31"/>
      <c r="AE940" s="31"/>
    </row>
    <row r="941" spans="30:31">
      <c r="AD941" s="31"/>
      <c r="AE941" s="31"/>
    </row>
    <row r="942" spans="30:31">
      <c r="AD942" s="31"/>
      <c r="AE942" s="31"/>
    </row>
    <row r="943" spans="30:31">
      <c r="AD943" s="31"/>
      <c r="AE943" s="31"/>
    </row>
    <row r="944" spans="30:31">
      <c r="AD944" s="31"/>
      <c r="AE944" s="31"/>
    </row>
    <row r="945" spans="30:31">
      <c r="AD945" s="31"/>
      <c r="AE945" s="31"/>
    </row>
    <row r="946" spans="30:31">
      <c r="AD946" s="31"/>
      <c r="AE946" s="31"/>
    </row>
    <row r="947" spans="30:31">
      <c r="AD947" s="31"/>
      <c r="AE947" s="31"/>
    </row>
    <row r="948" spans="30:31">
      <c r="AD948" s="31"/>
      <c r="AE948" s="31"/>
    </row>
    <row r="949" spans="30:31">
      <c r="AD949" s="31"/>
      <c r="AE949" s="31"/>
    </row>
    <row r="950" spans="30:31">
      <c r="AD950" s="31"/>
      <c r="AE950" s="31"/>
    </row>
    <row r="951" spans="30:31">
      <c r="AD951" s="31"/>
      <c r="AE951" s="31"/>
    </row>
    <row r="952" spans="30:31">
      <c r="AD952" s="31"/>
      <c r="AE952" s="31"/>
    </row>
    <row r="953" spans="30:31">
      <c r="AD953" s="31"/>
      <c r="AE953" s="31"/>
    </row>
    <row r="954" spans="30:31">
      <c r="AD954" s="31"/>
      <c r="AE954" s="31"/>
    </row>
    <row r="955" spans="30:31">
      <c r="AD955" s="31"/>
      <c r="AE955" s="31"/>
    </row>
    <row r="956" spans="30:31">
      <c r="AD956" s="31"/>
      <c r="AE956" s="31"/>
    </row>
    <row r="957" spans="30:31">
      <c r="AD957" s="31"/>
      <c r="AE957" s="31"/>
    </row>
    <row r="958" spans="30:31">
      <c r="AD958" s="31"/>
      <c r="AE958" s="31"/>
    </row>
    <row r="959" spans="30:31">
      <c r="AD959" s="31"/>
      <c r="AE959" s="31"/>
    </row>
    <row r="960" spans="30:31">
      <c r="AD960" s="31"/>
      <c r="AE960" s="31"/>
    </row>
    <row r="961" spans="30:31">
      <c r="AD961" s="31"/>
      <c r="AE961" s="31"/>
    </row>
    <row r="962" spans="30:31">
      <c r="AD962" s="31"/>
      <c r="AE962" s="31"/>
    </row>
    <row r="963" spans="30:31">
      <c r="AD963" s="31"/>
      <c r="AE963" s="31"/>
    </row>
    <row r="964" spans="30:31">
      <c r="AD964" s="31"/>
      <c r="AE964" s="31"/>
    </row>
    <row r="965" spans="30:31">
      <c r="AD965" s="31"/>
      <c r="AE965" s="31"/>
    </row>
    <row r="966" spans="30:31">
      <c r="AD966" s="31"/>
      <c r="AE966" s="31"/>
    </row>
    <row r="967" spans="30:31">
      <c r="AD967" s="31"/>
      <c r="AE967" s="31"/>
    </row>
    <row r="968" spans="30:31">
      <c r="AD968" s="31"/>
      <c r="AE968" s="31"/>
    </row>
    <row r="969" spans="30:31">
      <c r="AD969" s="31"/>
      <c r="AE969" s="31"/>
    </row>
    <row r="970" spans="30:31">
      <c r="AD970" s="31"/>
      <c r="AE970" s="31"/>
    </row>
    <row r="971" spans="30:31">
      <c r="AD971" s="31"/>
      <c r="AE971" s="31"/>
    </row>
    <row r="972" spans="30:31">
      <c r="AD972" s="31"/>
      <c r="AE972" s="31"/>
    </row>
    <row r="973" spans="30:31">
      <c r="AD973" s="31"/>
      <c r="AE973" s="31"/>
    </row>
    <row r="974" spans="30:31">
      <c r="AD974" s="31"/>
      <c r="AE974" s="31"/>
    </row>
    <row r="975" spans="30:31">
      <c r="AD975" s="31"/>
      <c r="AE975" s="31"/>
    </row>
    <row r="976" spans="30:31">
      <c r="AD976" s="31"/>
      <c r="AE976" s="31"/>
    </row>
    <row r="977" spans="30:31">
      <c r="AD977" s="31"/>
      <c r="AE977" s="31"/>
    </row>
    <row r="978" spans="30:31">
      <c r="AD978" s="31"/>
      <c r="AE978" s="31"/>
    </row>
    <row r="979" spans="30:31">
      <c r="AD979" s="31"/>
      <c r="AE979" s="31"/>
    </row>
    <row r="980" spans="30:31">
      <c r="AD980" s="31"/>
      <c r="AE980" s="31"/>
    </row>
    <row r="981" spans="30:31">
      <c r="AD981" s="31"/>
      <c r="AE981" s="31"/>
    </row>
    <row r="982" spans="30:31">
      <c r="AD982" s="31"/>
      <c r="AE982" s="31"/>
    </row>
    <row r="983" spans="30:31">
      <c r="AD983" s="31"/>
      <c r="AE983" s="31"/>
    </row>
    <row r="984" spans="30:31">
      <c r="AD984" s="31"/>
      <c r="AE984" s="31"/>
    </row>
    <row r="985" spans="30:31">
      <c r="AD985" s="31"/>
      <c r="AE985" s="31"/>
    </row>
    <row r="986" spans="30:31">
      <c r="AD986" s="31"/>
      <c r="AE986" s="31"/>
    </row>
    <row r="987" spans="30:31">
      <c r="AD987" s="31"/>
      <c r="AE987" s="31"/>
    </row>
    <row r="988" spans="30:31">
      <c r="AD988" s="31"/>
      <c r="AE988" s="31"/>
    </row>
    <row r="989" spans="30:31">
      <c r="AD989" s="31"/>
      <c r="AE989" s="31"/>
    </row>
    <row r="990" spans="30:31">
      <c r="AD990" s="31"/>
      <c r="AE990" s="31"/>
    </row>
    <row r="991" spans="30:31">
      <c r="AD991" s="31"/>
      <c r="AE991" s="31"/>
    </row>
    <row r="992" spans="30:31">
      <c r="AD992" s="31"/>
      <c r="AE992" s="31"/>
    </row>
    <row r="993" spans="30:31">
      <c r="AD993" s="31"/>
      <c r="AE993" s="31"/>
    </row>
    <row r="994" spans="30:31">
      <c r="AD994" s="31"/>
      <c r="AE994" s="31"/>
    </row>
    <row r="995" spans="30:31">
      <c r="AD995" s="31"/>
      <c r="AE995" s="31"/>
    </row>
    <row r="996" spans="30:31">
      <c r="AD996" s="31"/>
      <c r="AE996" s="31"/>
    </row>
    <row r="997" spans="30:31">
      <c r="AD997" s="31"/>
      <c r="AE997" s="31"/>
    </row>
    <row r="998" spans="30:31">
      <c r="AD998" s="31"/>
      <c r="AE998" s="31"/>
    </row>
    <row r="999" spans="30:31">
      <c r="AD999" s="31"/>
      <c r="AE999" s="31"/>
    </row>
    <row r="1000" spans="30:31">
      <c r="AD1000" s="31"/>
      <c r="AE1000" s="31"/>
    </row>
    <row r="1001" spans="30:31">
      <c r="AD1001" s="31"/>
      <c r="AE1001" s="31"/>
    </row>
    <row r="1002" spans="30:31">
      <c r="AD1002" s="31"/>
      <c r="AE1002" s="31"/>
    </row>
    <row r="1003" spans="30:31">
      <c r="AD1003" s="31"/>
      <c r="AE1003" s="31"/>
    </row>
    <row r="1004" spans="30:31">
      <c r="AD1004" s="31"/>
      <c r="AE1004" s="31"/>
    </row>
    <row r="1005" spans="30:31">
      <c r="AD1005" s="31"/>
      <c r="AE1005" s="31"/>
    </row>
    <row r="1006" spans="30:31">
      <c r="AD1006" s="31"/>
      <c r="AE1006" s="31"/>
    </row>
    <row r="1007" spans="30:31">
      <c r="AD1007" s="31"/>
      <c r="AE1007" s="31"/>
    </row>
    <row r="1008" spans="30:31">
      <c r="AD1008" s="31"/>
      <c r="AE1008" s="31"/>
    </row>
    <row r="1009" spans="30:31">
      <c r="AD1009" s="31"/>
      <c r="AE1009" s="31"/>
    </row>
    <row r="1010" spans="30:31">
      <c r="AD1010" s="31"/>
      <c r="AE1010" s="31"/>
    </row>
    <row r="1011" spans="30:31">
      <c r="AD1011" s="31"/>
      <c r="AE1011" s="31"/>
    </row>
    <row r="1012" spans="30:31">
      <c r="AD1012" s="31"/>
      <c r="AE1012" s="31"/>
    </row>
    <row r="1013" spans="30:31">
      <c r="AD1013" s="31"/>
      <c r="AE1013" s="31"/>
    </row>
    <row r="1014" spans="30:31">
      <c r="AD1014" s="31"/>
      <c r="AE1014" s="31"/>
    </row>
    <row r="1015" spans="30:31">
      <c r="AD1015" s="31"/>
      <c r="AE1015" s="31"/>
    </row>
    <row r="1016" spans="30:31">
      <c r="AD1016" s="31"/>
      <c r="AE1016" s="31"/>
    </row>
    <row r="1017" spans="30:31">
      <c r="AD1017" s="31"/>
      <c r="AE1017" s="31"/>
    </row>
    <row r="1018" spans="30:31">
      <c r="AD1018" s="31"/>
      <c r="AE1018" s="31"/>
    </row>
    <row r="1019" spans="30:31">
      <c r="AD1019" s="31"/>
      <c r="AE1019" s="31"/>
    </row>
    <row r="1020" spans="30:31">
      <c r="AD1020" s="31"/>
      <c r="AE1020" s="31"/>
    </row>
    <row r="1021" spans="30:31">
      <c r="AD1021" s="31"/>
      <c r="AE1021" s="31"/>
    </row>
    <row r="1022" spans="30:31">
      <c r="AD1022" s="31"/>
      <c r="AE1022" s="31"/>
    </row>
    <row r="1023" spans="30:31">
      <c r="AD1023" s="31"/>
      <c r="AE1023" s="31"/>
    </row>
    <row r="1024" spans="30:31">
      <c r="AD1024" s="31"/>
      <c r="AE1024" s="31"/>
    </row>
    <row r="1025" spans="30:31">
      <c r="AD1025" s="31"/>
      <c r="AE1025" s="31"/>
    </row>
    <row r="1026" spans="30:31">
      <c r="AD1026" s="31"/>
      <c r="AE1026" s="31"/>
    </row>
    <row r="1027" spans="30:31">
      <c r="AD1027" s="31"/>
      <c r="AE1027" s="31"/>
    </row>
    <row r="1028" spans="30:31">
      <c r="AD1028" s="31"/>
      <c r="AE1028" s="31"/>
    </row>
    <row r="1029" spans="30:31">
      <c r="AD1029" s="31"/>
      <c r="AE1029" s="31"/>
    </row>
    <row r="1030" spans="30:31">
      <c r="AD1030" s="31"/>
      <c r="AE1030" s="31"/>
    </row>
    <row r="1031" spans="30:31">
      <c r="AD1031" s="31"/>
      <c r="AE1031" s="31"/>
    </row>
    <row r="1032" spans="30:31">
      <c r="AD1032" s="31"/>
      <c r="AE1032" s="31"/>
    </row>
    <row r="1033" spans="30:31">
      <c r="AD1033" s="31"/>
      <c r="AE1033" s="31"/>
    </row>
    <row r="1034" spans="30:31">
      <c r="AD1034" s="31"/>
      <c r="AE1034" s="31"/>
    </row>
    <row r="1035" spans="30:31">
      <c r="AD1035" s="31"/>
      <c r="AE1035" s="31"/>
    </row>
    <row r="1036" spans="30:31">
      <c r="AD1036" s="31"/>
      <c r="AE1036" s="31"/>
    </row>
    <row r="1037" spans="30:31">
      <c r="AD1037" s="31"/>
      <c r="AE1037" s="31"/>
    </row>
    <row r="1038" spans="30:31">
      <c r="AD1038" s="31"/>
      <c r="AE1038" s="31"/>
    </row>
    <row r="1039" spans="30:31">
      <c r="AD1039" s="31"/>
      <c r="AE1039" s="31"/>
    </row>
    <row r="1040" spans="30:31">
      <c r="AD1040" s="31"/>
      <c r="AE1040" s="31"/>
    </row>
    <row r="1041" spans="30:31">
      <c r="AD1041" s="31"/>
      <c r="AE1041" s="31"/>
    </row>
    <row r="1042" spans="30:31">
      <c r="AD1042" s="31"/>
      <c r="AE1042" s="31"/>
    </row>
    <row r="1043" spans="30:31">
      <c r="AD1043" s="31"/>
      <c r="AE1043" s="31"/>
    </row>
    <row r="1044" spans="30:31">
      <c r="AD1044" s="31"/>
      <c r="AE1044" s="31"/>
    </row>
    <row r="1045" spans="30:31">
      <c r="AD1045" s="31"/>
      <c r="AE1045" s="31"/>
    </row>
    <row r="1046" spans="30:31">
      <c r="AD1046" s="31"/>
      <c r="AE1046" s="31"/>
    </row>
    <row r="1047" spans="30:31">
      <c r="AD1047" s="31"/>
      <c r="AE1047" s="31"/>
    </row>
    <row r="1048" spans="30:31">
      <c r="AD1048" s="31"/>
      <c r="AE1048" s="31"/>
    </row>
    <row r="1049" spans="30:31">
      <c r="AD1049" s="31"/>
      <c r="AE1049" s="31"/>
    </row>
    <row r="1050" spans="30:31">
      <c r="AD1050" s="31"/>
      <c r="AE1050" s="31"/>
    </row>
    <row r="1051" spans="30:31">
      <c r="AD1051" s="31"/>
      <c r="AE1051" s="31"/>
    </row>
    <row r="1052" spans="30:31">
      <c r="AD1052" s="31"/>
      <c r="AE1052" s="31"/>
    </row>
    <row r="1053" spans="30:31">
      <c r="AD1053" s="31"/>
      <c r="AE1053" s="31"/>
    </row>
    <row r="1054" spans="30:31">
      <c r="AD1054" s="31"/>
      <c r="AE1054" s="31"/>
    </row>
    <row r="1055" spans="30:31">
      <c r="AD1055" s="31"/>
      <c r="AE1055" s="31"/>
    </row>
    <row r="1056" spans="30:31">
      <c r="AD1056" s="31"/>
      <c r="AE1056" s="31"/>
    </row>
    <row r="1057" spans="30:31">
      <c r="AD1057" s="31"/>
      <c r="AE1057" s="31"/>
    </row>
    <row r="1058" spans="30:31">
      <c r="AD1058" s="31"/>
      <c r="AE1058" s="31"/>
    </row>
    <row r="1059" spans="30:31">
      <c r="AD1059" s="31"/>
      <c r="AE1059" s="31"/>
    </row>
    <row r="1060" spans="30:31">
      <c r="AD1060" s="31"/>
      <c r="AE1060" s="31"/>
    </row>
    <row r="1061" spans="30:31">
      <c r="AD1061" s="31"/>
      <c r="AE1061" s="31"/>
    </row>
    <row r="1062" spans="30:31">
      <c r="AD1062" s="31"/>
      <c r="AE1062" s="31"/>
    </row>
    <row r="1063" spans="30:31">
      <c r="AD1063" s="31"/>
      <c r="AE1063" s="31"/>
    </row>
    <row r="1064" spans="30:31">
      <c r="AD1064" s="31"/>
      <c r="AE1064" s="31"/>
    </row>
    <row r="1065" spans="30:31">
      <c r="AD1065" s="31"/>
      <c r="AE1065" s="31"/>
    </row>
    <row r="1066" spans="30:31">
      <c r="AD1066" s="31"/>
      <c r="AE1066" s="31"/>
    </row>
    <row r="1067" spans="30:31">
      <c r="AD1067" s="31"/>
      <c r="AE1067" s="31"/>
    </row>
    <row r="1068" spans="30:31">
      <c r="AD1068" s="31"/>
      <c r="AE1068" s="31"/>
    </row>
    <row r="1069" spans="30:31">
      <c r="AD1069" s="31"/>
      <c r="AE1069" s="31"/>
    </row>
    <row r="1070" spans="30:31">
      <c r="AD1070" s="31"/>
      <c r="AE1070" s="31"/>
    </row>
    <row r="1071" spans="30:31">
      <c r="AD1071" s="31"/>
      <c r="AE1071" s="31"/>
    </row>
    <row r="1072" spans="30:31">
      <c r="AD1072" s="31"/>
      <c r="AE1072" s="31"/>
    </row>
    <row r="1073" spans="30:31">
      <c r="AD1073" s="31"/>
      <c r="AE1073" s="31"/>
    </row>
    <row r="1074" spans="30:31">
      <c r="AD1074" s="31"/>
      <c r="AE1074" s="31"/>
    </row>
    <row r="1075" spans="30:31">
      <c r="AD1075" s="31"/>
      <c r="AE1075" s="31"/>
    </row>
    <row r="1076" spans="30:31">
      <c r="AD1076" s="31"/>
      <c r="AE1076" s="31"/>
    </row>
    <row r="1077" spans="30:31">
      <c r="AD1077" s="31"/>
      <c r="AE1077" s="31"/>
    </row>
    <row r="1078" spans="30:31">
      <c r="AD1078" s="31"/>
      <c r="AE1078" s="31"/>
    </row>
    <row r="1079" spans="30:31">
      <c r="AD1079" s="31"/>
      <c r="AE1079" s="31"/>
    </row>
    <row r="1080" spans="30:31">
      <c r="AD1080" s="31"/>
      <c r="AE1080" s="31"/>
    </row>
    <row r="1081" spans="30:31">
      <c r="AD1081" s="31"/>
      <c r="AE1081" s="31"/>
    </row>
    <row r="1082" spans="30:31">
      <c r="AD1082" s="31"/>
      <c r="AE1082" s="31"/>
    </row>
    <row r="1083" spans="30:31">
      <c r="AD1083" s="31"/>
      <c r="AE1083" s="31"/>
    </row>
    <row r="1084" spans="30:31">
      <c r="AD1084" s="31"/>
      <c r="AE1084" s="31"/>
    </row>
    <row r="1085" spans="30:31">
      <c r="AD1085" s="31"/>
      <c r="AE1085" s="31"/>
    </row>
    <row r="1086" spans="30:31">
      <c r="AD1086" s="31"/>
      <c r="AE1086" s="31"/>
    </row>
    <row r="1087" spans="30:31">
      <c r="AD1087" s="31"/>
      <c r="AE1087" s="31"/>
    </row>
    <row r="1088" spans="30:31">
      <c r="AD1088" s="31"/>
      <c r="AE1088" s="31"/>
    </row>
    <row r="1089" spans="30:31">
      <c r="AD1089" s="31"/>
      <c r="AE1089" s="31"/>
    </row>
    <row r="1090" spans="30:31">
      <c r="AD1090" s="31"/>
      <c r="AE1090" s="31"/>
    </row>
    <row r="1091" spans="30:31">
      <c r="AD1091" s="31"/>
      <c r="AE1091" s="31"/>
    </row>
    <row r="1092" spans="30:31">
      <c r="AD1092" s="31"/>
      <c r="AE1092" s="31"/>
    </row>
    <row r="1093" spans="30:31">
      <c r="AD1093" s="31"/>
      <c r="AE1093" s="31"/>
    </row>
    <row r="1094" spans="30:31">
      <c r="AD1094" s="31"/>
      <c r="AE1094" s="31"/>
    </row>
    <row r="1095" spans="30:31">
      <c r="AD1095" s="31"/>
      <c r="AE1095" s="31"/>
    </row>
    <row r="1096" spans="30:31">
      <c r="AD1096" s="31"/>
      <c r="AE1096" s="31"/>
    </row>
    <row r="1097" spans="30:31">
      <c r="AD1097" s="31"/>
      <c r="AE1097" s="31"/>
    </row>
    <row r="1098" spans="30:31">
      <c r="AD1098" s="31"/>
      <c r="AE1098" s="31"/>
    </row>
    <row r="1099" spans="30:31">
      <c r="AD1099" s="31"/>
      <c r="AE1099" s="31"/>
    </row>
    <row r="1100" spans="30:31">
      <c r="AD1100" s="31"/>
      <c r="AE1100" s="31"/>
    </row>
    <row r="1101" spans="30:31">
      <c r="AD1101" s="31"/>
      <c r="AE1101" s="31"/>
    </row>
    <row r="1102" spans="30:31">
      <c r="AD1102" s="31"/>
      <c r="AE1102" s="31"/>
    </row>
    <row r="1103" spans="30:31">
      <c r="AD1103" s="31"/>
      <c r="AE1103" s="31"/>
    </row>
    <row r="1104" spans="30:31">
      <c r="AD1104" s="31"/>
      <c r="AE1104" s="31"/>
    </row>
    <row r="1105" spans="30:31">
      <c r="AD1105" s="31"/>
      <c r="AE1105" s="31"/>
    </row>
    <row r="1106" spans="30:31">
      <c r="AD1106" s="31"/>
      <c r="AE1106" s="31"/>
    </row>
    <row r="1107" spans="30:31">
      <c r="AD1107" s="31"/>
      <c r="AE1107" s="31"/>
    </row>
    <row r="1108" spans="30:31">
      <c r="AD1108" s="31"/>
      <c r="AE1108" s="31"/>
    </row>
    <row r="1109" spans="30:31">
      <c r="AD1109" s="31"/>
      <c r="AE1109" s="31"/>
    </row>
    <row r="1110" spans="30:31">
      <c r="AD1110" s="31"/>
      <c r="AE1110" s="31"/>
    </row>
    <row r="1111" spans="30:31">
      <c r="AD1111" s="31"/>
      <c r="AE1111" s="31"/>
    </row>
    <row r="1112" spans="30:31">
      <c r="AD1112" s="31"/>
      <c r="AE1112" s="31"/>
    </row>
    <row r="1113" spans="30:31">
      <c r="AD1113" s="31"/>
      <c r="AE1113" s="31"/>
    </row>
    <row r="1114" spans="30:31">
      <c r="AD1114" s="31"/>
      <c r="AE1114" s="31"/>
    </row>
    <row r="1115" spans="30:31">
      <c r="AD1115" s="31"/>
      <c r="AE1115" s="31"/>
    </row>
    <row r="1116" spans="30:31">
      <c r="AD1116" s="31"/>
      <c r="AE1116" s="31"/>
    </row>
    <row r="1117" spans="30:31">
      <c r="AD1117" s="31"/>
      <c r="AE1117" s="31"/>
    </row>
    <row r="1118" spans="30:31">
      <c r="AD1118" s="31"/>
      <c r="AE1118" s="31"/>
    </row>
    <row r="1119" spans="30:31">
      <c r="AD1119" s="31"/>
      <c r="AE1119" s="31"/>
    </row>
    <row r="1120" spans="30:31">
      <c r="AD1120" s="31"/>
      <c r="AE1120" s="31"/>
    </row>
    <row r="1121" spans="30:31">
      <c r="AD1121" s="31"/>
      <c r="AE1121" s="31"/>
    </row>
    <row r="1122" spans="30:31">
      <c r="AD1122" s="31"/>
      <c r="AE1122" s="31"/>
    </row>
    <row r="1123" spans="30:31">
      <c r="AD1123" s="31"/>
      <c r="AE1123" s="31"/>
    </row>
    <row r="1124" spans="30:31">
      <c r="AD1124" s="31"/>
      <c r="AE1124" s="31"/>
    </row>
    <row r="1125" spans="30:31">
      <c r="AD1125" s="31"/>
      <c r="AE1125" s="31"/>
    </row>
    <row r="1126" spans="30:31">
      <c r="AD1126" s="31"/>
      <c r="AE1126" s="31"/>
    </row>
    <row r="1127" spans="30:31">
      <c r="AD1127" s="31"/>
      <c r="AE1127" s="31"/>
    </row>
    <row r="1128" spans="30:31">
      <c r="AD1128" s="31"/>
      <c r="AE1128" s="31"/>
    </row>
    <row r="1129" spans="30:31">
      <c r="AD1129" s="31"/>
      <c r="AE1129" s="31"/>
    </row>
    <row r="1130" spans="30:31">
      <c r="AD1130" s="31"/>
      <c r="AE1130" s="31"/>
    </row>
    <row r="1131" spans="30:31">
      <c r="AD1131" s="31"/>
      <c r="AE1131" s="31"/>
    </row>
    <row r="1132" spans="30:31">
      <c r="AD1132" s="31"/>
      <c r="AE1132" s="31"/>
    </row>
    <row r="1133" spans="30:31">
      <c r="AD1133" s="31"/>
      <c r="AE1133" s="31"/>
    </row>
    <row r="1134" spans="30:31">
      <c r="AD1134" s="31"/>
      <c r="AE1134" s="31"/>
    </row>
    <row r="1135" spans="30:31">
      <c r="AD1135" s="31"/>
      <c r="AE1135" s="31"/>
    </row>
    <row r="1136" spans="30:31">
      <c r="AD1136" s="31"/>
      <c r="AE1136" s="31"/>
    </row>
    <row r="1137" spans="30:31">
      <c r="AD1137" s="31"/>
      <c r="AE1137" s="31"/>
    </row>
    <row r="1138" spans="30:31">
      <c r="AD1138" s="31"/>
      <c r="AE1138" s="31"/>
    </row>
    <row r="1139" spans="30:31">
      <c r="AD1139" s="31"/>
      <c r="AE1139" s="31"/>
    </row>
    <row r="1140" spans="30:31">
      <c r="AD1140" s="31"/>
      <c r="AE1140" s="31"/>
    </row>
    <row r="1141" spans="30:31">
      <c r="AD1141" s="31"/>
      <c r="AE1141" s="31"/>
    </row>
    <row r="1142" spans="30:31">
      <c r="AD1142" s="31"/>
      <c r="AE1142" s="31"/>
    </row>
    <row r="1143" spans="30:31">
      <c r="AD1143" s="31"/>
      <c r="AE1143" s="31"/>
    </row>
    <row r="1144" spans="30:31">
      <c r="AD1144" s="31"/>
      <c r="AE1144" s="31"/>
    </row>
    <row r="1145" spans="30:31">
      <c r="AD1145" s="31"/>
      <c r="AE1145" s="31"/>
    </row>
    <row r="1146" spans="30:31">
      <c r="AD1146" s="31"/>
      <c r="AE1146" s="31"/>
    </row>
    <row r="1147" spans="30:31">
      <c r="AD1147" s="31"/>
      <c r="AE1147" s="31"/>
    </row>
    <row r="1148" spans="30:31">
      <c r="AD1148" s="31"/>
      <c r="AE1148" s="31"/>
    </row>
    <row r="1149" spans="30:31">
      <c r="AD1149" s="31"/>
      <c r="AE1149" s="31"/>
    </row>
    <row r="1150" spans="30:31">
      <c r="AD1150" s="31"/>
      <c r="AE1150" s="31"/>
    </row>
    <row r="1151" spans="30:31">
      <c r="AD1151" s="31"/>
      <c r="AE1151" s="31"/>
    </row>
    <row r="1152" spans="30:31">
      <c r="AD1152" s="31"/>
      <c r="AE1152" s="31"/>
    </row>
    <row r="1153" spans="30:31">
      <c r="AD1153" s="31"/>
      <c r="AE1153" s="31"/>
    </row>
    <row r="1154" spans="30:31">
      <c r="AD1154" s="31"/>
      <c r="AE1154" s="31"/>
    </row>
    <row r="1155" spans="30:31">
      <c r="AD1155" s="31"/>
      <c r="AE1155" s="31"/>
    </row>
    <row r="1156" spans="30:31">
      <c r="AD1156" s="31"/>
      <c r="AE1156" s="31"/>
    </row>
    <row r="1157" spans="30:31">
      <c r="AD1157" s="31"/>
      <c r="AE1157" s="31"/>
    </row>
    <row r="1158" spans="30:31">
      <c r="AD1158" s="31"/>
      <c r="AE1158" s="31"/>
    </row>
    <row r="1159" spans="30:31">
      <c r="AD1159" s="31"/>
      <c r="AE1159" s="31"/>
    </row>
    <row r="1160" spans="30:31">
      <c r="AD1160" s="31"/>
      <c r="AE1160" s="31"/>
    </row>
    <row r="1161" spans="30:31">
      <c r="AD1161" s="31"/>
      <c r="AE1161" s="31"/>
    </row>
    <row r="1162" spans="30:31">
      <c r="AD1162" s="31"/>
      <c r="AE1162" s="31"/>
    </row>
    <row r="1163" spans="30:31">
      <c r="AD1163" s="31"/>
      <c r="AE1163" s="31"/>
    </row>
    <row r="1164" spans="30:31">
      <c r="AD1164" s="31"/>
      <c r="AE1164" s="31"/>
    </row>
    <row r="1165" spans="30:31">
      <c r="AD1165" s="31"/>
      <c r="AE1165" s="31"/>
    </row>
    <row r="1166" spans="30:31">
      <c r="AD1166" s="31"/>
      <c r="AE1166" s="31"/>
    </row>
    <row r="1167" spans="30:31">
      <c r="AD1167" s="31"/>
      <c r="AE1167" s="31"/>
    </row>
    <row r="1168" spans="30:31">
      <c r="AD1168" s="31"/>
      <c r="AE1168" s="31"/>
    </row>
    <row r="1169" spans="30:31">
      <c r="AD1169" s="31"/>
      <c r="AE1169" s="31"/>
    </row>
    <row r="1170" spans="30:31">
      <c r="AD1170" s="31"/>
      <c r="AE1170" s="31"/>
    </row>
    <row r="1171" spans="30:31">
      <c r="AD1171" s="31"/>
      <c r="AE1171" s="31"/>
    </row>
    <row r="1172" spans="30:31">
      <c r="AD1172" s="31"/>
      <c r="AE1172" s="31"/>
    </row>
    <row r="1173" spans="30:31">
      <c r="AD1173" s="31"/>
      <c r="AE1173" s="31"/>
    </row>
    <row r="1174" spans="30:31">
      <c r="AD1174" s="31"/>
      <c r="AE1174" s="31"/>
    </row>
    <row r="1175" spans="30:31">
      <c r="AD1175" s="31"/>
      <c r="AE1175" s="31"/>
    </row>
    <row r="1176" spans="30:31">
      <c r="AD1176" s="31"/>
      <c r="AE1176" s="31"/>
    </row>
    <row r="1177" spans="30:31">
      <c r="AD1177" s="31"/>
      <c r="AE1177" s="31"/>
    </row>
    <row r="1178" spans="30:31">
      <c r="AD1178" s="31"/>
      <c r="AE1178" s="31"/>
    </row>
    <row r="1179" spans="30:31">
      <c r="AD1179" s="31"/>
      <c r="AE1179" s="31"/>
    </row>
    <row r="1180" spans="30:31">
      <c r="AD1180" s="31"/>
      <c r="AE1180" s="31"/>
    </row>
    <row r="1181" spans="30:31">
      <c r="AD1181" s="31"/>
      <c r="AE1181" s="31"/>
    </row>
    <row r="1182" spans="30:31">
      <c r="AD1182" s="31"/>
      <c r="AE1182" s="31"/>
    </row>
    <row r="1183" spans="30:31">
      <c r="AD1183" s="31"/>
      <c r="AE1183" s="31"/>
    </row>
    <row r="1184" spans="30:31">
      <c r="AD1184" s="31"/>
      <c r="AE1184" s="31"/>
    </row>
    <row r="1185" spans="30:31">
      <c r="AD1185" s="31"/>
      <c r="AE1185" s="31"/>
    </row>
    <row r="1186" spans="30:31">
      <c r="AD1186" s="31"/>
      <c r="AE1186" s="31"/>
    </row>
    <row r="1187" spans="30:31">
      <c r="AD1187" s="31"/>
      <c r="AE1187" s="31"/>
    </row>
    <row r="1188" spans="30:31">
      <c r="AD1188" s="31"/>
      <c r="AE1188" s="31"/>
    </row>
    <row r="1189" spans="30:31">
      <c r="AD1189" s="31"/>
      <c r="AE1189" s="31"/>
    </row>
    <row r="1190" spans="30:31">
      <c r="AD1190" s="31"/>
      <c r="AE1190" s="31"/>
    </row>
    <row r="1191" spans="30:31">
      <c r="AD1191" s="31"/>
      <c r="AE1191" s="31"/>
    </row>
    <row r="1192" spans="30:31">
      <c r="AD1192" s="31"/>
      <c r="AE1192" s="31"/>
    </row>
    <row r="1193" spans="30:31">
      <c r="AD1193" s="31"/>
      <c r="AE1193" s="31"/>
    </row>
    <row r="1194" spans="30:31">
      <c r="AD1194" s="31"/>
      <c r="AE1194" s="31"/>
    </row>
    <row r="1195" spans="30:31">
      <c r="AD1195" s="31"/>
      <c r="AE1195" s="31"/>
    </row>
    <row r="1196" spans="30:31">
      <c r="AD1196" s="31"/>
      <c r="AE1196" s="31"/>
    </row>
    <row r="1197" spans="30:31">
      <c r="AD1197" s="31"/>
      <c r="AE1197" s="31"/>
    </row>
    <row r="1198" spans="30:31">
      <c r="AD1198" s="31"/>
      <c r="AE1198" s="31"/>
    </row>
    <row r="1199" spans="30:31">
      <c r="AD1199" s="31"/>
      <c r="AE1199" s="31"/>
    </row>
    <row r="1200" spans="30:31">
      <c r="AD1200" s="31"/>
      <c r="AE1200" s="31"/>
    </row>
    <row r="1201" spans="30:31">
      <c r="AD1201" s="31"/>
      <c r="AE1201" s="31"/>
    </row>
    <row r="1202" spans="30:31">
      <c r="AD1202" s="31"/>
      <c r="AE1202" s="31"/>
    </row>
    <row r="1203" spans="30:31">
      <c r="AD1203" s="31"/>
      <c r="AE1203" s="31"/>
    </row>
    <row r="1204" spans="30:31">
      <c r="AD1204" s="31"/>
      <c r="AE1204" s="31"/>
    </row>
    <row r="1205" spans="30:31">
      <c r="AD1205" s="31"/>
      <c r="AE1205" s="31"/>
    </row>
    <row r="1206" spans="30:31">
      <c r="AD1206" s="31"/>
      <c r="AE1206" s="31"/>
    </row>
    <row r="1207" spans="30:31">
      <c r="AD1207" s="31"/>
      <c r="AE1207" s="31"/>
    </row>
    <row r="1208" spans="30:31">
      <c r="AD1208" s="31"/>
      <c r="AE1208" s="31"/>
    </row>
    <row r="1209" spans="30:31">
      <c r="AD1209" s="31"/>
      <c r="AE1209" s="31"/>
    </row>
    <row r="1210" spans="30:31">
      <c r="AD1210" s="31"/>
      <c r="AE1210" s="31"/>
    </row>
    <row r="1211" spans="30:31">
      <c r="AD1211" s="31"/>
      <c r="AE1211" s="31"/>
    </row>
    <row r="1212" spans="30:31">
      <c r="AD1212" s="31"/>
      <c r="AE1212" s="31"/>
    </row>
    <row r="1213" spans="30:31">
      <c r="AD1213" s="31"/>
      <c r="AE1213" s="31"/>
    </row>
    <row r="1214" spans="30:31">
      <c r="AD1214" s="31"/>
      <c r="AE1214" s="31"/>
    </row>
    <row r="1215" spans="30:31">
      <c r="AD1215" s="31"/>
      <c r="AE1215" s="31"/>
    </row>
    <row r="1216" spans="30:31">
      <c r="AD1216" s="31"/>
      <c r="AE1216" s="31"/>
    </row>
    <row r="1217" spans="30:31">
      <c r="AD1217" s="31"/>
      <c r="AE1217" s="31"/>
    </row>
    <row r="1218" spans="30:31">
      <c r="AD1218" s="31"/>
      <c r="AE1218" s="31"/>
    </row>
    <row r="1219" spans="30:31">
      <c r="AD1219" s="31"/>
      <c r="AE1219" s="31"/>
    </row>
    <row r="1220" spans="30:31">
      <c r="AD1220" s="31"/>
      <c r="AE1220" s="31"/>
    </row>
    <row r="1221" spans="30:31">
      <c r="AD1221" s="31"/>
      <c r="AE1221" s="31"/>
    </row>
    <row r="1222" spans="30:31">
      <c r="AD1222" s="31"/>
      <c r="AE1222" s="31"/>
    </row>
    <row r="1223" spans="30:31">
      <c r="AD1223" s="31"/>
      <c r="AE1223" s="31"/>
    </row>
    <row r="1224" spans="30:31">
      <c r="AD1224" s="31"/>
      <c r="AE1224" s="31"/>
    </row>
    <row r="1225" spans="30:31">
      <c r="AD1225" s="31"/>
      <c r="AE1225" s="31"/>
    </row>
    <row r="1226" spans="30:31">
      <c r="AD1226" s="31"/>
      <c r="AE1226" s="31"/>
    </row>
    <row r="1227" spans="30:31">
      <c r="AD1227" s="31"/>
      <c r="AE1227" s="31"/>
    </row>
    <row r="1228" spans="30:31">
      <c r="AD1228" s="31"/>
      <c r="AE1228" s="31"/>
    </row>
    <row r="1229" spans="30:31">
      <c r="AD1229" s="31"/>
      <c r="AE1229" s="31"/>
    </row>
    <row r="1230" spans="30:31">
      <c r="AD1230" s="31"/>
      <c r="AE1230" s="31"/>
    </row>
    <row r="1231" spans="30:31">
      <c r="AD1231" s="31"/>
      <c r="AE1231" s="31"/>
    </row>
    <row r="1232" spans="30:31">
      <c r="AD1232" s="31"/>
      <c r="AE1232" s="31"/>
    </row>
    <row r="1233" spans="30:31">
      <c r="AD1233" s="31"/>
      <c r="AE1233" s="31"/>
    </row>
    <row r="1234" spans="30:31">
      <c r="AD1234" s="31"/>
      <c r="AE1234" s="31"/>
    </row>
    <row r="1235" spans="30:31">
      <c r="AD1235" s="31"/>
      <c r="AE1235" s="31"/>
    </row>
    <row r="1236" spans="30:31">
      <c r="AD1236" s="31"/>
      <c r="AE1236" s="31"/>
    </row>
    <row r="1237" spans="30:31">
      <c r="AD1237" s="31"/>
      <c r="AE1237" s="31"/>
    </row>
    <row r="1238" spans="30:31">
      <c r="AD1238" s="31"/>
      <c r="AE1238" s="31"/>
    </row>
    <row r="1239" spans="30:31">
      <c r="AD1239" s="31"/>
      <c r="AE1239" s="31"/>
    </row>
    <row r="1240" spans="30:31">
      <c r="AD1240" s="31"/>
      <c r="AE1240" s="31"/>
    </row>
    <row r="1241" spans="30:31">
      <c r="AD1241" s="31"/>
      <c r="AE1241" s="31"/>
    </row>
    <row r="1242" spans="30:31">
      <c r="AD1242" s="31"/>
      <c r="AE1242" s="31"/>
    </row>
    <row r="1243" spans="30:31">
      <c r="AD1243" s="31"/>
      <c r="AE1243" s="31"/>
    </row>
    <row r="1244" spans="30:31">
      <c r="AD1244" s="31"/>
      <c r="AE1244" s="31"/>
    </row>
    <row r="1245" spans="30:31">
      <c r="AD1245" s="31"/>
      <c r="AE1245" s="31"/>
    </row>
    <row r="1246" spans="30:31">
      <c r="AD1246" s="31"/>
      <c r="AE1246" s="31"/>
    </row>
    <row r="1247" spans="30:31">
      <c r="AD1247" s="31"/>
      <c r="AE1247" s="31"/>
    </row>
    <row r="1248" spans="30:31">
      <c r="AD1248" s="31"/>
      <c r="AE1248" s="31"/>
    </row>
    <row r="1249" spans="30:31">
      <c r="AD1249" s="31"/>
      <c r="AE1249" s="31"/>
    </row>
    <row r="1250" spans="30:31">
      <c r="AD1250" s="31"/>
      <c r="AE1250" s="31"/>
    </row>
    <row r="1251" spans="30:31">
      <c r="AD1251" s="31"/>
      <c r="AE1251" s="31"/>
    </row>
    <row r="1252" spans="30:31">
      <c r="AD1252" s="31"/>
      <c r="AE1252" s="31"/>
    </row>
    <row r="1253" spans="30:31">
      <c r="AD1253" s="31"/>
      <c r="AE1253" s="31"/>
    </row>
    <row r="1254" spans="30:31">
      <c r="AD1254" s="31"/>
      <c r="AE1254" s="31"/>
    </row>
    <row r="1255" spans="30:31">
      <c r="AD1255" s="31"/>
      <c r="AE1255" s="31"/>
    </row>
    <row r="1256" spans="30:31">
      <c r="AD1256" s="31"/>
      <c r="AE1256" s="31"/>
    </row>
    <row r="1257" spans="30:31">
      <c r="AD1257" s="31"/>
      <c r="AE1257" s="31"/>
    </row>
    <row r="1258" spans="30:31">
      <c r="AD1258" s="31"/>
      <c r="AE1258" s="31"/>
    </row>
    <row r="1259" spans="30:31">
      <c r="AD1259" s="31"/>
      <c r="AE1259" s="31"/>
    </row>
    <row r="1260" spans="30:31">
      <c r="AD1260" s="31"/>
      <c r="AE1260" s="31"/>
    </row>
    <row r="1261" spans="30:31">
      <c r="AD1261" s="31"/>
      <c r="AE1261" s="31"/>
    </row>
    <row r="1262" spans="30:31">
      <c r="AD1262" s="31"/>
      <c r="AE1262" s="31"/>
    </row>
    <row r="1263" spans="30:31">
      <c r="AD1263" s="31"/>
      <c r="AE1263" s="31"/>
    </row>
    <row r="1264" spans="30:31">
      <c r="AD1264" s="31"/>
      <c r="AE1264" s="31"/>
    </row>
    <row r="1265" spans="30:31">
      <c r="AD1265" s="31"/>
      <c r="AE1265" s="31"/>
    </row>
    <row r="1266" spans="30:31">
      <c r="AD1266" s="31"/>
      <c r="AE1266" s="31"/>
    </row>
    <row r="1267" spans="30:31">
      <c r="AD1267" s="31"/>
      <c r="AE1267" s="31"/>
    </row>
    <row r="1268" spans="30:31">
      <c r="AD1268" s="31"/>
      <c r="AE1268" s="31"/>
    </row>
    <row r="1269" spans="30:31">
      <c r="AD1269" s="31"/>
      <c r="AE1269" s="31"/>
    </row>
    <row r="1270" spans="30:31">
      <c r="AD1270" s="31"/>
      <c r="AE1270" s="31"/>
    </row>
    <row r="1271" spans="30:31">
      <c r="AD1271" s="31"/>
      <c r="AE1271" s="31"/>
    </row>
    <row r="1272" spans="30:31">
      <c r="AD1272" s="31"/>
      <c r="AE1272" s="31"/>
    </row>
    <row r="1273" spans="30:31">
      <c r="AD1273" s="31"/>
      <c r="AE1273" s="31"/>
    </row>
    <row r="1274" spans="30:31">
      <c r="AD1274" s="31"/>
      <c r="AE1274" s="31"/>
    </row>
    <row r="1275" spans="30:31">
      <c r="AD1275" s="31"/>
      <c r="AE1275" s="31"/>
    </row>
    <row r="1276" spans="30:31">
      <c r="AD1276" s="31"/>
      <c r="AE1276" s="31"/>
    </row>
    <row r="1277" spans="30:31">
      <c r="AD1277" s="31"/>
      <c r="AE1277" s="31"/>
    </row>
    <row r="1278" spans="30:31">
      <c r="AD1278" s="31"/>
      <c r="AE1278" s="31"/>
    </row>
    <row r="1279" spans="30:31">
      <c r="AD1279" s="31"/>
      <c r="AE1279" s="31"/>
    </row>
    <row r="1280" spans="30:31">
      <c r="AD1280" s="31"/>
      <c r="AE1280" s="31"/>
    </row>
    <row r="1281" spans="30:31">
      <c r="AD1281" s="31"/>
      <c r="AE1281" s="31"/>
    </row>
    <row r="1282" spans="30:31">
      <c r="AD1282" s="31"/>
      <c r="AE1282" s="31"/>
    </row>
    <row r="1283" spans="30:31">
      <c r="AD1283" s="31"/>
      <c r="AE1283" s="31"/>
    </row>
    <row r="1284" spans="30:31">
      <c r="AD1284" s="31"/>
      <c r="AE1284" s="31"/>
    </row>
    <row r="1285" spans="30:31">
      <c r="AD1285" s="31"/>
      <c r="AE1285" s="31"/>
    </row>
    <row r="1286" spans="30:31">
      <c r="AD1286" s="31"/>
      <c r="AE1286" s="31"/>
    </row>
    <row r="1287" spans="30:31">
      <c r="AD1287" s="31"/>
      <c r="AE1287" s="31"/>
    </row>
    <row r="1288" spans="30:31">
      <c r="AD1288" s="31"/>
      <c r="AE1288" s="31"/>
    </row>
    <row r="1289" spans="30:31">
      <c r="AD1289" s="31"/>
      <c r="AE1289" s="31"/>
    </row>
    <row r="1290" spans="30:31">
      <c r="AD1290" s="31"/>
      <c r="AE1290" s="31"/>
    </row>
    <row r="1291" spans="30:31">
      <c r="AD1291" s="31"/>
      <c r="AE1291" s="31"/>
    </row>
    <row r="1292" spans="30:31">
      <c r="AD1292" s="31"/>
      <c r="AE1292" s="31"/>
    </row>
    <row r="1293" spans="30:31">
      <c r="AD1293" s="31"/>
      <c r="AE1293" s="31"/>
    </row>
    <row r="1294" spans="30:31">
      <c r="AD1294" s="31"/>
      <c r="AE1294" s="31"/>
    </row>
    <row r="1295" spans="30:31">
      <c r="AD1295" s="31"/>
      <c r="AE1295" s="31"/>
    </row>
    <row r="1296" spans="30:31">
      <c r="AD1296" s="31"/>
      <c r="AE1296" s="31"/>
    </row>
    <row r="1297" spans="30:31">
      <c r="AD1297" s="31"/>
      <c r="AE1297" s="31"/>
    </row>
    <row r="1298" spans="30:31">
      <c r="AD1298" s="31"/>
      <c r="AE1298" s="31"/>
    </row>
    <row r="1299" spans="30:31">
      <c r="AD1299" s="31"/>
      <c r="AE1299" s="31"/>
    </row>
    <row r="1300" spans="30:31">
      <c r="AD1300" s="31"/>
      <c r="AE1300" s="31"/>
    </row>
    <row r="1301" spans="30:31">
      <c r="AD1301" s="31"/>
      <c r="AE1301" s="31"/>
    </row>
    <row r="1302" spans="30:31">
      <c r="AD1302" s="31"/>
      <c r="AE1302" s="31"/>
    </row>
    <row r="1303" spans="30:31">
      <c r="AD1303" s="31"/>
      <c r="AE1303" s="31"/>
    </row>
    <row r="1304" spans="30:31">
      <c r="AD1304" s="31"/>
      <c r="AE1304" s="31"/>
    </row>
    <row r="1305" spans="30:31">
      <c r="AD1305" s="31"/>
      <c r="AE1305" s="31"/>
    </row>
    <row r="1306" spans="30:31">
      <c r="AD1306" s="31"/>
      <c r="AE1306" s="31"/>
    </row>
    <row r="1307" spans="30:31">
      <c r="AD1307" s="31"/>
      <c r="AE1307" s="31"/>
    </row>
    <row r="1308" spans="30:31">
      <c r="AD1308" s="31"/>
      <c r="AE1308" s="31"/>
    </row>
    <row r="1309" spans="30:31">
      <c r="AD1309" s="31"/>
      <c r="AE1309" s="31"/>
    </row>
    <row r="1310" spans="30:31">
      <c r="AD1310" s="31"/>
      <c r="AE1310" s="31"/>
    </row>
    <row r="1311" spans="30:31">
      <c r="AD1311" s="31"/>
      <c r="AE1311" s="31"/>
    </row>
    <row r="1312" spans="30:31">
      <c r="AD1312" s="31"/>
      <c r="AE1312" s="31"/>
    </row>
    <row r="1313" spans="30:31">
      <c r="AD1313" s="31"/>
      <c r="AE1313" s="31"/>
    </row>
    <row r="1314" spans="30:31">
      <c r="AD1314" s="31"/>
      <c r="AE1314" s="31"/>
    </row>
    <row r="1315" spans="30:31">
      <c r="AD1315" s="31"/>
      <c r="AE1315" s="31"/>
    </row>
    <row r="1316" spans="30:31">
      <c r="AD1316" s="31"/>
      <c r="AE1316" s="31"/>
    </row>
    <row r="1317" spans="30:31">
      <c r="AD1317" s="31"/>
      <c r="AE1317" s="31"/>
    </row>
    <row r="1318" spans="30:31">
      <c r="AD1318" s="31"/>
      <c r="AE1318" s="31"/>
    </row>
    <row r="1319" spans="30:31">
      <c r="AD1319" s="31"/>
      <c r="AE1319" s="31"/>
    </row>
    <row r="1320" spans="30:31">
      <c r="AD1320" s="31"/>
      <c r="AE1320" s="31"/>
    </row>
    <row r="1321" spans="30:31">
      <c r="AD1321" s="31"/>
      <c r="AE1321" s="31"/>
    </row>
    <row r="1322" spans="30:31">
      <c r="AD1322" s="31"/>
      <c r="AE1322" s="31"/>
    </row>
    <row r="1323" spans="30:31">
      <c r="AD1323" s="31"/>
      <c r="AE1323" s="31"/>
    </row>
    <row r="1324" spans="30:31">
      <c r="AD1324" s="31"/>
      <c r="AE1324" s="31"/>
    </row>
    <row r="1325" spans="30:31">
      <c r="AD1325" s="31"/>
      <c r="AE1325" s="31"/>
    </row>
    <row r="1326" spans="30:31">
      <c r="AD1326" s="31"/>
      <c r="AE1326" s="31"/>
    </row>
    <row r="1327" spans="30:31">
      <c r="AD1327" s="31"/>
      <c r="AE1327" s="31"/>
    </row>
    <row r="1328" spans="30:31">
      <c r="AD1328" s="31"/>
      <c r="AE1328" s="31"/>
    </row>
    <row r="1329" spans="30:31">
      <c r="AD1329" s="31"/>
      <c r="AE1329" s="31"/>
    </row>
    <row r="1330" spans="30:31">
      <c r="AD1330" s="31"/>
      <c r="AE1330" s="31"/>
    </row>
    <row r="1331" spans="30:31">
      <c r="AD1331" s="31"/>
      <c r="AE1331" s="31"/>
    </row>
    <row r="1332" spans="30:31">
      <c r="AD1332" s="31"/>
      <c r="AE1332" s="31"/>
    </row>
    <row r="1333" spans="30:31">
      <c r="AD1333" s="31"/>
      <c r="AE1333" s="31"/>
    </row>
    <row r="1334" spans="30:31">
      <c r="AD1334" s="31"/>
      <c r="AE1334" s="31"/>
    </row>
    <row r="1335" spans="30:31">
      <c r="AD1335" s="31"/>
      <c r="AE1335" s="31"/>
    </row>
    <row r="1336" spans="30:31">
      <c r="AD1336" s="31"/>
      <c r="AE1336" s="31"/>
    </row>
    <row r="1337" spans="30:31">
      <c r="AD1337" s="31"/>
      <c r="AE1337" s="31"/>
    </row>
    <row r="1338" spans="30:31">
      <c r="AD1338" s="31"/>
      <c r="AE1338" s="31"/>
    </row>
    <row r="1339" spans="30:31">
      <c r="AD1339" s="31"/>
      <c r="AE1339" s="31"/>
    </row>
    <row r="1340" spans="30:31">
      <c r="AD1340" s="31"/>
      <c r="AE1340" s="31"/>
    </row>
    <row r="1341" spans="30:31">
      <c r="AD1341" s="31"/>
      <c r="AE1341" s="31"/>
    </row>
    <row r="1342" spans="30:31">
      <c r="AD1342" s="31"/>
      <c r="AE1342" s="31"/>
    </row>
    <row r="1343" spans="30:31">
      <c r="AD1343" s="31"/>
      <c r="AE1343" s="31"/>
    </row>
    <row r="1344" spans="30:31">
      <c r="AD1344" s="31"/>
      <c r="AE1344" s="31"/>
    </row>
    <row r="1345" spans="30:31">
      <c r="AD1345" s="31"/>
      <c r="AE1345" s="31"/>
    </row>
    <row r="1346" spans="30:31">
      <c r="AD1346" s="31"/>
      <c r="AE1346" s="31"/>
    </row>
    <row r="1347" spans="30:31">
      <c r="AD1347" s="31"/>
      <c r="AE1347" s="31"/>
    </row>
    <row r="1348" spans="30:31">
      <c r="AD1348" s="31"/>
      <c r="AE1348" s="31"/>
    </row>
    <row r="1349" spans="30:31">
      <c r="AD1349" s="31"/>
      <c r="AE1349" s="31"/>
    </row>
    <row r="1350" spans="30:31">
      <c r="AD1350" s="31"/>
      <c r="AE1350" s="31"/>
    </row>
    <row r="1351" spans="30:31">
      <c r="AD1351" s="31"/>
      <c r="AE1351" s="31"/>
    </row>
    <row r="1352" spans="30:31">
      <c r="AD1352" s="31"/>
      <c r="AE1352" s="31"/>
    </row>
    <row r="1353" spans="30:31">
      <c r="AD1353" s="31"/>
      <c r="AE1353" s="31"/>
    </row>
    <row r="1354" spans="30:31">
      <c r="AD1354" s="31"/>
      <c r="AE1354" s="31"/>
    </row>
    <row r="1355" spans="30:31">
      <c r="AD1355" s="31"/>
      <c r="AE1355" s="31"/>
    </row>
    <row r="1356" spans="30:31">
      <c r="AD1356" s="31"/>
      <c r="AE1356" s="31"/>
    </row>
    <row r="1357" spans="30:31">
      <c r="AD1357" s="31"/>
      <c r="AE1357" s="31"/>
    </row>
    <row r="1358" spans="30:31">
      <c r="AD1358" s="31"/>
      <c r="AE1358" s="31"/>
    </row>
    <row r="1359" spans="30:31">
      <c r="AD1359" s="31"/>
      <c r="AE1359" s="31"/>
    </row>
    <row r="1360" spans="30:31">
      <c r="AD1360" s="31"/>
      <c r="AE1360" s="31"/>
    </row>
    <row r="1361" spans="30:31">
      <c r="AD1361" s="31"/>
      <c r="AE1361" s="31"/>
    </row>
    <row r="1362" spans="30:31">
      <c r="AD1362" s="31"/>
      <c r="AE1362" s="31"/>
    </row>
    <row r="1363" spans="30:31">
      <c r="AD1363" s="31"/>
      <c r="AE1363" s="31"/>
    </row>
    <row r="1364" spans="30:31">
      <c r="AD1364" s="31"/>
      <c r="AE1364" s="31"/>
    </row>
    <row r="1365" spans="30:31">
      <c r="AD1365" s="31"/>
      <c r="AE1365" s="31"/>
    </row>
    <row r="1366" spans="30:31">
      <c r="AD1366" s="31"/>
      <c r="AE1366" s="31"/>
    </row>
    <row r="1367" spans="30:31">
      <c r="AD1367" s="31"/>
      <c r="AE1367" s="31"/>
    </row>
    <row r="1368" spans="30:31">
      <c r="AD1368" s="31"/>
      <c r="AE1368" s="31"/>
    </row>
    <row r="1369" spans="30:31">
      <c r="AD1369" s="31"/>
      <c r="AE1369" s="31"/>
    </row>
    <row r="1370" spans="30:31">
      <c r="AD1370" s="31"/>
      <c r="AE1370" s="31"/>
    </row>
    <row r="1371" spans="30:31">
      <c r="AD1371" s="31"/>
      <c r="AE1371" s="31"/>
    </row>
    <row r="1372" spans="30:31">
      <c r="AD1372" s="31"/>
      <c r="AE1372" s="31"/>
    </row>
    <row r="1373" spans="30:31">
      <c r="AD1373" s="31"/>
      <c r="AE1373" s="31"/>
    </row>
    <row r="1374" spans="30:31">
      <c r="AD1374" s="31"/>
      <c r="AE1374" s="31"/>
    </row>
    <row r="1375" spans="30:31">
      <c r="AD1375" s="31"/>
      <c r="AE1375" s="31"/>
    </row>
    <row r="1376" spans="30:31">
      <c r="AD1376" s="31"/>
      <c r="AE1376" s="31"/>
    </row>
    <row r="1377" spans="30:31">
      <c r="AD1377" s="31"/>
      <c r="AE1377" s="31"/>
    </row>
    <row r="1378" spans="30:31">
      <c r="AD1378" s="31"/>
      <c r="AE1378" s="31"/>
    </row>
    <row r="1379" spans="30:31">
      <c r="AD1379" s="31"/>
      <c r="AE1379" s="31"/>
    </row>
    <row r="1380" spans="30:31">
      <c r="AD1380" s="31"/>
      <c r="AE1380" s="31"/>
    </row>
    <row r="1381" spans="30:31">
      <c r="AD1381" s="31"/>
      <c r="AE1381" s="31"/>
    </row>
    <row r="1382" spans="30:31">
      <c r="AD1382" s="31"/>
      <c r="AE1382" s="31"/>
    </row>
    <row r="1383" spans="30:31">
      <c r="AD1383" s="31"/>
      <c r="AE1383" s="31"/>
    </row>
    <row r="1384" spans="30:31">
      <c r="AD1384" s="31"/>
      <c r="AE1384" s="31"/>
    </row>
    <row r="1385" spans="30:31">
      <c r="AD1385" s="31"/>
      <c r="AE1385" s="31"/>
    </row>
    <row r="1386" spans="30:31">
      <c r="AD1386" s="31"/>
      <c r="AE1386" s="31"/>
    </row>
    <row r="1387" spans="30:31">
      <c r="AD1387" s="31"/>
      <c r="AE1387" s="31"/>
    </row>
    <row r="1388" spans="30:31">
      <c r="AD1388" s="31"/>
      <c r="AE1388" s="31"/>
    </row>
    <row r="1389" spans="30:31">
      <c r="AD1389" s="31"/>
      <c r="AE1389" s="31"/>
    </row>
    <row r="1390" spans="30:31">
      <c r="AD1390" s="31"/>
      <c r="AE1390" s="31"/>
    </row>
    <row r="1391" spans="30:31">
      <c r="AD1391" s="31"/>
      <c r="AE1391" s="31"/>
    </row>
    <row r="1392" spans="30:31">
      <c r="AD1392" s="31"/>
      <c r="AE1392" s="31"/>
    </row>
    <row r="1393" spans="30:31">
      <c r="AD1393" s="31"/>
      <c r="AE1393" s="31"/>
    </row>
    <row r="1394" spans="30:31">
      <c r="AD1394" s="31"/>
      <c r="AE1394" s="31"/>
    </row>
    <row r="1395" spans="30:31">
      <c r="AD1395" s="31"/>
      <c r="AE1395" s="31"/>
    </row>
    <row r="1396" spans="30:31">
      <c r="AD1396" s="31"/>
      <c r="AE1396" s="31"/>
    </row>
    <row r="1397" spans="30:31">
      <c r="AD1397" s="31"/>
      <c r="AE1397" s="31"/>
    </row>
    <row r="1398" spans="30:31">
      <c r="AD1398" s="31"/>
      <c r="AE1398" s="31"/>
    </row>
    <row r="1399" spans="30:31">
      <c r="AD1399" s="31"/>
      <c r="AE1399" s="31"/>
    </row>
    <row r="1400" spans="30:31">
      <c r="AD1400" s="31"/>
      <c r="AE1400" s="31"/>
    </row>
    <row r="1401" spans="30:31">
      <c r="AD1401" s="31"/>
      <c r="AE1401" s="31"/>
    </row>
    <row r="1402" spans="30:31">
      <c r="AD1402" s="31"/>
      <c r="AE1402" s="31"/>
    </row>
    <row r="1403" spans="30:31">
      <c r="AD1403" s="31"/>
      <c r="AE1403" s="31"/>
    </row>
    <row r="1404" spans="30:31">
      <c r="AD1404" s="31"/>
      <c r="AE1404" s="31"/>
    </row>
    <row r="1405" spans="30:31">
      <c r="AD1405" s="31"/>
      <c r="AE1405" s="31"/>
    </row>
    <row r="1406" spans="30:31">
      <c r="AD1406" s="31"/>
      <c r="AE1406" s="31"/>
    </row>
    <row r="1407" spans="30:31">
      <c r="AD1407" s="31"/>
      <c r="AE1407" s="31"/>
    </row>
    <row r="1408" spans="30:31">
      <c r="AD1408" s="31"/>
      <c r="AE1408" s="31"/>
    </row>
    <row r="1409" spans="30:31">
      <c r="AD1409" s="31"/>
      <c r="AE1409" s="31"/>
    </row>
    <row r="1410" spans="30:31">
      <c r="AD1410" s="31"/>
      <c r="AE1410" s="31"/>
    </row>
    <row r="1411" spans="30:31">
      <c r="AD1411" s="31"/>
      <c r="AE1411" s="31"/>
    </row>
    <row r="1412" spans="30:31">
      <c r="AD1412" s="31"/>
      <c r="AE1412" s="31"/>
    </row>
    <row r="1413" spans="30:31">
      <c r="AD1413" s="31"/>
      <c r="AE1413" s="31"/>
    </row>
    <row r="1414" spans="30:31">
      <c r="AD1414" s="31"/>
      <c r="AE1414" s="31"/>
    </row>
    <row r="1415" spans="30:31">
      <c r="AD1415" s="31"/>
      <c r="AE1415" s="31"/>
    </row>
    <row r="1416" spans="30:31">
      <c r="AD1416" s="31"/>
      <c r="AE1416" s="31"/>
    </row>
    <row r="1417" spans="30:31">
      <c r="AD1417" s="31"/>
      <c r="AE1417" s="31"/>
    </row>
    <row r="1418" spans="30:31">
      <c r="AD1418" s="31"/>
      <c r="AE1418" s="31"/>
    </row>
    <row r="1419" spans="30:31">
      <c r="AD1419" s="31"/>
      <c r="AE1419" s="31"/>
    </row>
    <row r="1420" spans="30:31">
      <c r="AD1420" s="31"/>
      <c r="AE1420" s="31"/>
    </row>
    <row r="1421" spans="30:31">
      <c r="AD1421" s="31"/>
      <c r="AE1421" s="31"/>
    </row>
    <row r="1422" spans="30:31">
      <c r="AD1422" s="31"/>
      <c r="AE1422" s="31"/>
    </row>
    <row r="1423" spans="30:31">
      <c r="AD1423" s="31"/>
      <c r="AE1423" s="31"/>
    </row>
    <row r="1424" spans="30:31">
      <c r="AD1424" s="31"/>
      <c r="AE1424" s="31"/>
    </row>
    <row r="1425" spans="30:31">
      <c r="AD1425" s="31"/>
      <c r="AE1425" s="31"/>
    </row>
    <row r="1426" spans="30:31">
      <c r="AD1426" s="31"/>
      <c r="AE1426" s="31"/>
    </row>
    <row r="1427" spans="30:31">
      <c r="AD1427" s="31"/>
      <c r="AE1427" s="31"/>
    </row>
    <row r="1428" spans="30:31">
      <c r="AD1428" s="31"/>
      <c r="AE1428" s="31"/>
    </row>
    <row r="1429" spans="30:31">
      <c r="AD1429" s="31"/>
      <c r="AE1429" s="31"/>
    </row>
    <row r="1430" spans="30:31">
      <c r="AD1430" s="31"/>
      <c r="AE1430" s="31"/>
    </row>
    <row r="1431" spans="30:31">
      <c r="AD1431" s="31"/>
      <c r="AE1431" s="31"/>
    </row>
    <row r="1432" spans="30:31">
      <c r="AD1432" s="31"/>
      <c r="AE1432" s="31"/>
    </row>
    <row r="1433" spans="30:31">
      <c r="AD1433" s="31"/>
      <c r="AE1433" s="31"/>
    </row>
    <row r="1434" spans="30:31">
      <c r="AD1434" s="31"/>
      <c r="AE1434" s="31"/>
    </row>
    <row r="1435" spans="30:31">
      <c r="AD1435" s="31"/>
      <c r="AE1435" s="31"/>
    </row>
    <row r="1436" spans="30:31">
      <c r="AD1436" s="31"/>
      <c r="AE1436" s="31"/>
    </row>
    <row r="1437" spans="30:31">
      <c r="AD1437" s="31"/>
      <c r="AE1437" s="31"/>
    </row>
    <row r="1438" spans="30:31">
      <c r="AD1438" s="31"/>
      <c r="AE1438" s="31"/>
    </row>
    <row r="1439" spans="30:31">
      <c r="AD1439" s="31"/>
      <c r="AE1439" s="31"/>
    </row>
    <row r="1440" spans="30:31">
      <c r="AD1440" s="31"/>
      <c r="AE1440" s="31"/>
    </row>
    <row r="1441" spans="30:31">
      <c r="AD1441" s="31"/>
      <c r="AE1441" s="31"/>
    </row>
    <row r="1442" spans="30:31">
      <c r="AD1442" s="31"/>
      <c r="AE1442" s="31"/>
    </row>
    <row r="1443" spans="30:31">
      <c r="AD1443" s="31"/>
      <c r="AE1443" s="31"/>
    </row>
    <row r="1444" spans="30:31">
      <c r="AD1444" s="31"/>
      <c r="AE1444" s="31"/>
    </row>
    <row r="1445" spans="30:31">
      <c r="AD1445" s="31"/>
      <c r="AE1445" s="31"/>
    </row>
    <row r="1446" spans="30:31">
      <c r="AD1446" s="31"/>
      <c r="AE1446" s="31"/>
    </row>
    <row r="1447" spans="30:31">
      <c r="AD1447" s="31"/>
      <c r="AE1447" s="31"/>
    </row>
    <row r="1448" spans="30:31">
      <c r="AD1448" s="31"/>
      <c r="AE1448" s="31"/>
    </row>
    <row r="1449" spans="30:31">
      <c r="AD1449" s="31"/>
      <c r="AE1449" s="31"/>
    </row>
    <row r="1450" spans="30:31">
      <c r="AD1450" s="31"/>
      <c r="AE1450" s="31"/>
    </row>
    <row r="1451" spans="30:31">
      <c r="AD1451" s="31"/>
      <c r="AE1451" s="31"/>
    </row>
    <row r="1452" spans="30:31">
      <c r="AD1452" s="31"/>
      <c r="AE1452" s="31"/>
    </row>
    <row r="1453" spans="30:31">
      <c r="AD1453" s="31"/>
      <c r="AE1453" s="31"/>
    </row>
    <row r="1454" spans="30:31">
      <c r="AD1454" s="31"/>
      <c r="AE1454" s="31"/>
    </row>
    <row r="1455" spans="30:31">
      <c r="AD1455" s="31"/>
      <c r="AE1455" s="31"/>
    </row>
    <row r="1456" spans="30:31">
      <c r="AD1456" s="31"/>
      <c r="AE1456" s="31"/>
    </row>
    <row r="1457" spans="30:31">
      <c r="AD1457" s="31"/>
      <c r="AE1457" s="31"/>
    </row>
    <row r="1458" spans="30:31">
      <c r="AD1458" s="31"/>
      <c r="AE1458" s="31"/>
    </row>
    <row r="1459" spans="30:31">
      <c r="AD1459" s="31"/>
      <c r="AE1459" s="31"/>
    </row>
    <row r="1460" spans="30:31">
      <c r="AD1460" s="31"/>
      <c r="AE1460" s="31"/>
    </row>
    <row r="1461" spans="30:31">
      <c r="AD1461" s="31"/>
      <c r="AE1461" s="31"/>
    </row>
    <row r="1462" spans="30:31">
      <c r="AD1462" s="31"/>
      <c r="AE1462" s="31"/>
    </row>
    <row r="1463" spans="30:31">
      <c r="AD1463" s="31"/>
      <c r="AE1463" s="31"/>
    </row>
    <row r="1464" spans="30:31">
      <c r="AD1464" s="31"/>
      <c r="AE1464" s="31"/>
    </row>
    <row r="1465" spans="30:31">
      <c r="AD1465" s="31"/>
      <c r="AE1465" s="31"/>
    </row>
    <row r="1466" spans="30:31">
      <c r="AD1466" s="31"/>
      <c r="AE1466" s="31"/>
    </row>
    <row r="1467" spans="30:31">
      <c r="AD1467" s="31"/>
      <c r="AE1467" s="31"/>
    </row>
    <row r="1468" spans="30:31">
      <c r="AD1468" s="31"/>
      <c r="AE1468" s="31"/>
    </row>
    <row r="1469" spans="30:31">
      <c r="AD1469" s="31"/>
      <c r="AE1469" s="31"/>
    </row>
    <row r="1470" spans="30:31">
      <c r="AD1470" s="31"/>
      <c r="AE1470" s="31"/>
    </row>
    <row r="1471" spans="30:31">
      <c r="AD1471" s="31"/>
      <c r="AE1471" s="31"/>
    </row>
    <row r="1472" spans="30:31">
      <c r="AD1472" s="31"/>
      <c r="AE1472" s="31"/>
    </row>
    <row r="1473" spans="30:31">
      <c r="AD1473" s="31"/>
      <c r="AE1473" s="31"/>
    </row>
    <row r="1474" spans="30:31">
      <c r="AD1474" s="31"/>
      <c r="AE1474" s="31"/>
    </row>
    <row r="1475" spans="30:31">
      <c r="AD1475" s="31"/>
      <c r="AE1475" s="31"/>
    </row>
    <row r="1476" spans="30:31">
      <c r="AD1476" s="31"/>
      <c r="AE1476" s="31"/>
    </row>
    <row r="1477" spans="30:31">
      <c r="AD1477" s="31"/>
      <c r="AE1477" s="31"/>
    </row>
    <row r="1478" spans="30:31">
      <c r="AD1478" s="31"/>
      <c r="AE1478" s="31"/>
    </row>
    <row r="1479" spans="30:31">
      <c r="AD1479" s="31"/>
      <c r="AE1479" s="31"/>
    </row>
    <row r="1480" spans="30:31">
      <c r="AD1480" s="31"/>
      <c r="AE1480" s="31"/>
    </row>
    <row r="1481" spans="30:31">
      <c r="AD1481" s="31"/>
      <c r="AE1481" s="31"/>
    </row>
    <row r="1482" spans="30:31">
      <c r="AD1482" s="31"/>
      <c r="AE1482" s="31"/>
    </row>
    <row r="1483" spans="30:31">
      <c r="AD1483" s="31"/>
      <c r="AE1483" s="31"/>
    </row>
    <row r="1484" spans="30:31">
      <c r="AD1484" s="31"/>
      <c r="AE1484" s="31"/>
    </row>
    <row r="1485" spans="30:31">
      <c r="AD1485" s="31"/>
      <c r="AE1485" s="31"/>
    </row>
    <row r="1486" spans="30:31">
      <c r="AD1486" s="31"/>
      <c r="AE1486" s="31"/>
    </row>
    <row r="1487" spans="30:31">
      <c r="AD1487" s="31"/>
      <c r="AE1487" s="31"/>
    </row>
    <row r="1488" spans="30:31">
      <c r="AD1488" s="31"/>
      <c r="AE1488" s="31"/>
    </row>
    <row r="1489" spans="30:31">
      <c r="AD1489" s="31"/>
      <c r="AE1489" s="31"/>
    </row>
    <row r="1490" spans="30:31">
      <c r="AD1490" s="31"/>
      <c r="AE1490" s="31"/>
    </row>
    <row r="1491" spans="30:31">
      <c r="AD1491" s="31"/>
      <c r="AE1491" s="31"/>
    </row>
    <row r="1492" spans="30:31">
      <c r="AD1492" s="31"/>
      <c r="AE1492" s="31"/>
    </row>
    <row r="1493" spans="30:31">
      <c r="AD1493" s="31"/>
      <c r="AE1493" s="31"/>
    </row>
    <row r="1494" spans="30:31">
      <c r="AD1494" s="31"/>
      <c r="AE1494" s="31"/>
    </row>
    <row r="1495" spans="30:31">
      <c r="AD1495" s="31"/>
      <c r="AE1495" s="31"/>
    </row>
    <row r="1496" spans="30:31">
      <c r="AD1496" s="31"/>
      <c r="AE1496" s="31"/>
    </row>
    <row r="1497" spans="30:31">
      <c r="AD1497" s="31"/>
      <c r="AE1497" s="31"/>
    </row>
    <row r="1498" spans="30:31">
      <c r="AD1498" s="31"/>
      <c r="AE1498" s="31"/>
    </row>
    <row r="1499" spans="30:31">
      <c r="AD1499" s="31"/>
      <c r="AE1499" s="31"/>
    </row>
    <row r="1500" spans="30:31">
      <c r="AD1500" s="31"/>
      <c r="AE1500" s="31"/>
    </row>
    <row r="1501" spans="30:31">
      <c r="AD1501" s="31"/>
      <c r="AE1501" s="31"/>
    </row>
    <row r="1502" spans="30:31">
      <c r="AD1502" s="31"/>
      <c r="AE1502" s="31"/>
    </row>
    <row r="1503" spans="30:31">
      <c r="AD1503" s="31"/>
      <c r="AE1503" s="31"/>
    </row>
    <row r="1504" spans="30:31">
      <c r="AD1504" s="31"/>
      <c r="AE1504" s="31"/>
    </row>
    <row r="1505" spans="30:31">
      <c r="AD1505" s="31"/>
      <c r="AE1505" s="31"/>
    </row>
    <row r="1506" spans="30:31">
      <c r="AD1506" s="31"/>
      <c r="AE1506" s="31"/>
    </row>
    <row r="1507" spans="30:31">
      <c r="AD1507" s="31"/>
      <c r="AE1507" s="31"/>
    </row>
    <row r="1508" spans="30:31">
      <c r="AD1508" s="31"/>
      <c r="AE1508" s="31"/>
    </row>
    <row r="1509" spans="30:31">
      <c r="AD1509" s="31"/>
      <c r="AE1509" s="31"/>
    </row>
    <row r="1510" spans="30:31">
      <c r="AD1510" s="31"/>
      <c r="AE1510" s="31"/>
    </row>
    <row r="1511" spans="30:31">
      <c r="AD1511" s="31"/>
      <c r="AE1511" s="31"/>
    </row>
    <row r="1512" spans="30:31">
      <c r="AD1512" s="31"/>
      <c r="AE1512" s="31"/>
    </row>
    <row r="1513" spans="30:31">
      <c r="AD1513" s="31"/>
      <c r="AE1513" s="31"/>
    </row>
    <row r="1514" spans="30:31">
      <c r="AD1514" s="31"/>
      <c r="AE1514" s="31"/>
    </row>
    <row r="1515" spans="30:31">
      <c r="AD1515" s="31"/>
      <c r="AE1515" s="31"/>
    </row>
    <row r="1516" spans="30:31">
      <c r="AD1516" s="31"/>
      <c r="AE1516" s="31"/>
    </row>
    <row r="1517" spans="30:31">
      <c r="AD1517" s="31"/>
      <c r="AE1517" s="31"/>
    </row>
    <row r="1518" spans="30:31">
      <c r="AD1518" s="31"/>
      <c r="AE1518" s="31"/>
    </row>
    <row r="1519" spans="30:31">
      <c r="AD1519" s="31"/>
      <c r="AE1519" s="31"/>
    </row>
    <row r="1520" spans="30:31">
      <c r="AD1520" s="31"/>
      <c r="AE1520" s="31"/>
    </row>
    <row r="1521" spans="30:31">
      <c r="AD1521" s="31"/>
      <c r="AE1521" s="31"/>
    </row>
    <row r="1522" spans="30:31">
      <c r="AD1522" s="31"/>
      <c r="AE1522" s="31"/>
    </row>
    <row r="1523" spans="30:31">
      <c r="AD1523" s="31"/>
      <c r="AE1523" s="31"/>
    </row>
    <row r="1524" spans="30:31">
      <c r="AD1524" s="31"/>
      <c r="AE1524" s="31"/>
    </row>
    <row r="1525" spans="30:31">
      <c r="AD1525" s="31"/>
      <c r="AE1525" s="31"/>
    </row>
    <row r="1526" spans="30:31">
      <c r="AD1526" s="31"/>
      <c r="AE1526" s="31"/>
    </row>
    <row r="1527" spans="30:31">
      <c r="AD1527" s="31"/>
      <c r="AE1527" s="31"/>
    </row>
    <row r="1528" spans="30:31">
      <c r="AD1528" s="31"/>
      <c r="AE1528" s="31"/>
    </row>
    <row r="1529" spans="30:31">
      <c r="AD1529" s="31"/>
      <c r="AE1529" s="31"/>
    </row>
    <row r="1530" spans="30:31">
      <c r="AD1530" s="31"/>
      <c r="AE1530" s="31"/>
    </row>
    <row r="1531" spans="30:31">
      <c r="AD1531" s="31"/>
      <c r="AE1531" s="31"/>
    </row>
    <row r="1532" spans="30:31">
      <c r="AD1532" s="31"/>
      <c r="AE1532" s="31"/>
    </row>
    <row r="1533" spans="30:31">
      <c r="AD1533" s="31"/>
      <c r="AE1533" s="31"/>
    </row>
    <row r="1534" spans="30:31">
      <c r="AD1534" s="31"/>
      <c r="AE1534" s="31"/>
    </row>
    <row r="1535" spans="30:31">
      <c r="AD1535" s="31"/>
      <c r="AE1535" s="31"/>
    </row>
    <row r="1536" spans="30:31">
      <c r="AD1536" s="31"/>
      <c r="AE1536" s="31"/>
    </row>
    <row r="1537" spans="30:31">
      <c r="AD1537" s="31"/>
      <c r="AE1537" s="31"/>
    </row>
    <row r="1538" spans="30:31">
      <c r="AD1538" s="31"/>
      <c r="AE1538" s="31"/>
    </row>
    <row r="1539" spans="30:31">
      <c r="AD1539" s="31"/>
      <c r="AE1539" s="31"/>
    </row>
    <row r="1540" spans="30:31">
      <c r="AD1540" s="31"/>
      <c r="AE1540" s="31"/>
    </row>
    <row r="1541" spans="30:31">
      <c r="AD1541" s="31"/>
      <c r="AE1541" s="31"/>
    </row>
    <row r="1542" spans="30:31">
      <c r="AD1542" s="31"/>
      <c r="AE1542" s="31"/>
    </row>
    <row r="1543" spans="30:31">
      <c r="AD1543" s="31"/>
      <c r="AE1543" s="31"/>
    </row>
    <row r="1544" spans="30:31">
      <c r="AD1544" s="31"/>
      <c r="AE1544" s="31"/>
    </row>
    <row r="1545" spans="30:31">
      <c r="AD1545" s="31"/>
      <c r="AE1545" s="31"/>
    </row>
    <row r="1546" spans="30:31">
      <c r="AD1546" s="31"/>
      <c r="AE1546" s="31"/>
    </row>
    <row r="1547" spans="30:31">
      <c r="AD1547" s="31"/>
      <c r="AE1547" s="31"/>
    </row>
    <row r="1548" spans="30:31">
      <c r="AD1548" s="31"/>
      <c r="AE1548" s="31"/>
    </row>
    <row r="1549" spans="30:31">
      <c r="AD1549" s="31"/>
      <c r="AE1549" s="31"/>
    </row>
    <row r="1550" spans="30:31">
      <c r="AD1550" s="31"/>
      <c r="AE1550" s="31"/>
    </row>
    <row r="1551" spans="30:31">
      <c r="AD1551" s="31"/>
      <c r="AE1551" s="31"/>
    </row>
    <row r="1552" spans="30:31">
      <c r="AD1552" s="31"/>
      <c r="AE1552" s="31"/>
    </row>
    <row r="1553" spans="30:31">
      <c r="AD1553" s="31"/>
      <c r="AE1553" s="31"/>
    </row>
    <row r="1554" spans="30:31">
      <c r="AD1554" s="31"/>
      <c r="AE1554" s="31"/>
    </row>
    <row r="1555" spans="30:31">
      <c r="AD1555" s="31"/>
      <c r="AE1555" s="31"/>
    </row>
    <row r="1556" spans="30:31">
      <c r="AD1556" s="31"/>
      <c r="AE1556" s="31"/>
    </row>
    <row r="1557" spans="30:31">
      <c r="AD1557" s="31"/>
      <c r="AE1557" s="31"/>
    </row>
    <row r="1558" spans="30:31">
      <c r="AD1558" s="31"/>
      <c r="AE1558" s="31"/>
    </row>
    <row r="1559" spans="30:31">
      <c r="AD1559" s="31"/>
      <c r="AE1559" s="31"/>
    </row>
    <row r="1560" spans="30:31">
      <c r="AD1560" s="31"/>
      <c r="AE1560" s="31"/>
    </row>
    <row r="1561" spans="30:31">
      <c r="AD1561" s="31"/>
      <c r="AE1561" s="31"/>
    </row>
    <row r="1562" spans="30:31">
      <c r="AD1562" s="31"/>
      <c r="AE1562" s="31"/>
    </row>
    <row r="1563" spans="30:31">
      <c r="AD1563" s="31"/>
      <c r="AE1563" s="31"/>
    </row>
    <row r="1564" spans="30:31">
      <c r="AD1564" s="31"/>
      <c r="AE1564" s="31"/>
    </row>
    <row r="1565" spans="30:31">
      <c r="AD1565" s="31"/>
      <c r="AE1565" s="31"/>
    </row>
    <row r="1566" spans="30:31">
      <c r="AD1566" s="31"/>
      <c r="AE1566" s="31"/>
    </row>
    <row r="1567" spans="30:31">
      <c r="AD1567" s="31"/>
      <c r="AE1567" s="31"/>
    </row>
    <row r="1568" spans="30:31">
      <c r="AD1568" s="31"/>
      <c r="AE1568" s="31"/>
    </row>
    <row r="1569" spans="30:31">
      <c r="AD1569" s="31"/>
      <c r="AE1569" s="31"/>
    </row>
    <row r="1570" spans="30:31">
      <c r="AD1570" s="31"/>
      <c r="AE1570" s="31"/>
    </row>
    <row r="1571" spans="30:31">
      <c r="AD1571" s="31"/>
      <c r="AE1571" s="31"/>
    </row>
    <row r="1572" spans="30:31">
      <c r="AD1572" s="31"/>
      <c r="AE1572" s="31"/>
    </row>
    <row r="1573" spans="30:31">
      <c r="AD1573" s="31"/>
      <c r="AE1573" s="31"/>
    </row>
    <row r="1574" spans="30:31">
      <c r="AD1574" s="31"/>
      <c r="AE1574" s="31"/>
    </row>
    <row r="1575" spans="30:31">
      <c r="AD1575" s="31"/>
      <c r="AE1575" s="31"/>
    </row>
    <row r="1576" spans="30:31">
      <c r="AD1576" s="31"/>
      <c r="AE1576" s="31"/>
    </row>
    <row r="1577" spans="30:31">
      <c r="AD1577" s="31"/>
      <c r="AE1577" s="31"/>
    </row>
    <row r="1578" spans="30:31">
      <c r="AD1578" s="31"/>
      <c r="AE1578" s="31"/>
    </row>
    <row r="1579" spans="30:31">
      <c r="AD1579" s="31"/>
      <c r="AE1579" s="31"/>
    </row>
    <row r="1580" spans="30:31">
      <c r="AD1580" s="31"/>
      <c r="AE1580" s="31"/>
    </row>
    <row r="1581" spans="30:31">
      <c r="AD1581" s="31"/>
      <c r="AE1581" s="31"/>
    </row>
    <row r="1582" spans="30:31">
      <c r="AD1582" s="31"/>
      <c r="AE1582" s="31"/>
    </row>
    <row r="1583" spans="30:31">
      <c r="AD1583" s="31"/>
      <c r="AE1583" s="31"/>
    </row>
    <row r="1584" spans="30:31">
      <c r="AD1584" s="31"/>
      <c r="AE1584" s="31"/>
    </row>
    <row r="1585" spans="30:31">
      <c r="AD1585" s="31"/>
      <c r="AE1585" s="31"/>
    </row>
    <row r="1586" spans="30:31">
      <c r="AD1586" s="31"/>
      <c r="AE1586" s="31"/>
    </row>
    <row r="1587" spans="30:31">
      <c r="AD1587" s="31"/>
      <c r="AE1587" s="31"/>
    </row>
    <row r="1588" spans="30:31">
      <c r="AD1588" s="31"/>
      <c r="AE1588" s="31"/>
    </row>
    <row r="1589" spans="30:31">
      <c r="AD1589" s="31"/>
      <c r="AE1589" s="31"/>
    </row>
    <row r="1590" spans="30:31">
      <c r="AD1590" s="31"/>
      <c r="AE1590" s="31"/>
    </row>
    <row r="1591" spans="30:31">
      <c r="AD1591" s="31"/>
      <c r="AE1591" s="31"/>
    </row>
    <row r="1592" spans="30:31">
      <c r="AD1592" s="31"/>
      <c r="AE1592" s="31"/>
    </row>
    <row r="1593" spans="30:31">
      <c r="AD1593" s="31"/>
      <c r="AE1593" s="31"/>
    </row>
    <row r="1594" spans="30:31">
      <c r="AD1594" s="31"/>
      <c r="AE1594" s="31"/>
    </row>
    <row r="1595" spans="30:31">
      <c r="AD1595" s="31"/>
      <c r="AE1595" s="31"/>
    </row>
    <row r="1596" spans="30:31">
      <c r="AD1596" s="31"/>
      <c r="AE1596" s="31"/>
    </row>
    <row r="1597" spans="30:31">
      <c r="AD1597" s="31"/>
      <c r="AE1597" s="31"/>
    </row>
    <row r="1598" spans="30:31">
      <c r="AD1598" s="31"/>
      <c r="AE1598" s="31"/>
    </row>
    <row r="1599" spans="30:31">
      <c r="AD1599" s="31"/>
    </row>
    <row r="1600" spans="30:31">
      <c r="AD1600" s="31"/>
    </row>
    <row r="1601" spans="30:30">
      <c r="AD1601" s="31"/>
    </row>
    <row r="1602" spans="30:30">
      <c r="AD1602" s="31"/>
    </row>
    <row r="1603" spans="30:30">
      <c r="AD1603" s="31"/>
    </row>
    <row r="1604" spans="30:30">
      <c r="AD1604" s="31"/>
    </row>
    <row r="1605" spans="30:30">
      <c r="AD1605" s="31"/>
    </row>
    <row r="1606" spans="30:30">
      <c r="AD1606" s="31"/>
    </row>
    <row r="1607" spans="30:30">
      <c r="AD1607" s="31"/>
    </row>
    <row r="1608" spans="30:30">
      <c r="AD1608" s="31"/>
    </row>
    <row r="1609" spans="30:30">
      <c r="AD1609" s="31"/>
    </row>
    <row r="1610" spans="30:30">
      <c r="AD1610" s="31"/>
    </row>
    <row r="1611" spans="30:30">
      <c r="AD1611" s="31"/>
    </row>
    <row r="1612" spans="30:30">
      <c r="AD1612" s="31"/>
    </row>
    <row r="1613" spans="30:30">
      <c r="AD1613" s="31"/>
    </row>
    <row r="1614" spans="30:30">
      <c r="AD1614" s="31"/>
    </row>
    <row r="1615" spans="30:30">
      <c r="AD1615" s="31"/>
    </row>
    <row r="1616" spans="30:30">
      <c r="AD1616" s="31"/>
    </row>
    <row r="1617" spans="30:30">
      <c r="AD1617" s="31"/>
    </row>
    <row r="1618" spans="30:30">
      <c r="AD1618" s="31"/>
    </row>
    <row r="1619" spans="30:30">
      <c r="AD1619" s="31"/>
    </row>
    <row r="1620" spans="30:30">
      <c r="AD1620" s="31"/>
    </row>
    <row r="1621" spans="30:30">
      <c r="AD1621" s="31"/>
    </row>
    <row r="1622" spans="30:30">
      <c r="AD1622" s="31"/>
    </row>
    <row r="1623" spans="30:30">
      <c r="AD1623" s="31"/>
    </row>
    <row r="1624" spans="30:30">
      <c r="AD1624" s="31"/>
    </row>
    <row r="1625" spans="30:30">
      <c r="AD1625" s="31"/>
    </row>
    <row r="1626" spans="30:30">
      <c r="AD1626" s="31"/>
    </row>
    <row r="1627" spans="30:30">
      <c r="AD1627" s="31"/>
    </row>
    <row r="1628" spans="30:30">
      <c r="AD1628" s="31"/>
    </row>
    <row r="1629" spans="30:30">
      <c r="AD1629" s="31"/>
    </row>
    <row r="1630" spans="30:30">
      <c r="AD1630" s="31"/>
    </row>
    <row r="1631" spans="30:30">
      <c r="AD1631" s="31"/>
    </row>
    <row r="1632" spans="30:30">
      <c r="AD1632" s="31"/>
    </row>
    <row r="1633" spans="30:30">
      <c r="AD1633" s="31"/>
    </row>
    <row r="1634" spans="30:30">
      <c r="AD1634" s="31"/>
    </row>
    <row r="1635" spans="30:30">
      <c r="AD1635" s="31"/>
    </row>
    <row r="1636" spans="30:30">
      <c r="AD1636" s="31"/>
    </row>
    <row r="1637" spans="30:30">
      <c r="AD1637" s="31"/>
    </row>
    <row r="1638" spans="30:30">
      <c r="AD1638" s="31"/>
    </row>
    <row r="1639" spans="30:30">
      <c r="AD1639" s="31"/>
    </row>
    <row r="1640" spans="30:30">
      <c r="AD1640" s="31"/>
    </row>
    <row r="1641" spans="30:30">
      <c r="AD1641" s="31"/>
    </row>
    <row r="1642" spans="30:30">
      <c r="AD1642" s="31"/>
    </row>
    <row r="1643" spans="30:30">
      <c r="AD1643" s="31"/>
    </row>
    <row r="1644" spans="30:30">
      <c r="AD1644" s="31"/>
    </row>
    <row r="1645" spans="30:30">
      <c r="AD1645" s="31"/>
    </row>
    <row r="1646" spans="30:30">
      <c r="AD1646" s="31"/>
    </row>
    <row r="1647" spans="30:30">
      <c r="AD1647" s="31"/>
    </row>
    <row r="1648" spans="30:30">
      <c r="AD1648" s="31"/>
    </row>
    <row r="1649" spans="30:30">
      <c r="AD1649" s="31"/>
    </row>
    <row r="1650" spans="30:30">
      <c r="AD1650" s="31"/>
    </row>
    <row r="1651" spans="30:30">
      <c r="AD1651" s="31"/>
    </row>
    <row r="1652" spans="30:30">
      <c r="AD1652" s="31"/>
    </row>
    <row r="1653" spans="30:30">
      <c r="AD1653" s="31"/>
    </row>
    <row r="1654" spans="30:30">
      <c r="AD1654" s="31"/>
    </row>
    <row r="1655" spans="30:30">
      <c r="AD1655" s="31"/>
    </row>
    <row r="1656" spans="30:30">
      <c r="AD1656" s="31"/>
    </row>
    <row r="1657" spans="30:30">
      <c r="AD1657" s="31"/>
    </row>
    <row r="1658" spans="30:30">
      <c r="AD1658" s="31"/>
    </row>
    <row r="1659" spans="30:30">
      <c r="AD1659" s="31"/>
    </row>
    <row r="1660" spans="30:30">
      <c r="AD1660" s="31"/>
    </row>
    <row r="1661" spans="30:30">
      <c r="AD1661" s="31"/>
    </row>
    <row r="1662" spans="30:30">
      <c r="AD1662" s="31"/>
    </row>
    <row r="1663" spans="30:30">
      <c r="AD1663" s="31"/>
    </row>
    <row r="1664" spans="30:30">
      <c r="AD1664" s="31"/>
    </row>
    <row r="1665" spans="30:30">
      <c r="AD1665" s="31"/>
    </row>
    <row r="1666" spans="30:30">
      <c r="AD1666" s="31"/>
    </row>
    <row r="1667" spans="30:30">
      <c r="AD1667" s="31"/>
    </row>
    <row r="1668" spans="30:30">
      <c r="AD1668" s="31"/>
    </row>
    <row r="1669" spans="30:30">
      <c r="AD1669" s="31"/>
    </row>
    <row r="1670" spans="30:30">
      <c r="AD1670" s="31"/>
    </row>
    <row r="1671" spans="30:30">
      <c r="AD1671" s="31"/>
    </row>
    <row r="1672" spans="30:30">
      <c r="AD1672" s="31"/>
    </row>
    <row r="1673" spans="30:30">
      <c r="AD1673" s="31"/>
    </row>
    <row r="1674" spans="30:30">
      <c r="AD1674" s="31"/>
    </row>
    <row r="1675" spans="30:30">
      <c r="AD1675" s="31"/>
    </row>
    <row r="1676" spans="30:30">
      <c r="AD1676" s="31"/>
    </row>
    <row r="1677" spans="30:30">
      <c r="AD1677" s="31"/>
    </row>
    <row r="1678" spans="30:30">
      <c r="AD1678" s="31"/>
    </row>
    <row r="1679" spans="30:30">
      <c r="AD1679" s="31"/>
    </row>
    <row r="1680" spans="30:30">
      <c r="AD1680" s="31"/>
    </row>
    <row r="1681" spans="30:30">
      <c r="AD1681" s="31"/>
    </row>
    <row r="1682" spans="30:30">
      <c r="AD1682" s="31"/>
    </row>
    <row r="1683" spans="30:30">
      <c r="AD1683" s="31"/>
    </row>
    <row r="1684" spans="30:30">
      <c r="AD1684" s="31"/>
    </row>
    <row r="1685" spans="30:30">
      <c r="AD1685" s="31"/>
    </row>
    <row r="1686" spans="30:30">
      <c r="AD1686" s="31"/>
    </row>
    <row r="1687" spans="30:30">
      <c r="AD1687" s="31"/>
    </row>
    <row r="1688" spans="30:30">
      <c r="AD1688" s="31"/>
    </row>
    <row r="1689" spans="30:30">
      <c r="AD1689" s="31"/>
    </row>
    <row r="1690" spans="30:30">
      <c r="AD1690" s="31"/>
    </row>
    <row r="1691" spans="30:30">
      <c r="AD1691" s="31"/>
    </row>
    <row r="1692" spans="30:30">
      <c r="AD1692" s="31"/>
    </row>
    <row r="1693" spans="30:30">
      <c r="AD1693" s="31"/>
    </row>
    <row r="1694" spans="30:30">
      <c r="AD1694" s="31"/>
    </row>
    <row r="1695" spans="30:30">
      <c r="AD1695" s="31"/>
    </row>
    <row r="1696" spans="30:30">
      <c r="AD1696" s="31"/>
    </row>
    <row r="1697" spans="30:30">
      <c r="AD1697" s="31"/>
    </row>
    <row r="1698" spans="30:30">
      <c r="AD1698" s="31"/>
    </row>
    <row r="1699" spans="30:30">
      <c r="AD1699" s="31"/>
    </row>
    <row r="1700" spans="30:30">
      <c r="AD1700" s="31"/>
    </row>
    <row r="1701" spans="30:30">
      <c r="AD1701" s="31"/>
    </row>
    <row r="1702" spans="30:30">
      <c r="AD1702" s="31"/>
    </row>
    <row r="1703" spans="30:30">
      <c r="AD1703" s="31"/>
    </row>
    <row r="1704" spans="30:30">
      <c r="AD1704" s="31"/>
    </row>
    <row r="1705" spans="30:30">
      <c r="AD1705" s="31"/>
    </row>
    <row r="1706" spans="30:30">
      <c r="AD1706" s="31"/>
    </row>
    <row r="1707" spans="30:30">
      <c r="AD1707" s="31"/>
    </row>
    <row r="1708" spans="30:30">
      <c r="AD1708" s="31"/>
    </row>
    <row r="1709" spans="30:30">
      <c r="AD1709" s="31"/>
    </row>
    <row r="1710" spans="30:30">
      <c r="AD1710" s="31"/>
    </row>
    <row r="1711" spans="30:30">
      <c r="AD1711" s="31"/>
    </row>
    <row r="1712" spans="30:30">
      <c r="AD1712" s="31"/>
    </row>
    <row r="1713" spans="30:30">
      <c r="AD1713" s="31"/>
    </row>
    <row r="1714" spans="30:30">
      <c r="AD1714" s="31"/>
    </row>
    <row r="1715" spans="30:30">
      <c r="AD1715" s="31"/>
    </row>
    <row r="1716" spans="30:30">
      <c r="AD1716" s="31"/>
    </row>
    <row r="1717" spans="30:30">
      <c r="AD1717" s="31"/>
    </row>
    <row r="1718" spans="30:30">
      <c r="AD1718" s="31"/>
    </row>
    <row r="1719" spans="30:30">
      <c r="AD1719" s="31"/>
    </row>
    <row r="1720" spans="30:30">
      <c r="AD1720" s="31"/>
    </row>
    <row r="1721" spans="30:30">
      <c r="AD1721" s="31"/>
    </row>
    <row r="1722" spans="30:30">
      <c r="AD1722" s="31"/>
    </row>
    <row r="1723" spans="30:30">
      <c r="AD1723" s="31"/>
    </row>
    <row r="1724" spans="30:30">
      <c r="AD1724" s="31"/>
    </row>
    <row r="1725" spans="30:30">
      <c r="AD1725" s="31"/>
    </row>
    <row r="1726" spans="30:30">
      <c r="AD1726" s="31"/>
    </row>
    <row r="1727" spans="30:30">
      <c r="AD1727" s="31"/>
    </row>
    <row r="1728" spans="30:30">
      <c r="AD1728" s="31"/>
    </row>
    <row r="1729" spans="30:30">
      <c r="AD1729" s="31"/>
    </row>
    <row r="1730" spans="30:30">
      <c r="AD1730" s="31"/>
    </row>
    <row r="1731" spans="30:30">
      <c r="AD1731" s="31"/>
    </row>
    <row r="1732" spans="30:30">
      <c r="AD1732" s="31"/>
    </row>
    <row r="1733" spans="30:30">
      <c r="AD1733" s="31"/>
    </row>
    <row r="1734" spans="30:30">
      <c r="AD1734" s="31"/>
    </row>
    <row r="1735" spans="30:30">
      <c r="AD1735" s="31"/>
    </row>
    <row r="1736" spans="30:30">
      <c r="AD1736" s="31"/>
    </row>
    <row r="1737" spans="30:30">
      <c r="AD1737" s="31"/>
    </row>
    <row r="1738" spans="30:30">
      <c r="AD1738" s="31"/>
    </row>
    <row r="1739" spans="30:30">
      <c r="AD1739" s="31"/>
    </row>
    <row r="1740" spans="30:30">
      <c r="AD1740" s="31"/>
    </row>
  </sheetData>
  <sheetProtection algorithmName="SHA-512" hashValue="2FazNuZx4w+f3Ea52oHvjlvhhoFwfE95KLZkw2e+q6tgLT05uXcZJWl1wgpUieuZx7I8J/wRL1K/hmCiRBD9kQ==" saltValue="u1cKyjXrXinpVgZya48S7A==" spinCount="100000" sheet="1"/>
  <dataConsolidate/>
  <mergeCells count="56">
    <mergeCell ref="J68:K68"/>
    <mergeCell ref="J69:K69"/>
    <mergeCell ref="J70:K70"/>
    <mergeCell ref="J63:K63"/>
    <mergeCell ref="J64:K64"/>
    <mergeCell ref="J65:K65"/>
    <mergeCell ref="J66:K66"/>
    <mergeCell ref="J67:K67"/>
    <mergeCell ref="M84:O84"/>
    <mergeCell ref="J31:K31"/>
    <mergeCell ref="J32:K32"/>
    <mergeCell ref="J33:K33"/>
    <mergeCell ref="J34:K34"/>
    <mergeCell ref="J84:L84"/>
    <mergeCell ref="J44:K44"/>
    <mergeCell ref="J45:K45"/>
    <mergeCell ref="J46:K46"/>
    <mergeCell ref="J47:K47"/>
    <mergeCell ref="J48:K48"/>
    <mergeCell ref="J49:K49"/>
    <mergeCell ref="J50:K50"/>
    <mergeCell ref="J51:K51"/>
    <mergeCell ref="J52:K52"/>
    <mergeCell ref="J62:K62"/>
    <mergeCell ref="C3:T3"/>
    <mergeCell ref="C5:T5"/>
    <mergeCell ref="L132:N132"/>
    <mergeCell ref="J117:K117"/>
    <mergeCell ref="J118:K118"/>
    <mergeCell ref="J119:K119"/>
    <mergeCell ref="J120:K120"/>
    <mergeCell ref="J121:K121"/>
    <mergeCell ref="J93:K93"/>
    <mergeCell ref="J26:K26"/>
    <mergeCell ref="J27:K27"/>
    <mergeCell ref="J28:K28"/>
    <mergeCell ref="J29:K29"/>
    <mergeCell ref="J30:K30"/>
    <mergeCell ref="J75:L75"/>
    <mergeCell ref="J17:K17"/>
    <mergeCell ref="AK103:AM103"/>
    <mergeCell ref="C171:N171"/>
    <mergeCell ref="C181:S181"/>
    <mergeCell ref="L134:N134"/>
    <mergeCell ref="L135:N135"/>
    <mergeCell ref="G167:H167"/>
    <mergeCell ref="J139:K139"/>
    <mergeCell ref="AK148:AM148"/>
    <mergeCell ref="J135:K135"/>
    <mergeCell ref="J134:K134"/>
    <mergeCell ref="J124:K124"/>
    <mergeCell ref="J132:K132"/>
    <mergeCell ref="J133:K133"/>
    <mergeCell ref="L133:N133"/>
    <mergeCell ref="J116:K116"/>
    <mergeCell ref="J108:K108"/>
  </mergeCells>
  <conditionalFormatting sqref="D148">
    <cfRule type="expression" dxfId="352" priority="1462">
      <formula>D11&lt;&gt;""</formula>
    </cfRule>
  </conditionalFormatting>
  <conditionalFormatting sqref="D153:D154">
    <cfRule type="expression" dxfId="351" priority="1461">
      <formula>$D$11&lt;&gt;""</formula>
    </cfRule>
  </conditionalFormatting>
  <conditionalFormatting sqref="Q153:Q154 S153:S154">
    <cfRule type="expression" dxfId="350" priority="1460">
      <formula>$D$11&lt;&gt;""</formula>
    </cfRule>
  </conditionalFormatting>
  <conditionalFormatting sqref="Q148 S148">
    <cfRule type="expression" dxfId="349" priority="1459">
      <formula>$D$11&lt;&gt;""</formula>
    </cfRule>
  </conditionalFormatting>
  <conditionalFormatting sqref="G10">
    <cfRule type="expression" dxfId="348" priority="1391">
      <formula>$D$11&lt;&gt;""</formula>
    </cfRule>
    <cfRule type="expression" dxfId="347" priority="1392">
      <formula>AND($D$10&lt;&gt;"",$D$11="",$G$10="")</formula>
    </cfRule>
    <cfRule type="expression" dxfId="346" priority="1393">
      <formula>$D$11=""</formula>
    </cfRule>
  </conditionalFormatting>
  <conditionalFormatting sqref="J142 J103">
    <cfRule type="expression" dxfId="345" priority="1387">
      <formula>J103&gt;30</formula>
    </cfRule>
  </conditionalFormatting>
  <conditionalFormatting sqref="J97">
    <cfRule type="expression" dxfId="344" priority="1382">
      <formula>J97&gt;30</formula>
    </cfRule>
  </conditionalFormatting>
  <conditionalFormatting sqref="K97 K103">
    <cfRule type="expression" dxfId="343" priority="1381">
      <formula>J97*12+K97&gt;360</formula>
    </cfRule>
  </conditionalFormatting>
  <conditionalFormatting sqref="D26">
    <cfRule type="expression" dxfId="342" priority="1887">
      <formula>AND(D26&lt;&gt;$D$10,D26&lt;&gt;$D$11,D26&lt;&gt;"")</formula>
    </cfRule>
    <cfRule type="expression" dxfId="341" priority="1888">
      <formula>AND($D26="",CONCATENATE(#REF!,#REF!,#REF!,#REF!,#REF!)&lt;&gt;"")</formula>
    </cfRule>
  </conditionalFormatting>
  <conditionalFormatting sqref="D78:E78 D84">
    <cfRule type="expression" dxfId="340" priority="1132">
      <formula>AND(D78="",$G78&lt;&gt;"")</formula>
    </cfRule>
  </conditionalFormatting>
  <conditionalFormatting sqref="I78">
    <cfRule type="expression" dxfId="339" priority="1129">
      <formula>AND(E78="Overseas",AND(F78&lt;&gt;"Interest",F78&lt;&gt;"Dividends",F78&lt;&gt;"Rent (Resi)"))</formula>
    </cfRule>
    <cfRule type="expression" dxfId="338" priority="1130">
      <formula>AND(OR(F78="Interest",F78="Dividends",F78="Rent (Resi)"),I78="")</formula>
    </cfRule>
  </conditionalFormatting>
  <conditionalFormatting sqref="G97 G142">
    <cfRule type="expression" dxfId="337" priority="1124">
      <formula>AND(G97&lt;&gt;"",F97=TRUE,AK97="")</formula>
    </cfRule>
    <cfRule type="expression" dxfId="336" priority="1125">
      <formula>G97="Multiple/Other Securities"</formula>
    </cfRule>
  </conditionalFormatting>
  <conditionalFormatting sqref="I142">
    <cfRule type="expression" dxfId="335" priority="2706">
      <formula>AND(OR(H142="Var IO",H142="S+ IO"),I142="")</formula>
    </cfRule>
    <cfRule type="expression" dxfId="334" priority="2707">
      <formula>I142&gt;10</formula>
    </cfRule>
    <cfRule type="expression" dxfId="333" priority="2708">
      <formula>AND(LEFT($H142,3)="Fix",$I142="")</formula>
    </cfRule>
  </conditionalFormatting>
  <conditionalFormatting sqref="J142">
    <cfRule type="expression" dxfId="332" priority="2711">
      <formula>AND($H142&lt;&gt;"",$H142&lt;&gt;"EMA",$J142="",$K142="")</formula>
    </cfRule>
  </conditionalFormatting>
  <conditionalFormatting sqref="J78">
    <cfRule type="expression" dxfId="331" priority="1079">
      <formula>AND(F78="Rent (Resi)",J78="")</formula>
    </cfRule>
  </conditionalFormatting>
  <conditionalFormatting sqref="M97">
    <cfRule type="expression" dxfId="330" priority="1037">
      <formula>IF(AND(VLOOKUP(G97,$X$10:$Z$11,3,FALSE)=0,D97="HECS/HELP"),TRUE,FALSE)</formula>
    </cfRule>
  </conditionalFormatting>
  <conditionalFormatting sqref="K142">
    <cfRule type="expression" dxfId="329" priority="1029">
      <formula>AND($H142&lt;&gt;"",$H142&lt;&gt;"EMA",$J142="",$K142="")</formula>
    </cfRule>
  </conditionalFormatting>
  <conditionalFormatting sqref="K142">
    <cfRule type="expression" dxfId="328" priority="1030">
      <formula>J142*12+K142&gt;360</formula>
    </cfRule>
  </conditionalFormatting>
  <conditionalFormatting sqref="D159">
    <cfRule type="expression" dxfId="327" priority="988">
      <formula>$D$11&lt;&gt;""</formula>
    </cfRule>
  </conditionalFormatting>
  <conditionalFormatting sqref="Q159 S159">
    <cfRule type="expression" dxfId="326" priority="987">
      <formula>$D$11&lt;&gt;""</formula>
    </cfRule>
  </conditionalFormatting>
  <conditionalFormatting sqref="G159:H159">
    <cfRule type="expression" dxfId="325" priority="986">
      <formula>$D$11&lt;&gt;""</formula>
    </cfRule>
  </conditionalFormatting>
  <conditionalFormatting sqref="F159">
    <cfRule type="expression" dxfId="324" priority="985">
      <formula>$D$11&lt;&gt;""</formula>
    </cfRule>
  </conditionalFormatting>
  <conditionalFormatting sqref="F35 F53 F71:F72">
    <cfRule type="expression" dxfId="323" priority="725">
      <formula>LEFT(F35,5)="Error"</formula>
    </cfRule>
  </conditionalFormatting>
  <conditionalFormatting sqref="AL26 AN26:AO26">
    <cfRule type="expression" dxfId="322" priority="669">
      <formula>#REF!=0</formula>
    </cfRule>
  </conditionalFormatting>
  <conditionalFormatting sqref="L26:M26">
    <cfRule type="expression" dxfId="321" priority="668">
      <formula>$J26="Year to Date"</formula>
    </cfRule>
  </conditionalFormatting>
  <conditionalFormatting sqref="D30">
    <cfRule type="expression" dxfId="320" priority="665">
      <formula>OR(LEFT($D28,2)="SE",$D28="LoDoc")</formula>
    </cfRule>
    <cfRule type="expression" dxfId="319" priority="667">
      <formula>AND(LEFT(D28,2)="SE",OR(D30&lt;0,D30&gt;1,D30=""))</formula>
    </cfRule>
  </conditionalFormatting>
  <conditionalFormatting sqref="D28">
    <cfRule type="expression" dxfId="318" priority="666">
      <formula>AND(ISBLANK(D28),NOT(ISBLANK(D26)))</formula>
    </cfRule>
  </conditionalFormatting>
  <conditionalFormatting sqref="D29">
    <cfRule type="expression" dxfId="317" priority="670">
      <formula>LEFT($D28,2)="SE"</formula>
    </cfRule>
  </conditionalFormatting>
  <conditionalFormatting sqref="G31">
    <cfRule type="expression" dxfId="316" priority="671">
      <formula>AND(D28="SE - Company",AND(G27&gt;0,G31&gt;0))</formula>
    </cfRule>
  </conditionalFormatting>
  <conditionalFormatting sqref="L27:M27">
    <cfRule type="expression" dxfId="315" priority="672">
      <formula>AND($J27="Year to Date",$D28="SE - Company Wages")</formula>
    </cfRule>
  </conditionalFormatting>
  <conditionalFormatting sqref="G27 L27:M27">
    <cfRule type="expression" dxfId="314" priority="673">
      <formula>AND($M26&lt;&gt;"",G27="",$D28="SE - Company Wages",$J27="Year to Date",$X26&lt;182)</formula>
    </cfRule>
  </conditionalFormatting>
  <conditionalFormatting sqref="E30:E34">
    <cfRule type="expression" dxfId="313" priority="663">
      <formula>AND(E30="Select Type",G30&lt;&gt;"")</formula>
    </cfRule>
    <cfRule type="expression" dxfId="312" priority="664">
      <formula>E30="Select Type"</formula>
    </cfRule>
  </conditionalFormatting>
  <conditionalFormatting sqref="G27">
    <cfRule type="expression" dxfId="311" priority="662">
      <formula>AND(D28="SE - Company",AND(G27&gt;0,G31&gt;0))</formula>
    </cfRule>
  </conditionalFormatting>
  <conditionalFormatting sqref="N26">
    <cfRule type="expression" dxfId="310" priority="661">
      <formula>LEFT(D28,2)="SE"</formula>
    </cfRule>
  </conditionalFormatting>
  <conditionalFormatting sqref="O31">
    <cfRule type="expression" dxfId="309" priority="660">
      <formula>AND(L28="SE - Company",AND(O27&gt;0,O31&gt;0))</formula>
    </cfRule>
  </conditionalFormatting>
  <conditionalFormatting sqref="J148">
    <cfRule type="expression" dxfId="308" priority="429">
      <formula>J148&gt;30</formula>
    </cfRule>
  </conditionalFormatting>
  <conditionalFormatting sqref="J148:K148">
    <cfRule type="expression" dxfId="307" priority="430">
      <formula>AND($H148&lt;&gt;"",$H148&lt;&gt;"Bridging",$J148="",$K148="")</formula>
    </cfRule>
  </conditionalFormatting>
  <conditionalFormatting sqref="K148">
    <cfRule type="expression" dxfId="306" priority="428">
      <formula>J148*12+K148&gt;360</formula>
    </cfRule>
  </conditionalFormatting>
  <conditionalFormatting sqref="H26">
    <cfRule type="expression" dxfId="305" priority="59">
      <formula>AND($D26&lt;&gt;"",$G26&lt;&gt;"",$H26="",LEFT($D28,2)&lt;&gt;"SE")</formula>
    </cfRule>
  </conditionalFormatting>
  <conditionalFormatting sqref="J26:K26">
    <cfRule type="expression" dxfId="304" priority="58">
      <formula>AND($D26&lt;&gt;"",$H26&lt;&gt;"",$J26="",LEFT($D28,2)&lt;&gt;"SE")</formula>
    </cfRule>
  </conditionalFormatting>
  <conditionalFormatting sqref="I148">
    <cfRule type="expression" dxfId="303" priority="55">
      <formula>AND(OR(H148="Var IO",H148="S+ IO"),I148="")</formula>
    </cfRule>
    <cfRule type="expression" dxfId="302" priority="56">
      <formula>I148&gt;10</formula>
    </cfRule>
    <cfRule type="expression" dxfId="301" priority="57">
      <formula>AND(LEFT($H148,3)="Fix",$I148="")</formula>
    </cfRule>
  </conditionalFormatting>
  <conditionalFormatting sqref="D44">
    <cfRule type="expression" dxfId="300" priority="35">
      <formula>AND(D44&lt;&gt;$D$10,D44&lt;&gt;$D$11,D44&lt;&gt;"")</formula>
    </cfRule>
    <cfRule type="expression" dxfId="299" priority="36">
      <formula>AND($D44="",CONCATENATE(#REF!,#REF!,#REF!,#REF!,#REF!)&lt;&gt;"")</formula>
    </cfRule>
  </conditionalFormatting>
  <conditionalFormatting sqref="AL44 AN44:AO44">
    <cfRule type="expression" dxfId="298" priority="30">
      <formula>#REF!=0</formula>
    </cfRule>
  </conditionalFormatting>
  <conditionalFormatting sqref="L44:M44">
    <cfRule type="expression" dxfId="297" priority="29">
      <formula>$J44="Year to Date"</formula>
    </cfRule>
  </conditionalFormatting>
  <conditionalFormatting sqref="D48">
    <cfRule type="expression" dxfId="296" priority="26">
      <formula>OR(LEFT($D46,2)="SE",$D46="LoDoc")</formula>
    </cfRule>
    <cfRule type="expression" dxfId="295" priority="28">
      <formula>AND(LEFT(D46,2)="SE",OR(D48&lt;0,D48&gt;1,D48=""))</formula>
    </cfRule>
  </conditionalFormatting>
  <conditionalFormatting sqref="D46">
    <cfRule type="expression" dxfId="294" priority="27">
      <formula>AND(ISBLANK(D46),NOT(ISBLANK(D44)))</formula>
    </cfRule>
  </conditionalFormatting>
  <conditionalFormatting sqref="D47">
    <cfRule type="expression" dxfId="293" priority="31">
      <formula>LEFT($D46,2)="SE"</formula>
    </cfRule>
  </conditionalFormatting>
  <conditionalFormatting sqref="G49">
    <cfRule type="expression" dxfId="292" priority="32">
      <formula>AND(D46="SE - Company",AND(G45&gt;0,G49&gt;0))</formula>
    </cfRule>
  </conditionalFormatting>
  <conditionalFormatting sqref="L45:M45">
    <cfRule type="expression" dxfId="291" priority="33">
      <formula>AND($J45="Year to Date",$D46="SE - Company Wages")</formula>
    </cfRule>
  </conditionalFormatting>
  <conditionalFormatting sqref="G45 L45:M45">
    <cfRule type="expression" dxfId="290" priority="34">
      <formula>AND($M44&lt;&gt;"",G45="",$D46="SE - Company Wages",$J45="Year to Date",$X44&lt;182)</formula>
    </cfRule>
  </conditionalFormatting>
  <conditionalFormatting sqref="E48:E52">
    <cfRule type="expression" dxfId="289" priority="24">
      <formula>AND(E48="Select Type",G48&lt;&gt;"")</formula>
    </cfRule>
    <cfRule type="expression" dxfId="288" priority="25">
      <formula>E48="Select Type"</formula>
    </cfRule>
  </conditionalFormatting>
  <conditionalFormatting sqref="G45">
    <cfRule type="expression" dxfId="287" priority="23">
      <formula>AND(D46="SE - Company",AND(G45&gt;0,G49&gt;0))</formula>
    </cfRule>
  </conditionalFormatting>
  <conditionalFormatting sqref="N44">
    <cfRule type="expression" dxfId="286" priority="22">
      <formula>LEFT(D46,2)="SE"</formula>
    </cfRule>
  </conditionalFormatting>
  <conditionalFormatting sqref="O49">
    <cfRule type="expression" dxfId="285" priority="21">
      <formula>AND(L46="SE - Company",AND(O45&gt;0,O49&gt;0))</formula>
    </cfRule>
  </conditionalFormatting>
  <conditionalFormatting sqref="H44">
    <cfRule type="expression" dxfId="284" priority="20">
      <formula>AND($D44&lt;&gt;"",$G44&lt;&gt;"",$H44="",LEFT($D46,2)&lt;&gt;"SE")</formula>
    </cfRule>
  </conditionalFormatting>
  <conditionalFormatting sqref="J44:K44">
    <cfRule type="expression" dxfId="283" priority="19">
      <formula>AND($D44&lt;&gt;"",$H44&lt;&gt;"",$J44="",LEFT($D46,2)&lt;&gt;"SE")</formula>
    </cfRule>
  </conditionalFormatting>
  <conditionalFormatting sqref="D62">
    <cfRule type="expression" dxfId="282" priority="17">
      <formula>AND(D62&lt;&gt;$D$10,D62&lt;&gt;$D$11,D62&lt;&gt;"")</formula>
    </cfRule>
    <cfRule type="expression" dxfId="281" priority="18">
      <formula>AND($D62="",CONCATENATE(#REF!,#REF!,#REF!,#REF!,#REF!)&lt;&gt;"")</formula>
    </cfRule>
  </conditionalFormatting>
  <conditionalFormatting sqref="AL62 AN62:AO62">
    <cfRule type="expression" dxfId="280" priority="12">
      <formula>#REF!=0</formula>
    </cfRule>
  </conditionalFormatting>
  <conditionalFormatting sqref="L62:M62">
    <cfRule type="expression" dxfId="279" priority="11">
      <formula>$J62="Year to Date"</formula>
    </cfRule>
  </conditionalFormatting>
  <conditionalFormatting sqref="D66">
    <cfRule type="expression" dxfId="278" priority="8">
      <formula>OR(LEFT($D64,2)="SE",$D64="LoDoc")</formula>
    </cfRule>
    <cfRule type="expression" dxfId="277" priority="10">
      <formula>AND(LEFT(D64,2)="SE",OR(D66&lt;0,D66&gt;1,D66=""))</formula>
    </cfRule>
  </conditionalFormatting>
  <conditionalFormatting sqref="D64">
    <cfRule type="expression" dxfId="276" priority="9">
      <formula>AND(ISBLANK(D64),NOT(ISBLANK(D62)))</formula>
    </cfRule>
  </conditionalFormatting>
  <conditionalFormatting sqref="D65">
    <cfRule type="expression" dxfId="275" priority="13">
      <formula>LEFT($D64,2)="SE"</formula>
    </cfRule>
  </conditionalFormatting>
  <conditionalFormatting sqref="G67">
    <cfRule type="expression" dxfId="274" priority="14">
      <formula>AND(D64="SE - Company",AND(G63&gt;0,G67&gt;0))</formula>
    </cfRule>
  </conditionalFormatting>
  <conditionalFormatting sqref="L63:M63">
    <cfRule type="expression" dxfId="273" priority="15">
      <formula>AND($J63="Year to Date",$D64="SE - Company Wages")</formula>
    </cfRule>
  </conditionalFormatting>
  <conditionalFormatting sqref="G63 L63:M63">
    <cfRule type="expression" dxfId="272" priority="16">
      <formula>AND($M62&lt;&gt;"",G63="",$D64="SE - Company Wages",$J63="Year to Date",$X62&lt;182)</formula>
    </cfRule>
  </conditionalFormatting>
  <conditionalFormatting sqref="E66:E70">
    <cfRule type="expression" dxfId="271" priority="6">
      <formula>AND(E66="Select Type",G66&lt;&gt;"")</formula>
    </cfRule>
    <cfRule type="expression" dxfId="270" priority="7">
      <formula>E66="Select Type"</formula>
    </cfRule>
  </conditionalFormatting>
  <conditionalFormatting sqref="G63">
    <cfRule type="expression" dxfId="269" priority="5">
      <formula>AND(D64="SE - Company",AND(G63&gt;0,G67&gt;0))</formula>
    </cfRule>
  </conditionalFormatting>
  <conditionalFormatting sqref="N62">
    <cfRule type="expression" dxfId="268" priority="4">
      <formula>LEFT(D64,2)="SE"</formula>
    </cfRule>
  </conditionalFormatting>
  <conditionalFormatting sqref="O67">
    <cfRule type="expression" dxfId="267" priority="3">
      <formula>AND(L64="SE - Company",AND(O63&gt;0,O67&gt;0))</formula>
    </cfRule>
  </conditionalFormatting>
  <conditionalFormatting sqref="H62">
    <cfRule type="expression" dxfId="266" priority="2">
      <formula>AND($D62&lt;&gt;"",$G62&lt;&gt;"",$H62="",LEFT($D64,2)&lt;&gt;"SE")</formula>
    </cfRule>
  </conditionalFormatting>
  <conditionalFormatting sqref="J62:K62">
    <cfRule type="expression" dxfId="265" priority="1">
      <formula>AND($D62&lt;&gt;"",$H62&lt;&gt;"",$J62="",LEFT($D64,2)&lt;&gt;"SE")</formula>
    </cfRule>
  </conditionalFormatting>
  <dataValidations count="19">
    <dataValidation type="list" allowBlank="1" showInputMessage="1" showErrorMessage="1" sqref="N97 F132:F135 F126:F130 J126:J129 J110:J115 H78 N103 J132:K135 F110:F121 J116:K121 H84" xr:uid="{335DD447-5BDF-4461-9BDC-7BF28946C493}">
      <formula1>"Weekly, Fortnightly, Four Weekly, Monthly, Quarterly, Bi Annually, Annually"</formula1>
    </dataValidation>
    <dataValidation type="list" allowBlank="1" showInputMessage="1" showErrorMessage="1" sqref="D26 D44 D62" xr:uid="{B23A0AE8-8D5D-4F88-BC16-5E25D7C29B33}">
      <formula1>$X$10:$X$11</formula1>
    </dataValidation>
    <dataValidation type="list" allowBlank="1" showInputMessage="1" showErrorMessage="1" sqref="G143" xr:uid="{838D5AD0-13B8-4B16-B8DA-BBAAED73889E}">
      <formula1>"Variable, Fixed, Simplicity PLUS"</formula1>
    </dataValidation>
    <dataValidation type="list" allowBlank="1" showInputMessage="1" showErrorMessage="1" sqref="F143" xr:uid="{3213644C-6DAA-4806-8C15-AE5D9F713C04}">
      <formula1>"Principal and Interest,Interest Only,Interest in Advance, Line of Credit"</formula1>
    </dataValidation>
    <dataValidation type="list" allowBlank="1" showInputMessage="1" showErrorMessage="1" sqref="H26:H29 H44:H47 H62:H65" xr:uid="{E2AD2956-323A-4015-A9B3-278267DEA95E}">
      <formula1>"After Tax, Before Tax"</formula1>
    </dataValidation>
    <dataValidation type="list" allowBlank="1" showInputMessage="1" showErrorMessage="1" sqref="F98 D79" xr:uid="{2B56184F-01E1-4762-B842-F26CE814FD1F}">
      <formula1>$W$10:$W$12</formula1>
    </dataValidation>
    <dataValidation type="list" allowBlank="1" showInputMessage="1" showErrorMessage="1" sqref="E142:E143 E97:F97 E98 G98 F142 I26:I34 F27:F29 M29 I44:I52 F45:F47 M47 I62:I70 F63:F65 M65" xr:uid="{B12B295B-4557-48E0-89CC-338B5A4F6737}">
      <formula1>"TRUE,FALSE"</formula1>
    </dataValidation>
    <dataValidation type="list" allowBlank="1" showInputMessage="1" showErrorMessage="1" sqref="K98 H79" xr:uid="{760A3FD0-87E6-4E2B-A957-E4D91E2CDEE9}">
      <formula1>"Weekly, Fortnightly, Monthly, Annually"</formula1>
    </dataValidation>
    <dataValidation type="list" allowBlank="1" showInputMessage="1" showErrorMessage="1" sqref="E78 E84" xr:uid="{D1CA7AE9-F0CE-4E98-91A2-43A7C084E8B3}">
      <formula1>OTHER_INCOMES</formula1>
    </dataValidation>
    <dataValidation type="list" allowBlank="1" showInputMessage="1" showErrorMessage="1" sqref="D97:D98 D103" xr:uid="{BB78A791-1DA8-4BD2-8539-4A47BB047C8E}">
      <formula1>Liabilities_List</formula1>
    </dataValidation>
    <dataValidation type="list" allowBlank="1" showInputMessage="1" showErrorMessage="1" sqref="J26:J34 J44:J52 J62:J70" xr:uid="{3E9F1B42-3939-4B7F-BB88-28B6405D0139}">
      <formula1>"Weekly, Fortnightly, Four Weekly, Monthly, Quarterly, Bi Annually, Annually, Year to Date"</formula1>
    </dataValidation>
    <dataValidation type="list" allowBlank="1" showInputMessage="1" showErrorMessage="1" sqref="F78:F79 F84" xr:uid="{69648581-01D2-4A77-A459-BDDB84531805}">
      <formula1>INDIRECT(E78)</formula1>
    </dataValidation>
    <dataValidation type="list" allowBlank="1" showInputMessage="1" showErrorMessage="1" sqref="D78 G142 D84 G148 G103" xr:uid="{92A3E5C4-BF72-4B3F-BB90-B77072B89D26}">
      <formula1>$W$10:$W$13</formula1>
    </dataValidation>
    <dataValidation type="whole" allowBlank="1" showInputMessage="1" showErrorMessage="1" errorTitle="Month Value" error="Months value must be a whole number greater or equal to 0_x000a__x000a_Total Term (Years and Months) must not be greater than 30 Years" sqref="K148" xr:uid="{97B918B2-CA3E-4BE7-8CE0-CE9B96B17A2A}">
      <formula1>0</formula1>
      <formula2>360</formula2>
    </dataValidation>
    <dataValidation type="whole" allowBlank="1" showInputMessage="1" showErrorMessage="1" errorTitle="Years Value" error="Years value must be a whole number greater or equal to 0_x000a__x000a_Total Term (Years and Months) must not be greater than 30 Years" sqref="J148" xr:uid="{3C1A1CB2-A797-420C-830F-8B1153465067}">
      <formula1>0</formula1>
      <formula2>30</formula2>
    </dataValidation>
    <dataValidation type="list" allowBlank="1" showInputMessage="1" showErrorMessage="1" sqref="E31 E49 E67" xr:uid="{4D91E6AF-E7D5-4614-8344-3B7A3A6A025B}">
      <formula1>PAYGAdd</formula1>
    </dataValidation>
    <dataValidation type="list" allowBlank="1" showInputMessage="1" showErrorMessage="1" sqref="E32:E34 E50:E52 E69:E70 E68" xr:uid="{B3C90102-3C9A-46AF-9923-33F12AFE7DE2}">
      <formula1>SEAdd</formula1>
    </dataValidation>
    <dataValidation type="whole" operator="greaterThanOrEqual" allowBlank="1" showInputMessage="1" showErrorMessage="1" errorTitle="Years Value" error="Years value must be a whole number greater or equal to 0" sqref="J103" xr:uid="{6B81BB2B-3706-44FB-89A4-93E5721A22F8}">
      <formula1>0</formula1>
    </dataValidation>
    <dataValidation type="whole" operator="greaterThanOrEqual" allowBlank="1" showInputMessage="1" showErrorMessage="1" errorTitle="Month Value" error="Months value must be a whole number greater or equal to 0" sqref="K103" xr:uid="{9E8C7B17-4618-42D7-A765-607D83017B3D}">
      <formula1>0</formula1>
    </dataValidation>
  </dataValidations>
  <pageMargins left="0" right="0" top="0" bottom="0" header="0" footer="0"/>
  <pageSetup paperSize="9" scale="5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6" r:id="rId4" name="Check Box 16">
              <controlPr defaultSize="0" autoFill="0" autoLine="0" autoPict="0" macro="[0]!Deductible_Cell">
                <anchor moveWithCells="1">
                  <from>
                    <xdr:col>4</xdr:col>
                    <xdr:colOff>330200</xdr:colOff>
                    <xdr:row>147</xdr:row>
                    <xdr:rowOff>25400</xdr:rowOff>
                  </from>
                  <to>
                    <xdr:col>4</xdr:col>
                    <xdr:colOff>635000</xdr:colOff>
                    <xdr:row>147</xdr:row>
                    <xdr:rowOff>177800</xdr:rowOff>
                  </to>
                </anchor>
              </controlPr>
            </control>
          </mc:Choice>
        </mc:AlternateContent>
        <mc:AlternateContent xmlns:mc="http://schemas.openxmlformats.org/markup-compatibility/2006">
          <mc:Choice Requires="x14">
            <control shapeId="5151" r:id="rId5" name="Check Box 31">
              <controlPr defaultSize="0" autoFill="0" autoLine="0" autoPict="0" macro="[0]!Deductible_Cell">
                <anchor moveWithCells="1">
                  <from>
                    <xdr:col>5</xdr:col>
                    <xdr:colOff>330200</xdr:colOff>
                    <xdr:row>147</xdr:row>
                    <xdr:rowOff>25400</xdr:rowOff>
                  </from>
                  <to>
                    <xdr:col>5</xdr:col>
                    <xdr:colOff>635000</xdr:colOff>
                    <xdr:row>147</xdr:row>
                    <xdr:rowOff>177800</xdr:rowOff>
                  </to>
                </anchor>
              </controlPr>
            </control>
          </mc:Choice>
        </mc:AlternateContent>
        <mc:AlternateContent xmlns:mc="http://schemas.openxmlformats.org/markup-compatibility/2006">
          <mc:Choice Requires="x14">
            <control shapeId="5180" r:id="rId6" name="Check Box 60">
              <controlPr defaultSize="0" autoFill="0" autoLine="0" autoPict="0" macro="[0]!Employment_Include">
                <anchor moveWithCells="1">
                  <from>
                    <xdr:col>5</xdr:col>
                    <xdr:colOff>330200</xdr:colOff>
                    <xdr:row>26</xdr:row>
                    <xdr:rowOff>25400</xdr:rowOff>
                  </from>
                  <to>
                    <xdr:col>5</xdr:col>
                    <xdr:colOff>635000</xdr:colOff>
                    <xdr:row>26</xdr:row>
                    <xdr:rowOff>177800</xdr:rowOff>
                  </to>
                </anchor>
              </controlPr>
            </control>
          </mc:Choice>
        </mc:AlternateContent>
        <mc:AlternateContent xmlns:mc="http://schemas.openxmlformats.org/markup-compatibility/2006">
          <mc:Choice Requires="x14">
            <control shapeId="5181" r:id="rId7" name="Check Box 61">
              <controlPr defaultSize="0" autoFill="0" autoLine="0" autoPict="0" macro="[0]!Employment_Include">
                <anchor moveWithCells="1">
                  <from>
                    <xdr:col>5</xdr:col>
                    <xdr:colOff>330200</xdr:colOff>
                    <xdr:row>27</xdr:row>
                    <xdr:rowOff>25400</xdr:rowOff>
                  </from>
                  <to>
                    <xdr:col>5</xdr:col>
                    <xdr:colOff>635000</xdr:colOff>
                    <xdr:row>27</xdr:row>
                    <xdr:rowOff>177800</xdr:rowOff>
                  </to>
                </anchor>
              </controlPr>
            </control>
          </mc:Choice>
        </mc:AlternateContent>
        <mc:AlternateContent xmlns:mc="http://schemas.openxmlformats.org/markup-compatibility/2006">
          <mc:Choice Requires="x14">
            <control shapeId="5182" r:id="rId8" name="Check Box 62">
              <controlPr defaultSize="0" autoFill="0" autoLine="0" autoPict="0" macro="[0]!Employment_Include">
                <anchor moveWithCells="1">
                  <from>
                    <xdr:col>5</xdr:col>
                    <xdr:colOff>330200</xdr:colOff>
                    <xdr:row>28</xdr:row>
                    <xdr:rowOff>25400</xdr:rowOff>
                  </from>
                  <to>
                    <xdr:col>5</xdr:col>
                    <xdr:colOff>635000</xdr:colOff>
                    <xdr:row>34</xdr:row>
                    <xdr:rowOff>152400</xdr:rowOff>
                  </to>
                </anchor>
              </controlPr>
            </control>
          </mc:Choice>
        </mc:AlternateContent>
        <mc:AlternateContent xmlns:mc="http://schemas.openxmlformats.org/markup-compatibility/2006">
          <mc:Choice Requires="x14">
            <control shapeId="5183" r:id="rId9" name="Check Box 63">
              <controlPr defaultSize="0" autoFill="0" autoLine="0" autoPict="0">
                <anchor moveWithCells="1">
                  <from>
                    <xdr:col>8</xdr:col>
                    <xdr:colOff>406400</xdr:colOff>
                    <xdr:row>25</xdr:row>
                    <xdr:rowOff>25400</xdr:rowOff>
                  </from>
                  <to>
                    <xdr:col>8</xdr:col>
                    <xdr:colOff>711200</xdr:colOff>
                    <xdr:row>25</xdr:row>
                    <xdr:rowOff>177800</xdr:rowOff>
                  </to>
                </anchor>
              </controlPr>
            </control>
          </mc:Choice>
        </mc:AlternateContent>
        <mc:AlternateContent xmlns:mc="http://schemas.openxmlformats.org/markup-compatibility/2006">
          <mc:Choice Requires="x14">
            <control shapeId="5184" r:id="rId10" name="Check Box 64">
              <controlPr defaultSize="0" autoFill="0" autoLine="0" autoPict="0">
                <anchor moveWithCells="1">
                  <from>
                    <xdr:col>8</xdr:col>
                    <xdr:colOff>406400</xdr:colOff>
                    <xdr:row>26</xdr:row>
                    <xdr:rowOff>25400</xdr:rowOff>
                  </from>
                  <to>
                    <xdr:col>8</xdr:col>
                    <xdr:colOff>711200</xdr:colOff>
                    <xdr:row>26</xdr:row>
                    <xdr:rowOff>177800</xdr:rowOff>
                  </to>
                </anchor>
              </controlPr>
            </control>
          </mc:Choice>
        </mc:AlternateContent>
        <mc:AlternateContent xmlns:mc="http://schemas.openxmlformats.org/markup-compatibility/2006">
          <mc:Choice Requires="x14">
            <control shapeId="5185" r:id="rId11" name="Check Box 65">
              <controlPr defaultSize="0" autoFill="0" autoLine="0" autoPict="0">
                <anchor moveWithCells="1">
                  <from>
                    <xdr:col>8</xdr:col>
                    <xdr:colOff>406400</xdr:colOff>
                    <xdr:row>27</xdr:row>
                    <xdr:rowOff>25400</xdr:rowOff>
                  </from>
                  <to>
                    <xdr:col>8</xdr:col>
                    <xdr:colOff>711200</xdr:colOff>
                    <xdr:row>27</xdr:row>
                    <xdr:rowOff>177800</xdr:rowOff>
                  </to>
                </anchor>
              </controlPr>
            </control>
          </mc:Choice>
        </mc:AlternateContent>
        <mc:AlternateContent xmlns:mc="http://schemas.openxmlformats.org/markup-compatibility/2006">
          <mc:Choice Requires="x14">
            <control shapeId="5186" r:id="rId12" name="Check Box 66">
              <controlPr defaultSize="0" autoFill="0" autoLine="0" autoPict="0">
                <anchor moveWithCells="1">
                  <from>
                    <xdr:col>8</xdr:col>
                    <xdr:colOff>406400</xdr:colOff>
                    <xdr:row>28</xdr:row>
                    <xdr:rowOff>25400</xdr:rowOff>
                  </from>
                  <to>
                    <xdr:col>8</xdr:col>
                    <xdr:colOff>711200</xdr:colOff>
                    <xdr:row>34</xdr:row>
                    <xdr:rowOff>152400</xdr:rowOff>
                  </to>
                </anchor>
              </controlPr>
            </control>
          </mc:Choice>
        </mc:AlternateContent>
        <mc:AlternateContent xmlns:mc="http://schemas.openxmlformats.org/markup-compatibility/2006">
          <mc:Choice Requires="x14">
            <control shapeId="5187" r:id="rId13" name="Check Box 67">
              <controlPr defaultSize="0" autoFill="0" autoLine="0" autoPict="0">
                <anchor moveWithCells="1">
                  <from>
                    <xdr:col>12</xdr:col>
                    <xdr:colOff>279400</xdr:colOff>
                    <xdr:row>28</xdr:row>
                    <xdr:rowOff>25400</xdr:rowOff>
                  </from>
                  <to>
                    <xdr:col>12</xdr:col>
                    <xdr:colOff>584200</xdr:colOff>
                    <xdr:row>34</xdr:row>
                    <xdr:rowOff>152400</xdr:rowOff>
                  </to>
                </anchor>
              </controlPr>
            </control>
          </mc:Choice>
        </mc:AlternateContent>
        <mc:AlternateContent xmlns:mc="http://schemas.openxmlformats.org/markup-compatibility/2006">
          <mc:Choice Requires="x14">
            <control shapeId="5188" r:id="rId14" name="Check Box 68">
              <controlPr defaultSize="0" autoFill="0" autoLine="0" autoPict="0" macro="[0]!Employment_LMI">
                <anchor moveWithCells="1">
                  <from>
                    <xdr:col>13</xdr:col>
                    <xdr:colOff>279400</xdr:colOff>
                    <xdr:row>25</xdr:row>
                    <xdr:rowOff>25400</xdr:rowOff>
                  </from>
                  <to>
                    <xdr:col>13</xdr:col>
                    <xdr:colOff>584200</xdr:colOff>
                    <xdr:row>25</xdr:row>
                    <xdr:rowOff>177800</xdr:rowOff>
                  </to>
                </anchor>
              </controlPr>
            </control>
          </mc:Choice>
        </mc:AlternateContent>
        <mc:AlternateContent xmlns:mc="http://schemas.openxmlformats.org/markup-compatibility/2006">
          <mc:Choice Requires="x14">
            <control shapeId="5197" r:id="rId15" name="Check Box 77">
              <controlPr defaultSize="0" autoFill="0" autoLine="0" autoPict="0">
                <anchor moveWithCells="1">
                  <from>
                    <xdr:col>4</xdr:col>
                    <xdr:colOff>368300</xdr:colOff>
                    <xdr:row>102</xdr:row>
                    <xdr:rowOff>25400</xdr:rowOff>
                  </from>
                  <to>
                    <xdr:col>4</xdr:col>
                    <xdr:colOff>673100</xdr:colOff>
                    <xdr:row>102</xdr:row>
                    <xdr:rowOff>177800</xdr:rowOff>
                  </to>
                </anchor>
              </controlPr>
            </control>
          </mc:Choice>
        </mc:AlternateContent>
        <mc:AlternateContent xmlns:mc="http://schemas.openxmlformats.org/markup-compatibility/2006">
          <mc:Choice Requires="x14">
            <control shapeId="5198" r:id="rId16" name="Check Box 78">
              <controlPr defaultSize="0" autoFill="0" autoLine="0" autoPict="0" macro="[0]!Deductible_Cell">
                <anchor moveWithCells="1">
                  <from>
                    <xdr:col>5</xdr:col>
                    <xdr:colOff>330200</xdr:colOff>
                    <xdr:row>102</xdr:row>
                    <xdr:rowOff>25400</xdr:rowOff>
                  </from>
                  <to>
                    <xdr:col>5</xdr:col>
                    <xdr:colOff>635000</xdr:colOff>
                    <xdr:row>102</xdr:row>
                    <xdr:rowOff>177800</xdr:rowOff>
                  </to>
                </anchor>
              </controlPr>
            </control>
          </mc:Choice>
        </mc:AlternateContent>
        <mc:AlternateContent xmlns:mc="http://schemas.openxmlformats.org/markup-compatibility/2006">
          <mc:Choice Requires="x14">
            <control shapeId="5200" r:id="rId17" name="Check Box 80">
              <controlPr defaultSize="0" autoFill="0" autoLine="0" autoPict="0" macro="[0]!Employment_Include">
                <anchor moveWithCells="1">
                  <from>
                    <xdr:col>5</xdr:col>
                    <xdr:colOff>330200</xdr:colOff>
                    <xdr:row>44</xdr:row>
                    <xdr:rowOff>25400</xdr:rowOff>
                  </from>
                  <to>
                    <xdr:col>5</xdr:col>
                    <xdr:colOff>635000</xdr:colOff>
                    <xdr:row>44</xdr:row>
                    <xdr:rowOff>177800</xdr:rowOff>
                  </to>
                </anchor>
              </controlPr>
            </control>
          </mc:Choice>
        </mc:AlternateContent>
        <mc:AlternateContent xmlns:mc="http://schemas.openxmlformats.org/markup-compatibility/2006">
          <mc:Choice Requires="x14">
            <control shapeId="5201" r:id="rId18" name="Check Box 81">
              <controlPr defaultSize="0" autoFill="0" autoLine="0" autoPict="0" macro="[0]!Employment_Include">
                <anchor moveWithCells="1">
                  <from>
                    <xdr:col>5</xdr:col>
                    <xdr:colOff>330200</xdr:colOff>
                    <xdr:row>45</xdr:row>
                    <xdr:rowOff>25400</xdr:rowOff>
                  </from>
                  <to>
                    <xdr:col>5</xdr:col>
                    <xdr:colOff>635000</xdr:colOff>
                    <xdr:row>45</xdr:row>
                    <xdr:rowOff>177800</xdr:rowOff>
                  </to>
                </anchor>
              </controlPr>
            </control>
          </mc:Choice>
        </mc:AlternateContent>
        <mc:AlternateContent xmlns:mc="http://schemas.openxmlformats.org/markup-compatibility/2006">
          <mc:Choice Requires="x14">
            <control shapeId="5202" r:id="rId19" name="Check Box 82">
              <controlPr defaultSize="0" autoFill="0" autoLine="0" autoPict="0" macro="[0]!Employment_Include">
                <anchor moveWithCells="1">
                  <from>
                    <xdr:col>5</xdr:col>
                    <xdr:colOff>330200</xdr:colOff>
                    <xdr:row>46</xdr:row>
                    <xdr:rowOff>25400</xdr:rowOff>
                  </from>
                  <to>
                    <xdr:col>5</xdr:col>
                    <xdr:colOff>635000</xdr:colOff>
                    <xdr:row>52</xdr:row>
                    <xdr:rowOff>152400</xdr:rowOff>
                  </to>
                </anchor>
              </controlPr>
            </control>
          </mc:Choice>
        </mc:AlternateContent>
        <mc:AlternateContent xmlns:mc="http://schemas.openxmlformats.org/markup-compatibility/2006">
          <mc:Choice Requires="x14">
            <control shapeId="5203" r:id="rId20" name="Check Box 83">
              <controlPr defaultSize="0" autoFill="0" autoLine="0" autoPict="0">
                <anchor moveWithCells="1">
                  <from>
                    <xdr:col>8</xdr:col>
                    <xdr:colOff>406400</xdr:colOff>
                    <xdr:row>43</xdr:row>
                    <xdr:rowOff>25400</xdr:rowOff>
                  </from>
                  <to>
                    <xdr:col>8</xdr:col>
                    <xdr:colOff>711200</xdr:colOff>
                    <xdr:row>43</xdr:row>
                    <xdr:rowOff>177800</xdr:rowOff>
                  </to>
                </anchor>
              </controlPr>
            </control>
          </mc:Choice>
        </mc:AlternateContent>
        <mc:AlternateContent xmlns:mc="http://schemas.openxmlformats.org/markup-compatibility/2006">
          <mc:Choice Requires="x14">
            <control shapeId="5204" r:id="rId21" name="Check Box 84">
              <controlPr defaultSize="0" autoFill="0" autoLine="0" autoPict="0">
                <anchor moveWithCells="1">
                  <from>
                    <xdr:col>8</xdr:col>
                    <xdr:colOff>406400</xdr:colOff>
                    <xdr:row>44</xdr:row>
                    <xdr:rowOff>25400</xdr:rowOff>
                  </from>
                  <to>
                    <xdr:col>8</xdr:col>
                    <xdr:colOff>711200</xdr:colOff>
                    <xdr:row>44</xdr:row>
                    <xdr:rowOff>177800</xdr:rowOff>
                  </to>
                </anchor>
              </controlPr>
            </control>
          </mc:Choice>
        </mc:AlternateContent>
        <mc:AlternateContent xmlns:mc="http://schemas.openxmlformats.org/markup-compatibility/2006">
          <mc:Choice Requires="x14">
            <control shapeId="47" r:id="rId22" name="Check Box 85">
              <controlPr defaultSize="0" autoFill="0" autoLine="0" autoPict="0">
                <anchor moveWithCells="1">
                  <from>
                    <xdr:col>8</xdr:col>
                    <xdr:colOff>406400</xdr:colOff>
                    <xdr:row>45</xdr:row>
                    <xdr:rowOff>25400</xdr:rowOff>
                  </from>
                  <to>
                    <xdr:col>8</xdr:col>
                    <xdr:colOff>711200</xdr:colOff>
                    <xdr:row>45</xdr:row>
                    <xdr:rowOff>177800</xdr:rowOff>
                  </to>
                </anchor>
              </controlPr>
            </control>
          </mc:Choice>
        </mc:AlternateContent>
        <mc:AlternateContent xmlns:mc="http://schemas.openxmlformats.org/markup-compatibility/2006">
          <mc:Choice Requires="x14">
            <control shapeId="48" r:id="rId23" name="Check Box 86">
              <controlPr defaultSize="0" autoFill="0" autoLine="0" autoPict="0">
                <anchor moveWithCells="1">
                  <from>
                    <xdr:col>8</xdr:col>
                    <xdr:colOff>406400</xdr:colOff>
                    <xdr:row>46</xdr:row>
                    <xdr:rowOff>25400</xdr:rowOff>
                  </from>
                  <to>
                    <xdr:col>8</xdr:col>
                    <xdr:colOff>711200</xdr:colOff>
                    <xdr:row>52</xdr:row>
                    <xdr:rowOff>152400</xdr:rowOff>
                  </to>
                </anchor>
              </controlPr>
            </control>
          </mc:Choice>
        </mc:AlternateContent>
        <mc:AlternateContent xmlns:mc="http://schemas.openxmlformats.org/markup-compatibility/2006">
          <mc:Choice Requires="x14">
            <control shapeId="5207" r:id="rId24" name="Check Box 87">
              <controlPr defaultSize="0" autoFill="0" autoLine="0" autoPict="0">
                <anchor moveWithCells="1">
                  <from>
                    <xdr:col>12</xdr:col>
                    <xdr:colOff>279400</xdr:colOff>
                    <xdr:row>46</xdr:row>
                    <xdr:rowOff>25400</xdr:rowOff>
                  </from>
                  <to>
                    <xdr:col>12</xdr:col>
                    <xdr:colOff>584200</xdr:colOff>
                    <xdr:row>52</xdr:row>
                    <xdr:rowOff>152400</xdr:rowOff>
                  </to>
                </anchor>
              </controlPr>
            </control>
          </mc:Choice>
        </mc:AlternateContent>
        <mc:AlternateContent xmlns:mc="http://schemas.openxmlformats.org/markup-compatibility/2006">
          <mc:Choice Requires="x14">
            <control shapeId="5208" r:id="rId25" name="Check Box 88">
              <controlPr defaultSize="0" autoFill="0" autoLine="0" autoPict="0" macro="[0]!Employment_LMI">
                <anchor moveWithCells="1">
                  <from>
                    <xdr:col>13</xdr:col>
                    <xdr:colOff>279400</xdr:colOff>
                    <xdr:row>43</xdr:row>
                    <xdr:rowOff>25400</xdr:rowOff>
                  </from>
                  <to>
                    <xdr:col>13</xdr:col>
                    <xdr:colOff>584200</xdr:colOff>
                    <xdr:row>43</xdr:row>
                    <xdr:rowOff>177800</xdr:rowOff>
                  </to>
                </anchor>
              </controlPr>
            </control>
          </mc:Choice>
        </mc:AlternateContent>
        <mc:AlternateContent xmlns:mc="http://schemas.openxmlformats.org/markup-compatibility/2006">
          <mc:Choice Requires="x14">
            <control shapeId="5211" r:id="rId26" name="Check Box 91">
              <controlPr defaultSize="0" autoFill="0" autoLine="0" autoPict="0" macro="[0]!Employment_Include">
                <anchor moveWithCells="1">
                  <from>
                    <xdr:col>5</xdr:col>
                    <xdr:colOff>330200</xdr:colOff>
                    <xdr:row>62</xdr:row>
                    <xdr:rowOff>25400</xdr:rowOff>
                  </from>
                  <to>
                    <xdr:col>5</xdr:col>
                    <xdr:colOff>635000</xdr:colOff>
                    <xdr:row>62</xdr:row>
                    <xdr:rowOff>177800</xdr:rowOff>
                  </to>
                </anchor>
              </controlPr>
            </control>
          </mc:Choice>
        </mc:AlternateContent>
        <mc:AlternateContent xmlns:mc="http://schemas.openxmlformats.org/markup-compatibility/2006">
          <mc:Choice Requires="x14">
            <control shapeId="5391" r:id="rId27" name="Check Box 92">
              <controlPr defaultSize="0" autoFill="0" autoLine="0" autoPict="0" macro="[0]!Employment_Include">
                <anchor moveWithCells="1">
                  <from>
                    <xdr:col>5</xdr:col>
                    <xdr:colOff>330200</xdr:colOff>
                    <xdr:row>63</xdr:row>
                    <xdr:rowOff>25400</xdr:rowOff>
                  </from>
                  <to>
                    <xdr:col>5</xdr:col>
                    <xdr:colOff>635000</xdr:colOff>
                    <xdr:row>63</xdr:row>
                    <xdr:rowOff>177800</xdr:rowOff>
                  </to>
                </anchor>
              </controlPr>
            </control>
          </mc:Choice>
        </mc:AlternateContent>
        <mc:AlternateContent xmlns:mc="http://schemas.openxmlformats.org/markup-compatibility/2006">
          <mc:Choice Requires="x14">
            <control shapeId="5392" r:id="rId28" name="Check Box 93">
              <controlPr defaultSize="0" autoFill="0" autoLine="0" autoPict="0" macro="[0]!Employment_Include">
                <anchor moveWithCells="1">
                  <from>
                    <xdr:col>5</xdr:col>
                    <xdr:colOff>330200</xdr:colOff>
                    <xdr:row>64</xdr:row>
                    <xdr:rowOff>25400</xdr:rowOff>
                  </from>
                  <to>
                    <xdr:col>5</xdr:col>
                    <xdr:colOff>635000</xdr:colOff>
                    <xdr:row>64</xdr:row>
                    <xdr:rowOff>177800</xdr:rowOff>
                  </to>
                </anchor>
              </controlPr>
            </control>
          </mc:Choice>
        </mc:AlternateContent>
        <mc:AlternateContent xmlns:mc="http://schemas.openxmlformats.org/markup-compatibility/2006">
          <mc:Choice Requires="x14">
            <control shapeId="5393" r:id="rId29" name="Check Box 94">
              <controlPr defaultSize="0" autoFill="0" autoLine="0" autoPict="0">
                <anchor moveWithCells="1">
                  <from>
                    <xdr:col>8</xdr:col>
                    <xdr:colOff>406400</xdr:colOff>
                    <xdr:row>61</xdr:row>
                    <xdr:rowOff>25400</xdr:rowOff>
                  </from>
                  <to>
                    <xdr:col>8</xdr:col>
                    <xdr:colOff>711200</xdr:colOff>
                    <xdr:row>61</xdr:row>
                    <xdr:rowOff>177800</xdr:rowOff>
                  </to>
                </anchor>
              </controlPr>
            </control>
          </mc:Choice>
        </mc:AlternateContent>
        <mc:AlternateContent xmlns:mc="http://schemas.openxmlformats.org/markup-compatibility/2006">
          <mc:Choice Requires="x14">
            <control shapeId="5215" r:id="rId30" name="Check Box 95">
              <controlPr defaultSize="0" autoFill="0" autoLine="0" autoPict="0">
                <anchor moveWithCells="1">
                  <from>
                    <xdr:col>8</xdr:col>
                    <xdr:colOff>406400</xdr:colOff>
                    <xdr:row>62</xdr:row>
                    <xdr:rowOff>25400</xdr:rowOff>
                  </from>
                  <to>
                    <xdr:col>8</xdr:col>
                    <xdr:colOff>711200</xdr:colOff>
                    <xdr:row>62</xdr:row>
                    <xdr:rowOff>177800</xdr:rowOff>
                  </to>
                </anchor>
              </controlPr>
            </control>
          </mc:Choice>
        </mc:AlternateContent>
        <mc:AlternateContent xmlns:mc="http://schemas.openxmlformats.org/markup-compatibility/2006">
          <mc:Choice Requires="x14">
            <control shapeId="5216" r:id="rId31" name="Check Box 96">
              <controlPr defaultSize="0" autoFill="0" autoLine="0" autoPict="0">
                <anchor moveWithCells="1">
                  <from>
                    <xdr:col>8</xdr:col>
                    <xdr:colOff>406400</xdr:colOff>
                    <xdr:row>63</xdr:row>
                    <xdr:rowOff>25400</xdr:rowOff>
                  </from>
                  <to>
                    <xdr:col>8</xdr:col>
                    <xdr:colOff>711200</xdr:colOff>
                    <xdr:row>63</xdr:row>
                    <xdr:rowOff>177800</xdr:rowOff>
                  </to>
                </anchor>
              </controlPr>
            </control>
          </mc:Choice>
        </mc:AlternateContent>
        <mc:AlternateContent xmlns:mc="http://schemas.openxmlformats.org/markup-compatibility/2006">
          <mc:Choice Requires="x14">
            <control shapeId="5217" r:id="rId32" name="Check Box 97">
              <controlPr defaultSize="0" autoFill="0" autoLine="0" autoPict="0">
                <anchor moveWithCells="1">
                  <from>
                    <xdr:col>8</xdr:col>
                    <xdr:colOff>406400</xdr:colOff>
                    <xdr:row>64</xdr:row>
                    <xdr:rowOff>25400</xdr:rowOff>
                  </from>
                  <to>
                    <xdr:col>8</xdr:col>
                    <xdr:colOff>711200</xdr:colOff>
                    <xdr:row>64</xdr:row>
                    <xdr:rowOff>177800</xdr:rowOff>
                  </to>
                </anchor>
              </controlPr>
            </control>
          </mc:Choice>
        </mc:AlternateContent>
        <mc:AlternateContent xmlns:mc="http://schemas.openxmlformats.org/markup-compatibility/2006">
          <mc:Choice Requires="x14">
            <control shapeId="5218" r:id="rId33" name="Check Box 98">
              <controlPr defaultSize="0" autoFill="0" autoLine="0" autoPict="0">
                <anchor moveWithCells="1">
                  <from>
                    <xdr:col>12</xdr:col>
                    <xdr:colOff>279400</xdr:colOff>
                    <xdr:row>64</xdr:row>
                    <xdr:rowOff>25400</xdr:rowOff>
                  </from>
                  <to>
                    <xdr:col>12</xdr:col>
                    <xdr:colOff>584200</xdr:colOff>
                    <xdr:row>64</xdr:row>
                    <xdr:rowOff>177800</xdr:rowOff>
                  </to>
                </anchor>
              </controlPr>
            </control>
          </mc:Choice>
        </mc:AlternateContent>
        <mc:AlternateContent xmlns:mc="http://schemas.openxmlformats.org/markup-compatibility/2006">
          <mc:Choice Requires="x14">
            <control shapeId="5219" r:id="rId34" name="Check Box 99">
              <controlPr defaultSize="0" autoFill="0" autoLine="0" autoPict="0" macro="[0]!Employment_LMI">
                <anchor moveWithCells="1">
                  <from>
                    <xdr:col>13</xdr:col>
                    <xdr:colOff>279400</xdr:colOff>
                    <xdr:row>61</xdr:row>
                    <xdr:rowOff>25400</xdr:rowOff>
                  </from>
                  <to>
                    <xdr:col>13</xdr:col>
                    <xdr:colOff>584200</xdr:colOff>
                    <xdr:row>61</xdr:row>
                    <xdr:rowOff>177800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47" id="{CE863A1B-6020-4098-A891-EA8098107228}">
            <xm:f>IF($Q$169&gt;='Configurable Items'!$E$537,TRUE,FALSE)</xm:f>
            <x14:dxf>
              <font>
                <b/>
                <i val="0"/>
                <color rgb="FFB60000"/>
              </font>
            </x14:dxf>
          </x14:cfRule>
          <x14:cfRule type="expression" priority="1148" id="{A9D5315B-596D-4E40-B390-577CFA721E36}">
            <xm:f>IF(AND($Q$169&gt;='Configurable Items'!$E$536,'Internal Ref'!$L$238=0),TRUE,FALSE)</xm:f>
            <x14:dxf>
              <font>
                <b/>
                <i val="0"/>
                <color rgb="FFB60000"/>
              </font>
            </x14:dxf>
          </x14:cfRule>
          <x14:cfRule type="expression" priority="1149" id="{588D9C39-9D02-4B19-8959-205EA030BB08}">
            <xm:f>$Q$169&gt;'Configurable Items'!$E$535</xm:f>
            <x14:dxf>
              <font>
                <b/>
                <i val="0"/>
                <color rgb="FFF36D00"/>
              </font>
            </x14:dxf>
          </x14:cfRule>
          <xm:sqref>Q169</xm:sqref>
        </x14:conditionalFormatting>
        <x14:conditionalFormatting xmlns:xm="http://schemas.microsoft.com/office/excel/2006/main">
          <x14:cfRule type="expression" priority="1135" id="{5338AD7F-0F32-4196-8921-ED0ED36F3376}">
            <xm:f>IF($H$162&gt;='Configurable Items'!$E$537,TRUE,FALSE)</xm:f>
            <x14:dxf>
              <font>
                <b/>
                <i val="0"/>
                <color rgb="FFB60000"/>
              </font>
            </x14:dxf>
          </x14:cfRule>
          <x14:cfRule type="expression" priority="1136" id="{7732F4AD-2046-4C2A-B1AD-86DC690205E7}">
            <xm:f>IF(AND($H$162&gt;='Configurable Items'!$E$536,'Internal Ref'!$L$236=0),TRUE,FALSE)</xm:f>
            <x14:dxf>
              <font>
                <b/>
                <i val="0"/>
                <color rgb="FFB60000"/>
              </font>
            </x14:dxf>
          </x14:cfRule>
          <xm:sqref>H162</xm:sqref>
        </x14:conditionalFormatting>
        <x14:conditionalFormatting xmlns:xm="http://schemas.microsoft.com/office/excel/2006/main">
          <x14:cfRule type="expression" priority="1137" id="{B7365DC8-595E-4D97-844A-9CC2A6AA1148}">
            <xm:f>$H$162&gt;'Configurable Items'!$E$535</xm:f>
            <x14:dxf>
              <font>
                <b/>
                <i val="0"/>
                <color rgb="FFF36D00"/>
              </font>
            </x14:dxf>
          </x14:cfRule>
          <xm:sqref>H162</xm:sqref>
        </x14:conditionalFormatting>
        <x14:conditionalFormatting xmlns:xm="http://schemas.microsoft.com/office/excel/2006/main">
          <x14:cfRule type="expression" priority="1131" id="{C543BDE3-EC60-43D4-BA6E-7AA038D43427}">
            <xm:f>AND(VLOOKUP(E78,'Configurable Items'!$D$4692:$F$4700,3,FALSE),I78="")</xm:f>
            <x14:dxf>
              <fill>
                <patternFill>
                  <bgColor rgb="FFF6C2C2"/>
                </patternFill>
              </fill>
            </x14:dxf>
          </x14:cfRule>
          <xm:sqref>I78</xm:sqref>
        </x14:conditionalFormatting>
        <x14:conditionalFormatting xmlns:xm="http://schemas.microsoft.com/office/excel/2006/main">
          <x14:cfRule type="expression" priority="1133" id="{C11DEF81-CC64-4FFC-B0FE-E507B35F2573}">
            <xm:f>AND(VLOOKUP(E78,'Configurable Items'!$D$4692:$E$4700,2,FALSE),$F78="")</xm:f>
            <x14:dxf>
              <fill>
                <patternFill>
                  <bgColor rgb="FFF6C2C2"/>
                </patternFill>
              </fill>
            </x14:dxf>
          </x14:cfRule>
          <x14:cfRule type="expression" priority="1134" id="{82471F1C-28C3-4019-824B-75A3455D2007}">
            <xm:f>VLOOKUP(E78,'Configurable Items'!$D$4690:$E$4697,2,FALSE)</xm:f>
            <x14:dxf>
              <fill>
                <patternFill patternType="none">
                  <bgColor auto="1"/>
                </patternFill>
              </fill>
              <border>
                <left style="thin">
                  <color rgb="FFE0E0E0"/>
                </left>
                <right style="thin">
                  <color rgb="FFE0E0E0"/>
                </right>
                <top style="thin">
                  <color rgb="FFE0E0E0"/>
                </top>
                <bottom style="thin">
                  <color rgb="FFE0E0E0"/>
                </bottom>
                <vertical/>
                <horizontal/>
              </border>
            </x14:dxf>
          </x14:cfRule>
          <xm:sqref>F78 F84</xm:sqref>
        </x14:conditionalFormatting>
        <x14:conditionalFormatting xmlns:xm="http://schemas.microsoft.com/office/excel/2006/main">
          <x14:cfRule type="expression" priority="1078" stopIfTrue="1" id="{889F0D72-8AF7-4578-9F07-9673CFFF1AE4}">
            <xm:f>AND(E78="Overseas",NOT(VLOOKUP(F78,'Configurable Items'!$E$4702:$H$4730,4,FALSE)))</xm:f>
            <x14:dxf>
              <fill>
                <patternFill>
                  <bgColor rgb="FFF7F7F7"/>
                </patternFill>
              </fill>
            </x14:dxf>
          </x14:cfRule>
          <xm:sqref>J78</xm:sqref>
        </x14:conditionalFormatting>
        <x14:conditionalFormatting xmlns:xm="http://schemas.microsoft.com/office/excel/2006/main">
          <x14:cfRule type="expression" priority="1034" id="{54B75FF9-111B-496D-A9BE-7EF523F91094}">
            <xm:f>IF($H$162&gt;='Configurable Items'!$E$537,TRUE,FALSE)</xm:f>
            <x14:dxf>
              <font>
                <b/>
                <i val="0"/>
                <color rgb="FFB60000"/>
              </font>
            </x14:dxf>
          </x14:cfRule>
          <x14:cfRule type="expression" priority="1035" id="{9C8C9DC4-0CF1-4511-8771-07014C550E89}">
            <xm:f>IF(AND($H$162&gt;='Configurable Items'!$E$536,'Internal Ref'!$L$237=0),TRUE,FALSE)</xm:f>
            <x14:dxf>
              <font>
                <b/>
                <i val="0"/>
                <color rgb="FFB60000"/>
              </font>
            </x14:dxf>
          </x14:cfRule>
          <xm:sqref>H163</xm:sqref>
        </x14:conditionalFormatting>
        <x14:conditionalFormatting xmlns:xm="http://schemas.microsoft.com/office/excel/2006/main">
          <x14:cfRule type="expression" priority="1036" id="{E8722B37-EC9B-4CDB-9013-2DCE6927A10F}">
            <xm:f>$H$162&gt;'Configurable Items'!$E$535</xm:f>
            <x14:dxf>
              <font>
                <b/>
                <i val="0"/>
                <color rgb="FFF36D00"/>
              </font>
            </x14:dxf>
          </x14:cfRule>
          <xm:sqref>H163</xm:sqref>
        </x14:conditionalFormatting>
        <x14:conditionalFormatting xmlns:xm="http://schemas.microsoft.com/office/excel/2006/main">
          <x14:cfRule type="expression" priority="1031" id="{B18E487D-7BEB-4FC1-B48A-E95AAB1707EE}">
            <xm:f>IF($Q$169&gt;='Configurable Items'!$E$537,TRUE,FALSE)</xm:f>
            <x14:dxf>
              <font>
                <b/>
                <i val="0"/>
                <color rgb="FFB60000"/>
              </font>
            </x14:dxf>
          </x14:cfRule>
          <x14:cfRule type="expression" priority="1032" id="{BF085ED4-7DCF-44FC-929E-1CD76705A6AD}">
            <xm:f>IF(AND($Q$169&gt;='Configurable Items'!$E$536,'Internal Ref'!$L$238=0),TRUE,FALSE)</xm:f>
            <x14:dxf>
              <font>
                <b/>
                <i val="0"/>
                <color rgb="FFB60000"/>
              </font>
            </x14:dxf>
          </x14:cfRule>
          <x14:cfRule type="expression" priority="1033" id="{D384C8A5-366B-4C12-8AE8-9D7CA8BF0E3C}">
            <xm:f>$Q$169&gt;'Configurable Items'!$E$535</xm:f>
            <x14:dxf>
              <font>
                <b/>
                <i val="0"/>
                <color rgb="FFF36D00"/>
              </font>
            </x14:dxf>
          </x14:cfRule>
          <xm:sqref>L172</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171FECDB-972C-45B1-BC14-E01B6F53E4A3}">
          <x14:formula1>
            <xm:f>'Configurable Items'!$D$4692:$D$4700</xm:f>
          </x14:formula1>
          <xm:sqref>E79</xm:sqref>
        </x14:dataValidation>
        <x14:dataValidation type="list" allowBlank="1" showInputMessage="1" showErrorMessage="1" xr:uid="{523A0A0D-1F19-4D87-B176-DE6CD5210B2C}">
          <x14:formula1>
            <xm:f>'Configurable Items'!$E$4762:$E$4774</xm:f>
          </x14:formula1>
          <xm:sqref>D28 D46 D64</xm:sqref>
        </x14:dataValidation>
        <x14:dataValidation type="list" allowBlank="1" showInputMessage="1" showErrorMessage="1" xr:uid="{D267BD4F-2AAA-4446-88AC-EB28DD8A8B8E}">
          <x14:formula1>
            <xm:f>'Configurable Items'!$D$4791:$D$4797</xm:f>
          </x14:formula1>
          <xm:sqref>F10</xm:sqref>
        </x14:dataValidation>
        <x14:dataValidation type="list" allowBlank="1" showInputMessage="1" showErrorMessage="1" xr:uid="{84188347-91B8-410F-B8A1-256DA9930421}">
          <x14:formula1>
            <xm:f>'Configurable Items'!$D$4801:$D$4803</xm:f>
          </x14:formula1>
          <xm:sqref>G10</xm:sqref>
        </x14:dataValidation>
        <x14:dataValidation type="list" allowBlank="1" showInputMessage="1" showErrorMessage="1" xr:uid="{F931FEB7-9927-4E7A-83DE-A2812E73FCA2}">
          <x14:formula1>
            <xm:f>'Configurable Items'!$D$4807:$D$4813</xm:f>
          </x14:formula1>
          <xm:sqref>H142</xm:sqref>
        </x14:dataValidation>
        <x14:dataValidation type="list" allowBlank="1" showInputMessage="1" showErrorMessage="1" xr:uid="{B5CFCAFD-7618-49B8-9EC8-971591018D11}">
          <x14:formula1>
            <xm:f>INDIRECT('Internal Ref'!$F$244)</xm:f>
          </x14:formula1>
          <xm:sqref>G97 F148</xm:sqref>
        </x14:dataValidation>
        <x14:dataValidation type="list" allowBlank="1" showInputMessage="1" showErrorMessage="1" xr:uid="{759DCDA8-BAFD-4FE0-9A4E-BE9FD562F1B7}">
          <x14:formula1>
            <xm:f>'Configurable Items'!$D$4807:$D$4814</xm:f>
          </x14:formula1>
          <xm:sqref>H148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BF5AE-4AC7-4F23-B88B-D3FDC5C59ADE}">
  <sheetPr codeName="Sheet33">
    <outlinePr summaryBelow="0"/>
    <pageSetUpPr fitToPage="1"/>
  </sheetPr>
  <dimension ref="B1:AQ1704"/>
  <sheetViews>
    <sheetView showGridLines="0" showRowColHeaders="0" zoomScaleNormal="100" workbookViewId="0">
      <selection activeCell="D10" sqref="D10"/>
    </sheetView>
  </sheetViews>
  <sheetFormatPr baseColWidth="10" defaultColWidth="8" defaultRowHeight="15"/>
  <cols>
    <col min="1" max="2" width="0.83203125" style="2" customWidth="1"/>
    <col min="3" max="3" width="3.1640625" style="2" customWidth="1"/>
    <col min="4" max="4" width="18.1640625" style="2" customWidth="1"/>
    <col min="5" max="5" width="12.5" style="2" customWidth="1"/>
    <col min="6" max="6" width="11.1640625" style="2" customWidth="1"/>
    <col min="7" max="7" width="13.6640625" style="2" customWidth="1"/>
    <col min="8" max="8" width="15.6640625" style="2" customWidth="1"/>
    <col min="9" max="9" width="12.5" style="2" customWidth="1"/>
    <col min="10" max="11" width="5" style="2" customWidth="1"/>
    <col min="12" max="14" width="10" style="2" customWidth="1"/>
    <col min="15" max="15" width="12.5" style="2" customWidth="1"/>
    <col min="16" max="16" width="0.6640625" style="2" customWidth="1"/>
    <col min="17" max="17" width="14.33203125" style="2" customWidth="1"/>
    <col min="18" max="18" width="1" style="2" customWidth="1"/>
    <col min="19" max="19" width="14.33203125" style="2" customWidth="1"/>
    <col min="20" max="21" width="0.83203125" style="2" customWidth="1"/>
    <col min="22" max="22" width="1.6640625" style="2" customWidth="1"/>
    <col min="23" max="36" width="13.6640625" style="2" hidden="1" customWidth="1"/>
    <col min="37" max="37" width="13.1640625" style="2" customWidth="1"/>
    <col min="38" max="38" width="16.5" style="2" customWidth="1"/>
    <col min="39" max="39" width="23.6640625" style="2" customWidth="1"/>
    <col min="40" max="42" width="8" style="1" hidden="1" customWidth="1"/>
    <col min="43" max="43" width="8" style="2" hidden="1" customWidth="1"/>
    <col min="44" max="16384" width="8" style="2"/>
  </cols>
  <sheetData>
    <row r="1" spans="2:38" ht="5.25" customHeight="1"/>
    <row r="2" spans="2:38" ht="5.25" customHeight="1">
      <c r="B2" s="1010"/>
      <c r="C2" s="986"/>
      <c r="D2" s="986"/>
      <c r="E2" s="986"/>
      <c r="F2" s="986"/>
      <c r="G2" s="986"/>
      <c r="H2" s="986"/>
      <c r="I2" s="986"/>
      <c r="J2" s="986"/>
      <c r="K2" s="986"/>
      <c r="L2" s="986"/>
      <c r="M2" s="986"/>
      <c r="N2" s="986"/>
      <c r="O2" s="986"/>
      <c r="P2" s="986"/>
      <c r="Q2" s="986"/>
      <c r="R2" s="986"/>
      <c r="S2" s="986"/>
      <c r="T2" s="986"/>
      <c r="U2" s="1011"/>
    </row>
    <row r="3" spans="2:38" ht="30.75" customHeight="1">
      <c r="B3" s="1012"/>
      <c r="C3" s="1472" t="s">
        <v>8939</v>
      </c>
      <c r="D3" s="1472"/>
      <c r="E3" s="1472"/>
      <c r="F3" s="1472"/>
      <c r="G3" s="1472"/>
      <c r="H3" s="1472"/>
      <c r="I3" s="1472"/>
      <c r="J3" s="1472"/>
      <c r="K3" s="1472"/>
      <c r="L3" s="1472"/>
      <c r="M3" s="1472"/>
      <c r="N3" s="1472"/>
      <c r="O3" s="1472"/>
      <c r="P3" s="1472"/>
      <c r="Q3" s="1472"/>
      <c r="R3" s="1472"/>
      <c r="S3" s="1472"/>
      <c r="T3" s="1472"/>
      <c r="U3" s="1013"/>
    </row>
    <row r="4" spans="2:38" ht="8.25" customHeight="1">
      <c r="B4" s="1012"/>
      <c r="C4" s="27"/>
      <c r="D4" s="27"/>
      <c r="E4" s="27"/>
      <c r="F4" s="27"/>
      <c r="G4" s="27"/>
      <c r="H4" s="27"/>
      <c r="I4" s="27"/>
      <c r="J4" s="27"/>
      <c r="K4" s="27"/>
      <c r="L4" s="27"/>
      <c r="M4" s="27"/>
      <c r="N4" s="27"/>
      <c r="O4" s="27"/>
      <c r="P4" s="27"/>
      <c r="Q4" s="27"/>
      <c r="R4" s="27"/>
      <c r="S4" s="27"/>
      <c r="T4" s="27"/>
      <c r="U4" s="1013"/>
    </row>
    <row r="5" spans="2:38" ht="17.25" customHeight="1">
      <c r="B5" s="1012"/>
      <c r="C5" s="1491" t="str">
        <f>IF(D10="","Select your customers to start",IF(D11="",D10 &amp; IF(RIGHT(D10,1)="s","'","'s") &amp; " Statement of Position",D10&amp;" &amp; " &amp; D11 &amp;IF(RIGHT(D11,1)="s","'","'s") &amp; " Statement of Position"))</f>
        <v>Select your customers to start</v>
      </c>
      <c r="D5" s="1491"/>
      <c r="E5" s="1491"/>
      <c r="F5" s="1491"/>
      <c r="G5" s="1491"/>
      <c r="H5" s="1491"/>
      <c r="I5" s="1491"/>
      <c r="J5" s="1491"/>
      <c r="K5" s="1491"/>
      <c r="L5" s="1491"/>
      <c r="M5" s="1491"/>
      <c r="N5" s="1491"/>
      <c r="O5" s="1491"/>
      <c r="P5" s="1491"/>
      <c r="Q5" s="1491"/>
      <c r="R5" s="1491"/>
      <c r="S5" s="1491"/>
      <c r="T5" s="1491"/>
      <c r="U5" s="1013"/>
      <c r="W5" s="54"/>
    </row>
    <row r="6" spans="2:38" ht="6.75" customHeight="1">
      <c r="B6" s="733"/>
      <c r="C6" s="735"/>
      <c r="D6" s="735"/>
      <c r="E6" s="735"/>
      <c r="F6" s="735"/>
      <c r="G6" s="735"/>
      <c r="H6" s="735"/>
      <c r="I6" s="735"/>
      <c r="J6" s="735"/>
      <c r="K6" s="735"/>
      <c r="L6" s="735"/>
      <c r="M6" s="735"/>
      <c r="N6" s="735"/>
      <c r="O6" s="735"/>
      <c r="P6" s="735"/>
      <c r="Q6" s="735"/>
      <c r="R6" s="735"/>
      <c r="S6" s="735"/>
      <c r="T6" s="735"/>
      <c r="U6" s="736"/>
      <c r="W6" s="54"/>
    </row>
    <row r="7" spans="2:38" ht="18" customHeight="1">
      <c r="B7" s="733"/>
      <c r="C7" s="958" t="s">
        <v>28</v>
      </c>
      <c r="D7" s="735"/>
      <c r="E7" s="735"/>
      <c r="F7" s="735"/>
      <c r="G7" s="735"/>
      <c r="H7" s="735"/>
      <c r="I7" s="735"/>
      <c r="J7" s="735"/>
      <c r="K7" s="735"/>
      <c r="L7" s="735"/>
      <c r="M7" s="735"/>
      <c r="N7" s="735"/>
      <c r="O7" s="735"/>
      <c r="P7" s="735"/>
      <c r="Q7" s="735"/>
      <c r="R7" s="735"/>
      <c r="S7" s="735"/>
      <c r="T7" s="735"/>
      <c r="U7" s="736"/>
    </row>
    <row r="8" spans="2:38" ht="7.5" customHeight="1">
      <c r="B8" s="733"/>
      <c r="C8" s="945"/>
      <c r="D8" s="959"/>
      <c r="E8" s="743"/>
      <c r="F8" s="743"/>
      <c r="G8" s="743"/>
      <c r="H8" s="743"/>
      <c r="I8" s="743"/>
      <c r="J8" s="743"/>
      <c r="K8" s="743"/>
      <c r="L8" s="743"/>
      <c r="M8" s="743"/>
      <c r="N8" s="743"/>
      <c r="O8" s="743"/>
      <c r="P8" s="743"/>
      <c r="Q8" s="743"/>
      <c r="R8" s="960"/>
      <c r="S8" s="743"/>
      <c r="T8" s="744"/>
      <c r="U8" s="736"/>
      <c r="W8" s="35"/>
    </row>
    <row r="9" spans="2:38" ht="17.25" customHeight="1">
      <c r="B9" s="1012"/>
      <c r="C9" s="742"/>
      <c r="D9" s="36" t="s">
        <v>29</v>
      </c>
      <c r="E9" s="36" t="s">
        <v>30</v>
      </c>
      <c r="F9" s="36" t="s">
        <v>8052</v>
      </c>
      <c r="G9" s="36" t="str">
        <f>IF(D11="","Spouse","")</f>
        <v>Spouse</v>
      </c>
      <c r="H9" s="32"/>
      <c r="K9" s="34"/>
      <c r="M9" s="34"/>
      <c r="N9" s="34"/>
      <c r="O9" s="34"/>
      <c r="P9" s="34"/>
      <c r="Q9" s="37"/>
      <c r="R9" s="834"/>
      <c r="S9" s="37"/>
      <c r="T9" s="714"/>
      <c r="U9" s="1013"/>
      <c r="W9" s="39" t="s">
        <v>31</v>
      </c>
      <c r="X9" s="39" t="s">
        <v>32</v>
      </c>
      <c r="Y9" s="39"/>
      <c r="Z9" s="39" t="s">
        <v>8900</v>
      </c>
      <c r="AA9" s="39" t="s">
        <v>33</v>
      </c>
      <c r="AB9" s="39" t="s">
        <v>587</v>
      </c>
      <c r="AC9" s="39" t="s">
        <v>8993</v>
      </c>
      <c r="AD9" s="39" t="s">
        <v>8628</v>
      </c>
    </row>
    <row r="10" spans="2:38" ht="17.25" customHeight="1">
      <c r="B10" s="1012"/>
      <c r="C10" s="713"/>
      <c r="D10" s="912"/>
      <c r="E10" s="1015"/>
      <c r="F10" s="912"/>
      <c r="G10" s="920"/>
      <c r="M10" s="34"/>
      <c r="N10" s="34"/>
      <c r="O10" s="34"/>
      <c r="P10" s="34"/>
      <c r="Q10" s="40"/>
      <c r="R10" s="834"/>
      <c r="S10" s="40"/>
      <c r="T10" s="714"/>
      <c r="U10" s="1013"/>
      <c r="W10" s="936">
        <f>D10</f>
        <v>0</v>
      </c>
      <c r="X10" s="1024">
        <f>D10</f>
        <v>0</v>
      </c>
      <c r="Y10" s="1025" t="s">
        <v>34</v>
      </c>
      <c r="Z10" s="937">
        <f>COUNTIFS(D17:D37,X10,H17:H37,"After Tax")</f>
        <v>0</v>
      </c>
      <c r="AA10" s="1024">
        <f>MATCH("Other Incomes",D:D,FALSE)</f>
        <v>38</v>
      </c>
      <c r="AB10" s="937">
        <f>MATCH(AB9,'Internal Ref'!$A$251:$J$251,0)-1</f>
        <v>3</v>
      </c>
      <c r="AC10" s="1378" t="b">
        <v>0</v>
      </c>
      <c r="AD10" s="936">
        <v>1</v>
      </c>
    </row>
    <row r="11" spans="2:38" ht="17.25" customHeight="1">
      <c r="B11" s="1012"/>
      <c r="C11" s="713"/>
      <c r="D11" s="912"/>
      <c r="E11" s="912"/>
      <c r="F11" s="34"/>
      <c r="G11" s="836"/>
      <c r="M11" s="34"/>
      <c r="N11" s="34"/>
      <c r="O11" s="34"/>
      <c r="P11" s="34"/>
      <c r="Q11" s="40"/>
      <c r="R11" s="834"/>
      <c r="S11" s="40"/>
      <c r="T11" s="714"/>
      <c r="U11" s="1013"/>
      <c r="W11" s="936" t="str">
        <f>IF(ISBLANK(D11),"Other",D11)</f>
        <v>Other</v>
      </c>
      <c r="X11" s="1024" t="str">
        <f>IF(ISBLANK(D11),"",D11)</f>
        <v/>
      </c>
      <c r="Y11" s="1025" t="s">
        <v>35</v>
      </c>
      <c r="Z11" s="937">
        <f>COUNTIFS(D17:D37,X11,H17:H37,"After Tax")</f>
        <v>1</v>
      </c>
      <c r="AB11" s="936">
        <f>VLOOKUP(AB9,'Internal Ref'!$A$203:$B$206,2,FALSE)</f>
        <v>2</v>
      </c>
      <c r="AC11" s="936">
        <f>COUNTIF(D:D,"SE -*")</f>
        <v>0</v>
      </c>
      <c r="AD11" s="936">
        <f>SUM(G48:G49)</f>
        <v>0</v>
      </c>
      <c r="AE11" s="31"/>
      <c r="AJ11" s="31"/>
    </row>
    <row r="12" spans="2:38" ht="7.5" customHeight="1">
      <c r="B12" s="733"/>
      <c r="C12" s="807"/>
      <c r="D12" s="727"/>
      <c r="E12" s="727"/>
      <c r="F12" s="727"/>
      <c r="G12" s="727"/>
      <c r="H12" s="727"/>
      <c r="I12" s="727"/>
      <c r="J12" s="727"/>
      <c r="K12" s="727"/>
      <c r="L12" s="943"/>
      <c r="M12" s="943"/>
      <c r="N12" s="715"/>
      <c r="O12" s="715"/>
      <c r="P12" s="715"/>
      <c r="Q12" s="944"/>
      <c r="R12" s="828"/>
      <c r="S12" s="944"/>
      <c r="T12" s="908"/>
      <c r="U12" s="736"/>
      <c r="W12" s="936" t="str">
        <f>IF(ISBLANK(D11),"",D10&amp;" 50% "&amp;D11&amp;" 50%")</f>
        <v/>
      </c>
      <c r="X12" s="42" t="str">
        <f>IF(ISBLANK(E11),"",E10&amp;" 50% "&amp;E11&amp;" 50%")</f>
        <v/>
      </c>
      <c r="AD12" s="936">
        <f>COUNT(N48:O49)</f>
        <v>0</v>
      </c>
      <c r="AE12" s="31"/>
      <c r="AJ12" s="31"/>
    </row>
    <row r="13" spans="2:38" ht="7.5" customHeight="1">
      <c r="B13" s="733"/>
      <c r="C13" s="731"/>
      <c r="D13" s="731"/>
      <c r="E13" s="731"/>
      <c r="F13" s="731"/>
      <c r="G13" s="731"/>
      <c r="H13" s="731"/>
      <c r="I13" s="731"/>
      <c r="J13" s="731"/>
      <c r="K13" s="731"/>
      <c r="L13" s="951"/>
      <c r="M13" s="951"/>
      <c r="N13" s="731"/>
      <c r="O13" s="731"/>
      <c r="P13" s="731"/>
      <c r="Q13" s="952"/>
      <c r="R13" s="952"/>
      <c r="S13" s="952"/>
      <c r="T13" s="952"/>
      <c r="U13" s="736"/>
      <c r="W13" s="936" t="str">
        <f>IF(ISBLANK(D11),"","Other")</f>
        <v/>
      </c>
      <c r="X13" s="42"/>
      <c r="AD13" s="936"/>
      <c r="AE13" s="31"/>
      <c r="AJ13" s="31"/>
    </row>
    <row r="14" spans="2:38" ht="17.25" customHeight="1">
      <c r="B14" s="733"/>
      <c r="C14" s="953" t="s">
        <v>36</v>
      </c>
      <c r="D14" s="953"/>
      <c r="E14" s="738"/>
      <c r="F14" s="738"/>
      <c r="G14" s="738"/>
      <c r="H14" s="738"/>
      <c r="I14" s="738"/>
      <c r="J14" s="954"/>
      <c r="K14" s="954"/>
      <c r="L14" s="954"/>
      <c r="M14" s="954"/>
      <c r="N14" s="954"/>
      <c r="O14" s="738"/>
      <c r="P14" s="738"/>
      <c r="Q14" s="955"/>
      <c r="R14" s="956"/>
      <c r="S14" s="955"/>
      <c r="T14" s="956"/>
      <c r="U14" s="736"/>
      <c r="X14" s="44" t="str">
        <f>IF(ISBLANK(E11),"","Other")</f>
        <v/>
      </c>
      <c r="Y14" s="45"/>
      <c r="AD14" s="31"/>
      <c r="AE14" s="31"/>
      <c r="AL14" s="31"/>
    </row>
    <row r="15" spans="2:38" ht="5.25" customHeight="1">
      <c r="B15" s="733"/>
      <c r="C15" s="969"/>
      <c r="D15" s="743"/>
      <c r="E15" s="743"/>
      <c r="F15" s="743"/>
      <c r="G15" s="970"/>
      <c r="H15" s="971"/>
      <c r="I15" s="971"/>
      <c r="J15" s="971"/>
      <c r="K15" s="743"/>
      <c r="L15" s="743"/>
      <c r="M15" s="743"/>
      <c r="N15" s="743"/>
      <c r="O15" s="743"/>
      <c r="P15" s="743"/>
      <c r="Q15" s="972"/>
      <c r="R15" s="957"/>
      <c r="S15" s="972"/>
      <c r="T15" s="973"/>
      <c r="U15" s="736"/>
      <c r="X15" s="44"/>
      <c r="Y15" s="45"/>
      <c r="AD15" s="31"/>
      <c r="AE15" s="31"/>
      <c r="AK15" s="43"/>
      <c r="AL15" s="31"/>
    </row>
    <row r="16" spans="2:38" ht="19.5" customHeight="1">
      <c r="B16" s="1012"/>
      <c r="C16" s="713"/>
      <c r="D16" s="778" t="s">
        <v>40</v>
      </c>
      <c r="M16" s="34"/>
      <c r="N16" s="46"/>
      <c r="O16" s="46"/>
      <c r="P16" s="34"/>
      <c r="Q16" s="994" t="s">
        <v>37</v>
      </c>
      <c r="R16" s="40"/>
      <c r="S16" s="994" t="s">
        <v>38</v>
      </c>
      <c r="T16" s="714"/>
      <c r="U16" s="1013"/>
      <c r="X16" s="42"/>
      <c r="AD16" s="31"/>
      <c r="AE16" s="31"/>
      <c r="AK16" s="43" t="s">
        <v>39</v>
      </c>
      <c r="AL16" s="31"/>
    </row>
    <row r="17" spans="2:41" ht="17.25" customHeight="1">
      <c r="B17" s="1012"/>
      <c r="C17" s="902"/>
      <c r="D17" s="36" t="s">
        <v>41</v>
      </c>
      <c r="E17" s="36" t="s">
        <v>13</v>
      </c>
      <c r="F17" s="36" t="s">
        <v>42</v>
      </c>
      <c r="G17" s="36" t="s">
        <v>14</v>
      </c>
      <c r="H17" s="36" t="s">
        <v>43</v>
      </c>
      <c r="I17" s="36" t="s">
        <v>44</v>
      </c>
      <c r="J17" s="1482" t="s">
        <v>15</v>
      </c>
      <c r="K17" s="1482"/>
      <c r="L17" s="36" t="s">
        <v>45</v>
      </c>
      <c r="M17" s="36" t="s">
        <v>46</v>
      </c>
      <c r="N17" s="36" t="str">
        <f>IF($AC$11&gt;0,"LMI App?","")</f>
        <v/>
      </c>
      <c r="O17" s="36" t="str">
        <f>IF(AND($AC$11&gt;0,$AC$10=TRUE),"Prior Year Amt","")</f>
        <v/>
      </c>
      <c r="P17" s="836"/>
      <c r="Q17" s="36" t="s">
        <v>47</v>
      </c>
      <c r="R17" s="47"/>
      <c r="S17" s="39" t="s">
        <v>48</v>
      </c>
      <c r="T17" s="714"/>
      <c r="U17" s="1013"/>
      <c r="W17" s="39" t="s">
        <v>49</v>
      </c>
      <c r="X17" s="39" t="s">
        <v>50</v>
      </c>
      <c r="Y17" s="39" t="s">
        <v>51</v>
      </c>
      <c r="Z17" s="39" t="s">
        <v>52</v>
      </c>
      <c r="AA17" s="39" t="s">
        <v>53</v>
      </c>
      <c r="AB17" s="39" t="s">
        <v>54</v>
      </c>
      <c r="AC17" s="39" t="s">
        <v>55</v>
      </c>
      <c r="AD17" s="39" t="s">
        <v>7875</v>
      </c>
      <c r="AE17" s="39" t="b">
        <v>1</v>
      </c>
      <c r="AK17" s="39" t="s">
        <v>56</v>
      </c>
      <c r="AL17" s="39" t="s">
        <v>21</v>
      </c>
    </row>
    <row r="18" spans="2:41" ht="17.25" hidden="1" customHeight="1">
      <c r="B18" s="1012"/>
      <c r="C18" s="713"/>
      <c r="D18" s="48" t="s">
        <v>57</v>
      </c>
      <c r="E18" s="24" t="e">
        <f>IF(LEFT(D28,2)="SE","",'Configurable Items'!#REF!)</f>
        <v>#REF!</v>
      </c>
      <c r="F18" s="32"/>
      <c r="G18" s="32"/>
      <c r="H18" s="32"/>
      <c r="I18" s="32"/>
      <c r="J18" s="32"/>
      <c r="K18" s="48" t="s">
        <v>16</v>
      </c>
      <c r="L18" s="49"/>
      <c r="M18" s="49"/>
      <c r="O18" s="50"/>
      <c r="P18" s="50"/>
      <c r="Q18" s="51"/>
      <c r="R18" s="841"/>
      <c r="S18" s="51"/>
      <c r="T18" s="714"/>
      <c r="U18" s="1013"/>
      <c r="W18" s="32"/>
      <c r="X18" s="42"/>
      <c r="AD18" s="31"/>
      <c r="AE18" s="31"/>
      <c r="AL18" s="31"/>
    </row>
    <row r="19" spans="2:41" ht="17.25" hidden="1" customHeight="1">
      <c r="B19" s="1012"/>
      <c r="C19" s="713"/>
      <c r="D19" s="48"/>
      <c r="E19" s="24" t="e">
        <f>IF(LEFT(D28,2)="SE","",'Configurable Items'!#REF!)</f>
        <v>#REF!</v>
      </c>
      <c r="F19" s="32"/>
      <c r="G19" s="32"/>
      <c r="H19" s="32"/>
      <c r="I19" s="32"/>
      <c r="J19" s="24" t="s">
        <v>17</v>
      </c>
      <c r="L19" s="32"/>
      <c r="M19" s="32"/>
      <c r="Q19" s="37"/>
      <c r="R19" s="834"/>
      <c r="S19" s="37"/>
      <c r="T19" s="714"/>
      <c r="U19" s="1013"/>
      <c r="W19" s="32"/>
      <c r="X19" s="42"/>
      <c r="AD19" s="31"/>
      <c r="AE19" s="31"/>
      <c r="AL19" s="31"/>
    </row>
    <row r="20" spans="2:41" ht="17.25" hidden="1" customHeight="1">
      <c r="B20" s="1012"/>
      <c r="C20" s="713"/>
      <c r="D20" s="48"/>
      <c r="E20" s="24" t="e">
        <f>IF(LEFT(D28,2)="SE","",'Configurable Items'!#REF!)</f>
        <v>#REF!</v>
      </c>
      <c r="F20" s="32"/>
      <c r="G20" s="32"/>
      <c r="H20" s="32"/>
      <c r="I20" s="32"/>
      <c r="J20" s="24" t="s">
        <v>3</v>
      </c>
      <c r="L20" s="32"/>
      <c r="M20" s="32"/>
      <c r="Q20" s="37"/>
      <c r="R20" s="834"/>
      <c r="S20" s="37"/>
      <c r="T20" s="714"/>
      <c r="U20" s="1013"/>
      <c r="W20" s="32"/>
      <c r="X20" s="42"/>
      <c r="AD20" s="31"/>
      <c r="AE20" s="31"/>
      <c r="AL20" s="31"/>
    </row>
    <row r="21" spans="2:41" ht="17.25" hidden="1" customHeight="1">
      <c r="B21" s="1012"/>
      <c r="C21" s="713"/>
      <c r="D21" s="48"/>
      <c r="E21" s="24" t="e">
        <f>IF(LEFT(D28,2)="SE","",'Configurable Items'!#REF!)</f>
        <v>#REF!</v>
      </c>
      <c r="F21" s="32"/>
      <c r="G21" s="32"/>
      <c r="H21" s="32"/>
      <c r="I21" s="32"/>
      <c r="J21" s="24" t="s">
        <v>18</v>
      </c>
      <c r="L21" s="32"/>
      <c r="M21" s="32"/>
      <c r="Q21" s="37"/>
      <c r="R21" s="834"/>
      <c r="S21" s="37"/>
      <c r="T21" s="714"/>
      <c r="U21" s="1013"/>
      <c r="W21" s="32"/>
      <c r="X21" s="42"/>
      <c r="AD21" s="31"/>
      <c r="AE21" s="31"/>
      <c r="AL21" s="31"/>
    </row>
    <row r="22" spans="2:41" ht="17.25" hidden="1" customHeight="1">
      <c r="B22" s="1012"/>
      <c r="C22" s="713"/>
      <c r="D22" s="24"/>
      <c r="E22" s="24" t="e">
        <f>IF(LEFT(D28,2)="SE","",'Configurable Items'!#REF!)</f>
        <v>#REF!</v>
      </c>
      <c r="F22" s="32"/>
      <c r="G22" s="32"/>
      <c r="H22" s="24" t="s">
        <v>34</v>
      </c>
      <c r="I22" s="32"/>
      <c r="J22" s="24" t="s">
        <v>2</v>
      </c>
      <c r="L22" s="32"/>
      <c r="M22" s="32"/>
      <c r="Q22" s="37"/>
      <c r="R22" s="834"/>
      <c r="S22" s="37"/>
      <c r="T22" s="714"/>
      <c r="U22" s="1013"/>
      <c r="W22" s="32"/>
      <c r="X22" s="42"/>
      <c r="AD22" s="31"/>
      <c r="AE22" s="31"/>
      <c r="AL22" s="31"/>
    </row>
    <row r="23" spans="2:41" ht="17.25" hidden="1" customHeight="1">
      <c r="B23" s="1012"/>
      <c r="C23" s="713"/>
      <c r="D23" s="24" t="s">
        <v>58</v>
      </c>
      <c r="E23" s="24" t="str">
        <f>IF(LEFT(D28,2)="SE",'Configurable Items'!D4753,'Configurable Items'!D4756)</f>
        <v>Select Type</v>
      </c>
      <c r="F23" s="32"/>
      <c r="G23" s="32"/>
      <c r="H23" s="842" t="s">
        <v>35</v>
      </c>
      <c r="I23" s="32"/>
      <c r="J23" s="24" t="s">
        <v>19</v>
      </c>
      <c r="L23" s="32"/>
      <c r="M23" s="32"/>
      <c r="Q23" s="37"/>
      <c r="R23" s="834"/>
      <c r="S23" s="37"/>
      <c r="T23" s="714"/>
      <c r="U23" s="1013"/>
      <c r="W23" s="32"/>
      <c r="X23" s="42"/>
      <c r="AD23" s="31"/>
      <c r="AE23" s="31"/>
      <c r="AL23" s="31"/>
    </row>
    <row r="24" spans="2:41" ht="17.25" hidden="1" customHeight="1">
      <c r="B24" s="1012"/>
      <c r="C24" s="713"/>
      <c r="D24" s="24" t="str">
        <f>IF($D$11="","Other",$D$11)</f>
        <v>Other</v>
      </c>
      <c r="E24" s="24" t="str">
        <f>IF(LEFT(D28,2)="SE",'Configurable Items'!D4754,'Configurable Items'!D4757)</f>
        <v>Taxable Sacrifice</v>
      </c>
      <c r="F24" s="24" t="b">
        <v>1</v>
      </c>
      <c r="G24" s="24"/>
      <c r="H24" s="842" t="s">
        <v>51</v>
      </c>
      <c r="I24" s="24" t="b">
        <v>1</v>
      </c>
      <c r="J24" s="24" t="s">
        <v>20</v>
      </c>
      <c r="L24" s="32"/>
      <c r="M24" s="32"/>
      <c r="Q24" s="37"/>
      <c r="R24" s="834"/>
      <c r="S24" s="37"/>
      <c r="T24" s="714"/>
      <c r="U24" s="1013"/>
      <c r="W24" s="32"/>
      <c r="X24" s="42"/>
      <c r="AD24" s="31"/>
      <c r="AE24" s="31"/>
      <c r="AL24" s="31"/>
    </row>
    <row r="25" spans="2:41" ht="17.25" hidden="1" customHeight="1">
      <c r="B25" s="1012"/>
      <c r="C25" s="713"/>
      <c r="D25" s="24">
        <f>$D$10</f>
        <v>0</v>
      </c>
      <c r="E25" s="24" t="str">
        <f>IF(LEFT(D28,2)="SE",'Configurable Items'!D4755,'Configurable Items'!D4758)</f>
        <v>Non-Taxable Sacrifice</v>
      </c>
      <c r="F25" s="24" t="b">
        <v>0</v>
      </c>
      <c r="G25" s="842"/>
      <c r="H25" s="842" t="s">
        <v>59</v>
      </c>
      <c r="I25" s="842" t="b">
        <v>0</v>
      </c>
      <c r="J25" s="842" t="s">
        <v>60</v>
      </c>
      <c r="L25" s="32"/>
      <c r="M25" s="32"/>
      <c r="Q25" s="37"/>
      <c r="R25" s="834"/>
      <c r="S25" s="37"/>
      <c r="T25" s="714"/>
      <c r="U25" s="1013"/>
      <c r="W25" s="32"/>
      <c r="X25" s="42"/>
      <c r="AD25" s="31"/>
      <c r="AE25" s="31"/>
      <c r="AL25" s="31"/>
    </row>
    <row r="26" spans="2:41" ht="17.25" customHeight="1">
      <c r="B26" s="1012"/>
      <c r="C26" s="1349">
        <f>D26</f>
        <v>0</v>
      </c>
      <c r="D26" s="911"/>
      <c r="E26" s="930" t="str">
        <f>IF(OR(D28="SE - Sole Trader",D28="SE - Dual App",D28 = "SE - RM Verified"),"Gross Annual Income",
IF(D28="SE - Company Wages","ATO Income","Salary"))</f>
        <v>Salary</v>
      </c>
      <c r="F26" s="1026"/>
      <c r="G26" s="910"/>
      <c r="H26" s="924"/>
      <c r="I26" s="718"/>
      <c r="J26" s="1484"/>
      <c r="K26" s="1484"/>
      <c r="L26" s="929"/>
      <c r="M26" s="929"/>
      <c r="N26" s="1369" t="b">
        <v>0</v>
      </c>
      <c r="O26" s="918"/>
      <c r="P26" s="836"/>
      <c r="Q26" s="931">
        <f>IF(E26&lt;&gt;"Salary",
IF(E26="ATO Income",IF(X26+X27=0,0,CONVERT_TO_MONTHLY(G26+G27,J26,X26+X27)),
CONVERT_TO_MONTHLY(G26,J26)),
IF(AND((LEFT(D28,2)&lt;&gt;"SE"),OR(G26="",H26="",J26="")=TRUE)=TRUE,0,
CONVERT_TO_MONTHLY(EmploymentIncomeComponent(E26, D28, G26/(1+(IF(I26=TRUE,mandatorySuperannuationContributions,0))), H26, J26, 0, H165, D30, X26, G27/(1+(IF(I26=TRUE,mandatorySuperannuationContributions,0))), H27, J27, F27, G29/(1+(IF(I26=TRUE,mandatorySuperannuationContributions,0))), H29, J29, F29, G28/(1+(IF(I26=TRUE,mandatorySuperannuationContributions,0))), H28, J28, F28, FALSE),"annually")))</f>
        <v>0</v>
      </c>
      <c r="R26" s="47"/>
      <c r="S26" s="931">
        <f>Q26*AE26</f>
        <v>0</v>
      </c>
      <c r="T26" s="714"/>
      <c r="U26" s="1013"/>
      <c r="W26" s="1020">
        <f>Q26</f>
        <v>0</v>
      </c>
      <c r="X26" s="1021">
        <f>IF(J26="Year to Date",IF(AND(OR(L26="",M26=""),E26="ATO Income"),0,M26-L26+1),IF(J26="monthly",365/12,IF(J26="fortnightly",14,IF(J26="weekly",7,365))))</f>
        <v>365</v>
      </c>
      <c r="Y26" s="939" t="b">
        <f>IF(E26="","",VLOOKUP(E26,'Configurable Items'!$D$4734:$E$4758,2,FALSE))</f>
        <v>1</v>
      </c>
      <c r="AA26" s="938">
        <f>IF(D28="SE - RM Verified",1,IF(D28="SE - Dual Application",1,0))</f>
        <v>0</v>
      </c>
      <c r="AB26" s="1020">
        <f>IF(Y26=TRUE,IF(LEFT(D28,2)="SE",S26,Q26),0)</f>
        <v>0</v>
      </c>
      <c r="AC26" s="1023">
        <f>IF(LEFT(D28,2)="SE",S26,Q26)</f>
        <v>0</v>
      </c>
      <c r="AD26" s="31"/>
      <c r="AE26" s="1375" cm="1">
        <f t="array" ref="AE26">SE_NPBT_Volatility(D28, $AC$10, IF(D28="SE - Sole Trader",G26,IF(D28="SE - Company",G31,G34)), IF(D28="SE - Sole Trader",O26,IF(D28="SE - Company",O31,O34)),1)</f>
        <v>1</v>
      </c>
      <c r="AK26" s="931" cm="1">
        <f t="array" ref="AK26">IF(AL26=0,0,IF(LEFT(D28,2)="SE",AL26*(Q26/SUM(Q26:Q27)),
CONVERT_TO_MONTHLY(EmploymentIncomeComponent(E26, D28, G26/(1+(IF(I26=TRUE,mandatorySuperannuationContributions,0))), H26, J26, 0, H127, D30, X26, G27/(1+(IF(I26=TRUE,mandatorySuperannuationContributions,0))), H27, J27, F27, G29/(1+(IF(I26=TRUE,mandatorySuperannuationContributions,0))), H29, J29, F29, G28/(1+(IF(I26=TRUE,mandatorySuperannuationContributions,0))), H28, J28, F28, TRUE),"annually")))</f>
        <v>0</v>
      </c>
      <c r="AL26" s="52">
        <f>AN26+AO26</f>
        <v>0</v>
      </c>
      <c r="AN26" s="537">
        <f>IF(LEFT(D28,2)="SE",CONVERT_TO_NET(SUM(Q26:Q27)*12, TRUE, IF(ISBLANK($D$11),1,2), $E$10+$E$11)/12,
IF(H30="Taxable",CONVERT_TO_NET(SUM(Q26:Q30)*12, TRUE, IF(ISBLANK($D$11),1,2), $E$10+$E$11)/12,CONVERT_TO_NET(SUM(Q26:Q29)*12, TRUE, IF(ISBLANK($D$11),1,2), $E$10+$E$11)/12))</f>
        <v>0</v>
      </c>
      <c r="AO26" s="537">
        <f>IF(LEFT(D28,2)="SE",0,
IF(H30="Taxable",0,Q30))</f>
        <v>0</v>
      </c>
    </row>
    <row r="27" spans="2:41" ht="17.25" customHeight="1">
      <c r="B27" s="1012"/>
      <c r="C27" s="1356">
        <f>D26</f>
        <v>0</v>
      </c>
      <c r="D27" s="36" t="s">
        <v>8963</v>
      </c>
      <c r="E27" s="1346" t="str">
        <f>IF(OR(D28="SE - Sole Trader",D28="SE - RM Verified",D28="SE - Dual App"),"",
IF(OR(D28="SE - Partnership",D28="SE - Trust (Ind ATF)",D28="SE - Trust (Comp ATF)"),"Distribution",
IF(D28="SE - Company","Dividends",
IF(D28="SE - Company Wages","Prior Year ATO Income",
"Bonus"))))</f>
        <v>Bonus</v>
      </c>
      <c r="F27" s="718"/>
      <c r="G27" s="910"/>
      <c r="H27" s="924"/>
      <c r="I27" s="718"/>
      <c r="J27" s="1485"/>
      <c r="K27" s="1485"/>
      <c r="L27" s="929"/>
      <c r="M27" s="929"/>
      <c r="N27" s="836"/>
      <c r="O27" s="836"/>
      <c r="P27" s="836"/>
      <c r="Q27" s="931">
        <f>IF(E27="",0,
IF(E27="Prior Year ATO Income",0,
IF(E27="Bonus",
CONVERT_TO_MONTHLY(EmploymentIncomeComponent(E27, D28, G26/(1+(IF(I26=TRUE,mandatorySuperannuationContributions,0))), H26, J26, 0, H127, D30, X26, G27/(1+(IF(I26=TRUE,mandatorySuperannuationContributions,0))), H27, J27, F27, G29/(1+(IF(I26=TRUE,mandatorySuperannuationContributions,0))), H29, J29, F29, G28/(1+(IF(I26=TRUE,mandatorySuperannuationContributions,0))), H28, J28, F28, FALSE),"annually"),CONVERT_TO_MONTHLY(G27,J27))))</f>
        <v>0</v>
      </c>
      <c r="R27" s="47"/>
      <c r="S27" s="931">
        <f>IF(E27="",0,
IF(G27="",0,
IF(E27="Bonus",CONVERT_TO_MONTHLY(Sensitise_Income(CONVERT_TO_ANNUALLY(Q27,"Monthly"), VLOOKUP(D26,$D$122:$H$123,5,FALSE), BONUS_SENSITIVITY_MULTIPLIER, 0, 0,FALSE),"Annually"),Q27*AE27)))</f>
        <v>0</v>
      </c>
      <c r="T27" s="714"/>
      <c r="U27" s="1013"/>
      <c r="W27" s="1020">
        <f>Q27</f>
        <v>0</v>
      </c>
      <c r="X27" s="1021">
        <f>IF(J27="Year to Date",IF(OR(L27="",M27=""),0,M27-L27+1),IF(J27="monthly",365/12,IF(J27="fortnightly",14,IF(J27="weekly",7,365))))</f>
        <v>365</v>
      </c>
      <c r="Y27" s="939" t="b">
        <f>IF(E27="","",VLOOKUP(E27,'Configurable Items'!$D$4734:$E$4758,2,FALSE))</f>
        <v>1</v>
      </c>
      <c r="Z27" s="34"/>
      <c r="AB27" s="1020">
        <f>IF(Y27=TRUE,IF(LEFT(D28,2)="SE",S27,Q27),0)</f>
        <v>0</v>
      </c>
      <c r="AC27" s="1023">
        <f>IF(LEFT(D28,2)="SE",S27,Q27)</f>
        <v>0</v>
      </c>
      <c r="AD27" s="31"/>
      <c r="AE27" s="1375" cm="1">
        <f t="array" ref="AE27">SE_NPBT_Volatility(D28, $AC$10, IF(D28="SE - Sole Trader",G26,IF(D28="SE - Company",G31,G34)), IF(D28="SE - Sole Trader",O26,IF(D28="SE - Company",O31,O34)),2)</f>
        <v>1</v>
      </c>
      <c r="AK27" s="931" cm="1">
        <f t="array" ref="AK27">IF(AL26=0,0,IF(LEFT(D28,2)="SE",IF(Q27="","",AL26*(Q27/SUM(Q26:Q27))),
CONVERT_TO_MONTHLY(EmploymentIncomeComponent(E27, D28, G26/(1+(IF(I26=TRUE,mandatorySuperannuationContributions,0))), H26, J26, 0, H127, D30, X26, G27/(1+(IF(I26=TRUE,mandatorySuperannuationContributions,0))), H27, J27, F27, G29/(1+(IF(I26=TRUE,mandatorySuperannuationContributions,0))), H29, J29, F29, G28/(1+(IF(I26=TRUE,mandatorySuperannuationContributions,0))), H28, J28, F28, TRUE),"annually")))</f>
        <v>0</v>
      </c>
    </row>
    <row r="28" spans="2:41" ht="17.25" customHeight="1">
      <c r="B28" s="1012"/>
      <c r="C28" s="1349">
        <f>D26</f>
        <v>0</v>
      </c>
      <c r="D28" s="924"/>
      <c r="E28" s="1346" t="str">
        <f>IF(D28="SE - Company Wages","Payslip",
IF(OR(D28="SE - Dual App",D28="SE - RM Verified"),"",
IF(LEFT(D28,2)="SE","Interest",
"Commission")))</f>
        <v>Commission</v>
      </c>
      <c r="F28" s="718"/>
      <c r="G28" s="910"/>
      <c r="H28" s="924"/>
      <c r="I28" s="718"/>
      <c r="J28" s="1484"/>
      <c r="K28" s="1484"/>
      <c r="L28" s="843" t="str">
        <f>IF(AND(E28="Payslip",Q26&gt;0,G28=""),"  Enter Amount",
IF(AND(Q26=0,E28="Payslip"), "  Enter ATO Income",
IF(AND(Q26&gt;0,E28="Payslip",OR(AD28&lt;Q26*0.85,AD28&gt;Q26*1.15)),"  Inconsistent income, enquire and capture in app notes","")))</f>
        <v/>
      </c>
      <c r="M28" s="3"/>
      <c r="N28" s="836"/>
      <c r="O28" s="836"/>
      <c r="P28" s="836"/>
      <c r="Q28" s="931">
        <f>IF(OR(E28="",E28="Payslip"),0,IF(E28="Commission",CONVERT_TO_MONTHLY(EmploymentIncomeComponent(E28, D28, G26/(1+(IF(I26=TRUE,mandatorySuperannuationContributions,0))), H26, J26, 0, H127, D30, X26, G27/(1+(IF(I26=TRUE,mandatorySuperannuationContributions,0))), H27, J27, F27, G29/(1+(IF(I26=TRUE,mandatorySuperannuationContributions,0))), H29, J29, F29, G28/(1+(IF(I26=TRUE,mandatorySuperannuationContributions,0))), H28, J28, F28, FALSE),"annually"),CONVERT_TO_MONTHLY(G28,J28)*D30))</f>
        <v>0</v>
      </c>
      <c r="R28" s="47"/>
      <c r="S28" s="931">
        <f>IF(E28="",0,
IF(G28="",0,
IF(E28="Commission",CONVERT_TO_MONTHLY(Sensitise_Income(CONVERT_TO_ANNUALLY(Q28,"Monthly"), VLOOKUP(D26,$D$122:$H$123,5,FALSE), COMMISSION_SENSITIVITY_MULTIPLIER, 0, 0,FALSE),"Annually"),Q28)))</f>
        <v>0</v>
      </c>
      <c r="T28" s="714"/>
      <c r="U28" s="1013"/>
      <c r="W28" s="931">
        <f>IF(LEFT(D28,2)="SE",IF(Y28=TRUE,Q28,0),Q28)</f>
        <v>0</v>
      </c>
      <c r="Y28" s="939" t="b">
        <f>IF(OR(E28="",E28="Payslip"),"",VLOOKUP(E28,'Configurable Items'!$D$4734:$E$4758,2,FALSE))</f>
        <v>1</v>
      </c>
      <c r="AA28" s="54"/>
      <c r="AB28" s="1020">
        <f>IF(Y28=TRUE,IF(LEFT(D28,2)="SE",S28,Q28),0)</f>
        <v>0</v>
      </c>
      <c r="AC28" s="1023">
        <f>IF(LEFT(D28,2)="SE",S28,Q28)</f>
        <v>0</v>
      </c>
      <c r="AD28" s="1023" t="b" cm="1">
        <f t="array" ref="AD28">IF(E28="Payslip",IF(H28="After Tax",CONVERT_TO_MONTHLY(CONVERT_TO_GROSS(CONVERT_TO_ANNUALLY(G28,J28),TRUE,IF($D$11="",1,2),SUM($E$10:$E$11)),"Annually"),CONVERT_TO_MONTHLY(G28,J28)))</f>
        <v>0</v>
      </c>
      <c r="AE28" s="31"/>
      <c r="AK28" s="931" cm="1">
        <f t="array" ref="AK28">IF(AL26=0,0,IF(LEFT(D28,2)="SE","",
CONVERT_TO_MONTHLY(EmploymentIncomeComponent(E28, D28, G26/(1+(IF(I26=TRUE,mandatorySuperannuationContributions,0))), H26, J26, 0, H127, D30, X26, G27/(1+(IF(I26=TRUE,mandatorySuperannuationContributions,0))), H27, J27, F27, G29/(1+(IF(I26=TRUE,mandatorySuperannuationContributions,0))), H29, J29, F29, G28/(1+(IF(I26=TRUE,mandatorySuperannuationContributions,0))), H28, J28, F28, TRUE),"annually")))</f>
        <v>0</v>
      </c>
      <c r="AL28" s="31"/>
    </row>
    <row r="29" spans="2:41" ht="17.25" customHeight="1">
      <c r="B29" s="1012"/>
      <c r="C29" s="1349">
        <f>D26</f>
        <v>0</v>
      </c>
      <c r="D29" s="868"/>
      <c r="E29" s="1346" t="str">
        <f>IF(D28="SE - RM Verified","",
IF(LEFT(D28,2)="SE","Depreciation",
"Overtime"))</f>
        <v>Overtime</v>
      </c>
      <c r="F29" s="718"/>
      <c r="G29" s="910"/>
      <c r="H29" s="924"/>
      <c r="I29" s="718"/>
      <c r="J29" s="1484"/>
      <c r="K29" s="1484"/>
      <c r="L29" s="930"/>
      <c r="M29" s="928"/>
      <c r="N29" s="836"/>
      <c r="O29" s="836"/>
      <c r="P29" s="836"/>
      <c r="Q29" s="931">
        <f>IF(E29="",0,IF(E29="Overtime",CONVERT_TO_MONTHLY(EmploymentIncomeComponent(E29, D28, G26/(1+(IF(I26=TRUE,mandatorySuperannuationContributions,0))), H26, J26, 0, H127, D30, X26, G27/(1+(IF(I26=TRUE,mandatorySuperannuationContributions,0))), H27, J27, F27, G29/(1+(IF(I26=TRUE,mandatorySuperannuationContributions,0))), H29, J29, F29, G28/(1+(IF(I26=TRUE,mandatorySuperannuationContributions,0))), H28, J28, F28, FALSE),"annually"),CONVERT_TO_MONTHLY(G29,J29)*D30))</f>
        <v>0</v>
      </c>
      <c r="R29" s="47"/>
      <c r="S29" s="931">
        <f>IF(E29="",0,
IF(G29="",0,
IF(E29="Overtime",CONVERT_TO_MONTHLY(Sensitise_Income(CONVERT_TO_ANNUALLY(Q29,"Monthly"), VLOOKUP(D26,$D$122:$H$123,5,FALSE), COMMISSION_SENSITIVITY_MULTIPLIER, 0, 0,M29),"Annually"),Q29)))</f>
        <v>0</v>
      </c>
      <c r="T29" s="714"/>
      <c r="U29" s="1013"/>
      <c r="W29" s="931">
        <f>IF(LEFT(D28,2)="SE",0,Q29)</f>
        <v>0</v>
      </c>
      <c r="Y29" s="939" t="b">
        <f>IF(E29="","",VLOOKUP(E29,'Configurable Items'!$D$4734:$E$4758,2,FALSE))</f>
        <v>1</v>
      </c>
      <c r="AB29" s="1020">
        <f>IF(Y29=TRUE,IF(LEFT(D28,2)="SE",S29,Q29),0)</f>
        <v>0</v>
      </c>
      <c r="AC29" s="1023">
        <f>IF(LEFT(D28,2)="SE",S29,Q29)</f>
        <v>0</v>
      </c>
      <c r="AD29" s="31"/>
      <c r="AE29" s="31"/>
      <c r="AK29" s="931" cm="1">
        <f t="array" ref="AK29">IF(AL26=0,0,IF(LEFT(D28,2)="SE","",
CONVERT_TO_MONTHLY(EmploymentIncomeComponent(E29, D28, G26/(1+(IF(I26=TRUE,mandatorySuperannuationContributions,0))), H26, J26, 0, H127, D30, X26, G27/(1+(IF(I26=TRUE,mandatorySuperannuationContributions,0))), H27, J27, F27, G29/(1+(IF(I26=TRUE,mandatorySuperannuationContributions,0))), H29, J29, F29, G28/(1+(IF(I26=TRUE,mandatorySuperannuationContributions,0))), H28, J28, F28, TRUE),"annually")))</f>
        <v>0</v>
      </c>
      <c r="AL29" s="31"/>
    </row>
    <row r="30" spans="2:41" ht="17.25" hidden="1" customHeight="1">
      <c r="B30" s="1012"/>
      <c r="C30" s="1349">
        <f>D26</f>
        <v>0</v>
      </c>
      <c r="D30" s="1369">
        <v>1</v>
      </c>
      <c r="E30" s="930" t="s">
        <v>8967</v>
      </c>
      <c r="F30" s="928"/>
      <c r="G30" s="910"/>
      <c r="H30" s="930" t="str">
        <f>VLOOKUP(E30,'Configurable Items'!$D$4734:$F$4758,3,FALSE)</f>
        <v/>
      </c>
      <c r="I30" s="928"/>
      <c r="J30" s="1485"/>
      <c r="K30" s="1485"/>
      <c r="L30" s="3"/>
      <c r="M30" s="3"/>
      <c r="N30" s="836"/>
      <c r="O30" s="836"/>
      <c r="P30" s="836"/>
      <c r="Q30" s="931">
        <f>IF(E30= "Select Type",0,IF(E30="",0,IF(J30="Year to Date",CONVERT_TO_MONTHLY(G30,J30,X26),CONVERT_TO_MONTHLY(G30,J30))*IF(LEFT(D28,2)="SE",D30,1)))</f>
        <v>0</v>
      </c>
      <c r="R30" s="47"/>
      <c r="S30" s="931">
        <f>Q30</f>
        <v>0</v>
      </c>
      <c r="T30" s="714"/>
      <c r="U30" s="1013"/>
      <c r="W30" s="931">
        <f>Q30</f>
        <v>0</v>
      </c>
      <c r="Y30" s="1022" t="b">
        <f>IF(H30="",IF(E30="",TRUE,VLOOKUP(E30,'Configurable Items'!$D$4734:$E$4758,2,FALSE)),IF(H30="Taxable",TRUE,FALSE))</f>
        <v>1</v>
      </c>
      <c r="Z30" s="1023">
        <f>IF(E30="Personal Tax Deduction",G30,0)</f>
        <v>0</v>
      </c>
      <c r="AB30" s="1020">
        <f>IF(Y30=TRUE,IF(LEFT(D28,2)="SE",S30,Q30),0)</f>
        <v>0</v>
      </c>
      <c r="AC30" s="1023">
        <f>IF(LEFT(D28,2)="SE",S30,Q30)</f>
        <v>0</v>
      </c>
      <c r="AD30" s="31"/>
      <c r="AE30" s="31"/>
      <c r="AK30" s="931">
        <f>IF(AL26=0,0,IF(LEFT(D28,2)="SE","",
IF(H30="Taxable",AN26-SUM(AK26:AK29),Q30)))</f>
        <v>0</v>
      </c>
    </row>
    <row r="31" spans="2:41" ht="17.25" hidden="1" customHeight="1">
      <c r="B31" s="1012"/>
      <c r="C31" s="1349">
        <f>D26</f>
        <v>0</v>
      </c>
      <c r="D31" s="844"/>
      <c r="E31" s="1348" t="s">
        <v>8977</v>
      </c>
      <c r="F31" s="928"/>
      <c r="G31" s="910"/>
      <c r="H31" s="930" t="str">
        <f>VLOOKUP(E31,'Configurable Items'!$D$4734:$F$4758,3,FALSE)</f>
        <v/>
      </c>
      <c r="I31" s="928"/>
      <c r="J31" s="1485"/>
      <c r="K31" s="1485"/>
      <c r="L31" s="3"/>
      <c r="M31" s="3"/>
      <c r="N31" s="836"/>
      <c r="O31" s="836"/>
      <c r="P31" s="836"/>
      <c r="Q31" s="931">
        <f>IF(E31= "Select Type",0,IF(E31="",0,IF(J31="Year to Date",CONVERT_TO_MONTHLY(G31,J31,X26),CONVERT_TO_MONTHLY(G31,J31))*IF(LEFT(D28,2)="SE",D30,1)))</f>
        <v>0</v>
      </c>
      <c r="R31" s="47"/>
      <c r="S31" s="931">
        <f>Q31*AE31</f>
        <v>0</v>
      </c>
      <c r="T31" s="714"/>
      <c r="U31" s="1013"/>
      <c r="W31" s="931">
        <f>IF(LEFT(D28,2)="SE",IF(Y31=TRUE,Q31,0),Q31)</f>
        <v>0</v>
      </c>
      <c r="Y31" s="1022" t="b">
        <f>IF(H31="",IF(E31="",TRUE,VLOOKUP(E31,'Configurable Items'!$D$4734:$E$4758,2,FALSE)),IF(H31="Taxable",TRUE,FALSE))</f>
        <v>0</v>
      </c>
      <c r="Z31" s="1023">
        <f>IF(E31="Personal Tax Deduction",G31,0)</f>
        <v>0</v>
      </c>
      <c r="AB31" s="1020">
        <f>IF(Y31=TRUE,IF(LEFT(D28,2)="SE",S31,Q31),0)</f>
        <v>0</v>
      </c>
      <c r="AC31" s="1023">
        <f>IF(LEFT(D28,2)="SE",S31,Q31)</f>
        <v>0</v>
      </c>
      <c r="AD31" s="31"/>
      <c r="AE31" s="1375" cm="1">
        <f t="array" ref="AE31">SE_NPBT_Volatility(D28, $AC$10, IF(D28="SE - Sole Trader",G26,IF(D28="SE - Company",G31,G34)), IF(D28="SE - Sole Trader",O26,IF(D28="SE - Company",O31,O34)),6)</f>
        <v>1</v>
      </c>
      <c r="AK31" s="1352"/>
    </row>
    <row r="32" spans="2:41" ht="17.25" hidden="1" customHeight="1">
      <c r="B32" s="1012"/>
      <c r="C32" s="1349">
        <f>D26</f>
        <v>0</v>
      </c>
      <c r="D32" s="844"/>
      <c r="E32" s="1348" t="s">
        <v>8977</v>
      </c>
      <c r="F32" s="928"/>
      <c r="G32" s="910"/>
      <c r="H32" s="930" t="str">
        <f>VLOOKUP(E32,'Configurable Items'!$D$4734:$F$4758,3,FALSE)</f>
        <v/>
      </c>
      <c r="I32" s="928"/>
      <c r="J32" s="1485"/>
      <c r="K32" s="1485"/>
      <c r="L32" s="3"/>
      <c r="M32" s="3"/>
      <c r="N32" s="836"/>
      <c r="O32" s="836"/>
      <c r="P32" s="836"/>
      <c r="Q32" s="931">
        <f>IF(E32= "Select Type",0,IF(E32="",0,IF(J32="Year to Date",CONVERT_TO_MONTHLY(G32,J32,X26),CONVERT_TO_MONTHLY(G32,J32))*IF(LEFT(D28,2)="SE",D30,1)))</f>
        <v>0</v>
      </c>
      <c r="R32" s="47"/>
      <c r="S32" s="931">
        <f>Q32</f>
        <v>0</v>
      </c>
      <c r="T32" s="714"/>
      <c r="U32" s="1013"/>
      <c r="W32" s="931">
        <f>IF(LEFT(D28,2)="SE",IF(Y32=TRUE,Q32,0),Q32)</f>
        <v>0</v>
      </c>
      <c r="Y32" s="1022" t="b">
        <f>IF(H32="",IF(E32="",TRUE,VLOOKUP(E32,'Configurable Items'!$D$4734:$E$4758,2,FALSE)),IF(H32="Taxable",TRUE,FALSE))</f>
        <v>0</v>
      </c>
      <c r="Z32" s="1023">
        <f>IF(E32="Personal Tax Deduction",G32,0)</f>
        <v>0</v>
      </c>
      <c r="AB32" s="1020">
        <f>IF(Y32=TRUE,IF(LEFT(D28,2)="SE",S32,Q32),0)</f>
        <v>0</v>
      </c>
      <c r="AC32" s="1023">
        <f>IF(LEFT(D28,2)="SE",S32,Q32)</f>
        <v>0</v>
      </c>
      <c r="AD32" s="31"/>
      <c r="AE32" s="31"/>
      <c r="AK32" s="1352"/>
    </row>
    <row r="33" spans="2:38" ht="17.25" hidden="1" customHeight="1">
      <c r="B33" s="1012"/>
      <c r="C33" s="1349">
        <f>D26</f>
        <v>0</v>
      </c>
      <c r="D33" s="844"/>
      <c r="E33" s="1348" t="s">
        <v>8977</v>
      </c>
      <c r="F33" s="928"/>
      <c r="G33" s="910"/>
      <c r="H33" s="930" t="str">
        <f>VLOOKUP(E33,'Configurable Items'!$D$4734:$F$4758,3,FALSE)</f>
        <v/>
      </c>
      <c r="I33" s="928"/>
      <c r="J33" s="1485"/>
      <c r="K33" s="1485"/>
      <c r="L33" s="3"/>
      <c r="M33" s="3"/>
      <c r="N33" s="836"/>
      <c r="O33" s="836"/>
      <c r="P33" s="836"/>
      <c r="Q33" s="931">
        <f>IF(E33= "Select Type",0,IF(E33="",0,IF(J33="Year to Date",CONVERT_TO_MONTHLY(G33,J33,X26),CONVERT_TO_MONTHLY(G33,J33))*IF(LEFT(D28,2)="SE",D30,1)))</f>
        <v>0</v>
      </c>
      <c r="R33" s="47"/>
      <c r="S33" s="931">
        <f>Q33</f>
        <v>0</v>
      </c>
      <c r="T33" s="714"/>
      <c r="U33" s="1013"/>
      <c r="W33" s="931">
        <f>IF(LEFT(D28,2)="SE",IF(Y33=TRUE,Q33,0),Q33)</f>
        <v>0</v>
      </c>
      <c r="Y33" s="1022" t="b">
        <f>IF(H33="",IF(E33="",TRUE,VLOOKUP(E33,'Configurable Items'!$D$4734:$E$4758,2,FALSE)),IF(H33="Taxable",TRUE,FALSE))</f>
        <v>0</v>
      </c>
      <c r="Z33" s="1023">
        <f>IF(E33="Personal Tax Deduction",G33,0)</f>
        <v>0</v>
      </c>
      <c r="AB33" s="1020">
        <f>IF(Y33=TRUE,IF(LEFT(D28,2)="SE",S33,Q33),0)</f>
        <v>0</v>
      </c>
      <c r="AC33" s="1023">
        <f>IF(LEFT(D28,2)="SE",S33,Q33)</f>
        <v>0</v>
      </c>
      <c r="AD33" s="31"/>
      <c r="AE33" s="31"/>
      <c r="AK33" s="1352"/>
    </row>
    <row r="34" spans="2:38" ht="17.25" hidden="1" customHeight="1">
      <c r="B34" s="1012"/>
      <c r="C34" s="1349">
        <f>D26</f>
        <v>0</v>
      </c>
      <c r="D34" s="844"/>
      <c r="E34" s="1348" t="s">
        <v>8977</v>
      </c>
      <c r="F34" s="928"/>
      <c r="G34" s="910"/>
      <c r="H34" s="930" t="str">
        <f>VLOOKUP(E34,'Configurable Items'!$D$4734:$F$4758,3,FALSE)</f>
        <v/>
      </c>
      <c r="I34" s="928"/>
      <c r="J34" s="1485"/>
      <c r="K34" s="1485"/>
      <c r="L34" s="3"/>
      <c r="M34" s="3"/>
      <c r="N34" s="836"/>
      <c r="O34" s="836"/>
      <c r="P34" s="836"/>
      <c r="Q34" s="931">
        <f>IF(E34= "Select Type",0,IF(E34="",0,IF(J34="Year to Date",CONVERT_TO_MONTHLY(G34,J34,X26),
CONVERT_TO_MONTHLY(G34,J34))*AE34))</f>
        <v>0</v>
      </c>
      <c r="R34" s="47"/>
      <c r="S34" s="931">
        <f>Q34</f>
        <v>0</v>
      </c>
      <c r="T34" s="714"/>
      <c r="U34" s="1013"/>
      <c r="W34" s="931">
        <f>IF(LEFT(D28,2)="SE",IF(Y34=TRUE,Q34,0),Q34)</f>
        <v>0</v>
      </c>
      <c r="Y34" s="1022" t="b">
        <f>IF(H34="",IF(E34="",TRUE,VLOOKUP(E34,'Configurable Items'!$D$4734:$E$4758,2,FALSE)),IF(H34="Taxable",TRUE,FALSE))</f>
        <v>0</v>
      </c>
      <c r="Z34" s="1023">
        <f>IF(E34="Personal Tax Deduction",G34,0)</f>
        <v>0</v>
      </c>
      <c r="AB34" s="1020">
        <f>IF(Y34=TRUE,IF(LEFT(D28,2)="SE",S34,Q34),0)</f>
        <v>0</v>
      </c>
      <c r="AC34" s="1023">
        <f>IF(LEFT(D28,2)="SE",S34,Q34)</f>
        <v>0</v>
      </c>
      <c r="AD34" s="31"/>
      <c r="AE34" s="1375">
        <f>IF(OR(D28="SE - Partnership",D28="SE - Trust (Comp ATF)", D28 = "SE - Trust (Ind ATF)"),0,1)</f>
        <v>1</v>
      </c>
      <c r="AK34" s="1352"/>
    </row>
    <row r="35" spans="2:38" ht="17.25" customHeight="1">
      <c r="B35" s="1012"/>
      <c r="C35" s="903"/>
      <c r="D35" s="845"/>
      <c r="E35" s="1347"/>
      <c r="F35" s="1353" t="str" cm="1">
        <f t="array" ref="F35">IF(Employment_Message(D28, D30, G26:G34, O26:O34,$AC$10, AE35)=0,"",Employment_Message(D28, D30, G26:G34, O26:O34,$AC$10, AE35))</f>
        <v/>
      </c>
      <c r="G35" s="861"/>
      <c r="H35" s="1009"/>
      <c r="I35" s="534"/>
      <c r="J35" s="534"/>
      <c r="K35" s="845"/>
      <c r="L35" s="3"/>
      <c r="M35" s="3"/>
      <c r="N35" s="846"/>
      <c r="O35" s="846"/>
      <c r="P35" s="846"/>
      <c r="Q35" s="847"/>
      <c r="R35" s="848"/>
      <c r="S35" s="847"/>
      <c r="T35" s="714"/>
      <c r="U35" s="1013"/>
      <c r="W35" s="55"/>
      <c r="AD35" s="31"/>
      <c r="AE35" s="1375">
        <f>MIN(AE26:AE31)</f>
        <v>1</v>
      </c>
      <c r="AJ35" s="31"/>
    </row>
    <row r="36" spans="2:38" ht="3.75" customHeight="1">
      <c r="B36" s="1012"/>
      <c r="C36" s="903"/>
      <c r="D36" s="845"/>
      <c r="E36" s="1016"/>
      <c r="F36" s="534"/>
      <c r="G36" s="861"/>
      <c r="H36" s="1009"/>
      <c r="I36" s="534"/>
      <c r="J36" s="534"/>
      <c r="K36" s="845"/>
      <c r="L36" s="3"/>
      <c r="M36" s="3"/>
      <c r="N36" s="846"/>
      <c r="O36" s="846"/>
      <c r="P36" s="846"/>
      <c r="Q36" s="847"/>
      <c r="R36" s="848"/>
      <c r="S36" s="847"/>
      <c r="T36" s="714"/>
      <c r="U36" s="1013"/>
      <c r="W36" s="55"/>
      <c r="AD36" s="31"/>
      <c r="AE36" s="31"/>
      <c r="AJ36" s="31"/>
    </row>
    <row r="37" spans="2:38" ht="16.5" customHeight="1">
      <c r="B37" s="1012"/>
      <c r="C37" s="713"/>
      <c r="D37" s="3"/>
      <c r="E37" s="3"/>
      <c r="F37" s="3"/>
      <c r="G37" s="3"/>
      <c r="H37" s="3"/>
      <c r="I37" s="3"/>
      <c r="J37" s="3"/>
      <c r="K37" s="3"/>
      <c r="L37" s="3"/>
      <c r="M37" s="3"/>
      <c r="N37" s="3"/>
      <c r="O37" s="3"/>
      <c r="P37" s="3"/>
      <c r="Q37" s="56">
        <f t="array" ref="Q37">SUM(ROUND(Q18:Q36,2))</f>
        <v>0</v>
      </c>
      <c r="R37" s="839"/>
      <c r="S37" s="56">
        <f t="array" ref="S37">SUM(ROUND(S18:S36,2))</f>
        <v>0</v>
      </c>
      <c r="T37" s="714"/>
      <c r="U37" s="1013"/>
      <c r="AA37" s="74"/>
      <c r="AC37" s="56">
        <f t="array" ref="AC37">SUM(ROUND(AC18:AC36,2))</f>
        <v>0</v>
      </c>
      <c r="AD37" s="31"/>
      <c r="AE37" s="31"/>
      <c r="AJ37" s="31"/>
    </row>
    <row r="38" spans="2:38" ht="16.5" customHeight="1">
      <c r="B38" s="1012"/>
      <c r="C38" s="904"/>
      <c r="D38" s="7" t="s">
        <v>61</v>
      </c>
      <c r="G38" s="32"/>
      <c r="H38" s="32"/>
      <c r="I38" s="32"/>
      <c r="J38" s="32"/>
      <c r="K38" s="32"/>
      <c r="M38" s="34"/>
      <c r="N38" s="34"/>
      <c r="O38" s="34"/>
      <c r="P38" s="34"/>
      <c r="Q38" s="838"/>
      <c r="R38" s="493"/>
      <c r="S38" s="838"/>
      <c r="T38" s="714"/>
      <c r="U38" s="1013"/>
      <c r="AA38" s="39" t="s">
        <v>62</v>
      </c>
      <c r="AB38" s="39" t="s">
        <v>63</v>
      </c>
      <c r="AC38" s="39"/>
      <c r="AD38" s="39" t="s">
        <v>64</v>
      </c>
      <c r="AE38" s="39"/>
      <c r="AF38" s="39" t="s">
        <v>65</v>
      </c>
      <c r="AG38" s="39" t="s">
        <v>66</v>
      </c>
      <c r="AH38" s="39"/>
      <c r="AJ38" s="31"/>
    </row>
    <row r="39" spans="2:38" ht="16.5" customHeight="1">
      <c r="B39" s="1012"/>
      <c r="C39" s="713"/>
      <c r="D39" s="36" t="s">
        <v>41</v>
      </c>
      <c r="E39" s="36" t="s">
        <v>13</v>
      </c>
      <c r="F39" s="36" t="s">
        <v>67</v>
      </c>
      <c r="G39" s="36" t="s">
        <v>68</v>
      </c>
      <c r="H39" s="36" t="s">
        <v>15</v>
      </c>
      <c r="I39" s="36" t="s">
        <v>69</v>
      </c>
      <c r="J39" s="1482" t="s">
        <v>70</v>
      </c>
      <c r="K39" s="1482"/>
      <c r="L39" s="1482"/>
      <c r="M39" s="36" t="s">
        <v>71</v>
      </c>
      <c r="O39" s="850"/>
      <c r="P39" s="850"/>
      <c r="Q39" s="36" t="s">
        <v>47</v>
      </c>
      <c r="R39" s="47"/>
      <c r="S39" s="39" t="s">
        <v>48</v>
      </c>
      <c r="T39" s="714"/>
      <c r="U39" s="1013"/>
      <c r="W39" s="39" t="s">
        <v>49</v>
      </c>
      <c r="X39" s="39" t="s">
        <v>54</v>
      </c>
      <c r="Y39" s="39" t="s">
        <v>72</v>
      </c>
      <c r="Z39" s="39" t="s">
        <v>73</v>
      </c>
      <c r="AA39" s="39"/>
      <c r="AB39" s="39" t="str">
        <f>IF($D$10="","",$D$10)</f>
        <v/>
      </c>
      <c r="AC39" s="39" t="str">
        <f>IF($D$11="","",$D$11)</f>
        <v/>
      </c>
      <c r="AD39" s="39" t="str">
        <f>IF($D$10="","",$D$10)</f>
        <v/>
      </c>
      <c r="AE39" s="39" t="str">
        <f>IF($D$11="","",$D$11)</f>
        <v/>
      </c>
      <c r="AF39" s="39"/>
      <c r="AG39" s="39" t="str">
        <f>IF($D$10="","",$D$10)</f>
        <v/>
      </c>
      <c r="AH39" s="39" t="str">
        <f>IF($D$11="","",$D$11)</f>
        <v/>
      </c>
      <c r="AI39" s="39" t="s">
        <v>74</v>
      </c>
      <c r="AJ39" s="36" t="s">
        <v>51</v>
      </c>
      <c r="AK39" s="36" t="s">
        <v>9105</v>
      </c>
      <c r="AL39" s="39" t="s">
        <v>9106</v>
      </c>
    </row>
    <row r="40" spans="2:38" ht="16.5" hidden="1" customHeight="1">
      <c r="B40" s="1012"/>
      <c r="C40" s="713"/>
      <c r="D40" s="36"/>
      <c r="E40" s="24" t="s">
        <v>75</v>
      </c>
      <c r="F40" s="36"/>
      <c r="G40" s="36"/>
      <c r="H40" s="36"/>
      <c r="I40" s="36"/>
      <c r="J40" s="36"/>
      <c r="K40" s="36"/>
      <c r="N40" s="850"/>
      <c r="O40" s="850"/>
      <c r="P40" s="850"/>
      <c r="Q40" s="39"/>
      <c r="R40" s="47"/>
      <c r="S40" s="39"/>
      <c r="T40" s="714"/>
      <c r="U40" s="1013"/>
      <c r="W40" s="32"/>
      <c r="X40" s="32"/>
      <c r="Y40" s="32"/>
      <c r="AB40" s="32"/>
      <c r="AC40" s="32"/>
      <c r="AD40" s="32"/>
      <c r="AE40" s="32"/>
      <c r="AJ40" s="36"/>
      <c r="AK40" s="36"/>
      <c r="AL40" s="36"/>
    </row>
    <row r="41" spans="2:38" ht="16.5" hidden="1" customHeight="1">
      <c r="B41" s="1012"/>
      <c r="C41" s="713"/>
      <c r="D41" s="36"/>
      <c r="E41" s="24" t="s">
        <v>76</v>
      </c>
      <c r="F41" s="36"/>
      <c r="G41" s="36"/>
      <c r="H41" s="24" t="s">
        <v>16</v>
      </c>
      <c r="I41" s="36"/>
      <c r="J41" s="36"/>
      <c r="K41" s="36"/>
      <c r="N41" s="850"/>
      <c r="O41" s="850"/>
      <c r="P41" s="850"/>
      <c r="Q41" s="39"/>
      <c r="R41" s="47"/>
      <c r="S41" s="39"/>
      <c r="T41" s="714"/>
      <c r="U41" s="1013"/>
      <c r="W41" s="32"/>
      <c r="X41" s="32"/>
      <c r="Y41" s="32"/>
      <c r="AB41" s="32"/>
      <c r="AC41" s="32"/>
      <c r="AD41" s="32"/>
      <c r="AE41" s="32"/>
      <c r="AJ41" s="36"/>
      <c r="AK41" s="36"/>
      <c r="AL41" s="36"/>
    </row>
    <row r="42" spans="2:38" ht="16.5" hidden="1" customHeight="1">
      <c r="B42" s="1012"/>
      <c r="C42" s="713"/>
      <c r="D42" s="36"/>
      <c r="E42" s="24" t="s">
        <v>162</v>
      </c>
      <c r="F42" s="36"/>
      <c r="G42" s="36"/>
      <c r="H42" s="24" t="s">
        <v>17</v>
      </c>
      <c r="I42" s="36"/>
      <c r="J42" s="36"/>
      <c r="K42" s="36"/>
      <c r="N42" s="850"/>
      <c r="O42" s="850"/>
      <c r="P42" s="850"/>
      <c r="Q42" s="39"/>
      <c r="R42" s="47"/>
      <c r="S42" s="39"/>
      <c r="T42" s="714"/>
      <c r="U42" s="1013"/>
      <c r="W42" s="32"/>
      <c r="X42" s="32"/>
      <c r="Y42" s="32"/>
      <c r="AB42" s="32"/>
      <c r="AC42" s="32"/>
      <c r="AD42" s="32"/>
      <c r="AE42" s="32"/>
      <c r="AJ42" s="36"/>
      <c r="AK42" s="36"/>
      <c r="AL42" s="36"/>
    </row>
    <row r="43" spans="2:38" ht="16.5" hidden="1" customHeight="1">
      <c r="B43" s="1012"/>
      <c r="C43" s="713"/>
      <c r="D43" s="36"/>
      <c r="E43" s="24" t="s">
        <v>78</v>
      </c>
      <c r="F43" s="36"/>
      <c r="G43" s="36"/>
      <c r="H43" s="24" t="s">
        <v>3</v>
      </c>
      <c r="I43" s="36"/>
      <c r="J43" s="36"/>
      <c r="K43" s="36"/>
      <c r="N43" s="850"/>
      <c r="O43" s="850"/>
      <c r="P43" s="850"/>
      <c r="Q43" s="39"/>
      <c r="R43" s="47"/>
      <c r="S43" s="39"/>
      <c r="T43" s="714"/>
      <c r="U43" s="1013"/>
      <c r="W43" s="32"/>
      <c r="X43" s="32"/>
      <c r="Y43" s="32"/>
      <c r="AB43" s="32"/>
      <c r="AC43" s="32"/>
      <c r="AD43" s="32"/>
      <c r="AE43" s="32"/>
      <c r="AJ43" s="36"/>
      <c r="AK43" s="36"/>
      <c r="AL43" s="36"/>
    </row>
    <row r="44" spans="2:38" ht="16.5" hidden="1" customHeight="1">
      <c r="B44" s="1012"/>
      <c r="C44" s="713"/>
      <c r="D44" s="24"/>
      <c r="E44" s="24" t="s">
        <v>79</v>
      </c>
      <c r="F44" s="36"/>
      <c r="G44" s="36"/>
      <c r="H44" s="24" t="s">
        <v>18</v>
      </c>
      <c r="I44" s="36"/>
      <c r="J44" s="36"/>
      <c r="K44" s="36"/>
      <c r="N44" s="850"/>
      <c r="O44" s="850"/>
      <c r="P44" s="850"/>
      <c r="Q44" s="39"/>
      <c r="R44" s="47"/>
      <c r="S44" s="39"/>
      <c r="T44" s="714"/>
      <c r="U44" s="1013"/>
      <c r="W44" s="32"/>
      <c r="X44" s="32"/>
      <c r="Y44" s="32"/>
      <c r="AB44" s="32"/>
      <c r="AC44" s="32"/>
      <c r="AD44" s="32"/>
      <c r="AE44" s="32"/>
      <c r="AJ44" s="36"/>
      <c r="AK44" s="36"/>
      <c r="AL44" s="36"/>
    </row>
    <row r="45" spans="2:38" ht="16.5" hidden="1" customHeight="1">
      <c r="B45" s="1012"/>
      <c r="C45" s="713"/>
      <c r="D45" s="24" t="s">
        <v>58</v>
      </c>
      <c r="E45" s="24" t="s">
        <v>80</v>
      </c>
      <c r="F45" s="36"/>
      <c r="G45" s="36"/>
      <c r="H45" s="24" t="s">
        <v>2</v>
      </c>
      <c r="I45" s="36"/>
      <c r="J45" s="36"/>
      <c r="K45" s="36"/>
      <c r="N45" s="850"/>
      <c r="O45" s="850"/>
      <c r="P45" s="850"/>
      <c r="Q45" s="39"/>
      <c r="R45" s="47"/>
      <c r="S45" s="39"/>
      <c r="T45" s="714"/>
      <c r="U45" s="1013"/>
      <c r="W45" s="32"/>
      <c r="X45" s="32"/>
      <c r="Y45" s="32"/>
      <c r="AB45" s="32"/>
      <c r="AC45" s="32"/>
      <c r="AD45" s="32"/>
      <c r="AE45" s="32"/>
      <c r="AJ45" s="36"/>
      <c r="AK45" s="36"/>
      <c r="AL45" s="36"/>
    </row>
    <row r="46" spans="2:38" ht="16.5" hidden="1" customHeight="1">
      <c r="B46" s="1012"/>
      <c r="C46" s="713"/>
      <c r="D46" s="24" t="str">
        <f>IF($D$11="","Other",$D$11)</f>
        <v>Other</v>
      </c>
      <c r="E46" s="24" t="s">
        <v>81</v>
      </c>
      <c r="F46" s="36"/>
      <c r="G46" s="36"/>
      <c r="H46" s="24" t="s">
        <v>19</v>
      </c>
      <c r="I46" s="36"/>
      <c r="J46" s="36"/>
      <c r="K46" s="36"/>
      <c r="N46" s="850"/>
      <c r="O46" s="850"/>
      <c r="P46" s="850"/>
      <c r="Q46" s="39"/>
      <c r="R46" s="47"/>
      <c r="S46" s="39"/>
      <c r="T46" s="714"/>
      <c r="U46" s="1013"/>
      <c r="W46" s="32"/>
      <c r="X46" s="32"/>
      <c r="Y46" s="32"/>
      <c r="AB46" s="32"/>
      <c r="AC46" s="32"/>
      <c r="AD46" s="32"/>
      <c r="AE46" s="32"/>
      <c r="AJ46" s="36"/>
      <c r="AK46" s="36"/>
      <c r="AL46" s="36"/>
    </row>
    <row r="47" spans="2:38" ht="16.5" hidden="1" customHeight="1">
      <c r="B47" s="1012"/>
      <c r="C47" s="713"/>
      <c r="D47" s="24">
        <f>$D$10</f>
        <v>0</v>
      </c>
      <c r="E47" s="24" t="s">
        <v>58</v>
      </c>
      <c r="F47" s="36"/>
      <c r="G47" s="36"/>
      <c r="H47" s="24" t="s">
        <v>20</v>
      </c>
      <c r="I47" s="36"/>
      <c r="J47" s="36"/>
      <c r="K47" s="36"/>
      <c r="N47" s="850"/>
      <c r="O47" s="850"/>
      <c r="P47" s="850"/>
      <c r="Q47" s="39"/>
      <c r="R47" s="47"/>
      <c r="S47" s="39"/>
      <c r="T47" s="714"/>
      <c r="U47" s="1013"/>
      <c r="W47" s="32"/>
      <c r="X47" s="32"/>
      <c r="Y47" s="32"/>
      <c r="AB47" s="32"/>
      <c r="AC47" s="32"/>
      <c r="AD47" s="32"/>
      <c r="AE47" s="32"/>
      <c r="AJ47" s="36"/>
      <c r="AK47" s="36"/>
      <c r="AL47" s="36"/>
    </row>
    <row r="48" spans="2:38" ht="16.5" customHeight="1">
      <c r="B48" s="1012"/>
      <c r="C48" s="713"/>
      <c r="D48" s="911"/>
      <c r="E48" s="912"/>
      <c r="F48" s="912"/>
      <c r="G48" s="910"/>
      <c r="H48" s="924"/>
      <c r="I48" s="910"/>
      <c r="J48" s="1488"/>
      <c r="K48" s="1488"/>
      <c r="L48" s="1488"/>
      <c r="M48" s="1484"/>
      <c r="N48" s="1484"/>
      <c r="O48" s="1484"/>
      <c r="P48" s="851">
        <v>3212025132604</v>
      </c>
      <c r="Q48" s="931">
        <f>Calculate_CSV_Incomes(ROW(E48), F48, G48, H48, AB48, AC48)</f>
        <v>0</v>
      </c>
      <c r="R48" s="47"/>
      <c r="S48" s="931">
        <f>(IF(ISBLANK(E48),0,Calculate_Income(D48,E48,F48,G48,H48,I48,"BAV",SUM($H$122:$H$123),AA48,Q48,AB48,AC48)))</f>
        <v>0</v>
      </c>
      <c r="T48" s="714"/>
      <c r="U48" s="1013"/>
      <c r="W48" s="931">
        <f>HEM_INCOME(IF(E48="Overseas",F48,E48),Q48,S48,I48)</f>
        <v>0</v>
      </c>
      <c r="X48" s="931">
        <f>TAX_INCOME(IF(E48="Overseas",F48,E48), AJ48, Q48, Z48, I48,AF48)</f>
        <v>0</v>
      </c>
      <c r="Y48" s="931">
        <f>IF(E48="Overseas",
IF(F48="Interest",X48,
IF(F48="Dividends",X48,
IF(F48="Employment (Regular)",CONVERT_TO_MONTHLY(G48,H48),
IF(F48="Employment (Irregular)",CONVERT_TO_MONTHLY(G48,H48),
Q48)))),0)</f>
        <v>0</v>
      </c>
      <c r="Z48" s="931">
        <f>IF(OR(E48="Rent (Resi)",F48="Rent (Resi)",E48="Rent (Short Stay)",F48="Rent (Short Stay)"),MIN(CONVERT_TO_MONTHLY(I48*RENTAL_YIELD_CAP*(AB48+AC48),"Annually"),Q48),0)</f>
        <v>0</v>
      </c>
      <c r="AA48" s="1019">
        <f>AD48*$H$122+AE48*$H$123</f>
        <v>0</v>
      </c>
      <c r="AB48" s="934">
        <f>IF(D48=$D$10,1,
IF(D48=$D$11,0,
IF(ISERR(SEARCH($D$10,D48)),0,
(MID(D48,LEN($D$10)+2,SEARCH("%",D48)-LEN($D$10)-2)/100))))</f>
        <v>1</v>
      </c>
      <c r="AC48" s="934">
        <f>IF($D$11="",0,IF(D48=$D$11,1,
IF(D48=$D$10,0,
IF(ISERR(SEARCH($D$11,D48)),0,
MID(D48,SEARCH($D$11,D48)+LEN($D$11)+1,LEN(D48)-(SEARCH($D$11,D48)+LEN($D$11)+1))/100))))</f>
        <v>0</v>
      </c>
      <c r="AD48" s="934">
        <f>IF(SUM(AB48:AC48)=0,0,AB48/SUM(AB48:AC48))</f>
        <v>1</v>
      </c>
      <c r="AE48" s="934">
        <f>IF(SUM(AB48:AC48)=0,0,AC48/SUM(AB48:AC48))</f>
        <v>0</v>
      </c>
      <c r="AF48" s="934">
        <f>AC48+AB48</f>
        <v>1</v>
      </c>
      <c r="AG48" s="940">
        <f>IF(Q48=0,0,AB48*AI48)</f>
        <v>0</v>
      </c>
      <c r="AH48" s="940">
        <f>IF(Q48=0,0,AE48*AI48)</f>
        <v>0</v>
      </c>
      <c r="AI48" s="931">
        <f>MAX(RESI_INVESTMENT_EXPENSE_SENSITIVITY_MULTIPLIER * Z48*12, J48)</f>
        <v>0</v>
      </c>
      <c r="AJ48" s="938" t="str">
        <f>IF(IF(ISBLANK(F48),IF(ISBLANK(E48),"",VLOOKUP(E48,'Configurable Items'!$D$4690:$G$4700,4,FALSE)),VLOOKUP(F48,'Configurable Items'!$E$4702:$F$4730,2,FALSE))=0,"",IF(ISBLANK(F48),IF(ISBLANK(E48),"",VLOOKUP(E48,'Configurable Items'!$D$4690:$G$4700,4,FALSE)),VLOOKUP(F48,'Configurable Items'!$E$4702:$F$4730,2,FALSE)))</f>
        <v/>
      </c>
      <c r="AK48" s="931">
        <f>MAX(RESI_INVESTMENT_EXPENSE_SENSITIVITY_MULTIPLIER * Z48,AL48)</f>
        <v>0</v>
      </c>
      <c r="AL48" s="931">
        <f>J48/12*AF48</f>
        <v>0</v>
      </c>
    </row>
    <row r="49" spans="2:38" ht="1.5" customHeight="1">
      <c r="B49" s="1012"/>
      <c r="C49" s="713"/>
      <c r="D49" s="852"/>
      <c r="E49" s="57"/>
      <c r="F49" s="57"/>
      <c r="G49" s="55"/>
      <c r="H49" s="46"/>
      <c r="I49" s="57"/>
      <c r="J49" s="57"/>
      <c r="K49" s="58"/>
      <c r="Q49" s="854"/>
      <c r="R49" s="40"/>
      <c r="S49" s="854"/>
      <c r="T49" s="714"/>
      <c r="U49" s="1013"/>
      <c r="W49" s="55"/>
      <c r="X49" s="55"/>
      <c r="AD49" s="31"/>
      <c r="AE49" s="31"/>
      <c r="AJ49" s="31"/>
    </row>
    <row r="50" spans="2:38" ht="16.5" customHeight="1">
      <c r="B50" s="1012"/>
      <c r="C50" s="713"/>
      <c r="G50" s="32"/>
      <c r="H50" s="32"/>
      <c r="I50" s="32"/>
      <c r="J50" s="32"/>
      <c r="K50" s="32"/>
      <c r="M50" s="34"/>
      <c r="N50" s="34"/>
      <c r="O50" s="34"/>
      <c r="P50" s="34"/>
      <c r="Q50" s="56">
        <f t="array" ref="Q50">SUM(ROUND(Q48:Q49,2))</f>
        <v>0</v>
      </c>
      <c r="R50" s="987"/>
      <c r="S50" s="56">
        <f t="array" ref="S50">SUM(ROUND(S48:S49,2))</f>
        <v>0</v>
      </c>
      <c r="T50" s="714"/>
      <c r="U50" s="1013"/>
      <c r="AC50" s="56">
        <f>Q50</f>
        <v>0</v>
      </c>
      <c r="AD50" s="31"/>
      <c r="AE50" s="31"/>
      <c r="AJ50" s="31"/>
    </row>
    <row r="51" spans="2:38" ht="16.5" customHeight="1">
      <c r="B51" s="733"/>
      <c r="C51" s="713"/>
      <c r="D51" s="161" t="s">
        <v>84</v>
      </c>
      <c r="G51" s="32"/>
      <c r="H51" s="32"/>
      <c r="I51" s="32"/>
      <c r="J51" s="32"/>
      <c r="L51" s="34"/>
      <c r="M51" s="34"/>
      <c r="N51" s="34"/>
      <c r="O51" s="34"/>
      <c r="P51" s="34"/>
      <c r="Q51" s="59">
        <f>SUM(Q37,Q50)</f>
        <v>0</v>
      </c>
      <c r="R51" s="856"/>
      <c r="S51" s="59">
        <f>SUM(S37,S50)</f>
        <v>0</v>
      </c>
      <c r="T51" s="901"/>
      <c r="U51" s="736"/>
      <c r="W51" s="54"/>
      <c r="X51" s="60"/>
      <c r="Z51" s="60"/>
      <c r="AA51" s="31"/>
      <c r="AB51" s="61"/>
      <c r="AC51" s="59">
        <f>SUM(AC37,AC50)</f>
        <v>0</v>
      </c>
      <c r="AD51" s="31"/>
      <c r="AE51" s="31"/>
      <c r="AJ51" s="31"/>
      <c r="AK51" s="59">
        <f>SUM(AK48:AK50)</f>
        <v>0</v>
      </c>
      <c r="AL51" s="59">
        <f>SUM(AL48:AL50)</f>
        <v>0</v>
      </c>
    </row>
    <row r="52" spans="2:38" ht="7.5" customHeight="1">
      <c r="B52" s="733"/>
      <c r="C52" s="807"/>
      <c r="D52" s="961"/>
      <c r="E52" s="727"/>
      <c r="F52" s="727"/>
      <c r="G52" s="948"/>
      <c r="H52" s="948"/>
      <c r="I52" s="948"/>
      <c r="J52" s="948"/>
      <c r="K52" s="727"/>
      <c r="L52" s="715"/>
      <c r="M52" s="715"/>
      <c r="N52" s="715"/>
      <c r="O52" s="715"/>
      <c r="P52" s="715"/>
      <c r="Q52" s="949"/>
      <c r="R52" s="950"/>
      <c r="S52" s="949"/>
      <c r="T52" s="908"/>
      <c r="U52" s="736"/>
      <c r="W52" s="54"/>
      <c r="X52" s="60"/>
      <c r="Z52" s="60"/>
      <c r="AA52" s="31"/>
      <c r="AB52" s="61"/>
      <c r="AC52" s="59"/>
      <c r="AD52" s="31"/>
      <c r="AE52" s="31"/>
      <c r="AJ52" s="31"/>
    </row>
    <row r="53" spans="2:38" ht="7.5" customHeight="1">
      <c r="B53" s="733"/>
      <c r="C53" s="731"/>
      <c r="D53" s="963"/>
      <c r="E53" s="731"/>
      <c r="F53" s="731"/>
      <c r="G53" s="964"/>
      <c r="H53" s="964"/>
      <c r="I53" s="964"/>
      <c r="J53" s="964"/>
      <c r="K53" s="731"/>
      <c r="L53" s="731"/>
      <c r="M53" s="731"/>
      <c r="N53" s="731"/>
      <c r="O53" s="731"/>
      <c r="P53" s="731"/>
      <c r="Q53" s="965"/>
      <c r="R53" s="952"/>
      <c r="S53" s="965"/>
      <c r="T53" s="952"/>
      <c r="U53" s="736"/>
      <c r="AD53" s="31"/>
      <c r="AE53" s="31"/>
      <c r="AJ53" s="31"/>
    </row>
    <row r="54" spans="2:38" ht="17.25" customHeight="1">
      <c r="B54" s="733"/>
      <c r="C54" s="958" t="s">
        <v>85</v>
      </c>
      <c r="D54" s="735"/>
      <c r="E54" s="735"/>
      <c r="F54" s="735"/>
      <c r="G54" s="966"/>
      <c r="H54" s="967"/>
      <c r="I54" s="967"/>
      <c r="J54" s="967"/>
      <c r="K54" s="735"/>
      <c r="L54" s="735"/>
      <c r="M54" s="735"/>
      <c r="N54" s="735"/>
      <c r="O54" s="735"/>
      <c r="P54" s="735"/>
      <c r="Q54" s="968"/>
      <c r="R54" s="893"/>
      <c r="S54" s="968"/>
      <c r="T54" s="893"/>
      <c r="U54" s="736"/>
      <c r="AD54" s="31"/>
      <c r="AE54" s="31"/>
      <c r="AJ54" s="31"/>
    </row>
    <row r="55" spans="2:38" ht="7.5" customHeight="1">
      <c r="B55" s="733"/>
      <c r="C55" s="969"/>
      <c r="D55" s="743"/>
      <c r="E55" s="743"/>
      <c r="F55" s="743"/>
      <c r="G55" s="970"/>
      <c r="H55" s="971"/>
      <c r="I55" s="971"/>
      <c r="J55" s="971"/>
      <c r="K55" s="743"/>
      <c r="L55" s="743"/>
      <c r="M55" s="743"/>
      <c r="N55" s="743"/>
      <c r="O55" s="743"/>
      <c r="P55" s="743"/>
      <c r="Q55" s="972"/>
      <c r="R55" s="957"/>
      <c r="S55" s="972"/>
      <c r="T55" s="973"/>
      <c r="U55" s="736"/>
      <c r="AD55" s="31"/>
      <c r="AE55" s="31"/>
      <c r="AJ55" s="31"/>
    </row>
    <row r="56" spans="2:38" ht="17.25" customHeight="1">
      <c r="B56" s="1012"/>
      <c r="C56" s="713"/>
      <c r="D56" s="858" t="s">
        <v>86</v>
      </c>
      <c r="G56" s="32"/>
      <c r="H56" s="32"/>
      <c r="I56" s="32"/>
      <c r="J56" s="32"/>
      <c r="K56" s="32"/>
      <c r="M56" s="34"/>
      <c r="N56" s="34"/>
      <c r="O56" s="34"/>
      <c r="P56" s="34"/>
      <c r="Q56" s="838"/>
      <c r="R56" s="493"/>
      <c r="S56" s="838"/>
      <c r="T56" s="714"/>
      <c r="U56" s="1013"/>
      <c r="AA56" s="39" t="s">
        <v>87</v>
      </c>
      <c r="AB56" s="39" t="s">
        <v>63</v>
      </c>
      <c r="AC56" s="39"/>
      <c r="AD56" s="39" t="s">
        <v>64</v>
      </c>
      <c r="AE56" s="39"/>
      <c r="AF56" s="39" t="s">
        <v>65</v>
      </c>
      <c r="AG56" s="39"/>
      <c r="AH56" s="39" t="s">
        <v>8607</v>
      </c>
      <c r="AI56" s="39"/>
      <c r="AJ56" s="31"/>
    </row>
    <row r="57" spans="2:38" ht="17.25" customHeight="1">
      <c r="B57" s="1012"/>
      <c r="C57" s="713"/>
      <c r="D57" s="36" t="s">
        <v>13</v>
      </c>
      <c r="E57" s="36" t="s">
        <v>88</v>
      </c>
      <c r="F57" s="36" t="s">
        <v>89</v>
      </c>
      <c r="G57" s="36" t="s">
        <v>8597</v>
      </c>
      <c r="H57" s="36" t="s">
        <v>90</v>
      </c>
      <c r="I57" s="36" t="s">
        <v>8648</v>
      </c>
      <c r="J57" s="1482" t="s">
        <v>8649</v>
      </c>
      <c r="K57" s="1482"/>
      <c r="L57" s="36" t="s">
        <v>92</v>
      </c>
      <c r="M57" s="36" t="s">
        <v>91</v>
      </c>
      <c r="N57" s="36" t="s">
        <v>15</v>
      </c>
      <c r="O57" s="36" t="s">
        <v>71</v>
      </c>
      <c r="P57" s="850"/>
      <c r="Q57" s="39" t="s">
        <v>93</v>
      </c>
      <c r="R57" s="47"/>
      <c r="S57" s="39" t="s">
        <v>94</v>
      </c>
      <c r="T57" s="714"/>
      <c r="U57" s="1013"/>
      <c r="W57" s="39" t="str">
        <f>$D$10 &amp; " Deducation"</f>
        <v xml:space="preserve"> Deducation</v>
      </c>
      <c r="X57" s="39" t="str">
        <f>$D$11 &amp; " Deducation"</f>
        <v xml:space="preserve"> Deducation</v>
      </c>
      <c r="Y57" s="39" t="s">
        <v>8598</v>
      </c>
      <c r="Z57" s="39" t="s">
        <v>95</v>
      </c>
      <c r="AA57" s="39"/>
      <c r="AB57" s="39" t="str">
        <f>IF($D$10="","",$D$10)</f>
        <v/>
      </c>
      <c r="AC57" s="39" t="str">
        <f>IF($D$11="","",$D$11)</f>
        <v/>
      </c>
      <c r="AD57" s="39" t="str">
        <f>IF($D$10="","",$D$10)</f>
        <v/>
      </c>
      <c r="AE57" s="39" t="str">
        <f>IF($D$11="","",$D$11)</f>
        <v/>
      </c>
      <c r="AF57" s="39"/>
      <c r="AG57" s="39" t="s">
        <v>8627</v>
      </c>
      <c r="AH57" s="39" t="s">
        <v>8611</v>
      </c>
      <c r="AI57" s="39" t="s">
        <v>8610</v>
      </c>
      <c r="AK57" s="39" t="s">
        <v>8625</v>
      </c>
    </row>
    <row r="58" spans="2:38" ht="17.25" hidden="1" customHeight="1">
      <c r="B58" s="1012"/>
      <c r="C58" s="713"/>
      <c r="D58" s="24" t="s">
        <v>96</v>
      </c>
      <c r="E58" s="36"/>
      <c r="F58" s="36"/>
      <c r="G58" s="36"/>
      <c r="H58" s="36"/>
      <c r="I58" s="36"/>
      <c r="J58" s="36"/>
      <c r="K58" s="36"/>
      <c r="L58" s="36"/>
      <c r="M58" s="36"/>
      <c r="N58" s="36"/>
      <c r="O58" s="34"/>
      <c r="P58" s="850"/>
      <c r="Q58" s="39"/>
      <c r="R58" s="47"/>
      <c r="S58" s="39"/>
      <c r="T58" s="714"/>
      <c r="U58" s="1013"/>
      <c r="W58" s="32"/>
      <c r="X58" s="32"/>
      <c r="Y58" s="32"/>
      <c r="Z58" s="32"/>
      <c r="AB58" s="32"/>
      <c r="AC58" s="32"/>
      <c r="AD58" s="32"/>
      <c r="AE58" s="32"/>
    </row>
    <row r="59" spans="2:38" ht="17.25" hidden="1" customHeight="1">
      <c r="B59" s="1012"/>
      <c r="C59" s="713"/>
      <c r="D59" s="24" t="s">
        <v>97</v>
      </c>
      <c r="E59" s="36"/>
      <c r="F59" s="36"/>
      <c r="G59" s="36"/>
      <c r="H59" s="36"/>
      <c r="I59" s="36"/>
      <c r="J59" s="36"/>
      <c r="K59" s="36"/>
      <c r="L59" s="36"/>
      <c r="M59" s="36"/>
      <c r="N59" s="24"/>
      <c r="O59" s="34"/>
      <c r="P59" s="850"/>
      <c r="Q59" s="39"/>
      <c r="R59" s="47"/>
      <c r="S59" s="39"/>
      <c r="T59" s="714"/>
      <c r="U59" s="1013"/>
      <c r="W59" s="32"/>
      <c r="X59" s="32"/>
      <c r="Y59" s="32"/>
      <c r="Z59" s="32"/>
      <c r="AB59" s="32"/>
      <c r="AC59" s="32"/>
      <c r="AD59" s="32"/>
      <c r="AE59" s="32"/>
    </row>
    <row r="60" spans="2:38" ht="17.25" hidden="1" customHeight="1">
      <c r="B60" s="1012"/>
      <c r="C60" s="713"/>
      <c r="D60" s="24" t="s">
        <v>98</v>
      </c>
      <c r="E60" s="36"/>
      <c r="F60" s="36"/>
      <c r="G60" s="36"/>
      <c r="H60" s="36"/>
      <c r="I60" s="36"/>
      <c r="J60" s="36"/>
      <c r="K60" s="36"/>
      <c r="L60" s="36"/>
      <c r="M60" s="36"/>
      <c r="N60" s="24" t="s">
        <v>16</v>
      </c>
      <c r="O60" s="34"/>
      <c r="P60" s="850"/>
      <c r="Q60" s="39"/>
      <c r="R60" s="47"/>
      <c r="S60" s="39"/>
      <c r="T60" s="714"/>
      <c r="U60" s="1013"/>
      <c r="W60" s="32"/>
      <c r="X60" s="32"/>
      <c r="Y60" s="32"/>
      <c r="Z60" s="32"/>
      <c r="AB60" s="32"/>
      <c r="AC60" s="32"/>
      <c r="AD60" s="32"/>
      <c r="AE60" s="32"/>
    </row>
    <row r="61" spans="2:38" ht="17.25" hidden="1" customHeight="1">
      <c r="B61" s="1012"/>
      <c r="C61" s="713"/>
      <c r="D61" s="24" t="s">
        <v>99</v>
      </c>
      <c r="E61" s="36"/>
      <c r="F61" s="36"/>
      <c r="G61" s="36"/>
      <c r="H61" s="36"/>
      <c r="I61" s="36"/>
      <c r="J61" s="36"/>
      <c r="K61" s="36"/>
      <c r="L61" s="36"/>
      <c r="M61" s="36"/>
      <c r="N61" s="24" t="s">
        <v>17</v>
      </c>
      <c r="O61" s="34"/>
      <c r="P61" s="850"/>
      <c r="Q61" s="39"/>
      <c r="R61" s="47"/>
      <c r="S61" s="39"/>
      <c r="T61" s="714"/>
      <c r="U61" s="1013"/>
      <c r="W61" s="32"/>
      <c r="X61" s="32"/>
      <c r="Y61" s="32"/>
      <c r="Z61" s="32"/>
      <c r="AB61" s="32"/>
      <c r="AC61" s="32"/>
      <c r="AD61" s="32"/>
      <c r="AE61" s="32"/>
    </row>
    <row r="62" spans="2:38" ht="17.25" hidden="1" customHeight="1">
      <c r="B62" s="1012"/>
      <c r="C62" s="713"/>
      <c r="D62" s="24" t="s">
        <v>100</v>
      </c>
      <c r="E62" s="36"/>
      <c r="F62" s="36"/>
      <c r="G62" s="36"/>
      <c r="H62" s="36"/>
      <c r="I62" s="36"/>
      <c r="J62" s="36"/>
      <c r="K62" s="36"/>
      <c r="L62" s="36"/>
      <c r="M62" s="36"/>
      <c r="N62" s="24" t="s">
        <v>3</v>
      </c>
      <c r="O62" s="34"/>
      <c r="P62" s="850"/>
      <c r="Q62" s="39"/>
      <c r="R62" s="47"/>
      <c r="S62" s="39"/>
      <c r="T62" s="714"/>
      <c r="U62" s="1013"/>
      <c r="W62" s="32"/>
      <c r="X62" s="32"/>
      <c r="Y62" s="32"/>
      <c r="Z62" s="32"/>
      <c r="AB62" s="32"/>
      <c r="AC62" s="32"/>
      <c r="AD62" s="32"/>
      <c r="AE62" s="32"/>
    </row>
    <row r="63" spans="2:38" ht="17.25" hidden="1" customHeight="1">
      <c r="B63" s="1012"/>
      <c r="C63" s="713"/>
      <c r="D63" s="24" t="s">
        <v>101</v>
      </c>
      <c r="E63" s="36"/>
      <c r="F63" s="36"/>
      <c r="G63" s="24"/>
      <c r="H63" s="36"/>
      <c r="I63" s="36"/>
      <c r="J63" s="36"/>
      <c r="K63" s="36"/>
      <c r="L63" s="36"/>
      <c r="M63" s="36"/>
      <c r="N63" s="24" t="s">
        <v>18</v>
      </c>
      <c r="O63" s="34"/>
      <c r="P63" s="850"/>
      <c r="Q63" s="39"/>
      <c r="R63" s="47"/>
      <c r="S63" s="39"/>
      <c r="T63" s="714"/>
      <c r="U63" s="1013"/>
      <c r="W63" s="32"/>
      <c r="X63" s="32"/>
      <c r="Y63" s="32"/>
      <c r="Z63" s="32"/>
      <c r="AB63" s="32"/>
      <c r="AC63" s="32"/>
      <c r="AD63" s="32"/>
      <c r="AE63" s="32"/>
    </row>
    <row r="64" spans="2:38" ht="17.25" hidden="1" customHeight="1">
      <c r="B64" s="1012"/>
      <c r="C64" s="713"/>
      <c r="D64" s="24" t="s">
        <v>102</v>
      </c>
      <c r="E64" s="36"/>
      <c r="F64" s="36"/>
      <c r="G64" s="24" t="s">
        <v>58</v>
      </c>
      <c r="H64" s="36"/>
      <c r="I64" s="36"/>
      <c r="J64" s="36"/>
      <c r="K64" s="36"/>
      <c r="L64" s="36"/>
      <c r="M64" s="36"/>
      <c r="N64" s="24" t="s">
        <v>2</v>
      </c>
      <c r="O64" s="34"/>
      <c r="P64" s="850"/>
      <c r="Q64" s="39"/>
      <c r="R64" s="47"/>
      <c r="S64" s="39"/>
      <c r="T64" s="714"/>
      <c r="U64" s="1013"/>
      <c r="W64" s="32"/>
      <c r="X64" s="32"/>
      <c r="Y64" s="32"/>
      <c r="Z64" s="32"/>
      <c r="AB64" s="32"/>
      <c r="AC64" s="32"/>
      <c r="AD64" s="32"/>
      <c r="AE64" s="32"/>
    </row>
    <row r="65" spans="2:42" ht="17.25" hidden="1" customHeight="1">
      <c r="B65" s="1012"/>
      <c r="C65" s="713"/>
      <c r="D65" s="24" t="s">
        <v>103</v>
      </c>
      <c r="E65" s="24" t="b">
        <v>1</v>
      </c>
      <c r="F65" s="24" t="b">
        <v>1</v>
      </c>
      <c r="G65" s="24" t="str">
        <f>IF($D$11="","Other",$D$11)</f>
        <v>Other</v>
      </c>
      <c r="H65" s="36"/>
      <c r="I65" s="36"/>
      <c r="J65" s="36"/>
      <c r="K65" s="36"/>
      <c r="L65" s="36"/>
      <c r="M65" s="36"/>
      <c r="N65" s="24" t="s">
        <v>19</v>
      </c>
      <c r="O65" s="34"/>
      <c r="P65" s="850"/>
      <c r="Q65" s="39"/>
      <c r="R65" s="47"/>
      <c r="S65" s="39"/>
      <c r="T65" s="714"/>
      <c r="U65" s="1013"/>
      <c r="W65" s="32"/>
      <c r="X65" s="32"/>
      <c r="Y65" s="32"/>
      <c r="Z65" s="32"/>
      <c r="AB65" s="32"/>
      <c r="AC65" s="32"/>
      <c r="AD65" s="32"/>
      <c r="AE65" s="32"/>
    </row>
    <row r="66" spans="2:42" ht="17.25" hidden="1" customHeight="1">
      <c r="B66" s="1012"/>
      <c r="C66" s="713"/>
      <c r="D66" s="24" t="s">
        <v>104</v>
      </c>
      <c r="E66" s="24" t="b">
        <v>0</v>
      </c>
      <c r="F66" s="24" t="b">
        <v>0</v>
      </c>
      <c r="G66" s="24">
        <f>$D$10</f>
        <v>0</v>
      </c>
      <c r="H66" s="36"/>
      <c r="I66" s="36"/>
      <c r="J66" s="36"/>
      <c r="K66" s="36"/>
      <c r="L66" s="36"/>
      <c r="M66" s="36"/>
      <c r="N66" s="24" t="s">
        <v>20</v>
      </c>
      <c r="O66" s="34"/>
      <c r="P66" s="850"/>
      <c r="Q66" s="39"/>
      <c r="R66" s="47"/>
      <c r="S66" s="39"/>
      <c r="T66" s="714"/>
      <c r="U66" s="1013"/>
      <c r="W66" s="32"/>
      <c r="X66" s="32"/>
      <c r="Y66" s="32"/>
      <c r="Z66" s="32"/>
      <c r="AB66" s="32"/>
      <c r="AC66" s="32"/>
      <c r="AD66" s="32"/>
      <c r="AE66" s="32"/>
    </row>
    <row r="67" spans="2:42" ht="17.25" customHeight="1">
      <c r="B67" s="1012"/>
      <c r="C67" s="713"/>
      <c r="D67" s="912"/>
      <c r="E67" s="718"/>
      <c r="F67" s="928"/>
      <c r="G67" s="911"/>
      <c r="H67" s="910"/>
      <c r="I67" s="1351"/>
      <c r="J67" s="933"/>
      <c r="K67" s="933"/>
      <c r="L67" s="1017"/>
      <c r="M67" s="1351"/>
      <c r="N67" s="935"/>
      <c r="O67" s="912"/>
      <c r="P67" s="851"/>
      <c r="Q67" s="931">
        <f>IF(ISBLANK(D67),0,Calculate_Repayment(D67, E67, H67, M67, N67, J67, K67, L67, FALSE))*(AB67+AC67)</f>
        <v>0</v>
      </c>
      <c r="R67" s="47"/>
      <c r="S67" s="931">
        <f>IF(ISBLANK(D67),0,Calculate_Repayment(D67, E67, H67+I67, M67, N67, J67, K67, L67, TRUE))*(AA67)</f>
        <v>0</v>
      </c>
      <c r="T67" s="714"/>
      <c r="U67" s="1013"/>
      <c r="W67" s="931">
        <f>IF(AND($F67=TRUE,OR($D67="Home Loan",$D67="Residential Inv Loan",$D67="Property Line of Credit"),'Internal Ref'!$J$235&gt;0),
IF($L67="",RIL_INDEX_RATE*$H67*AB67,$L67*$H67*AB67),0)</f>
        <v>0</v>
      </c>
      <c r="X67" s="931">
        <f>IF(AND($F67=TRUE,OR($D67="Home Loan",$D67="Residential Inv Loan",$D67="Property Line of Credit"),'Internal Ref'!$J$235&gt;0),
IF($L67="",RIL_INDEX_RATE*$H67*AC67,$L67*$H67*AC67),0)</f>
        <v>0</v>
      </c>
      <c r="Y67" s="931" t="e">
        <f ca="1">VLOOKUP(G67,INDIRECT('Internal Ref'!$G$243),2,FALSE)</f>
        <v>#N/A</v>
      </c>
      <c r="Z67" s="931">
        <f>W67+X67</f>
        <v>0</v>
      </c>
      <c r="AA67" s="934">
        <f>IF(ISERR(SEARCH("^",G67)),AB67+AC67,1)</f>
        <v>1</v>
      </c>
      <c r="AB67" s="934">
        <f>IF(G67=$D$10,1,
IF(G67=$D$11,0,
IF(ISERR(SEARCH($D$10,G67)),0,
(MID(G67,LEN($D$10)+2,SEARCH("%",G67)-LEN($D$10)-2)/100))))</f>
        <v>1</v>
      </c>
      <c r="AC67" s="934">
        <f>IF($D$11="",0,IF(G67=$D$11,1,
IF(G67=$D$10,0,
IF(ISERR(SEARCH($D$11,G67)),0,
MID(G67,SEARCH($D$11,G67)+LEN($D$11)+1,LEN(G67)-(SEARCH($D$11,G67)+LEN($D$11)+IF(ISERR(SEARCH("^",G67)),1,2)))/100))))</f>
        <v>0</v>
      </c>
      <c r="AD67" s="934">
        <f>IF(SUM(AB67:AC67)=0,0,AB67/SUM(AB67:AC67))</f>
        <v>1</v>
      </c>
      <c r="AE67" s="934">
        <f>IF(SUM(AB67:AC67)=0,0,AC67/SUM(AB67:AC67))</f>
        <v>0</v>
      </c>
      <c r="AF67" s="934">
        <f>AC67+AB67</f>
        <v>1</v>
      </c>
      <c r="AG67" s="938">
        <f>IF(AH67="",0,IF(LEN(AH67)-LEN(SUBSTITUTE(AH67,"|",""))=0,"1^",LEN(AH67)-LEN(SUBSTITUTE(AH67,"|",""))))</f>
        <v>0</v>
      </c>
      <c r="AH67" s="930"/>
      <c r="AI67" s="930" t="e">
        <f ca="1">VLOOKUP(G67,INDIRECT('Internal Ref'!$G$243),4,FALSE)</f>
        <v>#N/A</v>
      </c>
      <c r="AK67" s="1474" t="str" cm="1">
        <f t="array" ref="AK67">LinkedSecurities($AB$11,AH67,AG67,"Security",$AD$10+$AD$11+$AD$12)</f>
        <v/>
      </c>
      <c r="AL67" s="1475"/>
      <c r="AM67" s="1476"/>
    </row>
    <row r="68" spans="2:42" ht="2.25" customHeight="1">
      <c r="B68" s="1012"/>
      <c r="C68" s="713"/>
      <c r="D68" s="859"/>
      <c r="E68" s="534"/>
      <c r="F68" s="988"/>
      <c r="G68" s="534"/>
      <c r="H68" s="861"/>
      <c r="I68" s="861"/>
      <c r="J68" s="861"/>
      <c r="K68" s="862"/>
      <c r="L68" s="863"/>
      <c r="M68" s="863"/>
      <c r="N68" s="62"/>
      <c r="O68" s="62"/>
      <c r="P68" s="846"/>
      <c r="Q68" s="847"/>
      <c r="R68" s="848"/>
      <c r="S68" s="847"/>
      <c r="T68" s="714"/>
      <c r="U68" s="1013"/>
      <c r="AD68" s="31"/>
      <c r="AE68" s="31"/>
      <c r="AK68" s="31"/>
    </row>
    <row r="69" spans="2:42" ht="17.25" customHeight="1">
      <c r="B69" s="1012"/>
      <c r="C69" s="713"/>
      <c r="G69" s="32"/>
      <c r="H69" s="32"/>
      <c r="I69" s="32"/>
      <c r="J69" s="32"/>
      <c r="K69" s="32"/>
      <c r="M69" s="34"/>
      <c r="P69" s="34"/>
      <c r="Q69" s="56">
        <f t="array" ref="Q69">SUM(ROUND(Q67:Q68,2))</f>
        <v>0</v>
      </c>
      <c r="R69" s="834"/>
      <c r="S69" s="56">
        <f t="array" ref="S69">SUM(ROUND(S67:S68,2))</f>
        <v>0</v>
      </c>
      <c r="T69" s="714"/>
      <c r="U69" s="1013"/>
      <c r="AD69" s="31"/>
      <c r="AE69" s="31"/>
      <c r="AJ69" s="31"/>
    </row>
    <row r="70" spans="2:42" ht="17.25" customHeight="1">
      <c r="B70" s="1012"/>
      <c r="C70" s="713"/>
      <c r="D70" s="858"/>
      <c r="M70" s="34"/>
      <c r="N70" s="34"/>
      <c r="O70" s="34"/>
      <c r="P70" s="34"/>
      <c r="Q70" s="838"/>
      <c r="R70" s="493"/>
      <c r="S70" s="838"/>
      <c r="T70" s="714"/>
      <c r="U70" s="1013"/>
      <c r="W70" s="54"/>
      <c r="AD70" s="31"/>
      <c r="AE70" s="31"/>
      <c r="AJ70" s="31"/>
    </row>
    <row r="71" spans="2:42" ht="17.25" customHeight="1">
      <c r="B71" s="1012"/>
      <c r="C71" s="713"/>
      <c r="D71" s="858" t="s">
        <v>106</v>
      </c>
      <c r="M71" s="34"/>
      <c r="N71" s="34"/>
      <c r="O71" s="34"/>
      <c r="P71" s="34"/>
      <c r="Q71" s="40"/>
      <c r="R71" s="40"/>
      <c r="S71" s="40"/>
      <c r="T71" s="714"/>
      <c r="U71" s="1013"/>
      <c r="X71" s="39"/>
      <c r="AD71" s="31"/>
      <c r="AE71" s="31"/>
      <c r="AJ71" s="31"/>
    </row>
    <row r="72" spans="2:42" ht="17.25" customHeight="1">
      <c r="B72" s="1012"/>
      <c r="C72" s="713"/>
      <c r="D72" s="36" t="s">
        <v>13</v>
      </c>
      <c r="E72" s="36" t="s">
        <v>14</v>
      </c>
      <c r="F72" s="36" t="s">
        <v>15</v>
      </c>
      <c r="G72" s="846"/>
      <c r="H72" s="36" t="s">
        <v>13</v>
      </c>
      <c r="I72" s="36" t="s">
        <v>14</v>
      </c>
      <c r="J72" s="1482" t="s">
        <v>15</v>
      </c>
      <c r="K72" s="1482"/>
      <c r="M72" s="34"/>
      <c r="N72" s="34"/>
      <c r="O72" s="34"/>
      <c r="P72" s="34"/>
      <c r="Q72" s="39" t="s">
        <v>93</v>
      </c>
      <c r="R72" s="47"/>
      <c r="S72" s="39" t="s">
        <v>94</v>
      </c>
      <c r="T72" s="714"/>
      <c r="U72" s="1013"/>
      <c r="W72" s="39" t="s">
        <v>93</v>
      </c>
      <c r="Y72" s="34"/>
      <c r="AD72" s="31"/>
      <c r="AE72" s="31"/>
      <c r="AJ72" s="31"/>
    </row>
    <row r="73" spans="2:42" ht="17.25" hidden="1" customHeight="1">
      <c r="B73" s="1012"/>
      <c r="C73" s="713"/>
      <c r="D73" s="36"/>
      <c r="E73" s="36"/>
      <c r="F73" s="24" t="s">
        <v>16</v>
      </c>
      <c r="G73" s="846"/>
      <c r="H73" s="36"/>
      <c r="I73" s="36"/>
      <c r="J73" s="36"/>
      <c r="K73" s="24" t="s">
        <v>16</v>
      </c>
      <c r="M73" s="34"/>
      <c r="N73" s="34"/>
      <c r="O73" s="34"/>
      <c r="P73" s="34"/>
      <c r="Q73" s="864"/>
      <c r="R73" s="865"/>
      <c r="S73" s="864"/>
      <c r="T73" s="714"/>
      <c r="U73" s="1013"/>
      <c r="Y73" s="34"/>
      <c r="AD73" s="31"/>
      <c r="AE73" s="31"/>
      <c r="AJ73" s="31"/>
    </row>
    <row r="74" spans="2:42" ht="17.25" hidden="1" customHeight="1">
      <c r="B74" s="1012"/>
      <c r="C74" s="713"/>
      <c r="D74" s="36"/>
      <c r="E74" s="36"/>
      <c r="F74" s="24" t="s">
        <v>17</v>
      </c>
      <c r="G74" s="846"/>
      <c r="H74" s="36"/>
      <c r="I74" s="36"/>
      <c r="J74" s="36"/>
      <c r="K74" s="24" t="s">
        <v>17</v>
      </c>
      <c r="M74" s="34"/>
      <c r="N74" s="34"/>
      <c r="O74" s="34"/>
      <c r="P74" s="34"/>
      <c r="Q74" s="864"/>
      <c r="R74" s="865"/>
      <c r="S74" s="864"/>
      <c r="T74" s="714"/>
      <c r="U74" s="1013"/>
      <c r="Y74" s="34"/>
      <c r="AD74" s="31"/>
      <c r="AE74" s="31"/>
      <c r="AJ74" s="31"/>
    </row>
    <row r="75" spans="2:42" ht="17.25" hidden="1" customHeight="1">
      <c r="B75" s="1012"/>
      <c r="C75" s="713"/>
      <c r="D75" s="36"/>
      <c r="E75" s="36"/>
      <c r="F75" s="24" t="s">
        <v>3</v>
      </c>
      <c r="G75" s="846"/>
      <c r="H75" s="36"/>
      <c r="I75" s="36"/>
      <c r="J75" s="36"/>
      <c r="K75" s="24" t="s">
        <v>3</v>
      </c>
      <c r="M75" s="34"/>
      <c r="N75" s="34"/>
      <c r="O75" s="34"/>
      <c r="P75" s="34"/>
      <c r="Q75" s="864"/>
      <c r="R75" s="865"/>
      <c r="S75" s="864"/>
      <c r="T75" s="714"/>
      <c r="U75" s="1013"/>
      <c r="Y75" s="34"/>
      <c r="AD75" s="31"/>
      <c r="AE75" s="31"/>
      <c r="AJ75" s="31"/>
    </row>
    <row r="76" spans="2:42" ht="17.25" hidden="1" customHeight="1">
      <c r="B76" s="1012"/>
      <c r="C76" s="713"/>
      <c r="D76" s="36"/>
      <c r="E76" s="36"/>
      <c r="F76" s="24" t="s">
        <v>18</v>
      </c>
      <c r="G76" s="846"/>
      <c r="H76" s="36"/>
      <c r="I76" s="36"/>
      <c r="J76" s="36"/>
      <c r="K76" s="24" t="s">
        <v>18</v>
      </c>
      <c r="M76" s="34"/>
      <c r="N76" s="34"/>
      <c r="O76" s="34"/>
      <c r="P76" s="34"/>
      <c r="Q76" s="864"/>
      <c r="R76" s="865"/>
      <c r="S76" s="864"/>
      <c r="T76" s="714"/>
      <c r="U76" s="1013"/>
      <c r="Y76" s="34"/>
      <c r="AD76" s="31"/>
      <c r="AE76" s="31"/>
      <c r="AJ76" s="31"/>
    </row>
    <row r="77" spans="2:42" ht="17.25" hidden="1" customHeight="1">
      <c r="B77" s="1012"/>
      <c r="C77" s="713"/>
      <c r="D77" s="36"/>
      <c r="E77" s="36"/>
      <c r="F77" s="24" t="s">
        <v>2</v>
      </c>
      <c r="G77" s="846"/>
      <c r="H77" s="36"/>
      <c r="I77" s="36"/>
      <c r="J77" s="36"/>
      <c r="K77" s="24" t="s">
        <v>2</v>
      </c>
      <c r="M77" s="34"/>
      <c r="N77" s="34"/>
      <c r="O77" s="34"/>
      <c r="P77" s="34"/>
      <c r="Q77" s="864"/>
      <c r="R77" s="865"/>
      <c r="S77" s="864"/>
      <c r="T77" s="714"/>
      <c r="U77" s="1013"/>
      <c r="Y77" s="34"/>
      <c r="AD77" s="31"/>
      <c r="AE77" s="31"/>
      <c r="AJ77" s="31"/>
      <c r="AN77" s="1">
        <v>0</v>
      </c>
      <c r="AP77" s="1" t="b">
        <v>0</v>
      </c>
    </row>
    <row r="78" spans="2:42" ht="17.25" hidden="1" customHeight="1">
      <c r="B78" s="1012"/>
      <c r="C78" s="713"/>
      <c r="D78" s="36"/>
      <c r="E78" s="36"/>
      <c r="F78" s="24" t="s">
        <v>19</v>
      </c>
      <c r="G78" s="846"/>
      <c r="H78" s="36"/>
      <c r="I78" s="36"/>
      <c r="J78" s="36"/>
      <c r="K78" s="24" t="s">
        <v>19</v>
      </c>
      <c r="M78" s="34"/>
      <c r="N78" s="34"/>
      <c r="O78" s="34"/>
      <c r="P78" s="34"/>
      <c r="Q78" s="864"/>
      <c r="R78" s="865"/>
      <c r="S78" s="864"/>
      <c r="T78" s="714"/>
      <c r="U78" s="1013"/>
      <c r="Y78" s="34"/>
      <c r="AD78" s="31"/>
      <c r="AE78" s="31"/>
      <c r="AJ78" s="31"/>
    </row>
    <row r="79" spans="2:42" ht="17.25" hidden="1" customHeight="1">
      <c r="B79" s="1012"/>
      <c r="C79" s="713"/>
      <c r="D79" s="36"/>
      <c r="E79" s="36"/>
      <c r="F79" s="24" t="s">
        <v>20</v>
      </c>
      <c r="G79" s="846"/>
      <c r="H79" s="36"/>
      <c r="I79" s="36"/>
      <c r="J79" s="36"/>
      <c r="K79" s="24" t="s">
        <v>20</v>
      </c>
      <c r="M79" s="34"/>
      <c r="N79" s="34"/>
      <c r="O79" s="34"/>
      <c r="P79" s="34"/>
      <c r="Q79" s="864"/>
      <c r="R79" s="865"/>
      <c r="S79" s="864"/>
      <c r="T79" s="714"/>
      <c r="U79" s="1013"/>
      <c r="Y79" s="34"/>
      <c r="AD79" s="31"/>
      <c r="AE79" s="31"/>
      <c r="AJ79" s="31"/>
    </row>
    <row r="80" spans="2:42" ht="17.25" customHeight="1">
      <c r="B80" s="1012"/>
      <c r="C80" s="713"/>
      <c r="D80" s="935" t="s">
        <v>9087</v>
      </c>
      <c r="E80" s="910"/>
      <c r="F80" s="924" t="s">
        <v>3</v>
      </c>
      <c r="G80" s="846"/>
      <c r="H80" s="935" t="s">
        <v>107</v>
      </c>
      <c r="I80" s="910"/>
      <c r="J80" s="1484" t="s">
        <v>3</v>
      </c>
      <c r="K80" s="1484"/>
      <c r="M80" s="34"/>
      <c r="N80" s="34"/>
      <c r="O80" s="34"/>
      <c r="P80" s="34"/>
      <c r="Q80" s="931">
        <f>SUM(W72:X85)</f>
        <v>0</v>
      </c>
      <c r="R80" s="47"/>
      <c r="S80" s="931">
        <f>IF(D10="",0,MAX(Q80,HEM_RATE(IF(ISBLANK(D11),"Single GROSS","Couple GROSS"),SUM(F122:F123),E10+E11,IF(D11="",G10,""))))</f>
        <v>0</v>
      </c>
      <c r="T80" s="714"/>
      <c r="U80" s="1013"/>
      <c r="W80" s="931">
        <f t="shared" ref="W80:W85" si="0">CONVERT_TO_MONTHLY(E80,F80)</f>
        <v>0</v>
      </c>
      <c r="X80" s="931">
        <f t="shared" ref="X80:X85" si="1">CONVERT_TO_MONTHLY(I80,J80)</f>
        <v>0</v>
      </c>
      <c r="AD80" s="31"/>
      <c r="AE80" s="31"/>
      <c r="AJ80" s="31"/>
    </row>
    <row r="81" spans="2:36" ht="17.25" customHeight="1">
      <c r="B81" s="1012"/>
      <c r="C81" s="713"/>
      <c r="D81" s="935" t="s">
        <v>108</v>
      </c>
      <c r="E81" s="910"/>
      <c r="F81" s="924" t="s">
        <v>3</v>
      </c>
      <c r="G81" s="846"/>
      <c r="H81" s="935" t="s">
        <v>109</v>
      </c>
      <c r="I81" s="910"/>
      <c r="J81" s="1484" t="s">
        <v>3</v>
      </c>
      <c r="K81" s="1484"/>
      <c r="M81" s="34"/>
      <c r="N81" s="34"/>
      <c r="O81" s="34"/>
      <c r="P81" s="34"/>
      <c r="Q81" s="834"/>
      <c r="R81" s="834"/>
      <c r="S81" s="834"/>
      <c r="T81" s="714"/>
      <c r="U81" s="1013"/>
      <c r="W81" s="931">
        <f t="shared" si="0"/>
        <v>0</v>
      </c>
      <c r="X81" s="931">
        <f t="shared" si="1"/>
        <v>0</v>
      </c>
      <c r="AD81" s="31"/>
      <c r="AE81" s="31"/>
      <c r="AJ81" s="31"/>
    </row>
    <row r="82" spans="2:36" ht="17.25" customHeight="1">
      <c r="B82" s="1012"/>
      <c r="C82" s="713"/>
      <c r="D82" s="935" t="s">
        <v>110</v>
      </c>
      <c r="E82" s="910"/>
      <c r="F82" s="924" t="s">
        <v>3</v>
      </c>
      <c r="G82" s="846"/>
      <c r="H82" s="935" t="s">
        <v>111</v>
      </c>
      <c r="I82" s="910"/>
      <c r="J82" s="1484" t="s">
        <v>3</v>
      </c>
      <c r="K82" s="1484"/>
      <c r="M82" s="34"/>
      <c r="N82" s="34"/>
      <c r="O82" s="34"/>
      <c r="P82" s="34"/>
      <c r="Q82" s="834"/>
      <c r="R82" s="834"/>
      <c r="S82" s="834"/>
      <c r="T82" s="714"/>
      <c r="U82" s="1013"/>
      <c r="W82" s="931">
        <f t="shared" si="0"/>
        <v>0</v>
      </c>
      <c r="X82" s="931">
        <f t="shared" si="1"/>
        <v>0</v>
      </c>
      <c r="AD82" s="31"/>
      <c r="AE82" s="31"/>
      <c r="AJ82" s="31"/>
    </row>
    <row r="83" spans="2:36" ht="17.25" customHeight="1">
      <c r="B83" s="1012"/>
      <c r="C83" s="713"/>
      <c r="D83" s="935" t="s">
        <v>112</v>
      </c>
      <c r="E83" s="910"/>
      <c r="F83" s="924" t="s">
        <v>3</v>
      </c>
      <c r="G83" s="846"/>
      <c r="H83" s="935" t="s">
        <v>113</v>
      </c>
      <c r="I83" s="910"/>
      <c r="J83" s="1484" t="s">
        <v>3</v>
      </c>
      <c r="K83" s="1484"/>
      <c r="M83" s="34"/>
      <c r="N83" s="34"/>
      <c r="O83" s="34"/>
      <c r="P83" s="34"/>
      <c r="Q83" s="834"/>
      <c r="R83" s="834"/>
      <c r="S83" s="834"/>
      <c r="T83" s="714"/>
      <c r="U83" s="1013"/>
      <c r="W83" s="931">
        <f t="shared" si="0"/>
        <v>0</v>
      </c>
      <c r="X83" s="931">
        <f t="shared" si="1"/>
        <v>0</v>
      </c>
      <c r="AD83" s="31"/>
      <c r="AE83" s="31"/>
      <c r="AJ83" s="31"/>
    </row>
    <row r="84" spans="2:36" ht="17.25" customHeight="1">
      <c r="B84" s="1012"/>
      <c r="C84" s="713"/>
      <c r="D84" s="935" t="s">
        <v>114</v>
      </c>
      <c r="E84" s="910"/>
      <c r="F84" s="924" t="s">
        <v>3</v>
      </c>
      <c r="G84" s="846"/>
      <c r="H84" s="935" t="s">
        <v>115</v>
      </c>
      <c r="I84" s="910"/>
      <c r="J84" s="1484" t="s">
        <v>3</v>
      </c>
      <c r="K84" s="1484"/>
      <c r="M84" s="34"/>
      <c r="N84" s="34"/>
      <c r="O84" s="34"/>
      <c r="P84" s="34"/>
      <c r="Q84" s="834"/>
      <c r="R84" s="834"/>
      <c r="S84" s="834"/>
      <c r="T84" s="714"/>
      <c r="U84" s="1013"/>
      <c r="W84" s="931">
        <f t="shared" si="0"/>
        <v>0</v>
      </c>
      <c r="X84" s="931">
        <f t="shared" si="1"/>
        <v>0</v>
      </c>
      <c r="AD84" s="31"/>
      <c r="AE84" s="31"/>
      <c r="AJ84" s="31"/>
    </row>
    <row r="85" spans="2:36" ht="17.25" customHeight="1">
      <c r="B85" s="1012"/>
      <c r="C85" s="713"/>
      <c r="D85" s="935" t="s">
        <v>116</v>
      </c>
      <c r="E85" s="910"/>
      <c r="F85" s="924" t="s">
        <v>3</v>
      </c>
      <c r="G85" s="846"/>
      <c r="H85" s="935" t="s">
        <v>117</v>
      </c>
      <c r="I85" s="910"/>
      <c r="J85" s="1484" t="s">
        <v>3</v>
      </c>
      <c r="K85" s="1484"/>
      <c r="M85" s="34"/>
      <c r="N85" s="34"/>
      <c r="O85" s="34"/>
      <c r="P85" s="34"/>
      <c r="Q85" s="834"/>
      <c r="R85" s="834"/>
      <c r="S85" s="834"/>
      <c r="T85" s="714"/>
      <c r="U85" s="1013"/>
      <c r="W85" s="931">
        <f t="shared" si="0"/>
        <v>0</v>
      </c>
      <c r="X85" s="931">
        <f t="shared" si="1"/>
        <v>0</v>
      </c>
      <c r="AD85" s="31"/>
      <c r="AE85" s="31"/>
      <c r="AJ85" s="31"/>
    </row>
    <row r="86" spans="2:36" ht="4.5" customHeight="1">
      <c r="B86" s="1012"/>
      <c r="C86" s="713"/>
      <c r="M86" s="34"/>
      <c r="N86" s="34"/>
      <c r="O86" s="34"/>
      <c r="P86" s="34"/>
      <c r="Q86" s="834"/>
      <c r="R86" s="834"/>
      <c r="S86" s="834"/>
      <c r="T86" s="714"/>
      <c r="U86" s="1013"/>
      <c r="AD86" s="31"/>
      <c r="AE86" s="31"/>
      <c r="AJ86" s="31"/>
    </row>
    <row r="87" spans="2:36" ht="17.25" customHeight="1">
      <c r="B87" s="1012"/>
      <c r="C87" s="713"/>
      <c r="D87" s="858" t="s">
        <v>118</v>
      </c>
      <c r="M87" s="34"/>
      <c r="N87" s="34"/>
      <c r="O87" s="34"/>
      <c r="P87" s="34"/>
      <c r="Q87" s="40"/>
      <c r="R87" s="40"/>
      <c r="S87" s="40"/>
      <c r="T87" s="714"/>
      <c r="U87" s="1013"/>
      <c r="AD87" s="31"/>
      <c r="AE87" s="31"/>
      <c r="AJ87" s="31"/>
    </row>
    <row r="88" spans="2:36" ht="17.25" customHeight="1">
      <c r="B88" s="1012"/>
      <c r="C88" s="713"/>
      <c r="D88" s="36" t="s">
        <v>13</v>
      </c>
      <c r="E88" s="36" t="s">
        <v>14</v>
      </c>
      <c r="F88" s="36" t="s">
        <v>15</v>
      </c>
      <c r="H88" s="36" t="s">
        <v>13</v>
      </c>
      <c r="I88" s="36" t="s">
        <v>14</v>
      </c>
      <c r="J88" s="1482" t="s">
        <v>15</v>
      </c>
      <c r="K88" s="1482"/>
      <c r="L88" s="36" t="s">
        <v>71</v>
      </c>
      <c r="N88" s="34"/>
      <c r="O88" s="34"/>
      <c r="P88" s="34"/>
      <c r="Q88" s="40"/>
      <c r="R88" s="40"/>
      <c r="S88" s="40"/>
      <c r="T88" s="714"/>
      <c r="U88" s="1013"/>
      <c r="AD88" s="31"/>
      <c r="AE88" s="31"/>
      <c r="AJ88" s="31"/>
    </row>
    <row r="89" spans="2:36" ht="17.25" hidden="1" customHeight="1">
      <c r="B89" s="1012"/>
      <c r="C89" s="713"/>
      <c r="D89" s="36"/>
      <c r="E89" s="36"/>
      <c r="F89" s="24" t="s">
        <v>16</v>
      </c>
      <c r="G89" s="36"/>
      <c r="M89" s="34"/>
      <c r="N89" s="34"/>
      <c r="O89" s="34"/>
      <c r="P89" s="34"/>
      <c r="Q89" s="40"/>
      <c r="R89" s="40"/>
      <c r="S89" s="40"/>
      <c r="T89" s="714"/>
      <c r="U89" s="1013"/>
      <c r="AD89" s="31"/>
      <c r="AE89" s="31"/>
      <c r="AJ89" s="31"/>
    </row>
    <row r="90" spans="2:36" ht="17.25" hidden="1" customHeight="1">
      <c r="B90" s="1012"/>
      <c r="C90" s="713"/>
      <c r="D90" s="36"/>
      <c r="E90" s="36"/>
      <c r="F90" s="24" t="s">
        <v>17</v>
      </c>
      <c r="G90" s="36"/>
      <c r="M90" s="34"/>
      <c r="N90" s="34"/>
      <c r="O90" s="34"/>
      <c r="P90" s="34"/>
      <c r="Q90" s="40"/>
      <c r="R90" s="40"/>
      <c r="S90" s="40"/>
      <c r="T90" s="714"/>
      <c r="U90" s="1013"/>
      <c r="AD90" s="31"/>
      <c r="AE90" s="31"/>
      <c r="AJ90" s="31"/>
    </row>
    <row r="91" spans="2:36" ht="17.25" hidden="1" customHeight="1">
      <c r="B91" s="1012"/>
      <c r="C91" s="713"/>
      <c r="D91" s="36"/>
      <c r="E91" s="36"/>
      <c r="F91" s="24" t="s">
        <v>3</v>
      </c>
      <c r="G91" s="36"/>
      <c r="M91" s="34"/>
      <c r="N91" s="34"/>
      <c r="O91" s="34"/>
      <c r="P91" s="34"/>
      <c r="Q91" s="40"/>
      <c r="R91" s="40"/>
      <c r="S91" s="40"/>
      <c r="T91" s="714"/>
      <c r="U91" s="1013"/>
      <c r="AD91" s="31"/>
      <c r="AE91" s="31"/>
      <c r="AJ91" s="31"/>
    </row>
    <row r="92" spans="2:36" ht="17.25" hidden="1" customHeight="1">
      <c r="B92" s="1012"/>
      <c r="C92" s="713"/>
      <c r="D92" s="36"/>
      <c r="E92" s="36"/>
      <c r="F92" s="24" t="s">
        <v>18</v>
      </c>
      <c r="G92" s="36"/>
      <c r="M92" s="34"/>
      <c r="N92" s="34"/>
      <c r="O92" s="34"/>
      <c r="P92" s="34"/>
      <c r="Q92" s="40"/>
      <c r="R92" s="40"/>
      <c r="S92" s="40"/>
      <c r="T92" s="714"/>
      <c r="U92" s="1013"/>
      <c r="AD92" s="31"/>
      <c r="AE92" s="31"/>
      <c r="AJ92" s="31"/>
    </row>
    <row r="93" spans="2:36" ht="17.25" hidden="1" customHeight="1">
      <c r="B93" s="1012"/>
      <c r="C93" s="713"/>
      <c r="D93" s="36"/>
      <c r="E93" s="36"/>
      <c r="F93" s="24" t="s">
        <v>2</v>
      </c>
      <c r="G93" s="36"/>
      <c r="M93" s="34"/>
      <c r="N93" s="34"/>
      <c r="O93" s="34"/>
      <c r="P93" s="34"/>
      <c r="Q93" s="40"/>
      <c r="R93" s="40"/>
      <c r="S93" s="40"/>
      <c r="T93" s="714"/>
      <c r="U93" s="1013"/>
      <c r="AD93" s="31"/>
      <c r="AE93" s="31"/>
      <c r="AJ93" s="31"/>
    </row>
    <row r="94" spans="2:36" ht="17.25" hidden="1" customHeight="1">
      <c r="B94" s="1012"/>
      <c r="C94" s="713"/>
      <c r="D94" s="36"/>
      <c r="E94" s="36"/>
      <c r="F94" s="24" t="s">
        <v>19</v>
      </c>
      <c r="G94" s="36"/>
      <c r="M94" s="34"/>
      <c r="N94" s="34"/>
      <c r="O94" s="34"/>
      <c r="P94" s="34"/>
      <c r="Q94" s="40"/>
      <c r="R94" s="40"/>
      <c r="S94" s="40"/>
      <c r="T94" s="714"/>
      <c r="U94" s="1013"/>
      <c r="AD94" s="31"/>
      <c r="AE94" s="31"/>
      <c r="AJ94" s="31"/>
    </row>
    <row r="95" spans="2:36" ht="17.25" hidden="1" customHeight="1">
      <c r="B95" s="1012"/>
      <c r="C95" s="713"/>
      <c r="D95" s="36"/>
      <c r="E95" s="36"/>
      <c r="F95" s="24" t="s">
        <v>20</v>
      </c>
      <c r="G95" s="36"/>
      <c r="M95" s="34"/>
      <c r="N95" s="34"/>
      <c r="O95" s="34"/>
      <c r="P95" s="34"/>
      <c r="Q95" s="40"/>
      <c r="R95" s="40"/>
      <c r="S95" s="40"/>
      <c r="T95" s="714"/>
      <c r="U95" s="1013"/>
      <c r="AD95" s="31"/>
      <c r="AE95" s="31"/>
      <c r="AJ95" s="31"/>
    </row>
    <row r="96" spans="2:36" ht="17.25" customHeight="1">
      <c r="B96" s="1012"/>
      <c r="C96" s="713"/>
      <c r="D96" s="935" t="s">
        <v>119</v>
      </c>
      <c r="E96" s="910"/>
      <c r="F96" s="924" t="s">
        <v>3</v>
      </c>
      <c r="G96" s="846"/>
      <c r="H96" s="935" t="s">
        <v>120</v>
      </c>
      <c r="I96" s="910"/>
      <c r="J96" s="1484" t="s">
        <v>3</v>
      </c>
      <c r="K96" s="1484"/>
      <c r="L96" s="1479"/>
      <c r="M96" s="1479"/>
      <c r="N96" s="1479"/>
      <c r="O96" s="34"/>
      <c r="P96" s="866"/>
      <c r="Q96" s="931">
        <f>CONVERT_TO_MONTHLY(E96,F96) + CONVERT_TO_MONTHLY(I96,J96)</f>
        <v>0</v>
      </c>
      <c r="R96" s="47"/>
      <c r="S96" s="931">
        <f>IF(F10="",0,MAX(W96,VLOOKUP(F10,'Configurable Items'!$D$4791:$E$4797,2,FALSE)))+X96</f>
        <v>0</v>
      </c>
      <c r="T96" s="714"/>
      <c r="U96" s="1013"/>
      <c r="W96" s="931">
        <f>CONVERT_TO_MONTHLY(E96,F96)</f>
        <v>0</v>
      </c>
      <c r="X96" s="931">
        <f>CONVERT_TO_MONTHLY(I96,J96)</f>
        <v>0</v>
      </c>
      <c r="AD96" s="31"/>
      <c r="AE96" s="31"/>
      <c r="AJ96" s="31"/>
    </row>
    <row r="97" spans="2:39" ht="17.25" customHeight="1">
      <c r="B97" s="1012"/>
      <c r="C97" s="713"/>
      <c r="D97" s="935" t="s">
        <v>121</v>
      </c>
      <c r="E97" s="910"/>
      <c r="F97" s="924" t="s">
        <v>3</v>
      </c>
      <c r="G97" s="846"/>
      <c r="H97" s="935" t="s">
        <v>122</v>
      </c>
      <c r="I97" s="910"/>
      <c r="J97" s="1484" t="s">
        <v>3</v>
      </c>
      <c r="K97" s="1484"/>
      <c r="L97" s="1479"/>
      <c r="M97" s="1479"/>
      <c r="N97" s="1479"/>
      <c r="O97" s="34"/>
      <c r="P97" s="866"/>
      <c r="Q97" s="931">
        <f>CONVERT_TO_MONTHLY(E97,F97) + CONVERT_TO_MONTHLY(I97,J97)</f>
        <v>0</v>
      </c>
      <c r="R97" s="47"/>
      <c r="S97" s="931">
        <f>Q97</f>
        <v>0</v>
      </c>
      <c r="T97" s="714"/>
      <c r="U97" s="1013"/>
      <c r="W97" s="931">
        <f>CONVERT_TO_MONTHLY(E97,F97)</f>
        <v>0</v>
      </c>
      <c r="X97" s="931">
        <f>CONVERT_TO_MONTHLY(I97,J97)</f>
        <v>0</v>
      </c>
      <c r="AD97" s="31"/>
      <c r="AE97" s="31"/>
      <c r="AJ97" s="31"/>
    </row>
    <row r="98" spans="2:39" ht="17.25" customHeight="1">
      <c r="B98" s="1012"/>
      <c r="C98" s="713"/>
      <c r="D98" s="935" t="s">
        <v>123</v>
      </c>
      <c r="E98" s="910"/>
      <c r="F98" s="924" t="s">
        <v>3</v>
      </c>
      <c r="G98" s="846"/>
      <c r="H98" s="935" t="s">
        <v>124</v>
      </c>
      <c r="I98" s="910"/>
      <c r="J98" s="1484" t="s">
        <v>3</v>
      </c>
      <c r="K98" s="1484"/>
      <c r="L98" s="1479"/>
      <c r="M98" s="1479"/>
      <c r="N98" s="1479"/>
      <c r="O98" s="34"/>
      <c r="P98" s="866"/>
      <c r="Q98" s="931">
        <f>CONVERT_TO_MONTHLY(E98,F98) + CONVERT_TO_MONTHLY(I98,J98)</f>
        <v>0</v>
      </c>
      <c r="R98" s="47"/>
      <c r="S98" s="931">
        <f>Q98</f>
        <v>0</v>
      </c>
      <c r="T98" s="714"/>
      <c r="U98" s="1013"/>
      <c r="W98" s="931">
        <f>CONVERT_TO_MONTHLY(E98,F98)</f>
        <v>0</v>
      </c>
      <c r="X98" s="931">
        <f>CONVERT_TO_MONTHLY(I98,J98)</f>
        <v>0</v>
      </c>
      <c r="AD98" s="31"/>
      <c r="AE98" s="31"/>
      <c r="AJ98" s="31"/>
    </row>
    <row r="99" spans="2:39" ht="17.25" customHeight="1">
      <c r="B99" s="1012"/>
      <c r="C99" s="713"/>
      <c r="D99" s="935" t="s">
        <v>9086</v>
      </c>
      <c r="E99" s="910"/>
      <c r="F99" s="924" t="s">
        <v>3</v>
      </c>
      <c r="G99" s="846"/>
      <c r="H99" s="935" t="s">
        <v>58</v>
      </c>
      <c r="I99" s="910"/>
      <c r="J99" s="1484" t="s">
        <v>3</v>
      </c>
      <c r="K99" s="1484"/>
      <c r="L99" s="1479"/>
      <c r="M99" s="1479"/>
      <c r="N99" s="1479"/>
      <c r="O99" s="34"/>
      <c r="P99" s="866"/>
      <c r="Q99" s="931">
        <f>CONVERT_TO_MONTHLY(E99,F99) + CONVERT_TO_MONTHLY(I99,J99)</f>
        <v>0</v>
      </c>
      <c r="R99" s="47"/>
      <c r="S99" s="931">
        <f>Q99</f>
        <v>0</v>
      </c>
      <c r="T99" s="714"/>
      <c r="U99" s="1013"/>
      <c r="W99" s="931">
        <f>CONVERT_TO_MONTHLY(E99,F99)</f>
        <v>0</v>
      </c>
      <c r="X99" s="931">
        <f>CONVERT_TO_MONTHLY(I99,J99)</f>
        <v>0</v>
      </c>
      <c r="AD99" s="31"/>
      <c r="AE99" s="31"/>
      <c r="AJ99" s="31"/>
    </row>
    <row r="100" spans="2:39" ht="17.25" customHeight="1">
      <c r="B100" s="1012"/>
      <c r="C100" s="713"/>
      <c r="D100" s="935" t="s">
        <v>125</v>
      </c>
      <c r="E100" s="931">
        <f>AL51</f>
        <v>0</v>
      </c>
      <c r="F100" s="935" t="s">
        <v>3</v>
      </c>
      <c r="G100" s="846"/>
      <c r="P100" s="866"/>
      <c r="Q100" s="931">
        <f>CONVERT_TO_MONTHLY(E100,F100)</f>
        <v>0</v>
      </c>
      <c r="R100" s="47"/>
      <c r="S100" s="931">
        <f>AK51</f>
        <v>0</v>
      </c>
      <c r="T100" s="714"/>
      <c r="U100" s="1013"/>
      <c r="W100" s="931">
        <f>CONVERT_TO_MONTHLY(E100,F100)</f>
        <v>0</v>
      </c>
      <c r="AD100" s="31"/>
      <c r="AE100" s="31"/>
      <c r="AJ100" s="31"/>
    </row>
    <row r="101" spans="2:39" ht="17.25" customHeight="1">
      <c r="B101" s="1012"/>
      <c r="C101" s="713"/>
      <c r="N101" s="34"/>
      <c r="O101" s="34"/>
      <c r="P101" s="34"/>
      <c r="Q101" s="56">
        <f t="array" ref="Q101">SUM(ROUND(Q96:Q100,2))+ Q80</f>
        <v>0</v>
      </c>
      <c r="R101" s="834"/>
      <c r="S101" s="56">
        <f t="array" ref="S101">SUM(ROUND(S96:S100,2))+ S80</f>
        <v>0</v>
      </c>
      <c r="T101" s="714"/>
      <c r="U101" s="1013"/>
      <c r="AD101" s="31"/>
      <c r="AE101" s="31"/>
      <c r="AJ101" s="31"/>
    </row>
    <row r="102" spans="2:39" ht="17.25" customHeight="1">
      <c r="B102" s="1012"/>
      <c r="C102" s="713"/>
      <c r="D102" s="867" t="s">
        <v>126</v>
      </c>
      <c r="E102" s="34"/>
      <c r="F102" s="34"/>
      <c r="G102" s="34"/>
      <c r="H102" s="34"/>
      <c r="I102" s="34"/>
      <c r="J102" s="34"/>
      <c r="K102" s="34"/>
      <c r="L102" s="34"/>
      <c r="M102" s="34"/>
      <c r="N102" s="34"/>
      <c r="O102" s="34"/>
      <c r="P102" s="34"/>
      <c r="Q102" s="838"/>
      <c r="R102" s="493"/>
      <c r="S102" s="838"/>
      <c r="T102" s="714"/>
      <c r="U102" s="1013"/>
      <c r="AA102" s="39" t="s">
        <v>87</v>
      </c>
      <c r="AB102" s="39" t="s">
        <v>63</v>
      </c>
      <c r="AC102" s="39"/>
      <c r="AD102" s="39" t="s">
        <v>64</v>
      </c>
      <c r="AE102" s="39"/>
      <c r="AF102" s="39" t="s">
        <v>65</v>
      </c>
      <c r="AG102" s="39" t="s">
        <v>8607</v>
      </c>
      <c r="AH102" s="39"/>
      <c r="AI102" s="39"/>
      <c r="AJ102" s="31"/>
    </row>
    <row r="103" spans="2:39" ht="17.25" customHeight="1">
      <c r="B103" s="1012"/>
      <c r="C103" s="902"/>
      <c r="D103" s="36" t="s">
        <v>14</v>
      </c>
      <c r="E103" s="36" t="s">
        <v>127</v>
      </c>
      <c r="F103" s="36" t="s">
        <v>89</v>
      </c>
      <c r="G103" s="36" t="s">
        <v>8597</v>
      </c>
      <c r="H103" s="36" t="s">
        <v>128</v>
      </c>
      <c r="I103" s="36" t="s">
        <v>129</v>
      </c>
      <c r="J103" s="1482" t="s">
        <v>8650</v>
      </c>
      <c r="K103" s="1482"/>
      <c r="L103" s="36" t="s">
        <v>132</v>
      </c>
      <c r="M103" s="36" t="s">
        <v>133</v>
      </c>
      <c r="N103" s="36" t="s">
        <v>134</v>
      </c>
      <c r="O103" s="36" t="s">
        <v>135</v>
      </c>
      <c r="P103" s="850"/>
      <c r="Q103" s="39" t="s">
        <v>93</v>
      </c>
      <c r="R103" s="47"/>
      <c r="S103" s="39" t="s">
        <v>94</v>
      </c>
      <c r="T103" s="714"/>
      <c r="U103" s="1013"/>
      <c r="W103" s="39" t="str">
        <f>$D$10 &amp; " Deducation"</f>
        <v xml:space="preserve"> Deducation</v>
      </c>
      <c r="X103" s="39" t="str">
        <f>$D$11 &amp; " Deducation"</f>
        <v xml:space="preserve"> Deducation</v>
      </c>
      <c r="Y103" s="39" t="s">
        <v>8598</v>
      </c>
      <c r="Z103" s="39" t="s">
        <v>8609</v>
      </c>
      <c r="AB103" s="39" t="str">
        <f>IF($D$10="","",$D$10)</f>
        <v/>
      </c>
      <c r="AC103" s="39" t="str">
        <f>IF($D$11="","",$D$11)</f>
        <v/>
      </c>
      <c r="AD103" s="39" t="str">
        <f>IF($D$10="","",$D$10)</f>
        <v/>
      </c>
      <c r="AE103" s="39" t="str">
        <f>IF($D$11="","",$D$11)</f>
        <v/>
      </c>
      <c r="AF103" s="39"/>
      <c r="AG103" s="39" t="s">
        <v>8627</v>
      </c>
      <c r="AH103" s="39" t="s">
        <v>8611</v>
      </c>
      <c r="AI103" s="39" t="s">
        <v>8610</v>
      </c>
      <c r="AK103" s="39" t="s">
        <v>8625</v>
      </c>
    </row>
    <row r="104" spans="2:39" ht="17.25" hidden="1" customHeight="1">
      <c r="B104" s="1012"/>
      <c r="C104" s="902"/>
      <c r="D104" s="36"/>
      <c r="E104" s="36"/>
      <c r="F104" s="36"/>
      <c r="G104" s="36"/>
      <c r="H104" s="24" t="s">
        <v>136</v>
      </c>
      <c r="I104" s="36"/>
      <c r="J104" s="36"/>
      <c r="K104" s="36"/>
      <c r="L104" s="36"/>
      <c r="M104" s="36"/>
      <c r="N104" s="36"/>
      <c r="O104" s="36"/>
      <c r="P104" s="850"/>
      <c r="Q104" s="39"/>
      <c r="R104" s="47"/>
      <c r="S104" s="39"/>
      <c r="T104" s="714"/>
      <c r="U104" s="1013"/>
      <c r="AB104" s="32"/>
      <c r="AC104" s="32"/>
      <c r="AD104" s="32"/>
      <c r="AE104" s="32"/>
      <c r="AK104" s="31"/>
    </row>
    <row r="105" spans="2:39" ht="17.25" hidden="1" customHeight="1">
      <c r="B105" s="1012"/>
      <c r="C105" s="902"/>
      <c r="D105" s="36"/>
      <c r="E105" s="36"/>
      <c r="F105" s="36"/>
      <c r="G105" s="36"/>
      <c r="H105" s="24" t="s">
        <v>137</v>
      </c>
      <c r="I105" s="36"/>
      <c r="J105" s="36"/>
      <c r="K105" s="36"/>
      <c r="L105" s="36"/>
      <c r="M105" s="36"/>
      <c r="N105" s="36"/>
      <c r="O105" s="36"/>
      <c r="P105" s="850"/>
      <c r="Q105" s="39"/>
      <c r="R105" s="47"/>
      <c r="S105" s="39"/>
      <c r="T105" s="714"/>
      <c r="U105" s="1013"/>
      <c r="AB105" s="32"/>
      <c r="AC105" s="32"/>
      <c r="AD105" s="32"/>
      <c r="AE105" s="32"/>
      <c r="AK105" s="31"/>
    </row>
    <row r="106" spans="2:39" ht="17.25" hidden="1" customHeight="1">
      <c r="B106" s="1012"/>
      <c r="C106" s="902"/>
      <c r="D106" s="36"/>
      <c r="E106" s="36"/>
      <c r="F106" s="36"/>
      <c r="G106" s="36"/>
      <c r="H106" s="24" t="s">
        <v>138</v>
      </c>
      <c r="I106" s="36"/>
      <c r="J106" s="36"/>
      <c r="K106" s="36"/>
      <c r="L106" s="36"/>
      <c r="M106" s="36"/>
      <c r="N106" s="36"/>
      <c r="O106" s="36"/>
      <c r="P106" s="850"/>
      <c r="Q106" s="39"/>
      <c r="R106" s="47"/>
      <c r="S106" s="39"/>
      <c r="T106" s="714"/>
      <c r="U106" s="1013"/>
      <c r="AB106" s="32"/>
      <c r="AC106" s="32"/>
      <c r="AD106" s="32"/>
      <c r="AE106" s="32"/>
      <c r="AK106" s="31"/>
    </row>
    <row r="107" spans="2:39" ht="17.25" hidden="1" customHeight="1">
      <c r="B107" s="1012"/>
      <c r="C107" s="902"/>
      <c r="D107" s="36"/>
      <c r="E107" s="36"/>
      <c r="F107" s="36"/>
      <c r="G107" s="36"/>
      <c r="H107" s="24" t="s">
        <v>139</v>
      </c>
      <c r="I107" s="36"/>
      <c r="J107" s="36"/>
      <c r="K107" s="36"/>
      <c r="L107" s="36"/>
      <c r="M107" s="36"/>
      <c r="N107" s="36"/>
      <c r="O107" s="36"/>
      <c r="P107" s="850"/>
      <c r="Q107" s="39"/>
      <c r="R107" s="47"/>
      <c r="S107" s="39"/>
      <c r="T107" s="714"/>
      <c r="U107" s="1013"/>
      <c r="AB107" s="32"/>
      <c r="AC107" s="32"/>
      <c r="AD107" s="32"/>
      <c r="AE107" s="32"/>
      <c r="AK107" s="31"/>
    </row>
    <row r="108" spans="2:39" ht="17.25" hidden="1" customHeight="1">
      <c r="B108" s="1012"/>
      <c r="C108" s="902"/>
      <c r="D108" s="36"/>
      <c r="E108" s="36"/>
      <c r="F108" s="36"/>
      <c r="G108" s="24"/>
      <c r="H108" s="24" t="s">
        <v>140</v>
      </c>
      <c r="I108" s="36"/>
      <c r="J108" s="36"/>
      <c r="K108" s="36"/>
      <c r="L108" s="36"/>
      <c r="M108" s="36"/>
      <c r="N108" s="36"/>
      <c r="O108" s="36"/>
      <c r="P108" s="850"/>
      <c r="Q108" s="39"/>
      <c r="R108" s="47"/>
      <c r="S108" s="39"/>
      <c r="T108" s="714"/>
      <c r="U108" s="1013"/>
      <c r="AB108" s="32"/>
      <c r="AC108" s="32"/>
      <c r="AD108" s="32"/>
      <c r="AE108" s="32"/>
      <c r="AK108" s="31"/>
    </row>
    <row r="109" spans="2:39" ht="17.25" hidden="1" customHeight="1">
      <c r="B109" s="1012"/>
      <c r="C109" s="902"/>
      <c r="D109" s="36"/>
      <c r="E109" s="36"/>
      <c r="F109" s="36"/>
      <c r="G109" s="24" t="s">
        <v>58</v>
      </c>
      <c r="H109" s="24" t="s">
        <v>141</v>
      </c>
      <c r="I109" s="36"/>
      <c r="J109" s="36"/>
      <c r="K109" s="36"/>
      <c r="L109" s="36"/>
      <c r="M109" s="36"/>
      <c r="N109" s="36"/>
      <c r="O109" s="36"/>
      <c r="P109" s="850"/>
      <c r="Q109" s="39"/>
      <c r="R109" s="47"/>
      <c r="S109" s="39"/>
      <c r="T109" s="714"/>
      <c r="U109" s="1013"/>
      <c r="AB109" s="32"/>
      <c r="AC109" s="32"/>
      <c r="AD109" s="32"/>
      <c r="AE109" s="32"/>
      <c r="AK109" s="31"/>
    </row>
    <row r="110" spans="2:39" ht="17.25" hidden="1" customHeight="1">
      <c r="B110" s="1012"/>
      <c r="C110" s="902"/>
      <c r="D110" s="36"/>
      <c r="E110" s="24" t="b">
        <v>1</v>
      </c>
      <c r="F110" s="24" t="b">
        <v>1</v>
      </c>
      <c r="G110" s="24" t="str">
        <f>IF($D$11="","Other",$D$11)</f>
        <v>Other</v>
      </c>
      <c r="H110" s="24" t="s">
        <v>142</v>
      </c>
      <c r="I110" s="868"/>
      <c r="J110" s="868"/>
      <c r="K110" s="868"/>
      <c r="L110" s="36"/>
      <c r="M110" s="36"/>
      <c r="N110" s="868">
        <v>1.4999999999999999E-2</v>
      </c>
      <c r="O110" s="36"/>
      <c r="P110" s="850"/>
      <c r="Q110" s="39"/>
      <c r="R110" s="47"/>
      <c r="S110" s="39"/>
      <c r="T110" s="714"/>
      <c r="U110" s="1013"/>
      <c r="AB110" s="32"/>
      <c r="AC110" s="32"/>
      <c r="AD110" s="32"/>
      <c r="AE110" s="32"/>
      <c r="AK110" s="31"/>
    </row>
    <row r="111" spans="2:39" ht="17.25" hidden="1" customHeight="1">
      <c r="B111" s="1012"/>
      <c r="C111" s="902"/>
      <c r="D111" s="36"/>
      <c r="E111" s="24" t="b">
        <v>0</v>
      </c>
      <c r="F111" s="24"/>
      <c r="G111" s="24">
        <f>$D$10</f>
        <v>0</v>
      </c>
      <c r="H111" s="24" t="s">
        <v>161</v>
      </c>
      <c r="I111" s="868"/>
      <c r="J111" s="868"/>
      <c r="K111" s="868"/>
      <c r="L111" s="36"/>
      <c r="M111" s="36"/>
      <c r="N111" s="868">
        <v>1.4999999999999999E-2</v>
      </c>
      <c r="O111" s="36"/>
      <c r="P111" s="850"/>
      <c r="Q111" s="39"/>
      <c r="R111" s="47"/>
      <c r="S111" s="39"/>
      <c r="T111" s="714"/>
      <c r="U111" s="1013"/>
      <c r="W111" s="1018"/>
      <c r="X111" s="1018"/>
      <c r="AB111" s="32"/>
      <c r="AC111" s="32"/>
      <c r="AD111" s="32"/>
      <c r="AE111" s="32"/>
      <c r="AK111" s="31"/>
    </row>
    <row r="112" spans="2:39" ht="17.25" customHeight="1">
      <c r="B112" s="1012"/>
      <c r="C112" s="713"/>
      <c r="D112" s="910"/>
      <c r="E112" s="718" t="b">
        <v>0</v>
      </c>
      <c r="F112" s="718" t="b">
        <v>0</v>
      </c>
      <c r="G112" s="911"/>
      <c r="H112" s="912"/>
      <c r="I112" s="913"/>
      <c r="J112" s="913"/>
      <c r="K112" s="1003"/>
      <c r="L112" s="914"/>
      <c r="M112" s="934" t="str">
        <f>IF(H112="","",RATE_LOOKUP(E112,VLOOKUP(H112,'Configurable Items'!$D$4807:$I$4815,3,FALSE),VLOOKUP(H112,'Configurable Items'!$D$4807:$I$4815,2,FALSE),I112,"Initial")-L112)</f>
        <v/>
      </c>
      <c r="N112" s="1017"/>
      <c r="O112" s="934" t="str">
        <f>IF(H112="","",IF(VLOOKUP(H112,'Configurable Items'!$D$4807:$G$4815,4,FALSE),RATE_LOOKUP(E112,VLOOKUP(H112,'Configurable Items'!$D$4807:$I$4815,3,FALSE),VLOOKUP(H112,'Configurable Items'!$D$4807:$I$4815,2,FALSE),'SoP 2'!I112,"Subsequent")-N112,""))</f>
        <v/>
      </c>
      <c r="P112" s="850"/>
      <c r="Q112" s="931">
        <f>IF(H112="",0,IF(AND(J112="",K112="",H112&lt;&gt;"Bridging"),0,Repayments(D112, (J112*12)+K112, H5*12, IF(LEFT(VLOOKUP(H112,'Configurable Items'!$D$4807:$E$4815,2,FALSE),3)="Int",I112*12,0), VLOOKUP(H112,'Configurable Items'!$D$4807:$F$4815,2,FALSE), "Monthly", M112, M112, "Initial","Full")))*(AB112+AC112)</f>
        <v>0</v>
      </c>
      <c r="R112" s="47"/>
      <c r="S112" s="931">
        <f>IF(ISBLANK(H112),0,IF(AND(J112="",K112="",H112&lt;&gt;"Bridging"),0,Calculate_Repayment(IF(H112="EMA","Property Line of Credit","Home Loan"),TRUE,D112,0,"Monthly",0,IF(H112="EMA",360,IF(H112="Bridging",300,IF(VLOOKUP(H112,'Configurable Items'!$D$4807:$H$4815,5,FALSE)=TRUE,(((J112*12+K112)-(I112*12))),J112*12+K112))),IF(O112="",M112,O112),TRUE)))*AA112</f>
        <v>0</v>
      </c>
      <c r="T112" s="714"/>
      <c r="U112" s="1013"/>
      <c r="W112" s="931">
        <f>IF(AND(H112&lt;&gt;0,F112=TRUE,'Internal Ref'!$J$235&gt;0),IF(O112="",D112*M112,D112*O112),0)*AB112</f>
        <v>0</v>
      </c>
      <c r="X112" s="931">
        <f>IF(AND(H112&lt;&gt;0,F112=TRUE,'Internal Ref'!$J$235&gt;0),IF(O112="",D112*M112,D112*O112),0)*AC112</f>
        <v>0</v>
      </c>
      <c r="Y112" s="931" t="e">
        <f ca="1">VLOOKUP(G112,INDIRECT('Internal Ref'!$G$243),2,FALSE)</f>
        <v>#N/A</v>
      </c>
      <c r="Z112" s="939" t="s">
        <v>4536</v>
      </c>
      <c r="AA112" s="934">
        <f>IF(ISERR(SEARCH("^",G112)),AB112+AC112,1)</f>
        <v>1</v>
      </c>
      <c r="AB112" s="934">
        <f>IF(G112=$D$10,1,
IF(G112=$D$11,0,
IF(ISERR(SEARCH($D$10,G112)),0,
(MID(G112,LEN($D$10)+2,SEARCH("%",G112)-LEN($D$10)-2)/100))))</f>
        <v>1</v>
      </c>
      <c r="AC112" s="934">
        <f>IF($D$11="",0,IF(G112=$D$11,1,
IF(G112=$D$10,0,
IF(ISERR(SEARCH($D$11,G112)),0,
MID(G112,SEARCH($D$11,G112)+LEN($D$11)+1,LEN(G112)-(SEARCH($D$11,G112)+LEN($D$11)+IF(ISERR(SEARCH("^",G112)),1,2)))/100))))</f>
        <v>0</v>
      </c>
      <c r="AD112" s="934">
        <f>IF(SUM(AB112:AC112)=0,0,AB112/SUM(AB112:AC112))</f>
        <v>1</v>
      </c>
      <c r="AE112" s="934">
        <f>IF(SUM(AB112:AC112)=0,0,AC112/SUM(AB112:AC112))</f>
        <v>0</v>
      </c>
      <c r="AF112" s="934">
        <f>AC112+AB112</f>
        <v>1</v>
      </c>
      <c r="AG112" s="938">
        <f>IF(AH112="",0,IF(LEN(AH112)-LEN(SUBSTITUTE(AH112,"|",""))=0,"1^",LEN(AH112)-LEN(SUBSTITUTE(AH112,"|",""))))</f>
        <v>0</v>
      </c>
      <c r="AH112" s="930"/>
      <c r="AI112" s="930" t="e">
        <f ca="1">VLOOKUP(G112,INDIRECT('Internal Ref'!$G$243),4,FALSE)</f>
        <v>#N/A</v>
      </c>
      <c r="AK112" s="1483" t="str" cm="1">
        <f t="array" ref="AK112">LinkedSecurities($AB$11,AH112,AG112,"Security",$AD$10+$AD$11+$AD$12)</f>
        <v/>
      </c>
      <c r="AL112" s="1483"/>
      <c r="AM112" s="1483"/>
    </row>
    <row r="113" spans="2:36" ht="2.25" customHeight="1">
      <c r="B113" s="1012"/>
      <c r="C113" s="713"/>
      <c r="D113" s="55"/>
      <c r="E113" s="58"/>
      <c r="F113" s="57"/>
      <c r="G113" s="57"/>
      <c r="H113" s="63"/>
      <c r="I113" s="63"/>
      <c r="J113" s="63"/>
      <c r="K113" s="63"/>
      <c r="L113" s="64"/>
      <c r="M113" s="65"/>
      <c r="N113" s="32"/>
      <c r="O113" s="32"/>
      <c r="Q113" s="854"/>
      <c r="R113" s="40"/>
      <c r="S113" s="854"/>
      <c r="T113" s="714"/>
      <c r="U113" s="1013"/>
      <c r="W113" s="55"/>
      <c r="X113" s="46"/>
      <c r="AD113" s="31"/>
      <c r="AE113" s="31"/>
      <c r="AJ113" s="31"/>
    </row>
    <row r="114" spans="2:36" ht="17.25" customHeight="1">
      <c r="B114" s="1012"/>
      <c r="C114" s="713"/>
      <c r="D114" s="869">
        <f t="array" ref="D114">SUM(ROUND(D112:D113,2))</f>
        <v>0</v>
      </c>
      <c r="E114" s="32"/>
      <c r="F114" s="32"/>
      <c r="M114" s="34"/>
      <c r="N114" s="32"/>
      <c r="O114" s="32"/>
      <c r="P114" s="34"/>
      <c r="Q114" s="56">
        <f t="array" ref="Q114">SUM(ROUND(Q112:Q113,2))</f>
        <v>0</v>
      </c>
      <c r="R114" s="834"/>
      <c r="S114" s="56">
        <f t="array" ref="S114">SUM(ROUND(S112:S113,2))</f>
        <v>0</v>
      </c>
      <c r="T114" s="714"/>
      <c r="U114" s="1013"/>
      <c r="W114" s="56">
        <f t="array" ref="W114">SUM(ROUND(W112:W113,2))</f>
        <v>0</v>
      </c>
      <c r="X114" s="56">
        <f t="array" ref="X114">SUM(ROUND(X112:X113,2))</f>
        <v>0</v>
      </c>
      <c r="AD114" s="31"/>
      <c r="AE114" s="31"/>
      <c r="AJ114" s="31"/>
    </row>
    <row r="115" spans="2:36" ht="17.25" hidden="1" customHeight="1">
      <c r="B115" s="1012"/>
      <c r="C115" s="713"/>
      <c r="D115" s="858" t="s">
        <v>144</v>
      </c>
      <c r="E115" s="34"/>
      <c r="F115" s="34"/>
      <c r="G115" s="34"/>
      <c r="H115" s="34"/>
      <c r="I115" s="34"/>
      <c r="J115" s="34"/>
      <c r="K115" s="34"/>
      <c r="L115" s="34"/>
      <c r="M115" s="34"/>
      <c r="N115" s="34"/>
      <c r="O115" s="34"/>
      <c r="P115" s="34"/>
      <c r="Q115" s="870"/>
      <c r="R115" s="493"/>
      <c r="S115" s="870"/>
      <c r="T115" s="714"/>
      <c r="U115" s="1013"/>
      <c r="AD115" s="31"/>
      <c r="AE115" s="31"/>
      <c r="AJ115" s="31"/>
    </row>
    <row r="116" spans="2:36" ht="17.25" hidden="1" customHeight="1">
      <c r="B116" s="1012"/>
      <c r="C116" s="713"/>
      <c r="D116" s="36" t="s">
        <v>29</v>
      </c>
      <c r="E116" s="850"/>
      <c r="F116" s="850"/>
      <c r="G116" s="850"/>
      <c r="H116" s="850"/>
      <c r="I116" s="836"/>
      <c r="J116" s="836"/>
      <c r="K116" s="850"/>
      <c r="L116" s="836"/>
      <c r="M116" s="850"/>
      <c r="N116" s="850"/>
      <c r="O116" s="850"/>
      <c r="P116" s="850"/>
      <c r="Q116" s="39" t="s">
        <v>93</v>
      </c>
      <c r="R116" s="47"/>
      <c r="S116" s="39" t="s">
        <v>94</v>
      </c>
      <c r="T116" s="714"/>
      <c r="U116" s="1013"/>
      <c r="AD116" s="31"/>
      <c r="AE116" s="31"/>
      <c r="AJ116" s="31"/>
    </row>
    <row r="117" spans="2:36" ht="17.25" hidden="1" customHeight="1">
      <c r="B117" s="1012"/>
      <c r="C117" s="713"/>
      <c r="D117" s="909" t="str">
        <f>IF(D10="","",D10)</f>
        <v/>
      </c>
      <c r="E117" s="47"/>
      <c r="F117" s="47"/>
      <c r="G117" s="47"/>
      <c r="H117" s="47"/>
      <c r="I117" s="836"/>
      <c r="J117" s="836"/>
      <c r="K117" s="874"/>
      <c r="L117" s="873"/>
      <c r="M117" s="874"/>
      <c r="N117" s="874"/>
      <c r="O117" s="874"/>
      <c r="P117" s="874"/>
      <c r="Q117" s="931">
        <v>0</v>
      </c>
      <c r="R117" s="875"/>
      <c r="S117" s="931">
        <f>SUMPRODUCT($Y$48:$Y$51,$AB$48:$AB$51)*(1-ERMR_MULTIPLIER)</f>
        <v>0</v>
      </c>
      <c r="T117" s="714"/>
      <c r="U117" s="1013"/>
      <c r="W117" s="54"/>
      <c r="Y117" s="34"/>
      <c r="AD117" s="31"/>
      <c r="AE117" s="31"/>
      <c r="AJ117" s="31"/>
    </row>
    <row r="118" spans="2:36" ht="17.25" hidden="1" customHeight="1">
      <c r="B118" s="1012"/>
      <c r="C118" s="713"/>
      <c r="D118" s="1323" t="str">
        <f>IF(D11="","",D11)</f>
        <v/>
      </c>
      <c r="E118" s="866"/>
      <c r="F118" s="47"/>
      <c r="G118" s="47"/>
      <c r="H118" s="47"/>
      <c r="I118" s="871"/>
      <c r="J118" s="871"/>
      <c r="K118" s="872"/>
      <c r="L118" s="876"/>
      <c r="M118" s="872"/>
      <c r="N118" s="872"/>
      <c r="O118" s="872"/>
      <c r="P118" s="872"/>
      <c r="Q118" s="1324">
        <v>0</v>
      </c>
      <c r="R118" s="877"/>
      <c r="S118" s="1324">
        <f>SUMPRODUCT($Y$48:$Y$49,$AC$48:$AC$49)*(1-ERMR_MULTIPLIER)</f>
        <v>0</v>
      </c>
      <c r="T118" s="714"/>
      <c r="U118" s="1013"/>
      <c r="W118" s="54"/>
      <c r="AD118" s="31"/>
      <c r="AE118" s="31"/>
      <c r="AJ118" s="31"/>
    </row>
    <row r="119" spans="2:36" ht="17.25" hidden="1" customHeight="1">
      <c r="B119" s="1012"/>
      <c r="C119" s="713"/>
      <c r="D119" s="878">
        <f>W6</f>
        <v>0</v>
      </c>
      <c r="E119" s="66"/>
      <c r="F119" s="66"/>
      <c r="G119" s="66"/>
      <c r="H119" s="879"/>
      <c r="I119" s="34"/>
      <c r="J119" s="34"/>
      <c r="K119" s="881"/>
      <c r="L119" s="67"/>
      <c r="M119" s="881"/>
      <c r="N119" s="881"/>
      <c r="O119" s="881"/>
      <c r="P119" s="881"/>
      <c r="Q119" s="56">
        <f>SUM(Q117:Q118)</f>
        <v>0</v>
      </c>
      <c r="R119" s="834"/>
      <c r="S119" s="56">
        <f>SUM(S117:S118)</f>
        <v>0</v>
      </c>
      <c r="T119" s="905"/>
      <c r="U119" s="1013"/>
      <c r="W119" s="54"/>
      <c r="AD119" s="31"/>
      <c r="AE119" s="31"/>
      <c r="AJ119" s="31"/>
    </row>
    <row r="120" spans="2:36" ht="17.25" customHeight="1">
      <c r="B120" s="1012"/>
      <c r="C120" s="713"/>
      <c r="D120" s="882" t="s">
        <v>145</v>
      </c>
      <c r="E120" s="34"/>
      <c r="F120" s="34"/>
      <c r="G120" s="34"/>
      <c r="H120" s="34"/>
      <c r="I120" s="34"/>
      <c r="J120" s="34"/>
      <c r="K120" s="34"/>
      <c r="L120" s="34"/>
      <c r="M120" s="34"/>
      <c r="N120" s="34"/>
      <c r="O120" s="34"/>
      <c r="P120" s="34"/>
      <c r="Q120" s="870"/>
      <c r="R120" s="493"/>
      <c r="S120" s="870"/>
      <c r="T120" s="714"/>
      <c r="U120" s="1013"/>
      <c r="AD120" s="31"/>
      <c r="AE120" s="31"/>
      <c r="AJ120" s="31"/>
    </row>
    <row r="121" spans="2:36" ht="17.25" customHeight="1">
      <c r="B121" s="1012"/>
      <c r="C121" s="713"/>
      <c r="D121" s="36" t="s">
        <v>29</v>
      </c>
      <c r="E121" s="850"/>
      <c r="F121" s="36" t="s">
        <v>146</v>
      </c>
      <c r="G121" s="36" t="s">
        <v>147</v>
      </c>
      <c r="H121" s="36" t="s">
        <v>148</v>
      </c>
      <c r="I121" s="883" t="str">
        <f>IF(AND('Internal Ref'!$J$235=0,'Internal Ref'!$N$235&gt;0),"No gearing applied as no rent entered","")</f>
        <v/>
      </c>
      <c r="J121" s="883"/>
      <c r="K121" s="850"/>
      <c r="L121" s="836"/>
      <c r="M121" s="850"/>
      <c r="N121" s="850"/>
      <c r="O121" s="850"/>
      <c r="P121" s="850"/>
      <c r="Q121" s="39" t="s">
        <v>149</v>
      </c>
      <c r="R121" s="47"/>
      <c r="S121" s="39" t="s">
        <v>149</v>
      </c>
      <c r="T121" s="714"/>
      <c r="U121" s="1013"/>
      <c r="AD121" s="31"/>
      <c r="AE121" s="31"/>
      <c r="AJ121" s="31"/>
    </row>
    <row r="122" spans="2:36" ht="17.25" customHeight="1">
      <c r="B122" s="1012"/>
      <c r="C122" s="713"/>
      <c r="D122" s="909" t="str">
        <f>IF(D10="","",D10)</f>
        <v/>
      </c>
      <c r="E122" s="47"/>
      <c r="F122" s="1358">
        <f>(SUMIFS($W$18:$W$37,$C$18:$C$37,D122)
+SUMPRODUCT($W$48:$W$51,$AD$48:$AD$51)
-SUM($AG$48:$AG$49)/12
-SUM($W$67:$W$68)/12
-SUM($W$112:$W$113)/12
)*12</f>
        <v>0</v>
      </c>
      <c r="G122" s="1358">
        <f>MAX((SUMIFS($AB$18:$AB$37,$C$18:$C$37,D122)
+SUMPRODUCT($X$48:$X$49,$AD$48:$AD$49)
-SUM($AG$48:$AG$49)/12
-SUM($W$67:$W$68)/12
-SUM($W$112:$W$113)/12
)*12,0)</f>
        <v>0</v>
      </c>
      <c r="H122" s="1359">
        <f>IF(G122=0,0,Q122*12/G122)</f>
        <v>0</v>
      </c>
      <c r="K122" s="874"/>
      <c r="L122" s="873"/>
      <c r="M122" s="874"/>
      <c r="N122" s="874"/>
      <c r="O122" s="874"/>
      <c r="P122" s="874"/>
      <c r="Q122" s="931">
        <f>TAX_ON_GROSS(G122, TRUE, IF(ISBLANK($D$11),1,2), $E$10+$E$11)/12</f>
        <v>0</v>
      </c>
      <c r="R122" s="875"/>
      <c r="S122" s="931">
        <f>Q122</f>
        <v>0</v>
      </c>
      <c r="T122" s="714"/>
      <c r="U122" s="1013"/>
      <c r="W122" s="75"/>
      <c r="X122" s="54"/>
      <c r="Y122" s="34"/>
      <c r="AD122" s="31"/>
      <c r="AE122" s="31"/>
      <c r="AJ122" s="31"/>
    </row>
    <row r="123" spans="2:36" ht="17.25" customHeight="1">
      <c r="B123" s="1012"/>
      <c r="C123" s="713"/>
      <c r="D123" s="1323" t="str">
        <f>IF(D11="","",D11)</f>
        <v/>
      </c>
      <c r="E123" s="851"/>
      <c r="F123" s="1362">
        <f>(SUMIFS($W$18:$W$37,$C$18:$C$37,D123)
+SUMPRODUCT($W$48:$W$51,$AE$48:$AE$51)
-SUM($AH$48:$AH$49)/12
-SUM($X$67:$X$68)/12
-SUM($X$112:$X$113)/12
)*12</f>
        <v>0</v>
      </c>
      <c r="G123" s="1362">
        <f>MAX((SUMIFS($AB$18:$AB$37,$C$18:$C$37,D123)
+SUMPRODUCT($X$48:$X$51,$AE$48:$AE$51)
-SUM($AH$48:$AH$49)/12
-SUM($X$67:$X$68)/12
-SUM($X$112:$X$113)/12
)*12,0)</f>
        <v>0</v>
      </c>
      <c r="H123" s="1363">
        <f>IF(G123=0,0,ROUND(Q123*12/G123,4))</f>
        <v>0</v>
      </c>
      <c r="I123" s="871"/>
      <c r="J123" s="871"/>
      <c r="K123" s="872"/>
      <c r="L123" s="876"/>
      <c r="M123" s="872"/>
      <c r="N123" s="872"/>
      <c r="O123" s="872"/>
      <c r="P123" s="872"/>
      <c r="Q123" s="1324">
        <f>TAX_ON_GROSS(G123, TRUE, IF(ISBLANK($D$11),1,2), $E$10+$E$11)/12</f>
        <v>0</v>
      </c>
      <c r="R123" s="877"/>
      <c r="S123" s="1324">
        <f>Q123</f>
        <v>0</v>
      </c>
      <c r="T123" s="714"/>
      <c r="U123" s="1013"/>
      <c r="W123" s="75"/>
      <c r="AD123" s="31"/>
      <c r="AE123" s="31"/>
      <c r="AJ123" s="31"/>
    </row>
    <row r="124" spans="2:36" ht="17.25" customHeight="1">
      <c r="B124" s="1012"/>
      <c r="C124" s="713"/>
      <c r="D124" s="878" t="str">
        <f>W12</f>
        <v/>
      </c>
      <c r="E124" s="66"/>
      <c r="F124" s="66"/>
      <c r="G124" s="66">
        <v>3</v>
      </c>
      <c r="H124" s="879">
        <f>AVERAGE(H122:H123)</f>
        <v>0</v>
      </c>
      <c r="I124" s="34"/>
      <c r="J124" s="34"/>
      <c r="K124" s="881"/>
      <c r="L124" s="67"/>
      <c r="M124" s="881"/>
      <c r="N124" s="881"/>
      <c r="O124" s="881"/>
      <c r="P124" s="881"/>
      <c r="Q124" s="56">
        <f t="array" ref="Q124">SUM(ROUND(Q122:Q123,2))</f>
        <v>0</v>
      </c>
      <c r="R124" s="834"/>
      <c r="S124" s="56">
        <f t="array" ref="S124">SUM(ROUND(S122:S123,2))</f>
        <v>0</v>
      </c>
      <c r="T124" s="905"/>
      <c r="U124" s="1013"/>
      <c r="W124" s="54"/>
      <c r="AD124" s="31"/>
      <c r="AE124" s="31"/>
      <c r="AJ124" s="31"/>
    </row>
    <row r="125" spans="2:36" ht="17.25" customHeight="1">
      <c r="B125" s="733"/>
      <c r="C125" s="713"/>
      <c r="D125" s="161" t="s">
        <v>150</v>
      </c>
      <c r="G125" s="32"/>
      <c r="H125" s="32"/>
      <c r="I125" s="48"/>
      <c r="J125" s="48"/>
      <c r="L125" s="34"/>
      <c r="M125" s="34"/>
      <c r="N125" s="34"/>
      <c r="O125" s="34"/>
      <c r="P125" s="34"/>
      <c r="Q125" s="59">
        <f>SUM(Q69,Q101,Q114,Q124)</f>
        <v>0</v>
      </c>
      <c r="R125" s="834"/>
      <c r="S125" s="59">
        <f>SUM(S69,S101,S114,S119,S124)</f>
        <v>0</v>
      </c>
      <c r="T125" s="901"/>
      <c r="U125" s="736"/>
      <c r="W125" s="54"/>
      <c r="AD125" s="31"/>
      <c r="AE125" s="31"/>
      <c r="AJ125" s="31"/>
    </row>
    <row r="126" spans="2:36">
      <c r="B126" s="733"/>
      <c r="C126" s="807"/>
      <c r="D126" s="961"/>
      <c r="E126" s="727"/>
      <c r="F126" s="727"/>
      <c r="G126" s="948"/>
      <c r="H126" s="948"/>
      <c r="I126" s="962"/>
      <c r="J126" s="962"/>
      <c r="K126" s="727"/>
      <c r="L126" s="715"/>
      <c r="M126" s="715"/>
      <c r="N126" s="715"/>
      <c r="O126" s="715"/>
      <c r="P126" s="715"/>
      <c r="Q126" s="949"/>
      <c r="R126" s="828"/>
      <c r="S126" s="949"/>
      <c r="T126" s="908"/>
      <c r="U126" s="736"/>
      <c r="W126" s="54"/>
      <c r="AD126" s="31"/>
      <c r="AE126" s="31"/>
      <c r="AJ126" s="31"/>
    </row>
    <row r="127" spans="2:36" ht="7.5" customHeight="1">
      <c r="B127" s="733"/>
      <c r="C127" s="735"/>
      <c r="D127" s="975"/>
      <c r="E127" s="975"/>
      <c r="F127" s="976"/>
      <c r="G127" s="735"/>
      <c r="H127" s="735"/>
      <c r="I127" s="977"/>
      <c r="J127" s="977"/>
      <c r="K127" s="735"/>
      <c r="L127" s="735"/>
      <c r="M127" s="735"/>
      <c r="N127" s="735"/>
      <c r="O127" s="735"/>
      <c r="P127" s="735"/>
      <c r="Q127" s="893"/>
      <c r="R127" s="893"/>
      <c r="S127" s="893"/>
      <c r="T127" s="893"/>
      <c r="U127" s="736"/>
      <c r="W127" s="54"/>
      <c r="AD127" s="31"/>
      <c r="AE127" s="31"/>
      <c r="AJ127" s="31"/>
    </row>
    <row r="128" spans="2:36" ht="7.5" customHeight="1">
      <c r="B128" s="733"/>
      <c r="C128" s="945"/>
      <c r="D128" s="981"/>
      <c r="E128" s="981"/>
      <c r="F128" s="946"/>
      <c r="G128" s="743"/>
      <c r="H128" s="743"/>
      <c r="I128" s="982"/>
      <c r="J128" s="982"/>
      <c r="K128" s="743"/>
      <c r="L128" s="712"/>
      <c r="M128" s="712"/>
      <c r="N128" s="712"/>
      <c r="O128" s="712"/>
      <c r="P128" s="712"/>
      <c r="Q128" s="825"/>
      <c r="R128" s="825"/>
      <c r="S128" s="825"/>
      <c r="T128" s="947"/>
      <c r="U128" s="736"/>
      <c r="W128" s="54"/>
      <c r="AD128" s="31"/>
      <c r="AE128" s="31"/>
      <c r="AJ128" s="31"/>
    </row>
    <row r="129" spans="2:36" ht="17.25" customHeight="1">
      <c r="B129" s="1012"/>
      <c r="C129" s="713"/>
      <c r="D129" s="68" t="s">
        <v>151</v>
      </c>
      <c r="G129" s="32"/>
      <c r="H129" s="32"/>
      <c r="I129" s="32"/>
      <c r="J129" s="32"/>
      <c r="K129" s="32"/>
      <c r="M129" s="34"/>
      <c r="N129" s="34"/>
      <c r="O129" s="34"/>
      <c r="P129" s="34"/>
      <c r="Q129" s="59">
        <f>Q51-Q125</f>
        <v>0</v>
      </c>
      <c r="R129" s="834"/>
      <c r="S129" s="59">
        <f>S51-S125</f>
        <v>0</v>
      </c>
      <c r="T129" s="714"/>
      <c r="U129" s="1013"/>
      <c r="W129" s="76"/>
      <c r="X129" s="76"/>
      <c r="AD129" s="31"/>
      <c r="AE129" s="31"/>
      <c r="AJ129" s="31"/>
    </row>
    <row r="130" spans="2:36" ht="17.25" customHeight="1">
      <c r="B130" s="1012"/>
      <c r="C130" s="713"/>
      <c r="D130" s="886"/>
      <c r="G130" s="32"/>
      <c r="H130" s="1014" t="str">
        <f>BorrowPower(S129,D112:X113,"Label",ROW(H130))</f>
        <v>OO 100% | 8.39% | 30Y</v>
      </c>
      <c r="I130" s="32"/>
      <c r="J130" s="32"/>
      <c r="K130" s="32"/>
      <c r="M130" s="34"/>
      <c r="N130" s="34"/>
      <c r="O130" s="34"/>
      <c r="P130" s="34"/>
      <c r="Q130" s="888"/>
      <c r="R130" s="834"/>
      <c r="S130" s="888"/>
      <c r="T130" s="714"/>
      <c r="U130" s="1013"/>
      <c r="AD130" s="31"/>
      <c r="AE130" s="31"/>
      <c r="AJ130" s="31"/>
    </row>
    <row r="131" spans="2:36" ht="17.25" customHeight="1">
      <c r="B131" s="1012"/>
      <c r="C131" s="713"/>
      <c r="D131" s="7" t="s">
        <v>152</v>
      </c>
      <c r="G131" s="1480">
        <f>BorrowPower(S129,D112:X113,"INV",ROW(G131))</f>
        <v>0</v>
      </c>
      <c r="H131" s="1481"/>
      <c r="I131"/>
      <c r="J131" s="889"/>
      <c r="K131" s="887"/>
      <c r="L131" s="887"/>
      <c r="M131" s="34"/>
      <c r="N131" s="34"/>
      <c r="O131" s="34"/>
      <c r="P131" s="34"/>
      <c r="Q131" s="888"/>
      <c r="R131" s="834"/>
      <c r="S131" s="888"/>
      <c r="T131" s="714"/>
      <c r="U131" s="1013"/>
      <c r="AD131" s="31"/>
      <c r="AE131" s="31"/>
      <c r="AJ131" s="31"/>
    </row>
    <row r="132" spans="2:36" ht="17.25" customHeight="1">
      <c r="B132" s="1012"/>
      <c r="C132" s="713"/>
      <c r="D132" s="7" t="s">
        <v>153</v>
      </c>
      <c r="G132" s="925"/>
      <c r="H132" s="891" cm="1">
        <f t="array" ref="H132">Calc_DTI(SUMPRODUCT(D112:D113,AF112:AF113),SUMPRODUCT(H67:H68,AF67:AF68), AC37, D48:X49,"DTI")</f>
        <v>0</v>
      </c>
      <c r="I132" s="32"/>
      <c r="J132" s="32"/>
      <c r="K132" s="32"/>
      <c r="M132" s="34"/>
      <c r="N132" s="34"/>
      <c r="O132" s="34"/>
      <c r="P132" s="34"/>
      <c r="Q132" s="888"/>
      <c r="R132" s="834"/>
      <c r="S132" s="888"/>
      <c r="T132" s="714"/>
      <c r="U132" s="1013"/>
      <c r="AD132" s="31"/>
      <c r="AE132" s="31"/>
      <c r="AJ132" s="31"/>
    </row>
    <row r="133" spans="2:36">
      <c r="B133" s="733"/>
      <c r="C133" s="709"/>
      <c r="D133" s="715"/>
      <c r="E133" s="715"/>
      <c r="F133" s="715"/>
      <c r="G133" s="715"/>
      <c r="H133" s="995" t="str" cm="1">
        <f t="array" ref="H133">DTI_Policy($H$132,COUNTIFS(E48:E49,"Rent*",G48:G49,"&gt; 0")+COUNTIFS(F48:F49,"Rent*",G48:G49,"&gt; 0")+COUNTIF(F113:F113,TRUE), "Message")</f>
        <v/>
      </c>
      <c r="I133" s="715"/>
      <c r="J133" s="715"/>
      <c r="K133" s="715"/>
      <c r="L133" s="715"/>
      <c r="M133" s="715"/>
      <c r="N133" s="715"/>
      <c r="O133" s="715"/>
      <c r="P133" s="715"/>
      <c r="Q133" s="828"/>
      <c r="R133" s="828"/>
      <c r="S133" s="828"/>
      <c r="T133" s="716"/>
      <c r="U133" s="736"/>
      <c r="AD133" s="31"/>
      <c r="AE133" s="31"/>
      <c r="AG133" s="39"/>
      <c r="AH133" s="39"/>
      <c r="AJ133" s="31"/>
    </row>
    <row r="134" spans="2:36" ht="7.5" customHeight="1">
      <c r="B134" s="733"/>
      <c r="C134" s="735"/>
      <c r="D134" s="735"/>
      <c r="E134" s="735"/>
      <c r="F134" s="735"/>
      <c r="G134" s="735"/>
      <c r="H134" s="735"/>
      <c r="I134" s="735"/>
      <c r="J134" s="735"/>
      <c r="K134" s="735"/>
      <c r="L134" s="735"/>
      <c r="M134" s="735"/>
      <c r="N134" s="735"/>
      <c r="O134" s="735"/>
      <c r="P134" s="735"/>
      <c r="Q134" s="893"/>
      <c r="R134" s="893"/>
      <c r="S134" s="893"/>
      <c r="T134" s="735"/>
      <c r="U134" s="736"/>
      <c r="AD134" s="31"/>
      <c r="AE134" s="31"/>
      <c r="AG134" s="39"/>
      <c r="AH134" s="39"/>
      <c r="AJ134" s="31"/>
    </row>
    <row r="135" spans="2:36" ht="17.25" customHeight="1">
      <c r="B135" s="733"/>
      <c r="C135" s="1477" t="s">
        <v>556</v>
      </c>
      <c r="D135" s="1477"/>
      <c r="E135" s="1477"/>
      <c r="F135" s="1477"/>
      <c r="G135" s="1477"/>
      <c r="H135" s="1477"/>
      <c r="I135" s="1477"/>
      <c r="J135" s="1477"/>
      <c r="K135" s="1477"/>
      <c r="L135" s="1477"/>
      <c r="M135" s="1477"/>
      <c r="N135" s="1477"/>
      <c r="O135" s="993"/>
      <c r="P135" s="735"/>
      <c r="Q135" s="893"/>
      <c r="R135" s="893"/>
      <c r="S135" s="893"/>
      <c r="T135" s="735"/>
      <c r="U135" s="736"/>
      <c r="AD135" s="31"/>
      <c r="AE135" s="31"/>
      <c r="AG135" s="39"/>
      <c r="AH135" s="39"/>
      <c r="AJ135" s="31"/>
    </row>
    <row r="136" spans="2:36" ht="17.25" customHeight="1">
      <c r="B136" s="733"/>
      <c r="C136" s="945"/>
      <c r="D136" s="743"/>
      <c r="E136" s="743"/>
      <c r="F136" s="743"/>
      <c r="G136" s="743"/>
      <c r="H136" s="743"/>
      <c r="I136" s="743"/>
      <c r="J136" s="743"/>
      <c r="K136" s="743"/>
      <c r="L136" s="743"/>
      <c r="M136" s="743"/>
      <c r="N136" s="743"/>
      <c r="O136" s="707"/>
      <c r="P136" s="707"/>
      <c r="Q136" s="996"/>
      <c r="R136" s="996"/>
      <c r="S136" s="996"/>
      <c r="T136" s="708"/>
      <c r="U136" s="736"/>
      <c r="AD136" s="31"/>
      <c r="AE136" s="31"/>
      <c r="AG136" s="39"/>
      <c r="AH136" s="39"/>
      <c r="AJ136" s="31"/>
    </row>
    <row r="137" spans="2:36" ht="17.25" customHeight="1">
      <c r="B137" s="1012"/>
      <c r="C137" s="725"/>
      <c r="D137" s="7" t="s">
        <v>155</v>
      </c>
      <c r="E137" s="7" t="s">
        <v>156</v>
      </c>
      <c r="F137" s="7" t="s">
        <v>157</v>
      </c>
      <c r="G137" s="7" t="s">
        <v>126</v>
      </c>
      <c r="H137" s="7" t="s">
        <v>158</v>
      </c>
      <c r="I137" s="7" t="s">
        <v>159</v>
      </c>
      <c r="J137" s="7"/>
      <c r="L137" s="894" t="s">
        <v>151</v>
      </c>
      <c r="M137" s="895"/>
      <c r="N137" s="71"/>
      <c r="O137" s="71"/>
      <c r="P137" s="71"/>
      <c r="Q137" s="59">
        <f>SUM(I138:I141)</f>
        <v>15825.660000000003</v>
      </c>
      <c r="R137" s="896"/>
      <c r="S137" s="896"/>
      <c r="T137" s="714"/>
      <c r="U137" s="1013"/>
      <c r="AD137" s="31"/>
      <c r="AE137" s="31"/>
      <c r="AJ137" s="31"/>
    </row>
    <row r="138" spans="2:36" ht="17.25" customHeight="1">
      <c r="B138" s="1012"/>
      <c r="C138" s="725"/>
      <c r="D138" s="1366" t="str">
        <f>VLOOKUP("SoP 1",'Internal Ref'!$A$234:$G$237,2,FALSE)</f>
        <v>Fan Jiang &amp; Sifei Liu</v>
      </c>
      <c r="E138" s="1364">
        <f>VLOOKUP("SoP 1",'Internal Ref'!$A$234:$G$237,3,FALSE)</f>
        <v>113559.08</v>
      </c>
      <c r="F138" s="1365">
        <f>VLOOKUP("SoP 1",'Internal Ref'!$A$234:$G$237,4,FALSE)</f>
        <v>8972</v>
      </c>
      <c r="G138" s="1365">
        <f>VLOOKUP("SoP 1",'Internal Ref'!$A$234:$G$237,5,FALSE)</f>
        <v>43536.31</v>
      </c>
      <c r="H138" s="1365">
        <f>VLOOKUP("SoP 1",'Internal Ref'!$A$234:$G$237,6,FALSE)</f>
        <v>45225.110160916665</v>
      </c>
      <c r="I138" s="1364">
        <f>VLOOKUP("SoP 1",'Internal Ref'!$A$234:$G$237,7,FALSE)</f>
        <v>15825.660000000003</v>
      </c>
      <c r="J138" s="536"/>
      <c r="K138" s="897">
        <f>VLOOKUP("SoP 1",'Internal Ref'!$A$234:$L$237,12,FALSE)</f>
        <v>0</v>
      </c>
      <c r="L138" s="858" t="s">
        <v>152</v>
      </c>
      <c r="M138" s="803"/>
      <c r="N138" s="72"/>
      <c r="O138" s="72"/>
      <c r="P138" s="72"/>
      <c r="Q138" s="1368">
        <f>'SoP 4'!G131 + 'SoP 2'!G131+ 'SoP 1'!G167 + 'SoP 3'!G131</f>
        <v>7635499.9981616996</v>
      </c>
      <c r="R138" s="896"/>
      <c r="S138" s="896"/>
      <c r="T138" s="714"/>
      <c r="U138" s="1013"/>
      <c r="AD138" s="31"/>
      <c r="AE138" s="31"/>
      <c r="AJ138" s="31"/>
    </row>
    <row r="139" spans="2:36" ht="17.25" customHeight="1">
      <c r="B139" s="1012"/>
      <c r="C139" s="725"/>
      <c r="D139" s="1366" t="str">
        <f>VLOOKUP("SoP 2",'Internal Ref'!$A$234:$G$237,2,FALSE)</f>
        <v/>
      </c>
      <c r="E139" s="1364">
        <f>VLOOKUP("SoP 2",'Internal Ref'!$A$234:$G$237,3,FALSE)</f>
        <v>0</v>
      </c>
      <c r="F139" s="1365">
        <f>VLOOKUP("SoP 2",'Internal Ref'!$A$234:$G$237,4,FALSE)</f>
        <v>0</v>
      </c>
      <c r="G139" s="1365">
        <f>VLOOKUP("SoP 2",'Internal Ref'!$A$234:$G$237,5,FALSE)</f>
        <v>0</v>
      </c>
      <c r="H139" s="1365">
        <f>VLOOKUP("SoP 2",'Internal Ref'!$A$234:$G$237,6,FALSE)</f>
        <v>0</v>
      </c>
      <c r="I139" s="1364">
        <f>VLOOKUP("SoP 2",'Internal Ref'!$A$234:$G$237,7,FALSE)</f>
        <v>0</v>
      </c>
      <c r="J139" s="536"/>
      <c r="K139" s="897">
        <f>VLOOKUP("SoP 2",'Internal Ref'!$A$234:$L$237,12,FALSE)</f>
        <v>0</v>
      </c>
      <c r="L139" s="858" t="s">
        <v>153</v>
      </c>
      <c r="M139" s="803"/>
      <c r="N139" s="72"/>
      <c r="O139" s="72"/>
      <c r="P139" s="72"/>
      <c r="Q139" s="898">
        <f>IF(SUM('Internal Ref'!$J$178:$J$181)=0,0,SUM('Internal Ref'!$J$178:$J$181)/SUM('Internal Ref'!$I$178:$I$181))</f>
        <v>4.1094614949915647</v>
      </c>
      <c r="R139" s="899"/>
      <c r="S139" s="896"/>
      <c r="T139" s="714"/>
      <c r="U139" s="1013"/>
      <c r="AD139" s="31"/>
      <c r="AE139" s="31"/>
      <c r="AJ139" s="31"/>
    </row>
    <row r="140" spans="2:36" ht="17.25" hidden="1" customHeight="1">
      <c r="B140" s="1012"/>
      <c r="C140" s="725"/>
      <c r="D140" s="1366" t="str">
        <f>VLOOKUP("SoP 3",'Internal Ref'!$A$234:$G$237,2,FALSE)</f>
        <v/>
      </c>
      <c r="E140" s="1364">
        <f>VLOOKUP("SoP 3",'Internal Ref'!$A$234:$G$237,3,FALSE)</f>
        <v>0</v>
      </c>
      <c r="F140" s="1365">
        <f>VLOOKUP("SoP 3",'Internal Ref'!$A$234:$G$237,4,FALSE)</f>
        <v>0</v>
      </c>
      <c r="G140" s="1365">
        <f>VLOOKUP("SoP 3",'Internal Ref'!$A$234:$G$237,5,FALSE)</f>
        <v>0</v>
      </c>
      <c r="H140" s="1365">
        <f>VLOOKUP("SoP 3",'Internal Ref'!$A$234:$G$237,6,FALSE)</f>
        <v>0</v>
      </c>
      <c r="I140" s="1364">
        <f>VLOOKUP("SoP 3",'Internal Ref'!$A$234:$G$237,7,FALSE)</f>
        <v>0</v>
      </c>
      <c r="J140" s="536"/>
      <c r="K140" s="897">
        <f>VLOOKUP("SoP 3",'Internal Ref'!$A$234:$L$237,12,FALSE)</f>
        <v>0</v>
      </c>
      <c r="R140" s="900"/>
      <c r="S140" s="896"/>
      <c r="T140" s="714"/>
      <c r="U140" s="1013"/>
      <c r="AD140" s="31"/>
      <c r="AE140" s="31"/>
      <c r="AJ140" s="31"/>
    </row>
    <row r="141" spans="2:36" ht="17.25" hidden="1" customHeight="1">
      <c r="B141" s="1012"/>
      <c r="C141" s="725"/>
      <c r="D141" s="1366" t="str">
        <f>VLOOKUP("SoP 4",'Internal Ref'!$A$234:$G$237,2,FALSE)</f>
        <v/>
      </c>
      <c r="E141" s="1364">
        <f>VLOOKUP("SoP 4",'Internal Ref'!$A$234:$G$237,3,FALSE)</f>
        <v>0</v>
      </c>
      <c r="F141" s="1365">
        <f>VLOOKUP("SoP 4",'Internal Ref'!$A$234:$G$237,4,FALSE)</f>
        <v>0</v>
      </c>
      <c r="G141" s="1365">
        <f>VLOOKUP("SoP 4",'Internal Ref'!$A$234:$G$237,5,FALSE)</f>
        <v>0</v>
      </c>
      <c r="H141" s="1365">
        <f>VLOOKUP("SoP 4",'Internal Ref'!$A$234:$G$237,6,FALSE)</f>
        <v>0</v>
      </c>
      <c r="I141" s="1364">
        <f>VLOOKUP("SoP 4",'Internal Ref'!$A$234:$G$237,7,FALSE)</f>
        <v>0</v>
      </c>
      <c r="J141" s="536"/>
      <c r="K141" s="897">
        <f>VLOOKUP("SoP 4",'Internal Ref'!$A$234:$L$237,12,FALSE)</f>
        <v>0</v>
      </c>
      <c r="Q141" s="40"/>
      <c r="R141" s="40"/>
      <c r="S141" s="896"/>
      <c r="T141" s="714"/>
      <c r="U141" s="1013"/>
      <c r="AD141" s="31"/>
      <c r="AE141" s="31"/>
      <c r="AJ141" s="31"/>
    </row>
    <row r="142" spans="2:36" ht="17.25" customHeight="1">
      <c r="B142" s="733"/>
      <c r="C142" s="709"/>
      <c r="D142" s="804"/>
      <c r="E142" s="805"/>
      <c r="F142" s="805"/>
      <c r="G142" s="805"/>
      <c r="H142" s="805"/>
      <c r="I142" s="805"/>
      <c r="J142" s="805"/>
      <c r="K142" s="805"/>
      <c r="L142" s="997" t="str" cm="1">
        <f t="array" ref="L142">DTI_Policy(Q139,SUM($K$138:$K$141), "Message")</f>
        <v/>
      </c>
      <c r="M142" s="805"/>
      <c r="N142" s="805"/>
      <c r="O142" s="805"/>
      <c r="P142" s="805"/>
      <c r="Q142" s="727"/>
      <c r="R142" s="805"/>
      <c r="S142" s="805"/>
      <c r="T142" s="710"/>
      <c r="U142" s="736"/>
      <c r="AD142" s="31"/>
      <c r="AE142" s="31"/>
      <c r="AG142" s="39"/>
      <c r="AH142" s="39"/>
      <c r="AJ142" s="31"/>
    </row>
    <row r="143" spans="2:36" ht="17.25" customHeight="1">
      <c r="B143" s="733"/>
      <c r="C143" s="735"/>
      <c r="D143" s="735"/>
      <c r="E143" s="735"/>
      <c r="F143" s="735"/>
      <c r="G143" s="735"/>
      <c r="H143" s="735"/>
      <c r="I143" s="735"/>
      <c r="J143" s="735"/>
      <c r="K143" s="735"/>
      <c r="L143" s="735"/>
      <c r="M143" s="735"/>
      <c r="N143" s="735"/>
      <c r="O143" s="735"/>
      <c r="P143" s="735"/>
      <c r="Q143" s="735"/>
      <c r="R143" s="735"/>
      <c r="S143" s="735"/>
      <c r="T143" s="735"/>
      <c r="U143" s="736"/>
      <c r="AD143" s="31"/>
      <c r="AE143" s="31"/>
      <c r="AG143" s="39"/>
      <c r="AH143" s="39"/>
      <c r="AJ143" s="31"/>
    </row>
    <row r="144" spans="2:36" ht="17.25" customHeight="1">
      <c r="B144" s="733"/>
      <c r="C144" s="775" t="s">
        <v>160</v>
      </c>
      <c r="D144" s="735"/>
      <c r="E144" s="983"/>
      <c r="F144" s="983"/>
      <c r="G144" s="983"/>
      <c r="H144" s="983"/>
      <c r="I144" s="983"/>
      <c r="J144" s="983"/>
      <c r="K144" s="983"/>
      <c r="L144" s="983"/>
      <c r="M144" s="983"/>
      <c r="N144" s="983"/>
      <c r="O144" s="983"/>
      <c r="P144" s="983"/>
      <c r="Q144" s="983"/>
      <c r="R144" s="983"/>
      <c r="S144" s="983"/>
      <c r="T144" s="735"/>
      <c r="U144" s="736"/>
      <c r="AD144" s="31"/>
      <c r="AE144" s="31"/>
      <c r="AG144" s="39"/>
      <c r="AH144" s="39"/>
      <c r="AJ144" s="31"/>
    </row>
    <row r="145" spans="2:36" ht="27" customHeight="1">
      <c r="B145" s="733"/>
      <c r="C145" s="1478" t="str">
        <f ca="1">"This is an estimate only, current as at "&amp;TEXT(TODAY(),"dd/mm/yyyy")&amp;". It is provided for illustrative purposes only and is based on the accuracy of information provided. "&amp;"It does not constitute a quote or offer for credit. All applications for credit are subject to ANZ’s normal credit approval criteria. Terms and conditions apply and are available on application. Fees and charges apply."</f>
        <v>This is an estimate only, current as at 03/06/2025. It is provided for illustrative purposes only and is based on the accuracy of information provided. It does not constitute a quote or offer for credit. All applications for credit are subject to ANZ’s normal credit approval criteria. Terms and conditions apply and are available on application. Fees and charges apply.</v>
      </c>
      <c r="D145" s="1478"/>
      <c r="E145" s="1478"/>
      <c r="F145" s="1478"/>
      <c r="G145" s="1478"/>
      <c r="H145" s="1478"/>
      <c r="I145" s="1478"/>
      <c r="J145" s="1478"/>
      <c r="K145" s="1478"/>
      <c r="L145" s="1478"/>
      <c r="M145" s="1478"/>
      <c r="N145" s="1478"/>
      <c r="O145" s="1478"/>
      <c r="P145" s="1478"/>
      <c r="Q145" s="1478"/>
      <c r="R145" s="1478"/>
      <c r="S145" s="1478"/>
      <c r="T145" s="985"/>
      <c r="U145" s="736"/>
      <c r="AD145" s="31"/>
      <c r="AE145" s="31"/>
      <c r="AG145" s="39"/>
      <c r="AH145" s="39"/>
      <c r="AJ145" s="31"/>
    </row>
    <row r="146" spans="2:36">
      <c r="B146" s="734"/>
      <c r="C146" s="738"/>
      <c r="D146" s="738"/>
      <c r="E146" s="738"/>
      <c r="F146" s="738"/>
      <c r="G146" s="738"/>
      <c r="H146" s="738"/>
      <c r="I146" s="738"/>
      <c r="J146" s="738"/>
      <c r="K146" s="738"/>
      <c r="L146" s="738"/>
      <c r="M146" s="738"/>
      <c r="N146" s="738"/>
      <c r="O146" s="738"/>
      <c r="P146" s="738"/>
      <c r="Q146" s="738"/>
      <c r="R146" s="738"/>
      <c r="S146" s="738"/>
      <c r="T146" s="818" t="str">
        <f>ML_CALC_VERSION</f>
        <v>HL_Calc_V54_250405</v>
      </c>
      <c r="U146" s="737"/>
      <c r="AD146" s="31"/>
      <c r="AE146" s="31"/>
      <c r="AG146" s="39"/>
      <c r="AH146" s="39"/>
      <c r="AJ146" s="31"/>
    </row>
    <row r="147" spans="2:36" ht="24.75" customHeight="1">
      <c r="AD147" s="31"/>
      <c r="AE147" s="31"/>
      <c r="AG147" s="39"/>
      <c r="AH147" s="39"/>
      <c r="AJ147" s="31"/>
    </row>
    <row r="148" spans="2:36" ht="24.75" customHeight="1">
      <c r="AD148" s="31"/>
      <c r="AE148" s="31"/>
      <c r="AJ148" s="31"/>
    </row>
    <row r="149" spans="2:36" ht="24.75" customHeight="1">
      <c r="AD149" s="31"/>
      <c r="AE149" s="31"/>
      <c r="AJ149" s="31"/>
    </row>
    <row r="150" spans="2:36">
      <c r="AD150" s="31"/>
      <c r="AE150" s="31"/>
      <c r="AJ150" s="31"/>
    </row>
    <row r="151" spans="2:36">
      <c r="AD151" s="31"/>
      <c r="AE151" s="31"/>
      <c r="AJ151" s="31"/>
    </row>
    <row r="152" spans="2:36">
      <c r="AD152" s="31"/>
      <c r="AE152" s="31"/>
      <c r="AJ152" s="31"/>
    </row>
    <row r="153" spans="2:36">
      <c r="AD153" s="31"/>
      <c r="AE153" s="31"/>
      <c r="AJ153" s="31"/>
    </row>
    <row r="154" spans="2:36">
      <c r="AD154" s="31"/>
      <c r="AE154" s="31"/>
      <c r="AJ154" s="31"/>
    </row>
    <row r="155" spans="2:36">
      <c r="AD155" s="31"/>
      <c r="AE155" s="31"/>
      <c r="AJ155" s="31"/>
    </row>
    <row r="156" spans="2:36">
      <c r="AD156" s="31"/>
      <c r="AE156" s="31"/>
      <c r="AJ156" s="31"/>
    </row>
    <row r="157" spans="2:36">
      <c r="AD157" s="31"/>
      <c r="AE157" s="31"/>
      <c r="AJ157" s="31"/>
    </row>
    <row r="158" spans="2:36">
      <c r="AD158" s="31"/>
      <c r="AE158" s="31"/>
      <c r="AJ158" s="31"/>
    </row>
    <row r="159" spans="2:36">
      <c r="AD159" s="31"/>
      <c r="AE159" s="31"/>
      <c r="AJ159" s="31"/>
    </row>
    <row r="160" spans="2:36">
      <c r="AD160" s="31"/>
      <c r="AE160" s="31"/>
      <c r="AJ160" s="31"/>
    </row>
    <row r="161" spans="30:42">
      <c r="AD161" s="31"/>
      <c r="AE161" s="31"/>
      <c r="AJ161" s="31"/>
    </row>
    <row r="162" spans="30:42">
      <c r="AD162" s="31"/>
      <c r="AE162" s="31"/>
      <c r="AJ162" s="31"/>
    </row>
    <row r="163" spans="30:42">
      <c r="AD163" s="31"/>
      <c r="AE163" s="31"/>
      <c r="AJ163" s="31"/>
    </row>
    <row r="164" spans="30:42">
      <c r="AD164" s="31"/>
      <c r="AE164" s="31"/>
      <c r="AJ164" s="31"/>
    </row>
    <row r="165" spans="30:42">
      <c r="AD165" s="31"/>
      <c r="AE165" s="31"/>
      <c r="AJ165" s="31"/>
    </row>
    <row r="166" spans="30:42">
      <c r="AD166" s="31"/>
      <c r="AE166" s="31"/>
      <c r="AJ166" s="31"/>
    </row>
    <row r="167" spans="30:42">
      <c r="AD167" s="31"/>
      <c r="AE167" s="31"/>
      <c r="AJ167" s="31"/>
      <c r="AN167" s="1">
        <v>896915.34531172202</v>
      </c>
      <c r="AP167" s="1" t="b">
        <v>0</v>
      </c>
    </row>
    <row r="168" spans="30:42">
      <c r="AD168" s="31"/>
      <c r="AE168" s="31"/>
      <c r="AJ168" s="31"/>
    </row>
    <row r="169" spans="30:42">
      <c r="AD169" s="31"/>
      <c r="AE169" s="31"/>
      <c r="AJ169" s="31"/>
    </row>
    <row r="170" spans="30:42">
      <c r="AD170" s="31"/>
      <c r="AE170" s="31"/>
      <c r="AJ170" s="31"/>
    </row>
    <row r="171" spans="30:42">
      <c r="AD171" s="31"/>
      <c r="AE171" s="31"/>
      <c r="AJ171" s="31"/>
    </row>
    <row r="172" spans="30:42">
      <c r="AD172" s="31"/>
      <c r="AE172" s="31"/>
      <c r="AJ172" s="31"/>
    </row>
    <row r="173" spans="30:42">
      <c r="AD173" s="31"/>
      <c r="AE173" s="31"/>
      <c r="AJ173" s="31"/>
    </row>
    <row r="174" spans="30:42">
      <c r="AD174" s="31"/>
      <c r="AE174" s="31"/>
      <c r="AJ174" s="31"/>
    </row>
    <row r="175" spans="30:42">
      <c r="AD175" s="31"/>
      <c r="AE175" s="31"/>
      <c r="AJ175" s="31"/>
    </row>
    <row r="176" spans="30:42">
      <c r="AD176" s="31"/>
      <c r="AE176" s="31"/>
      <c r="AJ176" s="31"/>
    </row>
    <row r="177" spans="30:42">
      <c r="AD177" s="31"/>
      <c r="AE177" s="31"/>
      <c r="AJ177" s="31"/>
    </row>
    <row r="178" spans="30:42">
      <c r="AD178" s="31"/>
      <c r="AE178" s="31"/>
      <c r="AJ178" s="31"/>
    </row>
    <row r="179" spans="30:42">
      <c r="AD179" s="31"/>
      <c r="AE179" s="31"/>
      <c r="AJ179" s="31"/>
    </row>
    <row r="180" spans="30:42">
      <c r="AD180" s="31"/>
      <c r="AE180" s="31"/>
      <c r="AJ180" s="31"/>
    </row>
    <row r="181" spans="30:42">
      <c r="AD181" s="31"/>
      <c r="AE181" s="31"/>
      <c r="AJ181" s="31"/>
    </row>
    <row r="182" spans="30:42">
      <c r="AD182" s="31"/>
      <c r="AE182" s="31"/>
      <c r="AJ182" s="31"/>
    </row>
    <row r="183" spans="30:42">
      <c r="AD183" s="31"/>
      <c r="AE183" s="31"/>
      <c r="AJ183" s="31"/>
    </row>
    <row r="184" spans="30:42">
      <c r="AD184" s="31"/>
      <c r="AE184" s="31"/>
      <c r="AJ184" s="31"/>
    </row>
    <row r="185" spans="30:42">
      <c r="AD185" s="31"/>
      <c r="AE185" s="31"/>
      <c r="AJ185" s="31"/>
      <c r="AN185" s="1">
        <v>896915.34531172202</v>
      </c>
      <c r="AP185" s="1" t="b">
        <v>0</v>
      </c>
    </row>
    <row r="186" spans="30:42">
      <c r="AD186" s="31"/>
      <c r="AE186" s="31"/>
      <c r="AJ186" s="31"/>
    </row>
    <row r="187" spans="30:42">
      <c r="AD187" s="31"/>
      <c r="AE187" s="31"/>
      <c r="AJ187" s="31"/>
    </row>
    <row r="188" spans="30:42">
      <c r="AD188" s="31"/>
      <c r="AE188" s="31"/>
      <c r="AJ188" s="31"/>
    </row>
    <row r="189" spans="30:42">
      <c r="AD189" s="31"/>
      <c r="AE189" s="31"/>
      <c r="AJ189" s="31"/>
    </row>
    <row r="190" spans="30:42">
      <c r="AD190" s="31"/>
      <c r="AE190" s="31"/>
      <c r="AJ190" s="31"/>
    </row>
    <row r="191" spans="30:42">
      <c r="AD191" s="31"/>
      <c r="AE191" s="31"/>
      <c r="AJ191" s="31"/>
    </row>
    <row r="192" spans="30:42">
      <c r="AD192" s="31"/>
      <c r="AE192" s="31"/>
      <c r="AJ192" s="31"/>
    </row>
    <row r="193" spans="30:36">
      <c r="AD193" s="31"/>
      <c r="AE193" s="31"/>
      <c r="AJ193" s="31"/>
    </row>
    <row r="194" spans="30:36">
      <c r="AD194" s="31"/>
      <c r="AE194" s="31"/>
      <c r="AJ194" s="31"/>
    </row>
    <row r="195" spans="30:36">
      <c r="AD195" s="31"/>
      <c r="AE195" s="31"/>
      <c r="AJ195" s="31"/>
    </row>
    <row r="196" spans="30:36">
      <c r="AD196" s="31"/>
      <c r="AE196" s="31"/>
      <c r="AJ196" s="31"/>
    </row>
    <row r="197" spans="30:36">
      <c r="AD197" s="31"/>
      <c r="AE197" s="31"/>
      <c r="AJ197" s="31"/>
    </row>
    <row r="198" spans="30:36">
      <c r="AD198" s="31"/>
      <c r="AE198" s="31"/>
      <c r="AJ198" s="31"/>
    </row>
    <row r="199" spans="30:36">
      <c r="AD199" s="31"/>
      <c r="AE199" s="31"/>
      <c r="AJ199" s="31"/>
    </row>
    <row r="200" spans="30:36">
      <c r="AD200" s="31"/>
      <c r="AE200" s="31"/>
      <c r="AJ200" s="31"/>
    </row>
    <row r="201" spans="30:36">
      <c r="AD201" s="31"/>
      <c r="AE201" s="31"/>
      <c r="AJ201" s="31"/>
    </row>
    <row r="202" spans="30:36">
      <c r="AD202" s="31"/>
      <c r="AE202" s="31"/>
      <c r="AJ202" s="31"/>
    </row>
    <row r="203" spans="30:36">
      <c r="AD203" s="31"/>
      <c r="AE203" s="31"/>
      <c r="AJ203" s="31"/>
    </row>
    <row r="204" spans="30:36">
      <c r="AD204" s="31"/>
      <c r="AE204" s="31"/>
      <c r="AJ204" s="31"/>
    </row>
    <row r="205" spans="30:36">
      <c r="AD205" s="31"/>
      <c r="AE205" s="31"/>
      <c r="AJ205" s="31"/>
    </row>
    <row r="206" spans="30:36">
      <c r="AD206" s="31"/>
      <c r="AE206" s="31"/>
      <c r="AJ206" s="31"/>
    </row>
    <row r="207" spans="30:36">
      <c r="AD207" s="31"/>
      <c r="AE207" s="31"/>
      <c r="AJ207" s="31"/>
    </row>
    <row r="208" spans="30:36">
      <c r="AD208" s="31"/>
      <c r="AE208" s="31"/>
      <c r="AJ208" s="31"/>
    </row>
    <row r="209" spans="30:36">
      <c r="AD209" s="31"/>
      <c r="AE209" s="31"/>
      <c r="AJ209" s="31"/>
    </row>
    <row r="210" spans="30:36">
      <c r="AD210" s="31"/>
      <c r="AE210" s="31"/>
      <c r="AJ210" s="31"/>
    </row>
    <row r="211" spans="30:36">
      <c r="AD211" s="31"/>
      <c r="AE211" s="31"/>
      <c r="AJ211" s="31"/>
    </row>
    <row r="212" spans="30:36">
      <c r="AD212" s="31"/>
      <c r="AE212" s="31"/>
      <c r="AJ212" s="31"/>
    </row>
    <row r="213" spans="30:36">
      <c r="AD213" s="31"/>
      <c r="AE213" s="31"/>
      <c r="AJ213" s="31"/>
    </row>
    <row r="214" spans="30:36">
      <c r="AD214" s="31"/>
      <c r="AE214" s="31"/>
    </row>
    <row r="215" spans="30:36">
      <c r="AD215" s="31"/>
      <c r="AE215" s="31"/>
    </row>
    <row r="216" spans="30:36">
      <c r="AD216" s="31"/>
      <c r="AE216" s="31"/>
    </row>
    <row r="217" spans="30:36">
      <c r="AD217" s="31"/>
      <c r="AE217" s="31"/>
    </row>
    <row r="218" spans="30:36">
      <c r="AD218" s="31"/>
      <c r="AE218" s="31"/>
    </row>
    <row r="219" spans="30:36">
      <c r="AD219" s="31"/>
      <c r="AE219" s="31"/>
    </row>
    <row r="220" spans="30:36">
      <c r="AD220" s="31"/>
      <c r="AE220" s="31"/>
    </row>
    <row r="221" spans="30:36">
      <c r="AD221" s="31"/>
      <c r="AE221" s="31"/>
    </row>
    <row r="222" spans="30:36">
      <c r="AD222" s="31"/>
      <c r="AE222" s="31"/>
    </row>
    <row r="223" spans="30:36">
      <c r="AD223" s="31"/>
      <c r="AE223" s="31"/>
    </row>
    <row r="224" spans="30:36">
      <c r="AD224" s="31"/>
      <c r="AE224" s="31"/>
    </row>
    <row r="225" spans="30:42">
      <c r="AD225" s="31"/>
      <c r="AE225" s="31"/>
    </row>
    <row r="226" spans="30:42">
      <c r="AD226" s="31"/>
      <c r="AE226" s="31"/>
    </row>
    <row r="227" spans="30:42">
      <c r="AD227" s="31"/>
      <c r="AE227" s="31"/>
    </row>
    <row r="228" spans="30:42">
      <c r="AD228" s="31"/>
      <c r="AE228" s="31"/>
    </row>
    <row r="229" spans="30:42">
      <c r="AD229" s="31"/>
      <c r="AE229" s="31"/>
    </row>
    <row r="230" spans="30:42">
      <c r="AD230" s="31"/>
      <c r="AE230" s="31"/>
    </row>
    <row r="231" spans="30:42">
      <c r="AD231" s="31"/>
      <c r="AE231" s="31"/>
    </row>
    <row r="232" spans="30:42">
      <c r="AD232" s="31"/>
      <c r="AE232" s="31"/>
    </row>
    <row r="233" spans="30:42">
      <c r="AD233" s="31"/>
      <c r="AE233" s="31"/>
    </row>
    <row r="234" spans="30:42">
      <c r="AD234" s="31"/>
      <c r="AE234" s="31"/>
    </row>
    <row r="235" spans="30:42">
      <c r="AD235" s="31"/>
      <c r="AE235" s="31"/>
      <c r="AN235" s="1">
        <v>7025170.7489288598</v>
      </c>
      <c r="AP235" s="1" t="b">
        <v>0</v>
      </c>
    </row>
    <row r="236" spans="30:42">
      <c r="AD236" s="31"/>
      <c r="AE236" s="31"/>
    </row>
    <row r="237" spans="30:42">
      <c r="AD237" s="31"/>
      <c r="AE237" s="31"/>
    </row>
    <row r="238" spans="30:42">
      <c r="AD238" s="31"/>
      <c r="AE238" s="31"/>
    </row>
    <row r="239" spans="30:42">
      <c r="AD239" s="31"/>
      <c r="AE239" s="31"/>
    </row>
    <row r="240" spans="30:42">
      <c r="AD240" s="31"/>
      <c r="AE240" s="31"/>
    </row>
    <row r="241" spans="30:31">
      <c r="AD241" s="31"/>
      <c r="AE241" s="31"/>
    </row>
    <row r="242" spans="30:31">
      <c r="AD242" s="31"/>
      <c r="AE242" s="31"/>
    </row>
    <row r="243" spans="30:31">
      <c r="AD243" s="31"/>
      <c r="AE243" s="31"/>
    </row>
    <row r="244" spans="30:31">
      <c r="AD244" s="31"/>
      <c r="AE244" s="31"/>
    </row>
    <row r="245" spans="30:31">
      <c r="AD245" s="31"/>
      <c r="AE245" s="31"/>
    </row>
    <row r="246" spans="30:31">
      <c r="AD246" s="31"/>
      <c r="AE246" s="31"/>
    </row>
    <row r="247" spans="30:31">
      <c r="AD247" s="31"/>
      <c r="AE247" s="31"/>
    </row>
    <row r="248" spans="30:31">
      <c r="AD248" s="31"/>
      <c r="AE248" s="31"/>
    </row>
    <row r="249" spans="30:31">
      <c r="AD249" s="31"/>
      <c r="AE249" s="31"/>
    </row>
    <row r="250" spans="30:31">
      <c r="AD250" s="31"/>
      <c r="AE250" s="31"/>
    </row>
    <row r="251" spans="30:31">
      <c r="AD251" s="31"/>
      <c r="AE251" s="31"/>
    </row>
    <row r="252" spans="30:31">
      <c r="AD252" s="31"/>
      <c r="AE252" s="31"/>
    </row>
    <row r="253" spans="30:31">
      <c r="AD253" s="31"/>
      <c r="AE253" s="31"/>
    </row>
    <row r="254" spans="30:31">
      <c r="AD254" s="31"/>
      <c r="AE254" s="31"/>
    </row>
    <row r="255" spans="30:31">
      <c r="AD255" s="31"/>
      <c r="AE255" s="31"/>
    </row>
    <row r="256" spans="30:31">
      <c r="AD256" s="31"/>
      <c r="AE256" s="31"/>
    </row>
    <row r="257" spans="30:31">
      <c r="AD257" s="31"/>
      <c r="AE257" s="31"/>
    </row>
    <row r="258" spans="30:31">
      <c r="AD258" s="31"/>
      <c r="AE258" s="31"/>
    </row>
    <row r="259" spans="30:31">
      <c r="AD259" s="31"/>
      <c r="AE259" s="31"/>
    </row>
    <row r="260" spans="30:31">
      <c r="AD260" s="31"/>
      <c r="AE260" s="31"/>
    </row>
    <row r="261" spans="30:31">
      <c r="AD261" s="31"/>
      <c r="AE261" s="31"/>
    </row>
    <row r="262" spans="30:31">
      <c r="AD262" s="31"/>
      <c r="AE262" s="31"/>
    </row>
    <row r="263" spans="30:31">
      <c r="AD263" s="31"/>
      <c r="AE263" s="31"/>
    </row>
    <row r="264" spans="30:31">
      <c r="AD264" s="31"/>
      <c r="AE264" s="31"/>
    </row>
    <row r="265" spans="30:31">
      <c r="AD265" s="31"/>
      <c r="AE265" s="31"/>
    </row>
    <row r="266" spans="30:31">
      <c r="AD266" s="31"/>
      <c r="AE266" s="31"/>
    </row>
    <row r="267" spans="30:31">
      <c r="AD267" s="31"/>
      <c r="AE267" s="31"/>
    </row>
    <row r="268" spans="30:31">
      <c r="AD268" s="31"/>
      <c r="AE268" s="31"/>
    </row>
    <row r="269" spans="30:31">
      <c r="AD269" s="31"/>
      <c r="AE269" s="31"/>
    </row>
    <row r="270" spans="30:31">
      <c r="AD270" s="31"/>
      <c r="AE270" s="31"/>
    </row>
    <row r="271" spans="30:31">
      <c r="AD271" s="31"/>
      <c r="AE271" s="31"/>
    </row>
    <row r="272" spans="30:31">
      <c r="AD272" s="31"/>
      <c r="AE272" s="31"/>
    </row>
    <row r="273" spans="30:31">
      <c r="AD273" s="31"/>
      <c r="AE273" s="31"/>
    </row>
    <row r="274" spans="30:31">
      <c r="AD274" s="31"/>
      <c r="AE274" s="31"/>
    </row>
    <row r="275" spans="30:31">
      <c r="AD275" s="31"/>
      <c r="AE275" s="31"/>
    </row>
    <row r="276" spans="30:31">
      <c r="AD276" s="31"/>
      <c r="AE276" s="31"/>
    </row>
    <row r="277" spans="30:31">
      <c r="AD277" s="31"/>
      <c r="AE277" s="31"/>
    </row>
    <row r="278" spans="30:31">
      <c r="AD278" s="31"/>
      <c r="AE278" s="31"/>
    </row>
    <row r="279" spans="30:31">
      <c r="AD279" s="31"/>
      <c r="AE279" s="31"/>
    </row>
    <row r="280" spans="30:31">
      <c r="AD280" s="31"/>
      <c r="AE280" s="31"/>
    </row>
    <row r="281" spans="30:31">
      <c r="AD281" s="31"/>
      <c r="AE281" s="31"/>
    </row>
    <row r="282" spans="30:31">
      <c r="AD282" s="31"/>
      <c r="AE282" s="31"/>
    </row>
    <row r="283" spans="30:31">
      <c r="AD283" s="31"/>
      <c r="AE283" s="31"/>
    </row>
    <row r="284" spans="30:31">
      <c r="AD284" s="31"/>
      <c r="AE284" s="31"/>
    </row>
    <row r="285" spans="30:31">
      <c r="AD285" s="31"/>
      <c r="AE285" s="31"/>
    </row>
    <row r="286" spans="30:31">
      <c r="AD286" s="31"/>
      <c r="AE286" s="31"/>
    </row>
    <row r="287" spans="30:31">
      <c r="AD287" s="31"/>
      <c r="AE287" s="31"/>
    </row>
    <row r="288" spans="30:31">
      <c r="AD288" s="31"/>
      <c r="AE288" s="31"/>
    </row>
    <row r="289" spans="30:31">
      <c r="AD289" s="31"/>
      <c r="AE289" s="31"/>
    </row>
    <row r="290" spans="30:31">
      <c r="AD290" s="31"/>
      <c r="AE290" s="31"/>
    </row>
    <row r="291" spans="30:31">
      <c r="AD291" s="31"/>
      <c r="AE291" s="31"/>
    </row>
    <row r="292" spans="30:31">
      <c r="AD292" s="31"/>
      <c r="AE292" s="31"/>
    </row>
    <row r="293" spans="30:31">
      <c r="AD293" s="31"/>
      <c r="AE293" s="31"/>
    </row>
    <row r="294" spans="30:31">
      <c r="AD294" s="31"/>
      <c r="AE294" s="31"/>
    </row>
    <row r="295" spans="30:31">
      <c r="AD295" s="31"/>
      <c r="AE295" s="31"/>
    </row>
    <row r="296" spans="30:31">
      <c r="AD296" s="31"/>
      <c r="AE296" s="31"/>
    </row>
    <row r="297" spans="30:31">
      <c r="AD297" s="31"/>
      <c r="AE297" s="31"/>
    </row>
    <row r="298" spans="30:31">
      <c r="AD298" s="31"/>
      <c r="AE298" s="31"/>
    </row>
    <row r="299" spans="30:31">
      <c r="AD299" s="31"/>
      <c r="AE299" s="31"/>
    </row>
    <row r="300" spans="30:31">
      <c r="AD300" s="31"/>
      <c r="AE300" s="31"/>
    </row>
    <row r="301" spans="30:31">
      <c r="AD301" s="31"/>
      <c r="AE301" s="31"/>
    </row>
    <row r="302" spans="30:31">
      <c r="AD302" s="31"/>
      <c r="AE302" s="31"/>
    </row>
    <row r="303" spans="30:31">
      <c r="AD303" s="31"/>
      <c r="AE303" s="31"/>
    </row>
    <row r="304" spans="30:31">
      <c r="AD304" s="31"/>
      <c r="AE304" s="31"/>
    </row>
    <row r="305" spans="30:31">
      <c r="AD305" s="31"/>
      <c r="AE305" s="31"/>
    </row>
    <row r="306" spans="30:31">
      <c r="AD306" s="31"/>
      <c r="AE306" s="31"/>
    </row>
    <row r="307" spans="30:31">
      <c r="AD307" s="31"/>
      <c r="AE307" s="31"/>
    </row>
    <row r="308" spans="30:31">
      <c r="AD308" s="31"/>
      <c r="AE308" s="31"/>
    </row>
    <row r="309" spans="30:31">
      <c r="AD309" s="31"/>
      <c r="AE309" s="31"/>
    </row>
    <row r="310" spans="30:31">
      <c r="AD310" s="31"/>
      <c r="AE310" s="31"/>
    </row>
    <row r="311" spans="30:31">
      <c r="AD311" s="31"/>
      <c r="AE311" s="31"/>
    </row>
    <row r="312" spans="30:31">
      <c r="AD312" s="31"/>
      <c r="AE312" s="31"/>
    </row>
    <row r="313" spans="30:31">
      <c r="AD313" s="31"/>
      <c r="AE313" s="31"/>
    </row>
    <row r="314" spans="30:31">
      <c r="AD314" s="31"/>
      <c r="AE314" s="31"/>
    </row>
    <row r="315" spans="30:31">
      <c r="AD315" s="31"/>
      <c r="AE315" s="31"/>
    </row>
    <row r="316" spans="30:31">
      <c r="AD316" s="31"/>
      <c r="AE316" s="31"/>
    </row>
    <row r="317" spans="30:31">
      <c r="AD317" s="31"/>
      <c r="AE317" s="31"/>
    </row>
    <row r="318" spans="30:31">
      <c r="AD318" s="31"/>
      <c r="AE318" s="31"/>
    </row>
    <row r="319" spans="30:31">
      <c r="AD319" s="31"/>
      <c r="AE319" s="31"/>
    </row>
    <row r="320" spans="30:31">
      <c r="AD320" s="31"/>
      <c r="AE320" s="31"/>
    </row>
    <row r="321" spans="30:31">
      <c r="AD321" s="31"/>
      <c r="AE321" s="31"/>
    </row>
    <row r="322" spans="30:31">
      <c r="AD322" s="31"/>
      <c r="AE322" s="31"/>
    </row>
    <row r="323" spans="30:31">
      <c r="AD323" s="31"/>
      <c r="AE323" s="31"/>
    </row>
    <row r="324" spans="30:31">
      <c r="AD324" s="31"/>
      <c r="AE324" s="31"/>
    </row>
    <row r="325" spans="30:31">
      <c r="AD325" s="31"/>
      <c r="AE325" s="31"/>
    </row>
    <row r="326" spans="30:31">
      <c r="AD326" s="31"/>
      <c r="AE326" s="31"/>
    </row>
    <row r="327" spans="30:31">
      <c r="AD327" s="31"/>
      <c r="AE327" s="31"/>
    </row>
    <row r="328" spans="30:31">
      <c r="AD328" s="31"/>
      <c r="AE328" s="31"/>
    </row>
    <row r="329" spans="30:31">
      <c r="AD329" s="31"/>
      <c r="AE329" s="31"/>
    </row>
    <row r="330" spans="30:31">
      <c r="AD330" s="31"/>
      <c r="AE330" s="31"/>
    </row>
    <row r="331" spans="30:31">
      <c r="AD331" s="31"/>
      <c r="AE331" s="31"/>
    </row>
    <row r="332" spans="30:31">
      <c r="AD332" s="31"/>
      <c r="AE332" s="31"/>
    </row>
    <row r="333" spans="30:31">
      <c r="AD333" s="31"/>
      <c r="AE333" s="31"/>
    </row>
    <row r="334" spans="30:31">
      <c r="AD334" s="31"/>
      <c r="AE334" s="31"/>
    </row>
    <row r="335" spans="30:31">
      <c r="AD335" s="31"/>
      <c r="AE335" s="31"/>
    </row>
    <row r="336" spans="30:31">
      <c r="AD336" s="31"/>
      <c r="AE336" s="31"/>
    </row>
    <row r="337" spans="30:31">
      <c r="AD337" s="31"/>
      <c r="AE337" s="31"/>
    </row>
    <row r="338" spans="30:31">
      <c r="AD338" s="31"/>
      <c r="AE338" s="31"/>
    </row>
    <row r="339" spans="30:31">
      <c r="AD339" s="31"/>
      <c r="AE339" s="31"/>
    </row>
    <row r="340" spans="30:31">
      <c r="AD340" s="31"/>
      <c r="AE340" s="31"/>
    </row>
    <row r="341" spans="30:31">
      <c r="AD341" s="31"/>
      <c r="AE341" s="31"/>
    </row>
    <row r="342" spans="30:31">
      <c r="AD342" s="31"/>
      <c r="AE342" s="31"/>
    </row>
    <row r="343" spans="30:31">
      <c r="AD343" s="31"/>
      <c r="AE343" s="31"/>
    </row>
    <row r="344" spans="30:31">
      <c r="AD344" s="31"/>
      <c r="AE344" s="31"/>
    </row>
    <row r="345" spans="30:31">
      <c r="AD345" s="31"/>
      <c r="AE345" s="31"/>
    </row>
    <row r="346" spans="30:31">
      <c r="AD346" s="31"/>
      <c r="AE346" s="31"/>
    </row>
    <row r="347" spans="30:31">
      <c r="AD347" s="31"/>
      <c r="AE347" s="31"/>
    </row>
    <row r="348" spans="30:31">
      <c r="AD348" s="31"/>
      <c r="AE348" s="31"/>
    </row>
    <row r="349" spans="30:31">
      <c r="AD349" s="31"/>
      <c r="AE349" s="31"/>
    </row>
    <row r="350" spans="30:31">
      <c r="AD350" s="31"/>
      <c r="AE350" s="31"/>
    </row>
    <row r="351" spans="30:31">
      <c r="AD351" s="31"/>
      <c r="AE351" s="31"/>
    </row>
    <row r="352" spans="30:31">
      <c r="AD352" s="31"/>
      <c r="AE352" s="31"/>
    </row>
    <row r="353" spans="30:31">
      <c r="AD353" s="31"/>
      <c r="AE353" s="31"/>
    </row>
    <row r="354" spans="30:31">
      <c r="AD354" s="31"/>
      <c r="AE354" s="31"/>
    </row>
    <row r="355" spans="30:31">
      <c r="AD355" s="31"/>
      <c r="AE355" s="31"/>
    </row>
    <row r="356" spans="30:31">
      <c r="AD356" s="31"/>
      <c r="AE356" s="31"/>
    </row>
    <row r="357" spans="30:31">
      <c r="AD357" s="31"/>
      <c r="AE357" s="31"/>
    </row>
    <row r="358" spans="30:31">
      <c r="AD358" s="31"/>
      <c r="AE358" s="31"/>
    </row>
    <row r="359" spans="30:31">
      <c r="AD359" s="31"/>
      <c r="AE359" s="31"/>
    </row>
    <row r="360" spans="30:31">
      <c r="AD360" s="31"/>
      <c r="AE360" s="31"/>
    </row>
    <row r="361" spans="30:31">
      <c r="AD361" s="31"/>
      <c r="AE361" s="31"/>
    </row>
    <row r="362" spans="30:31">
      <c r="AD362" s="31"/>
      <c r="AE362" s="31"/>
    </row>
    <row r="363" spans="30:31">
      <c r="AD363" s="31"/>
      <c r="AE363" s="31"/>
    </row>
    <row r="364" spans="30:31">
      <c r="AD364" s="31"/>
      <c r="AE364" s="31"/>
    </row>
    <row r="365" spans="30:31">
      <c r="AD365" s="31"/>
      <c r="AE365" s="31"/>
    </row>
    <row r="366" spans="30:31">
      <c r="AD366" s="31"/>
      <c r="AE366" s="31"/>
    </row>
    <row r="367" spans="30:31">
      <c r="AD367" s="31"/>
      <c r="AE367" s="31"/>
    </row>
    <row r="368" spans="30:31">
      <c r="AD368" s="31"/>
      <c r="AE368" s="31"/>
    </row>
    <row r="369" spans="30:31">
      <c r="AD369" s="31"/>
      <c r="AE369" s="31"/>
    </row>
    <row r="370" spans="30:31">
      <c r="AD370" s="31"/>
      <c r="AE370" s="31"/>
    </row>
    <row r="371" spans="30:31">
      <c r="AD371" s="31"/>
      <c r="AE371" s="31"/>
    </row>
    <row r="372" spans="30:31">
      <c r="AD372" s="31"/>
      <c r="AE372" s="31"/>
    </row>
    <row r="373" spans="30:31">
      <c r="AD373" s="31"/>
      <c r="AE373" s="31"/>
    </row>
    <row r="374" spans="30:31">
      <c r="AD374" s="31"/>
      <c r="AE374" s="31"/>
    </row>
    <row r="375" spans="30:31">
      <c r="AD375" s="31"/>
      <c r="AE375" s="31"/>
    </row>
    <row r="376" spans="30:31">
      <c r="AD376" s="31"/>
      <c r="AE376" s="31"/>
    </row>
    <row r="377" spans="30:31">
      <c r="AD377" s="31"/>
      <c r="AE377" s="31"/>
    </row>
    <row r="378" spans="30:31">
      <c r="AD378" s="31"/>
      <c r="AE378" s="31"/>
    </row>
    <row r="379" spans="30:31">
      <c r="AD379" s="31"/>
      <c r="AE379" s="31"/>
    </row>
    <row r="380" spans="30:31">
      <c r="AD380" s="31"/>
      <c r="AE380" s="31"/>
    </row>
    <row r="381" spans="30:31">
      <c r="AD381" s="31"/>
      <c r="AE381" s="31"/>
    </row>
    <row r="382" spans="30:31">
      <c r="AD382" s="31"/>
      <c r="AE382" s="31"/>
    </row>
    <row r="383" spans="30:31">
      <c r="AD383" s="31"/>
      <c r="AE383" s="31"/>
    </row>
    <row r="384" spans="30:31">
      <c r="AD384" s="31"/>
      <c r="AE384" s="31"/>
    </row>
    <row r="385" spans="30:31">
      <c r="AD385" s="31"/>
      <c r="AE385" s="31"/>
    </row>
    <row r="386" spans="30:31">
      <c r="AD386" s="31"/>
      <c r="AE386" s="31"/>
    </row>
    <row r="387" spans="30:31">
      <c r="AD387" s="31"/>
      <c r="AE387" s="31"/>
    </row>
    <row r="388" spans="30:31">
      <c r="AD388" s="31"/>
      <c r="AE388" s="31"/>
    </row>
    <row r="389" spans="30:31">
      <c r="AD389" s="31"/>
      <c r="AE389" s="31"/>
    </row>
    <row r="390" spans="30:31">
      <c r="AD390" s="31"/>
      <c r="AE390" s="31"/>
    </row>
    <row r="391" spans="30:31">
      <c r="AD391" s="31"/>
      <c r="AE391" s="31"/>
    </row>
    <row r="392" spans="30:31">
      <c r="AD392" s="31"/>
      <c r="AE392" s="31"/>
    </row>
    <row r="393" spans="30:31">
      <c r="AD393" s="31"/>
      <c r="AE393" s="31"/>
    </row>
    <row r="394" spans="30:31">
      <c r="AD394" s="31"/>
      <c r="AE394" s="31"/>
    </row>
    <row r="395" spans="30:31">
      <c r="AD395" s="31"/>
      <c r="AE395" s="31"/>
    </row>
    <row r="396" spans="30:31">
      <c r="AD396" s="31"/>
      <c r="AE396" s="31"/>
    </row>
    <row r="397" spans="30:31">
      <c r="AD397" s="31"/>
      <c r="AE397" s="31"/>
    </row>
    <row r="398" spans="30:31">
      <c r="AD398" s="31"/>
      <c r="AE398" s="31"/>
    </row>
    <row r="399" spans="30:31">
      <c r="AD399" s="31"/>
      <c r="AE399" s="31"/>
    </row>
    <row r="400" spans="30:31">
      <c r="AD400" s="31"/>
      <c r="AE400" s="31"/>
    </row>
    <row r="401" spans="30:31">
      <c r="AD401" s="31"/>
      <c r="AE401" s="31"/>
    </row>
    <row r="402" spans="30:31">
      <c r="AD402" s="31"/>
      <c r="AE402" s="31"/>
    </row>
    <row r="403" spans="30:31">
      <c r="AD403" s="31"/>
      <c r="AE403" s="31"/>
    </row>
    <row r="404" spans="30:31">
      <c r="AD404" s="31"/>
      <c r="AE404" s="31"/>
    </row>
    <row r="405" spans="30:31">
      <c r="AD405" s="31"/>
      <c r="AE405" s="31"/>
    </row>
    <row r="406" spans="30:31">
      <c r="AD406" s="31"/>
      <c r="AE406" s="31"/>
    </row>
    <row r="407" spans="30:31">
      <c r="AD407" s="31"/>
      <c r="AE407" s="31"/>
    </row>
    <row r="408" spans="30:31">
      <c r="AD408" s="31"/>
      <c r="AE408" s="31"/>
    </row>
    <row r="409" spans="30:31">
      <c r="AD409" s="31"/>
      <c r="AE409" s="31"/>
    </row>
    <row r="410" spans="30:31">
      <c r="AD410" s="31"/>
      <c r="AE410" s="31"/>
    </row>
    <row r="411" spans="30:31">
      <c r="AD411" s="31"/>
      <c r="AE411" s="31"/>
    </row>
    <row r="412" spans="30:31">
      <c r="AD412" s="31"/>
      <c r="AE412" s="31"/>
    </row>
    <row r="413" spans="30:31">
      <c r="AD413" s="31"/>
      <c r="AE413" s="31"/>
    </row>
    <row r="414" spans="30:31">
      <c r="AD414" s="31"/>
      <c r="AE414" s="31"/>
    </row>
    <row r="415" spans="30:31">
      <c r="AD415" s="31"/>
      <c r="AE415" s="31"/>
    </row>
    <row r="416" spans="30:31">
      <c r="AD416" s="31"/>
      <c r="AE416" s="31"/>
    </row>
    <row r="417" spans="30:31">
      <c r="AD417" s="31"/>
      <c r="AE417" s="31"/>
    </row>
    <row r="418" spans="30:31">
      <c r="AD418" s="31"/>
      <c r="AE418" s="31"/>
    </row>
    <row r="419" spans="30:31">
      <c r="AD419" s="31"/>
      <c r="AE419" s="31"/>
    </row>
    <row r="420" spans="30:31">
      <c r="AD420" s="31"/>
      <c r="AE420" s="31"/>
    </row>
    <row r="421" spans="30:31">
      <c r="AD421" s="31"/>
      <c r="AE421" s="31"/>
    </row>
    <row r="422" spans="30:31">
      <c r="AD422" s="31"/>
      <c r="AE422" s="31"/>
    </row>
    <row r="423" spans="30:31">
      <c r="AD423" s="31"/>
      <c r="AE423" s="31"/>
    </row>
    <row r="424" spans="30:31">
      <c r="AD424" s="31"/>
      <c r="AE424" s="31"/>
    </row>
    <row r="425" spans="30:31">
      <c r="AD425" s="31"/>
      <c r="AE425" s="31"/>
    </row>
    <row r="426" spans="30:31">
      <c r="AD426" s="31"/>
      <c r="AE426" s="31"/>
    </row>
    <row r="427" spans="30:31">
      <c r="AD427" s="31"/>
      <c r="AE427" s="31"/>
    </row>
    <row r="428" spans="30:31">
      <c r="AD428" s="31"/>
      <c r="AE428" s="31"/>
    </row>
    <row r="429" spans="30:31">
      <c r="AD429" s="31"/>
      <c r="AE429" s="31"/>
    </row>
    <row r="430" spans="30:31">
      <c r="AD430" s="31"/>
      <c r="AE430" s="31"/>
    </row>
    <row r="431" spans="30:31">
      <c r="AD431" s="31"/>
      <c r="AE431" s="31"/>
    </row>
    <row r="432" spans="30:31">
      <c r="AD432" s="31"/>
      <c r="AE432" s="31"/>
    </row>
    <row r="433" spans="30:31">
      <c r="AD433" s="31"/>
      <c r="AE433" s="31"/>
    </row>
    <row r="434" spans="30:31">
      <c r="AD434" s="31"/>
      <c r="AE434" s="31"/>
    </row>
    <row r="435" spans="30:31">
      <c r="AD435" s="31"/>
      <c r="AE435" s="31"/>
    </row>
    <row r="436" spans="30:31">
      <c r="AD436" s="31"/>
      <c r="AE436" s="31"/>
    </row>
    <row r="437" spans="30:31">
      <c r="AD437" s="31"/>
      <c r="AE437" s="31"/>
    </row>
    <row r="438" spans="30:31">
      <c r="AD438" s="31"/>
      <c r="AE438" s="31"/>
    </row>
    <row r="439" spans="30:31">
      <c r="AD439" s="31"/>
      <c r="AE439" s="31"/>
    </row>
    <row r="440" spans="30:31">
      <c r="AD440" s="31"/>
      <c r="AE440" s="31"/>
    </row>
    <row r="441" spans="30:31">
      <c r="AD441" s="31"/>
      <c r="AE441" s="31"/>
    </row>
    <row r="442" spans="30:31">
      <c r="AD442" s="31"/>
      <c r="AE442" s="31"/>
    </row>
    <row r="443" spans="30:31">
      <c r="AD443" s="31"/>
      <c r="AE443" s="31"/>
    </row>
    <row r="444" spans="30:31">
      <c r="AD444" s="31"/>
      <c r="AE444" s="31"/>
    </row>
    <row r="445" spans="30:31">
      <c r="AD445" s="31"/>
      <c r="AE445" s="31"/>
    </row>
    <row r="446" spans="30:31">
      <c r="AD446" s="31"/>
      <c r="AE446" s="31"/>
    </row>
    <row r="447" spans="30:31">
      <c r="AD447" s="31"/>
      <c r="AE447" s="31"/>
    </row>
    <row r="448" spans="30:31">
      <c r="AD448" s="31"/>
      <c r="AE448" s="31"/>
    </row>
    <row r="449" spans="30:31">
      <c r="AD449" s="31"/>
      <c r="AE449" s="31"/>
    </row>
    <row r="450" spans="30:31">
      <c r="AD450" s="31"/>
      <c r="AE450" s="31"/>
    </row>
    <row r="451" spans="30:31">
      <c r="AD451" s="31"/>
      <c r="AE451" s="31"/>
    </row>
    <row r="452" spans="30:31">
      <c r="AD452" s="31"/>
      <c r="AE452" s="31"/>
    </row>
    <row r="453" spans="30:31">
      <c r="AD453" s="31"/>
      <c r="AE453" s="31"/>
    </row>
    <row r="454" spans="30:31">
      <c r="AD454" s="31"/>
      <c r="AE454" s="31"/>
    </row>
    <row r="455" spans="30:31">
      <c r="AD455" s="31"/>
      <c r="AE455" s="31"/>
    </row>
    <row r="456" spans="30:31">
      <c r="AD456" s="31"/>
      <c r="AE456" s="31"/>
    </row>
    <row r="457" spans="30:31">
      <c r="AD457" s="31"/>
      <c r="AE457" s="31"/>
    </row>
    <row r="458" spans="30:31">
      <c r="AD458" s="31"/>
      <c r="AE458" s="31"/>
    </row>
    <row r="459" spans="30:31">
      <c r="AD459" s="31"/>
      <c r="AE459" s="31"/>
    </row>
    <row r="460" spans="30:31">
      <c r="AD460" s="31"/>
      <c r="AE460" s="31"/>
    </row>
    <row r="461" spans="30:31">
      <c r="AD461" s="31"/>
      <c r="AE461" s="31"/>
    </row>
    <row r="462" spans="30:31">
      <c r="AD462" s="31"/>
      <c r="AE462" s="31"/>
    </row>
    <row r="463" spans="30:31">
      <c r="AD463" s="31"/>
      <c r="AE463" s="31"/>
    </row>
    <row r="464" spans="30:31">
      <c r="AD464" s="31"/>
      <c r="AE464" s="31"/>
    </row>
    <row r="465" spans="30:31">
      <c r="AD465" s="31"/>
      <c r="AE465" s="31"/>
    </row>
    <row r="466" spans="30:31">
      <c r="AD466" s="31"/>
      <c r="AE466" s="31"/>
    </row>
    <row r="467" spans="30:31">
      <c r="AD467" s="31"/>
      <c r="AE467" s="31"/>
    </row>
    <row r="468" spans="30:31">
      <c r="AD468" s="31"/>
      <c r="AE468" s="31"/>
    </row>
    <row r="469" spans="30:31">
      <c r="AD469" s="31"/>
      <c r="AE469" s="31"/>
    </row>
    <row r="470" spans="30:31">
      <c r="AD470" s="31"/>
      <c r="AE470" s="31"/>
    </row>
    <row r="471" spans="30:31">
      <c r="AD471" s="31"/>
      <c r="AE471" s="31"/>
    </row>
    <row r="472" spans="30:31">
      <c r="AD472" s="31"/>
      <c r="AE472" s="31"/>
    </row>
    <row r="473" spans="30:31">
      <c r="AD473" s="31"/>
      <c r="AE473" s="31"/>
    </row>
    <row r="474" spans="30:31">
      <c r="AD474" s="31"/>
      <c r="AE474" s="31"/>
    </row>
    <row r="475" spans="30:31">
      <c r="AD475" s="31"/>
      <c r="AE475" s="31"/>
    </row>
    <row r="476" spans="30:31">
      <c r="AD476" s="31"/>
      <c r="AE476" s="31"/>
    </row>
    <row r="477" spans="30:31">
      <c r="AD477" s="31"/>
      <c r="AE477" s="31"/>
    </row>
    <row r="478" spans="30:31">
      <c r="AD478" s="31"/>
      <c r="AE478" s="31"/>
    </row>
    <row r="479" spans="30:31">
      <c r="AD479" s="31"/>
      <c r="AE479" s="31"/>
    </row>
    <row r="480" spans="30:31">
      <c r="AD480" s="31"/>
      <c r="AE480" s="31"/>
    </row>
    <row r="481" spans="30:31">
      <c r="AD481" s="31"/>
      <c r="AE481" s="31"/>
    </row>
    <row r="482" spans="30:31">
      <c r="AD482" s="31"/>
      <c r="AE482" s="31"/>
    </row>
    <row r="483" spans="30:31">
      <c r="AD483" s="31"/>
      <c r="AE483" s="31"/>
    </row>
    <row r="484" spans="30:31">
      <c r="AD484" s="31"/>
      <c r="AE484" s="31"/>
    </row>
    <row r="485" spans="30:31">
      <c r="AD485" s="31"/>
      <c r="AE485" s="31"/>
    </row>
    <row r="486" spans="30:31">
      <c r="AD486" s="31"/>
      <c r="AE486" s="31"/>
    </row>
    <row r="487" spans="30:31">
      <c r="AD487" s="31"/>
      <c r="AE487" s="31"/>
    </row>
    <row r="488" spans="30:31">
      <c r="AD488" s="31"/>
      <c r="AE488" s="31"/>
    </row>
    <row r="489" spans="30:31">
      <c r="AD489" s="31"/>
      <c r="AE489" s="31"/>
    </row>
    <row r="490" spans="30:31">
      <c r="AD490" s="31"/>
      <c r="AE490" s="31"/>
    </row>
    <row r="491" spans="30:31">
      <c r="AD491" s="31"/>
      <c r="AE491" s="31"/>
    </row>
    <row r="492" spans="30:31">
      <c r="AD492" s="31"/>
      <c r="AE492" s="31"/>
    </row>
    <row r="493" spans="30:31">
      <c r="AD493" s="31"/>
      <c r="AE493" s="31"/>
    </row>
    <row r="494" spans="30:31">
      <c r="AD494" s="31"/>
      <c r="AE494" s="31"/>
    </row>
    <row r="495" spans="30:31">
      <c r="AD495" s="31"/>
      <c r="AE495" s="31"/>
    </row>
    <row r="496" spans="30:31">
      <c r="AD496" s="31"/>
      <c r="AE496" s="31"/>
    </row>
    <row r="497" spans="30:31">
      <c r="AD497" s="31"/>
      <c r="AE497" s="31"/>
    </row>
    <row r="498" spans="30:31">
      <c r="AD498" s="31"/>
      <c r="AE498" s="31"/>
    </row>
    <row r="499" spans="30:31">
      <c r="AD499" s="31"/>
      <c r="AE499" s="31"/>
    </row>
    <row r="500" spans="30:31">
      <c r="AD500" s="31"/>
      <c r="AE500" s="31"/>
    </row>
    <row r="501" spans="30:31">
      <c r="AD501" s="31"/>
      <c r="AE501" s="31"/>
    </row>
    <row r="502" spans="30:31">
      <c r="AD502" s="31"/>
      <c r="AE502" s="31"/>
    </row>
    <row r="503" spans="30:31">
      <c r="AD503" s="31"/>
      <c r="AE503" s="31"/>
    </row>
    <row r="504" spans="30:31">
      <c r="AD504" s="31"/>
      <c r="AE504" s="31"/>
    </row>
    <row r="505" spans="30:31">
      <c r="AD505" s="31"/>
      <c r="AE505" s="31"/>
    </row>
    <row r="506" spans="30:31">
      <c r="AD506" s="31"/>
      <c r="AE506" s="31"/>
    </row>
    <row r="507" spans="30:31">
      <c r="AD507" s="31"/>
      <c r="AE507" s="31"/>
    </row>
    <row r="508" spans="30:31">
      <c r="AD508" s="31"/>
      <c r="AE508" s="31"/>
    </row>
    <row r="509" spans="30:31">
      <c r="AD509" s="31"/>
      <c r="AE509" s="31"/>
    </row>
    <row r="510" spans="30:31">
      <c r="AD510" s="31"/>
      <c r="AE510" s="31"/>
    </row>
    <row r="511" spans="30:31">
      <c r="AD511" s="31"/>
      <c r="AE511" s="31"/>
    </row>
    <row r="512" spans="30:31">
      <c r="AD512" s="31"/>
      <c r="AE512" s="31"/>
    </row>
    <row r="513" spans="30:31">
      <c r="AD513" s="31"/>
      <c r="AE513" s="31"/>
    </row>
    <row r="514" spans="30:31">
      <c r="AD514" s="31"/>
      <c r="AE514" s="31"/>
    </row>
    <row r="515" spans="30:31">
      <c r="AD515" s="31"/>
      <c r="AE515" s="31"/>
    </row>
    <row r="516" spans="30:31">
      <c r="AD516" s="31"/>
      <c r="AE516" s="31"/>
    </row>
    <row r="517" spans="30:31">
      <c r="AD517" s="31"/>
      <c r="AE517" s="31"/>
    </row>
    <row r="518" spans="30:31">
      <c r="AD518" s="31"/>
      <c r="AE518" s="31"/>
    </row>
    <row r="519" spans="30:31">
      <c r="AD519" s="31"/>
      <c r="AE519" s="31"/>
    </row>
    <row r="520" spans="30:31">
      <c r="AD520" s="31"/>
      <c r="AE520" s="31"/>
    </row>
    <row r="521" spans="30:31">
      <c r="AD521" s="31"/>
      <c r="AE521" s="31"/>
    </row>
    <row r="522" spans="30:31">
      <c r="AD522" s="31"/>
      <c r="AE522" s="31"/>
    </row>
    <row r="523" spans="30:31">
      <c r="AD523" s="31"/>
      <c r="AE523" s="31"/>
    </row>
    <row r="524" spans="30:31">
      <c r="AD524" s="31"/>
      <c r="AE524" s="31"/>
    </row>
    <row r="525" spans="30:31">
      <c r="AD525" s="31"/>
      <c r="AE525" s="31"/>
    </row>
    <row r="526" spans="30:31">
      <c r="AD526" s="31"/>
      <c r="AE526" s="31"/>
    </row>
    <row r="527" spans="30:31">
      <c r="AD527" s="31"/>
      <c r="AE527" s="31"/>
    </row>
    <row r="528" spans="30:31">
      <c r="AD528" s="31"/>
      <c r="AE528" s="31"/>
    </row>
    <row r="529" spans="30:31">
      <c r="AD529" s="31"/>
      <c r="AE529" s="31"/>
    </row>
    <row r="530" spans="30:31">
      <c r="AD530" s="31"/>
      <c r="AE530" s="31"/>
    </row>
    <row r="531" spans="30:31">
      <c r="AD531" s="31"/>
      <c r="AE531" s="31"/>
    </row>
    <row r="532" spans="30:31">
      <c r="AD532" s="31"/>
      <c r="AE532" s="31"/>
    </row>
    <row r="533" spans="30:31">
      <c r="AD533" s="31"/>
      <c r="AE533" s="31"/>
    </row>
    <row r="534" spans="30:31">
      <c r="AD534" s="31"/>
      <c r="AE534" s="31"/>
    </row>
    <row r="535" spans="30:31">
      <c r="AD535" s="31"/>
      <c r="AE535" s="31"/>
    </row>
    <row r="536" spans="30:31">
      <c r="AD536" s="31"/>
      <c r="AE536" s="31"/>
    </row>
    <row r="537" spans="30:31">
      <c r="AD537" s="31"/>
      <c r="AE537" s="31"/>
    </row>
    <row r="538" spans="30:31">
      <c r="AD538" s="31"/>
      <c r="AE538" s="31"/>
    </row>
    <row r="539" spans="30:31">
      <c r="AD539" s="31"/>
      <c r="AE539" s="31"/>
    </row>
    <row r="540" spans="30:31">
      <c r="AD540" s="31"/>
      <c r="AE540" s="31"/>
    </row>
    <row r="541" spans="30:31">
      <c r="AD541" s="31"/>
      <c r="AE541" s="31"/>
    </row>
    <row r="542" spans="30:31">
      <c r="AD542" s="31"/>
      <c r="AE542" s="31"/>
    </row>
    <row r="543" spans="30:31">
      <c r="AD543" s="31"/>
      <c r="AE543" s="31"/>
    </row>
    <row r="544" spans="30:31">
      <c r="AD544" s="31"/>
      <c r="AE544" s="31"/>
    </row>
    <row r="545" spans="30:31">
      <c r="AD545" s="31"/>
      <c r="AE545" s="31"/>
    </row>
    <row r="546" spans="30:31">
      <c r="AD546" s="31"/>
      <c r="AE546" s="31"/>
    </row>
    <row r="547" spans="30:31">
      <c r="AD547" s="31"/>
      <c r="AE547" s="31"/>
    </row>
    <row r="548" spans="30:31">
      <c r="AD548" s="31"/>
      <c r="AE548" s="31"/>
    </row>
    <row r="549" spans="30:31">
      <c r="AD549" s="31"/>
      <c r="AE549" s="31"/>
    </row>
    <row r="550" spans="30:31">
      <c r="AD550" s="31"/>
      <c r="AE550" s="31"/>
    </row>
    <row r="551" spans="30:31">
      <c r="AD551" s="31"/>
      <c r="AE551" s="31"/>
    </row>
    <row r="552" spans="30:31">
      <c r="AD552" s="31"/>
      <c r="AE552" s="31"/>
    </row>
    <row r="553" spans="30:31">
      <c r="AD553" s="31"/>
      <c r="AE553" s="31"/>
    </row>
    <row r="554" spans="30:31">
      <c r="AD554" s="31"/>
      <c r="AE554" s="31"/>
    </row>
    <row r="555" spans="30:31">
      <c r="AD555" s="31"/>
      <c r="AE555" s="31"/>
    </row>
    <row r="556" spans="30:31">
      <c r="AD556" s="31"/>
      <c r="AE556" s="31"/>
    </row>
    <row r="557" spans="30:31">
      <c r="AD557" s="31"/>
      <c r="AE557" s="31"/>
    </row>
    <row r="558" spans="30:31">
      <c r="AD558" s="31"/>
      <c r="AE558" s="31"/>
    </row>
    <row r="559" spans="30:31">
      <c r="AD559" s="31"/>
      <c r="AE559" s="31"/>
    </row>
    <row r="560" spans="30:31">
      <c r="AD560" s="31"/>
      <c r="AE560" s="31"/>
    </row>
    <row r="561" spans="30:31">
      <c r="AD561" s="31"/>
      <c r="AE561" s="31"/>
    </row>
    <row r="562" spans="30:31">
      <c r="AD562" s="31"/>
      <c r="AE562" s="31"/>
    </row>
    <row r="563" spans="30:31">
      <c r="AD563" s="31"/>
      <c r="AE563" s="31"/>
    </row>
    <row r="564" spans="30:31">
      <c r="AD564" s="31"/>
      <c r="AE564" s="31"/>
    </row>
    <row r="565" spans="30:31">
      <c r="AD565" s="31"/>
      <c r="AE565" s="31"/>
    </row>
    <row r="566" spans="30:31">
      <c r="AD566" s="31"/>
      <c r="AE566" s="31"/>
    </row>
    <row r="567" spans="30:31">
      <c r="AD567" s="31"/>
      <c r="AE567" s="31"/>
    </row>
    <row r="568" spans="30:31">
      <c r="AD568" s="31"/>
      <c r="AE568" s="31"/>
    </row>
    <row r="569" spans="30:31">
      <c r="AD569" s="31"/>
      <c r="AE569" s="31"/>
    </row>
    <row r="570" spans="30:31">
      <c r="AD570" s="31"/>
      <c r="AE570" s="31"/>
    </row>
    <row r="571" spans="30:31">
      <c r="AD571" s="31"/>
      <c r="AE571" s="31"/>
    </row>
    <row r="572" spans="30:31">
      <c r="AD572" s="31"/>
      <c r="AE572" s="31"/>
    </row>
    <row r="573" spans="30:31">
      <c r="AD573" s="31"/>
      <c r="AE573" s="31"/>
    </row>
    <row r="574" spans="30:31">
      <c r="AD574" s="31"/>
      <c r="AE574" s="31"/>
    </row>
    <row r="575" spans="30:31">
      <c r="AD575" s="31"/>
      <c r="AE575" s="31"/>
    </row>
    <row r="576" spans="30:31">
      <c r="AD576" s="31"/>
      <c r="AE576" s="31"/>
    </row>
    <row r="577" spans="30:31">
      <c r="AD577" s="31"/>
      <c r="AE577" s="31"/>
    </row>
    <row r="578" spans="30:31">
      <c r="AD578" s="31"/>
      <c r="AE578" s="31"/>
    </row>
    <row r="579" spans="30:31">
      <c r="AD579" s="31"/>
      <c r="AE579" s="31"/>
    </row>
    <row r="580" spans="30:31">
      <c r="AD580" s="31"/>
      <c r="AE580" s="31"/>
    </row>
    <row r="581" spans="30:31">
      <c r="AD581" s="31"/>
      <c r="AE581" s="31"/>
    </row>
    <row r="582" spans="30:31">
      <c r="AD582" s="31"/>
      <c r="AE582" s="31"/>
    </row>
    <row r="583" spans="30:31">
      <c r="AD583" s="31"/>
      <c r="AE583" s="31"/>
    </row>
    <row r="584" spans="30:31">
      <c r="AD584" s="31"/>
      <c r="AE584" s="31"/>
    </row>
    <row r="585" spans="30:31">
      <c r="AD585" s="31"/>
      <c r="AE585" s="31"/>
    </row>
    <row r="586" spans="30:31">
      <c r="AD586" s="31"/>
      <c r="AE586" s="31"/>
    </row>
    <row r="587" spans="30:31">
      <c r="AD587" s="31"/>
      <c r="AE587" s="31"/>
    </row>
    <row r="588" spans="30:31">
      <c r="AD588" s="31"/>
      <c r="AE588" s="31"/>
    </row>
    <row r="589" spans="30:31">
      <c r="AD589" s="31"/>
      <c r="AE589" s="31"/>
    </row>
    <row r="590" spans="30:31">
      <c r="AD590" s="31"/>
      <c r="AE590" s="31"/>
    </row>
    <row r="591" spans="30:31">
      <c r="AD591" s="31"/>
      <c r="AE591" s="31"/>
    </row>
    <row r="592" spans="30:31">
      <c r="AD592" s="31"/>
      <c r="AE592" s="31"/>
    </row>
    <row r="593" spans="30:31">
      <c r="AD593" s="31"/>
      <c r="AE593" s="31"/>
    </row>
    <row r="594" spans="30:31">
      <c r="AD594" s="31"/>
      <c r="AE594" s="31"/>
    </row>
    <row r="595" spans="30:31">
      <c r="AD595" s="31"/>
      <c r="AE595" s="31"/>
    </row>
    <row r="596" spans="30:31">
      <c r="AD596" s="31"/>
      <c r="AE596" s="31"/>
    </row>
    <row r="597" spans="30:31">
      <c r="AD597" s="31"/>
      <c r="AE597" s="31"/>
    </row>
    <row r="598" spans="30:31">
      <c r="AD598" s="31"/>
      <c r="AE598" s="31"/>
    </row>
    <row r="599" spans="30:31">
      <c r="AD599" s="31"/>
      <c r="AE599" s="31"/>
    </row>
    <row r="600" spans="30:31">
      <c r="AD600" s="31"/>
      <c r="AE600" s="31"/>
    </row>
    <row r="601" spans="30:31">
      <c r="AD601" s="31"/>
      <c r="AE601" s="31"/>
    </row>
    <row r="602" spans="30:31">
      <c r="AD602" s="31"/>
      <c r="AE602" s="31"/>
    </row>
    <row r="603" spans="30:31">
      <c r="AD603" s="31"/>
      <c r="AE603" s="31"/>
    </row>
    <row r="604" spans="30:31">
      <c r="AD604" s="31"/>
      <c r="AE604" s="31"/>
    </row>
    <row r="605" spans="30:31">
      <c r="AD605" s="31"/>
      <c r="AE605" s="31"/>
    </row>
    <row r="606" spans="30:31">
      <c r="AD606" s="31"/>
      <c r="AE606" s="31"/>
    </row>
    <row r="607" spans="30:31">
      <c r="AD607" s="31"/>
      <c r="AE607" s="31"/>
    </row>
    <row r="608" spans="30:31">
      <c r="AD608" s="31"/>
      <c r="AE608" s="31"/>
    </row>
    <row r="609" spans="30:31">
      <c r="AD609" s="31"/>
      <c r="AE609" s="31"/>
    </row>
    <row r="610" spans="30:31">
      <c r="AD610" s="31"/>
      <c r="AE610" s="31"/>
    </row>
    <row r="611" spans="30:31">
      <c r="AD611" s="31"/>
      <c r="AE611" s="31"/>
    </row>
    <row r="612" spans="30:31">
      <c r="AD612" s="31"/>
      <c r="AE612" s="31"/>
    </row>
    <row r="613" spans="30:31">
      <c r="AD613" s="31"/>
      <c r="AE613" s="31"/>
    </row>
    <row r="614" spans="30:31">
      <c r="AD614" s="31"/>
      <c r="AE614" s="31"/>
    </row>
    <row r="615" spans="30:31">
      <c r="AD615" s="31"/>
      <c r="AE615" s="31"/>
    </row>
    <row r="616" spans="30:31">
      <c r="AD616" s="31"/>
      <c r="AE616" s="31"/>
    </row>
    <row r="617" spans="30:31">
      <c r="AD617" s="31"/>
      <c r="AE617" s="31"/>
    </row>
    <row r="618" spans="30:31">
      <c r="AD618" s="31"/>
      <c r="AE618" s="31"/>
    </row>
    <row r="619" spans="30:31">
      <c r="AD619" s="31"/>
      <c r="AE619" s="31"/>
    </row>
    <row r="620" spans="30:31">
      <c r="AD620" s="31"/>
      <c r="AE620" s="31"/>
    </row>
    <row r="621" spans="30:31">
      <c r="AD621" s="31"/>
      <c r="AE621" s="31"/>
    </row>
    <row r="622" spans="30:31">
      <c r="AD622" s="31"/>
      <c r="AE622" s="31"/>
    </row>
    <row r="623" spans="30:31">
      <c r="AD623" s="31"/>
      <c r="AE623" s="31"/>
    </row>
    <row r="624" spans="30:31">
      <c r="AD624" s="31"/>
      <c r="AE624" s="31"/>
    </row>
    <row r="625" spans="30:31">
      <c r="AD625" s="31"/>
      <c r="AE625" s="31"/>
    </row>
    <row r="626" spans="30:31">
      <c r="AD626" s="31"/>
      <c r="AE626" s="31"/>
    </row>
    <row r="627" spans="30:31">
      <c r="AD627" s="31"/>
      <c r="AE627" s="31"/>
    </row>
    <row r="628" spans="30:31">
      <c r="AD628" s="31"/>
      <c r="AE628" s="31"/>
    </row>
    <row r="629" spans="30:31">
      <c r="AD629" s="31"/>
      <c r="AE629" s="31"/>
    </row>
    <row r="630" spans="30:31">
      <c r="AD630" s="31"/>
      <c r="AE630" s="31"/>
    </row>
    <row r="631" spans="30:31">
      <c r="AD631" s="31"/>
      <c r="AE631" s="31"/>
    </row>
    <row r="632" spans="30:31">
      <c r="AD632" s="31"/>
      <c r="AE632" s="31"/>
    </row>
    <row r="633" spans="30:31">
      <c r="AD633" s="31"/>
      <c r="AE633" s="31"/>
    </row>
    <row r="634" spans="30:31">
      <c r="AD634" s="31"/>
      <c r="AE634" s="31"/>
    </row>
    <row r="635" spans="30:31">
      <c r="AD635" s="31"/>
      <c r="AE635" s="31"/>
    </row>
    <row r="636" spans="30:31">
      <c r="AD636" s="31"/>
      <c r="AE636" s="31"/>
    </row>
    <row r="637" spans="30:31">
      <c r="AD637" s="31"/>
      <c r="AE637" s="31"/>
    </row>
    <row r="638" spans="30:31">
      <c r="AD638" s="31"/>
      <c r="AE638" s="31"/>
    </row>
    <row r="639" spans="30:31">
      <c r="AD639" s="31"/>
      <c r="AE639" s="31"/>
    </row>
    <row r="640" spans="30:31">
      <c r="AD640" s="31"/>
      <c r="AE640" s="31"/>
    </row>
    <row r="641" spans="30:31">
      <c r="AD641" s="31"/>
      <c r="AE641" s="31"/>
    </row>
    <row r="642" spans="30:31">
      <c r="AD642" s="31"/>
      <c r="AE642" s="31"/>
    </row>
    <row r="643" spans="30:31">
      <c r="AD643" s="31"/>
      <c r="AE643" s="31"/>
    </row>
    <row r="644" spans="30:31">
      <c r="AD644" s="31"/>
      <c r="AE644" s="31"/>
    </row>
    <row r="645" spans="30:31">
      <c r="AD645" s="31"/>
      <c r="AE645" s="31"/>
    </row>
    <row r="646" spans="30:31">
      <c r="AD646" s="31"/>
      <c r="AE646" s="31"/>
    </row>
    <row r="647" spans="30:31">
      <c r="AD647" s="31"/>
      <c r="AE647" s="31"/>
    </row>
    <row r="648" spans="30:31">
      <c r="AD648" s="31"/>
      <c r="AE648" s="31"/>
    </row>
    <row r="649" spans="30:31">
      <c r="AD649" s="31"/>
      <c r="AE649" s="31"/>
    </row>
    <row r="650" spans="30:31">
      <c r="AD650" s="31"/>
      <c r="AE650" s="31"/>
    </row>
    <row r="651" spans="30:31">
      <c r="AD651" s="31"/>
      <c r="AE651" s="31"/>
    </row>
    <row r="652" spans="30:31">
      <c r="AD652" s="31"/>
      <c r="AE652" s="31"/>
    </row>
    <row r="653" spans="30:31">
      <c r="AD653" s="31"/>
      <c r="AE653" s="31"/>
    </row>
    <row r="654" spans="30:31">
      <c r="AD654" s="31"/>
      <c r="AE654" s="31"/>
    </row>
    <row r="655" spans="30:31">
      <c r="AD655" s="31"/>
      <c r="AE655" s="31"/>
    </row>
    <row r="656" spans="30:31">
      <c r="AD656" s="31"/>
      <c r="AE656" s="31"/>
    </row>
    <row r="657" spans="30:31">
      <c r="AD657" s="31"/>
      <c r="AE657" s="31"/>
    </row>
    <row r="658" spans="30:31">
      <c r="AD658" s="31"/>
      <c r="AE658" s="31"/>
    </row>
    <row r="659" spans="30:31">
      <c r="AD659" s="31"/>
      <c r="AE659" s="31"/>
    </row>
    <row r="660" spans="30:31">
      <c r="AD660" s="31"/>
      <c r="AE660" s="31"/>
    </row>
    <row r="661" spans="30:31">
      <c r="AD661" s="31"/>
      <c r="AE661" s="31"/>
    </row>
    <row r="662" spans="30:31">
      <c r="AD662" s="31"/>
      <c r="AE662" s="31"/>
    </row>
    <row r="663" spans="30:31">
      <c r="AD663" s="31"/>
      <c r="AE663" s="31"/>
    </row>
    <row r="664" spans="30:31">
      <c r="AD664" s="31"/>
      <c r="AE664" s="31"/>
    </row>
    <row r="665" spans="30:31">
      <c r="AD665" s="31"/>
      <c r="AE665" s="31"/>
    </row>
    <row r="666" spans="30:31">
      <c r="AD666" s="31"/>
      <c r="AE666" s="31"/>
    </row>
    <row r="667" spans="30:31">
      <c r="AD667" s="31"/>
      <c r="AE667" s="31"/>
    </row>
    <row r="668" spans="30:31">
      <c r="AD668" s="31"/>
      <c r="AE668" s="31"/>
    </row>
    <row r="669" spans="30:31">
      <c r="AD669" s="31"/>
      <c r="AE669" s="31"/>
    </row>
    <row r="670" spans="30:31">
      <c r="AD670" s="31"/>
      <c r="AE670" s="31"/>
    </row>
    <row r="671" spans="30:31">
      <c r="AD671" s="31"/>
      <c r="AE671" s="31"/>
    </row>
    <row r="672" spans="30:31">
      <c r="AD672" s="31"/>
      <c r="AE672" s="31"/>
    </row>
    <row r="673" spans="30:31">
      <c r="AD673" s="31"/>
      <c r="AE673" s="31"/>
    </row>
    <row r="674" spans="30:31">
      <c r="AD674" s="31"/>
      <c r="AE674" s="31"/>
    </row>
    <row r="675" spans="30:31">
      <c r="AD675" s="31"/>
      <c r="AE675" s="31"/>
    </row>
    <row r="676" spans="30:31">
      <c r="AD676" s="31"/>
      <c r="AE676" s="31"/>
    </row>
    <row r="677" spans="30:31">
      <c r="AD677" s="31"/>
      <c r="AE677" s="31"/>
    </row>
    <row r="678" spans="30:31">
      <c r="AD678" s="31"/>
      <c r="AE678" s="31"/>
    </row>
    <row r="679" spans="30:31">
      <c r="AD679" s="31"/>
      <c r="AE679" s="31"/>
    </row>
    <row r="680" spans="30:31">
      <c r="AD680" s="31"/>
      <c r="AE680" s="31"/>
    </row>
    <row r="681" spans="30:31">
      <c r="AD681" s="31"/>
      <c r="AE681" s="31"/>
    </row>
    <row r="682" spans="30:31">
      <c r="AD682" s="31"/>
      <c r="AE682" s="31"/>
    </row>
    <row r="683" spans="30:31">
      <c r="AD683" s="31"/>
      <c r="AE683" s="31"/>
    </row>
    <row r="684" spans="30:31">
      <c r="AD684" s="31"/>
      <c r="AE684" s="31"/>
    </row>
    <row r="685" spans="30:31">
      <c r="AD685" s="31"/>
      <c r="AE685" s="31"/>
    </row>
    <row r="686" spans="30:31">
      <c r="AD686" s="31"/>
      <c r="AE686" s="31"/>
    </row>
    <row r="687" spans="30:31">
      <c r="AD687" s="31"/>
      <c r="AE687" s="31"/>
    </row>
    <row r="688" spans="30:31">
      <c r="AD688" s="31"/>
      <c r="AE688" s="31"/>
    </row>
    <row r="689" spans="30:31">
      <c r="AD689" s="31"/>
      <c r="AE689" s="31"/>
    </row>
    <row r="690" spans="30:31">
      <c r="AD690" s="31"/>
      <c r="AE690" s="31"/>
    </row>
    <row r="691" spans="30:31">
      <c r="AD691" s="31"/>
      <c r="AE691" s="31"/>
    </row>
    <row r="692" spans="30:31">
      <c r="AD692" s="31"/>
      <c r="AE692" s="31"/>
    </row>
    <row r="693" spans="30:31">
      <c r="AD693" s="31"/>
      <c r="AE693" s="31"/>
    </row>
    <row r="694" spans="30:31">
      <c r="AD694" s="31"/>
      <c r="AE694" s="31"/>
    </row>
    <row r="695" spans="30:31">
      <c r="AD695" s="31"/>
      <c r="AE695" s="31"/>
    </row>
    <row r="696" spans="30:31">
      <c r="AD696" s="31"/>
      <c r="AE696" s="31"/>
    </row>
    <row r="697" spans="30:31">
      <c r="AD697" s="31"/>
      <c r="AE697" s="31"/>
    </row>
    <row r="698" spans="30:31">
      <c r="AD698" s="31"/>
      <c r="AE698" s="31"/>
    </row>
    <row r="699" spans="30:31">
      <c r="AD699" s="31"/>
      <c r="AE699" s="31"/>
    </row>
    <row r="700" spans="30:31">
      <c r="AD700" s="31"/>
      <c r="AE700" s="31"/>
    </row>
    <row r="701" spans="30:31">
      <c r="AD701" s="31"/>
      <c r="AE701" s="31"/>
    </row>
    <row r="702" spans="30:31">
      <c r="AD702" s="31"/>
      <c r="AE702" s="31"/>
    </row>
    <row r="703" spans="30:31">
      <c r="AD703" s="31"/>
      <c r="AE703" s="31"/>
    </row>
    <row r="704" spans="30:31">
      <c r="AD704" s="31"/>
      <c r="AE704" s="31"/>
    </row>
    <row r="705" spans="30:31">
      <c r="AD705" s="31"/>
      <c r="AE705" s="31"/>
    </row>
    <row r="706" spans="30:31">
      <c r="AD706" s="31"/>
      <c r="AE706" s="31"/>
    </row>
    <row r="707" spans="30:31">
      <c r="AD707" s="31"/>
      <c r="AE707" s="31"/>
    </row>
    <row r="708" spans="30:31">
      <c r="AD708" s="31"/>
      <c r="AE708" s="31"/>
    </row>
    <row r="709" spans="30:31">
      <c r="AD709" s="31"/>
      <c r="AE709" s="31"/>
    </row>
    <row r="710" spans="30:31">
      <c r="AD710" s="31"/>
      <c r="AE710" s="31"/>
    </row>
    <row r="711" spans="30:31">
      <c r="AD711" s="31"/>
      <c r="AE711" s="31"/>
    </row>
    <row r="712" spans="30:31">
      <c r="AD712" s="31"/>
      <c r="AE712" s="31"/>
    </row>
    <row r="713" spans="30:31">
      <c r="AD713" s="31"/>
      <c r="AE713" s="31"/>
    </row>
    <row r="714" spans="30:31">
      <c r="AD714" s="31"/>
      <c r="AE714" s="31"/>
    </row>
    <row r="715" spans="30:31">
      <c r="AD715" s="31"/>
      <c r="AE715" s="31"/>
    </row>
    <row r="716" spans="30:31">
      <c r="AD716" s="31"/>
      <c r="AE716" s="31"/>
    </row>
    <row r="717" spans="30:31">
      <c r="AD717" s="31"/>
      <c r="AE717" s="31"/>
    </row>
    <row r="718" spans="30:31">
      <c r="AD718" s="31"/>
      <c r="AE718" s="31"/>
    </row>
    <row r="719" spans="30:31">
      <c r="AD719" s="31"/>
      <c r="AE719" s="31"/>
    </row>
    <row r="720" spans="30:31">
      <c r="AD720" s="31"/>
      <c r="AE720" s="31"/>
    </row>
    <row r="721" spans="30:31">
      <c r="AD721" s="31"/>
      <c r="AE721" s="31"/>
    </row>
    <row r="722" spans="30:31">
      <c r="AD722" s="31"/>
      <c r="AE722" s="31"/>
    </row>
    <row r="723" spans="30:31">
      <c r="AD723" s="31"/>
      <c r="AE723" s="31"/>
    </row>
    <row r="724" spans="30:31">
      <c r="AD724" s="31"/>
      <c r="AE724" s="31"/>
    </row>
    <row r="725" spans="30:31">
      <c r="AD725" s="31"/>
      <c r="AE725" s="31"/>
    </row>
    <row r="726" spans="30:31">
      <c r="AD726" s="31"/>
      <c r="AE726" s="31"/>
    </row>
    <row r="727" spans="30:31">
      <c r="AD727" s="31"/>
      <c r="AE727" s="31"/>
    </row>
    <row r="728" spans="30:31">
      <c r="AD728" s="31"/>
      <c r="AE728" s="31"/>
    </row>
    <row r="729" spans="30:31">
      <c r="AD729" s="31"/>
      <c r="AE729" s="31"/>
    </row>
    <row r="730" spans="30:31">
      <c r="AD730" s="31"/>
      <c r="AE730" s="31"/>
    </row>
    <row r="731" spans="30:31">
      <c r="AD731" s="31"/>
      <c r="AE731" s="31"/>
    </row>
    <row r="732" spans="30:31">
      <c r="AD732" s="31"/>
      <c r="AE732" s="31"/>
    </row>
    <row r="733" spans="30:31">
      <c r="AD733" s="31"/>
      <c r="AE733" s="31"/>
    </row>
    <row r="734" spans="30:31">
      <c r="AD734" s="31"/>
      <c r="AE734" s="31"/>
    </row>
    <row r="735" spans="30:31">
      <c r="AD735" s="31"/>
      <c r="AE735" s="31"/>
    </row>
    <row r="736" spans="30:31">
      <c r="AD736" s="31"/>
      <c r="AE736" s="31"/>
    </row>
    <row r="737" spans="30:31">
      <c r="AD737" s="31"/>
      <c r="AE737" s="31"/>
    </row>
    <row r="738" spans="30:31">
      <c r="AD738" s="31"/>
      <c r="AE738" s="31"/>
    </row>
    <row r="739" spans="30:31">
      <c r="AD739" s="31"/>
      <c r="AE739" s="31"/>
    </row>
    <row r="740" spans="30:31">
      <c r="AD740" s="31"/>
      <c r="AE740" s="31"/>
    </row>
    <row r="741" spans="30:31">
      <c r="AD741" s="31"/>
      <c r="AE741" s="31"/>
    </row>
    <row r="742" spans="30:31">
      <c r="AD742" s="31"/>
      <c r="AE742" s="31"/>
    </row>
    <row r="743" spans="30:31">
      <c r="AD743" s="31"/>
      <c r="AE743" s="31"/>
    </row>
    <row r="744" spans="30:31">
      <c r="AD744" s="31"/>
      <c r="AE744" s="31"/>
    </row>
    <row r="745" spans="30:31">
      <c r="AD745" s="31"/>
      <c r="AE745" s="31"/>
    </row>
    <row r="746" spans="30:31">
      <c r="AD746" s="31"/>
      <c r="AE746" s="31"/>
    </row>
    <row r="747" spans="30:31">
      <c r="AD747" s="31"/>
      <c r="AE747" s="31"/>
    </row>
    <row r="748" spans="30:31">
      <c r="AD748" s="31"/>
      <c r="AE748" s="31"/>
    </row>
    <row r="749" spans="30:31">
      <c r="AD749" s="31"/>
      <c r="AE749" s="31"/>
    </row>
    <row r="750" spans="30:31">
      <c r="AD750" s="31"/>
      <c r="AE750" s="31"/>
    </row>
    <row r="751" spans="30:31">
      <c r="AD751" s="31"/>
      <c r="AE751" s="31"/>
    </row>
    <row r="752" spans="30:31">
      <c r="AD752" s="31"/>
      <c r="AE752" s="31"/>
    </row>
    <row r="753" spans="30:31">
      <c r="AD753" s="31"/>
      <c r="AE753" s="31"/>
    </row>
    <row r="754" spans="30:31">
      <c r="AD754" s="31"/>
      <c r="AE754" s="31"/>
    </row>
    <row r="755" spans="30:31">
      <c r="AD755" s="31"/>
      <c r="AE755" s="31"/>
    </row>
    <row r="756" spans="30:31">
      <c r="AD756" s="31"/>
      <c r="AE756" s="31"/>
    </row>
    <row r="757" spans="30:31">
      <c r="AD757" s="31"/>
      <c r="AE757" s="31"/>
    </row>
    <row r="758" spans="30:31">
      <c r="AD758" s="31"/>
      <c r="AE758" s="31"/>
    </row>
    <row r="759" spans="30:31">
      <c r="AD759" s="31"/>
      <c r="AE759" s="31"/>
    </row>
    <row r="760" spans="30:31">
      <c r="AD760" s="31"/>
      <c r="AE760" s="31"/>
    </row>
    <row r="761" spans="30:31">
      <c r="AD761" s="31"/>
      <c r="AE761" s="31"/>
    </row>
    <row r="762" spans="30:31">
      <c r="AD762" s="31"/>
      <c r="AE762" s="31"/>
    </row>
    <row r="763" spans="30:31">
      <c r="AD763" s="31"/>
      <c r="AE763" s="31"/>
    </row>
    <row r="764" spans="30:31">
      <c r="AD764" s="31"/>
      <c r="AE764" s="31"/>
    </row>
    <row r="765" spans="30:31">
      <c r="AD765" s="31"/>
      <c r="AE765" s="31"/>
    </row>
    <row r="766" spans="30:31">
      <c r="AD766" s="31"/>
      <c r="AE766" s="31"/>
    </row>
    <row r="767" spans="30:31">
      <c r="AD767" s="31"/>
      <c r="AE767" s="31"/>
    </row>
    <row r="768" spans="30:31">
      <c r="AD768" s="31"/>
      <c r="AE768" s="31"/>
    </row>
    <row r="769" spans="30:31">
      <c r="AD769" s="31"/>
      <c r="AE769" s="31"/>
    </row>
    <row r="770" spans="30:31">
      <c r="AD770" s="31"/>
      <c r="AE770" s="31"/>
    </row>
    <row r="771" spans="30:31">
      <c r="AD771" s="31"/>
      <c r="AE771" s="31"/>
    </row>
    <row r="772" spans="30:31">
      <c r="AD772" s="31"/>
      <c r="AE772" s="31"/>
    </row>
    <row r="773" spans="30:31">
      <c r="AD773" s="31"/>
      <c r="AE773" s="31"/>
    </row>
    <row r="774" spans="30:31">
      <c r="AD774" s="31"/>
      <c r="AE774" s="31"/>
    </row>
    <row r="775" spans="30:31">
      <c r="AD775" s="31"/>
      <c r="AE775" s="31"/>
    </row>
    <row r="776" spans="30:31">
      <c r="AD776" s="31"/>
      <c r="AE776" s="31"/>
    </row>
    <row r="777" spans="30:31">
      <c r="AD777" s="31"/>
      <c r="AE777" s="31"/>
    </row>
    <row r="778" spans="30:31">
      <c r="AD778" s="31"/>
      <c r="AE778" s="31"/>
    </row>
    <row r="779" spans="30:31">
      <c r="AD779" s="31"/>
      <c r="AE779" s="31"/>
    </row>
    <row r="780" spans="30:31">
      <c r="AD780" s="31"/>
      <c r="AE780" s="31"/>
    </row>
    <row r="781" spans="30:31">
      <c r="AD781" s="31"/>
      <c r="AE781" s="31"/>
    </row>
    <row r="782" spans="30:31">
      <c r="AD782" s="31"/>
      <c r="AE782" s="31"/>
    </row>
    <row r="783" spans="30:31">
      <c r="AD783" s="31"/>
      <c r="AE783" s="31"/>
    </row>
    <row r="784" spans="30:31">
      <c r="AD784" s="31"/>
      <c r="AE784" s="31"/>
    </row>
    <row r="785" spans="30:31">
      <c r="AD785" s="31"/>
      <c r="AE785" s="31"/>
    </row>
    <row r="786" spans="30:31">
      <c r="AD786" s="31"/>
      <c r="AE786" s="31"/>
    </row>
    <row r="787" spans="30:31">
      <c r="AD787" s="31"/>
      <c r="AE787" s="31"/>
    </row>
    <row r="788" spans="30:31">
      <c r="AD788" s="31"/>
      <c r="AE788" s="31"/>
    </row>
    <row r="789" spans="30:31">
      <c r="AD789" s="31"/>
      <c r="AE789" s="31"/>
    </row>
    <row r="790" spans="30:31">
      <c r="AD790" s="31"/>
      <c r="AE790" s="31"/>
    </row>
    <row r="791" spans="30:31">
      <c r="AD791" s="31"/>
      <c r="AE791" s="31"/>
    </row>
    <row r="792" spans="30:31">
      <c r="AD792" s="31"/>
      <c r="AE792" s="31"/>
    </row>
    <row r="793" spans="30:31">
      <c r="AD793" s="31"/>
      <c r="AE793" s="31"/>
    </row>
    <row r="794" spans="30:31">
      <c r="AD794" s="31"/>
      <c r="AE794" s="31"/>
    </row>
    <row r="795" spans="30:31">
      <c r="AD795" s="31"/>
      <c r="AE795" s="31"/>
    </row>
    <row r="796" spans="30:31">
      <c r="AD796" s="31"/>
      <c r="AE796" s="31"/>
    </row>
    <row r="797" spans="30:31">
      <c r="AD797" s="31"/>
      <c r="AE797" s="31"/>
    </row>
    <row r="798" spans="30:31">
      <c r="AD798" s="31"/>
      <c r="AE798" s="31"/>
    </row>
    <row r="799" spans="30:31">
      <c r="AD799" s="31"/>
      <c r="AE799" s="31"/>
    </row>
    <row r="800" spans="30:31">
      <c r="AD800" s="31"/>
      <c r="AE800" s="31"/>
    </row>
    <row r="801" spans="30:31">
      <c r="AD801" s="31"/>
      <c r="AE801" s="31"/>
    </row>
    <row r="802" spans="30:31">
      <c r="AD802" s="31"/>
      <c r="AE802" s="31"/>
    </row>
    <row r="803" spans="30:31">
      <c r="AD803" s="31"/>
      <c r="AE803" s="31"/>
    </row>
    <row r="804" spans="30:31">
      <c r="AD804" s="31"/>
      <c r="AE804" s="31"/>
    </row>
    <row r="805" spans="30:31">
      <c r="AD805" s="31"/>
      <c r="AE805" s="31"/>
    </row>
    <row r="806" spans="30:31">
      <c r="AD806" s="31"/>
      <c r="AE806" s="31"/>
    </row>
    <row r="807" spans="30:31">
      <c r="AD807" s="31"/>
      <c r="AE807" s="31"/>
    </row>
    <row r="808" spans="30:31">
      <c r="AD808" s="31"/>
      <c r="AE808" s="31"/>
    </row>
    <row r="809" spans="30:31">
      <c r="AD809" s="31"/>
      <c r="AE809" s="31"/>
    </row>
    <row r="810" spans="30:31">
      <c r="AD810" s="31"/>
      <c r="AE810" s="31"/>
    </row>
    <row r="811" spans="30:31">
      <c r="AD811" s="31"/>
      <c r="AE811" s="31"/>
    </row>
    <row r="812" spans="30:31">
      <c r="AD812" s="31"/>
      <c r="AE812" s="31"/>
    </row>
    <row r="813" spans="30:31">
      <c r="AD813" s="31"/>
      <c r="AE813" s="31"/>
    </row>
    <row r="814" spans="30:31">
      <c r="AD814" s="31"/>
      <c r="AE814" s="31"/>
    </row>
    <row r="815" spans="30:31">
      <c r="AD815" s="31"/>
      <c r="AE815" s="31"/>
    </row>
    <row r="816" spans="30:31">
      <c r="AD816" s="31"/>
      <c r="AE816" s="31"/>
    </row>
    <row r="817" spans="30:31">
      <c r="AD817" s="31"/>
      <c r="AE817" s="31"/>
    </row>
    <row r="818" spans="30:31">
      <c r="AD818" s="31"/>
      <c r="AE818" s="31"/>
    </row>
    <row r="819" spans="30:31">
      <c r="AD819" s="31"/>
      <c r="AE819" s="31"/>
    </row>
    <row r="820" spans="30:31">
      <c r="AD820" s="31"/>
      <c r="AE820" s="31"/>
    </row>
    <row r="821" spans="30:31">
      <c r="AD821" s="31"/>
      <c r="AE821" s="31"/>
    </row>
    <row r="822" spans="30:31">
      <c r="AD822" s="31"/>
      <c r="AE822" s="31"/>
    </row>
    <row r="823" spans="30:31">
      <c r="AD823" s="31"/>
      <c r="AE823" s="31"/>
    </row>
    <row r="824" spans="30:31">
      <c r="AD824" s="31"/>
      <c r="AE824" s="31"/>
    </row>
    <row r="825" spans="30:31">
      <c r="AD825" s="31"/>
      <c r="AE825" s="31"/>
    </row>
    <row r="826" spans="30:31">
      <c r="AD826" s="31"/>
      <c r="AE826" s="31"/>
    </row>
    <row r="827" spans="30:31">
      <c r="AD827" s="31"/>
      <c r="AE827" s="31"/>
    </row>
    <row r="828" spans="30:31">
      <c r="AD828" s="31"/>
      <c r="AE828" s="31"/>
    </row>
    <row r="829" spans="30:31">
      <c r="AD829" s="31"/>
      <c r="AE829" s="31"/>
    </row>
    <row r="830" spans="30:31">
      <c r="AD830" s="31"/>
      <c r="AE830" s="31"/>
    </row>
    <row r="831" spans="30:31">
      <c r="AD831" s="31"/>
      <c r="AE831" s="31"/>
    </row>
    <row r="832" spans="30:31">
      <c r="AD832" s="31"/>
      <c r="AE832" s="31"/>
    </row>
    <row r="833" spans="30:31">
      <c r="AD833" s="31"/>
      <c r="AE833" s="31"/>
    </row>
    <row r="834" spans="30:31">
      <c r="AD834" s="31"/>
      <c r="AE834" s="31"/>
    </row>
    <row r="835" spans="30:31">
      <c r="AD835" s="31"/>
      <c r="AE835" s="31"/>
    </row>
    <row r="836" spans="30:31">
      <c r="AD836" s="31"/>
      <c r="AE836" s="31"/>
    </row>
    <row r="837" spans="30:31">
      <c r="AD837" s="31"/>
      <c r="AE837" s="31"/>
    </row>
    <row r="838" spans="30:31">
      <c r="AD838" s="31"/>
      <c r="AE838" s="31"/>
    </row>
    <row r="839" spans="30:31">
      <c r="AD839" s="31"/>
      <c r="AE839" s="31"/>
    </row>
    <row r="840" spans="30:31">
      <c r="AD840" s="31"/>
      <c r="AE840" s="31"/>
    </row>
    <row r="841" spans="30:31">
      <c r="AD841" s="31"/>
      <c r="AE841" s="31"/>
    </row>
    <row r="842" spans="30:31">
      <c r="AD842" s="31"/>
      <c r="AE842" s="31"/>
    </row>
    <row r="843" spans="30:31">
      <c r="AD843" s="31"/>
      <c r="AE843" s="31"/>
    </row>
    <row r="844" spans="30:31">
      <c r="AD844" s="31"/>
      <c r="AE844" s="31"/>
    </row>
    <row r="845" spans="30:31">
      <c r="AD845" s="31"/>
      <c r="AE845" s="31"/>
    </row>
    <row r="846" spans="30:31">
      <c r="AD846" s="31"/>
      <c r="AE846" s="31"/>
    </row>
    <row r="847" spans="30:31">
      <c r="AD847" s="31"/>
      <c r="AE847" s="31"/>
    </row>
    <row r="848" spans="30:31">
      <c r="AD848" s="31"/>
      <c r="AE848" s="31"/>
    </row>
    <row r="849" spans="30:31">
      <c r="AD849" s="31"/>
      <c r="AE849" s="31"/>
    </row>
    <row r="850" spans="30:31">
      <c r="AD850" s="31"/>
      <c r="AE850" s="31"/>
    </row>
    <row r="851" spans="30:31">
      <c r="AD851" s="31"/>
      <c r="AE851" s="31"/>
    </row>
    <row r="852" spans="30:31">
      <c r="AD852" s="31"/>
      <c r="AE852" s="31"/>
    </row>
    <row r="853" spans="30:31">
      <c r="AD853" s="31"/>
      <c r="AE853" s="31"/>
    </row>
    <row r="854" spans="30:31">
      <c r="AD854" s="31"/>
      <c r="AE854" s="31"/>
    </row>
    <row r="855" spans="30:31">
      <c r="AD855" s="31"/>
      <c r="AE855" s="31"/>
    </row>
    <row r="856" spans="30:31">
      <c r="AD856" s="31"/>
      <c r="AE856" s="31"/>
    </row>
    <row r="857" spans="30:31">
      <c r="AD857" s="31"/>
      <c r="AE857" s="31"/>
    </row>
    <row r="858" spans="30:31">
      <c r="AD858" s="31"/>
      <c r="AE858" s="31"/>
    </row>
    <row r="859" spans="30:31">
      <c r="AD859" s="31"/>
      <c r="AE859" s="31"/>
    </row>
    <row r="860" spans="30:31">
      <c r="AD860" s="31"/>
      <c r="AE860" s="31"/>
    </row>
    <row r="861" spans="30:31">
      <c r="AD861" s="31"/>
      <c r="AE861" s="31"/>
    </row>
    <row r="862" spans="30:31">
      <c r="AD862" s="31"/>
      <c r="AE862" s="31"/>
    </row>
    <row r="863" spans="30:31">
      <c r="AD863" s="31"/>
      <c r="AE863" s="31"/>
    </row>
    <row r="864" spans="30:31">
      <c r="AD864" s="31"/>
      <c r="AE864" s="31"/>
    </row>
    <row r="865" spans="30:31">
      <c r="AD865" s="31"/>
      <c r="AE865" s="31"/>
    </row>
    <row r="866" spans="30:31">
      <c r="AD866" s="31"/>
      <c r="AE866" s="31"/>
    </row>
    <row r="867" spans="30:31">
      <c r="AD867" s="31"/>
      <c r="AE867" s="31"/>
    </row>
    <row r="868" spans="30:31">
      <c r="AD868" s="31"/>
      <c r="AE868" s="31"/>
    </row>
    <row r="869" spans="30:31">
      <c r="AD869" s="31"/>
      <c r="AE869" s="31"/>
    </row>
    <row r="870" spans="30:31">
      <c r="AD870" s="31"/>
      <c r="AE870" s="31"/>
    </row>
    <row r="871" spans="30:31">
      <c r="AD871" s="31"/>
      <c r="AE871" s="31"/>
    </row>
    <row r="872" spans="30:31">
      <c r="AD872" s="31"/>
      <c r="AE872" s="31"/>
    </row>
    <row r="873" spans="30:31">
      <c r="AD873" s="31"/>
      <c r="AE873" s="31"/>
    </row>
    <row r="874" spans="30:31">
      <c r="AD874" s="31"/>
      <c r="AE874" s="31"/>
    </row>
    <row r="875" spans="30:31">
      <c r="AD875" s="31"/>
      <c r="AE875" s="31"/>
    </row>
    <row r="876" spans="30:31">
      <c r="AD876" s="31"/>
      <c r="AE876" s="31"/>
    </row>
    <row r="877" spans="30:31">
      <c r="AD877" s="31"/>
      <c r="AE877" s="31"/>
    </row>
    <row r="878" spans="30:31">
      <c r="AD878" s="31"/>
      <c r="AE878" s="31"/>
    </row>
    <row r="879" spans="30:31">
      <c r="AD879" s="31"/>
      <c r="AE879" s="31"/>
    </row>
    <row r="880" spans="30:31">
      <c r="AD880" s="31"/>
      <c r="AE880" s="31"/>
    </row>
    <row r="881" spans="30:31">
      <c r="AD881" s="31"/>
      <c r="AE881" s="31"/>
    </row>
    <row r="882" spans="30:31">
      <c r="AD882" s="31"/>
      <c r="AE882" s="31"/>
    </row>
    <row r="883" spans="30:31">
      <c r="AD883" s="31"/>
      <c r="AE883" s="31"/>
    </row>
    <row r="884" spans="30:31">
      <c r="AD884" s="31"/>
      <c r="AE884" s="31"/>
    </row>
    <row r="885" spans="30:31">
      <c r="AD885" s="31"/>
      <c r="AE885" s="31"/>
    </row>
    <row r="886" spans="30:31">
      <c r="AD886" s="31"/>
      <c r="AE886" s="31"/>
    </row>
    <row r="887" spans="30:31">
      <c r="AD887" s="31"/>
      <c r="AE887" s="31"/>
    </row>
    <row r="888" spans="30:31">
      <c r="AD888" s="31"/>
      <c r="AE888" s="31"/>
    </row>
    <row r="889" spans="30:31">
      <c r="AD889" s="31"/>
      <c r="AE889" s="31"/>
    </row>
    <row r="890" spans="30:31">
      <c r="AD890" s="31"/>
      <c r="AE890" s="31"/>
    </row>
    <row r="891" spans="30:31">
      <c r="AD891" s="31"/>
      <c r="AE891" s="31"/>
    </row>
    <row r="892" spans="30:31">
      <c r="AD892" s="31"/>
      <c r="AE892" s="31"/>
    </row>
    <row r="893" spans="30:31">
      <c r="AD893" s="31"/>
      <c r="AE893" s="31"/>
    </row>
    <row r="894" spans="30:31">
      <c r="AD894" s="31"/>
      <c r="AE894" s="31"/>
    </row>
    <row r="895" spans="30:31">
      <c r="AD895" s="31"/>
      <c r="AE895" s="31"/>
    </row>
    <row r="896" spans="30:31">
      <c r="AD896" s="31"/>
      <c r="AE896" s="31"/>
    </row>
    <row r="897" spans="30:31">
      <c r="AD897" s="31"/>
      <c r="AE897" s="31"/>
    </row>
    <row r="898" spans="30:31">
      <c r="AD898" s="31"/>
      <c r="AE898" s="31"/>
    </row>
    <row r="899" spans="30:31">
      <c r="AD899" s="31"/>
      <c r="AE899" s="31"/>
    </row>
    <row r="900" spans="30:31">
      <c r="AD900" s="31"/>
      <c r="AE900" s="31"/>
    </row>
    <row r="901" spans="30:31">
      <c r="AD901" s="31"/>
      <c r="AE901" s="31"/>
    </row>
    <row r="902" spans="30:31">
      <c r="AD902" s="31"/>
      <c r="AE902" s="31"/>
    </row>
    <row r="903" spans="30:31">
      <c r="AD903" s="31"/>
      <c r="AE903" s="31"/>
    </row>
    <row r="904" spans="30:31">
      <c r="AD904" s="31"/>
      <c r="AE904" s="31"/>
    </row>
    <row r="905" spans="30:31">
      <c r="AD905" s="31"/>
      <c r="AE905" s="31"/>
    </row>
    <row r="906" spans="30:31">
      <c r="AD906" s="31"/>
      <c r="AE906" s="31"/>
    </row>
    <row r="907" spans="30:31">
      <c r="AD907" s="31"/>
      <c r="AE907" s="31"/>
    </row>
    <row r="908" spans="30:31">
      <c r="AD908" s="31"/>
      <c r="AE908" s="31"/>
    </row>
    <row r="909" spans="30:31">
      <c r="AD909" s="31"/>
      <c r="AE909" s="31"/>
    </row>
    <row r="910" spans="30:31">
      <c r="AD910" s="31"/>
      <c r="AE910" s="31"/>
    </row>
    <row r="911" spans="30:31">
      <c r="AD911" s="31"/>
      <c r="AE911" s="31"/>
    </row>
    <row r="912" spans="30:31">
      <c r="AD912" s="31"/>
      <c r="AE912" s="31"/>
    </row>
    <row r="913" spans="30:31">
      <c r="AD913" s="31"/>
      <c r="AE913" s="31"/>
    </row>
    <row r="914" spans="30:31">
      <c r="AD914" s="31"/>
      <c r="AE914" s="31"/>
    </row>
    <row r="915" spans="30:31">
      <c r="AD915" s="31"/>
      <c r="AE915" s="31"/>
    </row>
    <row r="916" spans="30:31">
      <c r="AD916" s="31"/>
      <c r="AE916" s="31"/>
    </row>
    <row r="917" spans="30:31">
      <c r="AD917" s="31"/>
      <c r="AE917" s="31"/>
    </row>
    <row r="918" spans="30:31">
      <c r="AD918" s="31"/>
      <c r="AE918" s="31"/>
    </row>
    <row r="919" spans="30:31">
      <c r="AD919" s="31"/>
      <c r="AE919" s="31"/>
    </row>
    <row r="920" spans="30:31">
      <c r="AD920" s="31"/>
      <c r="AE920" s="31"/>
    </row>
    <row r="921" spans="30:31">
      <c r="AD921" s="31"/>
      <c r="AE921" s="31"/>
    </row>
    <row r="922" spans="30:31">
      <c r="AD922" s="31"/>
      <c r="AE922" s="31"/>
    </row>
    <row r="923" spans="30:31">
      <c r="AD923" s="31"/>
      <c r="AE923" s="31"/>
    </row>
    <row r="924" spans="30:31">
      <c r="AD924" s="31"/>
      <c r="AE924" s="31"/>
    </row>
    <row r="925" spans="30:31">
      <c r="AD925" s="31"/>
      <c r="AE925" s="31"/>
    </row>
    <row r="926" spans="30:31">
      <c r="AD926" s="31"/>
      <c r="AE926" s="31"/>
    </row>
    <row r="927" spans="30:31">
      <c r="AD927" s="31"/>
      <c r="AE927" s="31"/>
    </row>
    <row r="928" spans="30:31">
      <c r="AD928" s="31"/>
      <c r="AE928" s="31"/>
    </row>
    <row r="929" spans="30:31">
      <c r="AD929" s="31"/>
      <c r="AE929" s="31"/>
    </row>
    <row r="930" spans="30:31">
      <c r="AD930" s="31"/>
      <c r="AE930" s="31"/>
    </row>
    <row r="931" spans="30:31">
      <c r="AD931" s="31"/>
      <c r="AE931" s="31"/>
    </row>
    <row r="932" spans="30:31">
      <c r="AD932" s="31"/>
      <c r="AE932" s="31"/>
    </row>
    <row r="933" spans="30:31">
      <c r="AD933" s="31"/>
      <c r="AE933" s="31"/>
    </row>
    <row r="934" spans="30:31">
      <c r="AD934" s="31"/>
      <c r="AE934" s="31"/>
    </row>
    <row r="935" spans="30:31">
      <c r="AD935" s="31"/>
      <c r="AE935" s="31"/>
    </row>
    <row r="936" spans="30:31">
      <c r="AD936" s="31"/>
      <c r="AE936" s="31"/>
    </row>
    <row r="937" spans="30:31">
      <c r="AD937" s="31"/>
      <c r="AE937" s="31"/>
    </row>
    <row r="938" spans="30:31">
      <c r="AD938" s="31"/>
      <c r="AE938" s="31"/>
    </row>
    <row r="939" spans="30:31">
      <c r="AD939" s="31"/>
      <c r="AE939" s="31"/>
    </row>
    <row r="940" spans="30:31">
      <c r="AD940" s="31"/>
      <c r="AE940" s="31"/>
    </row>
    <row r="941" spans="30:31">
      <c r="AD941" s="31"/>
      <c r="AE941" s="31"/>
    </row>
    <row r="942" spans="30:31">
      <c r="AD942" s="31"/>
      <c r="AE942" s="31"/>
    </row>
    <row r="943" spans="30:31">
      <c r="AD943" s="31"/>
      <c r="AE943" s="31"/>
    </row>
    <row r="944" spans="30:31">
      <c r="AD944" s="31"/>
      <c r="AE944" s="31"/>
    </row>
    <row r="945" spans="30:31">
      <c r="AD945" s="31"/>
      <c r="AE945" s="31"/>
    </row>
    <row r="946" spans="30:31">
      <c r="AD946" s="31"/>
      <c r="AE946" s="31"/>
    </row>
    <row r="947" spans="30:31">
      <c r="AD947" s="31"/>
      <c r="AE947" s="31"/>
    </row>
    <row r="948" spans="30:31">
      <c r="AD948" s="31"/>
      <c r="AE948" s="31"/>
    </row>
    <row r="949" spans="30:31">
      <c r="AD949" s="31"/>
      <c r="AE949" s="31"/>
    </row>
    <row r="950" spans="30:31">
      <c r="AD950" s="31"/>
      <c r="AE950" s="31"/>
    </row>
    <row r="951" spans="30:31">
      <c r="AD951" s="31"/>
      <c r="AE951" s="31"/>
    </row>
    <row r="952" spans="30:31">
      <c r="AD952" s="31"/>
      <c r="AE952" s="31"/>
    </row>
    <row r="953" spans="30:31">
      <c r="AD953" s="31"/>
      <c r="AE953" s="31"/>
    </row>
    <row r="954" spans="30:31">
      <c r="AD954" s="31"/>
      <c r="AE954" s="31"/>
    </row>
    <row r="955" spans="30:31">
      <c r="AD955" s="31"/>
      <c r="AE955" s="31"/>
    </row>
    <row r="956" spans="30:31">
      <c r="AD956" s="31"/>
      <c r="AE956" s="31"/>
    </row>
    <row r="957" spans="30:31">
      <c r="AD957" s="31"/>
      <c r="AE957" s="31"/>
    </row>
    <row r="958" spans="30:31">
      <c r="AD958" s="31"/>
      <c r="AE958" s="31"/>
    </row>
    <row r="959" spans="30:31">
      <c r="AD959" s="31"/>
      <c r="AE959" s="31"/>
    </row>
    <row r="960" spans="30:31">
      <c r="AD960" s="31"/>
      <c r="AE960" s="31"/>
    </row>
    <row r="961" spans="30:31">
      <c r="AD961" s="31"/>
      <c r="AE961" s="31"/>
    </row>
    <row r="962" spans="30:31">
      <c r="AD962" s="31"/>
      <c r="AE962" s="31"/>
    </row>
    <row r="963" spans="30:31">
      <c r="AD963" s="31"/>
      <c r="AE963" s="31"/>
    </row>
    <row r="964" spans="30:31">
      <c r="AD964" s="31"/>
      <c r="AE964" s="31"/>
    </row>
    <row r="965" spans="30:31">
      <c r="AD965" s="31"/>
      <c r="AE965" s="31"/>
    </row>
    <row r="966" spans="30:31">
      <c r="AD966" s="31"/>
      <c r="AE966" s="31"/>
    </row>
    <row r="967" spans="30:31">
      <c r="AD967" s="31"/>
      <c r="AE967" s="31"/>
    </row>
    <row r="968" spans="30:31">
      <c r="AD968" s="31"/>
      <c r="AE968" s="31"/>
    </row>
    <row r="969" spans="30:31">
      <c r="AD969" s="31"/>
      <c r="AE969" s="31"/>
    </row>
    <row r="970" spans="30:31">
      <c r="AD970" s="31"/>
      <c r="AE970" s="31"/>
    </row>
    <row r="971" spans="30:31">
      <c r="AD971" s="31"/>
      <c r="AE971" s="31"/>
    </row>
    <row r="972" spans="30:31">
      <c r="AD972" s="31"/>
      <c r="AE972" s="31"/>
    </row>
    <row r="973" spans="30:31">
      <c r="AD973" s="31"/>
      <c r="AE973" s="31"/>
    </row>
    <row r="974" spans="30:31">
      <c r="AD974" s="31"/>
      <c r="AE974" s="31"/>
    </row>
    <row r="975" spans="30:31">
      <c r="AD975" s="31"/>
      <c r="AE975" s="31"/>
    </row>
    <row r="976" spans="30:31">
      <c r="AD976" s="31"/>
      <c r="AE976" s="31"/>
    </row>
    <row r="977" spans="30:31">
      <c r="AD977" s="31"/>
      <c r="AE977" s="31"/>
    </row>
    <row r="978" spans="30:31">
      <c r="AD978" s="31"/>
      <c r="AE978" s="31"/>
    </row>
    <row r="979" spans="30:31">
      <c r="AD979" s="31"/>
      <c r="AE979" s="31"/>
    </row>
    <row r="980" spans="30:31">
      <c r="AD980" s="31"/>
      <c r="AE980" s="31"/>
    </row>
    <row r="981" spans="30:31">
      <c r="AD981" s="31"/>
      <c r="AE981" s="31"/>
    </row>
    <row r="982" spans="30:31">
      <c r="AD982" s="31"/>
      <c r="AE982" s="31"/>
    </row>
    <row r="983" spans="30:31">
      <c r="AD983" s="31"/>
      <c r="AE983" s="31"/>
    </row>
    <row r="984" spans="30:31">
      <c r="AD984" s="31"/>
      <c r="AE984" s="31"/>
    </row>
    <row r="985" spans="30:31">
      <c r="AD985" s="31"/>
      <c r="AE985" s="31"/>
    </row>
    <row r="986" spans="30:31">
      <c r="AD986" s="31"/>
      <c r="AE986" s="31"/>
    </row>
    <row r="987" spans="30:31">
      <c r="AD987" s="31"/>
      <c r="AE987" s="31"/>
    </row>
    <row r="988" spans="30:31">
      <c r="AD988" s="31"/>
      <c r="AE988" s="31"/>
    </row>
    <row r="989" spans="30:31">
      <c r="AD989" s="31"/>
      <c r="AE989" s="31"/>
    </row>
    <row r="990" spans="30:31">
      <c r="AD990" s="31"/>
      <c r="AE990" s="31"/>
    </row>
    <row r="991" spans="30:31">
      <c r="AD991" s="31"/>
      <c r="AE991" s="31"/>
    </row>
    <row r="992" spans="30:31">
      <c r="AD992" s="31"/>
      <c r="AE992" s="31"/>
    </row>
    <row r="993" spans="30:31">
      <c r="AD993" s="31"/>
      <c r="AE993" s="31"/>
    </row>
    <row r="994" spans="30:31">
      <c r="AD994" s="31"/>
      <c r="AE994" s="31"/>
    </row>
    <row r="995" spans="30:31">
      <c r="AD995" s="31"/>
      <c r="AE995" s="31"/>
    </row>
    <row r="996" spans="30:31">
      <c r="AD996" s="31"/>
      <c r="AE996" s="31"/>
    </row>
    <row r="997" spans="30:31">
      <c r="AD997" s="31"/>
      <c r="AE997" s="31"/>
    </row>
    <row r="998" spans="30:31">
      <c r="AD998" s="31"/>
      <c r="AE998" s="31"/>
    </row>
    <row r="999" spans="30:31">
      <c r="AD999" s="31"/>
      <c r="AE999" s="31"/>
    </row>
    <row r="1000" spans="30:31">
      <c r="AD1000" s="31"/>
      <c r="AE1000" s="31"/>
    </row>
    <row r="1001" spans="30:31">
      <c r="AD1001" s="31"/>
      <c r="AE1001" s="31"/>
    </row>
    <row r="1002" spans="30:31">
      <c r="AD1002" s="31"/>
      <c r="AE1002" s="31"/>
    </row>
    <row r="1003" spans="30:31">
      <c r="AD1003" s="31"/>
      <c r="AE1003" s="31"/>
    </row>
    <row r="1004" spans="30:31">
      <c r="AD1004" s="31"/>
      <c r="AE1004" s="31"/>
    </row>
    <row r="1005" spans="30:31">
      <c r="AD1005" s="31"/>
      <c r="AE1005" s="31"/>
    </row>
    <row r="1006" spans="30:31">
      <c r="AD1006" s="31"/>
      <c r="AE1006" s="31"/>
    </row>
    <row r="1007" spans="30:31">
      <c r="AD1007" s="31"/>
      <c r="AE1007" s="31"/>
    </row>
    <row r="1008" spans="30:31">
      <c r="AD1008" s="31"/>
      <c r="AE1008" s="31"/>
    </row>
    <row r="1009" spans="30:31">
      <c r="AD1009" s="31"/>
      <c r="AE1009" s="31"/>
    </row>
    <row r="1010" spans="30:31">
      <c r="AD1010" s="31"/>
      <c r="AE1010" s="31"/>
    </row>
    <row r="1011" spans="30:31">
      <c r="AD1011" s="31"/>
      <c r="AE1011" s="31"/>
    </row>
    <row r="1012" spans="30:31">
      <c r="AD1012" s="31"/>
      <c r="AE1012" s="31"/>
    </row>
    <row r="1013" spans="30:31">
      <c r="AD1013" s="31"/>
      <c r="AE1013" s="31"/>
    </row>
    <row r="1014" spans="30:31">
      <c r="AD1014" s="31"/>
      <c r="AE1014" s="31"/>
    </row>
    <row r="1015" spans="30:31">
      <c r="AD1015" s="31"/>
      <c r="AE1015" s="31"/>
    </row>
    <row r="1016" spans="30:31">
      <c r="AD1016" s="31"/>
      <c r="AE1016" s="31"/>
    </row>
    <row r="1017" spans="30:31">
      <c r="AD1017" s="31"/>
      <c r="AE1017" s="31"/>
    </row>
    <row r="1018" spans="30:31">
      <c r="AD1018" s="31"/>
      <c r="AE1018" s="31"/>
    </row>
    <row r="1019" spans="30:31">
      <c r="AD1019" s="31"/>
      <c r="AE1019" s="31"/>
    </row>
    <row r="1020" spans="30:31">
      <c r="AD1020" s="31"/>
      <c r="AE1020" s="31"/>
    </row>
    <row r="1021" spans="30:31">
      <c r="AD1021" s="31"/>
      <c r="AE1021" s="31"/>
    </row>
    <row r="1022" spans="30:31">
      <c r="AD1022" s="31"/>
      <c r="AE1022" s="31"/>
    </row>
    <row r="1023" spans="30:31">
      <c r="AD1023" s="31"/>
      <c r="AE1023" s="31"/>
    </row>
    <row r="1024" spans="30:31">
      <c r="AD1024" s="31"/>
      <c r="AE1024" s="31"/>
    </row>
    <row r="1025" spans="30:31">
      <c r="AD1025" s="31"/>
      <c r="AE1025" s="31"/>
    </row>
    <row r="1026" spans="30:31">
      <c r="AD1026" s="31"/>
      <c r="AE1026" s="31"/>
    </row>
    <row r="1027" spans="30:31">
      <c r="AD1027" s="31"/>
      <c r="AE1027" s="31"/>
    </row>
    <row r="1028" spans="30:31">
      <c r="AD1028" s="31"/>
      <c r="AE1028" s="31"/>
    </row>
    <row r="1029" spans="30:31">
      <c r="AD1029" s="31"/>
      <c r="AE1029" s="31"/>
    </row>
    <row r="1030" spans="30:31">
      <c r="AD1030" s="31"/>
      <c r="AE1030" s="31"/>
    </row>
    <row r="1031" spans="30:31">
      <c r="AD1031" s="31"/>
      <c r="AE1031" s="31"/>
    </row>
    <row r="1032" spans="30:31">
      <c r="AD1032" s="31"/>
      <c r="AE1032" s="31"/>
    </row>
    <row r="1033" spans="30:31">
      <c r="AD1033" s="31"/>
      <c r="AE1033" s="31"/>
    </row>
    <row r="1034" spans="30:31">
      <c r="AD1034" s="31"/>
      <c r="AE1034" s="31"/>
    </row>
    <row r="1035" spans="30:31">
      <c r="AD1035" s="31"/>
      <c r="AE1035" s="31"/>
    </row>
    <row r="1036" spans="30:31">
      <c r="AD1036" s="31"/>
      <c r="AE1036" s="31"/>
    </row>
    <row r="1037" spans="30:31">
      <c r="AD1037" s="31"/>
      <c r="AE1037" s="31"/>
    </row>
    <row r="1038" spans="30:31">
      <c r="AD1038" s="31"/>
      <c r="AE1038" s="31"/>
    </row>
    <row r="1039" spans="30:31">
      <c r="AD1039" s="31"/>
      <c r="AE1039" s="31"/>
    </row>
    <row r="1040" spans="30:31">
      <c r="AD1040" s="31"/>
      <c r="AE1040" s="31"/>
    </row>
    <row r="1041" spans="30:31">
      <c r="AD1041" s="31"/>
      <c r="AE1041" s="31"/>
    </row>
    <row r="1042" spans="30:31">
      <c r="AD1042" s="31"/>
      <c r="AE1042" s="31"/>
    </row>
    <row r="1043" spans="30:31">
      <c r="AD1043" s="31"/>
      <c r="AE1043" s="31"/>
    </row>
    <row r="1044" spans="30:31">
      <c r="AD1044" s="31"/>
      <c r="AE1044" s="31"/>
    </row>
    <row r="1045" spans="30:31">
      <c r="AD1045" s="31"/>
      <c r="AE1045" s="31"/>
    </row>
    <row r="1046" spans="30:31">
      <c r="AD1046" s="31"/>
      <c r="AE1046" s="31"/>
    </row>
    <row r="1047" spans="30:31">
      <c r="AD1047" s="31"/>
      <c r="AE1047" s="31"/>
    </row>
    <row r="1048" spans="30:31">
      <c r="AD1048" s="31"/>
      <c r="AE1048" s="31"/>
    </row>
    <row r="1049" spans="30:31">
      <c r="AD1049" s="31"/>
      <c r="AE1049" s="31"/>
    </row>
    <row r="1050" spans="30:31">
      <c r="AD1050" s="31"/>
      <c r="AE1050" s="31"/>
    </row>
    <row r="1051" spans="30:31">
      <c r="AD1051" s="31"/>
      <c r="AE1051" s="31"/>
    </row>
    <row r="1052" spans="30:31">
      <c r="AD1052" s="31"/>
      <c r="AE1052" s="31"/>
    </row>
    <row r="1053" spans="30:31">
      <c r="AD1053" s="31"/>
      <c r="AE1053" s="31"/>
    </row>
    <row r="1054" spans="30:31">
      <c r="AD1054" s="31"/>
      <c r="AE1054" s="31"/>
    </row>
    <row r="1055" spans="30:31">
      <c r="AD1055" s="31"/>
      <c r="AE1055" s="31"/>
    </row>
    <row r="1056" spans="30:31">
      <c r="AD1056" s="31"/>
      <c r="AE1056" s="31"/>
    </row>
    <row r="1057" spans="30:31">
      <c r="AD1057" s="31"/>
      <c r="AE1057" s="31"/>
    </row>
    <row r="1058" spans="30:31">
      <c r="AD1058" s="31"/>
      <c r="AE1058" s="31"/>
    </row>
    <row r="1059" spans="30:31">
      <c r="AD1059" s="31"/>
      <c r="AE1059" s="31"/>
    </row>
    <row r="1060" spans="30:31">
      <c r="AD1060" s="31"/>
      <c r="AE1060" s="31"/>
    </row>
    <row r="1061" spans="30:31">
      <c r="AD1061" s="31"/>
      <c r="AE1061" s="31"/>
    </row>
    <row r="1062" spans="30:31">
      <c r="AD1062" s="31"/>
      <c r="AE1062" s="31"/>
    </row>
    <row r="1063" spans="30:31">
      <c r="AD1063" s="31"/>
      <c r="AE1063" s="31"/>
    </row>
    <row r="1064" spans="30:31">
      <c r="AD1064" s="31"/>
      <c r="AE1064" s="31"/>
    </row>
    <row r="1065" spans="30:31">
      <c r="AD1065" s="31"/>
      <c r="AE1065" s="31"/>
    </row>
    <row r="1066" spans="30:31">
      <c r="AD1066" s="31"/>
      <c r="AE1066" s="31"/>
    </row>
    <row r="1067" spans="30:31">
      <c r="AD1067" s="31"/>
      <c r="AE1067" s="31"/>
    </row>
    <row r="1068" spans="30:31">
      <c r="AD1068" s="31"/>
      <c r="AE1068" s="31"/>
    </row>
    <row r="1069" spans="30:31">
      <c r="AD1069" s="31"/>
      <c r="AE1069" s="31"/>
    </row>
    <row r="1070" spans="30:31">
      <c r="AD1070" s="31"/>
      <c r="AE1070" s="31"/>
    </row>
    <row r="1071" spans="30:31">
      <c r="AD1071" s="31"/>
      <c r="AE1071" s="31"/>
    </row>
    <row r="1072" spans="30:31">
      <c r="AD1072" s="31"/>
      <c r="AE1072" s="31"/>
    </row>
    <row r="1073" spans="30:31">
      <c r="AD1073" s="31"/>
      <c r="AE1073" s="31"/>
    </row>
    <row r="1074" spans="30:31">
      <c r="AD1074" s="31"/>
      <c r="AE1074" s="31"/>
    </row>
    <row r="1075" spans="30:31">
      <c r="AD1075" s="31"/>
      <c r="AE1075" s="31"/>
    </row>
    <row r="1076" spans="30:31">
      <c r="AD1076" s="31"/>
      <c r="AE1076" s="31"/>
    </row>
    <row r="1077" spans="30:31">
      <c r="AD1077" s="31"/>
      <c r="AE1077" s="31"/>
    </row>
    <row r="1078" spans="30:31">
      <c r="AD1078" s="31"/>
      <c r="AE1078" s="31"/>
    </row>
    <row r="1079" spans="30:31">
      <c r="AD1079" s="31"/>
      <c r="AE1079" s="31"/>
    </row>
    <row r="1080" spans="30:31">
      <c r="AD1080" s="31"/>
      <c r="AE1080" s="31"/>
    </row>
    <row r="1081" spans="30:31">
      <c r="AD1081" s="31"/>
      <c r="AE1081" s="31"/>
    </row>
    <row r="1082" spans="30:31">
      <c r="AD1082" s="31"/>
      <c r="AE1082" s="31"/>
    </row>
    <row r="1083" spans="30:31">
      <c r="AD1083" s="31"/>
      <c r="AE1083" s="31"/>
    </row>
    <row r="1084" spans="30:31">
      <c r="AD1084" s="31"/>
      <c r="AE1084" s="31"/>
    </row>
    <row r="1085" spans="30:31">
      <c r="AD1085" s="31"/>
      <c r="AE1085" s="31"/>
    </row>
    <row r="1086" spans="30:31">
      <c r="AD1086" s="31"/>
      <c r="AE1086" s="31"/>
    </row>
    <row r="1087" spans="30:31">
      <c r="AD1087" s="31"/>
      <c r="AE1087" s="31"/>
    </row>
    <row r="1088" spans="30:31">
      <c r="AD1088" s="31"/>
      <c r="AE1088" s="31"/>
    </row>
    <row r="1089" spans="30:31">
      <c r="AD1089" s="31"/>
      <c r="AE1089" s="31"/>
    </row>
    <row r="1090" spans="30:31">
      <c r="AD1090" s="31"/>
      <c r="AE1090" s="31"/>
    </row>
    <row r="1091" spans="30:31">
      <c r="AD1091" s="31"/>
      <c r="AE1091" s="31"/>
    </row>
    <row r="1092" spans="30:31">
      <c r="AD1092" s="31"/>
      <c r="AE1092" s="31"/>
    </row>
    <row r="1093" spans="30:31">
      <c r="AD1093" s="31"/>
      <c r="AE1093" s="31"/>
    </row>
    <row r="1094" spans="30:31">
      <c r="AD1094" s="31"/>
      <c r="AE1094" s="31"/>
    </row>
    <row r="1095" spans="30:31">
      <c r="AD1095" s="31"/>
      <c r="AE1095" s="31"/>
    </row>
    <row r="1096" spans="30:31">
      <c r="AD1096" s="31"/>
      <c r="AE1096" s="31"/>
    </row>
    <row r="1097" spans="30:31">
      <c r="AD1097" s="31"/>
      <c r="AE1097" s="31"/>
    </row>
    <row r="1098" spans="30:31">
      <c r="AD1098" s="31"/>
      <c r="AE1098" s="31"/>
    </row>
    <row r="1099" spans="30:31">
      <c r="AD1099" s="31"/>
      <c r="AE1099" s="31"/>
    </row>
    <row r="1100" spans="30:31">
      <c r="AD1100" s="31"/>
      <c r="AE1100" s="31"/>
    </row>
    <row r="1101" spans="30:31">
      <c r="AD1101" s="31"/>
      <c r="AE1101" s="31"/>
    </row>
    <row r="1102" spans="30:31">
      <c r="AD1102" s="31"/>
      <c r="AE1102" s="31"/>
    </row>
    <row r="1103" spans="30:31">
      <c r="AD1103" s="31"/>
      <c r="AE1103" s="31"/>
    </row>
    <row r="1104" spans="30:31">
      <c r="AD1104" s="31"/>
      <c r="AE1104" s="31"/>
    </row>
    <row r="1105" spans="30:31">
      <c r="AD1105" s="31"/>
      <c r="AE1105" s="31"/>
    </row>
    <row r="1106" spans="30:31">
      <c r="AD1106" s="31"/>
      <c r="AE1106" s="31"/>
    </row>
    <row r="1107" spans="30:31">
      <c r="AD1107" s="31"/>
      <c r="AE1107" s="31"/>
    </row>
    <row r="1108" spans="30:31">
      <c r="AD1108" s="31"/>
      <c r="AE1108" s="31"/>
    </row>
    <row r="1109" spans="30:31">
      <c r="AD1109" s="31"/>
      <c r="AE1109" s="31"/>
    </row>
    <row r="1110" spans="30:31">
      <c r="AD1110" s="31"/>
      <c r="AE1110" s="31"/>
    </row>
    <row r="1111" spans="30:31">
      <c r="AD1111" s="31"/>
      <c r="AE1111" s="31"/>
    </row>
    <row r="1112" spans="30:31">
      <c r="AD1112" s="31"/>
      <c r="AE1112" s="31"/>
    </row>
    <row r="1113" spans="30:31">
      <c r="AD1113" s="31"/>
      <c r="AE1113" s="31"/>
    </row>
    <row r="1114" spans="30:31">
      <c r="AD1114" s="31"/>
      <c r="AE1114" s="31"/>
    </row>
    <row r="1115" spans="30:31">
      <c r="AD1115" s="31"/>
      <c r="AE1115" s="31"/>
    </row>
    <row r="1116" spans="30:31">
      <c r="AD1116" s="31"/>
      <c r="AE1116" s="31"/>
    </row>
    <row r="1117" spans="30:31">
      <c r="AD1117" s="31"/>
      <c r="AE1117" s="31"/>
    </row>
    <row r="1118" spans="30:31">
      <c r="AD1118" s="31"/>
      <c r="AE1118" s="31"/>
    </row>
    <row r="1119" spans="30:31">
      <c r="AD1119" s="31"/>
      <c r="AE1119" s="31"/>
    </row>
    <row r="1120" spans="30:31">
      <c r="AD1120" s="31"/>
      <c r="AE1120" s="31"/>
    </row>
    <row r="1121" spans="30:31">
      <c r="AD1121" s="31"/>
      <c r="AE1121" s="31"/>
    </row>
    <row r="1122" spans="30:31">
      <c r="AD1122" s="31"/>
      <c r="AE1122" s="31"/>
    </row>
    <row r="1123" spans="30:31">
      <c r="AD1123" s="31"/>
      <c r="AE1123" s="31"/>
    </row>
    <row r="1124" spans="30:31">
      <c r="AD1124" s="31"/>
      <c r="AE1124" s="31"/>
    </row>
    <row r="1125" spans="30:31">
      <c r="AD1125" s="31"/>
      <c r="AE1125" s="31"/>
    </row>
    <row r="1126" spans="30:31">
      <c r="AD1126" s="31"/>
      <c r="AE1126" s="31"/>
    </row>
    <row r="1127" spans="30:31">
      <c r="AD1127" s="31"/>
      <c r="AE1127" s="31"/>
    </row>
    <row r="1128" spans="30:31">
      <c r="AD1128" s="31"/>
      <c r="AE1128" s="31"/>
    </row>
    <row r="1129" spans="30:31">
      <c r="AD1129" s="31"/>
      <c r="AE1129" s="31"/>
    </row>
    <row r="1130" spans="30:31">
      <c r="AD1130" s="31"/>
      <c r="AE1130" s="31"/>
    </row>
    <row r="1131" spans="30:31">
      <c r="AD1131" s="31"/>
      <c r="AE1131" s="31"/>
    </row>
    <row r="1132" spans="30:31">
      <c r="AD1132" s="31"/>
      <c r="AE1132" s="31"/>
    </row>
    <row r="1133" spans="30:31">
      <c r="AD1133" s="31"/>
      <c r="AE1133" s="31"/>
    </row>
    <row r="1134" spans="30:31">
      <c r="AD1134" s="31"/>
      <c r="AE1134" s="31"/>
    </row>
    <row r="1135" spans="30:31">
      <c r="AD1135" s="31"/>
      <c r="AE1135" s="31"/>
    </row>
    <row r="1136" spans="30:31">
      <c r="AD1136" s="31"/>
      <c r="AE1136" s="31"/>
    </row>
    <row r="1137" spans="30:31">
      <c r="AD1137" s="31"/>
      <c r="AE1137" s="31"/>
    </row>
    <row r="1138" spans="30:31">
      <c r="AD1138" s="31"/>
      <c r="AE1138" s="31"/>
    </row>
    <row r="1139" spans="30:31">
      <c r="AD1139" s="31"/>
      <c r="AE1139" s="31"/>
    </row>
    <row r="1140" spans="30:31">
      <c r="AD1140" s="31"/>
      <c r="AE1140" s="31"/>
    </row>
    <row r="1141" spans="30:31">
      <c r="AD1141" s="31"/>
      <c r="AE1141" s="31"/>
    </row>
    <row r="1142" spans="30:31">
      <c r="AD1142" s="31"/>
      <c r="AE1142" s="31"/>
    </row>
    <row r="1143" spans="30:31">
      <c r="AD1143" s="31"/>
      <c r="AE1143" s="31"/>
    </row>
    <row r="1144" spans="30:31">
      <c r="AD1144" s="31"/>
      <c r="AE1144" s="31"/>
    </row>
    <row r="1145" spans="30:31">
      <c r="AD1145" s="31"/>
      <c r="AE1145" s="31"/>
    </row>
    <row r="1146" spans="30:31">
      <c r="AD1146" s="31"/>
      <c r="AE1146" s="31"/>
    </row>
    <row r="1147" spans="30:31">
      <c r="AD1147" s="31"/>
      <c r="AE1147" s="31"/>
    </row>
    <row r="1148" spans="30:31">
      <c r="AD1148" s="31"/>
      <c r="AE1148" s="31"/>
    </row>
    <row r="1149" spans="30:31">
      <c r="AD1149" s="31"/>
      <c r="AE1149" s="31"/>
    </row>
    <row r="1150" spans="30:31">
      <c r="AD1150" s="31"/>
      <c r="AE1150" s="31"/>
    </row>
    <row r="1151" spans="30:31">
      <c r="AD1151" s="31"/>
      <c r="AE1151" s="31"/>
    </row>
    <row r="1152" spans="30:31">
      <c r="AD1152" s="31"/>
      <c r="AE1152" s="31"/>
    </row>
    <row r="1153" spans="30:31">
      <c r="AD1153" s="31"/>
      <c r="AE1153" s="31"/>
    </row>
    <row r="1154" spans="30:31">
      <c r="AD1154" s="31"/>
      <c r="AE1154" s="31"/>
    </row>
    <row r="1155" spans="30:31">
      <c r="AD1155" s="31"/>
      <c r="AE1155" s="31"/>
    </row>
    <row r="1156" spans="30:31">
      <c r="AD1156" s="31"/>
      <c r="AE1156" s="31"/>
    </row>
    <row r="1157" spans="30:31">
      <c r="AD1157" s="31"/>
      <c r="AE1157" s="31"/>
    </row>
    <row r="1158" spans="30:31">
      <c r="AD1158" s="31"/>
      <c r="AE1158" s="31"/>
    </row>
    <row r="1159" spans="30:31">
      <c r="AD1159" s="31"/>
      <c r="AE1159" s="31"/>
    </row>
    <row r="1160" spans="30:31">
      <c r="AD1160" s="31"/>
      <c r="AE1160" s="31"/>
    </row>
    <row r="1161" spans="30:31">
      <c r="AD1161" s="31"/>
      <c r="AE1161" s="31"/>
    </row>
    <row r="1162" spans="30:31">
      <c r="AD1162" s="31"/>
      <c r="AE1162" s="31"/>
    </row>
    <row r="1163" spans="30:31">
      <c r="AD1163" s="31"/>
      <c r="AE1163" s="31"/>
    </row>
    <row r="1164" spans="30:31">
      <c r="AD1164" s="31"/>
      <c r="AE1164" s="31"/>
    </row>
    <row r="1165" spans="30:31">
      <c r="AD1165" s="31"/>
      <c r="AE1165" s="31"/>
    </row>
    <row r="1166" spans="30:31">
      <c r="AD1166" s="31"/>
      <c r="AE1166" s="31"/>
    </row>
    <row r="1167" spans="30:31">
      <c r="AD1167" s="31"/>
      <c r="AE1167" s="31"/>
    </row>
    <row r="1168" spans="30:31">
      <c r="AD1168" s="31"/>
      <c r="AE1168" s="31"/>
    </row>
    <row r="1169" spans="30:31">
      <c r="AD1169" s="31"/>
      <c r="AE1169" s="31"/>
    </row>
    <row r="1170" spans="30:31">
      <c r="AD1170" s="31"/>
      <c r="AE1170" s="31"/>
    </row>
    <row r="1171" spans="30:31">
      <c r="AD1171" s="31"/>
      <c r="AE1171" s="31"/>
    </row>
    <row r="1172" spans="30:31">
      <c r="AD1172" s="31"/>
      <c r="AE1172" s="31"/>
    </row>
    <row r="1173" spans="30:31">
      <c r="AD1173" s="31"/>
      <c r="AE1173" s="31"/>
    </row>
    <row r="1174" spans="30:31">
      <c r="AD1174" s="31"/>
      <c r="AE1174" s="31"/>
    </row>
    <row r="1175" spans="30:31">
      <c r="AD1175" s="31"/>
      <c r="AE1175" s="31"/>
    </row>
    <row r="1176" spans="30:31">
      <c r="AD1176" s="31"/>
      <c r="AE1176" s="31"/>
    </row>
    <row r="1177" spans="30:31">
      <c r="AD1177" s="31"/>
      <c r="AE1177" s="31"/>
    </row>
    <row r="1178" spans="30:31">
      <c r="AD1178" s="31"/>
      <c r="AE1178" s="31"/>
    </row>
    <row r="1179" spans="30:31">
      <c r="AD1179" s="31"/>
      <c r="AE1179" s="31"/>
    </row>
    <row r="1180" spans="30:31">
      <c r="AD1180" s="31"/>
      <c r="AE1180" s="31"/>
    </row>
    <row r="1181" spans="30:31">
      <c r="AD1181" s="31"/>
      <c r="AE1181" s="31"/>
    </row>
    <row r="1182" spans="30:31">
      <c r="AD1182" s="31"/>
      <c r="AE1182" s="31"/>
    </row>
    <row r="1183" spans="30:31">
      <c r="AD1183" s="31"/>
      <c r="AE1183" s="31"/>
    </row>
    <row r="1184" spans="30:31">
      <c r="AD1184" s="31"/>
      <c r="AE1184" s="31"/>
    </row>
    <row r="1185" spans="30:31">
      <c r="AD1185" s="31"/>
      <c r="AE1185" s="31"/>
    </row>
    <row r="1186" spans="30:31">
      <c r="AD1186" s="31"/>
      <c r="AE1186" s="31"/>
    </row>
    <row r="1187" spans="30:31">
      <c r="AD1187" s="31"/>
      <c r="AE1187" s="31"/>
    </row>
    <row r="1188" spans="30:31">
      <c r="AD1188" s="31"/>
      <c r="AE1188" s="31"/>
    </row>
    <row r="1189" spans="30:31">
      <c r="AD1189" s="31"/>
      <c r="AE1189" s="31"/>
    </row>
    <row r="1190" spans="30:31">
      <c r="AD1190" s="31"/>
      <c r="AE1190" s="31"/>
    </row>
    <row r="1191" spans="30:31">
      <c r="AD1191" s="31"/>
      <c r="AE1191" s="31"/>
    </row>
    <row r="1192" spans="30:31">
      <c r="AD1192" s="31"/>
      <c r="AE1192" s="31"/>
    </row>
    <row r="1193" spans="30:31">
      <c r="AD1193" s="31"/>
      <c r="AE1193" s="31"/>
    </row>
    <row r="1194" spans="30:31">
      <c r="AD1194" s="31"/>
      <c r="AE1194" s="31"/>
    </row>
    <row r="1195" spans="30:31">
      <c r="AD1195" s="31"/>
      <c r="AE1195" s="31"/>
    </row>
    <row r="1196" spans="30:31">
      <c r="AD1196" s="31"/>
      <c r="AE1196" s="31"/>
    </row>
    <row r="1197" spans="30:31">
      <c r="AD1197" s="31"/>
      <c r="AE1197" s="31"/>
    </row>
    <row r="1198" spans="30:31">
      <c r="AD1198" s="31"/>
      <c r="AE1198" s="31"/>
    </row>
    <row r="1199" spans="30:31">
      <c r="AD1199" s="31"/>
      <c r="AE1199" s="31"/>
    </row>
    <row r="1200" spans="30:31">
      <c r="AD1200" s="31"/>
      <c r="AE1200" s="31"/>
    </row>
    <row r="1201" spans="30:31">
      <c r="AD1201" s="31"/>
      <c r="AE1201" s="31"/>
    </row>
    <row r="1202" spans="30:31">
      <c r="AD1202" s="31"/>
      <c r="AE1202" s="31"/>
    </row>
    <row r="1203" spans="30:31">
      <c r="AD1203" s="31"/>
      <c r="AE1203" s="31"/>
    </row>
    <row r="1204" spans="30:31">
      <c r="AD1204" s="31"/>
      <c r="AE1204" s="31"/>
    </row>
    <row r="1205" spans="30:31">
      <c r="AD1205" s="31"/>
      <c r="AE1205" s="31"/>
    </row>
    <row r="1206" spans="30:31">
      <c r="AD1206" s="31"/>
      <c r="AE1206" s="31"/>
    </row>
    <row r="1207" spans="30:31">
      <c r="AD1207" s="31"/>
      <c r="AE1207" s="31"/>
    </row>
    <row r="1208" spans="30:31">
      <c r="AD1208" s="31"/>
      <c r="AE1208" s="31"/>
    </row>
    <row r="1209" spans="30:31">
      <c r="AD1209" s="31"/>
      <c r="AE1209" s="31"/>
    </row>
    <row r="1210" spans="30:31">
      <c r="AD1210" s="31"/>
      <c r="AE1210" s="31"/>
    </row>
    <row r="1211" spans="30:31">
      <c r="AD1211" s="31"/>
      <c r="AE1211" s="31"/>
    </row>
    <row r="1212" spans="30:31">
      <c r="AD1212" s="31"/>
      <c r="AE1212" s="31"/>
    </row>
    <row r="1213" spans="30:31">
      <c r="AD1213" s="31"/>
      <c r="AE1213" s="31"/>
    </row>
    <row r="1214" spans="30:31">
      <c r="AD1214" s="31"/>
      <c r="AE1214" s="31"/>
    </row>
    <row r="1215" spans="30:31">
      <c r="AD1215" s="31"/>
      <c r="AE1215" s="31"/>
    </row>
    <row r="1216" spans="30:31">
      <c r="AD1216" s="31"/>
      <c r="AE1216" s="31"/>
    </row>
    <row r="1217" spans="30:31">
      <c r="AD1217" s="31"/>
      <c r="AE1217" s="31"/>
    </row>
    <row r="1218" spans="30:31">
      <c r="AD1218" s="31"/>
      <c r="AE1218" s="31"/>
    </row>
    <row r="1219" spans="30:31">
      <c r="AD1219" s="31"/>
      <c r="AE1219" s="31"/>
    </row>
    <row r="1220" spans="30:31">
      <c r="AD1220" s="31"/>
      <c r="AE1220" s="31"/>
    </row>
    <row r="1221" spans="30:31">
      <c r="AD1221" s="31"/>
      <c r="AE1221" s="31"/>
    </row>
    <row r="1222" spans="30:31">
      <c r="AD1222" s="31"/>
      <c r="AE1222" s="31"/>
    </row>
    <row r="1223" spans="30:31">
      <c r="AD1223" s="31"/>
      <c r="AE1223" s="31"/>
    </row>
    <row r="1224" spans="30:31">
      <c r="AD1224" s="31"/>
      <c r="AE1224" s="31"/>
    </row>
    <row r="1225" spans="30:31">
      <c r="AD1225" s="31"/>
      <c r="AE1225" s="31"/>
    </row>
    <row r="1226" spans="30:31">
      <c r="AD1226" s="31"/>
      <c r="AE1226" s="31"/>
    </row>
    <row r="1227" spans="30:31">
      <c r="AD1227" s="31"/>
      <c r="AE1227" s="31"/>
    </row>
    <row r="1228" spans="30:31">
      <c r="AD1228" s="31"/>
      <c r="AE1228" s="31"/>
    </row>
    <row r="1229" spans="30:31">
      <c r="AD1229" s="31"/>
      <c r="AE1229" s="31"/>
    </row>
    <row r="1230" spans="30:31">
      <c r="AD1230" s="31"/>
      <c r="AE1230" s="31"/>
    </row>
    <row r="1231" spans="30:31">
      <c r="AD1231" s="31"/>
      <c r="AE1231" s="31"/>
    </row>
    <row r="1232" spans="30:31">
      <c r="AD1232" s="31"/>
      <c r="AE1232" s="31"/>
    </row>
    <row r="1233" spans="30:31">
      <c r="AD1233" s="31"/>
      <c r="AE1233" s="31"/>
    </row>
    <row r="1234" spans="30:31">
      <c r="AD1234" s="31"/>
      <c r="AE1234" s="31"/>
    </row>
    <row r="1235" spans="30:31">
      <c r="AD1235" s="31"/>
      <c r="AE1235" s="31"/>
    </row>
    <row r="1236" spans="30:31">
      <c r="AD1236" s="31"/>
      <c r="AE1236" s="31"/>
    </row>
    <row r="1237" spans="30:31">
      <c r="AD1237" s="31"/>
      <c r="AE1237" s="31"/>
    </row>
    <row r="1238" spans="30:31">
      <c r="AD1238" s="31"/>
      <c r="AE1238" s="31"/>
    </row>
    <row r="1239" spans="30:31">
      <c r="AD1239" s="31"/>
      <c r="AE1239" s="31"/>
    </row>
    <row r="1240" spans="30:31">
      <c r="AD1240" s="31"/>
      <c r="AE1240" s="31"/>
    </row>
    <row r="1241" spans="30:31">
      <c r="AD1241" s="31"/>
      <c r="AE1241" s="31"/>
    </row>
    <row r="1242" spans="30:31">
      <c r="AD1242" s="31"/>
      <c r="AE1242" s="31"/>
    </row>
    <row r="1243" spans="30:31">
      <c r="AD1243" s="31"/>
      <c r="AE1243" s="31"/>
    </row>
    <row r="1244" spans="30:31">
      <c r="AD1244" s="31"/>
      <c r="AE1244" s="31"/>
    </row>
    <row r="1245" spans="30:31">
      <c r="AD1245" s="31"/>
      <c r="AE1245" s="31"/>
    </row>
    <row r="1246" spans="30:31">
      <c r="AD1246" s="31"/>
      <c r="AE1246" s="31"/>
    </row>
    <row r="1247" spans="30:31">
      <c r="AD1247" s="31"/>
      <c r="AE1247" s="31"/>
    </row>
    <row r="1248" spans="30:31">
      <c r="AD1248" s="31"/>
      <c r="AE1248" s="31"/>
    </row>
    <row r="1249" spans="30:31">
      <c r="AD1249" s="31"/>
      <c r="AE1249" s="31"/>
    </row>
    <row r="1250" spans="30:31">
      <c r="AD1250" s="31"/>
      <c r="AE1250" s="31"/>
    </row>
    <row r="1251" spans="30:31">
      <c r="AD1251" s="31"/>
      <c r="AE1251" s="31"/>
    </row>
    <row r="1252" spans="30:31">
      <c r="AD1252" s="31"/>
      <c r="AE1252" s="31"/>
    </row>
    <row r="1253" spans="30:31">
      <c r="AD1253" s="31"/>
      <c r="AE1253" s="31"/>
    </row>
    <row r="1254" spans="30:31">
      <c r="AD1254" s="31"/>
      <c r="AE1254" s="31"/>
    </row>
    <row r="1255" spans="30:31">
      <c r="AD1255" s="31"/>
      <c r="AE1255" s="31"/>
    </row>
    <row r="1256" spans="30:31">
      <c r="AD1256" s="31"/>
      <c r="AE1256" s="31"/>
    </row>
    <row r="1257" spans="30:31">
      <c r="AD1257" s="31"/>
      <c r="AE1257" s="31"/>
    </row>
    <row r="1258" spans="30:31">
      <c r="AD1258" s="31"/>
      <c r="AE1258" s="31"/>
    </row>
    <row r="1259" spans="30:31">
      <c r="AD1259" s="31"/>
      <c r="AE1259" s="31"/>
    </row>
    <row r="1260" spans="30:31">
      <c r="AD1260" s="31"/>
      <c r="AE1260" s="31"/>
    </row>
    <row r="1261" spans="30:31">
      <c r="AD1261" s="31"/>
      <c r="AE1261" s="31"/>
    </row>
    <row r="1262" spans="30:31">
      <c r="AD1262" s="31"/>
      <c r="AE1262" s="31"/>
    </row>
    <row r="1263" spans="30:31">
      <c r="AD1263" s="31"/>
      <c r="AE1263" s="31"/>
    </row>
    <row r="1264" spans="30:31">
      <c r="AD1264" s="31"/>
      <c r="AE1264" s="31"/>
    </row>
    <row r="1265" spans="30:31">
      <c r="AD1265" s="31"/>
      <c r="AE1265" s="31"/>
    </row>
    <row r="1266" spans="30:31">
      <c r="AD1266" s="31"/>
      <c r="AE1266" s="31"/>
    </row>
    <row r="1267" spans="30:31">
      <c r="AD1267" s="31"/>
      <c r="AE1267" s="31"/>
    </row>
    <row r="1268" spans="30:31">
      <c r="AD1268" s="31"/>
      <c r="AE1268" s="31"/>
    </row>
    <row r="1269" spans="30:31">
      <c r="AD1269" s="31"/>
      <c r="AE1269" s="31"/>
    </row>
    <row r="1270" spans="30:31">
      <c r="AD1270" s="31"/>
      <c r="AE1270" s="31"/>
    </row>
    <row r="1271" spans="30:31">
      <c r="AD1271" s="31"/>
      <c r="AE1271" s="31"/>
    </row>
    <row r="1272" spans="30:31">
      <c r="AD1272" s="31"/>
      <c r="AE1272" s="31"/>
    </row>
    <row r="1273" spans="30:31">
      <c r="AD1273" s="31"/>
      <c r="AE1273" s="31"/>
    </row>
    <row r="1274" spans="30:31">
      <c r="AD1274" s="31"/>
      <c r="AE1274" s="31"/>
    </row>
    <row r="1275" spans="30:31">
      <c r="AD1275" s="31"/>
      <c r="AE1275" s="31"/>
    </row>
    <row r="1276" spans="30:31">
      <c r="AD1276" s="31"/>
      <c r="AE1276" s="31"/>
    </row>
    <row r="1277" spans="30:31">
      <c r="AD1277" s="31"/>
      <c r="AE1277" s="31"/>
    </row>
    <row r="1278" spans="30:31">
      <c r="AD1278" s="31"/>
      <c r="AE1278" s="31"/>
    </row>
    <row r="1279" spans="30:31">
      <c r="AD1279" s="31"/>
      <c r="AE1279" s="31"/>
    </row>
    <row r="1280" spans="30:31">
      <c r="AD1280" s="31"/>
      <c r="AE1280" s="31"/>
    </row>
    <row r="1281" spans="30:31">
      <c r="AD1281" s="31"/>
      <c r="AE1281" s="31"/>
    </row>
    <row r="1282" spans="30:31">
      <c r="AD1282" s="31"/>
      <c r="AE1282" s="31"/>
    </row>
    <row r="1283" spans="30:31">
      <c r="AD1283" s="31"/>
      <c r="AE1283" s="31"/>
    </row>
    <row r="1284" spans="30:31">
      <c r="AD1284" s="31"/>
      <c r="AE1284" s="31"/>
    </row>
    <row r="1285" spans="30:31">
      <c r="AD1285" s="31"/>
      <c r="AE1285" s="31"/>
    </row>
    <row r="1286" spans="30:31">
      <c r="AD1286" s="31"/>
      <c r="AE1286" s="31"/>
    </row>
    <row r="1287" spans="30:31">
      <c r="AD1287" s="31"/>
      <c r="AE1287" s="31"/>
    </row>
    <row r="1288" spans="30:31">
      <c r="AD1288" s="31"/>
      <c r="AE1288" s="31"/>
    </row>
    <row r="1289" spans="30:31">
      <c r="AD1289" s="31"/>
      <c r="AE1289" s="31"/>
    </row>
    <row r="1290" spans="30:31">
      <c r="AD1290" s="31"/>
      <c r="AE1290" s="31"/>
    </row>
    <row r="1291" spans="30:31">
      <c r="AD1291" s="31"/>
      <c r="AE1291" s="31"/>
    </row>
    <row r="1292" spans="30:31">
      <c r="AD1292" s="31"/>
      <c r="AE1292" s="31"/>
    </row>
    <row r="1293" spans="30:31">
      <c r="AD1293" s="31"/>
      <c r="AE1293" s="31"/>
    </row>
    <row r="1294" spans="30:31">
      <c r="AD1294" s="31"/>
      <c r="AE1294" s="31"/>
    </row>
    <row r="1295" spans="30:31">
      <c r="AD1295" s="31"/>
      <c r="AE1295" s="31"/>
    </row>
    <row r="1296" spans="30:31">
      <c r="AD1296" s="31"/>
      <c r="AE1296" s="31"/>
    </row>
    <row r="1297" spans="30:31">
      <c r="AD1297" s="31"/>
      <c r="AE1297" s="31"/>
    </row>
    <row r="1298" spans="30:31">
      <c r="AD1298" s="31"/>
      <c r="AE1298" s="31"/>
    </row>
    <row r="1299" spans="30:31">
      <c r="AD1299" s="31"/>
      <c r="AE1299" s="31"/>
    </row>
    <row r="1300" spans="30:31">
      <c r="AD1300" s="31"/>
      <c r="AE1300" s="31"/>
    </row>
    <row r="1301" spans="30:31">
      <c r="AD1301" s="31"/>
      <c r="AE1301" s="31"/>
    </row>
    <row r="1302" spans="30:31">
      <c r="AD1302" s="31"/>
      <c r="AE1302" s="31"/>
    </row>
    <row r="1303" spans="30:31">
      <c r="AD1303" s="31"/>
      <c r="AE1303" s="31"/>
    </row>
    <row r="1304" spans="30:31">
      <c r="AD1304" s="31"/>
      <c r="AE1304" s="31"/>
    </row>
    <row r="1305" spans="30:31">
      <c r="AD1305" s="31"/>
      <c r="AE1305" s="31"/>
    </row>
    <row r="1306" spans="30:31">
      <c r="AD1306" s="31"/>
      <c r="AE1306" s="31"/>
    </row>
    <row r="1307" spans="30:31">
      <c r="AD1307" s="31"/>
      <c r="AE1307" s="31"/>
    </row>
    <row r="1308" spans="30:31">
      <c r="AD1308" s="31"/>
      <c r="AE1308" s="31"/>
    </row>
    <row r="1309" spans="30:31">
      <c r="AD1309" s="31"/>
      <c r="AE1309" s="31"/>
    </row>
    <row r="1310" spans="30:31">
      <c r="AD1310" s="31"/>
      <c r="AE1310" s="31"/>
    </row>
    <row r="1311" spans="30:31">
      <c r="AD1311" s="31"/>
      <c r="AE1311" s="31"/>
    </row>
    <row r="1312" spans="30:31">
      <c r="AD1312" s="31"/>
      <c r="AE1312" s="31"/>
    </row>
    <row r="1313" spans="30:31">
      <c r="AD1313" s="31"/>
      <c r="AE1313" s="31"/>
    </row>
    <row r="1314" spans="30:31">
      <c r="AD1314" s="31"/>
      <c r="AE1314" s="31"/>
    </row>
    <row r="1315" spans="30:31">
      <c r="AD1315" s="31"/>
      <c r="AE1315" s="31"/>
    </row>
    <row r="1316" spans="30:31">
      <c r="AD1316" s="31"/>
      <c r="AE1316" s="31"/>
    </row>
    <row r="1317" spans="30:31">
      <c r="AD1317" s="31"/>
      <c r="AE1317" s="31"/>
    </row>
    <row r="1318" spans="30:31">
      <c r="AD1318" s="31"/>
      <c r="AE1318" s="31"/>
    </row>
    <row r="1319" spans="30:31">
      <c r="AD1319" s="31"/>
      <c r="AE1319" s="31"/>
    </row>
    <row r="1320" spans="30:31">
      <c r="AD1320" s="31"/>
      <c r="AE1320" s="31"/>
    </row>
    <row r="1321" spans="30:31">
      <c r="AD1321" s="31"/>
      <c r="AE1321" s="31"/>
    </row>
    <row r="1322" spans="30:31">
      <c r="AD1322" s="31"/>
      <c r="AE1322" s="31"/>
    </row>
    <row r="1323" spans="30:31">
      <c r="AD1323" s="31"/>
      <c r="AE1323" s="31"/>
    </row>
    <row r="1324" spans="30:31">
      <c r="AD1324" s="31"/>
      <c r="AE1324" s="31"/>
    </row>
    <row r="1325" spans="30:31">
      <c r="AD1325" s="31"/>
      <c r="AE1325" s="31"/>
    </row>
    <row r="1326" spans="30:31">
      <c r="AD1326" s="31"/>
      <c r="AE1326" s="31"/>
    </row>
    <row r="1327" spans="30:31">
      <c r="AD1327" s="31"/>
      <c r="AE1327" s="31"/>
    </row>
    <row r="1328" spans="30:31">
      <c r="AD1328" s="31"/>
      <c r="AE1328" s="31"/>
    </row>
    <row r="1329" spans="30:31">
      <c r="AD1329" s="31"/>
      <c r="AE1329" s="31"/>
    </row>
    <row r="1330" spans="30:31">
      <c r="AD1330" s="31"/>
      <c r="AE1330" s="31"/>
    </row>
    <row r="1331" spans="30:31">
      <c r="AD1331" s="31"/>
      <c r="AE1331" s="31"/>
    </row>
    <row r="1332" spans="30:31">
      <c r="AD1332" s="31"/>
      <c r="AE1332" s="31"/>
    </row>
    <row r="1333" spans="30:31">
      <c r="AD1333" s="31"/>
      <c r="AE1333" s="31"/>
    </row>
    <row r="1334" spans="30:31">
      <c r="AD1334" s="31"/>
      <c r="AE1334" s="31"/>
    </row>
    <row r="1335" spans="30:31">
      <c r="AD1335" s="31"/>
      <c r="AE1335" s="31"/>
    </row>
    <row r="1336" spans="30:31">
      <c r="AD1336" s="31"/>
      <c r="AE1336" s="31"/>
    </row>
    <row r="1337" spans="30:31">
      <c r="AD1337" s="31"/>
      <c r="AE1337" s="31"/>
    </row>
    <row r="1338" spans="30:31">
      <c r="AD1338" s="31"/>
      <c r="AE1338" s="31"/>
    </row>
    <row r="1339" spans="30:31">
      <c r="AD1339" s="31"/>
      <c r="AE1339" s="31"/>
    </row>
    <row r="1340" spans="30:31">
      <c r="AD1340" s="31"/>
      <c r="AE1340" s="31"/>
    </row>
    <row r="1341" spans="30:31">
      <c r="AD1341" s="31"/>
      <c r="AE1341" s="31"/>
    </row>
    <row r="1342" spans="30:31">
      <c r="AD1342" s="31"/>
      <c r="AE1342" s="31"/>
    </row>
    <row r="1343" spans="30:31">
      <c r="AD1343" s="31"/>
      <c r="AE1343" s="31"/>
    </row>
    <row r="1344" spans="30:31">
      <c r="AD1344" s="31"/>
      <c r="AE1344" s="31"/>
    </row>
    <row r="1345" spans="30:31">
      <c r="AD1345" s="31"/>
      <c r="AE1345" s="31"/>
    </row>
    <row r="1346" spans="30:31">
      <c r="AD1346" s="31"/>
      <c r="AE1346" s="31"/>
    </row>
    <row r="1347" spans="30:31">
      <c r="AD1347" s="31"/>
      <c r="AE1347" s="31"/>
    </row>
    <row r="1348" spans="30:31">
      <c r="AD1348" s="31"/>
      <c r="AE1348" s="31"/>
    </row>
    <row r="1349" spans="30:31">
      <c r="AD1349" s="31"/>
      <c r="AE1349" s="31"/>
    </row>
    <row r="1350" spans="30:31">
      <c r="AD1350" s="31"/>
      <c r="AE1350" s="31"/>
    </row>
    <row r="1351" spans="30:31">
      <c r="AD1351" s="31"/>
      <c r="AE1351" s="31"/>
    </row>
    <row r="1352" spans="30:31">
      <c r="AD1352" s="31"/>
      <c r="AE1352" s="31"/>
    </row>
    <row r="1353" spans="30:31">
      <c r="AD1353" s="31"/>
      <c r="AE1353" s="31"/>
    </row>
    <row r="1354" spans="30:31">
      <c r="AD1354" s="31"/>
      <c r="AE1354" s="31"/>
    </row>
    <row r="1355" spans="30:31">
      <c r="AD1355" s="31"/>
      <c r="AE1355" s="31"/>
    </row>
    <row r="1356" spans="30:31">
      <c r="AD1356" s="31"/>
      <c r="AE1356" s="31"/>
    </row>
    <row r="1357" spans="30:31">
      <c r="AD1357" s="31"/>
      <c r="AE1357" s="31"/>
    </row>
    <row r="1358" spans="30:31">
      <c r="AD1358" s="31"/>
      <c r="AE1358" s="31"/>
    </row>
    <row r="1359" spans="30:31">
      <c r="AD1359" s="31"/>
      <c r="AE1359" s="31"/>
    </row>
    <row r="1360" spans="30:31">
      <c r="AD1360" s="31"/>
      <c r="AE1360" s="31"/>
    </row>
    <row r="1361" spans="30:31">
      <c r="AD1361" s="31"/>
      <c r="AE1361" s="31"/>
    </row>
    <row r="1362" spans="30:31">
      <c r="AD1362" s="31"/>
      <c r="AE1362" s="31"/>
    </row>
    <row r="1363" spans="30:31">
      <c r="AD1363" s="31"/>
      <c r="AE1363" s="31"/>
    </row>
    <row r="1364" spans="30:31">
      <c r="AD1364" s="31"/>
      <c r="AE1364" s="31"/>
    </row>
    <row r="1365" spans="30:31">
      <c r="AD1365" s="31"/>
      <c r="AE1365" s="31"/>
    </row>
    <row r="1366" spans="30:31">
      <c r="AD1366" s="31"/>
      <c r="AE1366" s="31"/>
    </row>
    <row r="1367" spans="30:31">
      <c r="AD1367" s="31"/>
      <c r="AE1367" s="31"/>
    </row>
    <row r="1368" spans="30:31">
      <c r="AD1368" s="31"/>
      <c r="AE1368" s="31"/>
    </row>
    <row r="1369" spans="30:31">
      <c r="AD1369" s="31"/>
      <c r="AE1369" s="31"/>
    </row>
    <row r="1370" spans="30:31">
      <c r="AD1370" s="31"/>
      <c r="AE1370" s="31"/>
    </row>
    <row r="1371" spans="30:31">
      <c r="AD1371" s="31"/>
      <c r="AE1371" s="31"/>
    </row>
    <row r="1372" spans="30:31">
      <c r="AD1372" s="31"/>
      <c r="AE1372" s="31"/>
    </row>
    <row r="1373" spans="30:31">
      <c r="AD1373" s="31"/>
      <c r="AE1373" s="31"/>
    </row>
    <row r="1374" spans="30:31">
      <c r="AD1374" s="31"/>
      <c r="AE1374" s="31"/>
    </row>
    <row r="1375" spans="30:31">
      <c r="AD1375" s="31"/>
      <c r="AE1375" s="31"/>
    </row>
    <row r="1376" spans="30:31">
      <c r="AD1376" s="31"/>
      <c r="AE1376" s="31"/>
    </row>
    <row r="1377" spans="30:31">
      <c r="AD1377" s="31"/>
      <c r="AE1377" s="31"/>
    </row>
    <row r="1378" spans="30:31">
      <c r="AD1378" s="31"/>
      <c r="AE1378" s="31"/>
    </row>
    <row r="1379" spans="30:31">
      <c r="AD1379" s="31"/>
      <c r="AE1379" s="31"/>
    </row>
    <row r="1380" spans="30:31">
      <c r="AD1380" s="31"/>
      <c r="AE1380" s="31"/>
    </row>
    <row r="1381" spans="30:31">
      <c r="AD1381" s="31"/>
      <c r="AE1381" s="31"/>
    </row>
    <row r="1382" spans="30:31">
      <c r="AD1382" s="31"/>
      <c r="AE1382" s="31"/>
    </row>
    <row r="1383" spans="30:31">
      <c r="AD1383" s="31"/>
      <c r="AE1383" s="31"/>
    </row>
    <row r="1384" spans="30:31">
      <c r="AD1384" s="31"/>
      <c r="AE1384" s="31"/>
    </row>
    <row r="1385" spans="30:31">
      <c r="AD1385" s="31"/>
      <c r="AE1385" s="31"/>
    </row>
    <row r="1386" spans="30:31">
      <c r="AD1386" s="31"/>
      <c r="AE1386" s="31"/>
    </row>
    <row r="1387" spans="30:31">
      <c r="AD1387" s="31"/>
      <c r="AE1387" s="31"/>
    </row>
    <row r="1388" spans="30:31">
      <c r="AD1388" s="31"/>
      <c r="AE1388" s="31"/>
    </row>
    <row r="1389" spans="30:31">
      <c r="AD1389" s="31"/>
      <c r="AE1389" s="31"/>
    </row>
    <row r="1390" spans="30:31">
      <c r="AD1390" s="31"/>
      <c r="AE1390" s="31"/>
    </row>
    <row r="1391" spans="30:31">
      <c r="AD1391" s="31"/>
      <c r="AE1391" s="31"/>
    </row>
    <row r="1392" spans="30:31">
      <c r="AD1392" s="31"/>
      <c r="AE1392" s="31"/>
    </row>
    <row r="1393" spans="30:31">
      <c r="AD1393" s="31"/>
      <c r="AE1393" s="31"/>
    </row>
    <row r="1394" spans="30:31">
      <c r="AD1394" s="31"/>
      <c r="AE1394" s="31"/>
    </row>
    <row r="1395" spans="30:31">
      <c r="AD1395" s="31"/>
      <c r="AE1395" s="31"/>
    </row>
    <row r="1396" spans="30:31">
      <c r="AD1396" s="31"/>
      <c r="AE1396" s="31"/>
    </row>
    <row r="1397" spans="30:31">
      <c r="AD1397" s="31"/>
      <c r="AE1397" s="31"/>
    </row>
    <row r="1398" spans="30:31">
      <c r="AD1398" s="31"/>
      <c r="AE1398" s="31"/>
    </row>
    <row r="1399" spans="30:31">
      <c r="AD1399" s="31"/>
      <c r="AE1399" s="31"/>
    </row>
    <row r="1400" spans="30:31">
      <c r="AD1400" s="31"/>
      <c r="AE1400" s="31"/>
    </row>
    <row r="1401" spans="30:31">
      <c r="AD1401" s="31"/>
      <c r="AE1401" s="31"/>
    </row>
    <row r="1402" spans="30:31">
      <c r="AD1402" s="31"/>
      <c r="AE1402" s="31"/>
    </row>
    <row r="1403" spans="30:31">
      <c r="AD1403" s="31"/>
      <c r="AE1403" s="31"/>
    </row>
    <row r="1404" spans="30:31">
      <c r="AD1404" s="31"/>
      <c r="AE1404" s="31"/>
    </row>
    <row r="1405" spans="30:31">
      <c r="AD1405" s="31"/>
      <c r="AE1405" s="31"/>
    </row>
    <row r="1406" spans="30:31">
      <c r="AD1406" s="31"/>
      <c r="AE1406" s="31"/>
    </row>
    <row r="1407" spans="30:31">
      <c r="AD1407" s="31"/>
      <c r="AE1407" s="31"/>
    </row>
    <row r="1408" spans="30:31">
      <c r="AD1408" s="31"/>
      <c r="AE1408" s="31"/>
    </row>
    <row r="1409" spans="30:31">
      <c r="AD1409" s="31"/>
      <c r="AE1409" s="31"/>
    </row>
    <row r="1410" spans="30:31">
      <c r="AD1410" s="31"/>
      <c r="AE1410" s="31"/>
    </row>
    <row r="1411" spans="30:31">
      <c r="AD1411" s="31"/>
      <c r="AE1411" s="31"/>
    </row>
    <row r="1412" spans="30:31">
      <c r="AD1412" s="31"/>
      <c r="AE1412" s="31"/>
    </row>
    <row r="1413" spans="30:31">
      <c r="AD1413" s="31"/>
      <c r="AE1413" s="31"/>
    </row>
    <row r="1414" spans="30:31">
      <c r="AD1414" s="31"/>
      <c r="AE1414" s="31"/>
    </row>
    <row r="1415" spans="30:31">
      <c r="AD1415" s="31"/>
      <c r="AE1415" s="31"/>
    </row>
    <row r="1416" spans="30:31">
      <c r="AD1416" s="31"/>
      <c r="AE1416" s="31"/>
    </row>
    <row r="1417" spans="30:31">
      <c r="AD1417" s="31"/>
      <c r="AE1417" s="31"/>
    </row>
    <row r="1418" spans="30:31">
      <c r="AD1418" s="31"/>
      <c r="AE1418" s="31"/>
    </row>
    <row r="1419" spans="30:31">
      <c r="AD1419" s="31"/>
      <c r="AE1419" s="31"/>
    </row>
    <row r="1420" spans="30:31">
      <c r="AD1420" s="31"/>
      <c r="AE1420" s="31"/>
    </row>
    <row r="1421" spans="30:31">
      <c r="AD1421" s="31"/>
      <c r="AE1421" s="31"/>
    </row>
    <row r="1422" spans="30:31">
      <c r="AD1422" s="31"/>
      <c r="AE1422" s="31"/>
    </row>
    <row r="1423" spans="30:31">
      <c r="AD1423" s="31"/>
      <c r="AE1423" s="31"/>
    </row>
    <row r="1424" spans="30:31">
      <c r="AD1424" s="31"/>
      <c r="AE1424" s="31"/>
    </row>
    <row r="1425" spans="30:31">
      <c r="AD1425" s="31"/>
      <c r="AE1425" s="31"/>
    </row>
    <row r="1426" spans="30:31">
      <c r="AD1426" s="31"/>
      <c r="AE1426" s="31"/>
    </row>
    <row r="1427" spans="30:31">
      <c r="AD1427" s="31"/>
      <c r="AE1427" s="31"/>
    </row>
    <row r="1428" spans="30:31">
      <c r="AD1428" s="31"/>
      <c r="AE1428" s="31"/>
    </row>
    <row r="1429" spans="30:31">
      <c r="AD1429" s="31"/>
      <c r="AE1429" s="31"/>
    </row>
    <row r="1430" spans="30:31">
      <c r="AD1430" s="31"/>
      <c r="AE1430" s="31"/>
    </row>
    <row r="1431" spans="30:31">
      <c r="AD1431" s="31"/>
      <c r="AE1431" s="31"/>
    </row>
    <row r="1432" spans="30:31">
      <c r="AD1432" s="31"/>
      <c r="AE1432" s="31"/>
    </row>
    <row r="1433" spans="30:31">
      <c r="AD1433" s="31"/>
      <c r="AE1433" s="31"/>
    </row>
    <row r="1434" spans="30:31">
      <c r="AD1434" s="31"/>
      <c r="AE1434" s="31"/>
    </row>
    <row r="1435" spans="30:31">
      <c r="AD1435" s="31"/>
      <c r="AE1435" s="31"/>
    </row>
    <row r="1436" spans="30:31">
      <c r="AD1436" s="31"/>
      <c r="AE1436" s="31"/>
    </row>
    <row r="1437" spans="30:31">
      <c r="AD1437" s="31"/>
      <c r="AE1437" s="31"/>
    </row>
    <row r="1438" spans="30:31">
      <c r="AD1438" s="31"/>
      <c r="AE1438" s="31"/>
    </row>
    <row r="1439" spans="30:31">
      <c r="AD1439" s="31"/>
      <c r="AE1439" s="31"/>
    </row>
    <row r="1440" spans="30:31">
      <c r="AD1440" s="31"/>
      <c r="AE1440" s="31"/>
    </row>
    <row r="1441" spans="30:31">
      <c r="AD1441" s="31"/>
      <c r="AE1441" s="31"/>
    </row>
    <row r="1442" spans="30:31">
      <c r="AD1442" s="31"/>
      <c r="AE1442" s="31"/>
    </row>
    <row r="1443" spans="30:31">
      <c r="AD1443" s="31"/>
      <c r="AE1443" s="31"/>
    </row>
    <row r="1444" spans="30:31">
      <c r="AD1444" s="31"/>
      <c r="AE1444" s="31"/>
    </row>
    <row r="1445" spans="30:31">
      <c r="AD1445" s="31"/>
      <c r="AE1445" s="31"/>
    </row>
    <row r="1446" spans="30:31">
      <c r="AD1446" s="31"/>
      <c r="AE1446" s="31"/>
    </row>
    <row r="1447" spans="30:31">
      <c r="AD1447" s="31"/>
      <c r="AE1447" s="31"/>
    </row>
    <row r="1448" spans="30:31">
      <c r="AD1448" s="31"/>
      <c r="AE1448" s="31"/>
    </row>
    <row r="1449" spans="30:31">
      <c r="AD1449" s="31"/>
      <c r="AE1449" s="31"/>
    </row>
    <row r="1450" spans="30:31">
      <c r="AD1450" s="31"/>
      <c r="AE1450" s="31"/>
    </row>
    <row r="1451" spans="30:31">
      <c r="AD1451" s="31"/>
      <c r="AE1451" s="31"/>
    </row>
    <row r="1452" spans="30:31">
      <c r="AD1452" s="31"/>
      <c r="AE1452" s="31"/>
    </row>
    <row r="1453" spans="30:31">
      <c r="AD1453" s="31"/>
      <c r="AE1453" s="31"/>
    </row>
    <row r="1454" spans="30:31">
      <c r="AD1454" s="31"/>
      <c r="AE1454" s="31"/>
    </row>
    <row r="1455" spans="30:31">
      <c r="AD1455" s="31"/>
      <c r="AE1455" s="31"/>
    </row>
    <row r="1456" spans="30:31">
      <c r="AD1456" s="31"/>
      <c r="AE1456" s="31"/>
    </row>
    <row r="1457" spans="30:31">
      <c r="AD1457" s="31"/>
      <c r="AE1457" s="31"/>
    </row>
    <row r="1458" spans="30:31">
      <c r="AD1458" s="31"/>
      <c r="AE1458" s="31"/>
    </row>
    <row r="1459" spans="30:31">
      <c r="AD1459" s="31"/>
      <c r="AE1459" s="31"/>
    </row>
    <row r="1460" spans="30:31">
      <c r="AD1460" s="31"/>
      <c r="AE1460" s="31"/>
    </row>
    <row r="1461" spans="30:31">
      <c r="AD1461" s="31"/>
      <c r="AE1461" s="31"/>
    </row>
    <row r="1462" spans="30:31">
      <c r="AD1462" s="31"/>
      <c r="AE1462" s="31"/>
    </row>
    <row r="1463" spans="30:31">
      <c r="AD1463" s="31"/>
      <c r="AE1463" s="31"/>
    </row>
    <row r="1464" spans="30:31">
      <c r="AD1464" s="31"/>
      <c r="AE1464" s="31"/>
    </row>
    <row r="1465" spans="30:31">
      <c r="AD1465" s="31"/>
      <c r="AE1465" s="31"/>
    </row>
    <row r="1466" spans="30:31">
      <c r="AD1466" s="31"/>
      <c r="AE1466" s="31"/>
    </row>
    <row r="1467" spans="30:31">
      <c r="AD1467" s="31"/>
      <c r="AE1467" s="31"/>
    </row>
    <row r="1468" spans="30:31">
      <c r="AD1468" s="31"/>
      <c r="AE1468" s="31"/>
    </row>
    <row r="1469" spans="30:31">
      <c r="AD1469" s="31"/>
      <c r="AE1469" s="31"/>
    </row>
    <row r="1470" spans="30:31">
      <c r="AD1470" s="31"/>
      <c r="AE1470" s="31"/>
    </row>
    <row r="1471" spans="30:31">
      <c r="AD1471" s="31"/>
      <c r="AE1471" s="31"/>
    </row>
    <row r="1472" spans="30:31">
      <c r="AD1472" s="31"/>
      <c r="AE1472" s="31"/>
    </row>
    <row r="1473" spans="30:31">
      <c r="AD1473" s="31"/>
      <c r="AE1473" s="31"/>
    </row>
    <row r="1474" spans="30:31">
      <c r="AD1474" s="31"/>
      <c r="AE1474" s="31"/>
    </row>
    <row r="1475" spans="30:31">
      <c r="AD1475" s="31"/>
      <c r="AE1475" s="31"/>
    </row>
    <row r="1476" spans="30:31">
      <c r="AD1476" s="31"/>
      <c r="AE1476" s="31"/>
    </row>
    <row r="1477" spans="30:31">
      <c r="AD1477" s="31"/>
      <c r="AE1477" s="31"/>
    </row>
    <row r="1478" spans="30:31">
      <c r="AD1478" s="31"/>
      <c r="AE1478" s="31"/>
    </row>
    <row r="1479" spans="30:31">
      <c r="AD1479" s="31"/>
      <c r="AE1479" s="31"/>
    </row>
    <row r="1480" spans="30:31">
      <c r="AD1480" s="31"/>
      <c r="AE1480" s="31"/>
    </row>
    <row r="1481" spans="30:31">
      <c r="AD1481" s="31"/>
      <c r="AE1481" s="31"/>
    </row>
    <row r="1482" spans="30:31">
      <c r="AD1482" s="31"/>
      <c r="AE1482" s="31"/>
    </row>
    <row r="1483" spans="30:31">
      <c r="AD1483" s="31"/>
      <c r="AE1483" s="31"/>
    </row>
    <row r="1484" spans="30:31">
      <c r="AD1484" s="31"/>
      <c r="AE1484" s="31"/>
    </row>
    <row r="1485" spans="30:31">
      <c r="AD1485" s="31"/>
      <c r="AE1485" s="31"/>
    </row>
    <row r="1486" spans="30:31">
      <c r="AD1486" s="31"/>
      <c r="AE1486" s="31"/>
    </row>
    <row r="1487" spans="30:31">
      <c r="AD1487" s="31"/>
      <c r="AE1487" s="31"/>
    </row>
    <row r="1488" spans="30:31">
      <c r="AD1488" s="31"/>
      <c r="AE1488" s="31"/>
    </row>
    <row r="1489" spans="30:31">
      <c r="AD1489" s="31"/>
      <c r="AE1489" s="31"/>
    </row>
    <row r="1490" spans="30:31">
      <c r="AD1490" s="31"/>
      <c r="AE1490" s="31"/>
    </row>
    <row r="1491" spans="30:31">
      <c r="AD1491" s="31"/>
      <c r="AE1491" s="31"/>
    </row>
    <row r="1492" spans="30:31">
      <c r="AD1492" s="31"/>
      <c r="AE1492" s="31"/>
    </row>
    <row r="1493" spans="30:31">
      <c r="AD1493" s="31"/>
      <c r="AE1493" s="31"/>
    </row>
    <row r="1494" spans="30:31">
      <c r="AD1494" s="31"/>
      <c r="AE1494" s="31"/>
    </row>
    <row r="1495" spans="30:31">
      <c r="AD1495" s="31"/>
      <c r="AE1495" s="31"/>
    </row>
    <row r="1496" spans="30:31">
      <c r="AD1496" s="31"/>
      <c r="AE1496" s="31"/>
    </row>
    <row r="1497" spans="30:31">
      <c r="AD1497" s="31"/>
      <c r="AE1497" s="31"/>
    </row>
    <row r="1498" spans="30:31">
      <c r="AD1498" s="31"/>
      <c r="AE1498" s="31"/>
    </row>
    <row r="1499" spans="30:31">
      <c r="AD1499" s="31"/>
      <c r="AE1499" s="31"/>
    </row>
    <row r="1500" spans="30:31">
      <c r="AD1500" s="31"/>
      <c r="AE1500" s="31"/>
    </row>
    <row r="1501" spans="30:31">
      <c r="AD1501" s="31"/>
      <c r="AE1501" s="31"/>
    </row>
    <row r="1502" spans="30:31">
      <c r="AD1502" s="31"/>
      <c r="AE1502" s="31"/>
    </row>
    <row r="1503" spans="30:31">
      <c r="AD1503" s="31"/>
      <c r="AE1503" s="31"/>
    </row>
    <row r="1504" spans="30:31">
      <c r="AD1504" s="31"/>
      <c r="AE1504" s="31"/>
    </row>
    <row r="1505" spans="30:31">
      <c r="AD1505" s="31"/>
      <c r="AE1505" s="31"/>
    </row>
    <row r="1506" spans="30:31">
      <c r="AD1506" s="31"/>
      <c r="AE1506" s="31"/>
    </row>
    <row r="1507" spans="30:31">
      <c r="AD1507" s="31"/>
      <c r="AE1507" s="31"/>
    </row>
    <row r="1508" spans="30:31">
      <c r="AD1508" s="31"/>
      <c r="AE1508" s="31"/>
    </row>
    <row r="1509" spans="30:31">
      <c r="AD1509" s="31"/>
      <c r="AE1509" s="31"/>
    </row>
    <row r="1510" spans="30:31">
      <c r="AD1510" s="31"/>
      <c r="AE1510" s="31"/>
    </row>
    <row r="1511" spans="30:31">
      <c r="AD1511" s="31"/>
      <c r="AE1511" s="31"/>
    </row>
    <row r="1512" spans="30:31">
      <c r="AD1512" s="31"/>
      <c r="AE1512" s="31"/>
    </row>
    <row r="1513" spans="30:31">
      <c r="AD1513" s="31"/>
      <c r="AE1513" s="31"/>
    </row>
    <row r="1514" spans="30:31">
      <c r="AD1514" s="31"/>
      <c r="AE1514" s="31"/>
    </row>
    <row r="1515" spans="30:31">
      <c r="AD1515" s="31"/>
      <c r="AE1515" s="31"/>
    </row>
    <row r="1516" spans="30:31">
      <c r="AD1516" s="31"/>
      <c r="AE1516" s="31"/>
    </row>
    <row r="1517" spans="30:31">
      <c r="AD1517" s="31"/>
      <c r="AE1517" s="31"/>
    </row>
    <row r="1518" spans="30:31">
      <c r="AD1518" s="31"/>
      <c r="AE1518" s="31"/>
    </row>
    <row r="1519" spans="30:31">
      <c r="AD1519" s="31"/>
      <c r="AE1519" s="31"/>
    </row>
    <row r="1520" spans="30:31">
      <c r="AD1520" s="31"/>
      <c r="AE1520" s="31"/>
    </row>
    <row r="1521" spans="30:31">
      <c r="AD1521" s="31"/>
      <c r="AE1521" s="31"/>
    </row>
    <row r="1522" spans="30:31">
      <c r="AD1522" s="31"/>
      <c r="AE1522" s="31"/>
    </row>
    <row r="1523" spans="30:31">
      <c r="AD1523" s="31"/>
      <c r="AE1523" s="31"/>
    </row>
    <row r="1524" spans="30:31">
      <c r="AD1524" s="31"/>
      <c r="AE1524" s="31"/>
    </row>
    <row r="1525" spans="30:31">
      <c r="AD1525" s="31"/>
      <c r="AE1525" s="31"/>
    </row>
    <row r="1526" spans="30:31">
      <c r="AD1526" s="31"/>
      <c r="AE1526" s="31"/>
    </row>
    <row r="1527" spans="30:31">
      <c r="AD1527" s="31"/>
      <c r="AE1527" s="31"/>
    </row>
    <row r="1528" spans="30:31">
      <c r="AD1528" s="31"/>
      <c r="AE1528" s="31"/>
    </row>
    <row r="1529" spans="30:31">
      <c r="AD1529" s="31"/>
      <c r="AE1529" s="31"/>
    </row>
    <row r="1530" spans="30:31">
      <c r="AD1530" s="31"/>
      <c r="AE1530" s="31"/>
    </row>
    <row r="1531" spans="30:31">
      <c r="AD1531" s="31"/>
      <c r="AE1531" s="31"/>
    </row>
    <row r="1532" spans="30:31">
      <c r="AD1532" s="31"/>
      <c r="AE1532" s="31"/>
    </row>
    <row r="1533" spans="30:31">
      <c r="AD1533" s="31"/>
      <c r="AE1533" s="31"/>
    </row>
    <row r="1534" spans="30:31">
      <c r="AD1534" s="31"/>
      <c r="AE1534" s="31"/>
    </row>
    <row r="1535" spans="30:31">
      <c r="AD1535" s="31"/>
      <c r="AE1535" s="31"/>
    </row>
    <row r="1536" spans="30:31">
      <c r="AD1536" s="31"/>
      <c r="AE1536" s="31"/>
    </row>
    <row r="1537" spans="30:31">
      <c r="AD1537" s="31"/>
      <c r="AE1537" s="31"/>
    </row>
    <row r="1538" spans="30:31">
      <c r="AD1538" s="31"/>
      <c r="AE1538" s="31"/>
    </row>
    <row r="1539" spans="30:31">
      <c r="AD1539" s="31"/>
      <c r="AE1539" s="31"/>
    </row>
    <row r="1540" spans="30:31">
      <c r="AD1540" s="31"/>
      <c r="AE1540" s="31"/>
    </row>
    <row r="1541" spans="30:31">
      <c r="AD1541" s="31"/>
      <c r="AE1541" s="31"/>
    </row>
    <row r="1542" spans="30:31">
      <c r="AD1542" s="31"/>
      <c r="AE1542" s="31"/>
    </row>
    <row r="1543" spans="30:31">
      <c r="AD1543" s="31"/>
      <c r="AE1543" s="31"/>
    </row>
    <row r="1544" spans="30:31">
      <c r="AD1544" s="31"/>
      <c r="AE1544" s="31"/>
    </row>
    <row r="1545" spans="30:31">
      <c r="AD1545" s="31"/>
      <c r="AE1545" s="31"/>
    </row>
    <row r="1546" spans="30:31">
      <c r="AD1546" s="31"/>
      <c r="AE1546" s="31"/>
    </row>
    <row r="1547" spans="30:31">
      <c r="AD1547" s="31"/>
      <c r="AE1547" s="31"/>
    </row>
    <row r="1548" spans="30:31">
      <c r="AD1548" s="31"/>
      <c r="AE1548" s="31"/>
    </row>
    <row r="1549" spans="30:31">
      <c r="AD1549" s="31"/>
      <c r="AE1549" s="31"/>
    </row>
    <row r="1550" spans="30:31">
      <c r="AD1550" s="31"/>
      <c r="AE1550" s="31"/>
    </row>
    <row r="1551" spans="30:31">
      <c r="AD1551" s="31"/>
      <c r="AE1551" s="31"/>
    </row>
    <row r="1552" spans="30:31">
      <c r="AD1552" s="31"/>
      <c r="AE1552" s="31"/>
    </row>
    <row r="1553" spans="30:31">
      <c r="AD1553" s="31"/>
      <c r="AE1553" s="31"/>
    </row>
    <row r="1554" spans="30:31">
      <c r="AD1554" s="31"/>
      <c r="AE1554" s="31"/>
    </row>
    <row r="1555" spans="30:31">
      <c r="AD1555" s="31"/>
      <c r="AE1555" s="31"/>
    </row>
    <row r="1556" spans="30:31">
      <c r="AD1556" s="31"/>
      <c r="AE1556" s="31"/>
    </row>
    <row r="1557" spans="30:31">
      <c r="AD1557" s="31"/>
      <c r="AE1557" s="31"/>
    </row>
    <row r="1558" spans="30:31">
      <c r="AD1558" s="31"/>
      <c r="AE1558" s="31"/>
    </row>
    <row r="1559" spans="30:31">
      <c r="AD1559" s="31"/>
      <c r="AE1559" s="31"/>
    </row>
    <row r="1560" spans="30:31">
      <c r="AD1560" s="31"/>
      <c r="AE1560" s="31"/>
    </row>
    <row r="1561" spans="30:31">
      <c r="AD1561" s="31"/>
      <c r="AE1561" s="31"/>
    </row>
    <row r="1562" spans="30:31">
      <c r="AD1562" s="31"/>
      <c r="AE1562" s="31"/>
    </row>
    <row r="1563" spans="30:31">
      <c r="AD1563" s="31"/>
    </row>
    <row r="1564" spans="30:31">
      <c r="AD1564" s="31"/>
    </row>
    <row r="1565" spans="30:31">
      <c r="AD1565" s="31"/>
    </row>
    <row r="1566" spans="30:31">
      <c r="AD1566" s="31"/>
    </row>
    <row r="1567" spans="30:31">
      <c r="AD1567" s="31"/>
    </row>
    <row r="1568" spans="30:31">
      <c r="AD1568" s="31"/>
    </row>
    <row r="1569" spans="30:30">
      <c r="AD1569" s="31"/>
    </row>
    <row r="1570" spans="30:30">
      <c r="AD1570" s="31"/>
    </row>
    <row r="1571" spans="30:30">
      <c r="AD1571" s="31"/>
    </row>
    <row r="1572" spans="30:30">
      <c r="AD1572" s="31"/>
    </row>
    <row r="1573" spans="30:30">
      <c r="AD1573" s="31"/>
    </row>
    <row r="1574" spans="30:30">
      <c r="AD1574" s="31"/>
    </row>
    <row r="1575" spans="30:30">
      <c r="AD1575" s="31"/>
    </row>
    <row r="1576" spans="30:30">
      <c r="AD1576" s="31"/>
    </row>
    <row r="1577" spans="30:30">
      <c r="AD1577" s="31"/>
    </row>
    <row r="1578" spans="30:30">
      <c r="AD1578" s="31"/>
    </row>
    <row r="1579" spans="30:30">
      <c r="AD1579" s="31"/>
    </row>
    <row r="1580" spans="30:30">
      <c r="AD1580" s="31"/>
    </row>
    <row r="1581" spans="30:30">
      <c r="AD1581" s="31"/>
    </row>
    <row r="1582" spans="30:30">
      <c r="AD1582" s="31"/>
    </row>
    <row r="1583" spans="30:30">
      <c r="AD1583" s="31"/>
    </row>
    <row r="1584" spans="30:30">
      <c r="AD1584" s="31"/>
    </row>
    <row r="1585" spans="30:30">
      <c r="AD1585" s="31"/>
    </row>
    <row r="1586" spans="30:30">
      <c r="AD1586" s="31"/>
    </row>
    <row r="1587" spans="30:30">
      <c r="AD1587" s="31"/>
    </row>
    <row r="1588" spans="30:30">
      <c r="AD1588" s="31"/>
    </row>
    <row r="1589" spans="30:30">
      <c r="AD1589" s="31"/>
    </row>
    <row r="1590" spans="30:30">
      <c r="AD1590" s="31"/>
    </row>
    <row r="1591" spans="30:30">
      <c r="AD1591" s="31"/>
    </row>
    <row r="1592" spans="30:30">
      <c r="AD1592" s="31"/>
    </row>
    <row r="1593" spans="30:30">
      <c r="AD1593" s="31"/>
    </row>
    <row r="1594" spans="30:30">
      <c r="AD1594" s="31"/>
    </row>
    <row r="1595" spans="30:30">
      <c r="AD1595" s="31"/>
    </row>
    <row r="1596" spans="30:30">
      <c r="AD1596" s="31"/>
    </row>
    <row r="1597" spans="30:30">
      <c r="AD1597" s="31"/>
    </row>
    <row r="1598" spans="30:30">
      <c r="AD1598" s="31"/>
    </row>
    <row r="1599" spans="30:30">
      <c r="AD1599" s="31"/>
    </row>
    <row r="1600" spans="30:30">
      <c r="AD1600" s="31"/>
    </row>
    <row r="1601" spans="30:30">
      <c r="AD1601" s="31"/>
    </row>
    <row r="1602" spans="30:30">
      <c r="AD1602" s="31"/>
    </row>
    <row r="1603" spans="30:30">
      <c r="AD1603" s="31"/>
    </row>
    <row r="1604" spans="30:30">
      <c r="AD1604" s="31"/>
    </row>
    <row r="1605" spans="30:30">
      <c r="AD1605" s="31"/>
    </row>
    <row r="1606" spans="30:30">
      <c r="AD1606" s="31"/>
    </row>
    <row r="1607" spans="30:30">
      <c r="AD1607" s="31"/>
    </row>
    <row r="1608" spans="30:30">
      <c r="AD1608" s="31"/>
    </row>
    <row r="1609" spans="30:30">
      <c r="AD1609" s="31"/>
    </row>
    <row r="1610" spans="30:30">
      <c r="AD1610" s="31"/>
    </row>
    <row r="1611" spans="30:30">
      <c r="AD1611" s="31"/>
    </row>
    <row r="1612" spans="30:30">
      <c r="AD1612" s="31"/>
    </row>
    <row r="1613" spans="30:30">
      <c r="AD1613" s="31"/>
    </row>
    <row r="1614" spans="30:30">
      <c r="AD1614" s="31"/>
    </row>
    <row r="1615" spans="30:30">
      <c r="AD1615" s="31"/>
    </row>
    <row r="1616" spans="30:30">
      <c r="AD1616" s="31"/>
    </row>
    <row r="1617" spans="30:30">
      <c r="AD1617" s="31"/>
    </row>
    <row r="1618" spans="30:30">
      <c r="AD1618" s="31"/>
    </row>
    <row r="1619" spans="30:30">
      <c r="AD1619" s="31"/>
    </row>
    <row r="1620" spans="30:30">
      <c r="AD1620" s="31"/>
    </row>
    <row r="1621" spans="30:30">
      <c r="AD1621" s="31"/>
    </row>
    <row r="1622" spans="30:30">
      <c r="AD1622" s="31"/>
    </row>
    <row r="1623" spans="30:30">
      <c r="AD1623" s="31"/>
    </row>
    <row r="1624" spans="30:30">
      <c r="AD1624" s="31"/>
    </row>
    <row r="1625" spans="30:30">
      <c r="AD1625" s="31"/>
    </row>
    <row r="1626" spans="30:30">
      <c r="AD1626" s="31"/>
    </row>
    <row r="1627" spans="30:30">
      <c r="AD1627" s="31"/>
    </row>
    <row r="1628" spans="30:30">
      <c r="AD1628" s="31"/>
    </row>
    <row r="1629" spans="30:30">
      <c r="AD1629" s="31"/>
    </row>
    <row r="1630" spans="30:30">
      <c r="AD1630" s="31"/>
    </row>
    <row r="1631" spans="30:30">
      <c r="AD1631" s="31"/>
    </row>
    <row r="1632" spans="30:30">
      <c r="AD1632" s="31"/>
    </row>
    <row r="1633" spans="30:30">
      <c r="AD1633" s="31"/>
    </row>
    <row r="1634" spans="30:30">
      <c r="AD1634" s="31"/>
    </row>
    <row r="1635" spans="30:30">
      <c r="AD1635" s="31"/>
    </row>
    <row r="1636" spans="30:30">
      <c r="AD1636" s="31"/>
    </row>
    <row r="1637" spans="30:30">
      <c r="AD1637" s="31"/>
    </row>
    <row r="1638" spans="30:30">
      <c r="AD1638" s="31"/>
    </row>
    <row r="1639" spans="30:30">
      <c r="AD1639" s="31"/>
    </row>
    <row r="1640" spans="30:30">
      <c r="AD1640" s="31"/>
    </row>
    <row r="1641" spans="30:30">
      <c r="AD1641" s="31"/>
    </row>
    <row r="1642" spans="30:30">
      <c r="AD1642" s="31"/>
    </row>
    <row r="1643" spans="30:30">
      <c r="AD1643" s="31"/>
    </row>
    <row r="1644" spans="30:30">
      <c r="AD1644" s="31"/>
    </row>
    <row r="1645" spans="30:30">
      <c r="AD1645" s="31"/>
    </row>
    <row r="1646" spans="30:30">
      <c r="AD1646" s="31"/>
    </row>
    <row r="1647" spans="30:30">
      <c r="AD1647" s="31"/>
    </row>
    <row r="1648" spans="30:30">
      <c r="AD1648" s="31"/>
    </row>
    <row r="1649" spans="30:30">
      <c r="AD1649" s="31"/>
    </row>
    <row r="1650" spans="30:30">
      <c r="AD1650" s="31"/>
    </row>
    <row r="1651" spans="30:30">
      <c r="AD1651" s="31"/>
    </row>
    <row r="1652" spans="30:30">
      <c r="AD1652" s="31"/>
    </row>
    <row r="1653" spans="30:30">
      <c r="AD1653" s="31"/>
    </row>
    <row r="1654" spans="30:30">
      <c r="AD1654" s="31"/>
    </row>
    <row r="1655" spans="30:30">
      <c r="AD1655" s="31"/>
    </row>
    <row r="1656" spans="30:30">
      <c r="AD1656" s="31"/>
    </row>
    <row r="1657" spans="30:30">
      <c r="AD1657" s="31"/>
    </row>
    <row r="1658" spans="30:30">
      <c r="AD1658" s="31"/>
    </row>
    <row r="1659" spans="30:30">
      <c r="AD1659" s="31"/>
    </row>
    <row r="1660" spans="30:30">
      <c r="AD1660" s="31"/>
    </row>
    <row r="1661" spans="30:30">
      <c r="AD1661" s="31"/>
    </row>
    <row r="1662" spans="30:30">
      <c r="AD1662" s="31"/>
    </row>
    <row r="1663" spans="30:30">
      <c r="AD1663" s="31"/>
    </row>
    <row r="1664" spans="30:30">
      <c r="AD1664" s="31"/>
    </row>
    <row r="1665" spans="30:30">
      <c r="AD1665" s="31"/>
    </row>
    <row r="1666" spans="30:30">
      <c r="AD1666" s="31"/>
    </row>
    <row r="1667" spans="30:30">
      <c r="AD1667" s="31"/>
    </row>
    <row r="1668" spans="30:30">
      <c r="AD1668" s="31"/>
    </row>
    <row r="1669" spans="30:30">
      <c r="AD1669" s="31"/>
    </row>
    <row r="1670" spans="30:30">
      <c r="AD1670" s="31"/>
    </row>
    <row r="1671" spans="30:30">
      <c r="AD1671" s="31"/>
    </row>
    <row r="1672" spans="30:30">
      <c r="AD1672" s="31"/>
    </row>
    <row r="1673" spans="30:30">
      <c r="AD1673" s="31"/>
    </row>
    <row r="1674" spans="30:30">
      <c r="AD1674" s="31"/>
    </row>
    <row r="1675" spans="30:30">
      <c r="AD1675" s="31"/>
    </row>
    <row r="1676" spans="30:30">
      <c r="AD1676" s="31"/>
    </row>
    <row r="1677" spans="30:30">
      <c r="AD1677" s="31"/>
    </row>
    <row r="1678" spans="30:30">
      <c r="AD1678" s="31"/>
    </row>
    <row r="1679" spans="30:30">
      <c r="AD1679" s="31"/>
    </row>
    <row r="1680" spans="30:30">
      <c r="AD1680" s="31"/>
    </row>
    <row r="1681" spans="30:30">
      <c r="AD1681" s="31"/>
    </row>
    <row r="1682" spans="30:30">
      <c r="AD1682" s="31"/>
    </row>
    <row r="1683" spans="30:30">
      <c r="AD1683" s="31"/>
    </row>
    <row r="1684" spans="30:30">
      <c r="AD1684" s="31"/>
    </row>
    <row r="1685" spans="30:30">
      <c r="AD1685" s="31"/>
    </row>
    <row r="1686" spans="30:30">
      <c r="AD1686" s="31"/>
    </row>
    <row r="1687" spans="30:30">
      <c r="AD1687" s="31"/>
    </row>
    <row r="1688" spans="30:30">
      <c r="AD1688" s="31"/>
    </row>
    <row r="1689" spans="30:30">
      <c r="AD1689" s="31"/>
    </row>
    <row r="1690" spans="30:30">
      <c r="AD1690" s="31"/>
    </row>
    <row r="1691" spans="30:30">
      <c r="AD1691" s="31"/>
    </row>
    <row r="1692" spans="30:30">
      <c r="AD1692" s="31"/>
    </row>
    <row r="1693" spans="30:30">
      <c r="AD1693" s="31"/>
    </row>
    <row r="1694" spans="30:30">
      <c r="AD1694" s="31"/>
    </row>
    <row r="1695" spans="30:30">
      <c r="AD1695" s="31"/>
    </row>
    <row r="1696" spans="30:30">
      <c r="AD1696" s="31"/>
    </row>
    <row r="1697" spans="30:30">
      <c r="AD1697" s="31"/>
    </row>
    <row r="1698" spans="30:30">
      <c r="AD1698" s="31"/>
    </row>
    <row r="1699" spans="30:30">
      <c r="AD1699" s="31"/>
    </row>
    <row r="1700" spans="30:30">
      <c r="AD1700" s="31"/>
    </row>
    <row r="1701" spans="30:30">
      <c r="AD1701" s="31"/>
    </row>
    <row r="1702" spans="30:30">
      <c r="AD1702" s="31"/>
    </row>
    <row r="1703" spans="30:30">
      <c r="AD1703" s="31"/>
    </row>
    <row r="1704" spans="30:30">
      <c r="AD1704" s="31"/>
    </row>
  </sheetData>
  <sheetProtection algorithmName="SHA-512" hashValue="X4E8fqF/tOvYcrhZPvqSvZicXum+4CBqEbKav8kWfssnA1uZ4a+Y+qSDDhmy7Zhom6KNMZF9ztJjkq+EV7apiw==" saltValue="bBxjQHHbLGp5J9FIld2idQ==" spinCount="100000" sheet="1"/>
  <dataConsolidate/>
  <mergeCells count="38">
    <mergeCell ref="AK112:AM112"/>
    <mergeCell ref="M48:O48"/>
    <mergeCell ref="J85:K85"/>
    <mergeCell ref="J88:K88"/>
    <mergeCell ref="J96:K96"/>
    <mergeCell ref="AK67:AM67"/>
    <mergeCell ref="J17:K17"/>
    <mergeCell ref="J39:L39"/>
    <mergeCell ref="J48:L48"/>
    <mergeCell ref="J72:K72"/>
    <mergeCell ref="J80:K80"/>
    <mergeCell ref="J29:K29"/>
    <mergeCell ref="J30:K30"/>
    <mergeCell ref="J31:K31"/>
    <mergeCell ref="J32:K32"/>
    <mergeCell ref="J33:K33"/>
    <mergeCell ref="J34:K34"/>
    <mergeCell ref="C3:T3"/>
    <mergeCell ref="C5:T5"/>
    <mergeCell ref="L96:N96"/>
    <mergeCell ref="L98:N98"/>
    <mergeCell ref="L99:N99"/>
    <mergeCell ref="J99:K99"/>
    <mergeCell ref="J81:K81"/>
    <mergeCell ref="J57:K57"/>
    <mergeCell ref="J82:K82"/>
    <mergeCell ref="J83:K83"/>
    <mergeCell ref="J84:K84"/>
    <mergeCell ref="J97:K97"/>
    <mergeCell ref="J98:K98"/>
    <mergeCell ref="J26:K26"/>
    <mergeCell ref="J27:K27"/>
    <mergeCell ref="J28:K28"/>
    <mergeCell ref="C135:N135"/>
    <mergeCell ref="C145:S145"/>
    <mergeCell ref="L97:N97"/>
    <mergeCell ref="G131:H131"/>
    <mergeCell ref="J103:K103"/>
  </mergeCells>
  <conditionalFormatting sqref="D118">
    <cfRule type="expression" dxfId="248" priority="1266">
      <formula>$D$11&lt;&gt;""</formula>
    </cfRule>
  </conditionalFormatting>
  <conditionalFormatting sqref="D123">
    <cfRule type="expression" dxfId="247" priority="1265">
      <formula>$D$11&lt;&gt;""</formula>
    </cfRule>
  </conditionalFormatting>
  <conditionalFormatting sqref="Q123 S123">
    <cfRule type="expression" dxfId="246" priority="1264">
      <formula>$D$11&lt;&gt;""</formula>
    </cfRule>
  </conditionalFormatting>
  <conditionalFormatting sqref="Q118 S118">
    <cfRule type="expression" dxfId="245" priority="1263">
      <formula>$D$11&lt;&gt;""</formula>
    </cfRule>
  </conditionalFormatting>
  <conditionalFormatting sqref="G123:H123">
    <cfRule type="expression" dxfId="244" priority="1236">
      <formula>$D$11&lt;&gt;""</formula>
    </cfRule>
  </conditionalFormatting>
  <conditionalFormatting sqref="F123">
    <cfRule type="expression" dxfId="243" priority="1234">
      <formula>$D$11&lt;&gt;""</formula>
    </cfRule>
  </conditionalFormatting>
  <conditionalFormatting sqref="G10">
    <cfRule type="expression" dxfId="242" priority="1186">
      <formula>$D$11&lt;&gt;""</formula>
    </cfRule>
    <cfRule type="expression" dxfId="241" priority="1187">
      <formula>AND($D$10&lt;&gt;"",$D$11="",$G$10="")</formula>
    </cfRule>
    <cfRule type="expression" dxfId="240" priority="1188">
      <formula>$D$11=""</formula>
    </cfRule>
  </conditionalFormatting>
  <conditionalFormatting sqref="I48">
    <cfRule type="expression" dxfId="239" priority="1124">
      <formula>AND(E48="Overseas",AND(F48&lt;&gt;"Interest",F48&lt;&gt;"Dividends",F48&lt;&gt;"Rent (Resi)"))</formula>
    </cfRule>
    <cfRule type="expression" dxfId="238" priority="1125">
      <formula>AND(OR(F48="Interest",F48="Dividends",F48="Rent (Resi)"),I48="")</formula>
    </cfRule>
  </conditionalFormatting>
  <conditionalFormatting sqref="G112 G67">
    <cfRule type="expression" dxfId="237" priority="1119">
      <formula>AND(G67&lt;&gt;"",F67=TRUE,AK67="")</formula>
    </cfRule>
    <cfRule type="expression" dxfId="236" priority="1120">
      <formula>G67="Multiple/Other Securities"</formula>
    </cfRule>
  </conditionalFormatting>
  <conditionalFormatting sqref="I112">
    <cfRule type="expression" dxfId="235" priority="2688">
      <formula>AND(OR(H112="Var IO",H112="S+ IO"),I112="")</formula>
    </cfRule>
    <cfRule type="expression" dxfId="234" priority="2689">
      <formula>I112&gt;10</formula>
    </cfRule>
    <cfRule type="expression" dxfId="233" priority="2690">
      <formula>AND(LEFT($H112,3)="Fix",$I112="")</formula>
    </cfRule>
  </conditionalFormatting>
  <conditionalFormatting sqref="J48">
    <cfRule type="expression" dxfId="232" priority="1097">
      <formula>AND(F48="Rent (Resi)",J48="")</formula>
    </cfRule>
  </conditionalFormatting>
  <conditionalFormatting sqref="M67">
    <cfRule type="expression" dxfId="231" priority="1060">
      <formula>IF(AND(VLOOKUP(G67,$X$10:$Z$11,3,FALSE)=0,D67="HECS/HELP"),TRUE,FALSE)</formula>
    </cfRule>
  </conditionalFormatting>
  <conditionalFormatting sqref="L26:M26">
    <cfRule type="expression" dxfId="230" priority="1030">
      <formula>$J26="Year to Date"</formula>
    </cfRule>
  </conditionalFormatting>
  <conditionalFormatting sqref="D28">
    <cfRule type="expression" dxfId="229" priority="1025">
      <formula>AND(ISBLANK(D28),NOT(ISBLANK(D26)))</formula>
    </cfRule>
  </conditionalFormatting>
  <conditionalFormatting sqref="D26">
    <cfRule type="expression" dxfId="228" priority="5078">
      <formula>AND(D26&lt;&gt;$D$10,D26&lt;&gt;$D$11,D26&lt;&gt;"")</formula>
    </cfRule>
    <cfRule type="expression" dxfId="227" priority="5079">
      <formula>AND($D26="",CONCATENATE(#REF!,#REF!,#REF!,#REF!,#REF!)&lt;&gt;"")</formula>
    </cfRule>
  </conditionalFormatting>
  <conditionalFormatting sqref="L27:M27">
    <cfRule type="expression" dxfId="226" priority="5084">
      <formula>AND($J27="Year to Date",$D28="SE - Company Wages")</formula>
    </cfRule>
  </conditionalFormatting>
  <conditionalFormatting sqref="L27:M27">
    <cfRule type="expression" dxfId="225" priority="5085">
      <formula>AND($M26&lt;&gt;"",L27="",$D28="SE - Company Wages",$J27="Year to Date",$X26&lt;182)</formula>
    </cfRule>
  </conditionalFormatting>
  <conditionalFormatting sqref="F35">
    <cfRule type="expression" dxfId="224" priority="786">
      <formula>LEFT(F35,5)="Error"</formula>
    </cfRule>
  </conditionalFormatting>
  <conditionalFormatting sqref="G27">
    <cfRule type="expression" dxfId="223" priority="785">
      <formula>AND($M26&lt;&gt;"",G27="",$D28="SE - Company Wages",$J27="Year to Date",$X26&lt;182)</formula>
    </cfRule>
  </conditionalFormatting>
  <conditionalFormatting sqref="G27">
    <cfRule type="expression" dxfId="222" priority="784">
      <formula>AND(D28="SE - Company",AND(G27&gt;0,G31&gt;0))</formula>
    </cfRule>
  </conditionalFormatting>
  <conditionalFormatting sqref="G31">
    <cfRule type="expression" dxfId="221" priority="783">
      <formula>AND(D28="SE - Company",AND(G27&gt;0,G31&gt;0))</formula>
    </cfRule>
  </conditionalFormatting>
  <conditionalFormatting sqref="E30:E34">
    <cfRule type="expression" dxfId="220" priority="781">
      <formula>AND(E30="Select Type",G30&lt;&gt;"")</formula>
    </cfRule>
    <cfRule type="expression" dxfId="219" priority="782">
      <formula>E30="Select Type"</formula>
    </cfRule>
  </conditionalFormatting>
  <conditionalFormatting sqref="D30">
    <cfRule type="expression" dxfId="218" priority="779">
      <formula>OR(LEFT($D28,2)="SE",$D28="LoDoc")</formula>
    </cfRule>
    <cfRule type="expression" dxfId="217" priority="780">
      <formula>AND(LEFT(D28,2)="SE",OR(D30&lt;0,D30&gt;1,D30=""))</formula>
    </cfRule>
  </conditionalFormatting>
  <conditionalFormatting sqref="N26">
    <cfRule type="expression" dxfId="216" priority="739">
      <formula>LEFT(D28,2)="SE"</formula>
    </cfRule>
  </conditionalFormatting>
  <conditionalFormatting sqref="K67">
    <cfRule type="expression" dxfId="215" priority="7">
      <formula>J67*12+K67&gt;360</formula>
    </cfRule>
  </conditionalFormatting>
  <conditionalFormatting sqref="J67">
    <cfRule type="expression" dxfId="214" priority="6">
      <formula>J67&gt;30</formula>
    </cfRule>
  </conditionalFormatting>
  <conditionalFormatting sqref="J112">
    <cfRule type="expression" dxfId="213" priority="4">
      <formula>J112&gt;30</formula>
    </cfRule>
  </conditionalFormatting>
  <conditionalFormatting sqref="J112:K112">
    <cfRule type="expression" dxfId="212" priority="5">
      <formula>AND($H112&lt;&gt;"",$H112&lt;&gt;"Bridging",$J112="",$K112="")</formula>
    </cfRule>
  </conditionalFormatting>
  <conditionalFormatting sqref="K112">
    <cfRule type="expression" dxfId="211" priority="3">
      <formula>J112*12+K112&gt;360</formula>
    </cfRule>
  </conditionalFormatting>
  <conditionalFormatting sqref="H26">
    <cfRule type="expression" dxfId="210" priority="2">
      <formula>AND($D26&lt;&gt;"",$G26&lt;&gt;"",$H26="",LEFT($D28,2)&lt;&gt;"SE")</formula>
    </cfRule>
  </conditionalFormatting>
  <conditionalFormatting sqref="J26:K26">
    <cfRule type="expression" dxfId="209" priority="1">
      <formula>AND($D26&lt;&gt;"",$H26&lt;&gt;"",$J26="",LEFT($D28,2)&lt;&gt;"SE")</formula>
    </cfRule>
  </conditionalFormatting>
  <dataValidations count="18">
    <dataValidation type="list" allowBlank="1" showInputMessage="1" showErrorMessage="1" sqref="F80:F85 J96:J99 F96:F100 N67 J80:J85 H48" xr:uid="{D3BAEB37-06C7-4EB4-BCE0-B122111CA466}">
      <formula1>"Weekly, Fortnightly, Four Weekly, Monthly, Quarterly, Bi Annually, Annually"</formula1>
    </dataValidation>
    <dataValidation type="list" allowBlank="1" showInputMessage="1" showErrorMessage="1" sqref="D26" xr:uid="{5DC77562-BE0A-40D4-ADEB-5D092AC03547}">
      <formula1>$X$10:$X$11</formula1>
    </dataValidation>
    <dataValidation type="list" allowBlank="1" showInputMessage="1" showErrorMessage="1" sqref="H49 K68" xr:uid="{362E70F9-4045-40E3-B03D-32F0BC43113F}">
      <formula1>"Weekly, Fortnightly, Monthly, Annually"</formula1>
    </dataValidation>
    <dataValidation type="list" allowBlank="1" showInputMessage="1" showErrorMessage="1" sqref="F112 G68 E112:E113 I35:J36 M29 F27:F29 F36 I26:I34 F67 E67:E68" xr:uid="{A6AC7BCA-47E1-473C-A0A8-C2AB375E16E9}">
      <formula1>"TRUE,FALSE"</formula1>
    </dataValidation>
    <dataValidation type="list" allowBlank="1" showInputMessage="1" showErrorMessage="1" sqref="F68 D49" xr:uid="{197E9C4F-1612-422B-9FD7-B761396BDDBC}">
      <formula1>$W$10:$W$12</formula1>
    </dataValidation>
    <dataValidation type="list" allowBlank="1" showInputMessage="1" showErrorMessage="1" sqref="H26:H29 H35:H36" xr:uid="{D56EEFAB-E411-45D5-88EE-B8005E85DF60}">
      <formula1>"After Tax, Before Tax"</formula1>
    </dataValidation>
    <dataValidation type="list" allowBlank="1" showInputMessage="1" showErrorMessage="1" sqref="F113" xr:uid="{D4ED23E5-5F5D-40C1-9D88-CA8A58DCCBCE}">
      <formula1>"Principal and Interest,Interest Only,Interest in Advance, Line of Credit"</formula1>
    </dataValidation>
    <dataValidation type="list" allowBlank="1" showInputMessage="1" showErrorMessage="1" sqref="G113" xr:uid="{AF1A179C-B43A-43AD-B518-181A8D327303}">
      <formula1>"Variable, Fixed, Simplicity PLUS"</formula1>
    </dataValidation>
    <dataValidation type="list" allowBlank="1" showInputMessage="1" showErrorMessage="1" sqref="E48" xr:uid="{4F2849F7-87F1-4749-B3F5-B9E0E038A0F8}">
      <formula1>OTHER_INCOMES</formula1>
    </dataValidation>
    <dataValidation type="list" allowBlank="1" showInputMessage="1" showErrorMessage="1" sqref="J26:J34" xr:uid="{D26C5CC8-09A1-4478-B44F-9F0E542DA9F4}">
      <formula1>"Weekly, Fortnightly, Four Weekly, Monthly, Quarterly, Bi Annually, Annually, Year to Date"</formula1>
    </dataValidation>
    <dataValidation type="list" allowBlank="1" showInputMessage="1" showErrorMessage="1" sqref="G67 D48 G112" xr:uid="{1199D88F-F2EE-4D81-B710-548E4315A8E0}">
      <formula1>$W$10:$W$13</formula1>
    </dataValidation>
    <dataValidation type="list" allowBlank="1" showInputMessage="1" showErrorMessage="1" sqref="E31:E34" xr:uid="{4F3C28E3-438D-414C-859D-F614E55DC179}">
      <formula1>SEAdd</formula1>
    </dataValidation>
    <dataValidation type="whole" allowBlank="1" showInputMessage="1" showErrorMessage="1" errorTitle="Years Value" error="Years value must be a whole number greater or equal to 0_x000a__x000a_Total Term (Years and Months) must not be greater than 30 Years" sqref="J112" xr:uid="{DE775E83-FF0B-49D6-8C33-C60FC734C551}">
      <formula1>0</formula1>
      <formula2>30</formula2>
    </dataValidation>
    <dataValidation type="whole" allowBlank="1" showInputMessage="1" showErrorMessage="1" errorTitle="Month Value" error="Months value must be a whole number greater or equal to 0_x000a__x000a_Total Term (Years and Months) must not be greater than 30 Years" sqref="K112" xr:uid="{6E47323B-D2AF-4877-9287-DF1488F0B47B}">
      <formula1>0</formula1>
      <formula2>360</formula2>
    </dataValidation>
    <dataValidation type="whole" operator="greaterThanOrEqual" allowBlank="1" showInputMessage="1" showErrorMessage="1" errorTitle="Years Value" error="Years value must be a whole number greater or equal to 0" sqref="J67" xr:uid="{93B66EC3-01B0-48A5-9653-A0DEB55C890D}">
      <formula1>0</formula1>
    </dataValidation>
    <dataValidation type="whole" operator="greaterThanOrEqual" allowBlank="1" showInputMessage="1" showErrorMessage="1" errorTitle="Month Value" error="Months value must be a whole number greater or equal to 0" sqref="K67" xr:uid="{102F225F-8AD6-484D-9E42-C1A59E47995F}">
      <formula1>0</formula1>
    </dataValidation>
    <dataValidation type="list" allowBlank="1" showInputMessage="1" showErrorMessage="1" sqref="F48:F49" xr:uid="{DCCC43BF-9FA3-43B6-8E3B-7B28BCE1B755}">
      <formula1>INDIRECT(E48)</formula1>
    </dataValidation>
    <dataValidation type="list" allowBlank="1" showInputMessage="1" showErrorMessage="1" sqref="D67:D68" xr:uid="{EB438A11-92C2-434E-9D72-1783F6C7343C}">
      <formula1>Liabilities_List</formula1>
    </dataValidation>
  </dataValidations>
  <pageMargins left="0" right="0" top="0" bottom="0" header="0" footer="0"/>
  <pageSetup paperSize="9" scale="5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1" r:id="rId4" name="Check Box 7">
              <controlPr defaultSize="0" autoFill="0" autoLine="0" autoPict="0" macro="[0]!Deductible_Cell">
                <anchor moveWithCells="1">
                  <from>
                    <xdr:col>4</xdr:col>
                    <xdr:colOff>342900</xdr:colOff>
                    <xdr:row>111</xdr:row>
                    <xdr:rowOff>25400</xdr:rowOff>
                  </from>
                  <to>
                    <xdr:col>4</xdr:col>
                    <xdr:colOff>647700</xdr:colOff>
                    <xdr:row>111</xdr:row>
                    <xdr:rowOff>177800</xdr:rowOff>
                  </to>
                </anchor>
              </controlPr>
            </control>
          </mc:Choice>
        </mc:AlternateContent>
        <mc:AlternateContent xmlns:mc="http://schemas.openxmlformats.org/markup-compatibility/2006">
          <mc:Choice Requires="x14">
            <control shapeId="6164" r:id="rId5" name="Check Box 20">
              <controlPr defaultSize="0" autoFill="0" autoLine="0" autoPict="0" macro="[0]!Deductible_Cell">
                <anchor moveWithCells="1">
                  <from>
                    <xdr:col>5</xdr:col>
                    <xdr:colOff>330200</xdr:colOff>
                    <xdr:row>111</xdr:row>
                    <xdr:rowOff>25400</xdr:rowOff>
                  </from>
                  <to>
                    <xdr:col>5</xdr:col>
                    <xdr:colOff>635000</xdr:colOff>
                    <xdr:row>111</xdr:row>
                    <xdr:rowOff>177800</xdr:rowOff>
                  </to>
                </anchor>
              </controlPr>
            </control>
          </mc:Choice>
        </mc:AlternateContent>
        <mc:AlternateContent xmlns:mc="http://schemas.openxmlformats.org/markup-compatibility/2006">
          <mc:Choice Requires="x14">
            <control shapeId="6170" r:id="rId6" name="Check Box 26">
              <controlPr defaultSize="0" autoFill="0" autoLine="0" autoPict="0">
                <anchor moveWithCells="1">
                  <from>
                    <xdr:col>5</xdr:col>
                    <xdr:colOff>330200</xdr:colOff>
                    <xdr:row>26</xdr:row>
                    <xdr:rowOff>25400</xdr:rowOff>
                  </from>
                  <to>
                    <xdr:col>5</xdr:col>
                    <xdr:colOff>635000</xdr:colOff>
                    <xdr:row>26</xdr:row>
                    <xdr:rowOff>177800</xdr:rowOff>
                  </to>
                </anchor>
              </controlPr>
            </control>
          </mc:Choice>
        </mc:AlternateContent>
        <mc:AlternateContent xmlns:mc="http://schemas.openxmlformats.org/markup-compatibility/2006">
          <mc:Choice Requires="x14">
            <control shapeId="6171" r:id="rId7" name="Check Box 27">
              <controlPr defaultSize="0" autoFill="0" autoLine="0" autoPict="0">
                <anchor moveWithCells="1">
                  <from>
                    <xdr:col>5</xdr:col>
                    <xdr:colOff>330200</xdr:colOff>
                    <xdr:row>27</xdr:row>
                    <xdr:rowOff>25400</xdr:rowOff>
                  </from>
                  <to>
                    <xdr:col>5</xdr:col>
                    <xdr:colOff>635000</xdr:colOff>
                    <xdr:row>27</xdr:row>
                    <xdr:rowOff>177800</xdr:rowOff>
                  </to>
                </anchor>
              </controlPr>
            </control>
          </mc:Choice>
        </mc:AlternateContent>
        <mc:AlternateContent xmlns:mc="http://schemas.openxmlformats.org/markup-compatibility/2006">
          <mc:Choice Requires="x14">
            <control shapeId="6172" r:id="rId8" name="Check Box 28">
              <controlPr defaultSize="0" autoFill="0" autoLine="0" autoPict="0">
                <anchor moveWithCells="1">
                  <from>
                    <xdr:col>5</xdr:col>
                    <xdr:colOff>330200</xdr:colOff>
                    <xdr:row>28</xdr:row>
                    <xdr:rowOff>25400</xdr:rowOff>
                  </from>
                  <to>
                    <xdr:col>5</xdr:col>
                    <xdr:colOff>635000</xdr:colOff>
                    <xdr:row>28</xdr:row>
                    <xdr:rowOff>177800</xdr:rowOff>
                  </to>
                </anchor>
              </controlPr>
            </control>
          </mc:Choice>
        </mc:AlternateContent>
        <mc:AlternateContent xmlns:mc="http://schemas.openxmlformats.org/markup-compatibility/2006">
          <mc:Choice Requires="x14">
            <control shapeId="6174" r:id="rId9" name="Check Box 30">
              <controlPr defaultSize="0" autoFill="0" autoLine="0" autoPict="0">
                <anchor moveWithCells="1">
                  <from>
                    <xdr:col>5</xdr:col>
                    <xdr:colOff>330200</xdr:colOff>
                    <xdr:row>26</xdr:row>
                    <xdr:rowOff>25400</xdr:rowOff>
                  </from>
                  <to>
                    <xdr:col>5</xdr:col>
                    <xdr:colOff>635000</xdr:colOff>
                    <xdr:row>26</xdr:row>
                    <xdr:rowOff>177800</xdr:rowOff>
                  </to>
                </anchor>
              </controlPr>
            </control>
          </mc:Choice>
        </mc:AlternateContent>
        <mc:AlternateContent xmlns:mc="http://schemas.openxmlformats.org/markup-compatibility/2006">
          <mc:Choice Requires="x14">
            <control shapeId="6175" r:id="rId10" name="Check Box 31">
              <controlPr defaultSize="0" autoFill="0" autoLine="0" autoPict="0">
                <anchor moveWithCells="1">
                  <from>
                    <xdr:col>5</xdr:col>
                    <xdr:colOff>330200</xdr:colOff>
                    <xdr:row>27</xdr:row>
                    <xdr:rowOff>25400</xdr:rowOff>
                  </from>
                  <to>
                    <xdr:col>5</xdr:col>
                    <xdr:colOff>635000</xdr:colOff>
                    <xdr:row>27</xdr:row>
                    <xdr:rowOff>177800</xdr:rowOff>
                  </to>
                </anchor>
              </controlPr>
            </control>
          </mc:Choice>
        </mc:AlternateContent>
        <mc:AlternateContent xmlns:mc="http://schemas.openxmlformats.org/markup-compatibility/2006">
          <mc:Choice Requires="x14">
            <control shapeId="6176" r:id="rId11" name="Check Box 32">
              <controlPr defaultSize="0" autoFill="0" autoLine="0" autoPict="0">
                <anchor moveWithCells="1">
                  <from>
                    <xdr:col>5</xdr:col>
                    <xdr:colOff>330200</xdr:colOff>
                    <xdr:row>28</xdr:row>
                    <xdr:rowOff>25400</xdr:rowOff>
                  </from>
                  <to>
                    <xdr:col>5</xdr:col>
                    <xdr:colOff>635000</xdr:colOff>
                    <xdr:row>28</xdr:row>
                    <xdr:rowOff>177800</xdr:rowOff>
                  </to>
                </anchor>
              </controlPr>
            </control>
          </mc:Choice>
        </mc:AlternateContent>
        <mc:AlternateContent xmlns:mc="http://schemas.openxmlformats.org/markup-compatibility/2006">
          <mc:Choice Requires="x14">
            <control shapeId="6177" r:id="rId12" name="Check Box 33">
              <controlPr defaultSize="0" autoFill="0" autoLine="0" autoPict="0" macro="[0]!Employment_Include">
                <anchor moveWithCells="1">
                  <from>
                    <xdr:col>5</xdr:col>
                    <xdr:colOff>330200</xdr:colOff>
                    <xdr:row>26</xdr:row>
                    <xdr:rowOff>25400</xdr:rowOff>
                  </from>
                  <to>
                    <xdr:col>5</xdr:col>
                    <xdr:colOff>635000</xdr:colOff>
                    <xdr:row>26</xdr:row>
                    <xdr:rowOff>177800</xdr:rowOff>
                  </to>
                </anchor>
              </controlPr>
            </control>
          </mc:Choice>
        </mc:AlternateContent>
        <mc:AlternateContent xmlns:mc="http://schemas.openxmlformats.org/markup-compatibility/2006">
          <mc:Choice Requires="x14">
            <control shapeId="6178" r:id="rId13" name="Check Box 34">
              <controlPr defaultSize="0" autoFill="0" autoLine="0" autoPict="0" macro="[0]!Employment_Include">
                <anchor moveWithCells="1">
                  <from>
                    <xdr:col>5</xdr:col>
                    <xdr:colOff>330200</xdr:colOff>
                    <xdr:row>27</xdr:row>
                    <xdr:rowOff>25400</xdr:rowOff>
                  </from>
                  <to>
                    <xdr:col>5</xdr:col>
                    <xdr:colOff>635000</xdr:colOff>
                    <xdr:row>27</xdr:row>
                    <xdr:rowOff>177800</xdr:rowOff>
                  </to>
                </anchor>
              </controlPr>
            </control>
          </mc:Choice>
        </mc:AlternateContent>
        <mc:AlternateContent xmlns:mc="http://schemas.openxmlformats.org/markup-compatibility/2006">
          <mc:Choice Requires="x14">
            <control shapeId="6179" r:id="rId14" name="Check Box 35">
              <controlPr defaultSize="0" autoFill="0" autoLine="0" autoPict="0" macro="[0]!Employment_Include">
                <anchor moveWithCells="1">
                  <from>
                    <xdr:col>5</xdr:col>
                    <xdr:colOff>330200</xdr:colOff>
                    <xdr:row>28</xdr:row>
                    <xdr:rowOff>25400</xdr:rowOff>
                  </from>
                  <to>
                    <xdr:col>5</xdr:col>
                    <xdr:colOff>635000</xdr:colOff>
                    <xdr:row>28</xdr:row>
                    <xdr:rowOff>177800</xdr:rowOff>
                  </to>
                </anchor>
              </controlPr>
            </control>
          </mc:Choice>
        </mc:AlternateContent>
        <mc:AlternateContent xmlns:mc="http://schemas.openxmlformats.org/markup-compatibility/2006">
          <mc:Choice Requires="x14">
            <control shapeId="6180" r:id="rId15" name="Check Box 36">
              <controlPr defaultSize="0" autoFill="0" autoLine="0" autoPict="0">
                <anchor moveWithCells="1">
                  <from>
                    <xdr:col>8</xdr:col>
                    <xdr:colOff>406400</xdr:colOff>
                    <xdr:row>25</xdr:row>
                    <xdr:rowOff>25400</xdr:rowOff>
                  </from>
                  <to>
                    <xdr:col>8</xdr:col>
                    <xdr:colOff>711200</xdr:colOff>
                    <xdr:row>25</xdr:row>
                    <xdr:rowOff>177800</xdr:rowOff>
                  </to>
                </anchor>
              </controlPr>
            </control>
          </mc:Choice>
        </mc:AlternateContent>
        <mc:AlternateContent xmlns:mc="http://schemas.openxmlformats.org/markup-compatibility/2006">
          <mc:Choice Requires="x14">
            <control shapeId="6181" r:id="rId16" name="Check Box 37">
              <controlPr defaultSize="0" autoFill="0" autoLine="0" autoPict="0">
                <anchor moveWithCells="1">
                  <from>
                    <xdr:col>8</xdr:col>
                    <xdr:colOff>406400</xdr:colOff>
                    <xdr:row>26</xdr:row>
                    <xdr:rowOff>25400</xdr:rowOff>
                  </from>
                  <to>
                    <xdr:col>8</xdr:col>
                    <xdr:colOff>711200</xdr:colOff>
                    <xdr:row>26</xdr:row>
                    <xdr:rowOff>177800</xdr:rowOff>
                  </to>
                </anchor>
              </controlPr>
            </control>
          </mc:Choice>
        </mc:AlternateContent>
        <mc:AlternateContent xmlns:mc="http://schemas.openxmlformats.org/markup-compatibility/2006">
          <mc:Choice Requires="x14">
            <control shapeId="6182" r:id="rId17" name="Check Box 38">
              <controlPr defaultSize="0" autoFill="0" autoLine="0" autoPict="0">
                <anchor moveWithCells="1">
                  <from>
                    <xdr:col>8</xdr:col>
                    <xdr:colOff>406400</xdr:colOff>
                    <xdr:row>27</xdr:row>
                    <xdr:rowOff>25400</xdr:rowOff>
                  </from>
                  <to>
                    <xdr:col>8</xdr:col>
                    <xdr:colOff>711200</xdr:colOff>
                    <xdr:row>27</xdr:row>
                    <xdr:rowOff>177800</xdr:rowOff>
                  </to>
                </anchor>
              </controlPr>
            </control>
          </mc:Choice>
        </mc:AlternateContent>
        <mc:AlternateContent xmlns:mc="http://schemas.openxmlformats.org/markup-compatibility/2006">
          <mc:Choice Requires="x14">
            <control shapeId="6183" r:id="rId18" name="Check Box 39">
              <controlPr defaultSize="0" autoFill="0" autoLine="0" autoPict="0">
                <anchor moveWithCells="1">
                  <from>
                    <xdr:col>8</xdr:col>
                    <xdr:colOff>406400</xdr:colOff>
                    <xdr:row>28</xdr:row>
                    <xdr:rowOff>25400</xdr:rowOff>
                  </from>
                  <to>
                    <xdr:col>8</xdr:col>
                    <xdr:colOff>711200</xdr:colOff>
                    <xdr:row>28</xdr:row>
                    <xdr:rowOff>177800</xdr:rowOff>
                  </to>
                </anchor>
              </controlPr>
            </control>
          </mc:Choice>
        </mc:AlternateContent>
        <mc:AlternateContent xmlns:mc="http://schemas.openxmlformats.org/markup-compatibility/2006">
          <mc:Choice Requires="x14">
            <control shapeId="6184" r:id="rId19" name="Check Box 40">
              <controlPr defaultSize="0" autoFill="0" autoLine="0" autoPict="0">
                <anchor moveWithCells="1">
                  <from>
                    <xdr:col>12</xdr:col>
                    <xdr:colOff>279400</xdr:colOff>
                    <xdr:row>28</xdr:row>
                    <xdr:rowOff>25400</xdr:rowOff>
                  </from>
                  <to>
                    <xdr:col>12</xdr:col>
                    <xdr:colOff>584200</xdr:colOff>
                    <xdr:row>28</xdr:row>
                    <xdr:rowOff>177800</xdr:rowOff>
                  </to>
                </anchor>
              </controlPr>
            </control>
          </mc:Choice>
        </mc:AlternateContent>
        <mc:AlternateContent xmlns:mc="http://schemas.openxmlformats.org/markup-compatibility/2006">
          <mc:Choice Requires="x14">
            <control shapeId="6186" r:id="rId20" name="Check Box 42">
              <controlPr defaultSize="0" autoFill="0" autoLine="0" autoPict="0" macro="[0]!Employment_LMI">
                <anchor moveWithCells="1">
                  <from>
                    <xdr:col>13</xdr:col>
                    <xdr:colOff>279400</xdr:colOff>
                    <xdr:row>25</xdr:row>
                    <xdr:rowOff>25400</xdr:rowOff>
                  </from>
                  <to>
                    <xdr:col>13</xdr:col>
                    <xdr:colOff>584200</xdr:colOff>
                    <xdr:row>25</xdr:row>
                    <xdr:rowOff>177800</xdr:rowOff>
                  </to>
                </anchor>
              </controlPr>
            </control>
          </mc:Choice>
        </mc:AlternateContent>
        <mc:AlternateContent xmlns:mc="http://schemas.openxmlformats.org/markup-compatibility/2006">
          <mc:Choice Requires="x14">
            <control shapeId="6187" r:id="rId21" name="Check Box 43">
              <controlPr defaultSize="0" autoFill="0" autoLine="0" autoPict="0" macro="[0]!Employment_LMI">
                <anchor moveWithCells="1">
                  <from>
                    <xdr:col>30</xdr:col>
                    <xdr:colOff>266700</xdr:colOff>
                    <xdr:row>16</xdr:row>
                    <xdr:rowOff>25400</xdr:rowOff>
                  </from>
                  <to>
                    <xdr:col>36</xdr:col>
                    <xdr:colOff>304800</xdr:colOff>
                    <xdr:row>16</xdr:row>
                    <xdr:rowOff>177800</xdr:rowOff>
                  </to>
                </anchor>
              </controlPr>
            </control>
          </mc:Choice>
        </mc:AlternateContent>
        <mc:AlternateContent xmlns:mc="http://schemas.openxmlformats.org/markup-compatibility/2006">
          <mc:Choice Requires="x14">
            <control shapeId="6188" r:id="rId22" name="Check Box 44">
              <controlPr defaultSize="0" autoFill="0" autoLine="0" autoPict="0" macro="[0]!Employment_LMI">
                <anchor moveWithCells="1">
                  <from>
                    <xdr:col>30</xdr:col>
                    <xdr:colOff>266700</xdr:colOff>
                    <xdr:row>16</xdr:row>
                    <xdr:rowOff>25400</xdr:rowOff>
                  </from>
                  <to>
                    <xdr:col>36</xdr:col>
                    <xdr:colOff>304800</xdr:colOff>
                    <xdr:row>16</xdr:row>
                    <xdr:rowOff>177800</xdr:rowOff>
                  </to>
                </anchor>
              </controlPr>
            </control>
          </mc:Choice>
        </mc:AlternateContent>
        <mc:AlternateContent xmlns:mc="http://schemas.openxmlformats.org/markup-compatibility/2006">
          <mc:Choice Requires="x14">
            <control shapeId="6192" r:id="rId23" name="Check Box 48">
              <controlPr defaultSize="0" autoFill="0" autoLine="0" autoPict="0">
                <anchor moveWithCells="1">
                  <from>
                    <xdr:col>4</xdr:col>
                    <xdr:colOff>368300</xdr:colOff>
                    <xdr:row>66</xdr:row>
                    <xdr:rowOff>25400</xdr:rowOff>
                  </from>
                  <to>
                    <xdr:col>4</xdr:col>
                    <xdr:colOff>673100</xdr:colOff>
                    <xdr:row>66</xdr:row>
                    <xdr:rowOff>177800</xdr:rowOff>
                  </to>
                </anchor>
              </controlPr>
            </control>
          </mc:Choice>
        </mc:AlternateContent>
        <mc:AlternateContent xmlns:mc="http://schemas.openxmlformats.org/markup-compatibility/2006">
          <mc:Choice Requires="x14">
            <control shapeId="6193" r:id="rId24" name="Check Box 49">
              <controlPr defaultSize="0" autoFill="0" autoLine="0" autoPict="0" macro="[0]!Deductible_Cell">
                <anchor moveWithCells="1">
                  <from>
                    <xdr:col>5</xdr:col>
                    <xdr:colOff>368300</xdr:colOff>
                    <xdr:row>66</xdr:row>
                    <xdr:rowOff>25400</xdr:rowOff>
                  </from>
                  <to>
                    <xdr:col>5</xdr:col>
                    <xdr:colOff>673100</xdr:colOff>
                    <xdr:row>66</xdr:row>
                    <xdr:rowOff>177800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42" id="{F912ACB9-C3C3-4441-A3E6-68C72F0D7D97}">
            <xm:f>IF($Q$139&gt;='Configurable Items'!$E$537,TRUE,FALSE)</xm:f>
            <x14:dxf>
              <font>
                <b/>
                <i val="0"/>
                <color rgb="FFB60000"/>
              </font>
            </x14:dxf>
          </x14:cfRule>
          <x14:cfRule type="expression" priority="1143" id="{D6E80C82-E250-4FE1-89F7-3DBBD89A33CD}">
            <xm:f>IF(AND($Q$139&gt;='Configurable Items'!$E$536,'Internal Ref'!$L$238=0),TRUE,FALSE)</xm:f>
            <x14:dxf>
              <font>
                <b/>
                <i val="0"/>
                <color rgb="FFB60000"/>
              </font>
            </x14:dxf>
          </x14:cfRule>
          <x14:cfRule type="expression" priority="1144" id="{FCE59117-2877-412E-AC08-56A1FC8B322C}">
            <xm:f>$Q$139&gt;'Configurable Items'!$E$535</xm:f>
            <x14:dxf>
              <font>
                <b/>
                <i val="0"/>
                <color rgb="FFF36D00"/>
              </font>
            </x14:dxf>
          </x14:cfRule>
          <xm:sqref>Q139</xm:sqref>
        </x14:conditionalFormatting>
        <x14:conditionalFormatting xmlns:xm="http://schemas.microsoft.com/office/excel/2006/main">
          <x14:cfRule type="expression" priority="1130" id="{F4175FFF-F917-4D33-A8F4-88C3279C02D7}">
            <xm:f>IF($H$132&gt;='Configurable Items'!$E$537,TRUE,FALSE)</xm:f>
            <x14:dxf>
              <font>
                <b/>
                <i val="0"/>
                <color rgb="FFB60000"/>
              </font>
            </x14:dxf>
          </x14:cfRule>
          <x14:cfRule type="expression" priority="1131" id="{9FF60B47-F466-4845-B74D-299E837EE586}">
            <xm:f>IF(AND($H$132&gt;='Configurable Items'!$E$536,'Internal Ref'!$L$235=0),TRUE,FALSE)</xm:f>
            <x14:dxf>
              <font>
                <b/>
                <i val="0"/>
                <color rgb="FFB60000"/>
              </font>
            </x14:dxf>
          </x14:cfRule>
          <xm:sqref>H132</xm:sqref>
        </x14:conditionalFormatting>
        <x14:conditionalFormatting xmlns:xm="http://schemas.microsoft.com/office/excel/2006/main">
          <x14:cfRule type="expression" priority="1132" id="{B3961A32-E254-4CC6-BB37-1FB27E1F5B44}">
            <xm:f>$H$132&gt;'Configurable Items'!$E$535</xm:f>
            <x14:dxf>
              <font>
                <b/>
                <i val="0"/>
                <color rgb="FFF36D00"/>
              </font>
            </x14:dxf>
          </x14:cfRule>
          <xm:sqref>H132</xm:sqref>
        </x14:conditionalFormatting>
        <x14:conditionalFormatting xmlns:xm="http://schemas.microsoft.com/office/excel/2006/main">
          <x14:cfRule type="expression" priority="1126" id="{B5A41851-2BDB-45D6-942C-D3DC2464BD81}">
            <xm:f>AND(VLOOKUP(E48,'Configurable Items'!$D$4692:$F$4700,3,FALSE),I48="")</xm:f>
            <x14:dxf>
              <fill>
                <patternFill>
                  <bgColor rgb="FFF6C2C2"/>
                </patternFill>
              </fill>
            </x14:dxf>
          </x14:cfRule>
          <xm:sqref>I48</xm:sqref>
        </x14:conditionalFormatting>
        <x14:conditionalFormatting xmlns:xm="http://schemas.microsoft.com/office/excel/2006/main">
          <x14:cfRule type="expression" priority="1128" id="{D0EBF713-55CC-4DAF-BB88-B0B2FC9EA579}">
            <xm:f>AND(VLOOKUP(E48,'Configurable Items'!$D$4692:$E$4700,2,FALSE),$F48="")</xm:f>
            <x14:dxf>
              <fill>
                <patternFill>
                  <bgColor rgb="FFF6C2C2"/>
                </patternFill>
              </fill>
            </x14:dxf>
          </x14:cfRule>
          <x14:cfRule type="expression" priority="1129" id="{27C40EA8-1718-4D3A-9210-E9D62F26C25F}">
            <xm:f>VLOOKUP(E48,'Configurable Items'!$D$4690:$E$4697,2,FALSE)</xm:f>
            <x14:dxf>
              <fill>
                <patternFill patternType="none">
                  <bgColor auto="1"/>
                </patternFill>
              </fill>
              <border>
                <left style="thin">
                  <color rgb="FFE0E0E0"/>
                </left>
                <right style="thin">
                  <color rgb="FFE0E0E0"/>
                </right>
                <top style="thin">
                  <color rgb="FFE0E0E0"/>
                </top>
                <bottom style="thin">
                  <color rgb="FFE0E0E0"/>
                </bottom>
                <vertical/>
                <horizontal/>
              </border>
            </x14:dxf>
          </x14:cfRule>
          <xm:sqref>F48</xm:sqref>
        </x14:conditionalFormatting>
        <x14:conditionalFormatting xmlns:xm="http://schemas.microsoft.com/office/excel/2006/main">
          <x14:cfRule type="expression" priority="1096" stopIfTrue="1" id="{835EB343-0D2D-4E77-8B9C-3611963C3B59}">
            <xm:f>AND(E48="Overseas",NOT(VLOOKUP(F48,'Configurable Items'!$E$4702:$H$4730,4,FALSE)))</xm:f>
            <x14:dxf>
              <fill>
                <patternFill>
                  <bgColor rgb="FFF7F7F7"/>
                </patternFill>
              </fill>
            </x14:dxf>
          </x14:cfRule>
          <xm:sqref>J48</xm:sqref>
        </x14:conditionalFormatting>
        <x14:conditionalFormatting xmlns:xm="http://schemas.microsoft.com/office/excel/2006/main">
          <x14:cfRule type="expression" priority="1057" id="{791352EE-01CC-450C-9DB9-71735113D95B}">
            <xm:f>IF($H$132&gt;='Configurable Items'!$E$537,TRUE,FALSE)</xm:f>
            <x14:dxf>
              <font>
                <b/>
                <i val="0"/>
                <color rgb="FFB60000"/>
              </font>
            </x14:dxf>
          </x14:cfRule>
          <x14:cfRule type="expression" priority="1058" id="{DB1819C1-A2FF-4534-A640-C26F7395B40F}">
            <xm:f>IF(AND($H$132&gt;='Configurable Items'!$E$536,'Internal Ref'!$L$237=0),TRUE,FALSE)</xm:f>
            <x14:dxf>
              <font>
                <b/>
                <i val="0"/>
                <color rgb="FFB60000"/>
              </font>
            </x14:dxf>
          </x14:cfRule>
          <xm:sqref>H133</xm:sqref>
        </x14:conditionalFormatting>
        <x14:conditionalFormatting xmlns:xm="http://schemas.microsoft.com/office/excel/2006/main">
          <x14:cfRule type="expression" priority="1059" id="{C7C7CABA-88B5-4EC0-ABEE-359F4908DE52}">
            <xm:f>$H$132&gt;'Configurable Items'!$E$535</xm:f>
            <x14:dxf>
              <font>
                <b/>
                <i val="0"/>
                <color rgb="FFF36D00"/>
              </font>
            </x14:dxf>
          </x14:cfRule>
          <xm:sqref>H133</xm:sqref>
        </x14:conditionalFormatting>
        <x14:conditionalFormatting xmlns:xm="http://schemas.microsoft.com/office/excel/2006/main">
          <x14:cfRule type="expression" priority="1054" id="{478A654A-24B9-4614-9389-43B8E79D68B2}">
            <xm:f>IF($Q$139&gt;='Configurable Items'!$E$537,TRUE,FALSE)</xm:f>
            <x14:dxf>
              <font>
                <b/>
                <i val="0"/>
                <color rgb="FFB60000"/>
              </font>
            </x14:dxf>
          </x14:cfRule>
          <x14:cfRule type="expression" priority="1055" id="{F7BB3317-72B3-42E6-A35A-15CC0E171F9E}">
            <xm:f>IF(AND($Q$139&gt;='Configurable Items'!$E$536,'Internal Ref'!$L$238=0),TRUE,FALSE)</xm:f>
            <x14:dxf>
              <font>
                <b/>
                <i val="0"/>
                <color rgb="FFB60000"/>
              </font>
            </x14:dxf>
          </x14:cfRule>
          <x14:cfRule type="expression" priority="1056" id="{48238219-A421-4A74-83A8-5C7880E6AD12}">
            <xm:f>$Q$139&gt;'Configurable Items'!$E$535</xm:f>
            <x14:dxf>
              <font>
                <b/>
                <i val="0"/>
                <color rgb="FFF36D00"/>
              </font>
            </x14:dxf>
          </x14:cfRule>
          <xm:sqref>L142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40EF3752-369B-49F3-8457-6545C756CAAF}">
          <x14:formula1>
            <xm:f>'Configurable Items'!$E$4762:$E$4774</xm:f>
          </x14:formula1>
          <xm:sqref>D28</xm:sqref>
        </x14:dataValidation>
        <x14:dataValidation type="list" allowBlank="1" showInputMessage="1" showErrorMessage="1" xr:uid="{B0757B04-011C-42E6-A10E-21837E06D5D1}">
          <x14:formula1>
            <xm:f>'Configurable Items'!$D$4791:$D$4797</xm:f>
          </x14:formula1>
          <xm:sqref>F10</xm:sqref>
        </x14:dataValidation>
        <x14:dataValidation type="list" allowBlank="1" showInputMessage="1" showErrorMessage="1" xr:uid="{022088BA-8CBA-42F1-8C76-2D8AFEDDB647}">
          <x14:formula1>
            <xm:f>'Configurable Items'!$D$4692:$D$4700</xm:f>
          </x14:formula1>
          <xm:sqref>E49</xm:sqref>
        </x14:dataValidation>
        <x14:dataValidation type="list" allowBlank="1" showInputMessage="1" showErrorMessage="1" xr:uid="{B179CABE-5F10-4901-B8E1-B75B9C06918A}">
          <x14:formula1>
            <xm:f>'Configurable Items'!$D$4807:$D$4814</xm:f>
          </x14:formula1>
          <xm:sqref>H112</xm:sqref>
        </x14:dataValidation>
        <x14:dataValidation type="list" allowBlank="1" showInputMessage="1" showErrorMessage="1" xr:uid="{3E477706-3635-4616-8D2A-B3AD85AEB69B}">
          <x14:formula1>
            <xm:f>'Configurable Items'!$D$4801:$D$4803</xm:f>
          </x14:formula1>
          <xm:sqref>G10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B572-4CF6-4121-9CDB-35975FFEF960}">
  <sheetPr codeName="Sheet35">
    <outlinePr summaryBelow="0"/>
    <pageSetUpPr fitToPage="1"/>
  </sheetPr>
  <dimension ref="B1:AQ1704"/>
  <sheetViews>
    <sheetView showGridLines="0" showRowColHeaders="0" zoomScaleNormal="100" workbookViewId="0">
      <selection activeCell="D10" sqref="D10"/>
    </sheetView>
  </sheetViews>
  <sheetFormatPr baseColWidth="10" defaultColWidth="8" defaultRowHeight="15"/>
  <cols>
    <col min="1" max="2" width="0.83203125" style="2" customWidth="1"/>
    <col min="3" max="3" width="3.1640625" style="2" customWidth="1"/>
    <col min="4" max="4" width="18.1640625" style="2" customWidth="1"/>
    <col min="5" max="5" width="12.5" style="2" customWidth="1"/>
    <col min="6" max="6" width="11.1640625" style="2" customWidth="1"/>
    <col min="7" max="7" width="13.6640625" style="2" customWidth="1"/>
    <col min="8" max="8" width="15.6640625" style="2" customWidth="1"/>
    <col min="9" max="9" width="12.5" style="2" customWidth="1"/>
    <col min="10" max="11" width="5" style="2" customWidth="1"/>
    <col min="12" max="14" width="10" style="2" customWidth="1"/>
    <col min="15" max="15" width="12.5" style="2" customWidth="1"/>
    <col min="16" max="16" width="0.6640625" style="2" customWidth="1"/>
    <col min="17" max="17" width="14.33203125" style="2" customWidth="1"/>
    <col min="18" max="18" width="1" style="2" customWidth="1"/>
    <col min="19" max="19" width="14.33203125" style="2" customWidth="1"/>
    <col min="20" max="20" width="0.6640625" style="2" customWidth="1"/>
    <col min="21" max="21" width="0.83203125" style="2" customWidth="1"/>
    <col min="22" max="22" width="1.6640625" style="2" customWidth="1"/>
    <col min="23" max="36" width="13.6640625" style="2" hidden="1" customWidth="1"/>
    <col min="37" max="37" width="13.6640625" style="2" customWidth="1"/>
    <col min="38" max="38" width="16.5" style="2" customWidth="1"/>
    <col min="39" max="39" width="23.6640625" style="2" customWidth="1"/>
    <col min="40" max="42" width="8" style="1" hidden="1" customWidth="1"/>
    <col min="43" max="43" width="8" style="2" hidden="1" customWidth="1"/>
    <col min="44" max="16384" width="8" style="2"/>
  </cols>
  <sheetData>
    <row r="1" spans="2:38" ht="5.25" customHeight="1"/>
    <row r="2" spans="2:38" ht="5.25" customHeight="1">
      <c r="B2" s="730"/>
      <c r="C2" s="986"/>
      <c r="D2" s="986"/>
      <c r="E2" s="986"/>
      <c r="F2" s="986"/>
      <c r="G2" s="986"/>
      <c r="H2" s="986"/>
      <c r="I2" s="986"/>
      <c r="J2" s="986"/>
      <c r="K2" s="986"/>
      <c r="L2" s="986"/>
      <c r="M2" s="986"/>
      <c r="N2" s="986"/>
      <c r="O2" s="986"/>
      <c r="P2" s="986"/>
      <c r="Q2" s="986"/>
      <c r="R2" s="986"/>
      <c r="S2" s="986"/>
      <c r="T2" s="986"/>
      <c r="U2" s="732"/>
    </row>
    <row r="3" spans="2:38" ht="31.5" customHeight="1">
      <c r="B3" s="733"/>
      <c r="C3" s="1472" t="s">
        <v>8939</v>
      </c>
      <c r="D3" s="1472"/>
      <c r="E3" s="1472"/>
      <c r="F3" s="1472"/>
      <c r="G3" s="1472"/>
      <c r="H3" s="1472"/>
      <c r="I3" s="1472"/>
      <c r="J3" s="1472"/>
      <c r="K3" s="1472"/>
      <c r="L3" s="1472"/>
      <c r="M3" s="1472"/>
      <c r="N3" s="1472"/>
      <c r="O3" s="1472"/>
      <c r="P3" s="1472"/>
      <c r="Q3" s="1472"/>
      <c r="R3" s="1472"/>
      <c r="S3" s="1472"/>
      <c r="T3" s="1472"/>
      <c r="U3" s="736"/>
      <c r="W3" s="54"/>
      <c r="X3" s="54"/>
    </row>
    <row r="4" spans="2:38" ht="8.25" customHeight="1">
      <c r="B4" s="733"/>
      <c r="C4" s="735"/>
      <c r="D4" s="735"/>
      <c r="E4" s="735"/>
      <c r="F4" s="735"/>
      <c r="G4" s="735"/>
      <c r="H4" s="735"/>
      <c r="I4" s="735"/>
      <c r="J4" s="735"/>
      <c r="K4" s="735"/>
      <c r="L4" s="735"/>
      <c r="M4" s="735"/>
      <c r="N4" s="735"/>
      <c r="O4" s="735"/>
      <c r="P4" s="735"/>
      <c r="Q4" s="735"/>
      <c r="R4" s="735"/>
      <c r="S4" s="735"/>
      <c r="T4" s="735"/>
      <c r="U4" s="736"/>
    </row>
    <row r="5" spans="2:38" ht="17.25" customHeight="1">
      <c r="B5" s="733"/>
      <c r="C5" s="1473" t="str">
        <f>IF(D10="","Select your customers to start",IF(D11="",D10 &amp; IF(RIGHT(D10,1)="s","'","'s") &amp; " Statement of Position",D10&amp;" &amp; " &amp; D11 &amp;IF(RIGHT(D11,1)="s","'","'s") &amp; " Statement of Position"))</f>
        <v>Select your customers to start</v>
      </c>
      <c r="D5" s="1473"/>
      <c r="E5" s="1473"/>
      <c r="F5" s="1473"/>
      <c r="G5" s="1473"/>
      <c r="H5" s="1473"/>
      <c r="I5" s="1473"/>
      <c r="J5" s="1473"/>
      <c r="K5" s="1473"/>
      <c r="L5" s="1473"/>
      <c r="M5" s="1473"/>
      <c r="N5" s="1473"/>
      <c r="O5" s="1473"/>
      <c r="P5" s="1473"/>
      <c r="Q5" s="1473"/>
      <c r="R5" s="1473"/>
      <c r="S5" s="1473"/>
      <c r="T5" s="1473"/>
      <c r="U5" s="736"/>
    </row>
    <row r="6" spans="2:38" ht="6.75" customHeight="1">
      <c r="B6" s="733"/>
      <c r="C6" s="735"/>
      <c r="D6" s="735"/>
      <c r="E6" s="735"/>
      <c r="F6" s="735"/>
      <c r="G6" s="735"/>
      <c r="H6" s="735"/>
      <c r="I6" s="735"/>
      <c r="J6" s="735"/>
      <c r="K6" s="735"/>
      <c r="L6" s="735"/>
      <c r="M6" s="735"/>
      <c r="N6" s="735"/>
      <c r="O6" s="735"/>
      <c r="P6" s="735"/>
      <c r="Q6" s="735"/>
      <c r="R6" s="735"/>
      <c r="S6" s="735"/>
      <c r="T6" s="735"/>
      <c r="U6" s="736"/>
      <c r="W6" s="54"/>
    </row>
    <row r="7" spans="2:38" ht="18" customHeight="1">
      <c r="B7" s="733"/>
      <c r="C7" s="958" t="s">
        <v>28</v>
      </c>
      <c r="D7" s="735"/>
      <c r="E7" s="735"/>
      <c r="F7" s="735"/>
      <c r="G7" s="735"/>
      <c r="H7" s="735"/>
      <c r="I7" s="735"/>
      <c r="J7" s="735"/>
      <c r="K7" s="735"/>
      <c r="L7" s="735"/>
      <c r="M7" s="735"/>
      <c r="N7" s="735"/>
      <c r="O7" s="735"/>
      <c r="P7" s="735"/>
      <c r="Q7" s="735"/>
      <c r="R7" s="735"/>
      <c r="S7" s="735"/>
      <c r="T7" s="735"/>
      <c r="U7" s="736"/>
    </row>
    <row r="8" spans="2:38" ht="7.5" customHeight="1">
      <c r="B8" s="733"/>
      <c r="C8" s="945"/>
      <c r="D8" s="959"/>
      <c r="E8" s="743"/>
      <c r="F8" s="743"/>
      <c r="G8" s="743"/>
      <c r="H8" s="743"/>
      <c r="I8" s="743"/>
      <c r="J8" s="743"/>
      <c r="K8" s="743"/>
      <c r="L8" s="743"/>
      <c r="M8" s="743"/>
      <c r="N8" s="743"/>
      <c r="O8" s="743"/>
      <c r="P8" s="743"/>
      <c r="Q8" s="743"/>
      <c r="R8" s="960"/>
      <c r="S8" s="743"/>
      <c r="T8" s="744"/>
      <c r="U8" s="736"/>
      <c r="W8" s="35"/>
    </row>
    <row r="9" spans="2:38" ht="17.25" customHeight="1">
      <c r="B9" s="733"/>
      <c r="C9" s="742"/>
      <c r="D9" s="36" t="s">
        <v>29</v>
      </c>
      <c r="E9" s="36" t="s">
        <v>30</v>
      </c>
      <c r="F9" s="36" t="s">
        <v>8052</v>
      </c>
      <c r="G9" s="36" t="str">
        <f>IF(D11="","Spouse","")</f>
        <v>Spouse</v>
      </c>
      <c r="H9" s="32"/>
      <c r="K9" s="34"/>
      <c r="M9" s="34"/>
      <c r="N9" s="34"/>
      <c r="O9" s="34"/>
      <c r="P9" s="34"/>
      <c r="Q9" s="32"/>
      <c r="R9" s="34"/>
      <c r="S9" s="32"/>
      <c r="T9" s="714"/>
      <c r="U9" s="736"/>
      <c r="W9" s="39" t="s">
        <v>31</v>
      </c>
      <c r="X9" s="39" t="s">
        <v>32</v>
      </c>
      <c r="Y9" s="39" t="s">
        <v>163</v>
      </c>
      <c r="Z9" s="39" t="s">
        <v>8900</v>
      </c>
      <c r="AA9" s="39" t="s">
        <v>33</v>
      </c>
      <c r="AB9" s="39" t="s">
        <v>588</v>
      </c>
      <c r="AC9" s="39" t="s">
        <v>8993</v>
      </c>
      <c r="AD9" s="39" t="s">
        <v>8628</v>
      </c>
    </row>
    <row r="10" spans="2:38" ht="17.25" customHeight="1">
      <c r="B10" s="733"/>
      <c r="C10" s="713"/>
      <c r="D10" s="912"/>
      <c r="E10" s="912"/>
      <c r="F10" s="912"/>
      <c r="G10" s="920"/>
      <c r="M10" s="34"/>
      <c r="N10" s="34"/>
      <c r="O10" s="34"/>
      <c r="P10" s="34"/>
      <c r="Q10" s="40"/>
      <c r="R10" s="834"/>
      <c r="S10" s="40"/>
      <c r="T10" s="714"/>
      <c r="U10" s="736"/>
      <c r="W10" s="936">
        <f>D10</f>
        <v>0</v>
      </c>
      <c r="X10" s="936">
        <f>D10</f>
        <v>0</v>
      </c>
      <c r="Y10" s="936" t="s">
        <v>34</v>
      </c>
      <c r="Z10" s="936">
        <f>COUNTIFS(D17:D37,X10,H17:H37,"After Tax")</f>
        <v>0</v>
      </c>
      <c r="AA10" s="937">
        <f>MATCH("Other Incomes",D:D,FALSE)</f>
        <v>38</v>
      </c>
      <c r="AB10" s="936">
        <f>MATCH(AB9,'Internal Ref'!$A$251:$J$251,0)-1</f>
        <v>7</v>
      </c>
      <c r="AC10" s="1378" t="b">
        <v>0</v>
      </c>
      <c r="AD10" s="936">
        <v>19</v>
      </c>
    </row>
    <row r="11" spans="2:38" ht="17.25" customHeight="1">
      <c r="B11" s="733"/>
      <c r="C11" s="713"/>
      <c r="D11" s="912"/>
      <c r="E11" s="912"/>
      <c r="F11" s="34"/>
      <c r="G11" s="836"/>
      <c r="M11" s="34"/>
      <c r="N11" s="34"/>
      <c r="O11" s="34"/>
      <c r="P11" s="34"/>
      <c r="Q11" s="40"/>
      <c r="R11" s="834"/>
      <c r="S11" s="40"/>
      <c r="T11" s="714"/>
      <c r="U11" s="736"/>
      <c r="W11" s="936" t="str">
        <f>IF(ISBLANK(D11),"Other",D11)</f>
        <v>Other</v>
      </c>
      <c r="X11" s="936" t="str">
        <f>IF(ISBLANK(D11),"",D11)</f>
        <v/>
      </c>
      <c r="Y11" s="936" t="s">
        <v>35</v>
      </c>
      <c r="Z11" s="936">
        <f>COUNTIFS(D17:D37,X11,H17:H37,"After Tax")</f>
        <v>1</v>
      </c>
      <c r="AB11" s="936">
        <f>VLOOKUP(AB9,'Internal Ref'!$A$203:$B$206,2,FALSE)</f>
        <v>4</v>
      </c>
      <c r="AC11" s="936">
        <f>COUNTIF(D:D,"SE -*")</f>
        <v>0</v>
      </c>
      <c r="AD11" s="936">
        <f>SUM(G48:G48)</f>
        <v>0</v>
      </c>
      <c r="AE11" s="31"/>
      <c r="AJ11" s="31"/>
    </row>
    <row r="12" spans="2:38" ht="7.5" customHeight="1">
      <c r="B12" s="733"/>
      <c r="C12" s="807"/>
      <c r="D12" s="727"/>
      <c r="E12" s="727"/>
      <c r="F12" s="727"/>
      <c r="G12" s="727"/>
      <c r="H12" s="727"/>
      <c r="I12" s="727"/>
      <c r="J12" s="727"/>
      <c r="K12" s="727"/>
      <c r="L12" s="943"/>
      <c r="M12" s="943"/>
      <c r="N12" s="715"/>
      <c r="O12" s="715"/>
      <c r="P12" s="715"/>
      <c r="Q12" s="944"/>
      <c r="R12" s="828"/>
      <c r="S12" s="944"/>
      <c r="T12" s="908"/>
      <c r="U12" s="736"/>
      <c r="W12" s="936" t="str">
        <f>IF(ISBLANK(D11),"",D10&amp;" 50% "&amp;D11&amp;" 50%")</f>
        <v/>
      </c>
      <c r="X12" s="42"/>
      <c r="Y12" s="2" t="s">
        <v>164</v>
      </c>
      <c r="AD12" s="936">
        <f>COUNT(N48:O48)</f>
        <v>0</v>
      </c>
      <c r="AE12" s="31"/>
      <c r="AJ12" s="31"/>
    </row>
    <row r="13" spans="2:38" ht="7.5" customHeight="1">
      <c r="B13" s="733"/>
      <c r="C13" s="731"/>
      <c r="D13" s="731"/>
      <c r="E13" s="731"/>
      <c r="F13" s="731"/>
      <c r="G13" s="731"/>
      <c r="H13" s="731"/>
      <c r="I13" s="731"/>
      <c r="J13" s="731"/>
      <c r="K13" s="731"/>
      <c r="L13" s="951"/>
      <c r="M13" s="951"/>
      <c r="N13" s="731"/>
      <c r="O13" s="731"/>
      <c r="P13" s="731"/>
      <c r="Q13" s="952"/>
      <c r="R13" s="952"/>
      <c r="S13" s="952"/>
      <c r="T13" s="952"/>
      <c r="U13" s="736"/>
      <c r="W13" s="936" t="str">
        <f>IF(ISBLANK(D11),"","Other")</f>
        <v/>
      </c>
      <c r="X13" s="42"/>
      <c r="AD13" s="942"/>
      <c r="AE13" s="31"/>
      <c r="AJ13" s="31"/>
    </row>
    <row r="14" spans="2:38" ht="17.25" customHeight="1">
      <c r="B14" s="733"/>
      <c r="C14" s="953" t="s">
        <v>36</v>
      </c>
      <c r="D14" s="735"/>
      <c r="E14" s="738"/>
      <c r="F14" s="738"/>
      <c r="G14" s="738"/>
      <c r="H14" s="738"/>
      <c r="I14" s="738"/>
      <c r="J14" s="954"/>
      <c r="K14" s="954"/>
      <c r="L14" s="954"/>
      <c r="M14" s="954"/>
      <c r="N14" s="954"/>
      <c r="O14" s="738"/>
      <c r="P14" s="738"/>
      <c r="Q14" s="955"/>
      <c r="R14" s="956"/>
      <c r="S14" s="955"/>
      <c r="T14" s="956"/>
      <c r="U14" s="736"/>
      <c r="X14" s="44"/>
      <c r="Y14" s="45"/>
      <c r="AD14" s="31"/>
      <c r="AE14" s="31"/>
      <c r="AL14" s="31"/>
    </row>
    <row r="15" spans="2:38" ht="5.25" customHeight="1">
      <c r="B15" s="733"/>
      <c r="C15" s="969"/>
      <c r="D15" s="743"/>
      <c r="E15" s="743"/>
      <c r="F15" s="743"/>
      <c r="G15" s="970"/>
      <c r="H15" s="971"/>
      <c r="I15" s="971"/>
      <c r="J15" s="971"/>
      <c r="K15" s="743"/>
      <c r="L15" s="743"/>
      <c r="M15" s="743"/>
      <c r="N15" s="743"/>
      <c r="O15" s="743"/>
      <c r="P15" s="743"/>
      <c r="Q15" s="972"/>
      <c r="R15" s="957"/>
      <c r="S15" s="972"/>
      <c r="T15" s="973"/>
      <c r="U15" s="736"/>
      <c r="X15" s="44"/>
      <c r="Y15" s="45"/>
      <c r="AD15" s="31"/>
      <c r="AE15" s="31"/>
      <c r="AK15" s="43"/>
      <c r="AL15" s="31"/>
    </row>
    <row r="16" spans="2:38" ht="19.5" customHeight="1">
      <c r="B16" s="733"/>
      <c r="C16" s="713"/>
      <c r="D16" s="778" t="s">
        <v>40</v>
      </c>
      <c r="M16" s="34"/>
      <c r="N16" s="46"/>
      <c r="O16" s="46"/>
      <c r="P16" s="34"/>
      <c r="Q16" s="994" t="s">
        <v>37</v>
      </c>
      <c r="R16" s="40"/>
      <c r="S16" s="994" t="s">
        <v>38</v>
      </c>
      <c r="T16" s="714"/>
      <c r="U16" s="736"/>
      <c r="X16" s="42"/>
      <c r="AD16" s="31"/>
      <c r="AE16" s="31"/>
      <c r="AK16" s="43" t="s">
        <v>39</v>
      </c>
      <c r="AL16" s="31"/>
    </row>
    <row r="17" spans="2:42" ht="17.25" customHeight="1">
      <c r="B17" s="733"/>
      <c r="C17" s="902"/>
      <c r="D17" s="36" t="s">
        <v>41</v>
      </c>
      <c r="E17" s="36" t="s">
        <v>13</v>
      </c>
      <c r="F17" s="36" t="s">
        <v>42</v>
      </c>
      <c r="G17" s="36" t="s">
        <v>14</v>
      </c>
      <c r="H17" s="36" t="s">
        <v>43</v>
      </c>
      <c r="I17" s="36" t="s">
        <v>44</v>
      </c>
      <c r="J17" s="1482" t="s">
        <v>15</v>
      </c>
      <c r="K17" s="1482"/>
      <c r="L17" s="36" t="s">
        <v>45</v>
      </c>
      <c r="M17" s="36" t="s">
        <v>46</v>
      </c>
      <c r="N17" s="36" t="str">
        <f>IF($AC$11&gt;0,"LMI App?","")</f>
        <v/>
      </c>
      <c r="O17" s="36" t="str">
        <f>IF(AND($AC$11&gt;0,$AC$10=TRUE),"Prior Year Amt","")</f>
        <v/>
      </c>
      <c r="P17" s="836"/>
      <c r="Q17" s="36" t="s">
        <v>47</v>
      </c>
      <c r="R17" s="47"/>
      <c r="S17" s="39" t="s">
        <v>48</v>
      </c>
      <c r="T17" s="714"/>
      <c r="U17" s="736"/>
      <c r="W17" s="39" t="s">
        <v>49</v>
      </c>
      <c r="X17" s="39" t="s">
        <v>50</v>
      </c>
      <c r="Y17" s="39" t="s">
        <v>51</v>
      </c>
      <c r="Z17" s="39" t="s">
        <v>52</v>
      </c>
      <c r="AA17" s="39" t="s">
        <v>53</v>
      </c>
      <c r="AB17" s="39" t="s">
        <v>54</v>
      </c>
      <c r="AC17" s="39" t="s">
        <v>55</v>
      </c>
      <c r="AD17" s="39" t="s">
        <v>7875</v>
      </c>
      <c r="AE17" s="39" t="b">
        <v>0</v>
      </c>
      <c r="AK17" s="39" t="s">
        <v>56</v>
      </c>
      <c r="AL17" s="39" t="s">
        <v>21</v>
      </c>
    </row>
    <row r="18" spans="2:42" ht="17.25" hidden="1" customHeight="1">
      <c r="B18" s="733"/>
      <c r="C18" s="713"/>
      <c r="D18" s="48" t="s">
        <v>57</v>
      </c>
      <c r="E18" s="24" t="e">
        <f>IF(LEFT(D28,2)="SE","",'Configurable Items'!#REF!)</f>
        <v>#REF!</v>
      </c>
      <c r="F18" s="32"/>
      <c r="G18" s="32"/>
      <c r="H18" s="32"/>
      <c r="I18" s="32"/>
      <c r="J18" s="32"/>
      <c r="K18" s="48" t="s">
        <v>16</v>
      </c>
      <c r="L18" s="32"/>
      <c r="M18" s="32"/>
      <c r="Q18" s="37"/>
      <c r="R18" s="834"/>
      <c r="S18" s="37"/>
      <c r="T18" s="714"/>
      <c r="U18" s="736"/>
      <c r="W18" s="32"/>
      <c r="X18" s="42"/>
      <c r="AD18" s="31"/>
      <c r="AE18" s="31"/>
      <c r="AL18" s="31"/>
    </row>
    <row r="19" spans="2:42" ht="17.25" hidden="1" customHeight="1">
      <c r="B19" s="733"/>
      <c r="C19" s="713"/>
      <c r="D19" s="48"/>
      <c r="E19" s="24" t="e">
        <f>IF(LEFT(D28,2)="SE","",'Configurable Items'!#REF!)</f>
        <v>#REF!</v>
      </c>
      <c r="F19" s="32"/>
      <c r="G19" s="32"/>
      <c r="H19" s="32"/>
      <c r="I19" s="32"/>
      <c r="J19" s="24" t="s">
        <v>17</v>
      </c>
      <c r="L19" s="32"/>
      <c r="M19" s="32"/>
      <c r="Q19" s="37"/>
      <c r="R19" s="834"/>
      <c r="S19" s="37"/>
      <c r="T19" s="714"/>
      <c r="U19" s="736"/>
      <c r="W19" s="32"/>
      <c r="X19" s="42"/>
      <c r="AD19" s="31"/>
      <c r="AE19" s="31"/>
      <c r="AL19" s="31"/>
    </row>
    <row r="20" spans="2:42" ht="17.25" hidden="1" customHeight="1">
      <c r="B20" s="733"/>
      <c r="C20" s="713"/>
      <c r="D20" s="48"/>
      <c r="E20" s="24" t="e">
        <f>IF(LEFT(D28,2)="SE","",'Configurable Items'!#REF!)</f>
        <v>#REF!</v>
      </c>
      <c r="F20" s="32"/>
      <c r="G20" s="32"/>
      <c r="H20" s="32"/>
      <c r="I20" s="32"/>
      <c r="J20" s="24" t="s">
        <v>3</v>
      </c>
      <c r="L20" s="32"/>
      <c r="M20" s="32"/>
      <c r="Q20" s="37"/>
      <c r="R20" s="834"/>
      <c r="S20" s="37"/>
      <c r="T20" s="714"/>
      <c r="U20" s="736"/>
      <c r="W20" s="32"/>
      <c r="X20" s="42"/>
      <c r="AD20" s="31"/>
      <c r="AE20" s="31"/>
      <c r="AL20" s="31"/>
    </row>
    <row r="21" spans="2:42" ht="17.25" hidden="1" customHeight="1">
      <c r="B21" s="733"/>
      <c r="C21" s="713"/>
      <c r="D21" s="48"/>
      <c r="E21" s="24" t="e">
        <f>IF(LEFT(D28,2)="SE","",'Configurable Items'!#REF!)</f>
        <v>#REF!</v>
      </c>
      <c r="F21" s="32"/>
      <c r="G21" s="32"/>
      <c r="H21" s="32"/>
      <c r="I21" s="32"/>
      <c r="J21" s="24" t="s">
        <v>18</v>
      </c>
      <c r="L21" s="32"/>
      <c r="M21" s="32"/>
      <c r="Q21" s="37"/>
      <c r="R21" s="834"/>
      <c r="S21" s="37"/>
      <c r="T21" s="714"/>
      <c r="U21" s="736"/>
      <c r="W21" s="32"/>
      <c r="X21" s="42"/>
      <c r="AD21" s="31"/>
      <c r="AE21" s="31"/>
      <c r="AL21" s="31"/>
    </row>
    <row r="22" spans="2:42" ht="17.25" hidden="1" customHeight="1">
      <c r="B22" s="733"/>
      <c r="C22" s="713"/>
      <c r="D22" s="24"/>
      <c r="E22" s="24" t="e">
        <f>IF(LEFT(D28,2)="SE","",'Configurable Items'!#REF!)</f>
        <v>#REF!</v>
      </c>
      <c r="F22" s="32"/>
      <c r="G22" s="32"/>
      <c r="H22" s="24" t="s">
        <v>34</v>
      </c>
      <c r="I22" s="32"/>
      <c r="J22" s="24" t="s">
        <v>2</v>
      </c>
      <c r="L22" s="32"/>
      <c r="M22" s="32"/>
      <c r="Q22" s="37"/>
      <c r="R22" s="834"/>
      <c r="S22" s="37"/>
      <c r="T22" s="714"/>
      <c r="U22" s="736"/>
      <c r="W22" s="32"/>
      <c r="X22" s="42"/>
      <c r="AD22" s="31"/>
      <c r="AE22" s="31"/>
      <c r="AL22" s="31"/>
    </row>
    <row r="23" spans="2:42" ht="17.25" hidden="1" customHeight="1">
      <c r="B23" s="733"/>
      <c r="C23" s="713"/>
      <c r="D23" s="24" t="s">
        <v>58</v>
      </c>
      <c r="E23" s="24" t="str">
        <f>IF(LEFT(D28,2)="SE",'Configurable Items'!D4753,'Configurable Items'!D4756)</f>
        <v>Select Type</v>
      </c>
      <c r="F23" s="32"/>
      <c r="G23" s="32"/>
      <c r="H23" s="842" t="s">
        <v>35</v>
      </c>
      <c r="I23" s="32"/>
      <c r="J23" s="24" t="s">
        <v>19</v>
      </c>
      <c r="L23" s="32"/>
      <c r="M23" s="32"/>
      <c r="Q23" s="37"/>
      <c r="R23" s="834"/>
      <c r="S23" s="37"/>
      <c r="T23" s="714"/>
      <c r="U23" s="736"/>
      <c r="W23" s="32"/>
      <c r="X23" s="42"/>
      <c r="AD23" s="31"/>
      <c r="AE23" s="31"/>
      <c r="AL23" s="31"/>
    </row>
    <row r="24" spans="2:42" ht="17.25" hidden="1" customHeight="1">
      <c r="B24" s="733"/>
      <c r="C24" s="713"/>
      <c r="D24" s="24" t="str">
        <f>IF($D$11="","Other",$D$11)</f>
        <v>Other</v>
      </c>
      <c r="E24" s="24" t="str">
        <f>IF(LEFT(D28,2)="SE",'Configurable Items'!D4754,'Configurable Items'!D4757)</f>
        <v>Taxable Sacrifice</v>
      </c>
      <c r="F24" s="24" t="b">
        <v>1</v>
      </c>
      <c r="G24" s="24"/>
      <c r="H24" s="842" t="s">
        <v>51</v>
      </c>
      <c r="I24" s="24" t="b">
        <v>1</v>
      </c>
      <c r="J24" s="24" t="s">
        <v>20</v>
      </c>
      <c r="L24" s="32"/>
      <c r="M24" s="32"/>
      <c r="Q24" s="37"/>
      <c r="R24" s="834"/>
      <c r="S24" s="37"/>
      <c r="T24" s="714"/>
      <c r="U24" s="736"/>
      <c r="W24" s="32"/>
      <c r="X24" s="42"/>
      <c r="AD24" s="31"/>
      <c r="AE24" s="31"/>
      <c r="AL24" s="31"/>
    </row>
    <row r="25" spans="2:42" ht="17.25" hidden="1" customHeight="1">
      <c r="B25" s="733"/>
      <c r="C25" s="713"/>
      <c r="D25" s="24">
        <f>$D$10</f>
        <v>0</v>
      </c>
      <c r="E25" s="24" t="str">
        <f>IF(LEFT(D28,2)="SE",'Configurable Items'!D4755,'Configurable Items'!D4758)</f>
        <v>Non-Taxable Sacrifice</v>
      </c>
      <c r="F25" s="24" t="b">
        <v>0</v>
      </c>
      <c r="G25" s="842"/>
      <c r="H25" s="842" t="s">
        <v>59</v>
      </c>
      <c r="I25" s="842" t="b">
        <v>0</v>
      </c>
      <c r="J25" s="842" t="s">
        <v>60</v>
      </c>
      <c r="L25" s="32"/>
      <c r="M25" s="32"/>
      <c r="Q25" s="37"/>
      <c r="R25" s="834"/>
      <c r="S25" s="37"/>
      <c r="T25" s="714"/>
      <c r="U25" s="736"/>
      <c r="W25" s="32"/>
      <c r="X25" s="42"/>
      <c r="AD25" s="31"/>
      <c r="AE25" s="31"/>
      <c r="AL25" s="31"/>
    </row>
    <row r="26" spans="2:42" ht="17.25" customHeight="1">
      <c r="B26" s="733"/>
      <c r="C26" s="1349">
        <f>D26</f>
        <v>0</v>
      </c>
      <c r="D26" s="911"/>
      <c r="E26" s="930" t="str">
        <f>IF(OR(D28="SE - Sole Trader",D28="SE - Dual App",D28 = "SE - RM Verified"),"Gross Annual Income",
IF(D28="SE - Company Wages","ATO Income","Salary"))</f>
        <v>Salary</v>
      </c>
      <c r="F26" s="1008"/>
      <c r="G26" s="910"/>
      <c r="H26" s="924"/>
      <c r="I26" s="718"/>
      <c r="J26" s="1484"/>
      <c r="K26" s="1484"/>
      <c r="L26" s="929"/>
      <c r="M26" s="929"/>
      <c r="N26" s="1369" t="b">
        <v>0</v>
      </c>
      <c r="O26" s="846"/>
      <c r="P26" s="846"/>
      <c r="Q26" s="931">
        <f>IF(E26&lt;&gt;"Salary",
IF(E26="ATO Income",IF(X26+X27=0,0,CONVERT_TO_MONTHLY(G26+G27,J26,X26+X27)),
CONVERT_TO_MONTHLY(G26,J26)),
IF(AND((LEFT(D28,2)&lt;&gt;"SE"),OR(G26="",H26="",J26="")=TRUE)=TRUE,0,
CONVERT_TO_MONTHLY(EmploymentIncomeComponent(E26, D28, G26/(1+(IF(I26=TRUE,mandatorySuperannuationContributions,0))), H26, J26, 0, H165, D30, X26, G27/(1+(IF(I26=TRUE,mandatorySuperannuationContributions,0))), H27, J27, F27, G29/(1+(IF(I26=TRUE,mandatorySuperannuationContributions,0))), H29, J29, F29, G28/(1+(IF(I26=TRUE,mandatorySuperannuationContributions,0))), H28, J28, F28, FALSE),"annually")))</f>
        <v>0</v>
      </c>
      <c r="R26" s="47"/>
      <c r="S26" s="931">
        <f>Q26*AE26</f>
        <v>0</v>
      </c>
      <c r="T26" s="714"/>
      <c r="U26" s="736"/>
      <c r="W26" s="931">
        <f>Q26</f>
        <v>0</v>
      </c>
      <c r="X26" s="1006">
        <f>IF(J26="Year to Date",IF(AND(OR(L26="",M26=""),E26="ATO Income"),0,M26-L26+1),IF(J26="monthly",365/12,IF(J26="fortnightly",14,IF(J26="weekly",7,365))))</f>
        <v>365</v>
      </c>
      <c r="Y26" s="939" t="b">
        <f>IF(E26="","",VLOOKUP(E26,'Configurable Items'!$D$4734:$E$4750,2,FALSE))</f>
        <v>1</v>
      </c>
      <c r="AA26" s="1006">
        <f>IF(D28="SE - RM Verified",1,IF(D28="SE - Dual Application",1,0))</f>
        <v>0</v>
      </c>
      <c r="AB26" s="931">
        <f>IF(Y26=TRUE,IF(LEFT(D28,2)="SE",S26,Q26),0)</f>
        <v>0</v>
      </c>
      <c r="AC26" s="931">
        <f>IF(LEFT(D28,2)="SE",S26,Q26)</f>
        <v>0</v>
      </c>
      <c r="AD26" s="31"/>
      <c r="AE26" s="1375" cm="1">
        <f t="array" ref="AE26">SE_NPBT_Volatility(D28, $AC$10, IF(D28="SE - Sole Trader",G26,IF(D28="SE - Company",G31,G34)), IF(D28="SE - Sole Trader",O26,IF(D28="SE - Company",O31,O34)),1)</f>
        <v>1</v>
      </c>
      <c r="AK26" s="931" cm="1">
        <f t="array" ref="AK26">IF(AL26=0,0,IF(LEFT(D28,2)="SE",AL26*(Q26/SUM(Q26:Q27)),
CONVERT_TO_MONTHLY(EmploymentIncomeComponent(E26, D28, G26/(1+(IF(I26=TRUE,mandatorySuperannuationContributions,0))), H26, J26, 0, H114, D30, X26, G27/(1+(IF(I26=TRUE,mandatorySuperannuationContributions,0))), H27, J27, F27, G29/(1+(IF(I26=TRUE,mandatorySuperannuationContributions,0))), H29, J29, F29, G28/(1+(IF(I26=TRUE,mandatorySuperannuationContributions,0))), H28, J28, F28, TRUE),"annually")))</f>
        <v>0</v>
      </c>
      <c r="AL26" s="52">
        <f>AN26+AO26</f>
        <v>0</v>
      </c>
      <c r="AN26" s="537">
        <f>IF(LEFT(D28,2)="SE",CONVERT_TO_NET(SUM(Q26:Q27)*12, TRUE, IF(ISBLANK($D$11),1,2), $E$10+$E$11)/12,
IF(H30="Taxable",CONVERT_TO_NET(SUM(Q26:Q30)*12, TRUE, IF(ISBLANK($D$11),1,2), $E$10+$E$11)/12,CONVERT_TO_NET(SUM(Q26:Q29)*12, TRUE, IF(ISBLANK($D$11),1,2), $E$10+$E$11)/12))</f>
        <v>0</v>
      </c>
      <c r="AO26" s="537">
        <f>IF(LEFT(D28,2)="SE",0,
IF(H30="Taxable",0,Q30))</f>
        <v>0</v>
      </c>
    </row>
    <row r="27" spans="2:42" ht="17.25" customHeight="1">
      <c r="B27" s="733"/>
      <c r="C27" s="1357">
        <f>D26</f>
        <v>0</v>
      </c>
      <c r="D27" s="36" t="s">
        <v>8963</v>
      </c>
      <c r="E27" s="1346" t="str">
        <f>IF(OR(D28="SE - Sole Trader",D28="SE - RM Verified",D28="SE - Dual App"),"",
IF(OR(D28="SE - Partnership",D28="SE - Trust (Ind ATF)",D28="SE - Trust (Comp ATF)"),"Distribution",
IF(D28="SE - Company","Dividends",
IF(D28="SE - Company Wages","Prior Year ATO Income",
"Bonus"))))</f>
        <v>Bonus</v>
      </c>
      <c r="F27" s="718"/>
      <c r="G27" s="910"/>
      <c r="H27" s="924"/>
      <c r="I27" s="718"/>
      <c r="J27" s="1485"/>
      <c r="K27" s="1485"/>
      <c r="L27" s="929"/>
      <c r="M27" s="929"/>
      <c r="N27" s="836"/>
      <c r="O27" s="846"/>
      <c r="P27" s="846"/>
      <c r="Q27" s="931">
        <f>IF(E27="",0,
IF(E27="Prior Year ATO Income",0,
IF(E27="Bonus",
CONVERT_TO_MONTHLY(EmploymentIncomeComponent(E27, D28, G26/(1+(IF(I26=TRUE,mandatorySuperannuationContributions,0))), H26, J26, 0, H114, D30, X26, G27/(1+(IF(I26=TRUE,mandatorySuperannuationContributions,0))), H27, J27, F27, G29/(1+(IF(I26=TRUE,mandatorySuperannuationContributions,0))), H29, J29, F29, G28/(1+(IF(I26=TRUE,mandatorySuperannuationContributions,0))), H28, J28, F28, FALSE),"annually"),CONVERT_TO_MONTHLY(G27,J27))))</f>
        <v>0</v>
      </c>
      <c r="R27" s="47"/>
      <c r="S27" s="931">
        <f>IF(E27="",0,
IF(G27="",0,
IF(E27="Bonus",CONVERT_TO_MONTHLY(Sensitise_Income(CONVERT_TO_ANNUALLY(Q27,"Monthly"), VLOOKUP(D26,$D$122:$H$123,5,FALSE), BONUS_SENSITIVITY_MULTIPLIER, 0, 0,FALSE),"Annually"),Q27*AE27)))</f>
        <v>0</v>
      </c>
      <c r="T27" s="714"/>
      <c r="U27" s="736"/>
      <c r="W27" s="931">
        <f>Q27</f>
        <v>0</v>
      </c>
      <c r="X27" s="1006">
        <f>IF(J27="Year to Date",IF(OR(L27="",M27=""),0,M27-L27+1),IF(J27="monthly",365/12,IF(J27="fortnightly",14,IF(J27="weekly",7,365))))</f>
        <v>365</v>
      </c>
      <c r="Y27" s="939" t="b">
        <f>IF(E27="","",VLOOKUP(E27,'Configurable Items'!$D$4734:$E$4750,2,FALSE))</f>
        <v>1</v>
      </c>
      <c r="Z27" s="34"/>
      <c r="AB27" s="931">
        <f>IF(Y27=TRUE,IF(LEFT(D28,2)="SE",S27,Q27),0)</f>
        <v>0</v>
      </c>
      <c r="AC27" s="931">
        <f>IF(LEFT(D28,2)="SE",S27,Q27)</f>
        <v>0</v>
      </c>
      <c r="AD27" s="31"/>
      <c r="AE27" s="1375" cm="1">
        <f t="array" ref="AE27">SE_NPBT_Volatility(D28, $AC$10, IF(D28="SE - Sole Trader",G26,IF(D28="SE - Company",G31,G34)), IF(D28="SE - Sole Trader",O26,IF(D28="SE - Company",O31,O34)),2)</f>
        <v>1</v>
      </c>
      <c r="AK27" s="931" cm="1">
        <f t="array" ref="AK27">IF(AL26=0,0,IF(LEFT(D28,2)="SE",IF(Q27="","",AL26*(Q27/SUM(Q26:Q27))),
CONVERT_TO_MONTHLY(EmploymentIncomeComponent(E27, D28, G26/(1+(IF(I26=TRUE,mandatorySuperannuationContributions,0))), H26, J26, 0, H114, D30, X26, G27/(1+(IF(I26=TRUE,mandatorySuperannuationContributions,0))), H27, J27, F27, G29/(1+(IF(I26=TRUE,mandatorySuperannuationContributions,0))), H29, J29, F29, G28/(1+(IF(I26=TRUE,mandatorySuperannuationContributions,0))), H28, J28, F28, TRUE),"annually")))</f>
        <v>0</v>
      </c>
    </row>
    <row r="28" spans="2:42" ht="17.25" customHeight="1">
      <c r="B28" s="733"/>
      <c r="C28" s="1349">
        <f>D26</f>
        <v>0</v>
      </c>
      <c r="D28" s="924"/>
      <c r="E28" s="1346" t="str">
        <f>IF(D28="SE - Company Wages","Payslip",
IF(OR(D28="SE - Dual App",D28="SE - RM Verified"),"",
IF(LEFT(D28,2)="SE","Interest",
"Commission")))</f>
        <v>Commission</v>
      </c>
      <c r="F28" s="718"/>
      <c r="G28" s="910"/>
      <c r="H28" s="924"/>
      <c r="I28" s="718"/>
      <c r="J28" s="1484"/>
      <c r="K28" s="1484"/>
      <c r="L28" s="843" t="str">
        <f>IF(AND(E28="Payslip",Q26&gt;0,G28=""),"  Enter Amount",
IF(AND(Q26=0,E28="Payslip"), "  Enter ATO Income",
IF(AND(Q26&gt;0,E28="Payslip",OR(AD28&lt;Q26*0.85,AD28&gt;Q26*1.15)),"  Inconsistent income, enquire and capture in app notes","")))</f>
        <v/>
      </c>
      <c r="M28" s="3"/>
      <c r="N28" s="846"/>
      <c r="O28" s="846"/>
      <c r="P28" s="846"/>
      <c r="Q28" s="931">
        <f>IF(OR(E28="",E28="Payslip"),0,IF(E28="Commission",CONVERT_TO_MONTHLY(EmploymentIncomeComponent(E28, D28, G26/(1+(IF(I26=TRUE,mandatorySuperannuationContributions,0))), H26, J26, 0, H114, D30, X26, G27/(1+(IF(I26=TRUE,mandatorySuperannuationContributions,0))), H27, J27, F27, G29/(1+(IF(I26=TRUE,mandatorySuperannuationContributions,0))), H29, J29, F29, G28/(1+(IF(I26=TRUE,mandatorySuperannuationContributions,0))), H28, J28, F28, FALSE),"annually"),CONVERT_TO_MONTHLY(G28,J28)*D30))</f>
        <v>0</v>
      </c>
      <c r="R28" s="47"/>
      <c r="S28" s="931">
        <f>IF(E28="",0,
IF(G28="",0,
IF(E28="Commission",CONVERT_TO_MONTHLY(Sensitise_Income(CONVERT_TO_ANNUALLY(Q28,"Monthly"), VLOOKUP(D26,$D$122:$H$123,5,FALSE), COMMISSION_SENSITIVITY_MULTIPLIER, 0, 0,FALSE),"Annually"),Q28)))</f>
        <v>0</v>
      </c>
      <c r="T28" s="714"/>
      <c r="U28" s="736"/>
      <c r="W28" s="931">
        <f>IF(LEFT(D28,2)="SE",0,Q28)</f>
        <v>0</v>
      </c>
      <c r="Y28" s="939" t="b">
        <f>IF(OR(E28="",E28="Payslip"),"",VLOOKUP(E28,'Configurable Items'!$D$4734:$E$4750,2,FALSE))</f>
        <v>1</v>
      </c>
      <c r="AA28" s="54"/>
      <c r="AB28" s="931">
        <f>IF(Y28=TRUE,IF(LEFT(D28,2)="SE",S28,Q28),0)</f>
        <v>0</v>
      </c>
      <c r="AC28" s="931">
        <f>IF(LEFT(D28,2)="SE",S28,Q28)</f>
        <v>0</v>
      </c>
      <c r="AD28" s="931" t="b" cm="1">
        <f t="array" ref="AD28">IF(E28="Payslip",IF(H28="After Tax",CONVERT_TO_MONTHLY(CONVERT_TO_GROSS(CONVERT_TO_ANNUALLY(G28,J28),TRUE,IF($D$11="",1,2),SUM($E$10:$E$11)),"Annually"),CONVERT_TO_MONTHLY(G28,J28)))</f>
        <v>0</v>
      </c>
      <c r="AE28" s="31"/>
      <c r="AK28" s="931" cm="1">
        <f t="array" ref="AK28">IF(AL26=0,0,IF(LEFT(D28,2)="SE","",
CONVERT_TO_MONTHLY(EmploymentIncomeComponent(E28, D28, G26/(1+(IF(I26=TRUE,mandatorySuperannuationContributions,0))), H26, J26, 0, H114, D30, X26, G27/(1+(IF(I26=TRUE,mandatorySuperannuationContributions,0))), H27, J27, F27, G29/(1+(IF(I26=TRUE,mandatorySuperannuationContributions,0))), H29, J29, F29, G28/(1+(IF(I26=TRUE,mandatorySuperannuationContributions,0))), H28, J28, F28, TRUE),"annually")))</f>
        <v>0</v>
      </c>
      <c r="AL28" s="31"/>
    </row>
    <row r="29" spans="2:42" ht="17.25" customHeight="1">
      <c r="B29" s="733"/>
      <c r="C29" s="1349">
        <f>D26</f>
        <v>0</v>
      </c>
      <c r="D29" s="39"/>
      <c r="E29" s="1346" t="str">
        <f>IF(D28="SE - RM Verified","",
IF(LEFT(D28,2)="SE","Depreciation",
"Overtime"))</f>
        <v>Overtime</v>
      </c>
      <c r="F29" s="718"/>
      <c r="G29" s="910"/>
      <c r="H29" s="924"/>
      <c r="I29" s="718"/>
      <c r="J29" s="1484"/>
      <c r="K29" s="1484"/>
      <c r="L29" s="930"/>
      <c r="M29" s="928"/>
      <c r="N29" s="846"/>
      <c r="O29" s="31"/>
      <c r="P29" s="846"/>
      <c r="Q29" s="931">
        <f>IF(E29="",0,IF(E29="Overtime",CONVERT_TO_MONTHLY(EmploymentIncomeComponent(E29, D28, G26/(1+(IF(I26=TRUE,mandatorySuperannuationContributions,0))), H26, J26, 0, H114, D30, X26, G27/(1+(IF(I26=TRUE,mandatorySuperannuationContributions,0))), H27, J27, F27, G29/(1+(IF(I26=TRUE,mandatorySuperannuationContributions,0))), H29, J29, F29, G28/(1+(IF(I26=TRUE,mandatorySuperannuationContributions,0))), H28, J28, F28, FALSE),"annually"),CONVERT_TO_MONTHLY(G29,J29)*D30))</f>
        <v>0</v>
      </c>
      <c r="R29" s="47"/>
      <c r="S29" s="931">
        <f>IF(E29="",0,
IF(G29="",0,
IF(E29="Overtime",CONVERT_TO_MONTHLY(Sensitise_Income(CONVERT_TO_ANNUALLY(Q29,"Monthly"), VLOOKUP(D26,$D$122:$H$123,5,FALSE), COMMISSION_SENSITIVITY_MULTIPLIER, 0, 0,M29),"Annually"),Q29)))</f>
        <v>0</v>
      </c>
      <c r="T29" s="714"/>
      <c r="U29" s="736"/>
      <c r="W29" s="931">
        <f>IF(LEFT(D28,2)="SE",0,Q29)</f>
        <v>0</v>
      </c>
      <c r="Y29" s="939" t="b">
        <f>IF(E29="","",VLOOKUP(E29,'Configurable Items'!$D$4734:$E$4750,2,FALSE))</f>
        <v>1</v>
      </c>
      <c r="AB29" s="931">
        <f>IF(Y29=TRUE,IF(LEFT(D28,2)="SE",S29,Q29),0)</f>
        <v>0</v>
      </c>
      <c r="AC29" s="931">
        <f>IF(LEFT(D28,2)="SE",S29,Q29)</f>
        <v>0</v>
      </c>
      <c r="AD29" s="31"/>
      <c r="AE29" s="31"/>
      <c r="AK29" s="931" cm="1">
        <f t="array" ref="AK29">IF(AL26=0,0,IF(LEFT(D28,2)="SE","",
CONVERT_TO_MONTHLY(EmploymentIncomeComponent(E29, D28, G26/(1+(IF(I26=TRUE,mandatorySuperannuationContributions,0))), H26, J26, 0, H114, D30, X26, G27/(1+(IF(I26=TRUE,mandatorySuperannuationContributions,0))), H27, J27, F27, G29/(1+(IF(I26=TRUE,mandatorySuperannuationContributions,0))), H29, J29, F29, G28/(1+(IF(I26=TRUE,mandatorySuperannuationContributions,0))), H28, J28, F28, TRUE),"annually")))</f>
        <v>0</v>
      </c>
      <c r="AL29" s="31"/>
    </row>
    <row r="30" spans="2:42" ht="17.25" hidden="1" customHeight="1">
      <c r="B30" s="733"/>
      <c r="C30" s="1349">
        <f>D26</f>
        <v>0</v>
      </c>
      <c r="D30" s="1369">
        <v>1</v>
      </c>
      <c r="E30" s="930" t="s">
        <v>8967</v>
      </c>
      <c r="F30" s="928"/>
      <c r="G30" s="910"/>
      <c r="H30" s="930" t="str">
        <f>VLOOKUP(E30,'Configurable Items'!$D$4734:$F$4758,3,FALSE)</f>
        <v/>
      </c>
      <c r="I30" s="928"/>
      <c r="J30" s="1485"/>
      <c r="K30" s="1485"/>
      <c r="L30" s="3"/>
      <c r="M30" s="3"/>
      <c r="N30" s="846"/>
      <c r="O30" s="31"/>
      <c r="P30" s="846"/>
      <c r="Q30" s="931">
        <f>IF(E30= "Select Type",0,IF(E30="",0,IF(J30="Year to Date",CONVERT_TO_MONTHLY(G30,J30,X26),CONVERT_TO_MONTHLY(G30,J30))*IF(LEFT(D28,2)="SE",D30,1)))</f>
        <v>0</v>
      </c>
      <c r="R30" s="47"/>
      <c r="S30" s="931">
        <f>Q30</f>
        <v>0</v>
      </c>
      <c r="T30" s="714"/>
      <c r="U30" s="1013"/>
      <c r="W30" s="931">
        <f>Q30</f>
        <v>0</v>
      </c>
      <c r="Y30" s="1022" t="b">
        <f>IF(H30="",IF(E30="",TRUE,VLOOKUP(E30,'Configurable Items'!$D$4734:$E$4758,2,FALSE)),IF(H30="Taxable",TRUE,FALSE))</f>
        <v>1</v>
      </c>
      <c r="Z30" s="1023">
        <f>IF(E30="Personal Tax Deduction",G30,0)</f>
        <v>0</v>
      </c>
      <c r="AB30" s="1020">
        <f>IF(Y30=TRUE,IF(LEFT(D28,2)="SE",S30,Q30),0)</f>
        <v>0</v>
      </c>
      <c r="AC30" s="1023">
        <f>IF(LEFT(D28,2)="SE",S30,Q30)</f>
        <v>0</v>
      </c>
      <c r="AD30" s="31"/>
      <c r="AE30" s="31"/>
      <c r="AK30" s="931">
        <f>IF(AL26=0,0,IF(LEFT(D28,2)="SE","",
IF(H30="Taxable",AN26-SUM(AK26:AK29),Q30)))</f>
        <v>0</v>
      </c>
    </row>
    <row r="31" spans="2:42" ht="17.25" hidden="1" customHeight="1">
      <c r="B31" s="733"/>
      <c r="C31" s="1349">
        <f>D26</f>
        <v>0</v>
      </c>
      <c r="D31" s="845"/>
      <c r="E31" s="1348" t="s">
        <v>8977</v>
      </c>
      <c r="F31" s="928"/>
      <c r="G31" s="910"/>
      <c r="H31" s="930" t="str">
        <f>VLOOKUP(E31,'Configurable Items'!$D$4734:$F$4758,3,FALSE)</f>
        <v/>
      </c>
      <c r="I31" s="928"/>
      <c r="J31" s="1485"/>
      <c r="K31" s="1485"/>
      <c r="L31" s="3"/>
      <c r="M31" s="3"/>
      <c r="N31" s="846"/>
      <c r="O31" s="846"/>
      <c r="P31" s="846"/>
      <c r="Q31" s="931">
        <f>IF(E31= "Select Type",0,IF(E31="",0,IF(J31="Year to Date",CONVERT_TO_MONTHLY(G31,J31,X26),CONVERT_TO_MONTHLY(G31,J31))*IF(LEFT(D28,2)="SE",D30,1)))</f>
        <v>0</v>
      </c>
      <c r="R31" s="47"/>
      <c r="S31" s="931">
        <f>Q31*AE31</f>
        <v>0</v>
      </c>
      <c r="T31" s="714"/>
      <c r="U31" s="1013"/>
      <c r="W31" s="931">
        <f>IF(LEFT(D28,2)="SE",IF(Y31=TRUE,Q31,0),Q31)</f>
        <v>0</v>
      </c>
      <c r="Y31" s="1022" t="b">
        <f>IF(H31="",IF(E31="",TRUE,VLOOKUP(E31,'Configurable Items'!$D$4734:$E$4758,2,FALSE)),IF(H31="Taxable",TRUE,FALSE))</f>
        <v>0</v>
      </c>
      <c r="Z31" s="1023">
        <f>IF(E31="Personal Tax Deduction",G31,0)</f>
        <v>0</v>
      </c>
      <c r="AB31" s="1020">
        <f>IF(Y31=TRUE,IF(LEFT(D28,2)="SE",S31,Q31),0)</f>
        <v>0</v>
      </c>
      <c r="AC31" s="1023">
        <f>IF(LEFT(D28,2)="SE",S31,Q31)</f>
        <v>0</v>
      </c>
      <c r="AD31" s="31"/>
      <c r="AE31" s="1375" cm="1">
        <f t="array" ref="AE31">SE_NPBT_Volatility(D28, $AC$10, IF(D28="SE - Sole Trader",G26,IF(D28="SE - Company",G31,G34)), IF(D28="SE - Sole Trader",O26,IF(D28="SE - Company",O31,O34)),6)</f>
        <v>1</v>
      </c>
      <c r="AJ31" s="31"/>
      <c r="AN31" s="1">
        <v>0</v>
      </c>
      <c r="AP31" s="1" t="b">
        <v>0</v>
      </c>
    </row>
    <row r="32" spans="2:42" ht="17.25" hidden="1" customHeight="1">
      <c r="B32" s="733"/>
      <c r="C32" s="1349">
        <f>D26</f>
        <v>0</v>
      </c>
      <c r="D32" s="845"/>
      <c r="E32" s="1348" t="s">
        <v>8977</v>
      </c>
      <c r="F32" s="928"/>
      <c r="G32" s="910"/>
      <c r="H32" s="930" t="str">
        <f>VLOOKUP(E32,'Configurable Items'!$D$4734:$F$4758,3,FALSE)</f>
        <v/>
      </c>
      <c r="I32" s="928"/>
      <c r="J32" s="1485"/>
      <c r="K32" s="1485"/>
      <c r="L32" s="3"/>
      <c r="M32" s="3"/>
      <c r="N32" s="846"/>
      <c r="O32" s="846"/>
      <c r="P32" s="846"/>
      <c r="Q32" s="931">
        <f>IF(E32= "Select Type",0,IF(E32="",0,IF(J32="Year to Date",CONVERT_TO_MONTHLY(G32,J32,X26),CONVERT_TO_MONTHLY(G32,J32))*IF(LEFT(D28,2)="SE",D30,1)))</f>
        <v>0</v>
      </c>
      <c r="R32" s="47"/>
      <c r="S32" s="931">
        <f>Q32</f>
        <v>0</v>
      </c>
      <c r="T32" s="714"/>
      <c r="U32" s="1013"/>
      <c r="W32" s="931">
        <f>IF(LEFT(D28,2)="SE",IF(Y32=TRUE,Q32,0),Q32)</f>
        <v>0</v>
      </c>
      <c r="Y32" s="1022" t="b">
        <f>IF(H32="",IF(E32="",TRUE,VLOOKUP(E32,'Configurable Items'!$D$4734:$E$4758,2,FALSE)),IF(H32="Taxable",TRUE,FALSE))</f>
        <v>0</v>
      </c>
      <c r="Z32" s="1023">
        <f>IF(E32="Personal Tax Deduction",G32,0)</f>
        <v>0</v>
      </c>
      <c r="AB32" s="1020">
        <f>IF(Y32=TRUE,IF(LEFT(D28,2)="SE",S32,Q32),0)</f>
        <v>0</v>
      </c>
      <c r="AC32" s="1023">
        <f>IF(LEFT(D28,2)="SE",S32,Q32)</f>
        <v>0</v>
      </c>
      <c r="AD32" s="31"/>
      <c r="AE32" s="31"/>
      <c r="AJ32" s="31"/>
    </row>
    <row r="33" spans="2:38" ht="17.25" hidden="1" customHeight="1">
      <c r="B33" s="733"/>
      <c r="C33" s="1349">
        <f>D26</f>
        <v>0</v>
      </c>
      <c r="D33" s="845"/>
      <c r="E33" s="1348" t="s">
        <v>8977</v>
      </c>
      <c r="F33" s="928"/>
      <c r="G33" s="910"/>
      <c r="H33" s="930" t="str">
        <f>VLOOKUP(E33,'Configurable Items'!$D$4734:$F$4758,3,FALSE)</f>
        <v/>
      </c>
      <c r="I33" s="928"/>
      <c r="J33" s="1485"/>
      <c r="K33" s="1485"/>
      <c r="L33" s="3"/>
      <c r="M33" s="3"/>
      <c r="N33" s="846"/>
      <c r="O33" s="846"/>
      <c r="P33" s="846"/>
      <c r="Q33" s="931">
        <f>IF(E33= "Select Type",0,IF(E33="",0,IF(J33="Year to Date",CONVERT_TO_MONTHLY(G33,J33,X26),CONVERT_TO_MONTHLY(G33,J33))*IF(LEFT(D28,2)="SE",D30,1)))</f>
        <v>0</v>
      </c>
      <c r="R33" s="47"/>
      <c r="S33" s="931">
        <f>Q33</f>
        <v>0</v>
      </c>
      <c r="T33" s="714"/>
      <c r="U33" s="1013"/>
      <c r="W33" s="931">
        <f>IF(LEFT(D28,2)="SE",IF(Y33=TRUE,Q33,0),Q33)</f>
        <v>0</v>
      </c>
      <c r="Y33" s="1022" t="b">
        <f>IF(H33="",IF(E33="",TRUE,VLOOKUP(E33,'Configurable Items'!$D$4734:$E$4758,2,FALSE)),IF(H33="Taxable",TRUE,FALSE))</f>
        <v>0</v>
      </c>
      <c r="Z33" s="1023">
        <f>IF(E33="Personal Tax Deduction",G33,0)</f>
        <v>0</v>
      </c>
      <c r="AB33" s="1020">
        <f>IF(Y33=TRUE,IF(LEFT(D28,2)="SE",S33,Q33),0)</f>
        <v>0</v>
      </c>
      <c r="AC33" s="1023">
        <f>IF(LEFT(D28,2)="SE",S33,Q33)</f>
        <v>0</v>
      </c>
      <c r="AD33" s="31"/>
      <c r="AE33" s="31"/>
      <c r="AJ33" s="31"/>
    </row>
    <row r="34" spans="2:38" ht="17.25" hidden="1" customHeight="1">
      <c r="B34" s="733"/>
      <c r="C34" s="1349">
        <f>D26</f>
        <v>0</v>
      </c>
      <c r="D34" s="845"/>
      <c r="E34" s="1348" t="s">
        <v>8977</v>
      </c>
      <c r="F34" s="928"/>
      <c r="G34" s="910"/>
      <c r="H34" s="930" t="str">
        <f>VLOOKUP(E34,'Configurable Items'!$D$4734:$F$4758,3,FALSE)</f>
        <v/>
      </c>
      <c r="I34" s="928"/>
      <c r="J34" s="1485"/>
      <c r="K34" s="1485"/>
      <c r="L34" s="3"/>
      <c r="M34" s="3"/>
      <c r="N34" s="846"/>
      <c r="O34" s="846"/>
      <c r="P34" s="846"/>
      <c r="Q34" s="931">
        <f>IF(E34= "Select Type",0,IF(E34="",0,IF(J34="Year to Date",CONVERT_TO_MONTHLY(G34,J34,X26),
CONVERT_TO_MONTHLY(G34,J34))*AE34))</f>
        <v>0</v>
      </c>
      <c r="R34" s="47"/>
      <c r="S34" s="931">
        <f>Q34</f>
        <v>0</v>
      </c>
      <c r="T34" s="714"/>
      <c r="U34" s="1013"/>
      <c r="W34" s="931">
        <f>IF(LEFT(D28,2)="SE",IF(Y34=TRUE,Q34,0),Q34)</f>
        <v>0</v>
      </c>
      <c r="Y34" s="1022" t="b">
        <f>IF(H34="",IF(E34="",TRUE,VLOOKUP(E34,'Configurable Items'!$D$4734:$E$4758,2,FALSE)),IF(H34="Taxable",TRUE,FALSE))</f>
        <v>0</v>
      </c>
      <c r="Z34" s="1023">
        <f>IF(E34="Personal Tax Deduction",G34,0)</f>
        <v>0</v>
      </c>
      <c r="AB34" s="1020">
        <f>IF(Y34=TRUE,IF(LEFT(D28,2)="SE",S34,Q34),0)</f>
        <v>0</v>
      </c>
      <c r="AC34" s="1023">
        <f>IF(LEFT(D28,2)="SE",S34,Q34)</f>
        <v>0</v>
      </c>
      <c r="AD34" s="31"/>
      <c r="AE34" s="1375">
        <f>IF(OR(D28="SE - Partnership",D28="SE - Trust (Comp ATF)", D28 = "SE - Trust (Ind ATF)"),0,1)</f>
        <v>1</v>
      </c>
      <c r="AJ34" s="31"/>
    </row>
    <row r="35" spans="2:38" ht="17.25" customHeight="1">
      <c r="B35" s="733"/>
      <c r="C35" s="903"/>
      <c r="D35" s="845"/>
      <c r="E35" s="859"/>
      <c r="F35" s="1353" t="str" cm="1">
        <f t="array" ref="F35">IF(Employment_Message(D28, D30, G26:G34, O26:O34,$AC$10, AE35)=0,"",Employment_Message(D28, D30, G26:G34, O26:O34,$AC$10, AE35))</f>
        <v/>
      </c>
      <c r="G35" s="918"/>
      <c r="H35" s="1009"/>
      <c r="I35" s="534"/>
      <c r="J35" s="534"/>
      <c r="K35" s="845"/>
      <c r="L35" s="3"/>
      <c r="M35" s="3"/>
      <c r="N35" s="846"/>
      <c r="O35" s="846"/>
      <c r="P35" s="846"/>
      <c r="Q35" s="847"/>
      <c r="R35" s="848"/>
      <c r="S35" s="847"/>
      <c r="T35" s="714"/>
      <c r="U35" s="736"/>
      <c r="W35" s="55"/>
      <c r="AD35" s="31"/>
      <c r="AE35" s="1375">
        <f>MIN(AE26:AE31)</f>
        <v>1</v>
      </c>
      <c r="AJ35" s="31"/>
    </row>
    <row r="36" spans="2:38" ht="3.75" customHeight="1">
      <c r="B36" s="733"/>
      <c r="C36" s="903"/>
      <c r="D36" s="845"/>
      <c r="E36" s="859"/>
      <c r="F36" s="534"/>
      <c r="G36" s="918"/>
      <c r="H36" s="1009"/>
      <c r="I36" s="534"/>
      <c r="J36" s="534"/>
      <c r="K36" s="845"/>
      <c r="L36" s="3"/>
      <c r="M36" s="3"/>
      <c r="N36" s="846"/>
      <c r="O36" s="846"/>
      <c r="P36" s="846"/>
      <c r="Q36" s="847"/>
      <c r="R36" s="848"/>
      <c r="S36" s="847"/>
      <c r="T36" s="714"/>
      <c r="U36" s="736"/>
      <c r="W36" s="55"/>
      <c r="AD36" s="31"/>
      <c r="AE36" s="31"/>
      <c r="AJ36" s="31"/>
    </row>
    <row r="37" spans="2:38" ht="17.25" customHeight="1">
      <c r="B37" s="733"/>
      <c r="C37" s="713"/>
      <c r="D37" s="3"/>
      <c r="E37" s="3"/>
      <c r="F37" s="3"/>
      <c r="G37" s="3"/>
      <c r="H37" s="3"/>
      <c r="I37" s="3"/>
      <c r="J37" s="3"/>
      <c r="K37" s="3"/>
      <c r="L37" s="3"/>
      <c r="M37" s="3"/>
      <c r="N37" s="3"/>
      <c r="O37" s="3"/>
      <c r="P37" s="3"/>
      <c r="Q37" s="56">
        <f t="array" ref="Q37">SUM(ROUND(Q26:Q36,2))</f>
        <v>0</v>
      </c>
      <c r="R37" s="839"/>
      <c r="S37" s="56">
        <f t="array" ref="S37">SUM(ROUND(S26:S36,2))</f>
        <v>0</v>
      </c>
      <c r="T37" s="714"/>
      <c r="U37" s="736"/>
      <c r="AC37" s="56">
        <f t="array" ref="AC37">SUM(ROUND(AC26:AC36,2))</f>
        <v>0</v>
      </c>
      <c r="AD37" s="31"/>
      <c r="AE37" s="31"/>
      <c r="AJ37" s="31"/>
    </row>
    <row r="38" spans="2:38" ht="16.5" customHeight="1">
      <c r="B38" s="733"/>
      <c r="C38" s="904"/>
      <c r="D38" s="7" t="s">
        <v>61</v>
      </c>
      <c r="G38" s="32"/>
      <c r="H38" s="32"/>
      <c r="I38" s="32"/>
      <c r="J38" s="32"/>
      <c r="K38" s="32"/>
      <c r="M38" s="34"/>
      <c r="N38" s="34"/>
      <c r="O38" s="34"/>
      <c r="P38" s="34"/>
      <c r="Q38" s="838"/>
      <c r="R38" s="493"/>
      <c r="S38" s="838"/>
      <c r="T38" s="714"/>
      <c r="U38" s="736"/>
      <c r="AA38" s="39" t="s">
        <v>62</v>
      </c>
      <c r="AB38" s="39" t="s">
        <v>63</v>
      </c>
      <c r="AC38" s="39"/>
      <c r="AD38" s="39" t="s">
        <v>64</v>
      </c>
      <c r="AE38" s="39"/>
      <c r="AF38" s="39" t="s">
        <v>65</v>
      </c>
      <c r="AG38" s="39" t="s">
        <v>66</v>
      </c>
      <c r="AH38" s="39"/>
      <c r="AJ38" s="54"/>
    </row>
    <row r="39" spans="2:38" ht="16.5" customHeight="1">
      <c r="B39" s="733"/>
      <c r="C39" s="713"/>
      <c r="D39" s="36" t="s">
        <v>41</v>
      </c>
      <c r="E39" s="36" t="s">
        <v>13</v>
      </c>
      <c r="F39" s="36" t="s">
        <v>67</v>
      </c>
      <c r="G39" s="36" t="s">
        <v>68</v>
      </c>
      <c r="H39" s="36" t="s">
        <v>15</v>
      </c>
      <c r="I39" s="36" t="s">
        <v>69</v>
      </c>
      <c r="J39" s="1482" t="s">
        <v>70</v>
      </c>
      <c r="K39" s="1482"/>
      <c r="L39" s="1482"/>
      <c r="M39" s="36" t="s">
        <v>71</v>
      </c>
      <c r="O39" s="850"/>
      <c r="P39" s="850"/>
      <c r="Q39" s="36" t="s">
        <v>47</v>
      </c>
      <c r="R39" s="47"/>
      <c r="S39" s="39" t="s">
        <v>48</v>
      </c>
      <c r="T39" s="714"/>
      <c r="U39" s="736"/>
      <c r="W39" s="39" t="s">
        <v>49</v>
      </c>
      <c r="X39" s="39" t="s">
        <v>54</v>
      </c>
      <c r="Y39" s="39" t="s">
        <v>72</v>
      </c>
      <c r="Z39" s="39" t="s">
        <v>73</v>
      </c>
      <c r="AA39" s="39"/>
      <c r="AB39" s="39" t="str">
        <f>IF($D$10="","",$D$10)</f>
        <v/>
      </c>
      <c r="AC39" s="39" t="str">
        <f>IF($D$11="","",$D$11)</f>
        <v/>
      </c>
      <c r="AD39" s="39" t="str">
        <f>IF($D$10="","",$D$10)</f>
        <v/>
      </c>
      <c r="AE39" s="39" t="str">
        <f>IF($D$11="","",$D$11)</f>
        <v/>
      </c>
      <c r="AF39" s="39"/>
      <c r="AG39" s="39" t="str">
        <f>IF($D$10="","",$D$10)</f>
        <v/>
      </c>
      <c r="AH39" s="39" t="str">
        <f>IF($D$11="","",$D$11)</f>
        <v/>
      </c>
      <c r="AI39" s="39" t="s">
        <v>74</v>
      </c>
      <c r="AJ39" s="36" t="s">
        <v>51</v>
      </c>
      <c r="AK39" s="36" t="s">
        <v>9105</v>
      </c>
      <c r="AL39" s="39" t="s">
        <v>9106</v>
      </c>
    </row>
    <row r="40" spans="2:38" ht="16.5" hidden="1" customHeight="1">
      <c r="B40" s="733"/>
      <c r="C40" s="713"/>
      <c r="D40" s="36"/>
      <c r="E40" s="24" t="s">
        <v>75</v>
      </c>
      <c r="F40" s="36"/>
      <c r="G40" s="36"/>
      <c r="H40" s="36"/>
      <c r="I40" s="36"/>
      <c r="J40" s="36"/>
      <c r="K40" s="36"/>
      <c r="N40" s="850"/>
      <c r="O40" s="850"/>
      <c r="P40" s="850"/>
      <c r="Q40" s="39"/>
      <c r="R40" s="47"/>
      <c r="S40" s="39"/>
      <c r="T40" s="714"/>
      <c r="U40" s="736"/>
      <c r="W40" s="32"/>
      <c r="X40" s="32"/>
      <c r="Y40" s="32"/>
      <c r="AB40" s="32"/>
      <c r="AC40" s="32"/>
      <c r="AD40" s="32"/>
      <c r="AE40" s="32"/>
      <c r="AJ40" s="36"/>
      <c r="AK40" s="36"/>
      <c r="AL40" s="36"/>
    </row>
    <row r="41" spans="2:38" ht="16.5" hidden="1" customHeight="1">
      <c r="B41" s="733"/>
      <c r="C41" s="713"/>
      <c r="D41" s="36"/>
      <c r="E41" s="24" t="s">
        <v>76</v>
      </c>
      <c r="F41" s="36"/>
      <c r="G41" s="36"/>
      <c r="H41" s="24" t="s">
        <v>16</v>
      </c>
      <c r="I41" s="36"/>
      <c r="J41" s="36"/>
      <c r="K41" s="36"/>
      <c r="N41" s="850"/>
      <c r="O41" s="850"/>
      <c r="P41" s="850"/>
      <c r="Q41" s="39"/>
      <c r="R41" s="47"/>
      <c r="S41" s="39"/>
      <c r="T41" s="714"/>
      <c r="U41" s="736"/>
      <c r="W41" s="32"/>
      <c r="X41" s="32"/>
      <c r="Y41" s="32"/>
      <c r="AB41" s="32"/>
      <c r="AC41" s="32"/>
      <c r="AD41" s="32"/>
      <c r="AE41" s="32"/>
      <c r="AJ41" s="36"/>
      <c r="AK41" s="36"/>
      <c r="AL41" s="36"/>
    </row>
    <row r="42" spans="2:38" ht="16.5" hidden="1" customHeight="1">
      <c r="B42" s="733"/>
      <c r="C42" s="713"/>
      <c r="D42" s="36"/>
      <c r="E42" s="24" t="s">
        <v>77</v>
      </c>
      <c r="F42" s="36"/>
      <c r="G42" s="36"/>
      <c r="H42" s="24" t="s">
        <v>17</v>
      </c>
      <c r="I42" s="36"/>
      <c r="J42" s="36"/>
      <c r="K42" s="36"/>
      <c r="N42" s="850"/>
      <c r="O42" s="850"/>
      <c r="P42" s="850"/>
      <c r="Q42" s="39"/>
      <c r="R42" s="47"/>
      <c r="S42" s="39"/>
      <c r="T42" s="714"/>
      <c r="U42" s="736"/>
      <c r="W42" s="32"/>
      <c r="X42" s="32"/>
      <c r="Y42" s="32"/>
      <c r="AB42" s="32"/>
      <c r="AC42" s="32"/>
      <c r="AD42" s="32"/>
      <c r="AE42" s="32"/>
      <c r="AJ42" s="36"/>
      <c r="AK42" s="36"/>
      <c r="AL42" s="36"/>
    </row>
    <row r="43" spans="2:38" ht="16.5" hidden="1" customHeight="1">
      <c r="B43" s="733"/>
      <c r="C43" s="713"/>
      <c r="D43" s="36"/>
      <c r="E43" s="24" t="s">
        <v>78</v>
      </c>
      <c r="F43" s="36"/>
      <c r="G43" s="36"/>
      <c r="H43" s="24" t="s">
        <v>3</v>
      </c>
      <c r="I43" s="36"/>
      <c r="J43" s="36"/>
      <c r="K43" s="36"/>
      <c r="N43" s="850"/>
      <c r="O43" s="850"/>
      <c r="P43" s="850"/>
      <c r="Q43" s="39"/>
      <c r="R43" s="47"/>
      <c r="S43" s="39"/>
      <c r="T43" s="714"/>
      <c r="U43" s="736"/>
      <c r="W43" s="32"/>
      <c r="X43" s="32"/>
      <c r="Y43" s="32"/>
      <c r="AB43" s="32"/>
      <c r="AC43" s="32"/>
      <c r="AD43" s="32"/>
      <c r="AE43" s="32"/>
      <c r="AJ43" s="36"/>
      <c r="AK43" s="36"/>
      <c r="AL43" s="36"/>
    </row>
    <row r="44" spans="2:38" ht="16.5" hidden="1" customHeight="1">
      <c r="B44" s="733"/>
      <c r="C44" s="713"/>
      <c r="D44" s="24"/>
      <c r="E44" s="24" t="s">
        <v>79</v>
      </c>
      <c r="F44" s="36"/>
      <c r="G44" s="36"/>
      <c r="H44" s="24" t="s">
        <v>18</v>
      </c>
      <c r="I44" s="36"/>
      <c r="J44" s="36"/>
      <c r="K44" s="36"/>
      <c r="N44" s="850"/>
      <c r="O44" s="850"/>
      <c r="P44" s="850"/>
      <c r="Q44" s="39"/>
      <c r="R44" s="47"/>
      <c r="S44" s="39"/>
      <c r="T44" s="714"/>
      <c r="U44" s="736"/>
      <c r="W44" s="32"/>
      <c r="X44" s="32"/>
      <c r="Y44" s="32"/>
      <c r="AB44" s="32"/>
      <c r="AC44" s="32"/>
      <c r="AD44" s="32"/>
      <c r="AE44" s="32"/>
      <c r="AJ44" s="36"/>
      <c r="AK44" s="36"/>
      <c r="AL44" s="36"/>
    </row>
    <row r="45" spans="2:38" ht="16.5" hidden="1" customHeight="1">
      <c r="B45" s="733"/>
      <c r="C45" s="713"/>
      <c r="D45" s="24" t="s">
        <v>58</v>
      </c>
      <c r="E45" s="24" t="s">
        <v>80</v>
      </c>
      <c r="F45" s="36"/>
      <c r="G45" s="36"/>
      <c r="H45" s="24" t="s">
        <v>2</v>
      </c>
      <c r="I45" s="36"/>
      <c r="J45" s="36"/>
      <c r="K45" s="36"/>
      <c r="N45" s="850"/>
      <c r="O45" s="850"/>
      <c r="P45" s="850"/>
      <c r="Q45" s="39"/>
      <c r="R45" s="47"/>
      <c r="S45" s="39"/>
      <c r="T45" s="714"/>
      <c r="U45" s="736"/>
      <c r="W45" s="32"/>
      <c r="X45" s="32"/>
      <c r="Y45" s="32"/>
      <c r="AB45" s="32"/>
      <c r="AC45" s="32"/>
      <c r="AD45" s="32"/>
      <c r="AE45" s="32"/>
      <c r="AJ45" s="36"/>
      <c r="AK45" s="36"/>
      <c r="AL45" s="36"/>
    </row>
    <row r="46" spans="2:38" ht="16.5" hidden="1" customHeight="1">
      <c r="B46" s="733"/>
      <c r="C46" s="713"/>
      <c r="D46" s="24" t="str">
        <f>IF($D$11="","Other",$D$11)</f>
        <v>Other</v>
      </c>
      <c r="E46" s="24" t="s">
        <v>81</v>
      </c>
      <c r="F46" s="36"/>
      <c r="G46" s="36"/>
      <c r="H46" s="24" t="s">
        <v>19</v>
      </c>
      <c r="I46" s="36"/>
      <c r="J46" s="36"/>
      <c r="K46" s="36"/>
      <c r="N46" s="850"/>
      <c r="O46" s="850"/>
      <c r="P46" s="850"/>
      <c r="Q46" s="39"/>
      <c r="R46" s="47"/>
      <c r="S46" s="39"/>
      <c r="T46" s="714"/>
      <c r="U46" s="736"/>
      <c r="W46" s="32"/>
      <c r="X46" s="32"/>
      <c r="Y46" s="32"/>
      <c r="AB46" s="32"/>
      <c r="AC46" s="32"/>
      <c r="AD46" s="32"/>
      <c r="AE46" s="32"/>
      <c r="AJ46" s="36"/>
      <c r="AK46" s="36"/>
      <c r="AL46" s="36"/>
    </row>
    <row r="47" spans="2:38" ht="16.5" hidden="1" customHeight="1">
      <c r="B47" s="733"/>
      <c r="C47" s="713"/>
      <c r="D47" s="24">
        <f>$D$10</f>
        <v>0</v>
      </c>
      <c r="E47" s="24" t="s">
        <v>58</v>
      </c>
      <c r="F47" s="36"/>
      <c r="G47" s="36"/>
      <c r="H47" s="24" t="s">
        <v>20</v>
      </c>
      <c r="I47" s="36"/>
      <c r="J47" s="36"/>
      <c r="K47" s="36"/>
      <c r="N47" s="850"/>
      <c r="O47" s="850"/>
      <c r="P47" s="850"/>
      <c r="Q47" s="39"/>
      <c r="R47" s="47"/>
      <c r="S47" s="39"/>
      <c r="T47" s="714"/>
      <c r="U47" s="736"/>
      <c r="W47" s="32"/>
      <c r="X47" s="32"/>
      <c r="Y47" s="32"/>
      <c r="AB47" s="32"/>
      <c r="AC47" s="32"/>
      <c r="AD47" s="32"/>
      <c r="AE47" s="32"/>
      <c r="AJ47" s="36"/>
      <c r="AK47" s="36"/>
      <c r="AL47" s="36"/>
    </row>
    <row r="48" spans="2:38" ht="17.25" customHeight="1">
      <c r="B48" s="733"/>
      <c r="C48" s="713"/>
      <c r="D48" s="911"/>
      <c r="E48" s="912"/>
      <c r="F48" s="912"/>
      <c r="G48" s="910"/>
      <c r="H48" s="924"/>
      <c r="I48" s="910"/>
      <c r="J48" s="1488"/>
      <c r="K48" s="1488"/>
      <c r="L48" s="1488"/>
      <c r="M48" s="1484"/>
      <c r="N48" s="1484"/>
      <c r="O48" s="1484"/>
      <c r="P48" s="851">
        <v>3182025135811</v>
      </c>
      <c r="Q48" s="931">
        <f>Calculate_CSV_Incomes(ROW(E48), F48, G48, H48, AB48, AC48)</f>
        <v>0</v>
      </c>
      <c r="R48" s="47"/>
      <c r="S48" s="931">
        <f>(IF(ISBLANK(E48),0,Calculate_Income(D48,E48,F48,G48,H48,I48,"BAV",SUM($H$122:$H$123),AA48,Q48,AB48,AC48)))</f>
        <v>0</v>
      </c>
      <c r="T48" s="714"/>
      <c r="U48" s="736"/>
      <c r="W48" s="931">
        <f>HEM_INCOME(IF(E48="Overseas",F48,E48),Q48,S48,I48)</f>
        <v>0</v>
      </c>
      <c r="X48" s="931">
        <f>TAX_INCOME(IF(E48="Overseas",F48,E48), AJ48, Q48, Z48, I48,AF48)</f>
        <v>0</v>
      </c>
      <c r="Y48" s="931">
        <f>IF(E48="Overseas",
IF(F48="Interest",X48,
IF(F48="Dividends",X48,
IF(F48="Employment (Regular)",CONVERT_TO_MONTHLY(G48,H48),
IF(F48="Employment (Irregular)",CONVERT_TO_MONTHLY(G48,H48),
Q48)))),0)</f>
        <v>0</v>
      </c>
      <c r="Z48" s="931">
        <f>IF(OR(E48="Rent (Resi)",F48="Rent (Resi)",E48="Rent (Short Stay)",F48="Rent (Short Stay)"),MIN(CONVERT_TO_MONTHLY(I48*RENTAL_YIELD_CAP*(AB48+AC48),"Annually"),Q48),0)</f>
        <v>0</v>
      </c>
      <c r="AA48" s="934">
        <f>AD48*$H$122+AE48*$H$123</f>
        <v>0</v>
      </c>
      <c r="AB48" s="934">
        <f>IF(D48=$D$10,1,
IF(D48=$D$11,0,
IF(ISERR(SEARCH($D$10,D48)),0,
(MID(D48,LEN($D$10)+2,SEARCH("%",D48)-LEN($D$10)-2)/100))))</f>
        <v>1</v>
      </c>
      <c r="AC48" s="934">
        <f>IF($D$11="",0,IF(D48=$D$11,1,
IF(D48=$D$10,0,
IF(ISERR(SEARCH($D$11,D48)),0,
MID(D48,SEARCH($D$11,D48)+LEN($D$11)+1,LEN(D48)-(SEARCH($D$11,D48)+LEN($D$11)+1))/100))))</f>
        <v>0</v>
      </c>
      <c r="AD48" s="934">
        <f>IF(SUM(AB48:AC48)=0,0,AB48/SUM(AB48:AC48))</f>
        <v>1</v>
      </c>
      <c r="AE48" s="934">
        <f>IF(SUM(AB48:AC48)=0,0,AC48/SUM(AB48:AC48))</f>
        <v>0</v>
      </c>
      <c r="AF48" s="934">
        <f>AC48+AB48</f>
        <v>1</v>
      </c>
      <c r="AG48" s="940">
        <f>IF(Q48=0,0,AB48*AI48)</f>
        <v>0</v>
      </c>
      <c r="AH48" s="940">
        <f>IF(Q48=0,0,AE48*AI48)</f>
        <v>0</v>
      </c>
      <c r="AI48" s="931">
        <f>MAX(RESI_INVESTMENT_EXPENSE_SENSITIVITY_MULTIPLIER * Z48*12, J48)</f>
        <v>0</v>
      </c>
      <c r="AJ48" s="938" t="str">
        <f>IF(IF(ISBLANK(F48),IF(ISBLANK(E48),"",VLOOKUP(E48,'Configurable Items'!$D$4690:$G$4700,4,FALSE)),VLOOKUP(F48,'Configurable Items'!$E$4702:$F$4730,2,FALSE))=0,"",IF(ISBLANK(F48),IF(ISBLANK(E48),"",VLOOKUP(E48,'Configurable Items'!$D$4690:$G$4700,4,FALSE)),VLOOKUP(F48,'Configurable Items'!$E$4702:$F$4730,2,FALSE)))</f>
        <v/>
      </c>
      <c r="AK48" s="931">
        <f>MAX(RESI_INVESTMENT_EXPENSE_SENSITIVITY_MULTIPLIER * Z48,AL48)</f>
        <v>0</v>
      </c>
      <c r="AL48" s="931">
        <f>J48/12*AF48</f>
        <v>0</v>
      </c>
    </row>
    <row r="49" spans="2:42" ht="3" customHeight="1">
      <c r="B49" s="733"/>
      <c r="C49" s="713"/>
      <c r="D49" s="852"/>
      <c r="E49" s="57"/>
      <c r="F49" s="57"/>
      <c r="G49" s="55"/>
      <c r="H49" s="46"/>
      <c r="I49" s="57"/>
      <c r="J49" s="57"/>
      <c r="K49" s="58"/>
      <c r="Q49" s="854"/>
      <c r="R49" s="40"/>
      <c r="S49" s="854"/>
      <c r="T49" s="714"/>
      <c r="U49" s="736"/>
      <c r="W49" s="55"/>
      <c r="X49" s="55"/>
      <c r="AD49" s="31"/>
      <c r="AE49" s="31"/>
      <c r="AJ49" s="31"/>
      <c r="AN49" s="1">
        <v>0</v>
      </c>
      <c r="AP49" s="1" t="b">
        <v>0</v>
      </c>
    </row>
    <row r="50" spans="2:42" ht="19.5" customHeight="1">
      <c r="B50" s="733"/>
      <c r="C50" s="713"/>
      <c r="G50" s="32"/>
      <c r="H50" s="32"/>
      <c r="I50" s="857"/>
      <c r="J50" s="857"/>
      <c r="K50" s="32"/>
      <c r="M50" s="34"/>
      <c r="N50" s="34"/>
      <c r="O50" s="34"/>
      <c r="P50" s="34"/>
      <c r="Q50" s="56">
        <f t="array" ref="Q50">SUM(ROUND(Q48:Q49,2))</f>
        <v>0</v>
      </c>
      <c r="R50" s="987"/>
      <c r="S50" s="56">
        <f t="array" ref="S50">SUM(ROUND(S48:S49,2))</f>
        <v>0</v>
      </c>
      <c r="T50" s="714"/>
      <c r="U50" s="736"/>
      <c r="X50" s="54"/>
      <c r="Y50" s="54"/>
      <c r="AC50" s="56">
        <f>Q50</f>
        <v>0</v>
      </c>
      <c r="AD50" s="31"/>
      <c r="AE50" s="31"/>
      <c r="AJ50" s="31"/>
    </row>
    <row r="51" spans="2:42" ht="16.5" customHeight="1">
      <c r="B51" s="733"/>
      <c r="C51" s="713"/>
      <c r="D51" s="161" t="s">
        <v>84</v>
      </c>
      <c r="G51" s="32"/>
      <c r="H51" s="32"/>
      <c r="I51" s="32"/>
      <c r="J51" s="32"/>
      <c r="L51" s="34"/>
      <c r="M51" s="34"/>
      <c r="N51" s="34"/>
      <c r="O51" s="34"/>
      <c r="P51" s="34"/>
      <c r="Q51" s="59">
        <f>SUM(Q37,Q50)</f>
        <v>0</v>
      </c>
      <c r="R51" s="856"/>
      <c r="S51" s="59">
        <f>SUM(S37,S50)</f>
        <v>0</v>
      </c>
      <c r="T51" s="901"/>
      <c r="U51" s="736"/>
      <c r="W51" s="54"/>
      <c r="X51" s="60"/>
      <c r="Z51" s="60"/>
      <c r="AA51" s="31"/>
      <c r="AB51" s="61"/>
      <c r="AC51" s="59">
        <f>SUM(AC37,AC50)</f>
        <v>0</v>
      </c>
      <c r="AD51" s="31"/>
      <c r="AE51" s="31"/>
      <c r="AJ51" s="31"/>
      <c r="AK51" s="59">
        <f>SUM(AK48:AK50)</f>
        <v>0</v>
      </c>
      <c r="AL51" s="59">
        <f>SUM(AL48:AL50)</f>
        <v>0</v>
      </c>
    </row>
    <row r="52" spans="2:42" ht="7.5" customHeight="1">
      <c r="B52" s="733"/>
      <c r="C52" s="807"/>
      <c r="D52" s="961"/>
      <c r="E52" s="727"/>
      <c r="F52" s="727"/>
      <c r="G52" s="948"/>
      <c r="H52" s="948"/>
      <c r="I52" s="948"/>
      <c r="J52" s="948"/>
      <c r="K52" s="727"/>
      <c r="L52" s="715"/>
      <c r="M52" s="715"/>
      <c r="N52" s="715"/>
      <c r="O52" s="715"/>
      <c r="P52" s="715"/>
      <c r="Q52" s="949"/>
      <c r="R52" s="950"/>
      <c r="S52" s="949"/>
      <c r="T52" s="908"/>
      <c r="U52" s="736"/>
      <c r="W52" s="54"/>
      <c r="X52" s="60"/>
      <c r="Z52" s="60"/>
      <c r="AA52" s="31"/>
      <c r="AB52" s="61"/>
      <c r="AC52" s="59"/>
      <c r="AD52" s="31"/>
      <c r="AE52" s="31"/>
      <c r="AJ52" s="31"/>
    </row>
    <row r="53" spans="2:42" ht="7.5" customHeight="1">
      <c r="B53" s="733"/>
      <c r="C53" s="731"/>
      <c r="D53" s="963"/>
      <c r="E53" s="731"/>
      <c r="F53" s="731"/>
      <c r="G53" s="964"/>
      <c r="H53" s="964"/>
      <c r="I53" s="964"/>
      <c r="J53" s="964"/>
      <c r="K53" s="731"/>
      <c r="L53" s="731"/>
      <c r="M53" s="731"/>
      <c r="N53" s="731"/>
      <c r="O53" s="731"/>
      <c r="P53" s="731"/>
      <c r="Q53" s="965"/>
      <c r="R53" s="952"/>
      <c r="S53" s="965"/>
      <c r="T53" s="952"/>
      <c r="U53" s="736"/>
      <c r="AD53" s="31"/>
      <c r="AE53" s="31"/>
      <c r="AJ53" s="31"/>
    </row>
    <row r="54" spans="2:42" ht="17.25" customHeight="1">
      <c r="B54" s="733"/>
      <c r="C54" s="958" t="s">
        <v>85</v>
      </c>
      <c r="D54" s="735"/>
      <c r="E54" s="735"/>
      <c r="F54" s="735"/>
      <c r="G54" s="966"/>
      <c r="H54" s="967"/>
      <c r="I54" s="967"/>
      <c r="J54" s="967"/>
      <c r="K54" s="735"/>
      <c r="L54" s="735"/>
      <c r="M54" s="735"/>
      <c r="N54" s="735"/>
      <c r="O54" s="735"/>
      <c r="P54" s="735"/>
      <c r="Q54" s="968"/>
      <c r="R54" s="893"/>
      <c r="S54" s="968"/>
      <c r="T54" s="893"/>
      <c r="U54" s="736"/>
      <c r="AD54" s="31"/>
      <c r="AE54" s="31"/>
      <c r="AJ54" s="31"/>
    </row>
    <row r="55" spans="2:42" ht="7.5" customHeight="1">
      <c r="B55" s="733"/>
      <c r="C55" s="969"/>
      <c r="D55" s="743"/>
      <c r="E55" s="743"/>
      <c r="F55" s="743"/>
      <c r="G55" s="970"/>
      <c r="H55" s="971"/>
      <c r="I55" s="971"/>
      <c r="J55" s="971"/>
      <c r="K55" s="743"/>
      <c r="L55" s="743"/>
      <c r="M55" s="743"/>
      <c r="N55" s="743"/>
      <c r="O55" s="743"/>
      <c r="P55" s="743"/>
      <c r="Q55" s="972"/>
      <c r="R55" s="957"/>
      <c r="S55" s="972"/>
      <c r="T55" s="973"/>
      <c r="U55" s="736"/>
      <c r="AD55" s="31"/>
      <c r="AE55" s="31"/>
      <c r="AJ55" s="31"/>
    </row>
    <row r="56" spans="2:42" ht="17.25" customHeight="1">
      <c r="B56" s="733"/>
      <c r="C56" s="713"/>
      <c r="D56" s="858" t="s">
        <v>86</v>
      </c>
      <c r="G56" s="32"/>
      <c r="H56" s="32"/>
      <c r="I56" s="32"/>
      <c r="J56" s="32"/>
      <c r="K56" s="32"/>
      <c r="M56" s="34"/>
      <c r="N56" s="34"/>
      <c r="O56" s="34"/>
      <c r="P56" s="34"/>
      <c r="Q56" s="838"/>
      <c r="R56" s="493"/>
      <c r="S56" s="838"/>
      <c r="T56" s="714"/>
      <c r="U56" s="736"/>
      <c r="AA56" s="39" t="s">
        <v>87</v>
      </c>
      <c r="AB56" s="39" t="s">
        <v>63</v>
      </c>
      <c r="AC56" s="39"/>
      <c r="AD56" s="39" t="s">
        <v>64</v>
      </c>
      <c r="AE56" s="39"/>
      <c r="AF56" s="39" t="s">
        <v>65</v>
      </c>
      <c r="AG56" s="39" t="s">
        <v>8607</v>
      </c>
      <c r="AI56" s="39"/>
      <c r="AJ56" s="31"/>
    </row>
    <row r="57" spans="2:42" ht="17.25" customHeight="1">
      <c r="B57" s="733"/>
      <c r="C57" s="713"/>
      <c r="D57" s="36" t="s">
        <v>13</v>
      </c>
      <c r="E57" s="36" t="s">
        <v>88</v>
      </c>
      <c r="F57" s="36" t="s">
        <v>89</v>
      </c>
      <c r="G57" s="36" t="s">
        <v>8597</v>
      </c>
      <c r="H57" s="36" t="s">
        <v>90</v>
      </c>
      <c r="I57" s="36" t="s">
        <v>8648</v>
      </c>
      <c r="J57" s="1482" t="s">
        <v>8649</v>
      </c>
      <c r="K57" s="1482"/>
      <c r="L57" s="36" t="s">
        <v>92</v>
      </c>
      <c r="M57" s="36" t="s">
        <v>91</v>
      </c>
      <c r="N57" s="36" t="s">
        <v>15</v>
      </c>
      <c r="O57" s="36" t="s">
        <v>71</v>
      </c>
      <c r="P57" s="850"/>
      <c r="Q57" s="39" t="s">
        <v>93</v>
      </c>
      <c r="R57" s="47"/>
      <c r="S57" s="39" t="s">
        <v>94</v>
      </c>
      <c r="T57" s="714"/>
      <c r="U57" s="736"/>
      <c r="W57" s="39" t="str">
        <f>D10 &amp; " Deducation"</f>
        <v xml:space="preserve"> Deducation</v>
      </c>
      <c r="X57" s="39" t="str">
        <f>D11 &amp; " Deducation"</f>
        <v xml:space="preserve"> Deducation</v>
      </c>
      <c r="Y57" s="39" t="s">
        <v>8598</v>
      </c>
      <c r="Z57" s="39" t="s">
        <v>95</v>
      </c>
      <c r="AA57" s="39"/>
      <c r="AB57" s="39" t="str">
        <f>IF($D$10="","",$D$10)</f>
        <v/>
      </c>
      <c r="AC57" s="39" t="str">
        <f>IF($D$11="","",$D$11)</f>
        <v/>
      </c>
      <c r="AD57" s="39" t="str">
        <f>IF($D$10="","",$D$10)</f>
        <v/>
      </c>
      <c r="AE57" s="39" t="str">
        <f>IF($D$11="","",$D$11)</f>
        <v/>
      </c>
      <c r="AF57" s="39"/>
      <c r="AG57" s="39" t="s">
        <v>8627</v>
      </c>
      <c r="AH57" s="39" t="s">
        <v>8611</v>
      </c>
      <c r="AI57" s="39" t="s">
        <v>8610</v>
      </c>
      <c r="AK57" s="39" t="s">
        <v>8625</v>
      </c>
    </row>
    <row r="58" spans="2:42" ht="17.25" hidden="1" customHeight="1">
      <c r="B58" s="733"/>
      <c r="C58" s="713"/>
      <c r="D58" s="24" t="s">
        <v>96</v>
      </c>
      <c r="E58" s="36"/>
      <c r="F58" s="36"/>
      <c r="G58" s="36"/>
      <c r="H58" s="36"/>
      <c r="I58" s="36"/>
      <c r="L58" s="36"/>
      <c r="M58" s="36"/>
      <c r="N58" s="36"/>
      <c r="O58" s="34"/>
      <c r="P58" s="850"/>
      <c r="Q58" s="39"/>
      <c r="R58" s="47"/>
      <c r="S58" s="39"/>
      <c r="T58" s="714"/>
      <c r="U58" s="736"/>
      <c r="W58" s="32"/>
      <c r="X58" s="32"/>
      <c r="Y58" s="32"/>
      <c r="Z58" s="32"/>
      <c r="AB58" s="32"/>
      <c r="AC58" s="32"/>
      <c r="AD58" s="32"/>
      <c r="AE58" s="32"/>
    </row>
    <row r="59" spans="2:42" ht="17.25" hidden="1" customHeight="1">
      <c r="B59" s="733"/>
      <c r="C59" s="713"/>
      <c r="D59" s="24" t="s">
        <v>97</v>
      </c>
      <c r="E59" s="36"/>
      <c r="F59" s="36"/>
      <c r="G59" s="36"/>
      <c r="H59" s="36"/>
      <c r="I59" s="24"/>
      <c r="L59" s="36"/>
      <c r="M59" s="36"/>
      <c r="N59" s="36"/>
      <c r="O59" s="34"/>
      <c r="P59" s="850"/>
      <c r="Q59" s="39"/>
      <c r="R59" s="47"/>
      <c r="S59" s="39"/>
      <c r="T59" s="714"/>
      <c r="U59" s="736"/>
      <c r="W59" s="32"/>
      <c r="X59" s="32"/>
      <c r="Y59" s="32"/>
      <c r="Z59" s="32"/>
      <c r="AB59" s="32"/>
      <c r="AC59" s="32"/>
      <c r="AD59" s="32"/>
      <c r="AE59" s="32"/>
    </row>
    <row r="60" spans="2:42" ht="17.25" hidden="1" customHeight="1">
      <c r="B60" s="733"/>
      <c r="C60" s="713"/>
      <c r="D60" s="24" t="s">
        <v>98</v>
      </c>
      <c r="E60" s="36"/>
      <c r="F60" s="36"/>
      <c r="G60" s="36"/>
      <c r="H60" s="36"/>
      <c r="I60" s="24" t="s">
        <v>16</v>
      </c>
      <c r="L60" s="36"/>
      <c r="M60" s="36"/>
      <c r="N60" s="36"/>
      <c r="O60" s="34"/>
      <c r="P60" s="850"/>
      <c r="Q60" s="39"/>
      <c r="R60" s="47"/>
      <c r="S60" s="39"/>
      <c r="T60" s="714"/>
      <c r="U60" s="736"/>
      <c r="W60" s="32"/>
      <c r="X60" s="32"/>
      <c r="Y60" s="32"/>
      <c r="Z60" s="32"/>
      <c r="AB60" s="32"/>
      <c r="AC60" s="32"/>
      <c r="AD60" s="32"/>
      <c r="AE60" s="32"/>
    </row>
    <row r="61" spans="2:42" ht="17.25" hidden="1" customHeight="1">
      <c r="B61" s="733"/>
      <c r="C61" s="713"/>
      <c r="D61" s="24" t="s">
        <v>99</v>
      </c>
      <c r="E61" s="36"/>
      <c r="F61" s="36"/>
      <c r="G61" s="36"/>
      <c r="H61" s="36"/>
      <c r="I61" s="24" t="s">
        <v>17</v>
      </c>
      <c r="L61" s="36"/>
      <c r="M61" s="36"/>
      <c r="N61" s="36"/>
      <c r="O61" s="34"/>
      <c r="P61" s="850"/>
      <c r="Q61" s="39"/>
      <c r="R61" s="47"/>
      <c r="S61" s="39"/>
      <c r="T61" s="714"/>
      <c r="U61" s="736"/>
      <c r="W61" s="32"/>
      <c r="X61" s="32"/>
      <c r="Y61" s="32"/>
      <c r="Z61" s="32"/>
      <c r="AB61" s="32"/>
      <c r="AC61" s="32"/>
      <c r="AD61" s="32"/>
      <c r="AE61" s="32"/>
    </row>
    <row r="62" spans="2:42" ht="17.25" hidden="1" customHeight="1">
      <c r="B62" s="733"/>
      <c r="C62" s="713"/>
      <c r="D62" s="24" t="s">
        <v>100</v>
      </c>
      <c r="E62" s="36"/>
      <c r="F62" s="36"/>
      <c r="G62" s="36"/>
      <c r="H62" s="36"/>
      <c r="I62" s="24" t="s">
        <v>3</v>
      </c>
      <c r="L62" s="36"/>
      <c r="M62" s="36"/>
      <c r="N62" s="36"/>
      <c r="O62" s="34"/>
      <c r="P62" s="850"/>
      <c r="Q62" s="39"/>
      <c r="R62" s="47"/>
      <c r="S62" s="39"/>
      <c r="T62" s="714"/>
      <c r="U62" s="736"/>
      <c r="W62" s="32"/>
      <c r="X62" s="32"/>
      <c r="Y62" s="32"/>
      <c r="Z62" s="32"/>
      <c r="AB62" s="32"/>
      <c r="AC62" s="32"/>
      <c r="AD62" s="32"/>
      <c r="AE62" s="32"/>
    </row>
    <row r="63" spans="2:42" ht="17.25" hidden="1" customHeight="1">
      <c r="B63" s="733"/>
      <c r="C63" s="713"/>
      <c r="D63" s="24" t="s">
        <v>101</v>
      </c>
      <c r="E63" s="36"/>
      <c r="F63" s="36"/>
      <c r="G63" s="24"/>
      <c r="H63" s="36"/>
      <c r="I63" s="24" t="s">
        <v>18</v>
      </c>
      <c r="L63" s="36"/>
      <c r="M63" s="36"/>
      <c r="N63" s="36"/>
      <c r="O63" s="34"/>
      <c r="P63" s="850"/>
      <c r="Q63" s="39"/>
      <c r="R63" s="47"/>
      <c r="S63" s="39"/>
      <c r="T63" s="714"/>
      <c r="U63" s="736"/>
      <c r="W63" s="32"/>
      <c r="X63" s="32"/>
      <c r="Y63" s="32"/>
      <c r="Z63" s="32"/>
      <c r="AB63" s="32"/>
      <c r="AC63" s="32"/>
      <c r="AD63" s="32"/>
      <c r="AE63" s="32"/>
    </row>
    <row r="64" spans="2:42" ht="17.25" hidden="1" customHeight="1">
      <c r="B64" s="733"/>
      <c r="C64" s="713"/>
      <c r="D64" s="24" t="s">
        <v>102</v>
      </c>
      <c r="E64" s="36"/>
      <c r="F64" s="36"/>
      <c r="G64" s="24" t="s">
        <v>58</v>
      </c>
      <c r="H64" s="36"/>
      <c r="I64" s="24" t="s">
        <v>2</v>
      </c>
      <c r="L64" s="36"/>
      <c r="M64" s="36"/>
      <c r="N64" s="36"/>
      <c r="O64" s="34"/>
      <c r="P64" s="850"/>
      <c r="Q64" s="39"/>
      <c r="R64" s="47"/>
      <c r="S64" s="39"/>
      <c r="T64" s="714"/>
      <c r="U64" s="736"/>
      <c r="W64" s="32"/>
      <c r="X64" s="32"/>
      <c r="Y64" s="32"/>
      <c r="Z64" s="32"/>
      <c r="AB64" s="32"/>
      <c r="AC64" s="32"/>
      <c r="AD64" s="32"/>
      <c r="AE64" s="32"/>
      <c r="AN64" s="1">
        <v>0</v>
      </c>
      <c r="AP64" s="1" t="b">
        <v>0</v>
      </c>
    </row>
    <row r="65" spans="2:42" ht="17.25" hidden="1" customHeight="1">
      <c r="B65" s="733"/>
      <c r="C65" s="713"/>
      <c r="D65" s="24" t="s">
        <v>103</v>
      </c>
      <c r="E65" s="24" t="b">
        <v>1</v>
      </c>
      <c r="F65" s="24" t="b">
        <v>1</v>
      </c>
      <c r="G65" s="24" t="str">
        <f>IF($D$11="","Other",$D$11)</f>
        <v>Other</v>
      </c>
      <c r="H65" s="36"/>
      <c r="I65" s="24" t="s">
        <v>19</v>
      </c>
      <c r="L65" s="36"/>
      <c r="M65" s="36"/>
      <c r="N65" s="36"/>
      <c r="O65" s="34"/>
      <c r="P65" s="850"/>
      <c r="Q65" s="39"/>
      <c r="R65" s="47"/>
      <c r="S65" s="39"/>
      <c r="T65" s="714"/>
      <c r="U65" s="736"/>
      <c r="W65" s="32"/>
      <c r="X65" s="32"/>
      <c r="Y65" s="32"/>
      <c r="Z65" s="32"/>
      <c r="AB65" s="32"/>
      <c r="AC65" s="32"/>
      <c r="AD65" s="32"/>
      <c r="AE65" s="32"/>
    </row>
    <row r="66" spans="2:42" ht="17.25" hidden="1" customHeight="1">
      <c r="B66" s="733"/>
      <c r="C66" s="713"/>
      <c r="D66" s="24" t="s">
        <v>104</v>
      </c>
      <c r="E66" s="24" t="b">
        <v>0</v>
      </c>
      <c r="F66" s="24" t="b">
        <v>0</v>
      </c>
      <c r="G66" s="24">
        <f>$D$10</f>
        <v>0</v>
      </c>
      <c r="H66" s="36"/>
      <c r="I66" s="24" t="s">
        <v>20</v>
      </c>
      <c r="L66" s="36"/>
      <c r="M66" s="36"/>
      <c r="N66" s="36"/>
      <c r="O66" s="34"/>
      <c r="P66" s="850"/>
      <c r="Q66" s="39"/>
      <c r="R66" s="47"/>
      <c r="S66" s="39"/>
      <c r="T66" s="714"/>
      <c r="U66" s="736"/>
      <c r="W66" s="32"/>
      <c r="X66" s="32"/>
      <c r="Y66" s="32"/>
      <c r="Z66" s="32"/>
      <c r="AB66" s="32"/>
      <c r="AC66" s="32"/>
      <c r="AD66" s="32"/>
      <c r="AE66" s="32"/>
    </row>
    <row r="67" spans="2:42" ht="17.25" customHeight="1">
      <c r="B67" s="733"/>
      <c r="C67" s="713"/>
      <c r="D67" s="912"/>
      <c r="E67" s="718"/>
      <c r="F67" s="928"/>
      <c r="G67" s="911"/>
      <c r="H67" s="910"/>
      <c r="I67" s="1351"/>
      <c r="J67" s="913"/>
      <c r="K67" s="913"/>
      <c r="L67" s="1017"/>
      <c r="M67" s="1351"/>
      <c r="N67" s="935"/>
      <c r="O67" s="912"/>
      <c r="P67" s="850"/>
      <c r="Q67" s="931">
        <f>IF(ISBLANK(D67),0,Calculate_Repayment(D67, E67, H67, M67, N67, J67, K67, L67, FALSE))*(AB67+AC67)</f>
        <v>0</v>
      </c>
      <c r="R67" s="47"/>
      <c r="S67" s="931">
        <f>IF(ISBLANK(D67),0,Calculate_Repayment(D67, E67, H67+I67, M67, N67, J67, K67, L67, TRUE))*(AA67)</f>
        <v>0</v>
      </c>
      <c r="T67" s="714"/>
      <c r="U67" s="736"/>
      <c r="W67" s="931">
        <f>IF(AND($F67=TRUE,OR($D67="Home Loan",$D67="Residential Inv Loan",$D67="Property Line of Credit"),'Internal Ref'!$J$237&gt;0),
IF($L67="",RIL_INDEX_RATE*$H67*AB67,$L67*$H67*AB67),0)</f>
        <v>0</v>
      </c>
      <c r="X67" s="931">
        <f>IF(AND($F67=TRUE,OR($D67="Home Loan",$D67="Residential Inv Loan",$D67="Property Line of Credit"),'Internal Ref'!$J$237&gt;0),
IF($L67="",RIL_INDEX_RATE*$H67*AC67,$L67*$H67*AC67),0)</f>
        <v>0</v>
      </c>
      <c r="Y67" s="931" t="e">
        <f ca="1">VLOOKUP(G67,INDIRECT('Internal Ref'!$G$245),2,FALSE)</f>
        <v>#N/A</v>
      </c>
      <c r="Z67" s="931">
        <f>W67+X67</f>
        <v>0</v>
      </c>
      <c r="AA67" s="934">
        <f>IF(ISERR(SEARCH("^",G67)),AB67+AC67,1)</f>
        <v>1</v>
      </c>
      <c r="AB67" s="934">
        <f>IF(G67=$D$10,1,
IF(G67=$D$11,0,
IF(ISERR(SEARCH($D$10,G67)),0,
(MID(G67,LEN($D$10)+2,SEARCH("%",G67)-LEN($D$10)-2)/100))))</f>
        <v>1</v>
      </c>
      <c r="AC67" s="934">
        <f>IF($D$11="",0,IF(G67=$D$11,1,
IF(G67=$D$10,0,
IF(ISERR(SEARCH($D$11,G67)),0,
MID(G67,SEARCH($D$11,G67)+LEN($D$11)+1,LEN(G67)-(SEARCH($D$11,G67)+LEN($D$11)+IF(ISERR(SEARCH("^",G67)),1,2)))/100))))</f>
        <v>0</v>
      </c>
      <c r="AD67" s="934">
        <f>IF(SUM(AB67:AC67)=0,0,AB67/SUM(AB67:AC67))</f>
        <v>1</v>
      </c>
      <c r="AE67" s="934">
        <f>IF(SUM(AB67:AC67)=0,0,AC67/SUM(AB67:AC67))</f>
        <v>0</v>
      </c>
      <c r="AF67" s="934">
        <f>AC67+AB67</f>
        <v>1</v>
      </c>
      <c r="AG67" s="938">
        <f>IF(AH67="",0,IF(LEN(AH67)-LEN(SUBSTITUTE(AH67,"|",""))=0,"1^",LEN(AH67)-LEN(SUBSTITUTE(AH67,"|",""))))</f>
        <v>0</v>
      </c>
      <c r="AH67" s="930"/>
      <c r="AI67" s="930" t="e">
        <f ca="1">VLOOKUP(G67,INDIRECT('Internal Ref'!$G$245),4,FALSE)</f>
        <v>#N/A</v>
      </c>
      <c r="AK67" s="1483" t="str" cm="1">
        <f t="array" ref="AK67">LinkedSecurities($AB$11,AH67,AG67,"Security",$AD$10+$AD$11+$AD$12)</f>
        <v/>
      </c>
      <c r="AL67" s="1483"/>
      <c r="AM67" s="1483"/>
    </row>
    <row r="68" spans="2:42" ht="2.25" customHeight="1">
      <c r="B68" s="733"/>
      <c r="C68" s="713"/>
      <c r="D68" s="859"/>
      <c r="E68" s="534"/>
      <c r="F68" s="988"/>
      <c r="G68" s="534"/>
      <c r="H68" s="861"/>
      <c r="I68" s="861"/>
      <c r="J68" s="861"/>
      <c r="K68" s="862"/>
      <c r="L68" s="62"/>
      <c r="M68" s="863"/>
      <c r="O68" s="34"/>
      <c r="P68" s="846"/>
      <c r="Q68" s="847"/>
      <c r="R68" s="848"/>
      <c r="S68" s="847"/>
      <c r="T68" s="714"/>
      <c r="U68" s="736"/>
      <c r="AD68" s="31"/>
      <c r="AE68" s="31"/>
      <c r="AG68" s="39"/>
      <c r="AH68" s="39"/>
      <c r="AJ68" s="31"/>
    </row>
    <row r="69" spans="2:42" ht="17.25" customHeight="1">
      <c r="B69" s="733"/>
      <c r="C69" s="713"/>
      <c r="G69" s="32"/>
      <c r="H69" s="32"/>
      <c r="I69" s="32"/>
      <c r="J69" s="32"/>
      <c r="K69" s="32"/>
      <c r="M69" s="34"/>
      <c r="O69" s="34"/>
      <c r="P69" s="34"/>
      <c r="Q69" s="56">
        <f t="array" ref="Q69">SUM(ROUND(Q67:Q68,2))</f>
        <v>0</v>
      </c>
      <c r="R69" s="834"/>
      <c r="S69" s="56">
        <f t="array" ref="S69">SUM(ROUND(S67:S68,2))</f>
        <v>0</v>
      </c>
      <c r="T69" s="714"/>
      <c r="U69" s="736"/>
      <c r="AD69" s="31"/>
      <c r="AE69" s="31"/>
      <c r="AG69" s="39"/>
      <c r="AH69" s="39"/>
      <c r="AJ69" s="31"/>
    </row>
    <row r="70" spans="2:42" ht="17.25" customHeight="1">
      <c r="B70" s="733"/>
      <c r="C70" s="713"/>
      <c r="D70" s="858"/>
      <c r="M70" s="34"/>
      <c r="N70" s="34"/>
      <c r="O70" s="34"/>
      <c r="P70" s="34"/>
      <c r="Q70" s="838"/>
      <c r="R70" s="493"/>
      <c r="S70" s="838"/>
      <c r="T70" s="714"/>
      <c r="U70" s="736"/>
      <c r="AD70" s="31"/>
      <c r="AE70" s="31"/>
      <c r="AG70" s="39"/>
      <c r="AH70" s="39"/>
      <c r="AJ70" s="31"/>
    </row>
    <row r="71" spans="2:42" ht="17.25" customHeight="1">
      <c r="B71" s="733"/>
      <c r="C71" s="713"/>
      <c r="D71" s="858" t="s">
        <v>106</v>
      </c>
      <c r="M71" s="34"/>
      <c r="N71" s="34"/>
      <c r="O71" s="34"/>
      <c r="P71" s="34"/>
      <c r="T71" s="714"/>
      <c r="U71" s="736"/>
      <c r="X71" s="39"/>
      <c r="AD71" s="31"/>
      <c r="AE71" s="31"/>
      <c r="AG71" s="39"/>
      <c r="AH71" s="39"/>
      <c r="AJ71" s="31"/>
    </row>
    <row r="72" spans="2:42" ht="17.25" customHeight="1">
      <c r="B72" s="733"/>
      <c r="C72" s="713"/>
      <c r="D72" s="36" t="s">
        <v>13</v>
      </c>
      <c r="E72" s="36" t="s">
        <v>14</v>
      </c>
      <c r="F72" s="36" t="s">
        <v>15</v>
      </c>
      <c r="G72" s="846"/>
      <c r="H72" s="36" t="s">
        <v>13</v>
      </c>
      <c r="I72" s="36" t="s">
        <v>14</v>
      </c>
      <c r="J72" s="1482" t="s">
        <v>15</v>
      </c>
      <c r="K72" s="1482"/>
      <c r="M72" s="34"/>
      <c r="N72" s="34"/>
      <c r="O72" s="34"/>
      <c r="P72" s="34"/>
      <c r="Q72" s="39" t="s">
        <v>93</v>
      </c>
      <c r="R72" s="47"/>
      <c r="S72" s="39" t="s">
        <v>94</v>
      </c>
      <c r="T72" s="714"/>
      <c r="U72" s="736"/>
      <c r="W72" s="39" t="s">
        <v>93</v>
      </c>
      <c r="Y72" s="34"/>
      <c r="AD72" s="31"/>
      <c r="AE72" s="31"/>
      <c r="AG72" s="39"/>
      <c r="AH72" s="39"/>
      <c r="AJ72" s="31"/>
    </row>
    <row r="73" spans="2:42" ht="17.25" hidden="1" customHeight="1">
      <c r="B73" s="733"/>
      <c r="C73" s="713"/>
      <c r="D73" s="36"/>
      <c r="E73" s="36"/>
      <c r="F73" s="24" t="s">
        <v>16</v>
      </c>
      <c r="G73" s="846"/>
      <c r="H73" s="36"/>
      <c r="I73" s="36"/>
      <c r="J73" s="36"/>
      <c r="K73" s="24" t="s">
        <v>16</v>
      </c>
      <c r="M73" s="34"/>
      <c r="N73" s="34"/>
      <c r="O73" s="34"/>
      <c r="P73" s="34"/>
      <c r="Q73" s="864"/>
      <c r="R73" s="865"/>
      <c r="S73" s="864"/>
      <c r="T73" s="714"/>
      <c r="U73" s="736"/>
      <c r="Y73" s="34"/>
      <c r="AD73" s="31"/>
      <c r="AE73" s="31"/>
      <c r="AG73" s="39"/>
      <c r="AH73" s="39"/>
      <c r="AJ73" s="31"/>
    </row>
    <row r="74" spans="2:42" ht="17.25" hidden="1" customHeight="1">
      <c r="B74" s="733"/>
      <c r="C74" s="713"/>
      <c r="D74" s="36"/>
      <c r="E74" s="36"/>
      <c r="F74" s="24" t="s">
        <v>17</v>
      </c>
      <c r="G74" s="846"/>
      <c r="H74" s="36"/>
      <c r="I74" s="36"/>
      <c r="J74" s="36"/>
      <c r="K74" s="24" t="s">
        <v>17</v>
      </c>
      <c r="M74" s="34"/>
      <c r="N74" s="34"/>
      <c r="O74" s="34"/>
      <c r="P74" s="34"/>
      <c r="Q74" s="864"/>
      <c r="R74" s="865"/>
      <c r="S74" s="864"/>
      <c r="T74" s="714"/>
      <c r="U74" s="736"/>
      <c r="Y74" s="34"/>
      <c r="AD74" s="31"/>
      <c r="AE74" s="31"/>
      <c r="AG74" s="39"/>
      <c r="AH74" s="39"/>
      <c r="AJ74" s="31"/>
    </row>
    <row r="75" spans="2:42" ht="17.25" hidden="1" customHeight="1">
      <c r="B75" s="733"/>
      <c r="C75" s="713"/>
      <c r="D75" s="36"/>
      <c r="E75" s="36"/>
      <c r="F75" s="24" t="s">
        <v>3</v>
      </c>
      <c r="G75" s="846"/>
      <c r="H75" s="36"/>
      <c r="I75" s="36"/>
      <c r="J75" s="36"/>
      <c r="K75" s="24" t="s">
        <v>3</v>
      </c>
      <c r="M75" s="34"/>
      <c r="N75" s="34"/>
      <c r="O75" s="34"/>
      <c r="P75" s="34"/>
      <c r="Q75" s="864"/>
      <c r="R75" s="865"/>
      <c r="S75" s="864"/>
      <c r="T75" s="714"/>
      <c r="U75" s="736"/>
      <c r="Y75" s="34"/>
      <c r="AD75" s="31"/>
      <c r="AE75" s="31"/>
      <c r="AG75" s="39"/>
      <c r="AH75" s="39"/>
      <c r="AJ75" s="31"/>
    </row>
    <row r="76" spans="2:42" ht="17.25" hidden="1" customHeight="1">
      <c r="B76" s="733"/>
      <c r="C76" s="713"/>
      <c r="D76" s="36"/>
      <c r="E76" s="36"/>
      <c r="F76" s="24" t="s">
        <v>18</v>
      </c>
      <c r="G76" s="846"/>
      <c r="H76" s="36"/>
      <c r="I76" s="36"/>
      <c r="J76" s="36"/>
      <c r="K76" s="24" t="s">
        <v>18</v>
      </c>
      <c r="M76" s="34"/>
      <c r="N76" s="34"/>
      <c r="O76" s="34"/>
      <c r="P76" s="34"/>
      <c r="Q76" s="864"/>
      <c r="R76" s="865"/>
      <c r="S76" s="864"/>
      <c r="T76" s="714"/>
      <c r="U76" s="736"/>
      <c r="Y76" s="34"/>
      <c r="AD76" s="31"/>
      <c r="AE76" s="31"/>
      <c r="AG76" s="39"/>
      <c r="AH76" s="39"/>
      <c r="AJ76" s="31"/>
    </row>
    <row r="77" spans="2:42" ht="17.25" hidden="1" customHeight="1">
      <c r="B77" s="733"/>
      <c r="C77" s="713"/>
      <c r="D77" s="36"/>
      <c r="E77" s="36"/>
      <c r="F77" s="24" t="s">
        <v>2</v>
      </c>
      <c r="G77" s="846"/>
      <c r="H77" s="36"/>
      <c r="I77" s="36"/>
      <c r="J77" s="36"/>
      <c r="K77" s="24" t="s">
        <v>2</v>
      </c>
      <c r="M77" s="34"/>
      <c r="N77" s="34"/>
      <c r="O77" s="34"/>
      <c r="P77" s="34"/>
      <c r="Q77" s="864"/>
      <c r="R77" s="865"/>
      <c r="S77" s="864"/>
      <c r="T77" s="714"/>
      <c r="U77" s="736"/>
      <c r="Y77" s="34"/>
      <c r="AD77" s="31"/>
      <c r="AE77" s="31"/>
      <c r="AG77" s="39"/>
      <c r="AH77" s="39"/>
      <c r="AJ77" s="31"/>
      <c r="AN77" s="1">
        <v>0</v>
      </c>
      <c r="AP77" s="1" t="b">
        <v>0</v>
      </c>
    </row>
    <row r="78" spans="2:42" ht="17.25" hidden="1" customHeight="1">
      <c r="B78" s="733"/>
      <c r="C78" s="713"/>
      <c r="D78" s="36"/>
      <c r="E78" s="36"/>
      <c r="F78" s="24" t="s">
        <v>19</v>
      </c>
      <c r="G78" s="846"/>
      <c r="H78" s="36"/>
      <c r="I78" s="36"/>
      <c r="J78" s="36"/>
      <c r="K78" s="24" t="s">
        <v>19</v>
      </c>
      <c r="M78" s="34"/>
      <c r="N78" s="34"/>
      <c r="O78" s="34"/>
      <c r="P78" s="34"/>
      <c r="Q78" s="864"/>
      <c r="R78" s="865"/>
      <c r="S78" s="864"/>
      <c r="T78" s="714"/>
      <c r="U78" s="736"/>
      <c r="Y78" s="34"/>
      <c r="AD78" s="31"/>
      <c r="AE78" s="31"/>
      <c r="AG78" s="39"/>
      <c r="AH78" s="39"/>
      <c r="AJ78" s="31"/>
    </row>
    <row r="79" spans="2:42" ht="17.25" hidden="1" customHeight="1">
      <c r="B79" s="733"/>
      <c r="C79" s="713"/>
      <c r="D79" s="36"/>
      <c r="E79" s="36"/>
      <c r="F79" s="24" t="s">
        <v>20</v>
      </c>
      <c r="G79" s="846"/>
      <c r="H79" s="36"/>
      <c r="I79" s="36"/>
      <c r="J79" s="36"/>
      <c r="K79" s="24" t="s">
        <v>20</v>
      </c>
      <c r="M79" s="34"/>
      <c r="N79" s="34"/>
      <c r="O79" s="34"/>
      <c r="P79" s="34"/>
      <c r="Q79" s="864"/>
      <c r="R79" s="865"/>
      <c r="S79" s="864"/>
      <c r="T79" s="714"/>
      <c r="U79" s="736"/>
      <c r="Y79" s="34"/>
      <c r="AD79" s="31"/>
      <c r="AE79" s="31"/>
      <c r="AG79" s="39"/>
      <c r="AH79" s="39"/>
      <c r="AJ79" s="31"/>
    </row>
    <row r="80" spans="2:42" ht="17.25" customHeight="1">
      <c r="B80" s="733"/>
      <c r="C80" s="713"/>
      <c r="D80" s="935" t="s">
        <v>9087</v>
      </c>
      <c r="E80" s="916"/>
      <c r="F80" s="917" t="s">
        <v>3</v>
      </c>
      <c r="G80" s="846"/>
      <c r="H80" s="1007" t="s">
        <v>107</v>
      </c>
      <c r="I80" s="916"/>
      <c r="J80" s="1493" t="s">
        <v>3</v>
      </c>
      <c r="K80" s="1493"/>
      <c r="M80" s="34"/>
      <c r="N80" s="34"/>
      <c r="O80" s="34"/>
      <c r="P80" s="34"/>
      <c r="Q80" s="931">
        <f>SUM(W72:X85)</f>
        <v>0</v>
      </c>
      <c r="R80" s="47"/>
      <c r="S80" s="931">
        <f>IF(D10="",0,MAX(Q80,HEM_RATE(IF(ISBLANK(D11),"Single GROSS","Couple GROSS"),SUM(F122:F123),E10+E11,IF(D11="",G10,""))))</f>
        <v>0</v>
      </c>
      <c r="T80" s="714"/>
      <c r="U80" s="736"/>
      <c r="W80" s="931">
        <f t="shared" ref="W80:W85" si="0">CONVERT_TO_MONTHLY(E80,F80)</f>
        <v>0</v>
      </c>
      <c r="X80" s="931">
        <f t="shared" ref="X80:X85" si="1">CONVERT_TO_MONTHLY(I80,J80)</f>
        <v>0</v>
      </c>
      <c r="AD80" s="31"/>
      <c r="AE80" s="31"/>
      <c r="AG80" s="39"/>
      <c r="AH80" s="39"/>
      <c r="AJ80" s="31"/>
    </row>
    <row r="81" spans="2:42" ht="17.25" customHeight="1">
      <c r="B81" s="733"/>
      <c r="C81" s="713"/>
      <c r="D81" s="1007" t="s">
        <v>108</v>
      </c>
      <c r="E81" s="916"/>
      <c r="F81" s="917" t="s">
        <v>3</v>
      </c>
      <c r="G81" s="846"/>
      <c r="H81" s="1007" t="s">
        <v>109</v>
      </c>
      <c r="I81" s="916"/>
      <c r="J81" s="1493" t="s">
        <v>3</v>
      </c>
      <c r="K81" s="1493"/>
      <c r="M81" s="34"/>
      <c r="N81" s="34"/>
      <c r="O81" s="34"/>
      <c r="P81" s="34"/>
      <c r="Q81" s="834"/>
      <c r="R81" s="834"/>
      <c r="S81" s="834"/>
      <c r="T81" s="714"/>
      <c r="U81" s="736"/>
      <c r="W81" s="931">
        <f t="shared" si="0"/>
        <v>0</v>
      </c>
      <c r="X81" s="931">
        <f t="shared" si="1"/>
        <v>0</v>
      </c>
      <c r="AD81" s="31"/>
      <c r="AE81" s="31"/>
      <c r="AG81" s="39"/>
      <c r="AH81" s="39"/>
      <c r="AJ81" s="31"/>
    </row>
    <row r="82" spans="2:42" ht="17.25" customHeight="1">
      <c r="B82" s="733"/>
      <c r="C82" s="713"/>
      <c r="D82" s="1007" t="s">
        <v>110</v>
      </c>
      <c r="E82" s="916"/>
      <c r="F82" s="917" t="s">
        <v>3</v>
      </c>
      <c r="G82" s="846"/>
      <c r="H82" s="1007" t="s">
        <v>111</v>
      </c>
      <c r="I82" s="916"/>
      <c r="J82" s="1493" t="s">
        <v>3</v>
      </c>
      <c r="K82" s="1493"/>
      <c r="M82" s="34"/>
      <c r="N82" s="34"/>
      <c r="O82" s="34"/>
      <c r="P82" s="34"/>
      <c r="Q82" s="834"/>
      <c r="R82" s="834"/>
      <c r="S82" s="834"/>
      <c r="T82" s="714"/>
      <c r="U82" s="736"/>
      <c r="W82" s="931">
        <f t="shared" si="0"/>
        <v>0</v>
      </c>
      <c r="X82" s="931">
        <f t="shared" si="1"/>
        <v>0</v>
      </c>
      <c r="AD82" s="31"/>
      <c r="AE82" s="31"/>
      <c r="AG82" s="39"/>
      <c r="AH82" s="39"/>
      <c r="AJ82" s="31"/>
    </row>
    <row r="83" spans="2:42" ht="17.25" customHeight="1">
      <c r="B83" s="733"/>
      <c r="C83" s="713"/>
      <c r="D83" s="1007" t="s">
        <v>112</v>
      </c>
      <c r="E83" s="916"/>
      <c r="F83" s="917" t="s">
        <v>3</v>
      </c>
      <c r="G83" s="846"/>
      <c r="H83" s="1007" t="s">
        <v>113</v>
      </c>
      <c r="I83" s="916"/>
      <c r="J83" s="1493" t="s">
        <v>3</v>
      </c>
      <c r="K83" s="1493"/>
      <c r="M83" s="34"/>
      <c r="N83" s="34"/>
      <c r="O83" s="34"/>
      <c r="P83" s="34"/>
      <c r="Q83" s="834"/>
      <c r="R83" s="834"/>
      <c r="S83" s="834"/>
      <c r="T83" s="714"/>
      <c r="U83" s="736"/>
      <c r="W83" s="931">
        <f t="shared" si="0"/>
        <v>0</v>
      </c>
      <c r="X83" s="931">
        <f t="shared" si="1"/>
        <v>0</v>
      </c>
      <c r="AD83" s="31"/>
      <c r="AE83" s="31"/>
      <c r="AG83" s="39"/>
      <c r="AH83" s="39"/>
      <c r="AJ83" s="31"/>
    </row>
    <row r="84" spans="2:42" ht="17.25" customHeight="1">
      <c r="B84" s="733"/>
      <c r="C84" s="713"/>
      <c r="D84" s="1007" t="s">
        <v>114</v>
      </c>
      <c r="E84" s="916"/>
      <c r="F84" s="917" t="s">
        <v>3</v>
      </c>
      <c r="G84" s="846"/>
      <c r="H84" s="1007" t="s">
        <v>115</v>
      </c>
      <c r="I84" s="916"/>
      <c r="J84" s="1493" t="s">
        <v>3</v>
      </c>
      <c r="K84" s="1493"/>
      <c r="M84" s="34"/>
      <c r="N84" s="34"/>
      <c r="O84" s="34"/>
      <c r="P84" s="34"/>
      <c r="Q84" s="834"/>
      <c r="R84" s="834"/>
      <c r="S84" s="834"/>
      <c r="T84" s="714"/>
      <c r="U84" s="736"/>
      <c r="W84" s="931">
        <f t="shared" si="0"/>
        <v>0</v>
      </c>
      <c r="X84" s="931">
        <f t="shared" si="1"/>
        <v>0</v>
      </c>
      <c r="AD84" s="31"/>
      <c r="AE84" s="31"/>
      <c r="AG84" s="39"/>
      <c r="AH84" s="39"/>
      <c r="AJ84" s="31"/>
    </row>
    <row r="85" spans="2:42" ht="17.25" customHeight="1">
      <c r="B85" s="733"/>
      <c r="C85" s="713"/>
      <c r="D85" s="1007" t="s">
        <v>116</v>
      </c>
      <c r="E85" s="916"/>
      <c r="F85" s="917" t="s">
        <v>3</v>
      </c>
      <c r="G85" s="846"/>
      <c r="H85" s="1007" t="s">
        <v>117</v>
      </c>
      <c r="I85" s="916"/>
      <c r="J85" s="1493" t="s">
        <v>3</v>
      </c>
      <c r="K85" s="1493"/>
      <c r="M85" s="34"/>
      <c r="N85" s="34"/>
      <c r="O85" s="34"/>
      <c r="P85" s="34"/>
      <c r="Q85" s="834"/>
      <c r="R85" s="834"/>
      <c r="S85" s="834"/>
      <c r="T85" s="714"/>
      <c r="U85" s="736"/>
      <c r="W85" s="931">
        <f t="shared" si="0"/>
        <v>0</v>
      </c>
      <c r="X85" s="931">
        <f t="shared" si="1"/>
        <v>0</v>
      </c>
      <c r="AD85" s="31"/>
      <c r="AE85" s="31"/>
      <c r="AG85" s="39"/>
      <c r="AH85" s="39"/>
      <c r="AJ85" s="31"/>
    </row>
    <row r="86" spans="2:42" ht="4.5" customHeight="1">
      <c r="B86" s="733"/>
      <c r="C86" s="713"/>
      <c r="M86" s="34"/>
      <c r="N86" s="34"/>
      <c r="O86" s="34"/>
      <c r="P86" s="34"/>
      <c r="Q86" s="834"/>
      <c r="R86" s="834"/>
      <c r="S86" s="834"/>
      <c r="T86" s="714"/>
      <c r="U86" s="736"/>
      <c r="AD86" s="31"/>
      <c r="AE86" s="31"/>
      <c r="AG86" s="39"/>
      <c r="AH86" s="39"/>
      <c r="AJ86" s="31"/>
    </row>
    <row r="87" spans="2:42" ht="17.25" customHeight="1">
      <c r="B87" s="733"/>
      <c r="C87" s="713"/>
      <c r="D87" s="858" t="s">
        <v>118</v>
      </c>
      <c r="M87" s="34"/>
      <c r="N87" s="34"/>
      <c r="O87" s="34"/>
      <c r="P87" s="34"/>
      <c r="Q87" s="40"/>
      <c r="R87" s="40"/>
      <c r="S87" s="40"/>
      <c r="T87" s="714"/>
      <c r="U87" s="736"/>
      <c r="AD87" s="31"/>
      <c r="AE87" s="31"/>
      <c r="AG87" s="39"/>
      <c r="AH87" s="39"/>
      <c r="AJ87" s="31"/>
    </row>
    <row r="88" spans="2:42" ht="17.25" customHeight="1">
      <c r="B88" s="733"/>
      <c r="C88" s="713"/>
      <c r="D88" s="36" t="s">
        <v>13</v>
      </c>
      <c r="E88" s="36" t="s">
        <v>14</v>
      </c>
      <c r="F88" s="36" t="s">
        <v>15</v>
      </c>
      <c r="H88" s="36" t="s">
        <v>13</v>
      </c>
      <c r="I88" s="36" t="s">
        <v>14</v>
      </c>
      <c r="J88" s="1482" t="s">
        <v>15</v>
      </c>
      <c r="K88" s="1482"/>
      <c r="L88" s="36" t="s">
        <v>71</v>
      </c>
      <c r="N88" s="34"/>
      <c r="O88" s="34"/>
      <c r="P88" s="34"/>
      <c r="Q88" s="40"/>
      <c r="R88" s="40"/>
      <c r="S88" s="40"/>
      <c r="T88" s="714"/>
      <c r="U88" s="736"/>
      <c r="AD88" s="31"/>
      <c r="AE88" s="31"/>
      <c r="AG88" s="39"/>
      <c r="AH88" s="39"/>
      <c r="AJ88" s="31"/>
    </row>
    <row r="89" spans="2:42" ht="17.25" hidden="1" customHeight="1">
      <c r="B89" s="733"/>
      <c r="C89" s="713"/>
      <c r="D89" s="36"/>
      <c r="E89" s="36"/>
      <c r="F89" s="24" t="s">
        <v>16</v>
      </c>
      <c r="G89" s="36"/>
      <c r="K89" s="24" t="s">
        <v>16</v>
      </c>
      <c r="M89" s="34"/>
      <c r="N89" s="34"/>
      <c r="O89" s="34"/>
      <c r="P89" s="34"/>
      <c r="Q89" s="40"/>
      <c r="R89" s="40"/>
      <c r="S89" s="40"/>
      <c r="T89" s="714"/>
      <c r="U89" s="736"/>
      <c r="AD89" s="31"/>
      <c r="AE89" s="31"/>
      <c r="AG89" s="39"/>
      <c r="AH89" s="39"/>
      <c r="AJ89" s="31"/>
    </row>
    <row r="90" spans="2:42" ht="17.25" hidden="1" customHeight="1">
      <c r="B90" s="733"/>
      <c r="C90" s="713"/>
      <c r="D90" s="36"/>
      <c r="E90" s="36"/>
      <c r="F90" s="24" t="s">
        <v>17</v>
      </c>
      <c r="G90" s="36"/>
      <c r="K90" s="24" t="s">
        <v>17</v>
      </c>
      <c r="M90" s="34"/>
      <c r="N90" s="34"/>
      <c r="O90" s="34"/>
      <c r="P90" s="34"/>
      <c r="Q90" s="40"/>
      <c r="R90" s="40"/>
      <c r="S90" s="40"/>
      <c r="T90" s="714"/>
      <c r="U90" s="736"/>
      <c r="AD90" s="31"/>
      <c r="AE90" s="31"/>
      <c r="AG90" s="39"/>
      <c r="AH90" s="39"/>
      <c r="AJ90" s="31"/>
      <c r="AN90" s="1">
        <v>0</v>
      </c>
      <c r="AP90" s="1" t="b">
        <v>0</v>
      </c>
    </row>
    <row r="91" spans="2:42" ht="17.25" hidden="1" customHeight="1">
      <c r="B91" s="733"/>
      <c r="C91" s="713"/>
      <c r="D91" s="36"/>
      <c r="E91" s="36"/>
      <c r="F91" s="24" t="s">
        <v>3</v>
      </c>
      <c r="G91" s="36"/>
      <c r="K91" s="24" t="s">
        <v>3</v>
      </c>
      <c r="M91" s="34"/>
      <c r="N91" s="34"/>
      <c r="O91" s="34"/>
      <c r="P91" s="34"/>
      <c r="Q91" s="40"/>
      <c r="R91" s="40"/>
      <c r="S91" s="40"/>
      <c r="T91" s="714"/>
      <c r="U91" s="736"/>
      <c r="AD91" s="31"/>
      <c r="AE91" s="31"/>
      <c r="AG91" s="39"/>
      <c r="AH91" s="39"/>
      <c r="AJ91" s="31"/>
    </row>
    <row r="92" spans="2:42" ht="17.25" hidden="1" customHeight="1">
      <c r="B92" s="733"/>
      <c r="C92" s="713"/>
      <c r="D92" s="36"/>
      <c r="E92" s="36"/>
      <c r="F92" s="24" t="s">
        <v>18</v>
      </c>
      <c r="G92" s="36"/>
      <c r="K92" s="24" t="s">
        <v>18</v>
      </c>
      <c r="M92" s="34"/>
      <c r="N92" s="34"/>
      <c r="O92" s="34"/>
      <c r="P92" s="34"/>
      <c r="Q92" s="40"/>
      <c r="R92" s="40"/>
      <c r="S92" s="40"/>
      <c r="T92" s="714"/>
      <c r="U92" s="736"/>
      <c r="AD92" s="31"/>
      <c r="AE92" s="31"/>
      <c r="AG92" s="39"/>
      <c r="AH92" s="39"/>
      <c r="AJ92" s="31"/>
    </row>
    <row r="93" spans="2:42" ht="17.25" hidden="1" customHeight="1">
      <c r="B93" s="733"/>
      <c r="C93" s="713"/>
      <c r="D93" s="36"/>
      <c r="E93" s="36"/>
      <c r="F93" s="24" t="s">
        <v>2</v>
      </c>
      <c r="G93" s="36"/>
      <c r="K93" s="24" t="s">
        <v>2</v>
      </c>
      <c r="M93" s="34"/>
      <c r="N93" s="34"/>
      <c r="O93" s="34"/>
      <c r="P93" s="34"/>
      <c r="Q93" s="40"/>
      <c r="R93" s="40"/>
      <c r="S93" s="40"/>
      <c r="T93" s="714"/>
      <c r="U93" s="736"/>
      <c r="AD93" s="31"/>
      <c r="AE93" s="31"/>
      <c r="AG93" s="39"/>
      <c r="AH93" s="39"/>
      <c r="AJ93" s="31"/>
    </row>
    <row r="94" spans="2:42" ht="17.25" hidden="1" customHeight="1">
      <c r="B94" s="733"/>
      <c r="C94" s="713"/>
      <c r="D94" s="36"/>
      <c r="E94" s="36"/>
      <c r="F94" s="24" t="s">
        <v>19</v>
      </c>
      <c r="G94" s="36"/>
      <c r="K94" s="24" t="s">
        <v>19</v>
      </c>
      <c r="M94" s="34"/>
      <c r="N94" s="34"/>
      <c r="O94" s="34"/>
      <c r="P94" s="34"/>
      <c r="Q94" s="40"/>
      <c r="R94" s="40"/>
      <c r="S94" s="40"/>
      <c r="T94" s="714"/>
      <c r="U94" s="736"/>
      <c r="AD94" s="31"/>
      <c r="AE94" s="31"/>
      <c r="AG94" s="39"/>
      <c r="AH94" s="39"/>
      <c r="AJ94" s="31"/>
    </row>
    <row r="95" spans="2:42" ht="17.25" hidden="1" customHeight="1">
      <c r="B95" s="733"/>
      <c r="C95" s="713"/>
      <c r="D95" s="36"/>
      <c r="E95" s="36"/>
      <c r="F95" s="24" t="s">
        <v>20</v>
      </c>
      <c r="G95" s="36"/>
      <c r="K95" s="24" t="s">
        <v>20</v>
      </c>
      <c r="M95" s="34"/>
      <c r="N95" s="34"/>
      <c r="O95" s="34"/>
      <c r="P95" s="34"/>
      <c r="Q95" s="40"/>
      <c r="R95" s="40"/>
      <c r="S95" s="40"/>
      <c r="T95" s="714"/>
      <c r="U95" s="736"/>
      <c r="AD95" s="31"/>
      <c r="AE95" s="31"/>
      <c r="AG95" s="39"/>
      <c r="AH95" s="39"/>
      <c r="AJ95" s="31"/>
    </row>
    <row r="96" spans="2:42" ht="17.25" customHeight="1">
      <c r="B96" s="733"/>
      <c r="C96" s="713"/>
      <c r="D96" s="1007" t="s">
        <v>119</v>
      </c>
      <c r="E96" s="916"/>
      <c r="F96" s="917" t="s">
        <v>3</v>
      </c>
      <c r="G96" s="846"/>
      <c r="H96" s="1007" t="s">
        <v>120</v>
      </c>
      <c r="I96" s="916"/>
      <c r="J96" s="1493" t="s">
        <v>3</v>
      </c>
      <c r="K96" s="1493"/>
      <c r="L96" s="1492"/>
      <c r="M96" s="1492"/>
      <c r="N96" s="1492"/>
      <c r="O96" s="34"/>
      <c r="P96" s="866"/>
      <c r="Q96" s="941">
        <f>W96+X96</f>
        <v>0</v>
      </c>
      <c r="R96" s="47"/>
      <c r="S96" s="941">
        <f>IF(F10="",0,MAX(W96,VLOOKUP(F10,'Configurable Items'!$D$4791:$E$4797,2,FALSE)))+X96</f>
        <v>0</v>
      </c>
      <c r="T96" s="714"/>
      <c r="U96" s="736"/>
      <c r="W96" s="931">
        <f>CONVERT_TO_MONTHLY(E96,F96)</f>
        <v>0</v>
      </c>
      <c r="X96" s="931">
        <f>CONVERT_TO_MONTHLY(I96,J96)</f>
        <v>0</v>
      </c>
      <c r="AD96" s="31"/>
      <c r="AE96" s="31"/>
      <c r="AG96" s="39"/>
      <c r="AH96" s="39"/>
      <c r="AJ96" s="31"/>
    </row>
    <row r="97" spans="2:39" ht="17.25" customHeight="1">
      <c r="B97" s="733"/>
      <c r="C97" s="713"/>
      <c r="D97" s="1007" t="s">
        <v>121</v>
      </c>
      <c r="E97" s="916"/>
      <c r="F97" s="917" t="s">
        <v>3</v>
      </c>
      <c r="G97" s="846"/>
      <c r="H97" s="1007" t="s">
        <v>122</v>
      </c>
      <c r="I97" s="916"/>
      <c r="J97" s="1493" t="s">
        <v>3</v>
      </c>
      <c r="K97" s="1493"/>
      <c r="L97" s="1492"/>
      <c r="M97" s="1492"/>
      <c r="N97" s="1492"/>
      <c r="O97" s="34"/>
      <c r="P97" s="866"/>
      <c r="Q97" s="941">
        <f>W97+X97</f>
        <v>0</v>
      </c>
      <c r="R97" s="47"/>
      <c r="S97" s="941">
        <f>Q97</f>
        <v>0</v>
      </c>
      <c r="T97" s="714"/>
      <c r="U97" s="736"/>
      <c r="W97" s="931">
        <f>CONVERT_TO_MONTHLY(E97,F97)</f>
        <v>0</v>
      </c>
      <c r="X97" s="931">
        <f>CONVERT_TO_MONTHLY(I97,J97)</f>
        <v>0</v>
      </c>
      <c r="AD97" s="31"/>
      <c r="AE97" s="31"/>
      <c r="AG97" s="39"/>
      <c r="AH97" s="39"/>
      <c r="AJ97" s="31"/>
    </row>
    <row r="98" spans="2:39" ht="17.25" customHeight="1">
      <c r="B98" s="733"/>
      <c r="C98" s="713"/>
      <c r="D98" s="1007" t="s">
        <v>123</v>
      </c>
      <c r="E98" s="916"/>
      <c r="F98" s="917" t="s">
        <v>3</v>
      </c>
      <c r="G98" s="846"/>
      <c r="H98" s="1007" t="s">
        <v>124</v>
      </c>
      <c r="I98" s="916"/>
      <c r="J98" s="1493" t="s">
        <v>3</v>
      </c>
      <c r="K98" s="1493"/>
      <c r="L98" s="1492"/>
      <c r="M98" s="1492"/>
      <c r="N98" s="1492"/>
      <c r="O98" s="34"/>
      <c r="P98" s="866"/>
      <c r="Q98" s="941">
        <f>W98+X98</f>
        <v>0</v>
      </c>
      <c r="R98" s="47"/>
      <c r="S98" s="941">
        <f>Q98</f>
        <v>0</v>
      </c>
      <c r="T98" s="714"/>
      <c r="U98" s="736"/>
      <c r="W98" s="931">
        <f>CONVERT_TO_MONTHLY(E98,F98)</f>
        <v>0</v>
      </c>
      <c r="X98" s="931">
        <f>CONVERT_TO_MONTHLY(I98,J98)</f>
        <v>0</v>
      </c>
      <c r="AD98" s="31"/>
      <c r="AE98" s="31"/>
      <c r="AG98" s="39"/>
      <c r="AH98" s="39"/>
      <c r="AJ98" s="31"/>
    </row>
    <row r="99" spans="2:39" ht="17.25" customHeight="1">
      <c r="B99" s="733"/>
      <c r="C99" s="713"/>
      <c r="D99" s="935" t="s">
        <v>9086</v>
      </c>
      <c r="E99" s="916"/>
      <c r="F99" s="917" t="s">
        <v>3</v>
      </c>
      <c r="G99" s="846"/>
      <c r="H99" s="1007" t="s">
        <v>58</v>
      </c>
      <c r="I99" s="916"/>
      <c r="J99" s="1493" t="s">
        <v>3</v>
      </c>
      <c r="K99" s="1493"/>
      <c r="L99" s="1492"/>
      <c r="M99" s="1492"/>
      <c r="N99" s="1492"/>
      <c r="O99" s="34"/>
      <c r="P99" s="866"/>
      <c r="Q99" s="941">
        <f>W99+X99</f>
        <v>0</v>
      </c>
      <c r="R99" s="47"/>
      <c r="S99" s="941">
        <f>Q99</f>
        <v>0</v>
      </c>
      <c r="T99" s="714"/>
      <c r="U99" s="736"/>
      <c r="W99" s="931">
        <f>CONVERT_TO_MONTHLY(E99,F99)</f>
        <v>0</v>
      </c>
      <c r="X99" s="931">
        <f>CONVERT_TO_MONTHLY(I99,J99)</f>
        <v>0</v>
      </c>
      <c r="AD99" s="31"/>
      <c r="AE99" s="31"/>
      <c r="AG99" s="39"/>
      <c r="AH99" s="39"/>
      <c r="AJ99" s="31"/>
    </row>
    <row r="100" spans="2:39" ht="17.25" customHeight="1">
      <c r="B100" s="733"/>
      <c r="C100" s="713"/>
      <c r="D100" s="1007" t="s">
        <v>125</v>
      </c>
      <c r="E100" s="941">
        <f>AL51</f>
        <v>0</v>
      </c>
      <c r="F100" s="1007" t="s">
        <v>3</v>
      </c>
      <c r="G100" s="846"/>
      <c r="P100" s="866"/>
      <c r="Q100" s="941">
        <f>W100+X100</f>
        <v>0</v>
      </c>
      <c r="R100" s="47"/>
      <c r="S100" s="941">
        <f>AK51</f>
        <v>0</v>
      </c>
      <c r="T100" s="714"/>
      <c r="U100" s="736"/>
      <c r="W100" s="931">
        <f>CONVERT_TO_MONTHLY(E100,F100)</f>
        <v>0</v>
      </c>
      <c r="AD100" s="31"/>
      <c r="AE100" s="31"/>
      <c r="AG100" s="39"/>
      <c r="AH100" s="39"/>
      <c r="AJ100" s="31"/>
    </row>
    <row r="101" spans="2:39" ht="17.25" customHeight="1">
      <c r="B101" s="733"/>
      <c r="C101" s="713"/>
      <c r="N101" s="34"/>
      <c r="O101" s="34"/>
      <c r="P101" s="34"/>
      <c r="Q101" s="56">
        <f t="array" ref="Q101">SUM(ROUND(Q96:Q100,2))+ Q80</f>
        <v>0</v>
      </c>
      <c r="R101" s="834"/>
      <c r="S101" s="56">
        <f t="array" ref="S101">SUM(ROUND(S96:S100,2))+ S80</f>
        <v>0</v>
      </c>
      <c r="T101" s="714"/>
      <c r="U101" s="736"/>
      <c r="AD101" s="31"/>
      <c r="AE101" s="31"/>
      <c r="AG101" s="39"/>
      <c r="AH101" s="39"/>
      <c r="AJ101" s="31"/>
    </row>
    <row r="102" spans="2:39" ht="17.25" customHeight="1">
      <c r="B102" s="733"/>
      <c r="C102" s="713"/>
      <c r="D102" s="867" t="s">
        <v>126</v>
      </c>
      <c r="E102" s="34"/>
      <c r="F102" s="34"/>
      <c r="G102" s="34"/>
      <c r="H102" s="34"/>
      <c r="I102" s="34"/>
      <c r="J102" s="34"/>
      <c r="K102" s="34"/>
      <c r="L102" s="34"/>
      <c r="M102" s="34"/>
      <c r="N102" s="34"/>
      <c r="O102" s="34"/>
      <c r="P102" s="34"/>
      <c r="Q102" s="838"/>
      <c r="R102" s="493"/>
      <c r="S102" s="838"/>
      <c r="T102" s="714"/>
      <c r="U102" s="736"/>
      <c r="AA102" s="39" t="s">
        <v>87</v>
      </c>
      <c r="AB102" s="39" t="s">
        <v>63</v>
      </c>
      <c r="AC102" s="39"/>
      <c r="AD102" s="39" t="s">
        <v>64</v>
      </c>
      <c r="AE102" s="39"/>
      <c r="AF102" s="39" t="s">
        <v>65</v>
      </c>
      <c r="AG102" s="39" t="s">
        <v>8607</v>
      </c>
      <c r="AH102" s="39"/>
      <c r="AJ102" s="31"/>
    </row>
    <row r="103" spans="2:39" ht="17.25" customHeight="1">
      <c r="B103" s="733"/>
      <c r="C103" s="902"/>
      <c r="D103" s="36" t="s">
        <v>14</v>
      </c>
      <c r="E103" s="36" t="s">
        <v>127</v>
      </c>
      <c r="F103" s="36" t="s">
        <v>89</v>
      </c>
      <c r="G103" s="36" t="s">
        <v>8597</v>
      </c>
      <c r="H103" s="36" t="s">
        <v>128</v>
      </c>
      <c r="I103" s="36" t="s">
        <v>129</v>
      </c>
      <c r="J103" s="1482" t="s">
        <v>8650</v>
      </c>
      <c r="K103" s="1482"/>
      <c r="L103" s="36" t="s">
        <v>132</v>
      </c>
      <c r="M103" s="36" t="s">
        <v>133</v>
      </c>
      <c r="N103" s="36" t="s">
        <v>134</v>
      </c>
      <c r="O103" s="36" t="s">
        <v>135</v>
      </c>
      <c r="P103" s="850"/>
      <c r="Q103" s="39" t="s">
        <v>93</v>
      </c>
      <c r="R103" s="47"/>
      <c r="S103" s="39" t="s">
        <v>94</v>
      </c>
      <c r="T103" s="714"/>
      <c r="U103" s="736"/>
      <c r="W103" s="39" t="str">
        <f>$D$10 &amp; " Deducation"</f>
        <v xml:space="preserve"> Deducation</v>
      </c>
      <c r="X103" s="39" t="str">
        <f>$D$11 &amp; " Deducation"</f>
        <v xml:space="preserve"> Deducation</v>
      </c>
      <c r="Y103" s="39" t="s">
        <v>8598</v>
      </c>
      <c r="Z103" s="39" t="s">
        <v>8609</v>
      </c>
      <c r="AB103" s="39" t="str">
        <f>IF($D$10="","",$D$10)</f>
        <v/>
      </c>
      <c r="AC103" s="39" t="str">
        <f>IF($D$11="","",$D$11)</f>
        <v/>
      </c>
      <c r="AD103" s="39" t="str">
        <f>IF($D$10="","",$D$10)</f>
        <v/>
      </c>
      <c r="AE103" s="39" t="str">
        <f>IF($D$11="","",$D$11)</f>
        <v/>
      </c>
      <c r="AF103" s="39"/>
      <c r="AG103" s="39" t="s">
        <v>8627</v>
      </c>
      <c r="AH103" s="39" t="s">
        <v>8611</v>
      </c>
      <c r="AI103" s="39" t="s">
        <v>8610</v>
      </c>
      <c r="AK103" s="39" t="s">
        <v>8625</v>
      </c>
    </row>
    <row r="104" spans="2:39" ht="17.25" hidden="1" customHeight="1">
      <c r="B104" s="733"/>
      <c r="C104" s="902"/>
      <c r="D104" s="36"/>
      <c r="E104" s="36"/>
      <c r="F104" s="36"/>
      <c r="G104" s="36"/>
      <c r="H104" s="24" t="s">
        <v>136</v>
      </c>
      <c r="I104" s="36"/>
      <c r="J104" s="36"/>
      <c r="K104" s="36"/>
      <c r="L104" s="36"/>
      <c r="M104" s="36"/>
      <c r="N104" s="36"/>
      <c r="O104" s="36"/>
      <c r="P104" s="850"/>
      <c r="Q104" s="39"/>
      <c r="R104" s="47"/>
      <c r="S104" s="39"/>
      <c r="T104" s="714"/>
      <c r="U104" s="736"/>
      <c r="W104" s="32"/>
      <c r="X104" s="32"/>
      <c r="AB104" s="32"/>
      <c r="AC104" s="32"/>
      <c r="AD104" s="32"/>
      <c r="AE104" s="32"/>
    </row>
    <row r="105" spans="2:39" ht="17.25" hidden="1" customHeight="1">
      <c r="B105" s="733"/>
      <c r="C105" s="902"/>
      <c r="D105" s="36"/>
      <c r="E105" s="36"/>
      <c r="F105" s="36"/>
      <c r="G105" s="36"/>
      <c r="H105" s="24" t="s">
        <v>137</v>
      </c>
      <c r="I105" s="36"/>
      <c r="J105" s="36"/>
      <c r="K105" s="36"/>
      <c r="L105" s="36"/>
      <c r="M105" s="36"/>
      <c r="N105" s="36"/>
      <c r="O105" s="36"/>
      <c r="P105" s="850"/>
      <c r="Q105" s="39"/>
      <c r="R105" s="47"/>
      <c r="S105" s="39"/>
      <c r="T105" s="714"/>
      <c r="U105" s="736"/>
      <c r="W105" s="32"/>
      <c r="X105" s="32"/>
      <c r="AB105" s="32"/>
      <c r="AC105" s="32"/>
      <c r="AD105" s="32"/>
      <c r="AE105" s="32"/>
    </row>
    <row r="106" spans="2:39" ht="17.25" hidden="1" customHeight="1">
      <c r="B106" s="733"/>
      <c r="C106" s="902"/>
      <c r="D106" s="36"/>
      <c r="E106" s="36"/>
      <c r="F106" s="36"/>
      <c r="G106" s="36"/>
      <c r="H106" s="24" t="s">
        <v>138</v>
      </c>
      <c r="I106" s="36"/>
      <c r="J106" s="36"/>
      <c r="K106" s="36"/>
      <c r="L106" s="36"/>
      <c r="M106" s="36"/>
      <c r="N106" s="36"/>
      <c r="O106" s="36"/>
      <c r="P106" s="850"/>
      <c r="Q106" s="39"/>
      <c r="R106" s="47"/>
      <c r="S106" s="39"/>
      <c r="T106" s="714"/>
      <c r="U106" s="736"/>
      <c r="W106" s="32"/>
      <c r="X106" s="32"/>
      <c r="AB106" s="32"/>
      <c r="AC106" s="32"/>
      <c r="AD106" s="32"/>
      <c r="AE106" s="32"/>
    </row>
    <row r="107" spans="2:39" ht="17.25" hidden="1" customHeight="1">
      <c r="B107" s="733"/>
      <c r="C107" s="902"/>
      <c r="D107" s="36"/>
      <c r="E107" s="36"/>
      <c r="F107" s="36"/>
      <c r="G107" s="36"/>
      <c r="H107" s="24" t="s">
        <v>139</v>
      </c>
      <c r="I107" s="36"/>
      <c r="J107" s="36"/>
      <c r="K107" s="36"/>
      <c r="L107" s="36"/>
      <c r="M107" s="36"/>
      <c r="N107" s="36"/>
      <c r="O107" s="36"/>
      <c r="P107" s="850"/>
      <c r="Q107" s="39"/>
      <c r="R107" s="47"/>
      <c r="S107" s="39"/>
      <c r="T107" s="714"/>
      <c r="U107" s="736"/>
      <c r="W107" s="32"/>
      <c r="X107" s="32"/>
      <c r="AB107" s="32"/>
      <c r="AC107" s="32"/>
      <c r="AD107" s="32"/>
      <c r="AE107" s="32"/>
    </row>
    <row r="108" spans="2:39" ht="17.25" hidden="1" customHeight="1">
      <c r="B108" s="733"/>
      <c r="C108" s="902"/>
      <c r="D108" s="36"/>
      <c r="E108" s="36"/>
      <c r="F108" s="36"/>
      <c r="G108" s="24"/>
      <c r="H108" s="24" t="s">
        <v>140</v>
      </c>
      <c r="I108" s="36"/>
      <c r="J108" s="36"/>
      <c r="K108" s="36"/>
      <c r="L108" s="36"/>
      <c r="M108" s="36"/>
      <c r="N108" s="36"/>
      <c r="O108" s="36"/>
      <c r="P108" s="850"/>
      <c r="Q108" s="39"/>
      <c r="R108" s="47"/>
      <c r="S108" s="39"/>
      <c r="T108" s="714"/>
      <c r="U108" s="736"/>
      <c r="W108" s="32"/>
      <c r="X108" s="32"/>
      <c r="AB108" s="32"/>
      <c r="AC108" s="32"/>
      <c r="AD108" s="32"/>
      <c r="AE108" s="32"/>
    </row>
    <row r="109" spans="2:39" ht="17.25" hidden="1" customHeight="1">
      <c r="B109" s="733"/>
      <c r="C109" s="902"/>
      <c r="D109" s="36"/>
      <c r="E109" s="36"/>
      <c r="F109" s="36"/>
      <c r="G109" s="24" t="s">
        <v>58</v>
      </c>
      <c r="H109" s="24" t="s">
        <v>141</v>
      </c>
      <c r="I109" s="36"/>
      <c r="J109" s="36"/>
      <c r="K109" s="36"/>
      <c r="L109" s="36"/>
      <c r="M109" s="36"/>
      <c r="N109" s="36"/>
      <c r="O109" s="36"/>
      <c r="P109" s="850"/>
      <c r="Q109" s="39"/>
      <c r="R109" s="47"/>
      <c r="S109" s="39"/>
      <c r="T109" s="714"/>
      <c r="U109" s="736"/>
      <c r="W109" s="32"/>
      <c r="X109" s="32"/>
      <c r="AB109" s="32"/>
      <c r="AC109" s="32"/>
      <c r="AD109" s="32"/>
      <c r="AE109" s="32"/>
    </row>
    <row r="110" spans="2:39" ht="17.25" hidden="1" customHeight="1">
      <c r="B110" s="733"/>
      <c r="C110" s="902"/>
      <c r="D110" s="36"/>
      <c r="E110" s="24" t="b">
        <v>1</v>
      </c>
      <c r="F110" s="24" t="b">
        <v>1</v>
      </c>
      <c r="G110" s="24" t="str">
        <f>IF($D$11="","Other",$D$11)</f>
        <v>Other</v>
      </c>
      <c r="H110" s="24" t="s">
        <v>142</v>
      </c>
      <c r="I110" s="868"/>
      <c r="J110" s="868"/>
      <c r="K110" s="868"/>
      <c r="L110" s="36"/>
      <c r="M110" s="36"/>
      <c r="N110" s="868">
        <v>1.5599999999999999E-2</v>
      </c>
      <c r="O110" s="36"/>
      <c r="P110" s="850"/>
      <c r="Q110" s="39"/>
      <c r="R110" s="47"/>
      <c r="S110" s="39"/>
      <c r="T110" s="714"/>
      <c r="U110" s="736"/>
      <c r="W110" s="32"/>
      <c r="X110" s="32"/>
      <c r="AB110" s="32"/>
      <c r="AC110" s="32"/>
      <c r="AD110" s="32"/>
      <c r="AE110" s="32"/>
    </row>
    <row r="111" spans="2:39" ht="17.25" hidden="1" customHeight="1">
      <c r="B111" s="733"/>
      <c r="C111" s="902"/>
      <c r="D111" s="36"/>
      <c r="E111" s="24" t="b">
        <v>0</v>
      </c>
      <c r="F111" s="24"/>
      <c r="G111" s="24">
        <f>$D$10</f>
        <v>0</v>
      </c>
      <c r="H111" s="24" t="s">
        <v>161</v>
      </c>
      <c r="I111" s="36"/>
      <c r="J111" s="36"/>
      <c r="K111" s="36"/>
      <c r="L111" s="36"/>
      <c r="M111" s="36"/>
      <c r="N111" s="36">
        <v>1.5599999999999999E-2</v>
      </c>
      <c r="O111" s="36"/>
      <c r="P111" s="850"/>
      <c r="Q111" s="39"/>
      <c r="R111" s="47"/>
      <c r="S111" s="39"/>
      <c r="T111" s="714"/>
      <c r="U111" s="736"/>
      <c r="W111" s="32"/>
      <c r="X111" s="32"/>
      <c r="AB111" s="32"/>
      <c r="AC111" s="32"/>
      <c r="AD111" s="32"/>
      <c r="AE111" s="32"/>
    </row>
    <row r="112" spans="2:39" ht="17.25" customHeight="1">
      <c r="B112" s="733"/>
      <c r="C112" s="713"/>
      <c r="D112" s="916"/>
      <c r="E112" s="718" t="b">
        <v>0</v>
      </c>
      <c r="F112" s="718" t="b">
        <v>0</v>
      </c>
      <c r="G112" s="915"/>
      <c r="H112" s="919"/>
      <c r="I112" s="1003"/>
      <c r="J112" s="933"/>
      <c r="K112" s="1423"/>
      <c r="L112" s="1004"/>
      <c r="M112" s="1005" t="str">
        <f>IF(H112="","",RATE_LOOKUP(E112,VLOOKUP(H112,'Configurable Items'!$D$4807:$I$4815,3,FALSE),VLOOKUP(H112,'Configurable Items'!$D$4807:$I$4815,2,FALSE),I112,"Initial")-L112)</f>
        <v/>
      </c>
      <c r="N112" s="1370"/>
      <c r="O112" s="1005" t="str">
        <f>IF(H112="","",IF(VLOOKUP(H112,'Configurable Items'!$D$4807:$G$4815,4,FALSE),RATE_LOOKUP(E112,VLOOKUP(H112,'Configurable Items'!$D$4807:$I$4815,3,FALSE),VLOOKUP(H112,'Configurable Items'!$D$4807:$I$4815,2,FALSE),'SoP 3'!I112,"Subsequent")-N112,""))</f>
        <v/>
      </c>
      <c r="P112" s="850"/>
      <c r="Q112" s="941">
        <f>IF(H112="",0,IF(AND(J112="",K112="",H112&lt;&gt;"Bridging"),0,Repayments(D112, (J112*12)+K112,I112* 12, IF(LEFT(VLOOKUP(H112,'Configurable Items'!$D$4807:$E$4815,2,FALSE),3)="Int",I112*12,0), VLOOKUP(H112,'Configurable Items'!$D$4807:$F$4815,2,FALSE), "Monthly", M112, M112, "Initial","Full")))*(AB112+AC112)</f>
        <v>0</v>
      </c>
      <c r="R112" s="47"/>
      <c r="S112" s="941">
        <f>IF(ISBLANK(H112),0,IF(AND(J112="",K112="",H112&lt;&gt;"Bridging"),0,Calculate_Repayment(IF(H112="EMA","Property Line of Credit","Home Loan"),TRUE,D112,0,"Monthly",0,IF(H112="EMA",360,IF(H112="Bridging",300,IF(VLOOKUP(H112,'Configurable Items'!$D$4807:$H$4815,5,FALSE)=TRUE,(((J112*12+K112)-(I112*12))),J112*12+K112))),IF(O112="",M112,O112),TRUE)))*AA112</f>
        <v>0</v>
      </c>
      <c r="T112" s="714"/>
      <c r="U112" s="736"/>
      <c r="W112" s="931">
        <f>IF(AND(H112&lt;&gt;0,F112=TRUE,'Internal Ref'!$J$237&gt;0),IF(O112="",D112*M112,D112*O112),0)*AB112</f>
        <v>0</v>
      </c>
      <c r="X112" s="931">
        <f>IF(AND(H112&lt;&gt;0,F112=TRUE,'Internal Ref'!$J$237&gt;0),IF(O112="",D112*M112,D112*O112),0)*AC112</f>
        <v>0</v>
      </c>
      <c r="Y112" s="931" t="e">
        <f ca="1">VLOOKUP(G112,INDIRECT('Internal Ref'!$G$245),2,FALSE)</f>
        <v>#N/A</v>
      </c>
      <c r="Z112" s="939" t="s">
        <v>4536</v>
      </c>
      <c r="AA112" s="934">
        <f>IF(ISERR(SEARCH("^",G112)),AB112+AC112,1)</f>
        <v>1</v>
      </c>
      <c r="AB112" s="934">
        <f>IF(G112=$D$10,1,
IF(G112=$D$11,0,
IF(ISERR(SEARCH($D$10,G112)),0,
(MID(G112,LEN($D$10)+2,SEARCH("%",G112)-LEN($D$10)-2)/100))))</f>
        <v>1</v>
      </c>
      <c r="AC112" s="934">
        <f>IF($D$11="",0,IF(G112=$D$11,1,
IF(G112=$D$10,0,
IF(ISERR(SEARCH($D$11,G112)),0,
MID(G112,SEARCH($D$11,G112)+LEN($D$11)+1,LEN(G112)-(SEARCH($D$11,G112)+LEN($D$11)+IF(ISERR(SEARCH("^",G112)),1,2)))/100))))</f>
        <v>0</v>
      </c>
      <c r="AD112" s="934">
        <f>IF(SUM(AB112:AC112)=0,0,AB112/SUM(AB112:AC112))</f>
        <v>1</v>
      </c>
      <c r="AE112" s="934">
        <f>IF(SUM(AB112:AC112)=0,0,AC112/SUM(AB112:AC112))</f>
        <v>0</v>
      </c>
      <c r="AF112" s="934">
        <f>AC112+AB112</f>
        <v>1</v>
      </c>
      <c r="AG112" s="938">
        <f>IF(AH112="",0,IF(LEN(AH112)-LEN(SUBSTITUTE(AH112,"|",""))=0,"1^",LEN(AH112)-LEN(SUBSTITUTE(AH112,"|",""))))</f>
        <v>0</v>
      </c>
      <c r="AH112" s="930"/>
      <c r="AI112" s="930" t="e">
        <f ca="1">VLOOKUP(G112,INDIRECT('Internal Ref'!$G$245),4,FALSE)</f>
        <v>#N/A</v>
      </c>
      <c r="AK112" s="1483" t="str" cm="1">
        <f t="array" ref="AK112">LinkedSecurities($AB$11,AH112,AG112,"Security",$AD$10+$AD$11+$AD$12)</f>
        <v/>
      </c>
      <c r="AL112" s="1483"/>
      <c r="AM112" s="1483"/>
    </row>
    <row r="113" spans="2:36" ht="2.25" customHeight="1">
      <c r="B113" s="733"/>
      <c r="C113" s="713"/>
      <c r="D113" s="55"/>
      <c r="E113" s="58"/>
      <c r="F113" s="57"/>
      <c r="G113" s="57"/>
      <c r="H113" s="63"/>
      <c r="I113" s="63"/>
      <c r="J113" s="63"/>
      <c r="K113" s="63"/>
      <c r="L113" s="64"/>
      <c r="M113" s="65"/>
      <c r="N113" s="32"/>
      <c r="O113" s="34"/>
      <c r="Q113" s="854"/>
      <c r="R113" s="40"/>
      <c r="S113" s="854"/>
      <c r="T113" s="714"/>
      <c r="U113" s="736"/>
      <c r="W113" s="55"/>
      <c r="X113" s="46"/>
      <c r="AD113" s="31"/>
      <c r="AE113" s="31"/>
      <c r="AG113" s="39"/>
      <c r="AH113" s="39"/>
      <c r="AJ113" s="31"/>
    </row>
    <row r="114" spans="2:36" ht="17.25" customHeight="1">
      <c r="B114" s="733"/>
      <c r="C114" s="713"/>
      <c r="D114" s="869">
        <f t="array" ref="D114">SUM(ROUND(D112:D113,2))</f>
        <v>0</v>
      </c>
      <c r="E114" s="32"/>
      <c r="F114" s="32"/>
      <c r="M114" s="34"/>
      <c r="N114" s="32"/>
      <c r="O114" s="34"/>
      <c r="P114" s="34"/>
      <c r="Q114" s="56">
        <f t="array" ref="Q114">SUM(ROUND(Q112:Q113,2))</f>
        <v>0</v>
      </c>
      <c r="R114" s="834"/>
      <c r="S114" s="56">
        <f t="array" ref="S114">SUM(ROUND(S112:S113,2))</f>
        <v>0</v>
      </c>
      <c r="T114" s="714"/>
      <c r="U114" s="736"/>
      <c r="W114" s="56">
        <f t="array" ref="W114">SUM(ROUND(W112:W113,2))</f>
        <v>0</v>
      </c>
      <c r="X114" s="56">
        <f t="array" ref="X114">SUM(ROUND(X112:X113,2))</f>
        <v>0</v>
      </c>
      <c r="AA114" s="39"/>
      <c r="AB114" s="77"/>
      <c r="AC114" s="77"/>
      <c r="AD114" s="31"/>
      <c r="AE114" s="31"/>
      <c r="AG114" s="39"/>
      <c r="AH114" s="39"/>
      <c r="AJ114" s="31"/>
    </row>
    <row r="115" spans="2:36" ht="17.25" hidden="1" customHeight="1">
      <c r="B115" s="733"/>
      <c r="C115" s="713"/>
      <c r="D115" s="858" t="s">
        <v>144</v>
      </c>
      <c r="E115" s="34"/>
      <c r="F115" s="34"/>
      <c r="G115" s="34"/>
      <c r="H115" s="34"/>
      <c r="I115" s="34"/>
      <c r="J115" s="34"/>
      <c r="K115" s="34"/>
      <c r="L115" s="34"/>
      <c r="M115" s="34"/>
      <c r="N115" s="34"/>
      <c r="O115" s="34"/>
      <c r="P115" s="34"/>
      <c r="Q115" s="870"/>
      <c r="R115" s="493"/>
      <c r="S115" s="870"/>
      <c r="T115" s="714"/>
      <c r="U115" s="736"/>
      <c r="AD115" s="31"/>
      <c r="AE115" s="31"/>
      <c r="AG115" s="39"/>
      <c r="AH115" s="39"/>
      <c r="AJ115" s="31"/>
    </row>
    <row r="116" spans="2:36" ht="17.25" hidden="1" customHeight="1">
      <c r="B116" s="733"/>
      <c r="C116" s="713"/>
      <c r="D116" s="36" t="s">
        <v>29</v>
      </c>
      <c r="E116" s="850"/>
      <c r="F116" s="850"/>
      <c r="G116" s="850"/>
      <c r="H116" s="850"/>
      <c r="I116" s="836"/>
      <c r="J116" s="836"/>
      <c r="K116" s="850"/>
      <c r="L116" s="836"/>
      <c r="M116" s="850"/>
      <c r="N116" s="850"/>
      <c r="O116" s="850"/>
      <c r="P116" s="850"/>
      <c r="Q116" s="39" t="s">
        <v>93</v>
      </c>
      <c r="R116" s="47"/>
      <c r="S116" s="39" t="s">
        <v>94</v>
      </c>
      <c r="T116" s="714"/>
      <c r="U116" s="736"/>
      <c r="AD116" s="31"/>
      <c r="AE116" s="31"/>
      <c r="AG116" s="39"/>
      <c r="AH116" s="39"/>
      <c r="AJ116" s="31"/>
    </row>
    <row r="117" spans="2:36" ht="17.25" hidden="1" customHeight="1">
      <c r="B117" s="733"/>
      <c r="C117" s="713"/>
      <c r="D117" s="909" t="str">
        <f>IF(D10="","",D10)</f>
        <v/>
      </c>
      <c r="E117" s="47"/>
      <c r="F117" s="47"/>
      <c r="G117" s="47"/>
      <c r="H117" s="47"/>
      <c r="I117" s="836"/>
      <c r="J117" s="836"/>
      <c r="K117" s="874"/>
      <c r="L117" s="873"/>
      <c r="M117" s="874"/>
      <c r="N117" s="874"/>
      <c r="O117" s="874"/>
      <c r="P117" s="874"/>
      <c r="Q117" s="931">
        <v>0</v>
      </c>
      <c r="R117" s="875"/>
      <c r="S117" s="931">
        <f>SUMPRODUCT($Y$48:$Y$49,$AB$48:$AB$49)*(1-ERMR_MULTIPLIER)</f>
        <v>0</v>
      </c>
      <c r="T117" s="714"/>
      <c r="U117" s="736"/>
      <c r="W117" s="54"/>
      <c r="Y117" s="34"/>
      <c r="AD117" s="31"/>
      <c r="AE117" s="31"/>
      <c r="AG117" s="39"/>
      <c r="AH117" s="39"/>
      <c r="AJ117" s="31"/>
    </row>
    <row r="118" spans="2:36" ht="17.25" hidden="1" customHeight="1">
      <c r="B118" s="733"/>
      <c r="C118" s="713"/>
      <c r="D118" s="1323" t="str">
        <f>IF(D11="","",D11)</f>
        <v/>
      </c>
      <c r="E118" s="866"/>
      <c r="F118" s="47"/>
      <c r="G118" s="47"/>
      <c r="H118" s="47"/>
      <c r="I118" s="871"/>
      <c r="J118" s="871"/>
      <c r="K118" s="872"/>
      <c r="L118" s="876"/>
      <c r="M118" s="872"/>
      <c r="N118" s="872"/>
      <c r="O118" s="872"/>
      <c r="P118" s="872"/>
      <c r="Q118" s="932">
        <v>0</v>
      </c>
      <c r="R118" s="877"/>
      <c r="S118" s="932">
        <f>SUMPRODUCT($Y$48:$Y$49,$AC$48:$AC$49)*(1-ERMR_MULTIPLIER)</f>
        <v>0</v>
      </c>
      <c r="T118" s="714"/>
      <c r="U118" s="736"/>
      <c r="W118" s="54"/>
      <c r="AD118" s="31"/>
      <c r="AE118" s="31"/>
      <c r="AG118" s="39"/>
      <c r="AH118" s="39"/>
      <c r="AJ118" s="31"/>
    </row>
    <row r="119" spans="2:36" ht="17.25" hidden="1" customHeight="1">
      <c r="B119" s="733"/>
      <c r="C119" s="713"/>
      <c r="D119" s="878">
        <f>W6</f>
        <v>0</v>
      </c>
      <c r="E119" s="66"/>
      <c r="F119" s="66"/>
      <c r="G119" s="66"/>
      <c r="H119" s="879"/>
      <c r="I119" s="34"/>
      <c r="J119" s="34"/>
      <c r="K119" s="881"/>
      <c r="L119" s="67"/>
      <c r="M119" s="881"/>
      <c r="N119" s="881"/>
      <c r="O119" s="881"/>
      <c r="P119" s="881"/>
      <c r="Q119" s="56">
        <f>SUM(Q117:Q118)</f>
        <v>0</v>
      </c>
      <c r="R119" s="834"/>
      <c r="S119" s="56">
        <f>SUM(S117:S118)</f>
        <v>0</v>
      </c>
      <c r="T119" s="905"/>
      <c r="U119" s="736"/>
      <c r="W119" s="54"/>
      <c r="AD119" s="31"/>
      <c r="AE119" s="31"/>
      <c r="AG119" s="39"/>
      <c r="AH119" s="39"/>
      <c r="AJ119" s="31"/>
    </row>
    <row r="120" spans="2:36" ht="17.25" customHeight="1">
      <c r="B120" s="733"/>
      <c r="C120" s="713"/>
      <c r="D120" s="882" t="s">
        <v>145</v>
      </c>
      <c r="E120" s="34"/>
      <c r="F120" s="34"/>
      <c r="G120" s="34"/>
      <c r="H120" s="34"/>
      <c r="I120" s="34"/>
      <c r="J120" s="34"/>
      <c r="K120" s="34"/>
      <c r="L120" s="34"/>
      <c r="M120" s="34"/>
      <c r="N120" s="34"/>
      <c r="O120" s="34"/>
      <c r="P120" s="34"/>
      <c r="Q120" s="870"/>
      <c r="R120" s="493"/>
      <c r="S120" s="870"/>
      <c r="T120" s="714"/>
      <c r="U120" s="736"/>
      <c r="AD120" s="31"/>
      <c r="AE120" s="31"/>
      <c r="AG120" s="39"/>
      <c r="AH120" s="39"/>
      <c r="AJ120" s="31"/>
    </row>
    <row r="121" spans="2:36" ht="17.25" customHeight="1">
      <c r="B121" s="733"/>
      <c r="C121" s="713"/>
      <c r="D121" s="833" t="s">
        <v>29</v>
      </c>
      <c r="E121" s="850"/>
      <c r="F121" s="833" t="s">
        <v>146</v>
      </c>
      <c r="G121" s="833" t="s">
        <v>147</v>
      </c>
      <c r="H121" s="833" t="s">
        <v>148</v>
      </c>
      <c r="I121" s="883" t="str">
        <f>IF(AND('Internal Ref'!$J$237=0,'Internal Ref'!$N$237&gt;0),"No gearing applied as no rent entered","")</f>
        <v/>
      </c>
      <c r="J121" s="883"/>
      <c r="K121" s="850"/>
      <c r="L121" s="836"/>
      <c r="M121" s="850"/>
      <c r="N121" s="850"/>
      <c r="O121" s="850"/>
      <c r="P121" s="850"/>
      <c r="Q121" s="39" t="s">
        <v>149</v>
      </c>
      <c r="R121" s="47"/>
      <c r="S121" s="39" t="s">
        <v>149</v>
      </c>
      <c r="T121" s="714"/>
      <c r="U121" s="736"/>
      <c r="AD121" s="31"/>
      <c r="AE121" s="31"/>
      <c r="AG121" s="39"/>
      <c r="AH121" s="39"/>
      <c r="AJ121" s="31"/>
    </row>
    <row r="122" spans="2:36" ht="17.25" customHeight="1">
      <c r="B122" s="733"/>
      <c r="C122" s="713"/>
      <c r="D122" s="1000" t="str">
        <f>IF(D10="","",D10)</f>
        <v/>
      </c>
      <c r="E122" s="47"/>
      <c r="F122" s="1360">
        <f>(SUMIFS($W$26:$W$37,$C$26:$C$37,D122)
+SUMPRODUCT($W$48:$W$51,$AD$48:$AD$51)
-SUM($AG$48:$AG$49)/12
-SUM($W$67:$W$68)/12
-SUM($W$112:$W$113)/12
)*12</f>
        <v>0</v>
      </c>
      <c r="G122" s="1360">
        <f>MAX((SUMIFS($AB$26:$AB$37,$C$26:$C$37,D122)
+SUMPRODUCT($X$48:$X$49,$AD$48:$AD$49)
-SUM($AG$48:$AG$49)/12
-SUM($W$67:$W$68)/12
-SUM($W$112:$W$113)/12
)*12,0)</f>
        <v>0</v>
      </c>
      <c r="H122" s="1361">
        <f>IF(G122=0,0,Q122*12/G122)</f>
        <v>0</v>
      </c>
      <c r="K122" s="989"/>
      <c r="L122" s="873"/>
      <c r="M122" s="989"/>
      <c r="N122" s="989"/>
      <c r="O122" s="874"/>
      <c r="P122" s="874"/>
      <c r="Q122" s="941">
        <f>TAX_ON_GROSS(G122, TRUE, IF(ISBLANK($D$11),1,2), $E$10+$E$11)/12</f>
        <v>0</v>
      </c>
      <c r="R122" s="875"/>
      <c r="S122" s="941">
        <f>Q122</f>
        <v>0</v>
      </c>
      <c r="T122" s="714"/>
      <c r="U122" s="736"/>
      <c r="W122" s="54"/>
      <c r="Y122" s="34"/>
      <c r="AD122" s="31"/>
      <c r="AE122" s="31"/>
      <c r="AG122" s="39"/>
      <c r="AH122" s="39"/>
      <c r="AJ122" s="31"/>
    </row>
    <row r="123" spans="2:36" ht="17.25" customHeight="1">
      <c r="B123" s="733"/>
      <c r="C123" s="713"/>
      <c r="D123" s="1325" t="str">
        <f>IF(D11="","",D11)</f>
        <v/>
      </c>
      <c r="E123" s="866"/>
      <c r="F123" s="1362">
        <f>(SUMIFS($W$26:$W$37,$C$26:$C$37,D123)
+SUMPRODUCT($W$48:$W$51,$AE$48:$AE$51)
-SUM($AH$48:$AH$49)/12
-SUM($X$67:$X$68)/12
-SUM($X$112:$X$113)/12
)*12</f>
        <v>0</v>
      </c>
      <c r="G123" s="1362">
        <f>MAX((SUMIFS($AB$26:$AB$37,$C$26:$C$37,D123)
+SUMPRODUCT($X$48:$X$49,$AE$48:$AE$49)
-SUM($AH$48:$AH$49)/12
-SUM($X$67:$X$68)/12
-SUM($X$112:$X$113)/12
)*12,0)</f>
        <v>0</v>
      </c>
      <c r="H123" s="1363">
        <f>IF(G123=0,0,ROUND(Q123*12/G123,4))</f>
        <v>0</v>
      </c>
      <c r="I123" s="871"/>
      <c r="J123" s="871"/>
      <c r="K123" s="872"/>
      <c r="L123" s="876"/>
      <c r="M123" s="872"/>
      <c r="N123" s="872"/>
      <c r="O123" s="872"/>
      <c r="P123" s="872"/>
      <c r="Q123" s="1324">
        <f>TAX_ON_GROSS(G123, TRUE, IF(ISBLANK($D$11),1,2), $E$10+$E$11)/12</f>
        <v>0</v>
      </c>
      <c r="R123" s="877"/>
      <c r="S123" s="1324">
        <f>Q123</f>
        <v>0</v>
      </c>
      <c r="T123" s="714"/>
      <c r="U123" s="736"/>
      <c r="W123" s="54"/>
      <c r="AD123" s="31"/>
      <c r="AE123" s="31"/>
      <c r="AG123" s="39"/>
      <c r="AH123" s="39"/>
      <c r="AJ123" s="31"/>
    </row>
    <row r="124" spans="2:36" ht="17.25" customHeight="1">
      <c r="B124" s="733"/>
      <c r="C124" s="713"/>
      <c r="D124" s="878" t="str">
        <f>W12</f>
        <v/>
      </c>
      <c r="E124" s="66"/>
      <c r="F124" s="66"/>
      <c r="G124" s="66"/>
      <c r="H124" s="879">
        <f>AVERAGE(H122:H123)</f>
        <v>0</v>
      </c>
      <c r="I124" s="34"/>
      <c r="J124" s="34"/>
      <c r="K124" s="881"/>
      <c r="L124" s="67"/>
      <c r="M124" s="881"/>
      <c r="N124" s="881"/>
      <c r="O124" s="881"/>
      <c r="P124" s="881"/>
      <c r="Q124" s="56">
        <f t="array" ref="Q124">SUM(ROUND(Q122:Q123,2))</f>
        <v>0</v>
      </c>
      <c r="R124" s="834"/>
      <c r="S124" s="56">
        <f t="array" ref="S124">SUM(ROUND(S122:S123,2))</f>
        <v>0</v>
      </c>
      <c r="T124" s="905"/>
      <c r="U124" s="736"/>
      <c r="W124" s="54"/>
      <c r="AD124" s="31"/>
      <c r="AE124" s="31"/>
      <c r="AG124" s="39"/>
      <c r="AH124" s="39"/>
      <c r="AJ124" s="31"/>
    </row>
    <row r="125" spans="2:36" ht="17.25" customHeight="1">
      <c r="B125" s="733"/>
      <c r="C125" s="713"/>
      <c r="D125" s="161" t="s">
        <v>150</v>
      </c>
      <c r="G125" s="32"/>
      <c r="H125" s="32"/>
      <c r="I125" s="48"/>
      <c r="J125" s="48"/>
      <c r="L125" s="34"/>
      <c r="M125" s="34"/>
      <c r="N125" s="34"/>
      <c r="O125" s="34"/>
      <c r="P125" s="34"/>
      <c r="Q125" s="59">
        <f>SUM(Q69,Q101,Q114,Q119,Q124)</f>
        <v>0</v>
      </c>
      <c r="R125" s="834"/>
      <c r="S125" s="59">
        <f>SUM(S69,S101,S114,S119,S124)</f>
        <v>0</v>
      </c>
      <c r="T125" s="901"/>
      <c r="U125" s="736"/>
      <c r="W125" s="54"/>
      <c r="AD125" s="31"/>
      <c r="AE125" s="31"/>
      <c r="AJ125" s="31"/>
    </row>
    <row r="126" spans="2:36">
      <c r="B126" s="733"/>
      <c r="C126" s="807"/>
      <c r="D126" s="961"/>
      <c r="E126" s="727"/>
      <c r="F126" s="727"/>
      <c r="G126" s="948"/>
      <c r="H126" s="948"/>
      <c r="I126" s="962"/>
      <c r="J126" s="962"/>
      <c r="K126" s="727"/>
      <c r="L126" s="715"/>
      <c r="M126" s="715"/>
      <c r="N126" s="715"/>
      <c r="O126" s="715"/>
      <c r="P126" s="715"/>
      <c r="Q126" s="949"/>
      <c r="R126" s="828"/>
      <c r="S126" s="949"/>
      <c r="T126" s="908"/>
      <c r="U126" s="736"/>
      <c r="W126" s="54"/>
      <c r="AD126" s="31"/>
      <c r="AE126" s="31"/>
      <c r="AJ126" s="31"/>
    </row>
    <row r="127" spans="2:36" ht="7.5" customHeight="1">
      <c r="B127" s="733"/>
      <c r="C127" s="735"/>
      <c r="D127" s="975"/>
      <c r="E127" s="975"/>
      <c r="F127" s="976"/>
      <c r="G127" s="735"/>
      <c r="H127" s="735"/>
      <c r="I127" s="977"/>
      <c r="J127" s="977"/>
      <c r="K127" s="735"/>
      <c r="L127" s="735"/>
      <c r="M127" s="735"/>
      <c r="N127" s="735"/>
      <c r="O127" s="735"/>
      <c r="P127" s="735"/>
      <c r="Q127" s="893"/>
      <c r="R127" s="893"/>
      <c r="S127" s="893"/>
      <c r="T127" s="893"/>
      <c r="U127" s="736"/>
      <c r="W127" s="54"/>
      <c r="AD127" s="31"/>
      <c r="AE127" s="31"/>
      <c r="AJ127" s="31"/>
    </row>
    <row r="128" spans="2:36" ht="7.5" customHeight="1">
      <c r="B128" s="733"/>
      <c r="C128" s="945"/>
      <c r="D128" s="981"/>
      <c r="E128" s="981"/>
      <c r="F128" s="946"/>
      <c r="G128" s="743"/>
      <c r="H128" s="743"/>
      <c r="I128" s="982"/>
      <c r="J128" s="982"/>
      <c r="K128" s="743"/>
      <c r="L128" s="712"/>
      <c r="M128" s="712"/>
      <c r="N128" s="712"/>
      <c r="O128" s="712"/>
      <c r="P128" s="712"/>
      <c r="Q128" s="825"/>
      <c r="R128" s="825"/>
      <c r="S128" s="825"/>
      <c r="T128" s="947"/>
      <c r="U128" s="736"/>
      <c r="W128" s="54"/>
      <c r="AD128" s="31"/>
      <c r="AE128" s="31"/>
      <c r="AJ128" s="31"/>
    </row>
    <row r="129" spans="2:36" ht="17.25" customHeight="1">
      <c r="B129" s="733"/>
      <c r="C129" s="713"/>
      <c r="D129" s="68" t="s">
        <v>151</v>
      </c>
      <c r="G129" s="32"/>
      <c r="H129" s="32"/>
      <c r="I129" s="48"/>
      <c r="J129" s="48"/>
      <c r="L129" s="34"/>
      <c r="M129" s="34"/>
      <c r="N129" s="34"/>
      <c r="O129" s="34"/>
      <c r="P129" s="34"/>
      <c r="Q129" s="59">
        <f>Q51-Q125</f>
        <v>0</v>
      </c>
      <c r="R129" s="834"/>
      <c r="S129" s="59">
        <f>S51-S125</f>
        <v>0</v>
      </c>
      <c r="T129" s="901"/>
      <c r="U129" s="736"/>
      <c r="AD129" s="31"/>
      <c r="AE129" s="31"/>
      <c r="AJ129" s="31"/>
    </row>
    <row r="130" spans="2:36" ht="17.25" customHeight="1">
      <c r="B130" s="733"/>
      <c r="C130" s="713"/>
      <c r="D130" s="886"/>
      <c r="G130" s="990"/>
      <c r="H130" s="1002" t="str">
        <f>BorrowPower(S129,D112:X113,"Label",ROW(H130))</f>
        <v>OO 100% | 8.39% | 30Y</v>
      </c>
      <c r="M130" s="34"/>
      <c r="N130" s="34"/>
      <c r="O130" s="34"/>
      <c r="P130" s="34"/>
      <c r="Q130" s="888"/>
      <c r="R130" s="834"/>
      <c r="S130" s="888"/>
      <c r="T130" s="714"/>
      <c r="U130" s="736"/>
      <c r="AD130" s="31"/>
      <c r="AE130" s="31"/>
      <c r="AG130" s="39"/>
      <c r="AH130" s="39"/>
      <c r="AJ130" s="31"/>
    </row>
    <row r="131" spans="2:36" ht="17.25" customHeight="1">
      <c r="B131" s="733"/>
      <c r="C131" s="713"/>
      <c r="D131" s="7" t="s">
        <v>152</v>
      </c>
      <c r="G131" s="1480">
        <f>BorrowPower(S129,D112:X113,"INV",ROW(G131))</f>
        <v>0</v>
      </c>
      <c r="H131" s="1481"/>
      <c r="I131"/>
      <c r="J131" s="889"/>
      <c r="K131" s="887"/>
      <c r="L131" s="887"/>
      <c r="M131" s="34"/>
      <c r="N131" s="34"/>
      <c r="O131" s="34"/>
      <c r="P131" s="34"/>
      <c r="Q131" s="888"/>
      <c r="R131" s="834"/>
      <c r="S131" s="991"/>
      <c r="T131" s="714"/>
      <c r="U131" s="736"/>
      <c r="AD131" s="31"/>
      <c r="AE131" s="31"/>
      <c r="AG131" s="39"/>
      <c r="AH131" s="39"/>
      <c r="AJ131" s="31"/>
    </row>
    <row r="132" spans="2:36" ht="17.25" customHeight="1">
      <c r="B132" s="733"/>
      <c r="C132" s="713"/>
      <c r="D132" s="7" t="s">
        <v>153</v>
      </c>
      <c r="G132" s="925"/>
      <c r="H132" s="891" cm="1">
        <f t="array" ref="H132">Calc_DTI(SUMPRODUCT(D112:D113,AF112:AF113),SUMPRODUCT(H67:H68,AF67:AF68), AC37, D48:X49,"DTI")</f>
        <v>0</v>
      </c>
      <c r="I132" s="32"/>
      <c r="J132" s="32"/>
      <c r="K132" s="32"/>
      <c r="M132" s="34"/>
      <c r="N132" s="34"/>
      <c r="O132" s="34"/>
      <c r="P132" s="34"/>
      <c r="Q132" s="888"/>
      <c r="R132" s="834"/>
      <c r="S132" s="888"/>
      <c r="T132" s="714"/>
      <c r="U132" s="736"/>
      <c r="AD132" s="31"/>
      <c r="AE132" s="31"/>
      <c r="AG132" s="39"/>
      <c r="AH132" s="39"/>
      <c r="AJ132" s="31"/>
    </row>
    <row r="133" spans="2:36">
      <c r="B133" s="733"/>
      <c r="C133" s="709"/>
      <c r="D133" s="715"/>
      <c r="E133" s="715"/>
      <c r="F133" s="715"/>
      <c r="G133" s="715"/>
      <c r="H133" s="995" t="str" cm="1">
        <f t="array" ref="H133">DTI_Policy($H$132,COUNTIFS(E48:E49,"Rent*",G48:G49,"&gt; 0")+COUNTIFS(F48:F49,"Rent*",G48:G49,"&gt; 0")+COUNTIF(F113:F113,TRUE), "Message")</f>
        <v/>
      </c>
      <c r="I133" s="715"/>
      <c r="J133" s="715"/>
      <c r="K133" s="715"/>
      <c r="L133" s="715"/>
      <c r="M133" s="715"/>
      <c r="N133" s="715"/>
      <c r="O133" s="715"/>
      <c r="P133" s="715"/>
      <c r="Q133" s="828"/>
      <c r="R133" s="828"/>
      <c r="S133" s="828"/>
      <c r="T133" s="716"/>
      <c r="U133" s="736"/>
      <c r="AD133" s="31"/>
      <c r="AE133" s="31"/>
      <c r="AG133" s="39"/>
      <c r="AH133" s="39"/>
      <c r="AJ133" s="31"/>
    </row>
    <row r="134" spans="2:36" ht="7.5" customHeight="1">
      <c r="B134" s="733"/>
      <c r="C134" s="735"/>
      <c r="D134" s="735"/>
      <c r="E134" s="735"/>
      <c r="F134" s="735"/>
      <c r="G134" s="735"/>
      <c r="H134" s="735"/>
      <c r="I134" s="735"/>
      <c r="J134" s="735"/>
      <c r="K134" s="735"/>
      <c r="L134" s="735"/>
      <c r="M134" s="735"/>
      <c r="N134" s="735"/>
      <c r="O134" s="735"/>
      <c r="P134" s="735"/>
      <c r="Q134" s="893"/>
      <c r="R134" s="893"/>
      <c r="S134" s="893"/>
      <c r="T134" s="735"/>
      <c r="U134" s="736"/>
      <c r="AD134" s="31"/>
      <c r="AE134" s="31"/>
      <c r="AG134" s="39"/>
      <c r="AH134" s="39"/>
      <c r="AJ134" s="31"/>
    </row>
    <row r="135" spans="2:36" ht="17.25" customHeight="1">
      <c r="B135" s="733"/>
      <c r="C135" s="1477" t="s">
        <v>556</v>
      </c>
      <c r="D135" s="1477"/>
      <c r="E135" s="1477"/>
      <c r="F135" s="1477"/>
      <c r="G135" s="1477"/>
      <c r="H135" s="1477"/>
      <c r="I135" s="1477"/>
      <c r="J135" s="1477"/>
      <c r="K135" s="1477"/>
      <c r="L135" s="1477"/>
      <c r="M135" s="1477"/>
      <c r="N135" s="1477"/>
      <c r="O135" s="993"/>
      <c r="P135" s="735"/>
      <c r="Q135" s="893"/>
      <c r="R135" s="893"/>
      <c r="S135" s="893"/>
      <c r="T135" s="735"/>
      <c r="U135" s="736"/>
      <c r="AD135" s="31"/>
      <c r="AE135" s="31"/>
      <c r="AG135" s="39"/>
      <c r="AH135" s="39"/>
      <c r="AJ135" s="31"/>
    </row>
    <row r="136" spans="2:36" ht="17.25" customHeight="1">
      <c r="B136" s="733"/>
      <c r="O136" s="707"/>
      <c r="P136" s="707"/>
      <c r="Q136" s="996"/>
      <c r="R136" s="996"/>
      <c r="S136" s="996"/>
      <c r="T136" s="708"/>
      <c r="U136" s="736"/>
      <c r="AD136" s="31"/>
      <c r="AE136" s="31"/>
      <c r="AG136" s="39"/>
      <c r="AH136" s="39"/>
      <c r="AJ136" s="31"/>
    </row>
    <row r="137" spans="2:36" ht="17.25" customHeight="1">
      <c r="B137" s="733"/>
      <c r="C137" s="725"/>
      <c r="D137" s="7" t="s">
        <v>155</v>
      </c>
      <c r="E137" s="7" t="s">
        <v>156</v>
      </c>
      <c r="F137" s="7" t="s">
        <v>157</v>
      </c>
      <c r="G137" s="7" t="s">
        <v>126</v>
      </c>
      <c r="H137" s="7" t="s">
        <v>158</v>
      </c>
      <c r="I137" s="7" t="s">
        <v>159</v>
      </c>
      <c r="J137" s="7"/>
      <c r="L137" s="894" t="s">
        <v>151</v>
      </c>
      <c r="M137" s="895"/>
      <c r="N137" s="71"/>
      <c r="P137" s="71"/>
      <c r="Q137" s="59">
        <f>SUM(I138:I141)</f>
        <v>15825.660000000003</v>
      </c>
      <c r="R137" s="896"/>
      <c r="S137" s="896"/>
      <c r="T137" s="714"/>
      <c r="U137" s="736"/>
      <c r="AD137" s="31"/>
      <c r="AE137" s="31"/>
      <c r="AG137" s="39"/>
      <c r="AH137" s="39"/>
      <c r="AJ137" s="31"/>
    </row>
    <row r="138" spans="2:36" ht="17.25" customHeight="1">
      <c r="B138" s="733"/>
      <c r="C138" s="725"/>
      <c r="D138" s="1366" t="str">
        <f>VLOOKUP("SoP 1",'Internal Ref'!$A$234:$G$237,2,FALSE)</f>
        <v>Fan Jiang &amp; Sifei Liu</v>
      </c>
      <c r="E138" s="1364">
        <f>VLOOKUP("SoP 1",'Internal Ref'!$A$234:$G$237,3,FALSE)</f>
        <v>113559.08</v>
      </c>
      <c r="F138" s="1365">
        <f>VLOOKUP("SoP 1",'Internal Ref'!$A$234:$G$237,4,FALSE)</f>
        <v>8972</v>
      </c>
      <c r="G138" s="1365">
        <f>VLOOKUP("SoP 1",'Internal Ref'!$A$234:$G$237,5,FALSE)</f>
        <v>43536.31</v>
      </c>
      <c r="H138" s="1365">
        <f>VLOOKUP("SoP 1",'Internal Ref'!$A$234:$G$237,6,FALSE)</f>
        <v>45225.110160916665</v>
      </c>
      <c r="I138" s="1364">
        <f>VLOOKUP("SoP 1",'Internal Ref'!$A$234:$G$237,7,FALSE)</f>
        <v>15825.660000000003</v>
      </c>
      <c r="J138" s="535"/>
      <c r="K138" s="897">
        <f>VLOOKUP("SoP 1",'Internal Ref'!$A$234:$L$237,12,FALSE)</f>
        <v>0</v>
      </c>
      <c r="L138" s="858" t="s">
        <v>152</v>
      </c>
      <c r="M138" s="803"/>
      <c r="N138" s="72"/>
      <c r="P138" s="72"/>
      <c r="Q138" s="1367">
        <f>'SoP 4'!G131 + 'SoP 2'!G131+ 'SoP 1'!G167 + 'SoP 3'!G131</f>
        <v>7635499.9981616996</v>
      </c>
      <c r="R138" s="896"/>
      <c r="S138" s="896"/>
      <c r="T138" s="714"/>
      <c r="U138" s="736"/>
      <c r="AD138" s="31"/>
      <c r="AE138" s="31"/>
      <c r="AG138" s="39"/>
      <c r="AH138" s="39"/>
      <c r="AJ138" s="31"/>
    </row>
    <row r="139" spans="2:36" ht="17.25" customHeight="1">
      <c r="B139" s="733"/>
      <c r="C139" s="725"/>
      <c r="D139" s="1366" t="str">
        <f>VLOOKUP("SoP 2",'Internal Ref'!$A$234:$G$237,2,FALSE)</f>
        <v/>
      </c>
      <c r="E139" s="1364">
        <f>VLOOKUP("SoP 2",'Internal Ref'!$A$234:$G$237,3,FALSE)</f>
        <v>0</v>
      </c>
      <c r="F139" s="1365">
        <f>VLOOKUP("SoP 2",'Internal Ref'!$A$234:$G$237,4,FALSE)</f>
        <v>0</v>
      </c>
      <c r="G139" s="1365">
        <f>VLOOKUP("SoP 2",'Internal Ref'!$A$234:$G$237,5,FALSE)</f>
        <v>0</v>
      </c>
      <c r="H139" s="1365">
        <f>VLOOKUP("SoP 2",'Internal Ref'!$A$234:$G$237,6,FALSE)</f>
        <v>0</v>
      </c>
      <c r="I139" s="1364">
        <f>VLOOKUP("SoP 2",'Internal Ref'!$A$234:$G$237,7,FALSE)</f>
        <v>0</v>
      </c>
      <c r="J139" s="535"/>
      <c r="K139" s="897">
        <f>VLOOKUP("SoP 2",'Internal Ref'!$A$234:$L$237,12,FALSE)</f>
        <v>0</v>
      </c>
      <c r="L139" s="858" t="s">
        <v>153</v>
      </c>
      <c r="M139" s="803"/>
      <c r="N139" s="72"/>
      <c r="P139" s="72"/>
      <c r="Q139" s="898">
        <f>IF(SUM('Internal Ref'!$J$178:$J$181)=0,0,SUM('Internal Ref'!$J$178:$J$181)/SUM('Internal Ref'!$I$178:$I$181))</f>
        <v>4.1094614949915647</v>
      </c>
      <c r="R139" s="899"/>
      <c r="S139" s="896"/>
      <c r="T139" s="714"/>
      <c r="U139" s="736"/>
      <c r="AD139" s="31"/>
      <c r="AE139" s="31"/>
      <c r="AG139" s="39"/>
      <c r="AH139" s="39"/>
      <c r="AJ139" s="31"/>
    </row>
    <row r="140" spans="2:36" ht="17.25" customHeight="1">
      <c r="B140" s="733"/>
      <c r="C140" s="725"/>
      <c r="D140" s="1366" t="str">
        <f>VLOOKUP("SoP 3",'Internal Ref'!$A$234:$G$237,2,FALSE)</f>
        <v/>
      </c>
      <c r="E140" s="1364">
        <f>VLOOKUP("SoP 3",'Internal Ref'!$A$234:$G$237,3,FALSE)</f>
        <v>0</v>
      </c>
      <c r="F140" s="1365">
        <f>VLOOKUP("SoP 3",'Internal Ref'!$A$234:$G$237,4,FALSE)</f>
        <v>0</v>
      </c>
      <c r="G140" s="1365">
        <f>VLOOKUP("SoP 3",'Internal Ref'!$A$234:$G$237,5,FALSE)</f>
        <v>0</v>
      </c>
      <c r="H140" s="1365">
        <f>VLOOKUP("SoP 3",'Internal Ref'!$A$234:$G$237,6,FALSE)</f>
        <v>0</v>
      </c>
      <c r="I140" s="1364">
        <f>VLOOKUP("SoP 3",'Internal Ref'!$A$234:$G$237,7,FALSE)</f>
        <v>0</v>
      </c>
      <c r="J140" s="535"/>
      <c r="K140" s="897">
        <f>VLOOKUP("SoP 3",'Internal Ref'!$A$234:$L$237,12,FALSE)</f>
        <v>0</v>
      </c>
      <c r="R140" s="992"/>
      <c r="S140" s="726"/>
      <c r="T140" s="714"/>
      <c r="U140" s="736"/>
      <c r="AD140" s="31"/>
      <c r="AE140" s="31"/>
      <c r="AG140" s="39"/>
      <c r="AH140" s="39"/>
      <c r="AJ140" s="31"/>
    </row>
    <row r="141" spans="2:36" ht="17.25" hidden="1" customHeight="1">
      <c r="B141" s="733"/>
      <c r="C141" s="725"/>
      <c r="D141" s="1366" t="str">
        <f>VLOOKUP("SoP 4",'Internal Ref'!$A$234:$G$237,2,FALSE)</f>
        <v/>
      </c>
      <c r="E141" s="1364">
        <f>VLOOKUP("SoP 4",'Internal Ref'!$A$234:$G$237,3,FALSE)</f>
        <v>0</v>
      </c>
      <c r="F141" s="1365">
        <f>VLOOKUP("SoP 4",'Internal Ref'!$A$234:$G$237,4,FALSE)</f>
        <v>0</v>
      </c>
      <c r="G141" s="1365">
        <f>VLOOKUP("SoP 4",'Internal Ref'!$A$234:$G$237,5,FALSE)</f>
        <v>0</v>
      </c>
      <c r="H141" s="1365">
        <f>VLOOKUP("SoP 4",'Internal Ref'!$A$234:$G$237,6,FALSE)</f>
        <v>0</v>
      </c>
      <c r="I141" s="1364">
        <f>VLOOKUP("SoP 4",'Internal Ref'!$A$234:$G$237,7,FALSE)</f>
        <v>0</v>
      </c>
      <c r="J141" s="535"/>
      <c r="K141" s="897">
        <f>VLOOKUP("SoP 4",'Internal Ref'!$A$234:$L$237,12,FALSE)</f>
        <v>0</v>
      </c>
      <c r="S141" s="726"/>
      <c r="T141" s="714"/>
      <c r="U141" s="736"/>
      <c r="AD141" s="31"/>
      <c r="AE141" s="31"/>
      <c r="AG141" s="39"/>
      <c r="AH141" s="39"/>
      <c r="AJ141" s="31"/>
    </row>
    <row r="142" spans="2:36" ht="17.25" customHeight="1">
      <c r="B142" s="733"/>
      <c r="C142" s="709"/>
      <c r="D142" s="804"/>
      <c r="E142" s="805"/>
      <c r="F142" s="805"/>
      <c r="G142" s="805"/>
      <c r="H142" s="805"/>
      <c r="I142" s="805"/>
      <c r="J142" s="805"/>
      <c r="K142" s="805"/>
      <c r="L142" s="997" t="str" cm="1">
        <f t="array" ref="L142">DTI_Policy(Q139,SUM($K$138:$K$141), "Message")</f>
        <v/>
      </c>
      <c r="M142" s="805"/>
      <c r="N142" s="805"/>
      <c r="O142" s="805"/>
      <c r="P142" s="805"/>
      <c r="Q142" s="727"/>
      <c r="R142" s="805"/>
      <c r="S142" s="805"/>
      <c r="T142" s="710"/>
      <c r="U142" s="736"/>
      <c r="AD142" s="31"/>
      <c r="AE142" s="31"/>
      <c r="AG142" s="39"/>
      <c r="AH142" s="39"/>
      <c r="AJ142" s="31"/>
    </row>
    <row r="143" spans="2:36" ht="17.25" customHeight="1">
      <c r="B143" s="733"/>
      <c r="C143" s="735"/>
      <c r="D143" s="735"/>
      <c r="E143" s="735"/>
      <c r="F143" s="735"/>
      <c r="G143" s="735"/>
      <c r="H143" s="735"/>
      <c r="I143" s="735"/>
      <c r="J143" s="735"/>
      <c r="K143" s="735"/>
      <c r="L143" s="735"/>
      <c r="M143" s="735"/>
      <c r="N143" s="735"/>
      <c r="O143" s="735"/>
      <c r="P143" s="735"/>
      <c r="Q143" s="735"/>
      <c r="R143" s="735"/>
      <c r="S143" s="735"/>
      <c r="T143" s="735"/>
      <c r="U143" s="736"/>
      <c r="AD143" s="31"/>
      <c r="AE143" s="31"/>
      <c r="AG143" s="39"/>
      <c r="AH143" s="39"/>
      <c r="AJ143" s="31"/>
    </row>
    <row r="144" spans="2:36" ht="17.25" customHeight="1">
      <c r="B144" s="733"/>
      <c r="C144" s="775" t="s">
        <v>160</v>
      </c>
      <c r="D144" s="735"/>
      <c r="E144" s="983"/>
      <c r="F144" s="983"/>
      <c r="G144" s="983"/>
      <c r="H144" s="983"/>
      <c r="I144" s="983"/>
      <c r="J144" s="983"/>
      <c r="K144" s="983"/>
      <c r="L144" s="983"/>
      <c r="M144" s="983"/>
      <c r="N144" s="983"/>
      <c r="O144" s="983"/>
      <c r="P144" s="983"/>
      <c r="Q144" s="983"/>
      <c r="R144" s="983"/>
      <c r="S144" s="983"/>
      <c r="T144" s="735"/>
      <c r="U144" s="736"/>
      <c r="AD144" s="31"/>
      <c r="AE144" s="31"/>
      <c r="AG144" s="39"/>
      <c r="AH144" s="39"/>
      <c r="AJ144" s="31"/>
    </row>
    <row r="145" spans="2:36" ht="27" customHeight="1">
      <c r="B145" s="733"/>
      <c r="C145" s="1478" t="str">
        <f ca="1">"This is an estimate only, current as at "&amp;TEXT(TODAY(),"dd/mm/yyyy")&amp;". It is provided for illustrative purposes only and is based on the accuracy of information provided. "&amp;"It does not constitute a quote or offer for credit. All applications for credit are subject to ANZ’s normal credit approval criteria. Terms and conditions apply and are available on application. Fees and charges apply."</f>
        <v>This is an estimate only, current as at 03/06/2025. It is provided for illustrative purposes only and is based on the accuracy of information provided. It does not constitute a quote or offer for credit. All applications for credit are subject to ANZ’s normal credit approval criteria. Terms and conditions apply and are available on application. Fees and charges apply.</v>
      </c>
      <c r="D145" s="1478"/>
      <c r="E145" s="1478"/>
      <c r="F145" s="1478"/>
      <c r="G145" s="1478"/>
      <c r="H145" s="1478"/>
      <c r="I145" s="1478"/>
      <c r="J145" s="1478"/>
      <c r="K145" s="1478"/>
      <c r="L145" s="1478"/>
      <c r="M145" s="1478"/>
      <c r="N145" s="1478"/>
      <c r="O145" s="1478"/>
      <c r="P145" s="1478"/>
      <c r="Q145" s="1478"/>
      <c r="R145" s="1478"/>
      <c r="S145" s="1478"/>
      <c r="T145" s="985"/>
      <c r="U145" s="736"/>
      <c r="AD145" s="31"/>
      <c r="AE145" s="31"/>
      <c r="AG145" s="39"/>
      <c r="AH145" s="39"/>
      <c r="AJ145" s="31"/>
    </row>
    <row r="146" spans="2:36">
      <c r="B146" s="734"/>
      <c r="C146" s="738"/>
      <c r="D146" s="738"/>
      <c r="E146" s="738"/>
      <c r="F146" s="738"/>
      <c r="G146" s="738"/>
      <c r="H146" s="738"/>
      <c r="I146" s="738"/>
      <c r="J146" s="738"/>
      <c r="K146" s="738"/>
      <c r="L146" s="738"/>
      <c r="M146" s="738"/>
      <c r="N146" s="738"/>
      <c r="O146" s="738"/>
      <c r="P146" s="738"/>
      <c r="Q146" s="738"/>
      <c r="R146" s="738"/>
      <c r="S146" s="738"/>
      <c r="T146" s="818" t="str">
        <f>ML_CALC_VERSION</f>
        <v>HL_Calc_V54_250405</v>
      </c>
      <c r="U146" s="737"/>
      <c r="AD146" s="31"/>
      <c r="AE146" s="31"/>
      <c r="AG146" s="39"/>
      <c r="AH146" s="39"/>
      <c r="AJ146" s="31"/>
    </row>
    <row r="147" spans="2:36" ht="24.75" customHeight="1">
      <c r="AD147" s="31"/>
      <c r="AE147" s="31"/>
      <c r="AG147" s="39"/>
      <c r="AH147" s="39"/>
      <c r="AJ147" s="31"/>
    </row>
    <row r="148" spans="2:36" ht="24.75" customHeight="1">
      <c r="AD148" s="31"/>
      <c r="AE148" s="31"/>
      <c r="AG148" s="39"/>
      <c r="AH148" s="39"/>
      <c r="AJ148" s="31"/>
    </row>
    <row r="149" spans="2:36" ht="24.75" customHeight="1">
      <c r="AD149" s="31"/>
      <c r="AE149" s="31"/>
      <c r="AG149" s="39"/>
      <c r="AH149" s="39"/>
      <c r="AJ149" s="31"/>
    </row>
    <row r="150" spans="2:36">
      <c r="AD150" s="31"/>
      <c r="AE150" s="31"/>
      <c r="AG150" s="39"/>
      <c r="AH150" s="39"/>
      <c r="AJ150" s="31"/>
    </row>
    <row r="151" spans="2:36">
      <c r="AD151" s="31"/>
      <c r="AE151" s="31"/>
      <c r="AG151" s="39"/>
      <c r="AH151" s="39"/>
      <c r="AJ151" s="31"/>
    </row>
    <row r="152" spans="2:36">
      <c r="AD152" s="31"/>
      <c r="AE152" s="31"/>
      <c r="AG152" s="39"/>
      <c r="AH152" s="39"/>
      <c r="AJ152" s="31"/>
    </row>
    <row r="153" spans="2:36">
      <c r="AD153" s="31"/>
      <c r="AE153" s="31"/>
      <c r="AG153" s="39"/>
      <c r="AH153" s="39"/>
      <c r="AJ153" s="31"/>
    </row>
    <row r="154" spans="2:36">
      <c r="AD154" s="31"/>
      <c r="AE154" s="31"/>
      <c r="AG154" s="39"/>
      <c r="AH154" s="39"/>
      <c r="AJ154" s="31"/>
    </row>
    <row r="155" spans="2:36">
      <c r="AD155" s="31"/>
      <c r="AE155" s="31"/>
      <c r="AG155" s="39"/>
      <c r="AH155" s="39"/>
      <c r="AJ155" s="31"/>
    </row>
    <row r="156" spans="2:36">
      <c r="AD156" s="31"/>
      <c r="AE156" s="31"/>
      <c r="AG156" s="39"/>
      <c r="AH156" s="39"/>
      <c r="AJ156" s="31"/>
    </row>
    <row r="157" spans="2:36">
      <c r="AD157" s="31"/>
      <c r="AE157" s="31"/>
      <c r="AG157" s="39"/>
      <c r="AH157" s="39"/>
      <c r="AJ157" s="31"/>
    </row>
    <row r="158" spans="2:36">
      <c r="AD158" s="31"/>
      <c r="AE158" s="31"/>
      <c r="AG158" s="39"/>
      <c r="AH158" s="39"/>
      <c r="AJ158" s="31"/>
    </row>
    <row r="159" spans="2:36">
      <c r="AD159" s="31"/>
      <c r="AE159" s="31"/>
      <c r="AG159" s="39"/>
      <c r="AH159" s="39"/>
      <c r="AJ159" s="31"/>
    </row>
    <row r="160" spans="2:36">
      <c r="AD160" s="31"/>
      <c r="AE160" s="31"/>
      <c r="AG160" s="39"/>
      <c r="AH160" s="39"/>
      <c r="AJ160" s="31"/>
    </row>
    <row r="161" spans="30:36">
      <c r="AD161" s="31"/>
      <c r="AE161" s="31"/>
      <c r="AG161" s="39"/>
      <c r="AH161" s="39"/>
      <c r="AJ161" s="31"/>
    </row>
    <row r="162" spans="30:36">
      <c r="AD162" s="31"/>
      <c r="AE162" s="31"/>
      <c r="AG162" s="39"/>
      <c r="AH162" s="39"/>
      <c r="AJ162" s="31"/>
    </row>
    <row r="163" spans="30:36">
      <c r="AD163" s="31"/>
      <c r="AE163" s="31"/>
      <c r="AG163" s="39"/>
      <c r="AH163" s="39"/>
      <c r="AJ163" s="31"/>
    </row>
    <row r="164" spans="30:36">
      <c r="AD164" s="31"/>
      <c r="AE164" s="31"/>
      <c r="AG164" s="39"/>
      <c r="AH164" s="39"/>
      <c r="AJ164" s="31"/>
    </row>
    <row r="165" spans="30:36">
      <c r="AD165" s="31"/>
      <c r="AE165" s="31"/>
      <c r="AJ165" s="31"/>
    </row>
    <row r="166" spans="30:36">
      <c r="AD166" s="31"/>
      <c r="AE166" s="31"/>
      <c r="AJ166" s="31"/>
    </row>
    <row r="167" spans="30:36">
      <c r="AD167" s="31"/>
      <c r="AE167" s="31"/>
      <c r="AJ167" s="31"/>
    </row>
    <row r="168" spans="30:36">
      <c r="AD168" s="31"/>
      <c r="AE168" s="31"/>
      <c r="AJ168" s="31"/>
    </row>
    <row r="169" spans="30:36">
      <c r="AD169" s="31"/>
      <c r="AE169" s="31"/>
      <c r="AJ169" s="31"/>
    </row>
    <row r="170" spans="30:36">
      <c r="AD170" s="31"/>
      <c r="AE170" s="31"/>
      <c r="AJ170" s="31"/>
    </row>
    <row r="171" spans="30:36">
      <c r="AD171" s="31"/>
      <c r="AE171" s="31"/>
      <c r="AJ171" s="31"/>
    </row>
    <row r="172" spans="30:36">
      <c r="AD172" s="31"/>
      <c r="AE172" s="31"/>
      <c r="AJ172" s="31"/>
    </row>
    <row r="173" spans="30:36">
      <c r="AD173" s="31"/>
      <c r="AE173" s="31"/>
      <c r="AJ173" s="31"/>
    </row>
    <row r="174" spans="30:36">
      <c r="AD174" s="31"/>
      <c r="AE174" s="31"/>
      <c r="AJ174" s="31"/>
    </row>
    <row r="175" spans="30:36">
      <c r="AD175" s="31"/>
      <c r="AE175" s="31"/>
      <c r="AJ175" s="31"/>
    </row>
    <row r="176" spans="30:36">
      <c r="AD176" s="31"/>
      <c r="AE176" s="31"/>
      <c r="AJ176" s="31"/>
    </row>
    <row r="177" spans="30:36">
      <c r="AD177" s="31"/>
      <c r="AE177" s="31"/>
      <c r="AJ177" s="31"/>
    </row>
    <row r="178" spans="30:36">
      <c r="AD178" s="31"/>
      <c r="AE178" s="31"/>
      <c r="AJ178" s="31"/>
    </row>
    <row r="179" spans="30:36">
      <c r="AD179" s="31"/>
      <c r="AE179" s="31"/>
      <c r="AJ179" s="31"/>
    </row>
    <row r="180" spans="30:36">
      <c r="AD180" s="31"/>
      <c r="AE180" s="31"/>
      <c r="AJ180" s="31"/>
    </row>
    <row r="181" spans="30:36">
      <c r="AD181" s="31"/>
      <c r="AE181" s="31"/>
      <c r="AJ181" s="31"/>
    </row>
    <row r="182" spans="30:36">
      <c r="AD182" s="31"/>
      <c r="AE182" s="31"/>
      <c r="AJ182" s="31"/>
    </row>
    <row r="183" spans="30:36">
      <c r="AD183" s="31"/>
      <c r="AE183" s="31"/>
      <c r="AJ183" s="31"/>
    </row>
    <row r="184" spans="30:36">
      <c r="AD184" s="31"/>
      <c r="AE184" s="31"/>
      <c r="AJ184" s="31"/>
    </row>
    <row r="185" spans="30:36">
      <c r="AD185" s="31"/>
      <c r="AE185" s="31"/>
      <c r="AJ185" s="31"/>
    </row>
    <row r="186" spans="30:36">
      <c r="AD186" s="31"/>
      <c r="AE186" s="31"/>
      <c r="AJ186" s="31"/>
    </row>
    <row r="187" spans="30:36">
      <c r="AD187" s="31"/>
      <c r="AE187" s="31"/>
      <c r="AJ187" s="31"/>
    </row>
    <row r="188" spans="30:36">
      <c r="AD188" s="31"/>
      <c r="AE188" s="31"/>
      <c r="AJ188" s="31"/>
    </row>
    <row r="189" spans="30:36">
      <c r="AD189" s="31"/>
      <c r="AE189" s="31"/>
      <c r="AJ189" s="31"/>
    </row>
    <row r="190" spans="30:36">
      <c r="AD190" s="31"/>
      <c r="AE190" s="31"/>
      <c r="AJ190" s="31"/>
    </row>
    <row r="191" spans="30:36">
      <c r="AD191" s="31"/>
      <c r="AE191" s="31"/>
      <c r="AJ191" s="31"/>
    </row>
    <row r="192" spans="30:36">
      <c r="AD192" s="31"/>
      <c r="AE192" s="31"/>
      <c r="AJ192" s="31"/>
    </row>
    <row r="193" spans="30:36">
      <c r="AD193" s="31"/>
      <c r="AE193" s="31"/>
      <c r="AJ193" s="31"/>
    </row>
    <row r="194" spans="30:36">
      <c r="AD194" s="31"/>
      <c r="AE194" s="31"/>
      <c r="AJ194" s="31"/>
    </row>
    <row r="195" spans="30:36">
      <c r="AD195" s="31"/>
      <c r="AE195" s="31"/>
      <c r="AJ195" s="31"/>
    </row>
    <row r="196" spans="30:36">
      <c r="AD196" s="31"/>
      <c r="AE196" s="31"/>
      <c r="AJ196" s="31"/>
    </row>
    <row r="197" spans="30:36">
      <c r="AD197" s="31"/>
      <c r="AE197" s="31"/>
      <c r="AJ197" s="31"/>
    </row>
    <row r="198" spans="30:36">
      <c r="AD198" s="31"/>
      <c r="AE198" s="31"/>
      <c r="AJ198" s="31"/>
    </row>
    <row r="199" spans="30:36">
      <c r="AD199" s="31"/>
      <c r="AE199" s="31"/>
      <c r="AJ199" s="31"/>
    </row>
    <row r="200" spans="30:36">
      <c r="AD200" s="31"/>
      <c r="AE200" s="31"/>
      <c r="AJ200" s="31"/>
    </row>
    <row r="201" spans="30:36">
      <c r="AD201" s="31"/>
      <c r="AE201" s="31"/>
      <c r="AJ201" s="31"/>
    </row>
    <row r="202" spans="30:36">
      <c r="AD202" s="31"/>
      <c r="AE202" s="31"/>
      <c r="AJ202" s="31"/>
    </row>
    <row r="203" spans="30:36">
      <c r="AD203" s="31"/>
      <c r="AE203" s="31"/>
      <c r="AJ203" s="31"/>
    </row>
    <row r="204" spans="30:36">
      <c r="AD204" s="31"/>
      <c r="AE204" s="31"/>
      <c r="AJ204" s="31"/>
    </row>
    <row r="205" spans="30:36">
      <c r="AD205" s="31"/>
      <c r="AE205" s="31"/>
      <c r="AJ205" s="31"/>
    </row>
    <row r="206" spans="30:36">
      <c r="AD206" s="31"/>
      <c r="AE206" s="31"/>
      <c r="AJ206" s="31"/>
    </row>
    <row r="207" spans="30:36">
      <c r="AD207" s="31"/>
      <c r="AE207" s="31"/>
      <c r="AJ207" s="31"/>
    </row>
    <row r="208" spans="30:36">
      <c r="AD208" s="31"/>
      <c r="AE208" s="31"/>
      <c r="AJ208" s="31"/>
    </row>
    <row r="209" spans="30:36">
      <c r="AD209" s="31"/>
      <c r="AE209" s="31"/>
      <c r="AJ209" s="31"/>
    </row>
    <row r="210" spans="30:36">
      <c r="AD210" s="31"/>
      <c r="AE210" s="31"/>
      <c r="AJ210" s="31"/>
    </row>
    <row r="211" spans="30:36">
      <c r="AD211" s="31"/>
      <c r="AE211" s="31"/>
      <c r="AJ211" s="31"/>
    </row>
    <row r="212" spans="30:36">
      <c r="AD212" s="31"/>
      <c r="AE212" s="31"/>
      <c r="AJ212" s="31"/>
    </row>
    <row r="213" spans="30:36">
      <c r="AD213" s="31"/>
      <c r="AE213" s="31"/>
      <c r="AJ213" s="31"/>
    </row>
    <row r="214" spans="30:36">
      <c r="AD214" s="31"/>
      <c r="AE214" s="31"/>
    </row>
    <row r="215" spans="30:36">
      <c r="AD215" s="31"/>
      <c r="AE215" s="31"/>
    </row>
    <row r="216" spans="30:36">
      <c r="AD216" s="31"/>
      <c r="AE216" s="31"/>
    </row>
    <row r="217" spans="30:36">
      <c r="AD217" s="31"/>
      <c r="AE217" s="31"/>
    </row>
    <row r="218" spans="30:36">
      <c r="AD218" s="31"/>
      <c r="AE218" s="31"/>
    </row>
    <row r="219" spans="30:36">
      <c r="AD219" s="31"/>
      <c r="AE219" s="31"/>
    </row>
    <row r="220" spans="30:36">
      <c r="AD220" s="31"/>
      <c r="AE220" s="31"/>
    </row>
    <row r="221" spans="30:36">
      <c r="AD221" s="31"/>
      <c r="AE221" s="31"/>
    </row>
    <row r="222" spans="30:36">
      <c r="AD222" s="31"/>
      <c r="AE222" s="31"/>
    </row>
    <row r="223" spans="30:36">
      <c r="AD223" s="31"/>
      <c r="AE223" s="31"/>
    </row>
    <row r="224" spans="30:36">
      <c r="AD224" s="31"/>
      <c r="AE224" s="31"/>
    </row>
    <row r="225" spans="30:31">
      <c r="AD225" s="31"/>
      <c r="AE225" s="31"/>
    </row>
    <row r="226" spans="30:31">
      <c r="AD226" s="31"/>
      <c r="AE226" s="31"/>
    </row>
    <row r="227" spans="30:31">
      <c r="AD227" s="31"/>
      <c r="AE227" s="31"/>
    </row>
    <row r="228" spans="30:31">
      <c r="AD228" s="31"/>
      <c r="AE228" s="31"/>
    </row>
    <row r="229" spans="30:31">
      <c r="AD229" s="31"/>
      <c r="AE229" s="31"/>
    </row>
    <row r="230" spans="30:31">
      <c r="AD230" s="31"/>
      <c r="AE230" s="31"/>
    </row>
    <row r="231" spans="30:31">
      <c r="AD231" s="31"/>
      <c r="AE231" s="31"/>
    </row>
    <row r="232" spans="30:31">
      <c r="AD232" s="31"/>
      <c r="AE232" s="31"/>
    </row>
    <row r="233" spans="30:31">
      <c r="AD233" s="31"/>
      <c r="AE233" s="31"/>
    </row>
    <row r="234" spans="30:31">
      <c r="AD234" s="31"/>
      <c r="AE234" s="31"/>
    </row>
    <row r="235" spans="30:31">
      <c r="AD235" s="31"/>
      <c r="AE235" s="31"/>
    </row>
    <row r="236" spans="30:31">
      <c r="AD236" s="31"/>
      <c r="AE236" s="31"/>
    </row>
    <row r="237" spans="30:31">
      <c r="AD237" s="31"/>
      <c r="AE237" s="31"/>
    </row>
    <row r="238" spans="30:31">
      <c r="AD238" s="31"/>
      <c r="AE238" s="31"/>
    </row>
    <row r="239" spans="30:31">
      <c r="AD239" s="31"/>
      <c r="AE239" s="31"/>
    </row>
    <row r="240" spans="30:31">
      <c r="AD240" s="31"/>
      <c r="AE240" s="31"/>
    </row>
    <row r="241" spans="30:31">
      <c r="AD241" s="31"/>
      <c r="AE241" s="31"/>
    </row>
    <row r="242" spans="30:31">
      <c r="AD242" s="31"/>
      <c r="AE242" s="31"/>
    </row>
    <row r="243" spans="30:31">
      <c r="AD243" s="31"/>
      <c r="AE243" s="31"/>
    </row>
    <row r="244" spans="30:31">
      <c r="AD244" s="31"/>
      <c r="AE244" s="31"/>
    </row>
    <row r="245" spans="30:31">
      <c r="AD245" s="31"/>
      <c r="AE245" s="31"/>
    </row>
    <row r="246" spans="30:31">
      <c r="AD246" s="31"/>
      <c r="AE246" s="31"/>
    </row>
    <row r="247" spans="30:31">
      <c r="AD247" s="31"/>
      <c r="AE247" s="31"/>
    </row>
    <row r="248" spans="30:31">
      <c r="AD248" s="31"/>
      <c r="AE248" s="31"/>
    </row>
    <row r="249" spans="30:31">
      <c r="AD249" s="31"/>
      <c r="AE249" s="31"/>
    </row>
    <row r="250" spans="30:31">
      <c r="AD250" s="31"/>
      <c r="AE250" s="31"/>
    </row>
    <row r="251" spans="30:31">
      <c r="AD251" s="31"/>
      <c r="AE251" s="31"/>
    </row>
    <row r="252" spans="30:31">
      <c r="AD252" s="31"/>
      <c r="AE252" s="31"/>
    </row>
    <row r="253" spans="30:31">
      <c r="AD253" s="31"/>
      <c r="AE253" s="31"/>
    </row>
    <row r="254" spans="30:31">
      <c r="AD254" s="31"/>
      <c r="AE254" s="31"/>
    </row>
    <row r="255" spans="30:31">
      <c r="AD255" s="31"/>
      <c r="AE255" s="31"/>
    </row>
    <row r="256" spans="30:31">
      <c r="AD256" s="31"/>
      <c r="AE256" s="31"/>
    </row>
    <row r="257" spans="30:31">
      <c r="AD257" s="31"/>
      <c r="AE257" s="31"/>
    </row>
    <row r="258" spans="30:31">
      <c r="AD258" s="31"/>
      <c r="AE258" s="31"/>
    </row>
    <row r="259" spans="30:31">
      <c r="AD259" s="31"/>
      <c r="AE259" s="31"/>
    </row>
    <row r="260" spans="30:31">
      <c r="AD260" s="31"/>
      <c r="AE260" s="31"/>
    </row>
    <row r="261" spans="30:31">
      <c r="AD261" s="31"/>
      <c r="AE261" s="31"/>
    </row>
    <row r="262" spans="30:31">
      <c r="AD262" s="31"/>
      <c r="AE262" s="31"/>
    </row>
    <row r="263" spans="30:31">
      <c r="AD263" s="31"/>
      <c r="AE263" s="31"/>
    </row>
    <row r="264" spans="30:31">
      <c r="AD264" s="31"/>
      <c r="AE264" s="31"/>
    </row>
    <row r="265" spans="30:31">
      <c r="AD265" s="31"/>
      <c r="AE265" s="31"/>
    </row>
    <row r="266" spans="30:31">
      <c r="AD266" s="31"/>
      <c r="AE266" s="31"/>
    </row>
    <row r="267" spans="30:31">
      <c r="AD267" s="31"/>
      <c r="AE267" s="31"/>
    </row>
    <row r="268" spans="30:31">
      <c r="AD268" s="31"/>
      <c r="AE268" s="31"/>
    </row>
    <row r="269" spans="30:31">
      <c r="AD269" s="31"/>
      <c r="AE269" s="31"/>
    </row>
    <row r="270" spans="30:31">
      <c r="AD270" s="31"/>
      <c r="AE270" s="31"/>
    </row>
    <row r="271" spans="30:31">
      <c r="AD271" s="31"/>
      <c r="AE271" s="31"/>
    </row>
    <row r="272" spans="30:31">
      <c r="AD272" s="31"/>
      <c r="AE272" s="31"/>
    </row>
    <row r="273" spans="30:31">
      <c r="AD273" s="31"/>
      <c r="AE273" s="31"/>
    </row>
    <row r="274" spans="30:31">
      <c r="AD274" s="31"/>
      <c r="AE274" s="31"/>
    </row>
    <row r="275" spans="30:31">
      <c r="AD275" s="31"/>
      <c r="AE275" s="31"/>
    </row>
    <row r="276" spans="30:31">
      <c r="AD276" s="31"/>
      <c r="AE276" s="31"/>
    </row>
    <row r="277" spans="30:31">
      <c r="AD277" s="31"/>
      <c r="AE277" s="31"/>
    </row>
    <row r="278" spans="30:31">
      <c r="AD278" s="31"/>
      <c r="AE278" s="31"/>
    </row>
    <row r="279" spans="30:31">
      <c r="AD279" s="31"/>
      <c r="AE279" s="31"/>
    </row>
    <row r="280" spans="30:31">
      <c r="AD280" s="31"/>
      <c r="AE280" s="31"/>
    </row>
    <row r="281" spans="30:31">
      <c r="AD281" s="31"/>
      <c r="AE281" s="31"/>
    </row>
    <row r="282" spans="30:31">
      <c r="AD282" s="31"/>
      <c r="AE282" s="31"/>
    </row>
    <row r="283" spans="30:31">
      <c r="AD283" s="31"/>
      <c r="AE283" s="31"/>
    </row>
    <row r="284" spans="30:31">
      <c r="AD284" s="31"/>
      <c r="AE284" s="31"/>
    </row>
    <row r="285" spans="30:31">
      <c r="AD285" s="31"/>
      <c r="AE285" s="31"/>
    </row>
    <row r="286" spans="30:31">
      <c r="AD286" s="31"/>
      <c r="AE286" s="31"/>
    </row>
    <row r="287" spans="30:31">
      <c r="AD287" s="31"/>
      <c r="AE287" s="31"/>
    </row>
    <row r="288" spans="30:31">
      <c r="AD288" s="31"/>
      <c r="AE288" s="31"/>
    </row>
    <row r="289" spans="30:31">
      <c r="AD289" s="31"/>
      <c r="AE289" s="31"/>
    </row>
    <row r="290" spans="30:31">
      <c r="AD290" s="31"/>
      <c r="AE290" s="31"/>
    </row>
    <row r="291" spans="30:31">
      <c r="AD291" s="31"/>
      <c r="AE291" s="31"/>
    </row>
    <row r="292" spans="30:31">
      <c r="AD292" s="31"/>
      <c r="AE292" s="31"/>
    </row>
    <row r="293" spans="30:31">
      <c r="AD293" s="31"/>
      <c r="AE293" s="31"/>
    </row>
    <row r="294" spans="30:31">
      <c r="AD294" s="31"/>
      <c r="AE294" s="31"/>
    </row>
    <row r="295" spans="30:31">
      <c r="AD295" s="31"/>
      <c r="AE295" s="31"/>
    </row>
    <row r="296" spans="30:31">
      <c r="AD296" s="31"/>
      <c r="AE296" s="31"/>
    </row>
    <row r="297" spans="30:31">
      <c r="AD297" s="31"/>
      <c r="AE297" s="31"/>
    </row>
    <row r="298" spans="30:31">
      <c r="AD298" s="31"/>
      <c r="AE298" s="31"/>
    </row>
    <row r="299" spans="30:31">
      <c r="AD299" s="31"/>
      <c r="AE299" s="31"/>
    </row>
    <row r="300" spans="30:31">
      <c r="AD300" s="31"/>
      <c r="AE300" s="31"/>
    </row>
    <row r="301" spans="30:31">
      <c r="AD301" s="31"/>
      <c r="AE301" s="31"/>
    </row>
    <row r="302" spans="30:31">
      <c r="AD302" s="31"/>
      <c r="AE302" s="31"/>
    </row>
    <row r="303" spans="30:31">
      <c r="AD303" s="31"/>
      <c r="AE303" s="31"/>
    </row>
    <row r="304" spans="30:31">
      <c r="AD304" s="31"/>
      <c r="AE304" s="31"/>
    </row>
    <row r="305" spans="30:31">
      <c r="AD305" s="31"/>
      <c r="AE305" s="31"/>
    </row>
    <row r="306" spans="30:31">
      <c r="AD306" s="31"/>
      <c r="AE306" s="31"/>
    </row>
    <row r="307" spans="30:31">
      <c r="AD307" s="31"/>
      <c r="AE307" s="31"/>
    </row>
    <row r="308" spans="30:31">
      <c r="AD308" s="31"/>
      <c r="AE308" s="31"/>
    </row>
    <row r="309" spans="30:31">
      <c r="AD309" s="31"/>
      <c r="AE309" s="31"/>
    </row>
    <row r="310" spans="30:31">
      <c r="AD310" s="31"/>
      <c r="AE310" s="31"/>
    </row>
    <row r="311" spans="30:31">
      <c r="AD311" s="31"/>
      <c r="AE311" s="31"/>
    </row>
    <row r="312" spans="30:31">
      <c r="AD312" s="31"/>
      <c r="AE312" s="31"/>
    </row>
    <row r="313" spans="30:31">
      <c r="AD313" s="31"/>
      <c r="AE313" s="31"/>
    </row>
    <row r="314" spans="30:31">
      <c r="AD314" s="31"/>
      <c r="AE314" s="31"/>
    </row>
    <row r="315" spans="30:31">
      <c r="AD315" s="31"/>
      <c r="AE315" s="31"/>
    </row>
    <row r="316" spans="30:31">
      <c r="AD316" s="31"/>
      <c r="AE316" s="31"/>
    </row>
    <row r="317" spans="30:31">
      <c r="AD317" s="31"/>
      <c r="AE317" s="31"/>
    </row>
    <row r="318" spans="30:31">
      <c r="AD318" s="31"/>
      <c r="AE318" s="31"/>
    </row>
    <row r="319" spans="30:31">
      <c r="AD319" s="31"/>
      <c r="AE319" s="31"/>
    </row>
    <row r="320" spans="30:31">
      <c r="AD320" s="31"/>
      <c r="AE320" s="31"/>
    </row>
    <row r="321" spans="29:31">
      <c r="AD321" s="31"/>
      <c r="AE321" s="31"/>
    </row>
    <row r="322" spans="29:31">
      <c r="AD322" s="31"/>
      <c r="AE322" s="31"/>
    </row>
    <row r="323" spans="29:31">
      <c r="AD323" s="31"/>
      <c r="AE323" s="31"/>
    </row>
    <row r="324" spans="29:31">
      <c r="AD324" s="31"/>
      <c r="AE324" s="31"/>
    </row>
    <row r="325" spans="29:31">
      <c r="AD325" s="31"/>
      <c r="AE325" s="31"/>
    </row>
    <row r="326" spans="29:31">
      <c r="AD326" s="31"/>
      <c r="AE326" s="31"/>
    </row>
    <row r="327" spans="29:31">
      <c r="AD327" s="31"/>
      <c r="AE327" s="31"/>
    </row>
    <row r="328" spans="29:31">
      <c r="AD328" s="31"/>
      <c r="AE328" s="31"/>
    </row>
    <row r="329" spans="29:31">
      <c r="AC329" s="31"/>
      <c r="AD329" s="31"/>
    </row>
    <row r="330" spans="29:31">
      <c r="AC330" s="31"/>
      <c r="AD330" s="31"/>
    </row>
    <row r="331" spans="29:31">
      <c r="AC331" s="31"/>
      <c r="AD331" s="31"/>
    </row>
    <row r="332" spans="29:31">
      <c r="AC332" s="31"/>
      <c r="AD332" s="31"/>
    </row>
    <row r="333" spans="29:31">
      <c r="AC333" s="31"/>
      <c r="AD333" s="31"/>
    </row>
    <row r="334" spans="29:31">
      <c r="AC334" s="31"/>
      <c r="AD334" s="31"/>
    </row>
    <row r="335" spans="29:31">
      <c r="AC335" s="31"/>
      <c r="AD335" s="31"/>
    </row>
    <row r="336" spans="29:31">
      <c r="AC336" s="31"/>
      <c r="AD336" s="31"/>
    </row>
    <row r="337" spans="29:31">
      <c r="AC337" s="31"/>
      <c r="AD337" s="31"/>
    </row>
    <row r="338" spans="29:31">
      <c r="AC338" s="31"/>
      <c r="AD338" s="31"/>
    </row>
    <row r="339" spans="29:31">
      <c r="AC339" s="31"/>
      <c r="AD339" s="31"/>
    </row>
    <row r="340" spans="29:31">
      <c r="AC340" s="31"/>
      <c r="AD340" s="31"/>
    </row>
    <row r="341" spans="29:31">
      <c r="AC341" s="31"/>
      <c r="AD341" s="31"/>
    </row>
    <row r="342" spans="29:31">
      <c r="AC342" s="31"/>
      <c r="AD342" s="31"/>
    </row>
    <row r="343" spans="29:31">
      <c r="AC343" s="31"/>
      <c r="AD343" s="31"/>
    </row>
    <row r="344" spans="29:31">
      <c r="AC344" s="31"/>
      <c r="AD344" s="31"/>
    </row>
    <row r="345" spans="29:31">
      <c r="AC345" s="31"/>
      <c r="AD345" s="31"/>
    </row>
    <row r="346" spans="29:31">
      <c r="AC346" s="31"/>
      <c r="AD346" s="31"/>
    </row>
    <row r="347" spans="29:31">
      <c r="AC347" s="31"/>
      <c r="AD347" s="31"/>
    </row>
    <row r="348" spans="29:31">
      <c r="AC348" s="31"/>
      <c r="AD348" s="31"/>
    </row>
    <row r="349" spans="29:31">
      <c r="AC349" s="31"/>
      <c r="AD349" s="31"/>
    </row>
    <row r="350" spans="29:31">
      <c r="AC350" s="31"/>
      <c r="AD350" s="31"/>
    </row>
    <row r="351" spans="29:31">
      <c r="AD351" s="31"/>
      <c r="AE351" s="31"/>
    </row>
    <row r="352" spans="29:31">
      <c r="AD352" s="31"/>
      <c r="AE352" s="31"/>
    </row>
    <row r="353" spans="30:31">
      <c r="AD353" s="31"/>
      <c r="AE353" s="31"/>
    </row>
    <row r="354" spans="30:31">
      <c r="AD354" s="31"/>
      <c r="AE354" s="31"/>
    </row>
    <row r="355" spans="30:31">
      <c r="AD355" s="31"/>
      <c r="AE355" s="31"/>
    </row>
    <row r="356" spans="30:31">
      <c r="AD356" s="31"/>
      <c r="AE356" s="31"/>
    </row>
    <row r="357" spans="30:31">
      <c r="AD357" s="31"/>
      <c r="AE357" s="31"/>
    </row>
    <row r="358" spans="30:31">
      <c r="AD358" s="31"/>
      <c r="AE358" s="31"/>
    </row>
    <row r="359" spans="30:31">
      <c r="AD359" s="31"/>
      <c r="AE359" s="31"/>
    </row>
    <row r="360" spans="30:31">
      <c r="AD360" s="31"/>
      <c r="AE360" s="31"/>
    </row>
    <row r="361" spans="30:31">
      <c r="AD361" s="31"/>
      <c r="AE361" s="31"/>
    </row>
    <row r="362" spans="30:31">
      <c r="AD362" s="31"/>
      <c r="AE362" s="31"/>
    </row>
    <row r="363" spans="30:31">
      <c r="AD363" s="31"/>
      <c r="AE363" s="31"/>
    </row>
    <row r="364" spans="30:31">
      <c r="AD364" s="31"/>
      <c r="AE364" s="31"/>
    </row>
    <row r="365" spans="30:31">
      <c r="AD365" s="31"/>
      <c r="AE365" s="31"/>
    </row>
    <row r="366" spans="30:31">
      <c r="AD366" s="31"/>
      <c r="AE366" s="31"/>
    </row>
    <row r="367" spans="30:31">
      <c r="AD367" s="31"/>
      <c r="AE367" s="31"/>
    </row>
    <row r="368" spans="30:31">
      <c r="AD368" s="31"/>
      <c r="AE368" s="31"/>
    </row>
    <row r="369" spans="30:31">
      <c r="AD369" s="31"/>
      <c r="AE369" s="31"/>
    </row>
    <row r="370" spans="30:31">
      <c r="AD370" s="31"/>
      <c r="AE370" s="31"/>
    </row>
    <row r="371" spans="30:31">
      <c r="AD371" s="31"/>
      <c r="AE371" s="31"/>
    </row>
    <row r="372" spans="30:31">
      <c r="AD372" s="31"/>
      <c r="AE372" s="31"/>
    </row>
    <row r="373" spans="30:31">
      <c r="AD373" s="31"/>
      <c r="AE373" s="31"/>
    </row>
    <row r="374" spans="30:31">
      <c r="AD374" s="31"/>
      <c r="AE374" s="31"/>
    </row>
    <row r="375" spans="30:31">
      <c r="AD375" s="31"/>
      <c r="AE375" s="31"/>
    </row>
    <row r="376" spans="30:31">
      <c r="AD376" s="31"/>
      <c r="AE376" s="31"/>
    </row>
    <row r="377" spans="30:31">
      <c r="AD377" s="31"/>
      <c r="AE377" s="31"/>
    </row>
    <row r="378" spans="30:31">
      <c r="AD378" s="31"/>
      <c r="AE378" s="31"/>
    </row>
    <row r="379" spans="30:31">
      <c r="AD379" s="31"/>
      <c r="AE379" s="31"/>
    </row>
    <row r="380" spans="30:31">
      <c r="AD380" s="31"/>
      <c r="AE380" s="31"/>
    </row>
    <row r="381" spans="30:31">
      <c r="AD381" s="31"/>
      <c r="AE381" s="31"/>
    </row>
    <row r="382" spans="30:31">
      <c r="AD382" s="31"/>
      <c r="AE382" s="31"/>
    </row>
    <row r="383" spans="30:31">
      <c r="AD383" s="31"/>
      <c r="AE383" s="31"/>
    </row>
    <row r="384" spans="30:31">
      <c r="AD384" s="31"/>
      <c r="AE384" s="31"/>
    </row>
    <row r="385" spans="30:31">
      <c r="AD385" s="31"/>
      <c r="AE385" s="31"/>
    </row>
    <row r="386" spans="30:31">
      <c r="AD386" s="31"/>
      <c r="AE386" s="31"/>
    </row>
    <row r="387" spans="30:31">
      <c r="AD387" s="31"/>
      <c r="AE387" s="31"/>
    </row>
    <row r="388" spans="30:31">
      <c r="AD388" s="31"/>
      <c r="AE388" s="31"/>
    </row>
    <row r="389" spans="30:31">
      <c r="AD389" s="31"/>
      <c r="AE389" s="31"/>
    </row>
    <row r="390" spans="30:31">
      <c r="AD390" s="31"/>
      <c r="AE390" s="31"/>
    </row>
    <row r="391" spans="30:31">
      <c r="AD391" s="31"/>
      <c r="AE391" s="31"/>
    </row>
    <row r="392" spans="30:31">
      <c r="AD392" s="31"/>
      <c r="AE392" s="31"/>
    </row>
    <row r="393" spans="30:31">
      <c r="AD393" s="31"/>
      <c r="AE393" s="31"/>
    </row>
    <row r="394" spans="30:31">
      <c r="AD394" s="31"/>
      <c r="AE394" s="31"/>
    </row>
    <row r="395" spans="30:31">
      <c r="AD395" s="31"/>
      <c r="AE395" s="31"/>
    </row>
    <row r="396" spans="30:31">
      <c r="AD396" s="31"/>
      <c r="AE396" s="31"/>
    </row>
    <row r="397" spans="30:31">
      <c r="AD397" s="31"/>
      <c r="AE397" s="31"/>
    </row>
    <row r="398" spans="30:31">
      <c r="AD398" s="31"/>
      <c r="AE398" s="31"/>
    </row>
    <row r="399" spans="30:31">
      <c r="AD399" s="31"/>
      <c r="AE399" s="31"/>
    </row>
    <row r="400" spans="30:31">
      <c r="AD400" s="31"/>
      <c r="AE400" s="31"/>
    </row>
    <row r="401" spans="30:31">
      <c r="AD401" s="31"/>
      <c r="AE401" s="31"/>
    </row>
    <row r="402" spans="30:31">
      <c r="AD402" s="31"/>
      <c r="AE402" s="31"/>
    </row>
    <row r="403" spans="30:31">
      <c r="AD403" s="31"/>
      <c r="AE403" s="31"/>
    </row>
    <row r="404" spans="30:31">
      <c r="AD404" s="31"/>
      <c r="AE404" s="31"/>
    </row>
    <row r="405" spans="30:31">
      <c r="AD405" s="31"/>
      <c r="AE405" s="31"/>
    </row>
    <row r="406" spans="30:31">
      <c r="AD406" s="31"/>
      <c r="AE406" s="31"/>
    </row>
    <row r="407" spans="30:31">
      <c r="AD407" s="31"/>
      <c r="AE407" s="31"/>
    </row>
    <row r="408" spans="30:31">
      <c r="AD408" s="31"/>
      <c r="AE408" s="31"/>
    </row>
    <row r="409" spans="30:31">
      <c r="AD409" s="31"/>
      <c r="AE409" s="31"/>
    </row>
    <row r="410" spans="30:31">
      <c r="AD410" s="31"/>
      <c r="AE410" s="31"/>
    </row>
    <row r="411" spans="30:31">
      <c r="AD411" s="31"/>
      <c r="AE411" s="31"/>
    </row>
    <row r="412" spans="30:31">
      <c r="AD412" s="31"/>
      <c r="AE412" s="31"/>
    </row>
    <row r="413" spans="30:31">
      <c r="AD413" s="31"/>
      <c r="AE413" s="31"/>
    </row>
    <row r="414" spans="30:31">
      <c r="AD414" s="31"/>
      <c r="AE414" s="31"/>
    </row>
    <row r="415" spans="30:31">
      <c r="AD415" s="31"/>
      <c r="AE415" s="31"/>
    </row>
    <row r="416" spans="30:31">
      <c r="AD416" s="31"/>
      <c r="AE416" s="31"/>
    </row>
    <row r="417" spans="30:31">
      <c r="AD417" s="31"/>
      <c r="AE417" s="31"/>
    </row>
    <row r="418" spans="30:31">
      <c r="AD418" s="31"/>
      <c r="AE418" s="31"/>
    </row>
    <row r="419" spans="30:31">
      <c r="AD419" s="31"/>
      <c r="AE419" s="31"/>
    </row>
    <row r="420" spans="30:31">
      <c r="AD420" s="31"/>
      <c r="AE420" s="31"/>
    </row>
    <row r="421" spans="30:31">
      <c r="AD421" s="31"/>
      <c r="AE421" s="31"/>
    </row>
    <row r="422" spans="30:31">
      <c r="AD422" s="31"/>
      <c r="AE422" s="31"/>
    </row>
    <row r="423" spans="30:31">
      <c r="AD423" s="31"/>
      <c r="AE423" s="31"/>
    </row>
    <row r="424" spans="30:31">
      <c r="AD424" s="31"/>
      <c r="AE424" s="31"/>
    </row>
    <row r="425" spans="30:31">
      <c r="AD425" s="31"/>
      <c r="AE425" s="31"/>
    </row>
    <row r="426" spans="30:31">
      <c r="AD426" s="31"/>
      <c r="AE426" s="31"/>
    </row>
    <row r="427" spans="30:31">
      <c r="AD427" s="31"/>
      <c r="AE427" s="31"/>
    </row>
    <row r="428" spans="30:31">
      <c r="AD428" s="31"/>
      <c r="AE428" s="31"/>
    </row>
    <row r="429" spans="30:31">
      <c r="AD429" s="31"/>
      <c r="AE429" s="31"/>
    </row>
    <row r="430" spans="30:31">
      <c r="AD430" s="31"/>
      <c r="AE430" s="31"/>
    </row>
    <row r="431" spans="30:31">
      <c r="AD431" s="31"/>
      <c r="AE431" s="31"/>
    </row>
    <row r="432" spans="30:31">
      <c r="AD432" s="31"/>
      <c r="AE432" s="31"/>
    </row>
    <row r="433" spans="30:31">
      <c r="AD433" s="31"/>
      <c r="AE433" s="31"/>
    </row>
    <row r="434" spans="30:31">
      <c r="AD434" s="31"/>
      <c r="AE434" s="31"/>
    </row>
    <row r="435" spans="30:31">
      <c r="AD435" s="31"/>
      <c r="AE435" s="31"/>
    </row>
    <row r="436" spans="30:31">
      <c r="AD436" s="31"/>
      <c r="AE436" s="31"/>
    </row>
    <row r="437" spans="30:31">
      <c r="AD437" s="31"/>
      <c r="AE437" s="31"/>
    </row>
    <row r="438" spans="30:31">
      <c r="AD438" s="31"/>
      <c r="AE438" s="31"/>
    </row>
    <row r="439" spans="30:31">
      <c r="AD439" s="31"/>
      <c r="AE439" s="31"/>
    </row>
    <row r="440" spans="30:31">
      <c r="AD440" s="31"/>
      <c r="AE440" s="31"/>
    </row>
    <row r="441" spans="30:31">
      <c r="AD441" s="31"/>
      <c r="AE441" s="31"/>
    </row>
    <row r="442" spans="30:31">
      <c r="AD442" s="31"/>
      <c r="AE442" s="31"/>
    </row>
    <row r="443" spans="30:31">
      <c r="AD443" s="31"/>
      <c r="AE443" s="31"/>
    </row>
    <row r="444" spans="30:31">
      <c r="AD444" s="31"/>
      <c r="AE444" s="31"/>
    </row>
    <row r="445" spans="30:31">
      <c r="AD445" s="31"/>
      <c r="AE445" s="31"/>
    </row>
    <row r="446" spans="30:31">
      <c r="AD446" s="31"/>
      <c r="AE446" s="31"/>
    </row>
    <row r="447" spans="30:31">
      <c r="AD447" s="31"/>
      <c r="AE447" s="31"/>
    </row>
    <row r="448" spans="30:31">
      <c r="AD448" s="31"/>
      <c r="AE448" s="31"/>
    </row>
    <row r="449" spans="30:31">
      <c r="AD449" s="31"/>
      <c r="AE449" s="31"/>
    </row>
    <row r="450" spans="30:31">
      <c r="AD450" s="31"/>
      <c r="AE450" s="31"/>
    </row>
    <row r="451" spans="30:31">
      <c r="AD451" s="31"/>
      <c r="AE451" s="31"/>
    </row>
    <row r="452" spans="30:31">
      <c r="AD452" s="31"/>
      <c r="AE452" s="31"/>
    </row>
    <row r="453" spans="30:31">
      <c r="AD453" s="31"/>
      <c r="AE453" s="31"/>
    </row>
    <row r="454" spans="30:31">
      <c r="AD454" s="31"/>
      <c r="AE454" s="31"/>
    </row>
    <row r="455" spans="30:31">
      <c r="AD455" s="31"/>
      <c r="AE455" s="31"/>
    </row>
    <row r="456" spans="30:31">
      <c r="AD456" s="31"/>
      <c r="AE456" s="31"/>
    </row>
    <row r="457" spans="30:31">
      <c r="AD457" s="31"/>
      <c r="AE457" s="31"/>
    </row>
    <row r="458" spans="30:31">
      <c r="AD458" s="31"/>
      <c r="AE458" s="31"/>
    </row>
    <row r="459" spans="30:31">
      <c r="AD459" s="31"/>
      <c r="AE459" s="31"/>
    </row>
    <row r="460" spans="30:31">
      <c r="AD460" s="31"/>
      <c r="AE460" s="31"/>
    </row>
    <row r="461" spans="30:31">
      <c r="AD461" s="31"/>
      <c r="AE461" s="31"/>
    </row>
    <row r="462" spans="30:31">
      <c r="AD462" s="31"/>
      <c r="AE462" s="31"/>
    </row>
    <row r="463" spans="30:31">
      <c r="AD463" s="31"/>
      <c r="AE463" s="31"/>
    </row>
    <row r="464" spans="30:31">
      <c r="AD464" s="31"/>
      <c r="AE464" s="31"/>
    </row>
    <row r="465" spans="30:31">
      <c r="AD465" s="31"/>
      <c r="AE465" s="31"/>
    </row>
    <row r="466" spans="30:31">
      <c r="AD466" s="31"/>
      <c r="AE466" s="31"/>
    </row>
    <row r="467" spans="30:31">
      <c r="AD467" s="31"/>
      <c r="AE467" s="31"/>
    </row>
    <row r="468" spans="30:31">
      <c r="AD468" s="31"/>
      <c r="AE468" s="31"/>
    </row>
    <row r="469" spans="30:31">
      <c r="AD469" s="31"/>
      <c r="AE469" s="31"/>
    </row>
    <row r="470" spans="30:31">
      <c r="AD470" s="31"/>
      <c r="AE470" s="31"/>
    </row>
    <row r="471" spans="30:31">
      <c r="AD471" s="31"/>
      <c r="AE471" s="31"/>
    </row>
    <row r="472" spans="30:31">
      <c r="AD472" s="31"/>
      <c r="AE472" s="31"/>
    </row>
    <row r="473" spans="30:31">
      <c r="AD473" s="31"/>
      <c r="AE473" s="31"/>
    </row>
    <row r="474" spans="30:31">
      <c r="AD474" s="31"/>
      <c r="AE474" s="31"/>
    </row>
    <row r="475" spans="30:31">
      <c r="AD475" s="31"/>
      <c r="AE475" s="31"/>
    </row>
    <row r="476" spans="30:31">
      <c r="AD476" s="31"/>
      <c r="AE476" s="31"/>
    </row>
    <row r="477" spans="30:31">
      <c r="AD477" s="31"/>
      <c r="AE477" s="31"/>
    </row>
    <row r="478" spans="30:31">
      <c r="AD478" s="31"/>
      <c r="AE478" s="31"/>
    </row>
    <row r="479" spans="30:31">
      <c r="AD479" s="31"/>
      <c r="AE479" s="31"/>
    </row>
    <row r="480" spans="30:31">
      <c r="AD480" s="31"/>
      <c r="AE480" s="31"/>
    </row>
    <row r="481" spans="30:31">
      <c r="AD481" s="31"/>
      <c r="AE481" s="31"/>
    </row>
    <row r="482" spans="30:31">
      <c r="AD482" s="31"/>
      <c r="AE482" s="31"/>
    </row>
    <row r="483" spans="30:31">
      <c r="AD483" s="31"/>
      <c r="AE483" s="31"/>
    </row>
    <row r="484" spans="30:31">
      <c r="AD484" s="31"/>
      <c r="AE484" s="31"/>
    </row>
    <row r="485" spans="30:31">
      <c r="AD485" s="31"/>
      <c r="AE485" s="31"/>
    </row>
    <row r="486" spans="30:31">
      <c r="AD486" s="31"/>
      <c r="AE486" s="31"/>
    </row>
    <row r="487" spans="30:31">
      <c r="AD487" s="31"/>
      <c r="AE487" s="31"/>
    </row>
    <row r="488" spans="30:31">
      <c r="AD488" s="31"/>
      <c r="AE488" s="31"/>
    </row>
    <row r="489" spans="30:31">
      <c r="AD489" s="31"/>
      <c r="AE489" s="31"/>
    </row>
    <row r="490" spans="30:31">
      <c r="AD490" s="31"/>
      <c r="AE490" s="31"/>
    </row>
    <row r="491" spans="30:31">
      <c r="AD491" s="31"/>
      <c r="AE491" s="31"/>
    </row>
    <row r="492" spans="30:31">
      <c r="AD492" s="31"/>
      <c r="AE492" s="31"/>
    </row>
    <row r="493" spans="30:31">
      <c r="AD493" s="31"/>
      <c r="AE493" s="31"/>
    </row>
    <row r="494" spans="30:31">
      <c r="AD494" s="31"/>
      <c r="AE494" s="31"/>
    </row>
    <row r="495" spans="30:31">
      <c r="AD495" s="31"/>
      <c r="AE495" s="31"/>
    </row>
    <row r="496" spans="30:31">
      <c r="AD496" s="31"/>
      <c r="AE496" s="31"/>
    </row>
    <row r="497" spans="30:31">
      <c r="AD497" s="31"/>
      <c r="AE497" s="31"/>
    </row>
    <row r="498" spans="30:31">
      <c r="AD498" s="31"/>
      <c r="AE498" s="31"/>
    </row>
    <row r="499" spans="30:31">
      <c r="AD499" s="31"/>
      <c r="AE499" s="31"/>
    </row>
    <row r="500" spans="30:31">
      <c r="AD500" s="31"/>
      <c r="AE500" s="31"/>
    </row>
    <row r="501" spans="30:31">
      <c r="AD501" s="31"/>
      <c r="AE501" s="31"/>
    </row>
    <row r="502" spans="30:31">
      <c r="AD502" s="31"/>
      <c r="AE502" s="31"/>
    </row>
    <row r="503" spans="30:31">
      <c r="AD503" s="31"/>
      <c r="AE503" s="31"/>
    </row>
    <row r="504" spans="30:31">
      <c r="AD504" s="31"/>
      <c r="AE504" s="31"/>
    </row>
    <row r="505" spans="30:31">
      <c r="AD505" s="31"/>
      <c r="AE505" s="31"/>
    </row>
    <row r="506" spans="30:31">
      <c r="AD506" s="31"/>
      <c r="AE506" s="31"/>
    </row>
    <row r="507" spans="30:31">
      <c r="AD507" s="31"/>
      <c r="AE507" s="31"/>
    </row>
    <row r="508" spans="30:31">
      <c r="AD508" s="31"/>
      <c r="AE508" s="31"/>
    </row>
    <row r="509" spans="30:31">
      <c r="AD509" s="31"/>
      <c r="AE509" s="31"/>
    </row>
    <row r="510" spans="30:31">
      <c r="AD510" s="31"/>
      <c r="AE510" s="31"/>
    </row>
    <row r="511" spans="30:31">
      <c r="AD511" s="31"/>
      <c r="AE511" s="31"/>
    </row>
    <row r="512" spans="30:31">
      <c r="AD512" s="31"/>
      <c r="AE512" s="31"/>
    </row>
    <row r="513" spans="30:31">
      <c r="AD513" s="31"/>
      <c r="AE513" s="31"/>
    </row>
    <row r="514" spans="30:31">
      <c r="AD514" s="31"/>
      <c r="AE514" s="31"/>
    </row>
    <row r="515" spans="30:31">
      <c r="AD515" s="31"/>
      <c r="AE515" s="31"/>
    </row>
    <row r="516" spans="30:31">
      <c r="AD516" s="31"/>
      <c r="AE516" s="31"/>
    </row>
    <row r="517" spans="30:31">
      <c r="AD517" s="31"/>
      <c r="AE517" s="31"/>
    </row>
    <row r="518" spans="30:31">
      <c r="AD518" s="31"/>
      <c r="AE518" s="31"/>
    </row>
    <row r="519" spans="30:31">
      <c r="AD519" s="31"/>
      <c r="AE519" s="31"/>
    </row>
    <row r="520" spans="30:31">
      <c r="AD520" s="31"/>
      <c r="AE520" s="31"/>
    </row>
    <row r="521" spans="30:31">
      <c r="AD521" s="31"/>
      <c r="AE521" s="31"/>
    </row>
    <row r="522" spans="30:31">
      <c r="AD522" s="31"/>
      <c r="AE522" s="31"/>
    </row>
    <row r="523" spans="30:31">
      <c r="AD523" s="31"/>
      <c r="AE523" s="31"/>
    </row>
    <row r="524" spans="30:31">
      <c r="AD524" s="31"/>
      <c r="AE524" s="31"/>
    </row>
    <row r="525" spans="30:31">
      <c r="AD525" s="31"/>
      <c r="AE525" s="31"/>
    </row>
    <row r="526" spans="30:31">
      <c r="AD526" s="31"/>
      <c r="AE526" s="31"/>
    </row>
    <row r="527" spans="30:31">
      <c r="AD527" s="31"/>
      <c r="AE527" s="31"/>
    </row>
    <row r="528" spans="30:31">
      <c r="AD528" s="31"/>
      <c r="AE528" s="31"/>
    </row>
    <row r="529" spans="30:31">
      <c r="AD529" s="31"/>
      <c r="AE529" s="31"/>
    </row>
    <row r="530" spans="30:31">
      <c r="AD530" s="31"/>
      <c r="AE530" s="31"/>
    </row>
    <row r="531" spans="30:31">
      <c r="AD531" s="31"/>
      <c r="AE531" s="31"/>
    </row>
    <row r="532" spans="30:31">
      <c r="AD532" s="31"/>
      <c r="AE532" s="31"/>
    </row>
    <row r="533" spans="30:31">
      <c r="AD533" s="31"/>
      <c r="AE533" s="31"/>
    </row>
    <row r="534" spans="30:31">
      <c r="AD534" s="31"/>
      <c r="AE534" s="31"/>
    </row>
    <row r="535" spans="30:31">
      <c r="AD535" s="31"/>
      <c r="AE535" s="31"/>
    </row>
    <row r="536" spans="30:31">
      <c r="AD536" s="31"/>
      <c r="AE536" s="31"/>
    </row>
    <row r="537" spans="30:31">
      <c r="AD537" s="31"/>
      <c r="AE537" s="31"/>
    </row>
    <row r="538" spans="30:31">
      <c r="AD538" s="31"/>
      <c r="AE538" s="31"/>
    </row>
    <row r="539" spans="30:31">
      <c r="AD539" s="31"/>
      <c r="AE539" s="31"/>
    </row>
    <row r="540" spans="30:31">
      <c r="AD540" s="31"/>
      <c r="AE540" s="31"/>
    </row>
    <row r="541" spans="30:31">
      <c r="AD541" s="31"/>
      <c r="AE541" s="31"/>
    </row>
    <row r="542" spans="30:31">
      <c r="AD542" s="31"/>
      <c r="AE542" s="31"/>
    </row>
    <row r="543" spans="30:31">
      <c r="AD543" s="31"/>
      <c r="AE543" s="31"/>
    </row>
    <row r="544" spans="30:31">
      <c r="AD544" s="31"/>
      <c r="AE544" s="31"/>
    </row>
    <row r="545" spans="30:31">
      <c r="AD545" s="31"/>
      <c r="AE545" s="31"/>
    </row>
    <row r="546" spans="30:31">
      <c r="AD546" s="31"/>
      <c r="AE546" s="31"/>
    </row>
    <row r="547" spans="30:31">
      <c r="AD547" s="31"/>
      <c r="AE547" s="31"/>
    </row>
    <row r="548" spans="30:31">
      <c r="AD548" s="31"/>
      <c r="AE548" s="31"/>
    </row>
    <row r="549" spans="30:31">
      <c r="AD549" s="31"/>
      <c r="AE549" s="31"/>
    </row>
    <row r="550" spans="30:31">
      <c r="AD550" s="31"/>
      <c r="AE550" s="31"/>
    </row>
    <row r="551" spans="30:31">
      <c r="AD551" s="31"/>
      <c r="AE551" s="31"/>
    </row>
    <row r="552" spans="30:31">
      <c r="AD552" s="31"/>
      <c r="AE552" s="31"/>
    </row>
    <row r="553" spans="30:31">
      <c r="AD553" s="31"/>
      <c r="AE553" s="31"/>
    </row>
    <row r="554" spans="30:31">
      <c r="AD554" s="31"/>
      <c r="AE554" s="31"/>
    </row>
    <row r="555" spans="30:31">
      <c r="AD555" s="31"/>
      <c r="AE555" s="31"/>
    </row>
    <row r="556" spans="30:31">
      <c r="AD556" s="31"/>
      <c r="AE556" s="31"/>
    </row>
    <row r="557" spans="30:31">
      <c r="AD557" s="31"/>
      <c r="AE557" s="31"/>
    </row>
    <row r="558" spans="30:31">
      <c r="AD558" s="31"/>
      <c r="AE558" s="31"/>
    </row>
    <row r="559" spans="30:31">
      <c r="AD559" s="31"/>
      <c r="AE559" s="31"/>
    </row>
    <row r="560" spans="30:31">
      <c r="AD560" s="31"/>
      <c r="AE560" s="31"/>
    </row>
    <row r="561" spans="30:31">
      <c r="AD561" s="31"/>
      <c r="AE561" s="31"/>
    </row>
    <row r="562" spans="30:31">
      <c r="AD562" s="31"/>
      <c r="AE562" s="31"/>
    </row>
    <row r="563" spans="30:31">
      <c r="AD563" s="31"/>
      <c r="AE563" s="31"/>
    </row>
    <row r="564" spans="30:31">
      <c r="AD564" s="31"/>
      <c r="AE564" s="31"/>
    </row>
    <row r="565" spans="30:31">
      <c r="AD565" s="31"/>
      <c r="AE565" s="31"/>
    </row>
    <row r="566" spans="30:31">
      <c r="AD566" s="31"/>
      <c r="AE566" s="31"/>
    </row>
    <row r="567" spans="30:31">
      <c r="AD567" s="31"/>
      <c r="AE567" s="31"/>
    </row>
    <row r="568" spans="30:31">
      <c r="AD568" s="31"/>
      <c r="AE568" s="31"/>
    </row>
    <row r="569" spans="30:31">
      <c r="AD569" s="31"/>
      <c r="AE569" s="31"/>
    </row>
    <row r="570" spans="30:31">
      <c r="AD570" s="31"/>
      <c r="AE570" s="31"/>
    </row>
    <row r="571" spans="30:31">
      <c r="AD571" s="31"/>
      <c r="AE571" s="31"/>
    </row>
    <row r="572" spans="30:31">
      <c r="AD572" s="31"/>
      <c r="AE572" s="31"/>
    </row>
    <row r="573" spans="30:31">
      <c r="AD573" s="31"/>
      <c r="AE573" s="31"/>
    </row>
    <row r="574" spans="30:31">
      <c r="AD574" s="31"/>
      <c r="AE574" s="31"/>
    </row>
    <row r="575" spans="30:31">
      <c r="AD575" s="31"/>
      <c r="AE575" s="31"/>
    </row>
    <row r="576" spans="30:31">
      <c r="AD576" s="31"/>
      <c r="AE576" s="31"/>
    </row>
    <row r="577" spans="30:31">
      <c r="AD577" s="31"/>
      <c r="AE577" s="31"/>
    </row>
    <row r="578" spans="30:31">
      <c r="AD578" s="31"/>
      <c r="AE578" s="31"/>
    </row>
    <row r="579" spans="30:31">
      <c r="AD579" s="31"/>
      <c r="AE579" s="31"/>
    </row>
    <row r="580" spans="30:31">
      <c r="AD580" s="31"/>
      <c r="AE580" s="31"/>
    </row>
    <row r="581" spans="30:31">
      <c r="AD581" s="31"/>
      <c r="AE581" s="31"/>
    </row>
    <row r="582" spans="30:31">
      <c r="AD582" s="31"/>
      <c r="AE582" s="31"/>
    </row>
    <row r="583" spans="30:31">
      <c r="AD583" s="31"/>
      <c r="AE583" s="31"/>
    </row>
    <row r="584" spans="30:31">
      <c r="AD584" s="31"/>
      <c r="AE584" s="31"/>
    </row>
    <row r="585" spans="30:31">
      <c r="AD585" s="31"/>
      <c r="AE585" s="31"/>
    </row>
    <row r="586" spans="30:31">
      <c r="AD586" s="31"/>
      <c r="AE586" s="31"/>
    </row>
    <row r="587" spans="30:31">
      <c r="AD587" s="31"/>
      <c r="AE587" s="31"/>
    </row>
    <row r="588" spans="30:31">
      <c r="AD588" s="31"/>
      <c r="AE588" s="31"/>
    </row>
    <row r="589" spans="30:31">
      <c r="AD589" s="31"/>
      <c r="AE589" s="31"/>
    </row>
    <row r="590" spans="30:31">
      <c r="AD590" s="31"/>
      <c r="AE590" s="31"/>
    </row>
    <row r="591" spans="30:31">
      <c r="AD591" s="31"/>
      <c r="AE591" s="31"/>
    </row>
    <row r="592" spans="30:31">
      <c r="AD592" s="31"/>
      <c r="AE592" s="31"/>
    </row>
    <row r="593" spans="30:31">
      <c r="AD593" s="31"/>
      <c r="AE593" s="31"/>
    </row>
    <row r="594" spans="30:31">
      <c r="AD594" s="31"/>
      <c r="AE594" s="31"/>
    </row>
    <row r="595" spans="30:31">
      <c r="AD595" s="31"/>
      <c r="AE595" s="31"/>
    </row>
    <row r="596" spans="30:31">
      <c r="AD596" s="31"/>
      <c r="AE596" s="31"/>
    </row>
    <row r="597" spans="30:31">
      <c r="AD597" s="31"/>
      <c r="AE597" s="31"/>
    </row>
    <row r="598" spans="30:31">
      <c r="AD598" s="31"/>
      <c r="AE598" s="31"/>
    </row>
    <row r="599" spans="30:31">
      <c r="AD599" s="31"/>
      <c r="AE599" s="31"/>
    </row>
    <row r="600" spans="30:31">
      <c r="AD600" s="31"/>
      <c r="AE600" s="31"/>
    </row>
    <row r="601" spans="30:31">
      <c r="AD601" s="31"/>
      <c r="AE601" s="31"/>
    </row>
    <row r="602" spans="30:31">
      <c r="AD602" s="31"/>
      <c r="AE602" s="31"/>
    </row>
    <row r="603" spans="30:31">
      <c r="AD603" s="31"/>
      <c r="AE603" s="31"/>
    </row>
    <row r="604" spans="30:31">
      <c r="AD604" s="31"/>
      <c r="AE604" s="31"/>
    </row>
    <row r="605" spans="30:31">
      <c r="AD605" s="31"/>
      <c r="AE605" s="31"/>
    </row>
    <row r="606" spans="30:31">
      <c r="AD606" s="31"/>
      <c r="AE606" s="31"/>
    </row>
    <row r="607" spans="30:31">
      <c r="AD607" s="31"/>
      <c r="AE607" s="31"/>
    </row>
    <row r="608" spans="30:31">
      <c r="AD608" s="31"/>
      <c r="AE608" s="31"/>
    </row>
    <row r="609" spans="30:31">
      <c r="AD609" s="31"/>
      <c r="AE609" s="31"/>
    </row>
    <row r="610" spans="30:31">
      <c r="AD610" s="31"/>
      <c r="AE610" s="31"/>
    </row>
    <row r="611" spans="30:31">
      <c r="AD611" s="31"/>
      <c r="AE611" s="31"/>
    </row>
    <row r="612" spans="30:31">
      <c r="AD612" s="31"/>
      <c r="AE612" s="31"/>
    </row>
    <row r="613" spans="30:31">
      <c r="AD613" s="31"/>
      <c r="AE613" s="31"/>
    </row>
    <row r="614" spans="30:31">
      <c r="AD614" s="31"/>
      <c r="AE614" s="31"/>
    </row>
    <row r="615" spans="30:31">
      <c r="AD615" s="31"/>
      <c r="AE615" s="31"/>
    </row>
    <row r="616" spans="30:31">
      <c r="AD616" s="31"/>
      <c r="AE616" s="31"/>
    </row>
    <row r="617" spans="30:31">
      <c r="AD617" s="31"/>
      <c r="AE617" s="31"/>
    </row>
    <row r="618" spans="30:31">
      <c r="AD618" s="31"/>
      <c r="AE618" s="31"/>
    </row>
    <row r="619" spans="30:31">
      <c r="AD619" s="31"/>
      <c r="AE619" s="31"/>
    </row>
    <row r="620" spans="30:31">
      <c r="AD620" s="31"/>
      <c r="AE620" s="31"/>
    </row>
    <row r="621" spans="30:31">
      <c r="AD621" s="31"/>
      <c r="AE621" s="31"/>
    </row>
    <row r="622" spans="30:31">
      <c r="AD622" s="31"/>
      <c r="AE622" s="31"/>
    </row>
    <row r="623" spans="30:31">
      <c r="AD623" s="31"/>
      <c r="AE623" s="31"/>
    </row>
    <row r="624" spans="30:31">
      <c r="AD624" s="31"/>
      <c r="AE624" s="31"/>
    </row>
    <row r="625" spans="30:31">
      <c r="AD625" s="31"/>
      <c r="AE625" s="31"/>
    </row>
    <row r="626" spans="30:31">
      <c r="AD626" s="31"/>
      <c r="AE626" s="31"/>
    </row>
    <row r="627" spans="30:31">
      <c r="AD627" s="31"/>
      <c r="AE627" s="31"/>
    </row>
    <row r="628" spans="30:31">
      <c r="AD628" s="31"/>
      <c r="AE628" s="31"/>
    </row>
    <row r="629" spans="30:31">
      <c r="AD629" s="31"/>
      <c r="AE629" s="31"/>
    </row>
    <row r="630" spans="30:31">
      <c r="AD630" s="31"/>
      <c r="AE630" s="31"/>
    </row>
    <row r="631" spans="30:31">
      <c r="AD631" s="31"/>
      <c r="AE631" s="31"/>
    </row>
    <row r="632" spans="30:31">
      <c r="AD632" s="31"/>
      <c r="AE632" s="31"/>
    </row>
    <row r="633" spans="30:31">
      <c r="AD633" s="31"/>
      <c r="AE633" s="31"/>
    </row>
    <row r="634" spans="30:31">
      <c r="AD634" s="31"/>
      <c r="AE634" s="31"/>
    </row>
    <row r="635" spans="30:31">
      <c r="AD635" s="31"/>
      <c r="AE635" s="31"/>
    </row>
    <row r="636" spans="30:31">
      <c r="AD636" s="31"/>
      <c r="AE636" s="31"/>
    </row>
    <row r="637" spans="30:31">
      <c r="AD637" s="31"/>
      <c r="AE637" s="31"/>
    </row>
    <row r="638" spans="30:31">
      <c r="AD638" s="31"/>
      <c r="AE638" s="31"/>
    </row>
    <row r="639" spans="30:31">
      <c r="AD639" s="31"/>
      <c r="AE639" s="31"/>
    </row>
    <row r="640" spans="30:31">
      <c r="AD640" s="31"/>
      <c r="AE640" s="31"/>
    </row>
    <row r="641" spans="30:31">
      <c r="AD641" s="31"/>
      <c r="AE641" s="31"/>
    </row>
    <row r="642" spans="30:31">
      <c r="AD642" s="31"/>
      <c r="AE642" s="31"/>
    </row>
    <row r="643" spans="30:31">
      <c r="AD643" s="31"/>
      <c r="AE643" s="31"/>
    </row>
    <row r="644" spans="30:31">
      <c r="AD644" s="31"/>
      <c r="AE644" s="31"/>
    </row>
    <row r="645" spans="30:31">
      <c r="AD645" s="31"/>
      <c r="AE645" s="31"/>
    </row>
    <row r="646" spans="30:31">
      <c r="AD646" s="31"/>
      <c r="AE646" s="31"/>
    </row>
    <row r="647" spans="30:31">
      <c r="AD647" s="31"/>
      <c r="AE647" s="31"/>
    </row>
    <row r="648" spans="30:31">
      <c r="AD648" s="31"/>
      <c r="AE648" s="31"/>
    </row>
    <row r="649" spans="30:31">
      <c r="AD649" s="31"/>
      <c r="AE649" s="31"/>
    </row>
    <row r="650" spans="30:31">
      <c r="AD650" s="31"/>
      <c r="AE650" s="31"/>
    </row>
    <row r="651" spans="30:31">
      <c r="AD651" s="31"/>
      <c r="AE651" s="31"/>
    </row>
    <row r="652" spans="30:31">
      <c r="AD652" s="31"/>
      <c r="AE652" s="31"/>
    </row>
    <row r="653" spans="30:31">
      <c r="AD653" s="31"/>
      <c r="AE653" s="31"/>
    </row>
    <row r="654" spans="30:31">
      <c r="AD654" s="31"/>
      <c r="AE654" s="31"/>
    </row>
    <row r="655" spans="30:31">
      <c r="AD655" s="31"/>
      <c r="AE655" s="31"/>
    </row>
    <row r="656" spans="30:31">
      <c r="AD656" s="31"/>
      <c r="AE656" s="31"/>
    </row>
    <row r="657" spans="30:31">
      <c r="AD657" s="31"/>
      <c r="AE657" s="31"/>
    </row>
    <row r="658" spans="30:31">
      <c r="AD658" s="31"/>
      <c r="AE658" s="31"/>
    </row>
    <row r="659" spans="30:31">
      <c r="AD659" s="31"/>
      <c r="AE659" s="31"/>
    </row>
    <row r="660" spans="30:31">
      <c r="AD660" s="31"/>
      <c r="AE660" s="31"/>
    </row>
    <row r="661" spans="30:31">
      <c r="AD661" s="31"/>
      <c r="AE661" s="31"/>
    </row>
    <row r="662" spans="30:31">
      <c r="AD662" s="31"/>
      <c r="AE662" s="31"/>
    </row>
    <row r="663" spans="30:31">
      <c r="AD663" s="31"/>
      <c r="AE663" s="31"/>
    </row>
    <row r="664" spans="30:31">
      <c r="AD664" s="31"/>
      <c r="AE664" s="31"/>
    </row>
    <row r="665" spans="30:31">
      <c r="AD665" s="31"/>
      <c r="AE665" s="31"/>
    </row>
    <row r="666" spans="30:31">
      <c r="AD666" s="31"/>
      <c r="AE666" s="31"/>
    </row>
    <row r="667" spans="30:31">
      <c r="AD667" s="31"/>
      <c r="AE667" s="31"/>
    </row>
    <row r="668" spans="30:31">
      <c r="AD668" s="31"/>
      <c r="AE668" s="31"/>
    </row>
    <row r="669" spans="30:31">
      <c r="AD669" s="31"/>
      <c r="AE669" s="31"/>
    </row>
    <row r="670" spans="30:31">
      <c r="AD670" s="31"/>
      <c r="AE670" s="31"/>
    </row>
    <row r="671" spans="30:31">
      <c r="AD671" s="31"/>
      <c r="AE671" s="31"/>
    </row>
    <row r="672" spans="30:31">
      <c r="AD672" s="31"/>
      <c r="AE672" s="31"/>
    </row>
    <row r="673" spans="30:31">
      <c r="AD673" s="31"/>
      <c r="AE673" s="31"/>
    </row>
    <row r="674" spans="30:31">
      <c r="AD674" s="31"/>
      <c r="AE674" s="31"/>
    </row>
    <row r="675" spans="30:31">
      <c r="AD675" s="31"/>
      <c r="AE675" s="31"/>
    </row>
    <row r="676" spans="30:31">
      <c r="AD676" s="31"/>
      <c r="AE676" s="31"/>
    </row>
    <row r="677" spans="30:31">
      <c r="AD677" s="31"/>
      <c r="AE677" s="31"/>
    </row>
    <row r="678" spans="30:31">
      <c r="AD678" s="31"/>
      <c r="AE678" s="31"/>
    </row>
    <row r="679" spans="30:31">
      <c r="AD679" s="31"/>
      <c r="AE679" s="31"/>
    </row>
    <row r="680" spans="30:31">
      <c r="AD680" s="31"/>
      <c r="AE680" s="31"/>
    </row>
    <row r="681" spans="30:31">
      <c r="AD681" s="31"/>
      <c r="AE681" s="31"/>
    </row>
    <row r="682" spans="30:31">
      <c r="AD682" s="31"/>
      <c r="AE682" s="31"/>
    </row>
    <row r="683" spans="30:31">
      <c r="AD683" s="31"/>
      <c r="AE683" s="31"/>
    </row>
    <row r="684" spans="30:31">
      <c r="AD684" s="31"/>
      <c r="AE684" s="31"/>
    </row>
    <row r="685" spans="30:31">
      <c r="AD685" s="31"/>
      <c r="AE685" s="31"/>
    </row>
    <row r="686" spans="30:31">
      <c r="AD686" s="31"/>
      <c r="AE686" s="31"/>
    </row>
    <row r="687" spans="30:31">
      <c r="AD687" s="31"/>
      <c r="AE687" s="31"/>
    </row>
    <row r="688" spans="30:31">
      <c r="AD688" s="31"/>
      <c r="AE688" s="31"/>
    </row>
    <row r="689" spans="30:31">
      <c r="AD689" s="31"/>
      <c r="AE689" s="31"/>
    </row>
    <row r="690" spans="30:31">
      <c r="AD690" s="31"/>
      <c r="AE690" s="31"/>
    </row>
    <row r="691" spans="30:31">
      <c r="AD691" s="31"/>
      <c r="AE691" s="31"/>
    </row>
    <row r="692" spans="30:31">
      <c r="AD692" s="31"/>
      <c r="AE692" s="31"/>
    </row>
    <row r="693" spans="30:31">
      <c r="AD693" s="31"/>
      <c r="AE693" s="31"/>
    </row>
    <row r="694" spans="30:31">
      <c r="AD694" s="31"/>
      <c r="AE694" s="31"/>
    </row>
    <row r="695" spans="30:31">
      <c r="AD695" s="31"/>
      <c r="AE695" s="31"/>
    </row>
    <row r="696" spans="30:31">
      <c r="AD696" s="31"/>
      <c r="AE696" s="31"/>
    </row>
    <row r="697" spans="30:31">
      <c r="AD697" s="31"/>
      <c r="AE697" s="31"/>
    </row>
    <row r="698" spans="30:31">
      <c r="AD698" s="31"/>
      <c r="AE698" s="31"/>
    </row>
    <row r="699" spans="30:31">
      <c r="AD699" s="31"/>
      <c r="AE699" s="31"/>
    </row>
    <row r="700" spans="30:31">
      <c r="AD700" s="31"/>
      <c r="AE700" s="31"/>
    </row>
    <row r="701" spans="30:31">
      <c r="AD701" s="31"/>
      <c r="AE701" s="31"/>
    </row>
    <row r="702" spans="30:31">
      <c r="AD702" s="31"/>
      <c r="AE702" s="31"/>
    </row>
    <row r="703" spans="30:31">
      <c r="AD703" s="31"/>
      <c r="AE703" s="31"/>
    </row>
    <row r="704" spans="30:31">
      <c r="AD704" s="31"/>
      <c r="AE704" s="31"/>
    </row>
    <row r="705" spans="30:31">
      <c r="AD705" s="31"/>
      <c r="AE705" s="31"/>
    </row>
    <row r="706" spans="30:31">
      <c r="AD706" s="31"/>
      <c r="AE706" s="31"/>
    </row>
    <row r="707" spans="30:31">
      <c r="AD707" s="31"/>
      <c r="AE707" s="31"/>
    </row>
    <row r="708" spans="30:31">
      <c r="AD708" s="31"/>
      <c r="AE708" s="31"/>
    </row>
    <row r="709" spans="30:31">
      <c r="AD709" s="31"/>
      <c r="AE709" s="31"/>
    </row>
    <row r="710" spans="30:31">
      <c r="AD710" s="31"/>
      <c r="AE710" s="31"/>
    </row>
    <row r="711" spans="30:31">
      <c r="AD711" s="31"/>
      <c r="AE711" s="31"/>
    </row>
    <row r="712" spans="30:31">
      <c r="AD712" s="31"/>
      <c r="AE712" s="31"/>
    </row>
    <row r="713" spans="30:31">
      <c r="AD713" s="31"/>
      <c r="AE713" s="31"/>
    </row>
    <row r="714" spans="30:31">
      <c r="AD714" s="31"/>
      <c r="AE714" s="31"/>
    </row>
    <row r="715" spans="30:31">
      <c r="AD715" s="31"/>
      <c r="AE715" s="31"/>
    </row>
    <row r="716" spans="30:31">
      <c r="AD716" s="31"/>
      <c r="AE716" s="31"/>
    </row>
    <row r="717" spans="30:31">
      <c r="AD717" s="31"/>
      <c r="AE717" s="31"/>
    </row>
    <row r="718" spans="30:31">
      <c r="AD718" s="31"/>
      <c r="AE718" s="31"/>
    </row>
    <row r="719" spans="30:31">
      <c r="AD719" s="31"/>
      <c r="AE719" s="31"/>
    </row>
    <row r="720" spans="30:31">
      <c r="AD720" s="31"/>
      <c r="AE720" s="31"/>
    </row>
    <row r="721" spans="30:31">
      <c r="AD721" s="31"/>
      <c r="AE721" s="31"/>
    </row>
    <row r="722" spans="30:31">
      <c r="AD722" s="31"/>
      <c r="AE722" s="31"/>
    </row>
    <row r="723" spans="30:31">
      <c r="AD723" s="31"/>
      <c r="AE723" s="31"/>
    </row>
    <row r="724" spans="30:31">
      <c r="AD724" s="31"/>
      <c r="AE724" s="31"/>
    </row>
    <row r="725" spans="30:31">
      <c r="AD725" s="31"/>
      <c r="AE725" s="31"/>
    </row>
    <row r="726" spans="30:31">
      <c r="AD726" s="31"/>
      <c r="AE726" s="31"/>
    </row>
    <row r="727" spans="30:31">
      <c r="AD727" s="31"/>
      <c r="AE727" s="31"/>
    </row>
    <row r="728" spans="30:31">
      <c r="AD728" s="31"/>
      <c r="AE728" s="31"/>
    </row>
    <row r="729" spans="30:31">
      <c r="AD729" s="31"/>
      <c r="AE729" s="31"/>
    </row>
    <row r="730" spans="30:31">
      <c r="AD730" s="31"/>
      <c r="AE730" s="31"/>
    </row>
    <row r="731" spans="30:31">
      <c r="AD731" s="31"/>
      <c r="AE731" s="31"/>
    </row>
    <row r="732" spans="30:31">
      <c r="AD732" s="31"/>
      <c r="AE732" s="31"/>
    </row>
    <row r="733" spans="30:31">
      <c r="AD733" s="31"/>
      <c r="AE733" s="31"/>
    </row>
    <row r="734" spans="30:31">
      <c r="AD734" s="31"/>
      <c r="AE734" s="31"/>
    </row>
    <row r="735" spans="30:31">
      <c r="AD735" s="31"/>
      <c r="AE735" s="31"/>
    </row>
    <row r="736" spans="30:31">
      <c r="AD736" s="31"/>
      <c r="AE736" s="31"/>
    </row>
    <row r="737" spans="30:31">
      <c r="AD737" s="31"/>
      <c r="AE737" s="31"/>
    </row>
    <row r="738" spans="30:31">
      <c r="AD738" s="31"/>
      <c r="AE738" s="31"/>
    </row>
    <row r="739" spans="30:31">
      <c r="AD739" s="31"/>
      <c r="AE739" s="31"/>
    </row>
    <row r="740" spans="30:31">
      <c r="AD740" s="31"/>
      <c r="AE740" s="31"/>
    </row>
    <row r="741" spans="30:31">
      <c r="AD741" s="31"/>
      <c r="AE741" s="31"/>
    </row>
    <row r="742" spans="30:31">
      <c r="AD742" s="31"/>
      <c r="AE742" s="31"/>
    </row>
    <row r="743" spans="30:31">
      <c r="AD743" s="31"/>
      <c r="AE743" s="31"/>
    </row>
    <row r="744" spans="30:31">
      <c r="AD744" s="31"/>
      <c r="AE744" s="31"/>
    </row>
    <row r="745" spans="30:31">
      <c r="AD745" s="31"/>
      <c r="AE745" s="31"/>
    </row>
    <row r="746" spans="30:31">
      <c r="AD746" s="31"/>
      <c r="AE746" s="31"/>
    </row>
    <row r="747" spans="30:31">
      <c r="AD747" s="31"/>
      <c r="AE747" s="31"/>
    </row>
    <row r="748" spans="30:31">
      <c r="AD748" s="31"/>
      <c r="AE748" s="31"/>
    </row>
    <row r="749" spans="30:31">
      <c r="AD749" s="31"/>
      <c r="AE749" s="31"/>
    </row>
    <row r="750" spans="30:31">
      <c r="AD750" s="31"/>
      <c r="AE750" s="31"/>
    </row>
    <row r="751" spans="30:31">
      <c r="AD751" s="31"/>
      <c r="AE751" s="31"/>
    </row>
    <row r="752" spans="30:31">
      <c r="AD752" s="31"/>
      <c r="AE752" s="31"/>
    </row>
    <row r="753" spans="30:31">
      <c r="AD753" s="31"/>
      <c r="AE753" s="31"/>
    </row>
    <row r="754" spans="30:31">
      <c r="AD754" s="31"/>
      <c r="AE754" s="31"/>
    </row>
    <row r="755" spans="30:31">
      <c r="AD755" s="31"/>
      <c r="AE755" s="31"/>
    </row>
    <row r="756" spans="30:31">
      <c r="AD756" s="31"/>
      <c r="AE756" s="31"/>
    </row>
    <row r="757" spans="30:31">
      <c r="AD757" s="31"/>
      <c r="AE757" s="31"/>
    </row>
    <row r="758" spans="30:31">
      <c r="AD758" s="31"/>
      <c r="AE758" s="31"/>
    </row>
    <row r="759" spans="30:31">
      <c r="AD759" s="31"/>
      <c r="AE759" s="31"/>
    </row>
    <row r="760" spans="30:31">
      <c r="AD760" s="31"/>
      <c r="AE760" s="31"/>
    </row>
    <row r="761" spans="30:31">
      <c r="AD761" s="31"/>
      <c r="AE761" s="31"/>
    </row>
    <row r="762" spans="30:31">
      <c r="AD762" s="31"/>
      <c r="AE762" s="31"/>
    </row>
    <row r="763" spans="30:31">
      <c r="AD763" s="31"/>
      <c r="AE763" s="31"/>
    </row>
    <row r="764" spans="30:31">
      <c r="AD764" s="31"/>
      <c r="AE764" s="31"/>
    </row>
    <row r="765" spans="30:31">
      <c r="AD765" s="31"/>
      <c r="AE765" s="31"/>
    </row>
    <row r="766" spans="30:31">
      <c r="AD766" s="31"/>
      <c r="AE766" s="31"/>
    </row>
    <row r="767" spans="30:31">
      <c r="AD767" s="31"/>
      <c r="AE767" s="31"/>
    </row>
    <row r="768" spans="30:31">
      <c r="AD768" s="31"/>
      <c r="AE768" s="31"/>
    </row>
    <row r="769" spans="30:31">
      <c r="AD769" s="31"/>
      <c r="AE769" s="31"/>
    </row>
    <row r="770" spans="30:31">
      <c r="AD770" s="31"/>
      <c r="AE770" s="31"/>
    </row>
    <row r="771" spans="30:31">
      <c r="AD771" s="31"/>
      <c r="AE771" s="31"/>
    </row>
    <row r="772" spans="30:31">
      <c r="AD772" s="31"/>
      <c r="AE772" s="31"/>
    </row>
    <row r="773" spans="30:31">
      <c r="AD773" s="31"/>
      <c r="AE773" s="31"/>
    </row>
    <row r="774" spans="30:31">
      <c r="AD774" s="31"/>
      <c r="AE774" s="31"/>
    </row>
    <row r="775" spans="30:31">
      <c r="AD775" s="31"/>
      <c r="AE775" s="31"/>
    </row>
    <row r="776" spans="30:31">
      <c r="AD776" s="31"/>
      <c r="AE776" s="31"/>
    </row>
    <row r="777" spans="30:31">
      <c r="AD777" s="31"/>
      <c r="AE777" s="31"/>
    </row>
    <row r="778" spans="30:31">
      <c r="AD778" s="31"/>
      <c r="AE778" s="31"/>
    </row>
    <row r="779" spans="30:31">
      <c r="AD779" s="31"/>
      <c r="AE779" s="31"/>
    </row>
    <row r="780" spans="30:31">
      <c r="AD780" s="31"/>
      <c r="AE780" s="31"/>
    </row>
    <row r="781" spans="30:31">
      <c r="AD781" s="31"/>
      <c r="AE781" s="31"/>
    </row>
    <row r="782" spans="30:31">
      <c r="AD782" s="31"/>
      <c r="AE782" s="31"/>
    </row>
    <row r="783" spans="30:31">
      <c r="AD783" s="31"/>
      <c r="AE783" s="31"/>
    </row>
    <row r="784" spans="30:31">
      <c r="AD784" s="31"/>
      <c r="AE784" s="31"/>
    </row>
    <row r="785" spans="30:31">
      <c r="AD785" s="31"/>
      <c r="AE785" s="31"/>
    </row>
    <row r="786" spans="30:31">
      <c r="AD786" s="31"/>
      <c r="AE786" s="31"/>
    </row>
    <row r="787" spans="30:31">
      <c r="AD787" s="31"/>
      <c r="AE787" s="31"/>
    </row>
    <row r="788" spans="30:31">
      <c r="AD788" s="31"/>
      <c r="AE788" s="31"/>
    </row>
    <row r="789" spans="30:31">
      <c r="AD789" s="31"/>
      <c r="AE789" s="31"/>
    </row>
    <row r="790" spans="30:31">
      <c r="AD790" s="31"/>
      <c r="AE790" s="31"/>
    </row>
    <row r="791" spans="30:31">
      <c r="AD791" s="31"/>
      <c r="AE791" s="31"/>
    </row>
    <row r="792" spans="30:31">
      <c r="AD792" s="31"/>
      <c r="AE792" s="31"/>
    </row>
    <row r="793" spans="30:31">
      <c r="AD793" s="31"/>
      <c r="AE793" s="31"/>
    </row>
    <row r="794" spans="30:31">
      <c r="AD794" s="31"/>
      <c r="AE794" s="31"/>
    </row>
    <row r="795" spans="30:31">
      <c r="AD795" s="31"/>
      <c r="AE795" s="31"/>
    </row>
    <row r="796" spans="30:31">
      <c r="AD796" s="31"/>
      <c r="AE796" s="31"/>
    </row>
    <row r="797" spans="30:31">
      <c r="AD797" s="31"/>
      <c r="AE797" s="31"/>
    </row>
    <row r="798" spans="30:31">
      <c r="AD798" s="31"/>
      <c r="AE798" s="31"/>
    </row>
    <row r="799" spans="30:31">
      <c r="AD799" s="31"/>
      <c r="AE799" s="31"/>
    </row>
    <row r="800" spans="30:31">
      <c r="AD800" s="31"/>
      <c r="AE800" s="31"/>
    </row>
    <row r="801" spans="30:31">
      <c r="AD801" s="31"/>
      <c r="AE801" s="31"/>
    </row>
    <row r="802" spans="30:31">
      <c r="AD802" s="31"/>
      <c r="AE802" s="31"/>
    </row>
    <row r="803" spans="30:31">
      <c r="AD803" s="31"/>
      <c r="AE803" s="31"/>
    </row>
    <row r="804" spans="30:31">
      <c r="AD804" s="31"/>
      <c r="AE804" s="31"/>
    </row>
    <row r="805" spans="30:31">
      <c r="AD805" s="31"/>
      <c r="AE805" s="31"/>
    </row>
    <row r="806" spans="30:31">
      <c r="AD806" s="31"/>
      <c r="AE806" s="31"/>
    </row>
    <row r="807" spans="30:31">
      <c r="AD807" s="31"/>
      <c r="AE807" s="31"/>
    </row>
    <row r="808" spans="30:31">
      <c r="AD808" s="31"/>
      <c r="AE808" s="31"/>
    </row>
    <row r="809" spans="30:31">
      <c r="AD809" s="31"/>
      <c r="AE809" s="31"/>
    </row>
    <row r="810" spans="30:31">
      <c r="AD810" s="31"/>
      <c r="AE810" s="31"/>
    </row>
    <row r="811" spans="30:31">
      <c r="AD811" s="31"/>
      <c r="AE811" s="31"/>
    </row>
    <row r="812" spans="30:31">
      <c r="AD812" s="31"/>
      <c r="AE812" s="31"/>
    </row>
    <row r="813" spans="30:31">
      <c r="AD813" s="31"/>
      <c r="AE813" s="31"/>
    </row>
    <row r="814" spans="30:31">
      <c r="AD814" s="31"/>
      <c r="AE814" s="31"/>
    </row>
    <row r="815" spans="30:31">
      <c r="AD815" s="31"/>
      <c r="AE815" s="31"/>
    </row>
    <row r="816" spans="30:31">
      <c r="AD816" s="31"/>
      <c r="AE816" s="31"/>
    </row>
    <row r="817" spans="30:31">
      <c r="AD817" s="31"/>
      <c r="AE817" s="31"/>
    </row>
    <row r="818" spans="30:31">
      <c r="AD818" s="31"/>
      <c r="AE818" s="31"/>
    </row>
    <row r="819" spans="30:31">
      <c r="AD819" s="31"/>
      <c r="AE819" s="31"/>
    </row>
    <row r="820" spans="30:31">
      <c r="AD820" s="31"/>
      <c r="AE820" s="31"/>
    </row>
    <row r="821" spans="30:31">
      <c r="AD821" s="31"/>
      <c r="AE821" s="31"/>
    </row>
    <row r="822" spans="30:31">
      <c r="AD822" s="31"/>
      <c r="AE822" s="31"/>
    </row>
    <row r="823" spans="30:31">
      <c r="AD823" s="31"/>
      <c r="AE823" s="31"/>
    </row>
    <row r="824" spans="30:31">
      <c r="AD824" s="31"/>
      <c r="AE824" s="31"/>
    </row>
    <row r="825" spans="30:31">
      <c r="AD825" s="31"/>
      <c r="AE825" s="31"/>
    </row>
    <row r="826" spans="30:31">
      <c r="AD826" s="31"/>
      <c r="AE826" s="31"/>
    </row>
    <row r="827" spans="30:31">
      <c r="AD827" s="31"/>
      <c r="AE827" s="31"/>
    </row>
    <row r="828" spans="30:31">
      <c r="AD828" s="31"/>
      <c r="AE828" s="31"/>
    </row>
    <row r="829" spans="30:31">
      <c r="AD829" s="31"/>
      <c r="AE829" s="31"/>
    </row>
    <row r="830" spans="30:31">
      <c r="AD830" s="31"/>
      <c r="AE830" s="31"/>
    </row>
    <row r="831" spans="30:31">
      <c r="AD831" s="31"/>
      <c r="AE831" s="31"/>
    </row>
    <row r="832" spans="30:31">
      <c r="AD832" s="31"/>
      <c r="AE832" s="31"/>
    </row>
    <row r="833" spans="30:31">
      <c r="AD833" s="31"/>
      <c r="AE833" s="31"/>
    </row>
    <row r="834" spans="30:31">
      <c r="AD834" s="31"/>
      <c r="AE834" s="31"/>
    </row>
    <row r="835" spans="30:31">
      <c r="AD835" s="31"/>
      <c r="AE835" s="31"/>
    </row>
    <row r="836" spans="30:31">
      <c r="AD836" s="31"/>
      <c r="AE836" s="31"/>
    </row>
    <row r="837" spans="30:31">
      <c r="AD837" s="31"/>
      <c r="AE837" s="31"/>
    </row>
    <row r="838" spans="30:31">
      <c r="AD838" s="31"/>
      <c r="AE838" s="31"/>
    </row>
    <row r="839" spans="30:31">
      <c r="AD839" s="31"/>
      <c r="AE839" s="31"/>
    </row>
    <row r="840" spans="30:31">
      <c r="AD840" s="31"/>
      <c r="AE840" s="31"/>
    </row>
    <row r="841" spans="30:31">
      <c r="AD841" s="31"/>
      <c r="AE841" s="31"/>
    </row>
    <row r="842" spans="30:31">
      <c r="AD842" s="31"/>
      <c r="AE842" s="31"/>
    </row>
    <row r="843" spans="30:31">
      <c r="AD843" s="31"/>
      <c r="AE843" s="31"/>
    </row>
    <row r="844" spans="30:31">
      <c r="AD844" s="31"/>
      <c r="AE844" s="31"/>
    </row>
    <row r="845" spans="30:31">
      <c r="AD845" s="31"/>
      <c r="AE845" s="31"/>
    </row>
    <row r="846" spans="30:31">
      <c r="AD846" s="31"/>
      <c r="AE846" s="31"/>
    </row>
    <row r="847" spans="30:31">
      <c r="AD847" s="31"/>
      <c r="AE847" s="31"/>
    </row>
    <row r="848" spans="30:31">
      <c r="AD848" s="31"/>
      <c r="AE848" s="31"/>
    </row>
    <row r="849" spans="30:31">
      <c r="AD849" s="31"/>
      <c r="AE849" s="31"/>
    </row>
    <row r="850" spans="30:31">
      <c r="AD850" s="31"/>
      <c r="AE850" s="31"/>
    </row>
    <row r="851" spans="30:31">
      <c r="AD851" s="31"/>
      <c r="AE851" s="31"/>
    </row>
    <row r="852" spans="30:31">
      <c r="AD852" s="31"/>
      <c r="AE852" s="31"/>
    </row>
    <row r="853" spans="30:31">
      <c r="AD853" s="31"/>
      <c r="AE853" s="31"/>
    </row>
    <row r="854" spans="30:31">
      <c r="AD854" s="31"/>
      <c r="AE854" s="31"/>
    </row>
    <row r="855" spans="30:31">
      <c r="AD855" s="31"/>
      <c r="AE855" s="31"/>
    </row>
    <row r="856" spans="30:31">
      <c r="AD856" s="31"/>
      <c r="AE856" s="31"/>
    </row>
    <row r="857" spans="30:31">
      <c r="AD857" s="31"/>
      <c r="AE857" s="31"/>
    </row>
    <row r="858" spans="30:31">
      <c r="AD858" s="31"/>
      <c r="AE858" s="31"/>
    </row>
    <row r="859" spans="30:31">
      <c r="AD859" s="31"/>
      <c r="AE859" s="31"/>
    </row>
    <row r="860" spans="30:31">
      <c r="AD860" s="31"/>
      <c r="AE860" s="31"/>
    </row>
    <row r="861" spans="30:31">
      <c r="AD861" s="31"/>
      <c r="AE861" s="31"/>
    </row>
    <row r="862" spans="30:31">
      <c r="AD862" s="31"/>
      <c r="AE862" s="31"/>
    </row>
    <row r="863" spans="30:31">
      <c r="AD863" s="31"/>
      <c r="AE863" s="31"/>
    </row>
    <row r="864" spans="30:31">
      <c r="AD864" s="31"/>
      <c r="AE864" s="31"/>
    </row>
    <row r="865" spans="30:31">
      <c r="AD865" s="31"/>
      <c r="AE865" s="31"/>
    </row>
    <row r="866" spans="30:31">
      <c r="AD866" s="31"/>
      <c r="AE866" s="31"/>
    </row>
    <row r="867" spans="30:31">
      <c r="AD867" s="31"/>
      <c r="AE867" s="31"/>
    </row>
    <row r="868" spans="30:31">
      <c r="AD868" s="31"/>
      <c r="AE868" s="31"/>
    </row>
    <row r="869" spans="30:31">
      <c r="AD869" s="31"/>
      <c r="AE869" s="31"/>
    </row>
    <row r="870" spans="30:31">
      <c r="AD870" s="31"/>
      <c r="AE870" s="31"/>
    </row>
    <row r="871" spans="30:31">
      <c r="AD871" s="31"/>
      <c r="AE871" s="31"/>
    </row>
    <row r="872" spans="30:31">
      <c r="AD872" s="31"/>
      <c r="AE872" s="31"/>
    </row>
    <row r="873" spans="30:31">
      <c r="AD873" s="31"/>
      <c r="AE873" s="31"/>
    </row>
    <row r="874" spans="30:31">
      <c r="AD874" s="31"/>
      <c r="AE874" s="31"/>
    </row>
    <row r="875" spans="30:31">
      <c r="AD875" s="31"/>
      <c r="AE875" s="31"/>
    </row>
    <row r="876" spans="30:31">
      <c r="AD876" s="31"/>
      <c r="AE876" s="31"/>
    </row>
    <row r="877" spans="30:31">
      <c r="AD877" s="31"/>
      <c r="AE877" s="31"/>
    </row>
    <row r="878" spans="30:31">
      <c r="AD878" s="31"/>
      <c r="AE878" s="31"/>
    </row>
    <row r="879" spans="30:31">
      <c r="AD879" s="31"/>
      <c r="AE879" s="31"/>
    </row>
    <row r="880" spans="30:31">
      <c r="AD880" s="31"/>
      <c r="AE880" s="31"/>
    </row>
    <row r="881" spans="30:31">
      <c r="AD881" s="31"/>
      <c r="AE881" s="31"/>
    </row>
    <row r="882" spans="30:31">
      <c r="AD882" s="31"/>
      <c r="AE882" s="31"/>
    </row>
    <row r="883" spans="30:31">
      <c r="AD883" s="31"/>
      <c r="AE883" s="31"/>
    </row>
    <row r="884" spans="30:31">
      <c r="AD884" s="31"/>
      <c r="AE884" s="31"/>
    </row>
    <row r="885" spans="30:31">
      <c r="AD885" s="31"/>
      <c r="AE885" s="31"/>
    </row>
    <row r="886" spans="30:31">
      <c r="AD886" s="31"/>
      <c r="AE886" s="31"/>
    </row>
    <row r="887" spans="30:31">
      <c r="AD887" s="31"/>
      <c r="AE887" s="31"/>
    </row>
    <row r="888" spans="30:31">
      <c r="AD888" s="31"/>
      <c r="AE888" s="31"/>
    </row>
    <row r="889" spans="30:31">
      <c r="AD889" s="31"/>
      <c r="AE889" s="31"/>
    </row>
    <row r="890" spans="30:31">
      <c r="AD890" s="31"/>
      <c r="AE890" s="31"/>
    </row>
    <row r="891" spans="30:31">
      <c r="AD891" s="31"/>
      <c r="AE891" s="31"/>
    </row>
    <row r="892" spans="30:31">
      <c r="AD892" s="31"/>
      <c r="AE892" s="31"/>
    </row>
    <row r="893" spans="30:31">
      <c r="AD893" s="31"/>
      <c r="AE893" s="31"/>
    </row>
    <row r="894" spans="30:31">
      <c r="AD894" s="31"/>
      <c r="AE894" s="31"/>
    </row>
    <row r="895" spans="30:31">
      <c r="AD895" s="31"/>
      <c r="AE895" s="31"/>
    </row>
    <row r="896" spans="30:31">
      <c r="AD896" s="31"/>
      <c r="AE896" s="31"/>
    </row>
    <row r="897" spans="30:31">
      <c r="AD897" s="31"/>
      <c r="AE897" s="31"/>
    </row>
    <row r="898" spans="30:31">
      <c r="AD898" s="31"/>
      <c r="AE898" s="31"/>
    </row>
    <row r="899" spans="30:31">
      <c r="AD899" s="31"/>
      <c r="AE899" s="31"/>
    </row>
    <row r="900" spans="30:31">
      <c r="AD900" s="31"/>
      <c r="AE900" s="31"/>
    </row>
    <row r="901" spans="30:31">
      <c r="AD901" s="31"/>
      <c r="AE901" s="31"/>
    </row>
    <row r="902" spans="30:31">
      <c r="AD902" s="31"/>
      <c r="AE902" s="31"/>
    </row>
    <row r="903" spans="30:31">
      <c r="AD903" s="31"/>
      <c r="AE903" s="31"/>
    </row>
    <row r="904" spans="30:31">
      <c r="AD904" s="31"/>
      <c r="AE904" s="31"/>
    </row>
    <row r="905" spans="30:31">
      <c r="AD905" s="31"/>
      <c r="AE905" s="31"/>
    </row>
    <row r="906" spans="30:31">
      <c r="AD906" s="31"/>
      <c r="AE906" s="31"/>
    </row>
    <row r="907" spans="30:31">
      <c r="AD907" s="31"/>
      <c r="AE907" s="31"/>
    </row>
    <row r="908" spans="30:31">
      <c r="AD908" s="31"/>
      <c r="AE908" s="31"/>
    </row>
    <row r="909" spans="30:31">
      <c r="AD909" s="31"/>
      <c r="AE909" s="31"/>
    </row>
    <row r="910" spans="30:31">
      <c r="AD910" s="31"/>
      <c r="AE910" s="31"/>
    </row>
    <row r="911" spans="30:31">
      <c r="AD911" s="31"/>
      <c r="AE911" s="31"/>
    </row>
    <row r="912" spans="30:31">
      <c r="AD912" s="31"/>
      <c r="AE912" s="31"/>
    </row>
    <row r="913" spans="30:31">
      <c r="AD913" s="31"/>
      <c r="AE913" s="31"/>
    </row>
    <row r="914" spans="30:31">
      <c r="AD914" s="31"/>
      <c r="AE914" s="31"/>
    </row>
    <row r="915" spans="30:31">
      <c r="AD915" s="31"/>
      <c r="AE915" s="31"/>
    </row>
    <row r="916" spans="30:31">
      <c r="AD916" s="31"/>
      <c r="AE916" s="31"/>
    </row>
    <row r="917" spans="30:31">
      <c r="AD917" s="31"/>
      <c r="AE917" s="31"/>
    </row>
    <row r="918" spans="30:31">
      <c r="AD918" s="31"/>
      <c r="AE918" s="31"/>
    </row>
    <row r="919" spans="30:31">
      <c r="AD919" s="31"/>
      <c r="AE919" s="31"/>
    </row>
    <row r="920" spans="30:31">
      <c r="AD920" s="31"/>
      <c r="AE920" s="31"/>
    </row>
    <row r="921" spans="30:31">
      <c r="AD921" s="31"/>
      <c r="AE921" s="31"/>
    </row>
    <row r="922" spans="30:31">
      <c r="AD922" s="31"/>
      <c r="AE922" s="31"/>
    </row>
    <row r="923" spans="30:31">
      <c r="AD923" s="31"/>
      <c r="AE923" s="31"/>
    </row>
    <row r="924" spans="30:31">
      <c r="AD924" s="31"/>
      <c r="AE924" s="31"/>
    </row>
    <row r="925" spans="30:31">
      <c r="AD925" s="31"/>
      <c r="AE925" s="31"/>
    </row>
    <row r="926" spans="30:31">
      <c r="AD926" s="31"/>
      <c r="AE926" s="31"/>
    </row>
    <row r="927" spans="30:31">
      <c r="AD927" s="31"/>
      <c r="AE927" s="31"/>
    </row>
    <row r="928" spans="30:31">
      <c r="AD928" s="31"/>
      <c r="AE928" s="31"/>
    </row>
    <row r="929" spans="30:31">
      <c r="AD929" s="31"/>
      <c r="AE929" s="31"/>
    </row>
    <row r="930" spans="30:31">
      <c r="AD930" s="31"/>
      <c r="AE930" s="31"/>
    </row>
    <row r="931" spans="30:31">
      <c r="AD931" s="31"/>
      <c r="AE931" s="31"/>
    </row>
    <row r="932" spans="30:31">
      <c r="AD932" s="31"/>
      <c r="AE932" s="31"/>
    </row>
    <row r="933" spans="30:31">
      <c r="AD933" s="31"/>
      <c r="AE933" s="31"/>
    </row>
    <row r="934" spans="30:31">
      <c r="AD934" s="31"/>
      <c r="AE934" s="31"/>
    </row>
    <row r="935" spans="30:31">
      <c r="AD935" s="31"/>
      <c r="AE935" s="31"/>
    </row>
    <row r="936" spans="30:31">
      <c r="AD936" s="31"/>
      <c r="AE936" s="31"/>
    </row>
    <row r="937" spans="30:31">
      <c r="AD937" s="31"/>
      <c r="AE937" s="31"/>
    </row>
    <row r="938" spans="30:31">
      <c r="AD938" s="31"/>
      <c r="AE938" s="31"/>
    </row>
    <row r="939" spans="30:31">
      <c r="AD939" s="31"/>
      <c r="AE939" s="31"/>
    </row>
    <row r="940" spans="30:31">
      <c r="AD940" s="31"/>
      <c r="AE940" s="31"/>
    </row>
    <row r="941" spans="30:31">
      <c r="AD941" s="31"/>
      <c r="AE941" s="31"/>
    </row>
    <row r="942" spans="30:31">
      <c r="AD942" s="31"/>
      <c r="AE942" s="31"/>
    </row>
    <row r="943" spans="30:31">
      <c r="AD943" s="31"/>
      <c r="AE943" s="31"/>
    </row>
    <row r="944" spans="30:31">
      <c r="AD944" s="31"/>
      <c r="AE944" s="31"/>
    </row>
    <row r="945" spans="30:31">
      <c r="AD945" s="31"/>
      <c r="AE945" s="31"/>
    </row>
    <row r="946" spans="30:31">
      <c r="AD946" s="31"/>
      <c r="AE946" s="31"/>
    </row>
    <row r="947" spans="30:31">
      <c r="AD947" s="31"/>
      <c r="AE947" s="31"/>
    </row>
    <row r="948" spans="30:31">
      <c r="AD948" s="31"/>
      <c r="AE948" s="31"/>
    </row>
    <row r="949" spans="30:31">
      <c r="AD949" s="31"/>
      <c r="AE949" s="31"/>
    </row>
    <row r="950" spans="30:31">
      <c r="AD950" s="31"/>
      <c r="AE950" s="31"/>
    </row>
    <row r="951" spans="30:31">
      <c r="AD951" s="31"/>
      <c r="AE951" s="31"/>
    </row>
    <row r="952" spans="30:31">
      <c r="AD952" s="31"/>
      <c r="AE952" s="31"/>
    </row>
    <row r="953" spans="30:31">
      <c r="AD953" s="31"/>
      <c r="AE953" s="31"/>
    </row>
    <row r="954" spans="30:31">
      <c r="AD954" s="31"/>
      <c r="AE954" s="31"/>
    </row>
    <row r="955" spans="30:31">
      <c r="AD955" s="31"/>
      <c r="AE955" s="31"/>
    </row>
    <row r="956" spans="30:31">
      <c r="AD956" s="31"/>
      <c r="AE956" s="31"/>
    </row>
    <row r="957" spans="30:31">
      <c r="AD957" s="31"/>
      <c r="AE957" s="31"/>
    </row>
    <row r="958" spans="30:31">
      <c r="AD958" s="31"/>
      <c r="AE958" s="31"/>
    </row>
    <row r="959" spans="30:31">
      <c r="AD959" s="31"/>
      <c r="AE959" s="31"/>
    </row>
    <row r="960" spans="30:31">
      <c r="AD960" s="31"/>
      <c r="AE960" s="31"/>
    </row>
    <row r="961" spans="30:31">
      <c r="AD961" s="31"/>
      <c r="AE961" s="31"/>
    </row>
    <row r="962" spans="30:31">
      <c r="AD962" s="31"/>
      <c r="AE962" s="31"/>
    </row>
    <row r="963" spans="30:31">
      <c r="AD963" s="31"/>
      <c r="AE963" s="31"/>
    </row>
    <row r="964" spans="30:31">
      <c r="AD964" s="31"/>
      <c r="AE964" s="31"/>
    </row>
    <row r="965" spans="30:31">
      <c r="AD965" s="31"/>
      <c r="AE965" s="31"/>
    </row>
    <row r="966" spans="30:31">
      <c r="AD966" s="31"/>
      <c r="AE966" s="31"/>
    </row>
    <row r="967" spans="30:31">
      <c r="AD967" s="31"/>
      <c r="AE967" s="31"/>
    </row>
    <row r="968" spans="30:31">
      <c r="AD968" s="31"/>
      <c r="AE968" s="31"/>
    </row>
    <row r="969" spans="30:31">
      <c r="AD969" s="31"/>
      <c r="AE969" s="31"/>
    </row>
    <row r="970" spans="30:31">
      <c r="AD970" s="31"/>
      <c r="AE970" s="31"/>
    </row>
    <row r="971" spans="30:31">
      <c r="AD971" s="31"/>
      <c r="AE971" s="31"/>
    </row>
    <row r="972" spans="30:31">
      <c r="AD972" s="31"/>
      <c r="AE972" s="31"/>
    </row>
    <row r="973" spans="30:31">
      <c r="AD973" s="31"/>
      <c r="AE973" s="31"/>
    </row>
    <row r="974" spans="30:31">
      <c r="AD974" s="31"/>
      <c r="AE974" s="31"/>
    </row>
    <row r="975" spans="30:31">
      <c r="AD975" s="31"/>
      <c r="AE975" s="31"/>
    </row>
    <row r="976" spans="30:31">
      <c r="AD976" s="31"/>
      <c r="AE976" s="31"/>
    </row>
    <row r="977" spans="30:31">
      <c r="AD977" s="31"/>
      <c r="AE977" s="31"/>
    </row>
    <row r="978" spans="30:31">
      <c r="AD978" s="31"/>
      <c r="AE978" s="31"/>
    </row>
    <row r="979" spans="30:31">
      <c r="AD979" s="31"/>
      <c r="AE979" s="31"/>
    </row>
    <row r="980" spans="30:31">
      <c r="AD980" s="31"/>
      <c r="AE980" s="31"/>
    </row>
    <row r="981" spans="30:31">
      <c r="AD981" s="31"/>
      <c r="AE981" s="31"/>
    </row>
    <row r="982" spans="30:31">
      <c r="AD982" s="31"/>
      <c r="AE982" s="31"/>
    </row>
    <row r="983" spans="30:31">
      <c r="AD983" s="31"/>
      <c r="AE983" s="31"/>
    </row>
    <row r="984" spans="30:31">
      <c r="AD984" s="31"/>
      <c r="AE984" s="31"/>
    </row>
    <row r="985" spans="30:31">
      <c r="AD985" s="31"/>
      <c r="AE985" s="31"/>
    </row>
    <row r="986" spans="30:31">
      <c r="AD986" s="31"/>
      <c r="AE986" s="31"/>
    </row>
    <row r="987" spans="30:31">
      <c r="AD987" s="31"/>
      <c r="AE987" s="31"/>
    </row>
    <row r="988" spans="30:31">
      <c r="AD988" s="31"/>
      <c r="AE988" s="31"/>
    </row>
    <row r="989" spans="30:31">
      <c r="AD989" s="31"/>
      <c r="AE989" s="31"/>
    </row>
    <row r="990" spans="30:31">
      <c r="AD990" s="31"/>
      <c r="AE990" s="31"/>
    </row>
    <row r="991" spans="30:31">
      <c r="AD991" s="31"/>
      <c r="AE991" s="31"/>
    </row>
    <row r="992" spans="30:31">
      <c r="AD992" s="31"/>
      <c r="AE992" s="31"/>
    </row>
    <row r="993" spans="30:31">
      <c r="AD993" s="31"/>
      <c r="AE993" s="31"/>
    </row>
    <row r="994" spans="30:31">
      <c r="AD994" s="31"/>
      <c r="AE994" s="31"/>
    </row>
    <row r="995" spans="30:31">
      <c r="AD995" s="31"/>
      <c r="AE995" s="31"/>
    </row>
    <row r="996" spans="30:31">
      <c r="AD996" s="31"/>
      <c r="AE996" s="31"/>
    </row>
    <row r="997" spans="30:31">
      <c r="AD997" s="31"/>
      <c r="AE997" s="31"/>
    </row>
    <row r="998" spans="30:31">
      <c r="AD998" s="31"/>
      <c r="AE998" s="31"/>
    </row>
    <row r="999" spans="30:31">
      <c r="AD999" s="31"/>
      <c r="AE999" s="31"/>
    </row>
    <row r="1000" spans="30:31">
      <c r="AD1000" s="31"/>
      <c r="AE1000" s="31"/>
    </row>
    <row r="1001" spans="30:31">
      <c r="AD1001" s="31"/>
      <c r="AE1001" s="31"/>
    </row>
    <row r="1002" spans="30:31">
      <c r="AD1002" s="31"/>
      <c r="AE1002" s="31"/>
    </row>
    <row r="1003" spans="30:31">
      <c r="AD1003" s="31"/>
      <c r="AE1003" s="31"/>
    </row>
    <row r="1004" spans="30:31">
      <c r="AD1004" s="31"/>
      <c r="AE1004" s="31"/>
    </row>
    <row r="1005" spans="30:31">
      <c r="AD1005" s="31"/>
      <c r="AE1005" s="31"/>
    </row>
    <row r="1006" spans="30:31">
      <c r="AD1006" s="31"/>
      <c r="AE1006" s="31"/>
    </row>
    <row r="1007" spans="30:31">
      <c r="AD1007" s="31"/>
      <c r="AE1007" s="31"/>
    </row>
    <row r="1008" spans="30:31">
      <c r="AD1008" s="31"/>
      <c r="AE1008" s="31"/>
    </row>
    <row r="1009" spans="30:31">
      <c r="AD1009" s="31"/>
      <c r="AE1009" s="31"/>
    </row>
    <row r="1010" spans="30:31">
      <c r="AD1010" s="31"/>
      <c r="AE1010" s="31"/>
    </row>
    <row r="1011" spans="30:31">
      <c r="AD1011" s="31"/>
      <c r="AE1011" s="31"/>
    </row>
    <row r="1012" spans="30:31">
      <c r="AD1012" s="31"/>
      <c r="AE1012" s="31"/>
    </row>
    <row r="1013" spans="30:31">
      <c r="AD1013" s="31"/>
      <c r="AE1013" s="31"/>
    </row>
    <row r="1014" spans="30:31">
      <c r="AD1014" s="31"/>
      <c r="AE1014" s="31"/>
    </row>
    <row r="1015" spans="30:31">
      <c r="AD1015" s="31"/>
      <c r="AE1015" s="31"/>
    </row>
    <row r="1016" spans="30:31">
      <c r="AD1016" s="31"/>
      <c r="AE1016" s="31"/>
    </row>
    <row r="1017" spans="30:31">
      <c r="AD1017" s="31"/>
      <c r="AE1017" s="31"/>
    </row>
    <row r="1018" spans="30:31">
      <c r="AD1018" s="31"/>
      <c r="AE1018" s="31"/>
    </row>
    <row r="1019" spans="30:31">
      <c r="AD1019" s="31"/>
      <c r="AE1019" s="31"/>
    </row>
    <row r="1020" spans="30:31">
      <c r="AD1020" s="31"/>
      <c r="AE1020" s="31"/>
    </row>
    <row r="1021" spans="30:31">
      <c r="AD1021" s="31"/>
      <c r="AE1021" s="31"/>
    </row>
    <row r="1022" spans="30:31">
      <c r="AD1022" s="31"/>
      <c r="AE1022" s="31"/>
    </row>
    <row r="1023" spans="30:31">
      <c r="AD1023" s="31"/>
      <c r="AE1023" s="31"/>
    </row>
    <row r="1024" spans="30:31">
      <c r="AD1024" s="31"/>
      <c r="AE1024" s="31"/>
    </row>
    <row r="1025" spans="30:31">
      <c r="AD1025" s="31"/>
      <c r="AE1025" s="31"/>
    </row>
    <row r="1026" spans="30:31">
      <c r="AD1026" s="31"/>
      <c r="AE1026" s="31"/>
    </row>
    <row r="1027" spans="30:31">
      <c r="AD1027" s="31"/>
      <c r="AE1027" s="31"/>
    </row>
    <row r="1028" spans="30:31">
      <c r="AD1028" s="31"/>
      <c r="AE1028" s="31"/>
    </row>
    <row r="1029" spans="30:31">
      <c r="AD1029" s="31"/>
      <c r="AE1029" s="31"/>
    </row>
    <row r="1030" spans="30:31">
      <c r="AD1030" s="31"/>
      <c r="AE1030" s="31"/>
    </row>
    <row r="1031" spans="30:31">
      <c r="AD1031" s="31"/>
      <c r="AE1031" s="31"/>
    </row>
    <row r="1032" spans="30:31">
      <c r="AD1032" s="31"/>
      <c r="AE1032" s="31"/>
    </row>
    <row r="1033" spans="30:31">
      <c r="AD1033" s="31"/>
      <c r="AE1033" s="31"/>
    </row>
    <row r="1034" spans="30:31">
      <c r="AD1034" s="31"/>
      <c r="AE1034" s="31"/>
    </row>
    <row r="1035" spans="30:31">
      <c r="AD1035" s="31"/>
      <c r="AE1035" s="31"/>
    </row>
    <row r="1036" spans="30:31">
      <c r="AD1036" s="31"/>
      <c r="AE1036" s="31"/>
    </row>
    <row r="1037" spans="30:31">
      <c r="AD1037" s="31"/>
      <c r="AE1037" s="31"/>
    </row>
    <row r="1038" spans="30:31">
      <c r="AD1038" s="31"/>
      <c r="AE1038" s="31"/>
    </row>
    <row r="1039" spans="30:31">
      <c r="AD1039" s="31"/>
      <c r="AE1039" s="31"/>
    </row>
    <row r="1040" spans="30:31">
      <c r="AD1040" s="31"/>
      <c r="AE1040" s="31"/>
    </row>
    <row r="1041" spans="30:31">
      <c r="AD1041" s="31"/>
      <c r="AE1041" s="31"/>
    </row>
    <row r="1042" spans="30:31">
      <c r="AD1042" s="31"/>
      <c r="AE1042" s="31"/>
    </row>
    <row r="1043" spans="30:31">
      <c r="AD1043" s="31"/>
      <c r="AE1043" s="31"/>
    </row>
    <row r="1044" spans="30:31">
      <c r="AD1044" s="31"/>
      <c r="AE1044" s="31"/>
    </row>
    <row r="1045" spans="30:31">
      <c r="AD1045" s="31"/>
      <c r="AE1045" s="31"/>
    </row>
    <row r="1046" spans="30:31">
      <c r="AD1046" s="31"/>
      <c r="AE1046" s="31"/>
    </row>
    <row r="1047" spans="30:31">
      <c r="AD1047" s="31"/>
      <c r="AE1047" s="31"/>
    </row>
    <row r="1048" spans="30:31">
      <c r="AD1048" s="31"/>
      <c r="AE1048" s="31"/>
    </row>
    <row r="1049" spans="30:31">
      <c r="AD1049" s="31"/>
      <c r="AE1049" s="31"/>
    </row>
    <row r="1050" spans="30:31">
      <c r="AD1050" s="31"/>
      <c r="AE1050" s="31"/>
    </row>
    <row r="1051" spans="30:31">
      <c r="AD1051" s="31"/>
      <c r="AE1051" s="31"/>
    </row>
    <row r="1052" spans="30:31">
      <c r="AD1052" s="31"/>
      <c r="AE1052" s="31"/>
    </row>
    <row r="1053" spans="30:31">
      <c r="AD1053" s="31"/>
      <c r="AE1053" s="31"/>
    </row>
    <row r="1054" spans="30:31">
      <c r="AD1054" s="31"/>
      <c r="AE1054" s="31"/>
    </row>
    <row r="1055" spans="30:31">
      <c r="AD1055" s="31"/>
      <c r="AE1055" s="31"/>
    </row>
    <row r="1056" spans="30:31">
      <c r="AD1056" s="31"/>
      <c r="AE1056" s="31"/>
    </row>
    <row r="1057" spans="30:31">
      <c r="AD1057" s="31"/>
      <c r="AE1057" s="31"/>
    </row>
    <row r="1058" spans="30:31">
      <c r="AD1058" s="31"/>
      <c r="AE1058" s="31"/>
    </row>
    <row r="1059" spans="30:31">
      <c r="AD1059" s="31"/>
      <c r="AE1059" s="31"/>
    </row>
    <row r="1060" spans="30:31">
      <c r="AD1060" s="31"/>
      <c r="AE1060" s="31"/>
    </row>
    <row r="1061" spans="30:31">
      <c r="AD1061" s="31"/>
      <c r="AE1061" s="31"/>
    </row>
    <row r="1062" spans="30:31">
      <c r="AD1062" s="31"/>
      <c r="AE1062" s="31"/>
    </row>
    <row r="1063" spans="30:31">
      <c r="AD1063" s="31"/>
      <c r="AE1063" s="31"/>
    </row>
    <row r="1064" spans="30:31">
      <c r="AD1064" s="31"/>
      <c r="AE1064" s="31"/>
    </row>
    <row r="1065" spans="30:31">
      <c r="AD1065" s="31"/>
      <c r="AE1065" s="31"/>
    </row>
    <row r="1066" spans="30:31">
      <c r="AD1066" s="31"/>
      <c r="AE1066" s="31"/>
    </row>
    <row r="1067" spans="30:31">
      <c r="AD1067" s="31"/>
      <c r="AE1067" s="31"/>
    </row>
    <row r="1068" spans="30:31">
      <c r="AD1068" s="31"/>
      <c r="AE1068" s="31"/>
    </row>
    <row r="1069" spans="30:31">
      <c r="AD1069" s="31"/>
      <c r="AE1069" s="31"/>
    </row>
    <row r="1070" spans="30:31">
      <c r="AD1070" s="31"/>
      <c r="AE1070" s="31"/>
    </row>
    <row r="1071" spans="30:31">
      <c r="AD1071" s="31"/>
      <c r="AE1071" s="31"/>
    </row>
    <row r="1072" spans="30:31">
      <c r="AD1072" s="31"/>
      <c r="AE1072" s="31"/>
    </row>
    <row r="1073" spans="30:31">
      <c r="AD1073" s="31"/>
      <c r="AE1073" s="31"/>
    </row>
    <row r="1074" spans="30:31">
      <c r="AD1074" s="31"/>
      <c r="AE1074" s="31"/>
    </row>
    <row r="1075" spans="30:31">
      <c r="AD1075" s="31"/>
      <c r="AE1075" s="31"/>
    </row>
    <row r="1076" spans="30:31">
      <c r="AD1076" s="31"/>
      <c r="AE1076" s="31"/>
    </row>
    <row r="1077" spans="30:31">
      <c r="AD1077" s="31"/>
      <c r="AE1077" s="31"/>
    </row>
    <row r="1078" spans="30:31">
      <c r="AD1078" s="31"/>
      <c r="AE1078" s="31"/>
    </row>
    <row r="1079" spans="30:31">
      <c r="AD1079" s="31"/>
      <c r="AE1079" s="31"/>
    </row>
    <row r="1080" spans="30:31">
      <c r="AD1080" s="31"/>
      <c r="AE1080" s="31"/>
    </row>
    <row r="1081" spans="30:31">
      <c r="AD1081" s="31"/>
      <c r="AE1081" s="31"/>
    </row>
    <row r="1082" spans="30:31">
      <c r="AD1082" s="31"/>
      <c r="AE1082" s="31"/>
    </row>
    <row r="1083" spans="30:31">
      <c r="AD1083" s="31"/>
      <c r="AE1083" s="31"/>
    </row>
    <row r="1084" spans="30:31">
      <c r="AD1084" s="31"/>
      <c r="AE1084" s="31"/>
    </row>
    <row r="1085" spans="30:31">
      <c r="AD1085" s="31"/>
      <c r="AE1085" s="31"/>
    </row>
    <row r="1086" spans="30:31">
      <c r="AD1086" s="31"/>
      <c r="AE1086" s="31"/>
    </row>
    <row r="1087" spans="30:31">
      <c r="AD1087" s="31"/>
      <c r="AE1087" s="31"/>
    </row>
    <row r="1088" spans="30:31">
      <c r="AD1088" s="31"/>
      <c r="AE1088" s="31"/>
    </row>
    <row r="1089" spans="30:31">
      <c r="AD1089" s="31"/>
      <c r="AE1089" s="31"/>
    </row>
    <row r="1090" spans="30:31">
      <c r="AD1090" s="31"/>
      <c r="AE1090" s="31"/>
    </row>
    <row r="1091" spans="30:31">
      <c r="AD1091" s="31"/>
      <c r="AE1091" s="31"/>
    </row>
    <row r="1092" spans="30:31">
      <c r="AD1092" s="31"/>
      <c r="AE1092" s="31"/>
    </row>
    <row r="1093" spans="30:31">
      <c r="AD1093" s="31"/>
      <c r="AE1093" s="31"/>
    </row>
    <row r="1094" spans="30:31">
      <c r="AD1094" s="31"/>
      <c r="AE1094" s="31"/>
    </row>
    <row r="1095" spans="30:31">
      <c r="AD1095" s="31"/>
      <c r="AE1095" s="31"/>
    </row>
    <row r="1096" spans="30:31">
      <c r="AD1096" s="31"/>
      <c r="AE1096" s="31"/>
    </row>
    <row r="1097" spans="30:31">
      <c r="AD1097" s="31"/>
      <c r="AE1097" s="31"/>
    </row>
    <row r="1098" spans="30:31">
      <c r="AD1098" s="31"/>
      <c r="AE1098" s="31"/>
    </row>
    <row r="1099" spans="30:31">
      <c r="AD1099" s="31"/>
      <c r="AE1099" s="31"/>
    </row>
    <row r="1100" spans="30:31">
      <c r="AD1100" s="31"/>
      <c r="AE1100" s="31"/>
    </row>
    <row r="1101" spans="30:31">
      <c r="AD1101" s="31"/>
      <c r="AE1101" s="31"/>
    </row>
    <row r="1102" spans="30:31">
      <c r="AD1102" s="31"/>
      <c r="AE1102" s="31"/>
    </row>
    <row r="1103" spans="30:31">
      <c r="AD1103" s="31"/>
      <c r="AE1103" s="31"/>
    </row>
    <row r="1104" spans="30:31">
      <c r="AD1104" s="31"/>
      <c r="AE1104" s="31"/>
    </row>
    <row r="1105" spans="30:31">
      <c r="AD1105" s="31"/>
      <c r="AE1105" s="31"/>
    </row>
    <row r="1106" spans="30:31">
      <c r="AD1106" s="31"/>
      <c r="AE1106" s="31"/>
    </row>
    <row r="1107" spans="30:31">
      <c r="AD1107" s="31"/>
      <c r="AE1107" s="31"/>
    </row>
    <row r="1108" spans="30:31">
      <c r="AD1108" s="31"/>
      <c r="AE1108" s="31"/>
    </row>
    <row r="1109" spans="30:31">
      <c r="AD1109" s="31"/>
      <c r="AE1109" s="31"/>
    </row>
    <row r="1110" spans="30:31">
      <c r="AD1110" s="31"/>
      <c r="AE1110" s="31"/>
    </row>
    <row r="1111" spans="30:31">
      <c r="AD1111" s="31"/>
      <c r="AE1111" s="31"/>
    </row>
    <row r="1112" spans="30:31">
      <c r="AD1112" s="31"/>
      <c r="AE1112" s="31"/>
    </row>
    <row r="1113" spans="30:31">
      <c r="AD1113" s="31"/>
      <c r="AE1113" s="31"/>
    </row>
    <row r="1114" spans="30:31">
      <c r="AD1114" s="31"/>
      <c r="AE1114" s="31"/>
    </row>
    <row r="1115" spans="30:31">
      <c r="AD1115" s="31"/>
      <c r="AE1115" s="31"/>
    </row>
    <row r="1116" spans="30:31">
      <c r="AD1116" s="31"/>
      <c r="AE1116" s="31"/>
    </row>
    <row r="1117" spans="30:31">
      <c r="AD1117" s="31"/>
      <c r="AE1117" s="31"/>
    </row>
    <row r="1118" spans="30:31">
      <c r="AD1118" s="31"/>
      <c r="AE1118" s="31"/>
    </row>
    <row r="1119" spans="30:31">
      <c r="AD1119" s="31"/>
      <c r="AE1119" s="31"/>
    </row>
    <row r="1120" spans="30:31">
      <c r="AD1120" s="31"/>
      <c r="AE1120" s="31"/>
    </row>
    <row r="1121" spans="30:31">
      <c r="AD1121" s="31"/>
      <c r="AE1121" s="31"/>
    </row>
    <row r="1122" spans="30:31">
      <c r="AD1122" s="31"/>
      <c r="AE1122" s="31"/>
    </row>
    <row r="1123" spans="30:31">
      <c r="AD1123" s="31"/>
      <c r="AE1123" s="31"/>
    </row>
    <row r="1124" spans="30:31">
      <c r="AD1124" s="31"/>
      <c r="AE1124" s="31"/>
    </row>
    <row r="1125" spans="30:31">
      <c r="AD1125" s="31"/>
      <c r="AE1125" s="31"/>
    </row>
    <row r="1126" spans="30:31">
      <c r="AD1126" s="31"/>
      <c r="AE1126" s="31"/>
    </row>
    <row r="1127" spans="30:31">
      <c r="AD1127" s="31"/>
      <c r="AE1127" s="31"/>
    </row>
    <row r="1128" spans="30:31">
      <c r="AD1128" s="31"/>
      <c r="AE1128" s="31"/>
    </row>
    <row r="1129" spans="30:31">
      <c r="AD1129" s="31"/>
      <c r="AE1129" s="31"/>
    </row>
    <row r="1130" spans="30:31">
      <c r="AD1130" s="31"/>
      <c r="AE1130" s="31"/>
    </row>
    <row r="1131" spans="30:31">
      <c r="AD1131" s="31"/>
      <c r="AE1131" s="31"/>
    </row>
    <row r="1132" spans="30:31">
      <c r="AD1132" s="31"/>
      <c r="AE1132" s="31"/>
    </row>
    <row r="1133" spans="30:31">
      <c r="AD1133" s="31"/>
      <c r="AE1133" s="31"/>
    </row>
    <row r="1134" spans="30:31">
      <c r="AD1134" s="31"/>
      <c r="AE1134" s="31"/>
    </row>
    <row r="1135" spans="30:31">
      <c r="AD1135" s="31"/>
      <c r="AE1135" s="31"/>
    </row>
    <row r="1136" spans="30:31">
      <c r="AD1136" s="31"/>
      <c r="AE1136" s="31"/>
    </row>
    <row r="1137" spans="30:31">
      <c r="AD1137" s="31"/>
      <c r="AE1137" s="31"/>
    </row>
    <row r="1138" spans="30:31">
      <c r="AD1138" s="31"/>
      <c r="AE1138" s="31"/>
    </row>
    <row r="1139" spans="30:31">
      <c r="AD1139" s="31"/>
      <c r="AE1139" s="31"/>
    </row>
    <row r="1140" spans="30:31">
      <c r="AD1140" s="31"/>
      <c r="AE1140" s="31"/>
    </row>
    <row r="1141" spans="30:31">
      <c r="AD1141" s="31"/>
      <c r="AE1141" s="31"/>
    </row>
    <row r="1142" spans="30:31">
      <c r="AD1142" s="31"/>
      <c r="AE1142" s="31"/>
    </row>
    <row r="1143" spans="30:31">
      <c r="AD1143" s="31"/>
      <c r="AE1143" s="31"/>
    </row>
    <row r="1144" spans="30:31">
      <c r="AD1144" s="31"/>
      <c r="AE1144" s="31"/>
    </row>
    <row r="1145" spans="30:31">
      <c r="AD1145" s="31"/>
      <c r="AE1145" s="31"/>
    </row>
    <row r="1146" spans="30:31">
      <c r="AD1146" s="31"/>
      <c r="AE1146" s="31"/>
    </row>
    <row r="1147" spans="30:31">
      <c r="AD1147" s="31"/>
      <c r="AE1147" s="31"/>
    </row>
    <row r="1148" spans="30:31">
      <c r="AD1148" s="31"/>
      <c r="AE1148" s="31"/>
    </row>
    <row r="1149" spans="30:31">
      <c r="AD1149" s="31"/>
      <c r="AE1149" s="31"/>
    </row>
    <row r="1150" spans="30:31">
      <c r="AD1150" s="31"/>
      <c r="AE1150" s="31"/>
    </row>
    <row r="1151" spans="30:31">
      <c r="AD1151" s="31"/>
      <c r="AE1151" s="31"/>
    </row>
    <row r="1152" spans="30:31">
      <c r="AD1152" s="31"/>
      <c r="AE1152" s="31"/>
    </row>
    <row r="1153" spans="30:31">
      <c r="AD1153" s="31"/>
      <c r="AE1153" s="31"/>
    </row>
    <row r="1154" spans="30:31">
      <c r="AD1154" s="31"/>
      <c r="AE1154" s="31"/>
    </row>
    <row r="1155" spans="30:31">
      <c r="AD1155" s="31"/>
      <c r="AE1155" s="31"/>
    </row>
    <row r="1156" spans="30:31">
      <c r="AD1156" s="31"/>
      <c r="AE1156" s="31"/>
    </row>
    <row r="1157" spans="30:31">
      <c r="AD1157" s="31"/>
      <c r="AE1157" s="31"/>
    </row>
    <row r="1158" spans="30:31">
      <c r="AD1158" s="31"/>
      <c r="AE1158" s="31"/>
    </row>
    <row r="1159" spans="30:31">
      <c r="AD1159" s="31"/>
      <c r="AE1159" s="31"/>
    </row>
    <row r="1160" spans="30:31">
      <c r="AD1160" s="31"/>
      <c r="AE1160" s="31"/>
    </row>
    <row r="1161" spans="30:31">
      <c r="AD1161" s="31"/>
      <c r="AE1161" s="31"/>
    </row>
    <row r="1162" spans="30:31">
      <c r="AD1162" s="31"/>
      <c r="AE1162" s="31"/>
    </row>
    <row r="1163" spans="30:31">
      <c r="AD1163" s="31"/>
      <c r="AE1163" s="31"/>
    </row>
    <row r="1164" spans="30:31">
      <c r="AD1164" s="31"/>
      <c r="AE1164" s="31"/>
    </row>
    <row r="1165" spans="30:31">
      <c r="AD1165" s="31"/>
      <c r="AE1165" s="31"/>
    </row>
    <row r="1166" spans="30:31">
      <c r="AD1166" s="31"/>
      <c r="AE1166" s="31"/>
    </row>
    <row r="1167" spans="30:31">
      <c r="AD1167" s="31"/>
      <c r="AE1167" s="31"/>
    </row>
    <row r="1168" spans="30:31">
      <c r="AD1168" s="31"/>
      <c r="AE1168" s="31"/>
    </row>
    <row r="1169" spans="30:31">
      <c r="AD1169" s="31"/>
      <c r="AE1169" s="31"/>
    </row>
    <row r="1170" spans="30:31">
      <c r="AD1170" s="31"/>
      <c r="AE1170" s="31"/>
    </row>
    <row r="1171" spans="30:31">
      <c r="AD1171" s="31"/>
      <c r="AE1171" s="31"/>
    </row>
    <row r="1172" spans="30:31">
      <c r="AD1172" s="31"/>
      <c r="AE1172" s="31"/>
    </row>
    <row r="1173" spans="30:31">
      <c r="AD1173" s="31"/>
      <c r="AE1173" s="31"/>
    </row>
    <row r="1174" spans="30:31">
      <c r="AD1174" s="31"/>
      <c r="AE1174" s="31"/>
    </row>
    <row r="1175" spans="30:31">
      <c r="AD1175" s="31"/>
      <c r="AE1175" s="31"/>
    </row>
    <row r="1176" spans="30:31">
      <c r="AD1176" s="31"/>
      <c r="AE1176" s="31"/>
    </row>
    <row r="1177" spans="30:31">
      <c r="AD1177" s="31"/>
      <c r="AE1177" s="31"/>
    </row>
    <row r="1178" spans="30:31">
      <c r="AD1178" s="31"/>
      <c r="AE1178" s="31"/>
    </row>
    <row r="1179" spans="30:31">
      <c r="AD1179" s="31"/>
      <c r="AE1179" s="31"/>
    </row>
    <row r="1180" spans="30:31">
      <c r="AD1180" s="31"/>
      <c r="AE1180" s="31"/>
    </row>
    <row r="1181" spans="30:31">
      <c r="AD1181" s="31"/>
      <c r="AE1181" s="31"/>
    </row>
    <row r="1182" spans="30:31">
      <c r="AD1182" s="31"/>
      <c r="AE1182" s="31"/>
    </row>
    <row r="1183" spans="30:31">
      <c r="AD1183" s="31"/>
      <c r="AE1183" s="31"/>
    </row>
    <row r="1184" spans="30:31">
      <c r="AD1184" s="31"/>
      <c r="AE1184" s="31"/>
    </row>
    <row r="1185" spans="30:31">
      <c r="AD1185" s="31"/>
      <c r="AE1185" s="31"/>
    </row>
    <row r="1186" spans="30:31">
      <c r="AD1186" s="31"/>
      <c r="AE1186" s="31"/>
    </row>
    <row r="1187" spans="30:31">
      <c r="AD1187" s="31"/>
      <c r="AE1187" s="31"/>
    </row>
    <row r="1188" spans="30:31">
      <c r="AD1188" s="31"/>
      <c r="AE1188" s="31"/>
    </row>
    <row r="1189" spans="30:31">
      <c r="AD1189" s="31"/>
      <c r="AE1189" s="31"/>
    </row>
    <row r="1190" spans="30:31">
      <c r="AD1190" s="31"/>
      <c r="AE1190" s="31"/>
    </row>
    <row r="1191" spans="30:31">
      <c r="AD1191" s="31"/>
      <c r="AE1191" s="31"/>
    </row>
    <row r="1192" spans="30:31">
      <c r="AD1192" s="31"/>
      <c r="AE1192" s="31"/>
    </row>
    <row r="1193" spans="30:31">
      <c r="AD1193" s="31"/>
      <c r="AE1193" s="31"/>
    </row>
    <row r="1194" spans="30:31">
      <c r="AD1194" s="31"/>
      <c r="AE1194" s="31"/>
    </row>
    <row r="1195" spans="30:31">
      <c r="AD1195" s="31"/>
      <c r="AE1195" s="31"/>
    </row>
    <row r="1196" spans="30:31">
      <c r="AD1196" s="31"/>
      <c r="AE1196" s="31"/>
    </row>
    <row r="1197" spans="30:31">
      <c r="AD1197" s="31"/>
      <c r="AE1197" s="31"/>
    </row>
    <row r="1198" spans="30:31">
      <c r="AD1198" s="31"/>
      <c r="AE1198" s="31"/>
    </row>
    <row r="1199" spans="30:31">
      <c r="AD1199" s="31"/>
      <c r="AE1199" s="31"/>
    </row>
    <row r="1200" spans="30:31">
      <c r="AD1200" s="31"/>
      <c r="AE1200" s="31"/>
    </row>
    <row r="1201" spans="30:31">
      <c r="AD1201" s="31"/>
      <c r="AE1201" s="31"/>
    </row>
    <row r="1202" spans="30:31">
      <c r="AD1202" s="31"/>
      <c r="AE1202" s="31"/>
    </row>
    <row r="1203" spans="30:31">
      <c r="AD1203" s="31"/>
      <c r="AE1203" s="31"/>
    </row>
    <row r="1204" spans="30:31">
      <c r="AD1204" s="31"/>
      <c r="AE1204" s="31"/>
    </row>
    <row r="1205" spans="30:31">
      <c r="AD1205" s="31"/>
      <c r="AE1205" s="31"/>
    </row>
    <row r="1206" spans="30:31">
      <c r="AD1206" s="31"/>
      <c r="AE1206" s="31"/>
    </row>
    <row r="1207" spans="30:31">
      <c r="AD1207" s="31"/>
      <c r="AE1207" s="31"/>
    </row>
    <row r="1208" spans="30:31">
      <c r="AD1208" s="31"/>
      <c r="AE1208" s="31"/>
    </row>
    <row r="1209" spans="30:31">
      <c r="AD1209" s="31"/>
      <c r="AE1209" s="31"/>
    </row>
    <row r="1210" spans="30:31">
      <c r="AD1210" s="31"/>
      <c r="AE1210" s="31"/>
    </row>
    <row r="1211" spans="30:31">
      <c r="AD1211" s="31"/>
      <c r="AE1211" s="31"/>
    </row>
    <row r="1212" spans="30:31">
      <c r="AD1212" s="31"/>
      <c r="AE1212" s="31"/>
    </row>
    <row r="1213" spans="30:31">
      <c r="AD1213" s="31"/>
      <c r="AE1213" s="31"/>
    </row>
    <row r="1214" spans="30:31">
      <c r="AD1214" s="31"/>
      <c r="AE1214" s="31"/>
    </row>
    <row r="1215" spans="30:31">
      <c r="AD1215" s="31"/>
      <c r="AE1215" s="31"/>
    </row>
    <row r="1216" spans="30:31">
      <c r="AD1216" s="31"/>
      <c r="AE1216" s="31"/>
    </row>
    <row r="1217" spans="30:31">
      <c r="AD1217" s="31"/>
      <c r="AE1217" s="31"/>
    </row>
    <row r="1218" spans="30:31">
      <c r="AD1218" s="31"/>
      <c r="AE1218" s="31"/>
    </row>
    <row r="1219" spans="30:31">
      <c r="AD1219" s="31"/>
      <c r="AE1219" s="31"/>
    </row>
    <row r="1220" spans="30:31">
      <c r="AD1220" s="31"/>
      <c r="AE1220" s="31"/>
    </row>
    <row r="1221" spans="30:31">
      <c r="AD1221" s="31"/>
      <c r="AE1221" s="31"/>
    </row>
    <row r="1222" spans="30:31">
      <c r="AD1222" s="31"/>
      <c r="AE1222" s="31"/>
    </row>
    <row r="1223" spans="30:31">
      <c r="AD1223" s="31"/>
      <c r="AE1223" s="31"/>
    </row>
    <row r="1224" spans="30:31">
      <c r="AD1224" s="31"/>
      <c r="AE1224" s="31"/>
    </row>
    <row r="1225" spans="30:31">
      <c r="AD1225" s="31"/>
      <c r="AE1225" s="31"/>
    </row>
    <row r="1226" spans="30:31">
      <c r="AD1226" s="31"/>
      <c r="AE1226" s="31"/>
    </row>
    <row r="1227" spans="30:31">
      <c r="AD1227" s="31"/>
      <c r="AE1227" s="31"/>
    </row>
    <row r="1228" spans="30:31">
      <c r="AD1228" s="31"/>
      <c r="AE1228" s="31"/>
    </row>
    <row r="1229" spans="30:31">
      <c r="AD1229" s="31"/>
      <c r="AE1229" s="31"/>
    </row>
    <row r="1230" spans="30:31">
      <c r="AD1230" s="31"/>
      <c r="AE1230" s="31"/>
    </row>
    <row r="1231" spans="30:31">
      <c r="AD1231" s="31"/>
      <c r="AE1231" s="31"/>
    </row>
    <row r="1232" spans="30:31">
      <c r="AD1232" s="31"/>
      <c r="AE1232" s="31"/>
    </row>
    <row r="1233" spans="30:31">
      <c r="AD1233" s="31"/>
      <c r="AE1233" s="31"/>
    </row>
    <row r="1234" spans="30:31">
      <c r="AD1234" s="31"/>
      <c r="AE1234" s="31"/>
    </row>
    <row r="1235" spans="30:31">
      <c r="AD1235" s="31"/>
      <c r="AE1235" s="31"/>
    </row>
    <row r="1236" spans="30:31">
      <c r="AD1236" s="31"/>
      <c r="AE1236" s="31"/>
    </row>
    <row r="1237" spans="30:31">
      <c r="AD1237" s="31"/>
      <c r="AE1237" s="31"/>
    </row>
    <row r="1238" spans="30:31">
      <c r="AD1238" s="31"/>
      <c r="AE1238" s="31"/>
    </row>
    <row r="1239" spans="30:31">
      <c r="AD1239" s="31"/>
      <c r="AE1239" s="31"/>
    </row>
    <row r="1240" spans="30:31">
      <c r="AD1240" s="31"/>
      <c r="AE1240" s="31"/>
    </row>
    <row r="1241" spans="30:31">
      <c r="AD1241" s="31"/>
      <c r="AE1241" s="31"/>
    </row>
    <row r="1242" spans="30:31">
      <c r="AD1242" s="31"/>
      <c r="AE1242" s="31"/>
    </row>
    <row r="1243" spans="30:31">
      <c r="AD1243" s="31"/>
      <c r="AE1243" s="31"/>
    </row>
    <row r="1244" spans="30:31">
      <c r="AD1244" s="31"/>
      <c r="AE1244" s="31"/>
    </row>
    <row r="1245" spans="30:31">
      <c r="AD1245" s="31"/>
      <c r="AE1245" s="31"/>
    </row>
    <row r="1246" spans="30:31">
      <c r="AD1246" s="31"/>
      <c r="AE1246" s="31"/>
    </row>
    <row r="1247" spans="30:31">
      <c r="AD1247" s="31"/>
      <c r="AE1247" s="31"/>
    </row>
    <row r="1248" spans="30:31">
      <c r="AD1248" s="31"/>
      <c r="AE1248" s="31"/>
    </row>
    <row r="1249" spans="30:31">
      <c r="AD1249" s="31"/>
      <c r="AE1249" s="31"/>
    </row>
    <row r="1250" spans="30:31">
      <c r="AD1250" s="31"/>
      <c r="AE1250" s="31"/>
    </row>
    <row r="1251" spans="30:31">
      <c r="AD1251" s="31"/>
      <c r="AE1251" s="31"/>
    </row>
    <row r="1252" spans="30:31">
      <c r="AD1252" s="31"/>
      <c r="AE1252" s="31"/>
    </row>
    <row r="1253" spans="30:31">
      <c r="AD1253" s="31"/>
      <c r="AE1253" s="31"/>
    </row>
    <row r="1254" spans="30:31">
      <c r="AD1254" s="31"/>
      <c r="AE1254" s="31"/>
    </row>
    <row r="1255" spans="30:31">
      <c r="AD1255" s="31"/>
      <c r="AE1255" s="31"/>
    </row>
    <row r="1256" spans="30:31">
      <c r="AD1256" s="31"/>
      <c r="AE1256" s="31"/>
    </row>
    <row r="1257" spans="30:31">
      <c r="AD1257" s="31"/>
      <c r="AE1257" s="31"/>
    </row>
    <row r="1258" spans="30:31">
      <c r="AD1258" s="31"/>
      <c r="AE1258" s="31"/>
    </row>
    <row r="1259" spans="30:31">
      <c r="AD1259" s="31"/>
      <c r="AE1259" s="31"/>
    </row>
    <row r="1260" spans="30:31">
      <c r="AD1260" s="31"/>
      <c r="AE1260" s="31"/>
    </row>
    <row r="1261" spans="30:31">
      <c r="AD1261" s="31"/>
      <c r="AE1261" s="31"/>
    </row>
    <row r="1262" spans="30:31">
      <c r="AD1262" s="31"/>
      <c r="AE1262" s="31"/>
    </row>
    <row r="1263" spans="30:31">
      <c r="AD1263" s="31"/>
      <c r="AE1263" s="31"/>
    </row>
    <row r="1264" spans="30:31">
      <c r="AD1264" s="31"/>
      <c r="AE1264" s="31"/>
    </row>
    <row r="1265" spans="30:31">
      <c r="AD1265" s="31"/>
      <c r="AE1265" s="31"/>
    </row>
    <row r="1266" spans="30:31">
      <c r="AD1266" s="31"/>
      <c r="AE1266" s="31"/>
    </row>
    <row r="1267" spans="30:31">
      <c r="AD1267" s="31"/>
      <c r="AE1267" s="31"/>
    </row>
    <row r="1268" spans="30:31">
      <c r="AD1268" s="31"/>
      <c r="AE1268" s="31"/>
    </row>
    <row r="1269" spans="30:31">
      <c r="AD1269" s="31"/>
      <c r="AE1269" s="31"/>
    </row>
    <row r="1270" spans="30:31">
      <c r="AD1270" s="31"/>
      <c r="AE1270" s="31"/>
    </row>
    <row r="1271" spans="30:31">
      <c r="AD1271" s="31"/>
      <c r="AE1271" s="31"/>
    </row>
    <row r="1272" spans="30:31">
      <c r="AD1272" s="31"/>
      <c r="AE1272" s="31"/>
    </row>
    <row r="1273" spans="30:31">
      <c r="AD1273" s="31"/>
      <c r="AE1273" s="31"/>
    </row>
    <row r="1274" spans="30:31">
      <c r="AD1274" s="31"/>
      <c r="AE1274" s="31"/>
    </row>
    <row r="1275" spans="30:31">
      <c r="AD1275" s="31"/>
      <c r="AE1275" s="31"/>
    </row>
    <row r="1276" spans="30:31">
      <c r="AD1276" s="31"/>
      <c r="AE1276" s="31"/>
    </row>
    <row r="1277" spans="30:31">
      <c r="AD1277" s="31"/>
      <c r="AE1277" s="31"/>
    </row>
    <row r="1278" spans="30:31">
      <c r="AD1278" s="31"/>
      <c r="AE1278" s="31"/>
    </row>
    <row r="1279" spans="30:31">
      <c r="AD1279" s="31"/>
      <c r="AE1279" s="31"/>
    </row>
    <row r="1280" spans="30:31">
      <c r="AD1280" s="31"/>
      <c r="AE1280" s="31"/>
    </row>
    <row r="1281" spans="30:31">
      <c r="AD1281" s="31"/>
      <c r="AE1281" s="31"/>
    </row>
    <row r="1282" spans="30:31">
      <c r="AD1282" s="31"/>
      <c r="AE1282" s="31"/>
    </row>
    <row r="1283" spans="30:31">
      <c r="AD1283" s="31"/>
      <c r="AE1283" s="31"/>
    </row>
    <row r="1284" spans="30:31">
      <c r="AD1284" s="31"/>
      <c r="AE1284" s="31"/>
    </row>
    <row r="1285" spans="30:31">
      <c r="AD1285" s="31"/>
      <c r="AE1285" s="31"/>
    </row>
    <row r="1286" spans="30:31">
      <c r="AD1286" s="31"/>
      <c r="AE1286" s="31"/>
    </row>
    <row r="1287" spans="30:31">
      <c r="AD1287" s="31"/>
      <c r="AE1287" s="31"/>
    </row>
    <row r="1288" spans="30:31">
      <c r="AD1288" s="31"/>
      <c r="AE1288" s="31"/>
    </row>
    <row r="1289" spans="30:31">
      <c r="AD1289" s="31"/>
      <c r="AE1289" s="31"/>
    </row>
    <row r="1290" spans="30:31">
      <c r="AD1290" s="31"/>
      <c r="AE1290" s="31"/>
    </row>
    <row r="1291" spans="30:31">
      <c r="AD1291" s="31"/>
      <c r="AE1291" s="31"/>
    </row>
    <row r="1292" spans="30:31">
      <c r="AD1292" s="31"/>
      <c r="AE1292" s="31"/>
    </row>
    <row r="1293" spans="30:31">
      <c r="AD1293" s="31"/>
      <c r="AE1293" s="31"/>
    </row>
    <row r="1294" spans="30:31">
      <c r="AD1294" s="31"/>
      <c r="AE1294" s="31"/>
    </row>
    <row r="1295" spans="30:31">
      <c r="AD1295" s="31"/>
      <c r="AE1295" s="31"/>
    </row>
    <row r="1296" spans="30:31">
      <c r="AD1296" s="31"/>
      <c r="AE1296" s="31"/>
    </row>
    <row r="1297" spans="30:31">
      <c r="AD1297" s="31"/>
      <c r="AE1297" s="31"/>
    </row>
    <row r="1298" spans="30:31">
      <c r="AD1298" s="31"/>
      <c r="AE1298" s="31"/>
    </row>
    <row r="1299" spans="30:31">
      <c r="AD1299" s="31"/>
      <c r="AE1299" s="31"/>
    </row>
    <row r="1300" spans="30:31">
      <c r="AD1300" s="31"/>
      <c r="AE1300" s="31"/>
    </row>
    <row r="1301" spans="30:31">
      <c r="AD1301" s="31"/>
      <c r="AE1301" s="31"/>
    </row>
    <row r="1302" spans="30:31">
      <c r="AD1302" s="31"/>
      <c r="AE1302" s="31"/>
    </row>
    <row r="1303" spans="30:31">
      <c r="AD1303" s="31"/>
      <c r="AE1303" s="31"/>
    </row>
    <row r="1304" spans="30:31">
      <c r="AD1304" s="31"/>
      <c r="AE1304" s="31"/>
    </row>
    <row r="1305" spans="30:31">
      <c r="AD1305" s="31"/>
      <c r="AE1305" s="31"/>
    </row>
    <row r="1306" spans="30:31">
      <c r="AD1306" s="31"/>
      <c r="AE1306" s="31"/>
    </row>
    <row r="1307" spans="30:31">
      <c r="AD1307" s="31"/>
      <c r="AE1307" s="31"/>
    </row>
    <row r="1308" spans="30:31">
      <c r="AD1308" s="31"/>
      <c r="AE1308" s="31"/>
    </row>
    <row r="1309" spans="30:31">
      <c r="AD1309" s="31"/>
      <c r="AE1309" s="31"/>
    </row>
    <row r="1310" spans="30:31">
      <c r="AD1310" s="31"/>
      <c r="AE1310" s="31"/>
    </row>
    <row r="1311" spans="30:31">
      <c r="AD1311" s="31"/>
      <c r="AE1311" s="31"/>
    </row>
    <row r="1312" spans="30:31">
      <c r="AD1312" s="31"/>
      <c r="AE1312" s="31"/>
    </row>
    <row r="1313" spans="30:31">
      <c r="AD1313" s="31"/>
      <c r="AE1313" s="31"/>
    </row>
    <row r="1314" spans="30:31">
      <c r="AD1314" s="31"/>
      <c r="AE1314" s="31"/>
    </row>
    <row r="1315" spans="30:31">
      <c r="AD1315" s="31"/>
      <c r="AE1315" s="31"/>
    </row>
    <row r="1316" spans="30:31">
      <c r="AD1316" s="31"/>
      <c r="AE1316" s="31"/>
    </row>
    <row r="1317" spans="30:31">
      <c r="AD1317" s="31"/>
      <c r="AE1317" s="31"/>
    </row>
    <row r="1318" spans="30:31">
      <c r="AD1318" s="31"/>
      <c r="AE1318" s="31"/>
    </row>
    <row r="1319" spans="30:31">
      <c r="AD1319" s="31"/>
      <c r="AE1319" s="31"/>
    </row>
    <row r="1320" spans="30:31">
      <c r="AD1320" s="31"/>
      <c r="AE1320" s="31"/>
    </row>
    <row r="1321" spans="30:31">
      <c r="AD1321" s="31"/>
      <c r="AE1321" s="31"/>
    </row>
    <row r="1322" spans="30:31">
      <c r="AD1322" s="31"/>
      <c r="AE1322" s="31"/>
    </row>
    <row r="1323" spans="30:31">
      <c r="AD1323" s="31"/>
      <c r="AE1323" s="31"/>
    </row>
    <row r="1324" spans="30:31">
      <c r="AD1324" s="31"/>
      <c r="AE1324" s="31"/>
    </row>
    <row r="1325" spans="30:31">
      <c r="AD1325" s="31"/>
      <c r="AE1325" s="31"/>
    </row>
    <row r="1326" spans="30:31">
      <c r="AD1326" s="31"/>
      <c r="AE1326" s="31"/>
    </row>
    <row r="1327" spans="30:31">
      <c r="AD1327" s="31"/>
      <c r="AE1327" s="31"/>
    </row>
    <row r="1328" spans="30:31">
      <c r="AD1328" s="31"/>
      <c r="AE1328" s="31"/>
    </row>
    <row r="1329" spans="30:31">
      <c r="AD1329" s="31"/>
      <c r="AE1329" s="31"/>
    </row>
    <row r="1330" spans="30:31">
      <c r="AD1330" s="31"/>
      <c r="AE1330" s="31"/>
    </row>
    <row r="1331" spans="30:31">
      <c r="AD1331" s="31"/>
      <c r="AE1331" s="31"/>
    </row>
    <row r="1332" spans="30:31">
      <c r="AD1332" s="31"/>
      <c r="AE1332" s="31"/>
    </row>
    <row r="1333" spans="30:31">
      <c r="AD1333" s="31"/>
      <c r="AE1333" s="31"/>
    </row>
    <row r="1334" spans="30:31">
      <c r="AD1334" s="31"/>
      <c r="AE1334" s="31"/>
    </row>
    <row r="1335" spans="30:31">
      <c r="AD1335" s="31"/>
      <c r="AE1335" s="31"/>
    </row>
    <row r="1336" spans="30:31">
      <c r="AD1336" s="31"/>
      <c r="AE1336" s="31"/>
    </row>
    <row r="1337" spans="30:31">
      <c r="AD1337" s="31"/>
      <c r="AE1337" s="31"/>
    </row>
    <row r="1338" spans="30:31">
      <c r="AD1338" s="31"/>
      <c r="AE1338" s="31"/>
    </row>
    <row r="1339" spans="30:31">
      <c r="AD1339" s="31"/>
      <c r="AE1339" s="31"/>
    </row>
    <row r="1340" spans="30:31">
      <c r="AD1340" s="31"/>
      <c r="AE1340" s="31"/>
    </row>
    <row r="1341" spans="30:31">
      <c r="AD1341" s="31"/>
      <c r="AE1341" s="31"/>
    </row>
    <row r="1342" spans="30:31">
      <c r="AD1342" s="31"/>
      <c r="AE1342" s="31"/>
    </row>
    <row r="1343" spans="30:31">
      <c r="AD1343" s="31"/>
      <c r="AE1343" s="31"/>
    </row>
    <row r="1344" spans="30:31">
      <c r="AD1344" s="31"/>
      <c r="AE1344" s="31"/>
    </row>
    <row r="1345" spans="30:31">
      <c r="AD1345" s="31"/>
      <c r="AE1345" s="31"/>
    </row>
    <row r="1346" spans="30:31">
      <c r="AD1346" s="31"/>
      <c r="AE1346" s="31"/>
    </row>
    <row r="1347" spans="30:31">
      <c r="AD1347" s="31"/>
      <c r="AE1347" s="31"/>
    </row>
    <row r="1348" spans="30:31">
      <c r="AD1348" s="31"/>
      <c r="AE1348" s="31"/>
    </row>
    <row r="1349" spans="30:31">
      <c r="AD1349" s="31"/>
      <c r="AE1349" s="31"/>
    </row>
    <row r="1350" spans="30:31">
      <c r="AD1350" s="31"/>
      <c r="AE1350" s="31"/>
    </row>
    <row r="1351" spans="30:31">
      <c r="AD1351" s="31"/>
      <c r="AE1351" s="31"/>
    </row>
    <row r="1352" spans="30:31">
      <c r="AD1352" s="31"/>
      <c r="AE1352" s="31"/>
    </row>
    <row r="1353" spans="30:31">
      <c r="AD1353" s="31"/>
      <c r="AE1353" s="31"/>
    </row>
    <row r="1354" spans="30:31">
      <c r="AD1354" s="31"/>
      <c r="AE1354" s="31"/>
    </row>
    <row r="1355" spans="30:31">
      <c r="AD1355" s="31"/>
      <c r="AE1355" s="31"/>
    </row>
    <row r="1356" spans="30:31">
      <c r="AD1356" s="31"/>
      <c r="AE1356" s="31"/>
    </row>
    <row r="1357" spans="30:31">
      <c r="AD1357" s="31"/>
      <c r="AE1357" s="31"/>
    </row>
    <row r="1358" spans="30:31">
      <c r="AD1358" s="31"/>
      <c r="AE1358" s="31"/>
    </row>
    <row r="1359" spans="30:31">
      <c r="AD1359" s="31"/>
      <c r="AE1359" s="31"/>
    </row>
    <row r="1360" spans="30:31">
      <c r="AD1360" s="31"/>
      <c r="AE1360" s="31"/>
    </row>
    <row r="1361" spans="30:31">
      <c r="AD1361" s="31"/>
      <c r="AE1361" s="31"/>
    </row>
    <row r="1362" spans="30:31">
      <c r="AD1362" s="31"/>
      <c r="AE1362" s="31"/>
    </row>
    <row r="1363" spans="30:31">
      <c r="AD1363" s="31"/>
      <c r="AE1363" s="31"/>
    </row>
    <row r="1364" spans="30:31">
      <c r="AD1364" s="31"/>
      <c r="AE1364" s="31"/>
    </row>
    <row r="1365" spans="30:31">
      <c r="AD1365" s="31"/>
      <c r="AE1365" s="31"/>
    </row>
    <row r="1366" spans="30:31">
      <c r="AD1366" s="31"/>
      <c r="AE1366" s="31"/>
    </row>
    <row r="1367" spans="30:31">
      <c r="AD1367" s="31"/>
      <c r="AE1367" s="31"/>
    </row>
    <row r="1368" spans="30:31">
      <c r="AD1368" s="31"/>
      <c r="AE1368" s="31"/>
    </row>
    <row r="1369" spans="30:31">
      <c r="AD1369" s="31"/>
      <c r="AE1369" s="31"/>
    </row>
    <row r="1370" spans="30:31">
      <c r="AD1370" s="31"/>
      <c r="AE1370" s="31"/>
    </row>
    <row r="1371" spans="30:31">
      <c r="AD1371" s="31"/>
      <c r="AE1371" s="31"/>
    </row>
    <row r="1372" spans="30:31">
      <c r="AD1372" s="31"/>
      <c r="AE1372" s="31"/>
    </row>
    <row r="1373" spans="30:31">
      <c r="AD1373" s="31"/>
      <c r="AE1373" s="31"/>
    </row>
    <row r="1374" spans="30:31">
      <c r="AD1374" s="31"/>
      <c r="AE1374" s="31"/>
    </row>
    <row r="1375" spans="30:31">
      <c r="AD1375" s="31"/>
      <c r="AE1375" s="31"/>
    </row>
    <row r="1376" spans="30:31">
      <c r="AD1376" s="31"/>
      <c r="AE1376" s="31"/>
    </row>
    <row r="1377" spans="30:31">
      <c r="AD1377" s="31"/>
      <c r="AE1377" s="31"/>
    </row>
    <row r="1378" spans="30:31">
      <c r="AD1378" s="31"/>
      <c r="AE1378" s="31"/>
    </row>
    <row r="1379" spans="30:31">
      <c r="AD1379" s="31"/>
      <c r="AE1379" s="31"/>
    </row>
    <row r="1380" spans="30:31">
      <c r="AD1380" s="31"/>
      <c r="AE1380" s="31"/>
    </row>
    <row r="1381" spans="30:31">
      <c r="AD1381" s="31"/>
      <c r="AE1381" s="31"/>
    </row>
    <row r="1382" spans="30:31">
      <c r="AD1382" s="31"/>
      <c r="AE1382" s="31"/>
    </row>
    <row r="1383" spans="30:31">
      <c r="AD1383" s="31"/>
      <c r="AE1383" s="31"/>
    </row>
    <row r="1384" spans="30:31">
      <c r="AD1384" s="31"/>
      <c r="AE1384" s="31"/>
    </row>
    <row r="1385" spans="30:31">
      <c r="AD1385" s="31"/>
      <c r="AE1385" s="31"/>
    </row>
    <row r="1386" spans="30:31">
      <c r="AD1386" s="31"/>
      <c r="AE1386" s="31"/>
    </row>
    <row r="1387" spans="30:31">
      <c r="AD1387" s="31"/>
      <c r="AE1387" s="31"/>
    </row>
    <row r="1388" spans="30:31">
      <c r="AD1388" s="31"/>
      <c r="AE1388" s="31"/>
    </row>
    <row r="1389" spans="30:31">
      <c r="AD1389" s="31"/>
      <c r="AE1389" s="31"/>
    </row>
    <row r="1390" spans="30:31">
      <c r="AD1390" s="31"/>
      <c r="AE1390" s="31"/>
    </row>
    <row r="1391" spans="30:31">
      <c r="AD1391" s="31"/>
      <c r="AE1391" s="31"/>
    </row>
    <row r="1392" spans="30:31">
      <c r="AD1392" s="31"/>
      <c r="AE1392" s="31"/>
    </row>
    <row r="1393" spans="30:31">
      <c r="AD1393" s="31"/>
      <c r="AE1393" s="31"/>
    </row>
    <row r="1394" spans="30:31">
      <c r="AD1394" s="31"/>
      <c r="AE1394" s="31"/>
    </row>
    <row r="1395" spans="30:31">
      <c r="AD1395" s="31"/>
      <c r="AE1395" s="31"/>
    </row>
    <row r="1396" spans="30:31">
      <c r="AD1396" s="31"/>
      <c r="AE1396" s="31"/>
    </row>
    <row r="1397" spans="30:31">
      <c r="AD1397" s="31"/>
      <c r="AE1397" s="31"/>
    </row>
    <row r="1398" spans="30:31">
      <c r="AD1398" s="31"/>
      <c r="AE1398" s="31"/>
    </row>
    <row r="1399" spans="30:31">
      <c r="AD1399" s="31"/>
      <c r="AE1399" s="31"/>
    </row>
    <row r="1400" spans="30:31">
      <c r="AD1400" s="31"/>
      <c r="AE1400" s="31"/>
    </row>
    <row r="1401" spans="30:31">
      <c r="AD1401" s="31"/>
      <c r="AE1401" s="31"/>
    </row>
    <row r="1402" spans="30:31">
      <c r="AD1402" s="31"/>
      <c r="AE1402" s="31"/>
    </row>
    <row r="1403" spans="30:31">
      <c r="AD1403" s="31"/>
      <c r="AE1403" s="31"/>
    </row>
    <row r="1404" spans="30:31">
      <c r="AD1404" s="31"/>
      <c r="AE1404" s="31"/>
    </row>
    <row r="1405" spans="30:31">
      <c r="AD1405" s="31"/>
      <c r="AE1405" s="31"/>
    </row>
    <row r="1406" spans="30:31">
      <c r="AD1406" s="31"/>
      <c r="AE1406" s="31"/>
    </row>
    <row r="1407" spans="30:31">
      <c r="AD1407" s="31"/>
      <c r="AE1407" s="31"/>
    </row>
    <row r="1408" spans="30:31">
      <c r="AD1408" s="31"/>
      <c r="AE1408" s="31"/>
    </row>
    <row r="1409" spans="30:31">
      <c r="AD1409" s="31"/>
      <c r="AE1409" s="31"/>
    </row>
    <row r="1410" spans="30:31">
      <c r="AD1410" s="31"/>
      <c r="AE1410" s="31"/>
    </row>
    <row r="1411" spans="30:31">
      <c r="AD1411" s="31"/>
      <c r="AE1411" s="31"/>
    </row>
    <row r="1412" spans="30:31">
      <c r="AD1412" s="31"/>
      <c r="AE1412" s="31"/>
    </row>
    <row r="1413" spans="30:31">
      <c r="AD1413" s="31"/>
      <c r="AE1413" s="31"/>
    </row>
    <row r="1414" spans="30:31">
      <c r="AD1414" s="31"/>
      <c r="AE1414" s="31"/>
    </row>
    <row r="1415" spans="30:31">
      <c r="AD1415" s="31"/>
      <c r="AE1415" s="31"/>
    </row>
    <row r="1416" spans="30:31">
      <c r="AD1416" s="31"/>
      <c r="AE1416" s="31"/>
    </row>
    <row r="1417" spans="30:31">
      <c r="AD1417" s="31"/>
      <c r="AE1417" s="31"/>
    </row>
    <row r="1418" spans="30:31">
      <c r="AD1418" s="31"/>
      <c r="AE1418" s="31"/>
    </row>
    <row r="1419" spans="30:31">
      <c r="AD1419" s="31"/>
      <c r="AE1419" s="31"/>
    </row>
    <row r="1420" spans="30:31">
      <c r="AD1420" s="31"/>
      <c r="AE1420" s="31"/>
    </row>
    <row r="1421" spans="30:31">
      <c r="AD1421" s="31"/>
      <c r="AE1421" s="31"/>
    </row>
    <row r="1422" spans="30:31">
      <c r="AD1422" s="31"/>
      <c r="AE1422" s="31"/>
    </row>
    <row r="1423" spans="30:31">
      <c r="AD1423" s="31"/>
      <c r="AE1423" s="31"/>
    </row>
    <row r="1424" spans="30:31">
      <c r="AD1424" s="31"/>
      <c r="AE1424" s="31"/>
    </row>
    <row r="1425" spans="30:31">
      <c r="AD1425" s="31"/>
      <c r="AE1425" s="31"/>
    </row>
    <row r="1426" spans="30:31">
      <c r="AD1426" s="31"/>
      <c r="AE1426" s="31"/>
    </row>
    <row r="1427" spans="30:31">
      <c r="AD1427" s="31"/>
      <c r="AE1427" s="31"/>
    </row>
    <row r="1428" spans="30:31">
      <c r="AD1428" s="31"/>
      <c r="AE1428" s="31"/>
    </row>
    <row r="1429" spans="30:31">
      <c r="AD1429" s="31"/>
      <c r="AE1429" s="31"/>
    </row>
    <row r="1430" spans="30:31">
      <c r="AD1430" s="31"/>
      <c r="AE1430" s="31"/>
    </row>
    <row r="1431" spans="30:31">
      <c r="AD1431" s="31"/>
      <c r="AE1431" s="31"/>
    </row>
    <row r="1432" spans="30:31">
      <c r="AD1432" s="31"/>
      <c r="AE1432" s="31"/>
    </row>
    <row r="1433" spans="30:31">
      <c r="AD1433" s="31"/>
      <c r="AE1433" s="31"/>
    </row>
    <row r="1434" spans="30:31">
      <c r="AD1434" s="31"/>
      <c r="AE1434" s="31"/>
    </row>
    <row r="1435" spans="30:31">
      <c r="AD1435" s="31"/>
      <c r="AE1435" s="31"/>
    </row>
    <row r="1436" spans="30:31">
      <c r="AD1436" s="31"/>
      <c r="AE1436" s="31"/>
    </row>
    <row r="1437" spans="30:31">
      <c r="AD1437" s="31"/>
      <c r="AE1437" s="31"/>
    </row>
    <row r="1438" spans="30:31">
      <c r="AD1438" s="31"/>
      <c r="AE1438" s="31"/>
    </row>
    <row r="1439" spans="30:31">
      <c r="AD1439" s="31"/>
      <c r="AE1439" s="31"/>
    </row>
    <row r="1440" spans="30:31">
      <c r="AD1440" s="31"/>
      <c r="AE1440" s="31"/>
    </row>
    <row r="1441" spans="30:31">
      <c r="AD1441" s="31"/>
      <c r="AE1441" s="31"/>
    </row>
    <row r="1442" spans="30:31">
      <c r="AD1442" s="31"/>
      <c r="AE1442" s="31"/>
    </row>
    <row r="1443" spans="30:31">
      <c r="AD1443" s="31"/>
      <c r="AE1443" s="31"/>
    </row>
    <row r="1444" spans="30:31">
      <c r="AD1444" s="31"/>
      <c r="AE1444" s="31"/>
    </row>
    <row r="1445" spans="30:31">
      <c r="AD1445" s="31"/>
      <c r="AE1445" s="31"/>
    </row>
    <row r="1446" spans="30:31">
      <c r="AD1446" s="31"/>
      <c r="AE1446" s="31"/>
    </row>
    <row r="1447" spans="30:31">
      <c r="AD1447" s="31"/>
      <c r="AE1447" s="31"/>
    </row>
    <row r="1448" spans="30:31">
      <c r="AD1448" s="31"/>
      <c r="AE1448" s="31"/>
    </row>
    <row r="1449" spans="30:31">
      <c r="AD1449" s="31"/>
      <c r="AE1449" s="31"/>
    </row>
    <row r="1450" spans="30:31">
      <c r="AD1450" s="31"/>
      <c r="AE1450" s="31"/>
    </row>
    <row r="1451" spans="30:31">
      <c r="AD1451" s="31"/>
      <c r="AE1451" s="31"/>
    </row>
    <row r="1452" spans="30:31">
      <c r="AD1452" s="31"/>
      <c r="AE1452" s="31"/>
    </row>
    <row r="1453" spans="30:31">
      <c r="AD1453" s="31"/>
      <c r="AE1453" s="31"/>
    </row>
    <row r="1454" spans="30:31">
      <c r="AD1454" s="31"/>
      <c r="AE1454" s="31"/>
    </row>
    <row r="1455" spans="30:31">
      <c r="AD1455" s="31"/>
      <c r="AE1455" s="31"/>
    </row>
    <row r="1456" spans="30:31">
      <c r="AD1456" s="31"/>
      <c r="AE1456" s="31"/>
    </row>
    <row r="1457" spans="30:31">
      <c r="AD1457" s="31"/>
      <c r="AE1457" s="31"/>
    </row>
    <row r="1458" spans="30:31">
      <c r="AD1458" s="31"/>
      <c r="AE1458" s="31"/>
    </row>
    <row r="1459" spans="30:31">
      <c r="AD1459" s="31"/>
      <c r="AE1459" s="31"/>
    </row>
    <row r="1460" spans="30:31">
      <c r="AD1460" s="31"/>
      <c r="AE1460" s="31"/>
    </row>
    <row r="1461" spans="30:31">
      <c r="AD1461" s="31"/>
      <c r="AE1461" s="31"/>
    </row>
    <row r="1462" spans="30:31">
      <c r="AD1462" s="31"/>
      <c r="AE1462" s="31"/>
    </row>
    <row r="1463" spans="30:31">
      <c r="AD1463" s="31"/>
      <c r="AE1463" s="31"/>
    </row>
    <row r="1464" spans="30:31">
      <c r="AD1464" s="31"/>
      <c r="AE1464" s="31"/>
    </row>
    <row r="1465" spans="30:31">
      <c r="AD1465" s="31"/>
      <c r="AE1465" s="31"/>
    </row>
    <row r="1466" spans="30:31">
      <c r="AD1466" s="31"/>
      <c r="AE1466" s="31"/>
    </row>
    <row r="1467" spans="30:31">
      <c r="AD1467" s="31"/>
      <c r="AE1467" s="31"/>
    </row>
    <row r="1468" spans="30:31">
      <c r="AD1468" s="31"/>
      <c r="AE1468" s="31"/>
    </row>
    <row r="1469" spans="30:31">
      <c r="AD1469" s="31"/>
      <c r="AE1469" s="31"/>
    </row>
    <row r="1470" spans="30:31">
      <c r="AD1470" s="31"/>
      <c r="AE1470" s="31"/>
    </row>
    <row r="1471" spans="30:31">
      <c r="AD1471" s="31"/>
      <c r="AE1471" s="31"/>
    </row>
    <row r="1472" spans="30:31">
      <c r="AD1472" s="31"/>
      <c r="AE1472" s="31"/>
    </row>
    <row r="1473" spans="30:31">
      <c r="AD1473" s="31"/>
      <c r="AE1473" s="31"/>
    </row>
    <row r="1474" spans="30:31">
      <c r="AD1474" s="31"/>
      <c r="AE1474" s="31"/>
    </row>
    <row r="1475" spans="30:31">
      <c r="AD1475" s="31"/>
      <c r="AE1475" s="31"/>
    </row>
    <row r="1476" spans="30:31">
      <c r="AD1476" s="31"/>
      <c r="AE1476" s="31"/>
    </row>
    <row r="1477" spans="30:31">
      <c r="AD1477" s="31"/>
      <c r="AE1477" s="31"/>
    </row>
    <row r="1478" spans="30:31">
      <c r="AD1478" s="31"/>
      <c r="AE1478" s="31"/>
    </row>
    <row r="1479" spans="30:31">
      <c r="AD1479" s="31"/>
      <c r="AE1479" s="31"/>
    </row>
    <row r="1480" spans="30:31">
      <c r="AD1480" s="31"/>
      <c r="AE1480" s="31"/>
    </row>
    <row r="1481" spans="30:31">
      <c r="AD1481" s="31"/>
      <c r="AE1481" s="31"/>
    </row>
    <row r="1482" spans="30:31">
      <c r="AD1482" s="31"/>
      <c r="AE1482" s="31"/>
    </row>
    <row r="1483" spans="30:31">
      <c r="AD1483" s="31"/>
      <c r="AE1483" s="31"/>
    </row>
    <row r="1484" spans="30:31">
      <c r="AD1484" s="31"/>
      <c r="AE1484" s="31"/>
    </row>
    <row r="1485" spans="30:31">
      <c r="AD1485" s="31"/>
      <c r="AE1485" s="31"/>
    </row>
    <row r="1486" spans="30:31">
      <c r="AD1486" s="31"/>
      <c r="AE1486" s="31"/>
    </row>
    <row r="1487" spans="30:31">
      <c r="AD1487" s="31"/>
      <c r="AE1487" s="31"/>
    </row>
    <row r="1488" spans="30:31">
      <c r="AD1488" s="31"/>
      <c r="AE1488" s="31"/>
    </row>
    <row r="1489" spans="30:31">
      <c r="AD1489" s="31"/>
      <c r="AE1489" s="31"/>
    </row>
    <row r="1490" spans="30:31">
      <c r="AD1490" s="31"/>
      <c r="AE1490" s="31"/>
    </row>
    <row r="1491" spans="30:31">
      <c r="AD1491" s="31"/>
      <c r="AE1491" s="31"/>
    </row>
    <row r="1492" spans="30:31">
      <c r="AD1492" s="31"/>
      <c r="AE1492" s="31"/>
    </row>
    <row r="1493" spans="30:31">
      <c r="AD1493" s="31"/>
      <c r="AE1493" s="31"/>
    </row>
    <row r="1494" spans="30:31">
      <c r="AD1494" s="31"/>
      <c r="AE1494" s="31"/>
    </row>
    <row r="1495" spans="30:31">
      <c r="AD1495" s="31"/>
      <c r="AE1495" s="31"/>
    </row>
    <row r="1496" spans="30:31">
      <c r="AD1496" s="31"/>
      <c r="AE1496" s="31"/>
    </row>
    <row r="1497" spans="30:31">
      <c r="AD1497" s="31"/>
      <c r="AE1497" s="31"/>
    </row>
    <row r="1498" spans="30:31">
      <c r="AD1498" s="31"/>
      <c r="AE1498" s="31"/>
    </row>
    <row r="1499" spans="30:31">
      <c r="AD1499" s="31"/>
      <c r="AE1499" s="31"/>
    </row>
    <row r="1500" spans="30:31">
      <c r="AD1500" s="31"/>
      <c r="AE1500" s="31"/>
    </row>
    <row r="1501" spans="30:31">
      <c r="AD1501" s="31"/>
      <c r="AE1501" s="31"/>
    </row>
    <row r="1502" spans="30:31">
      <c r="AD1502" s="31"/>
      <c r="AE1502" s="31"/>
    </row>
    <row r="1503" spans="30:31">
      <c r="AD1503" s="31"/>
      <c r="AE1503" s="31"/>
    </row>
    <row r="1504" spans="30:31">
      <c r="AD1504" s="31"/>
      <c r="AE1504" s="31"/>
    </row>
    <row r="1505" spans="30:31">
      <c r="AD1505" s="31"/>
      <c r="AE1505" s="31"/>
    </row>
    <row r="1506" spans="30:31">
      <c r="AD1506" s="31"/>
      <c r="AE1506" s="31"/>
    </row>
    <row r="1507" spans="30:31">
      <c r="AD1507" s="31"/>
      <c r="AE1507" s="31"/>
    </row>
    <row r="1508" spans="30:31">
      <c r="AD1508" s="31"/>
      <c r="AE1508" s="31"/>
    </row>
    <row r="1509" spans="30:31">
      <c r="AD1509" s="31"/>
      <c r="AE1509" s="31"/>
    </row>
    <row r="1510" spans="30:31">
      <c r="AD1510" s="31"/>
      <c r="AE1510" s="31"/>
    </row>
    <row r="1511" spans="30:31">
      <c r="AD1511" s="31"/>
      <c r="AE1511" s="31"/>
    </row>
    <row r="1512" spans="30:31">
      <c r="AD1512" s="31"/>
      <c r="AE1512" s="31"/>
    </row>
    <row r="1513" spans="30:31">
      <c r="AD1513" s="31"/>
      <c r="AE1513" s="31"/>
    </row>
    <row r="1514" spans="30:31">
      <c r="AD1514" s="31"/>
      <c r="AE1514" s="31"/>
    </row>
    <row r="1515" spans="30:31">
      <c r="AD1515" s="31"/>
      <c r="AE1515" s="31"/>
    </row>
    <row r="1516" spans="30:31">
      <c r="AD1516" s="31"/>
      <c r="AE1516" s="31"/>
    </row>
    <row r="1517" spans="30:31">
      <c r="AD1517" s="31"/>
      <c r="AE1517" s="31"/>
    </row>
    <row r="1518" spans="30:31">
      <c r="AD1518" s="31"/>
      <c r="AE1518" s="31"/>
    </row>
    <row r="1519" spans="30:31">
      <c r="AD1519" s="31"/>
      <c r="AE1519" s="31"/>
    </row>
    <row r="1520" spans="30:31">
      <c r="AD1520" s="31"/>
      <c r="AE1520" s="31"/>
    </row>
    <row r="1521" spans="30:31">
      <c r="AD1521" s="31"/>
      <c r="AE1521" s="31"/>
    </row>
    <row r="1522" spans="30:31">
      <c r="AD1522" s="31"/>
      <c r="AE1522" s="31"/>
    </row>
    <row r="1523" spans="30:31">
      <c r="AD1523" s="31"/>
      <c r="AE1523" s="31"/>
    </row>
    <row r="1524" spans="30:31">
      <c r="AD1524" s="31"/>
      <c r="AE1524" s="31"/>
    </row>
    <row r="1525" spans="30:31">
      <c r="AD1525" s="31"/>
      <c r="AE1525" s="31"/>
    </row>
    <row r="1526" spans="30:31">
      <c r="AD1526" s="31"/>
      <c r="AE1526" s="31"/>
    </row>
    <row r="1527" spans="30:31">
      <c r="AD1527" s="31"/>
      <c r="AE1527" s="31"/>
    </row>
    <row r="1528" spans="30:31">
      <c r="AD1528" s="31"/>
      <c r="AE1528" s="31"/>
    </row>
    <row r="1529" spans="30:31">
      <c r="AD1529" s="31"/>
      <c r="AE1529" s="31"/>
    </row>
    <row r="1530" spans="30:31">
      <c r="AD1530" s="31"/>
      <c r="AE1530" s="31"/>
    </row>
    <row r="1531" spans="30:31">
      <c r="AD1531" s="31"/>
      <c r="AE1531" s="31"/>
    </row>
    <row r="1532" spans="30:31">
      <c r="AD1532" s="31"/>
      <c r="AE1532" s="31"/>
    </row>
    <row r="1533" spans="30:31">
      <c r="AD1533" s="31"/>
      <c r="AE1533" s="31"/>
    </row>
    <row r="1534" spans="30:31">
      <c r="AD1534" s="31"/>
      <c r="AE1534" s="31"/>
    </row>
    <row r="1535" spans="30:31">
      <c r="AD1535" s="31"/>
      <c r="AE1535" s="31"/>
    </row>
    <row r="1536" spans="30:31">
      <c r="AD1536" s="31"/>
      <c r="AE1536" s="31"/>
    </row>
    <row r="1537" spans="30:31">
      <c r="AD1537" s="31"/>
      <c r="AE1537" s="31"/>
    </row>
    <row r="1538" spans="30:31">
      <c r="AD1538" s="31"/>
      <c r="AE1538" s="31"/>
    </row>
    <row r="1539" spans="30:31">
      <c r="AD1539" s="31"/>
      <c r="AE1539" s="31"/>
    </row>
    <row r="1540" spans="30:31">
      <c r="AD1540" s="31"/>
      <c r="AE1540" s="31"/>
    </row>
    <row r="1541" spans="30:31">
      <c r="AD1541" s="31"/>
      <c r="AE1541" s="31"/>
    </row>
    <row r="1542" spans="30:31">
      <c r="AD1542" s="31"/>
      <c r="AE1542" s="31"/>
    </row>
    <row r="1543" spans="30:31">
      <c r="AD1543" s="31"/>
      <c r="AE1543" s="31"/>
    </row>
    <row r="1544" spans="30:31">
      <c r="AD1544" s="31"/>
      <c r="AE1544" s="31"/>
    </row>
    <row r="1545" spans="30:31">
      <c r="AD1545" s="31"/>
      <c r="AE1545" s="31"/>
    </row>
    <row r="1546" spans="30:31">
      <c r="AD1546" s="31"/>
      <c r="AE1546" s="31"/>
    </row>
    <row r="1547" spans="30:31">
      <c r="AD1547" s="31"/>
      <c r="AE1547" s="31"/>
    </row>
    <row r="1548" spans="30:31">
      <c r="AD1548" s="31"/>
      <c r="AE1548" s="31"/>
    </row>
    <row r="1549" spans="30:31">
      <c r="AD1549" s="31"/>
      <c r="AE1549" s="31"/>
    </row>
    <row r="1550" spans="30:31">
      <c r="AD1550" s="31"/>
      <c r="AE1550" s="31"/>
    </row>
    <row r="1551" spans="30:31">
      <c r="AD1551" s="31"/>
      <c r="AE1551" s="31"/>
    </row>
    <row r="1552" spans="30:31">
      <c r="AD1552" s="31"/>
      <c r="AE1552" s="31"/>
    </row>
    <row r="1553" spans="30:31">
      <c r="AD1553" s="31"/>
      <c r="AE1553" s="31"/>
    </row>
    <row r="1554" spans="30:31">
      <c r="AD1554" s="31"/>
      <c r="AE1554" s="31"/>
    </row>
    <row r="1555" spans="30:31">
      <c r="AD1555" s="31"/>
      <c r="AE1555" s="31"/>
    </row>
    <row r="1556" spans="30:31">
      <c r="AD1556" s="31"/>
      <c r="AE1556" s="31"/>
    </row>
    <row r="1557" spans="30:31">
      <c r="AD1557" s="31"/>
      <c r="AE1557" s="31"/>
    </row>
    <row r="1558" spans="30:31">
      <c r="AD1558" s="31"/>
      <c r="AE1558" s="31"/>
    </row>
    <row r="1559" spans="30:31">
      <c r="AD1559" s="31"/>
      <c r="AE1559" s="31"/>
    </row>
    <row r="1560" spans="30:31">
      <c r="AD1560" s="31"/>
      <c r="AE1560" s="31"/>
    </row>
    <row r="1561" spans="30:31">
      <c r="AD1561" s="31"/>
      <c r="AE1561" s="31"/>
    </row>
    <row r="1562" spans="30:31">
      <c r="AD1562" s="31"/>
      <c r="AE1562" s="31"/>
    </row>
    <row r="1563" spans="30:31">
      <c r="AD1563" s="31"/>
    </row>
    <row r="1564" spans="30:31">
      <c r="AD1564" s="31"/>
    </row>
    <row r="1565" spans="30:31">
      <c r="AD1565" s="31"/>
    </row>
    <row r="1566" spans="30:31">
      <c r="AD1566" s="31"/>
    </row>
    <row r="1567" spans="30:31">
      <c r="AD1567" s="31"/>
    </row>
    <row r="1568" spans="30:31">
      <c r="AD1568" s="31"/>
    </row>
    <row r="1569" spans="30:30">
      <c r="AD1569" s="31"/>
    </row>
    <row r="1570" spans="30:30">
      <c r="AD1570" s="31"/>
    </row>
    <row r="1571" spans="30:30">
      <c r="AD1571" s="31"/>
    </row>
    <row r="1572" spans="30:30">
      <c r="AD1572" s="31"/>
    </row>
    <row r="1573" spans="30:30">
      <c r="AD1573" s="31"/>
    </row>
    <row r="1574" spans="30:30">
      <c r="AD1574" s="31"/>
    </row>
    <row r="1575" spans="30:30">
      <c r="AD1575" s="31"/>
    </row>
    <row r="1576" spans="30:30">
      <c r="AD1576" s="31"/>
    </row>
    <row r="1577" spans="30:30">
      <c r="AD1577" s="31"/>
    </row>
    <row r="1578" spans="30:30">
      <c r="AD1578" s="31"/>
    </row>
    <row r="1579" spans="30:30">
      <c r="AD1579" s="31"/>
    </row>
    <row r="1580" spans="30:30">
      <c r="AD1580" s="31"/>
    </row>
    <row r="1581" spans="30:30">
      <c r="AD1581" s="31"/>
    </row>
    <row r="1582" spans="30:30">
      <c r="AD1582" s="31"/>
    </row>
    <row r="1583" spans="30:30">
      <c r="AD1583" s="31"/>
    </row>
    <row r="1584" spans="30:30">
      <c r="AD1584" s="31"/>
    </row>
    <row r="1585" spans="30:30">
      <c r="AD1585" s="31"/>
    </row>
    <row r="1586" spans="30:30">
      <c r="AD1586" s="31"/>
    </row>
    <row r="1587" spans="30:30">
      <c r="AD1587" s="31"/>
    </row>
    <row r="1588" spans="30:30">
      <c r="AD1588" s="31"/>
    </row>
    <row r="1589" spans="30:30">
      <c r="AD1589" s="31"/>
    </row>
    <row r="1590" spans="30:30">
      <c r="AD1590" s="31"/>
    </row>
    <row r="1591" spans="30:30">
      <c r="AD1591" s="31"/>
    </row>
    <row r="1592" spans="30:30">
      <c r="AD1592" s="31"/>
    </row>
    <row r="1593" spans="30:30">
      <c r="AD1593" s="31"/>
    </row>
    <row r="1594" spans="30:30">
      <c r="AD1594" s="31"/>
    </row>
    <row r="1595" spans="30:30">
      <c r="AD1595" s="31"/>
    </row>
    <row r="1596" spans="30:30">
      <c r="AD1596" s="31"/>
    </row>
    <row r="1597" spans="30:30">
      <c r="AD1597" s="31"/>
    </row>
    <row r="1598" spans="30:30">
      <c r="AD1598" s="31"/>
    </row>
    <row r="1599" spans="30:30">
      <c r="AD1599" s="31"/>
    </row>
    <row r="1600" spans="30:30">
      <c r="AD1600" s="31"/>
    </row>
    <row r="1601" spans="30:30">
      <c r="AD1601" s="31"/>
    </row>
    <row r="1602" spans="30:30">
      <c r="AD1602" s="31"/>
    </row>
    <row r="1603" spans="30:30">
      <c r="AD1603" s="31"/>
    </row>
    <row r="1604" spans="30:30">
      <c r="AD1604" s="31"/>
    </row>
    <row r="1605" spans="30:30">
      <c r="AD1605" s="31"/>
    </row>
    <row r="1606" spans="30:30">
      <c r="AD1606" s="31"/>
    </row>
    <row r="1607" spans="30:30">
      <c r="AD1607" s="31"/>
    </row>
    <row r="1608" spans="30:30">
      <c r="AD1608" s="31"/>
    </row>
    <row r="1609" spans="30:30">
      <c r="AD1609" s="31"/>
    </row>
    <row r="1610" spans="30:30">
      <c r="AD1610" s="31"/>
    </row>
    <row r="1611" spans="30:30">
      <c r="AD1611" s="31"/>
    </row>
    <row r="1612" spans="30:30">
      <c r="AD1612" s="31"/>
    </row>
    <row r="1613" spans="30:30">
      <c r="AD1613" s="31"/>
    </row>
    <row r="1614" spans="30:30">
      <c r="AD1614" s="31"/>
    </row>
    <row r="1615" spans="30:30">
      <c r="AD1615" s="31"/>
    </row>
    <row r="1616" spans="30:30">
      <c r="AD1616" s="31"/>
    </row>
    <row r="1617" spans="30:30">
      <c r="AD1617" s="31"/>
    </row>
    <row r="1618" spans="30:30">
      <c r="AD1618" s="31"/>
    </row>
    <row r="1619" spans="30:30">
      <c r="AD1619" s="31"/>
    </row>
    <row r="1620" spans="30:30">
      <c r="AD1620" s="31"/>
    </row>
    <row r="1621" spans="30:30">
      <c r="AD1621" s="31"/>
    </row>
    <row r="1622" spans="30:30">
      <c r="AD1622" s="31"/>
    </row>
    <row r="1623" spans="30:30">
      <c r="AD1623" s="31"/>
    </row>
    <row r="1624" spans="30:30">
      <c r="AD1624" s="31"/>
    </row>
    <row r="1625" spans="30:30">
      <c r="AD1625" s="31"/>
    </row>
    <row r="1626" spans="30:30">
      <c r="AD1626" s="31"/>
    </row>
    <row r="1627" spans="30:30">
      <c r="AD1627" s="31"/>
    </row>
    <row r="1628" spans="30:30">
      <c r="AD1628" s="31"/>
    </row>
    <row r="1629" spans="30:30">
      <c r="AD1629" s="31"/>
    </row>
    <row r="1630" spans="30:30">
      <c r="AD1630" s="31"/>
    </row>
    <row r="1631" spans="30:30">
      <c r="AD1631" s="31"/>
    </row>
    <row r="1632" spans="30:30">
      <c r="AD1632" s="31"/>
    </row>
    <row r="1633" spans="30:30">
      <c r="AD1633" s="31"/>
    </row>
    <row r="1634" spans="30:30">
      <c r="AD1634" s="31"/>
    </row>
    <row r="1635" spans="30:30">
      <c r="AD1635" s="31"/>
    </row>
    <row r="1636" spans="30:30">
      <c r="AD1636" s="31"/>
    </row>
    <row r="1637" spans="30:30">
      <c r="AD1637" s="31"/>
    </row>
    <row r="1638" spans="30:30">
      <c r="AD1638" s="31"/>
    </row>
    <row r="1639" spans="30:30">
      <c r="AD1639" s="31"/>
    </row>
    <row r="1640" spans="30:30">
      <c r="AD1640" s="31"/>
    </row>
    <row r="1641" spans="30:30">
      <c r="AD1641" s="31"/>
    </row>
    <row r="1642" spans="30:30">
      <c r="AD1642" s="31"/>
    </row>
    <row r="1643" spans="30:30">
      <c r="AD1643" s="31"/>
    </row>
    <row r="1644" spans="30:30">
      <c r="AD1644" s="31"/>
    </row>
    <row r="1645" spans="30:30">
      <c r="AD1645" s="31"/>
    </row>
    <row r="1646" spans="30:30">
      <c r="AD1646" s="31"/>
    </row>
    <row r="1647" spans="30:30">
      <c r="AD1647" s="31"/>
    </row>
    <row r="1648" spans="30:30">
      <c r="AD1648" s="31"/>
    </row>
    <row r="1649" spans="30:30">
      <c r="AD1649" s="31"/>
    </row>
    <row r="1650" spans="30:30">
      <c r="AD1650" s="31"/>
    </row>
    <row r="1651" spans="30:30">
      <c r="AD1651" s="31"/>
    </row>
    <row r="1652" spans="30:30">
      <c r="AD1652" s="31"/>
    </row>
    <row r="1653" spans="30:30">
      <c r="AD1653" s="31"/>
    </row>
    <row r="1654" spans="30:30">
      <c r="AD1654" s="31"/>
    </row>
    <row r="1655" spans="30:30">
      <c r="AD1655" s="31"/>
    </row>
    <row r="1656" spans="30:30">
      <c r="AD1656" s="31"/>
    </row>
    <row r="1657" spans="30:30">
      <c r="AD1657" s="31"/>
    </row>
    <row r="1658" spans="30:30">
      <c r="AD1658" s="31"/>
    </row>
    <row r="1659" spans="30:30">
      <c r="AD1659" s="31"/>
    </row>
    <row r="1660" spans="30:30">
      <c r="AD1660" s="31"/>
    </row>
    <row r="1661" spans="30:30">
      <c r="AD1661" s="31"/>
    </row>
    <row r="1662" spans="30:30">
      <c r="AD1662" s="31"/>
    </row>
    <row r="1663" spans="30:30">
      <c r="AD1663" s="31"/>
    </row>
    <row r="1664" spans="30:30">
      <c r="AD1664" s="31"/>
    </row>
    <row r="1665" spans="30:30">
      <c r="AD1665" s="31"/>
    </row>
    <row r="1666" spans="30:30">
      <c r="AD1666" s="31"/>
    </row>
    <row r="1667" spans="30:30">
      <c r="AD1667" s="31"/>
    </row>
    <row r="1668" spans="30:30">
      <c r="AD1668" s="31"/>
    </row>
    <row r="1669" spans="30:30">
      <c r="AD1669" s="31"/>
    </row>
    <row r="1670" spans="30:30">
      <c r="AD1670" s="31"/>
    </row>
    <row r="1671" spans="30:30">
      <c r="AD1671" s="31"/>
    </row>
    <row r="1672" spans="30:30">
      <c r="AD1672" s="31"/>
    </row>
    <row r="1673" spans="30:30">
      <c r="AD1673" s="31"/>
    </row>
    <row r="1674" spans="30:30">
      <c r="AD1674" s="31"/>
    </row>
    <row r="1675" spans="30:30">
      <c r="AD1675" s="31"/>
    </row>
    <row r="1676" spans="30:30">
      <c r="AD1676" s="31"/>
    </row>
    <row r="1677" spans="30:30">
      <c r="AD1677" s="31"/>
    </row>
    <row r="1678" spans="30:30">
      <c r="AD1678" s="31"/>
    </row>
    <row r="1679" spans="30:30">
      <c r="AD1679" s="31"/>
    </row>
    <row r="1680" spans="30:30">
      <c r="AD1680" s="31"/>
    </row>
    <row r="1681" spans="30:30">
      <c r="AD1681" s="31"/>
    </row>
    <row r="1682" spans="30:30">
      <c r="AD1682" s="31"/>
    </row>
    <row r="1683" spans="30:30">
      <c r="AD1683" s="31"/>
    </row>
    <row r="1684" spans="30:30">
      <c r="AD1684" s="31"/>
    </row>
    <row r="1685" spans="30:30">
      <c r="AD1685" s="31"/>
    </row>
    <row r="1686" spans="30:30">
      <c r="AD1686" s="31"/>
    </row>
    <row r="1687" spans="30:30">
      <c r="AD1687" s="31"/>
    </row>
    <row r="1688" spans="30:30">
      <c r="AD1688" s="31"/>
    </row>
    <row r="1689" spans="30:30">
      <c r="AD1689" s="31"/>
    </row>
    <row r="1690" spans="30:30">
      <c r="AD1690" s="31"/>
    </row>
    <row r="1691" spans="30:30">
      <c r="AD1691" s="31"/>
    </row>
    <row r="1692" spans="30:30">
      <c r="AD1692" s="31"/>
    </row>
    <row r="1693" spans="30:30">
      <c r="AD1693" s="31"/>
    </row>
    <row r="1694" spans="30:30">
      <c r="AD1694" s="31"/>
    </row>
    <row r="1695" spans="30:30">
      <c r="AD1695" s="31"/>
    </row>
    <row r="1696" spans="30:30">
      <c r="AD1696" s="31"/>
    </row>
    <row r="1697" spans="30:30">
      <c r="AD1697" s="31"/>
    </row>
    <row r="1698" spans="30:30">
      <c r="AD1698" s="31"/>
    </row>
    <row r="1699" spans="30:30">
      <c r="AD1699" s="31"/>
    </row>
    <row r="1700" spans="30:30">
      <c r="AD1700" s="31"/>
    </row>
    <row r="1701" spans="30:30">
      <c r="AD1701" s="31"/>
    </row>
    <row r="1702" spans="30:30">
      <c r="AD1702" s="31"/>
    </row>
    <row r="1703" spans="30:30">
      <c r="AD1703" s="31"/>
    </row>
    <row r="1704" spans="30:30">
      <c r="AD1704" s="31"/>
    </row>
  </sheetData>
  <sheetProtection algorithmName="SHA-512" hashValue="dVW+euawBD87duN3EHEtHdyn+eCpm9cS+Q5qw0ktm6g7r1cVjlBCMTwFW8gX6JenUkV+i3Kn7FhPZkyELVB1WQ==" saltValue="a2mZmljdzFBhK5chv/x6gg==" spinCount="100000" sheet="1"/>
  <dataConsolidate/>
  <mergeCells count="38">
    <mergeCell ref="AK67:AM67"/>
    <mergeCell ref="AK112:AM112"/>
    <mergeCell ref="J72:K72"/>
    <mergeCell ref="J80:K80"/>
    <mergeCell ref="J81:K81"/>
    <mergeCell ref="J82:K82"/>
    <mergeCell ref="J83:K83"/>
    <mergeCell ref="L97:N97"/>
    <mergeCell ref="J97:K97"/>
    <mergeCell ref="C3:T3"/>
    <mergeCell ref="C5:T5"/>
    <mergeCell ref="L96:N96"/>
    <mergeCell ref="M48:O48"/>
    <mergeCell ref="L98:N98"/>
    <mergeCell ref="J98:K98"/>
    <mergeCell ref="J84:K84"/>
    <mergeCell ref="J85:K85"/>
    <mergeCell ref="J96:K96"/>
    <mergeCell ref="J88:K88"/>
    <mergeCell ref="J32:K32"/>
    <mergeCell ref="J33:K33"/>
    <mergeCell ref="J34:K34"/>
    <mergeCell ref="C145:S145"/>
    <mergeCell ref="C135:N135"/>
    <mergeCell ref="J57:K57"/>
    <mergeCell ref="J48:L48"/>
    <mergeCell ref="J17:K17"/>
    <mergeCell ref="J26:K26"/>
    <mergeCell ref="J27:K27"/>
    <mergeCell ref="J28:K28"/>
    <mergeCell ref="J29:K29"/>
    <mergeCell ref="J30:K30"/>
    <mergeCell ref="J39:L39"/>
    <mergeCell ref="L99:N99"/>
    <mergeCell ref="G131:H131"/>
    <mergeCell ref="J99:K99"/>
    <mergeCell ref="J103:K103"/>
    <mergeCell ref="J31:K31"/>
  </mergeCells>
  <conditionalFormatting sqref="AO26">
    <cfRule type="expression" dxfId="192" priority="1457">
      <formula>$Y$50=0</formula>
    </cfRule>
  </conditionalFormatting>
  <conditionalFormatting sqref="AL26">
    <cfRule type="expression" dxfId="191" priority="1456">
      <formula>$Y$50=0</formula>
    </cfRule>
  </conditionalFormatting>
  <conditionalFormatting sqref="AN26">
    <cfRule type="expression" dxfId="190" priority="1455">
      <formula>$Y$50=0</formula>
    </cfRule>
  </conditionalFormatting>
  <conditionalFormatting sqref="D123">
    <cfRule type="expression" dxfId="189" priority="1454">
      <formula>$D$11&lt;&gt;""</formula>
    </cfRule>
  </conditionalFormatting>
  <conditionalFormatting sqref="D118">
    <cfRule type="expression" dxfId="188" priority="1453">
      <formula>D11&lt;&gt;""</formula>
    </cfRule>
  </conditionalFormatting>
  <conditionalFormatting sqref="G123:H123 Q123 S123">
    <cfRule type="expression" dxfId="187" priority="1452">
      <formula>$D$11&lt;&gt;""</formula>
    </cfRule>
  </conditionalFormatting>
  <conditionalFormatting sqref="Q118 S118">
    <cfRule type="expression" dxfId="186" priority="1451">
      <formula>$D$11&lt;&gt;""</formula>
    </cfRule>
  </conditionalFormatting>
  <conditionalFormatting sqref="L26:M26">
    <cfRule type="expression" dxfId="185" priority="1440">
      <formula>$J26="Year to Date"</formula>
    </cfRule>
  </conditionalFormatting>
  <conditionalFormatting sqref="D26">
    <cfRule type="expression" dxfId="184" priority="1434">
      <formula>AND(D26&lt;&gt;$D$10,D26&lt;&gt;$D$11,D26&lt;&gt;"")</formula>
    </cfRule>
    <cfRule type="expression" dxfId="183" priority="1435">
      <formula>AND($D26="",CONCATENATE($G$26,$G$27,$G$28,$G$29,$G$30)&lt;&gt;"")</formula>
    </cfRule>
  </conditionalFormatting>
  <conditionalFormatting sqref="D28">
    <cfRule type="expression" dxfId="182" priority="1433">
      <formula>AND(ISBLANK(D28),NOT(ISBLANK(D26)))</formula>
    </cfRule>
  </conditionalFormatting>
  <conditionalFormatting sqref="F123">
    <cfRule type="expression" dxfId="181" priority="1423">
      <formula>$D$11&lt;&gt;""</formula>
    </cfRule>
  </conditionalFormatting>
  <conditionalFormatting sqref="G10">
    <cfRule type="expression" dxfId="180" priority="1408">
      <formula>$D$11&lt;&gt;""</formula>
    </cfRule>
    <cfRule type="expression" dxfId="179" priority="1409">
      <formula>AND($D$10&lt;&gt;"",$D$11="",$G$10="")</formula>
    </cfRule>
    <cfRule type="expression" dxfId="178" priority="1410">
      <formula>$D$11=""</formula>
    </cfRule>
  </conditionalFormatting>
  <conditionalFormatting sqref="D48:E48">
    <cfRule type="expression" dxfId="177" priority="1222">
      <formula>AND(D48="",$G48&lt;&gt;"")</formula>
    </cfRule>
  </conditionalFormatting>
  <conditionalFormatting sqref="I48">
    <cfRule type="expression" dxfId="176" priority="1219">
      <formula>AND(E48="Overseas",AND(F48&lt;&gt;"Interest",F48&lt;&gt;"Dividends",F48&lt;&gt;"Rent (Resi)"))</formula>
    </cfRule>
    <cfRule type="expression" dxfId="175" priority="1220">
      <formula>AND(OR(F48="Interest",F48="Dividends",F48="Rent (Resi)"),I48="")</formula>
    </cfRule>
  </conditionalFormatting>
  <conditionalFormatting sqref="G112 G67">
    <cfRule type="expression" dxfId="174" priority="1214">
      <formula>AND(G67&lt;&gt;"",F67=TRUE,AK67="")</formula>
    </cfRule>
    <cfRule type="expression" dxfId="173" priority="1215">
      <formula>G67="Multiple/Other Securities"</formula>
    </cfRule>
  </conditionalFormatting>
  <conditionalFormatting sqref="I112">
    <cfRule type="expression" dxfId="172" priority="2760">
      <formula>AND(OR(H112="Var IO",H112="S+ IO"),I112="")</formula>
    </cfRule>
    <cfRule type="expression" dxfId="171" priority="2761">
      <formula>I112&gt;10</formula>
    </cfRule>
    <cfRule type="expression" dxfId="170" priority="2762">
      <formula>AND(LEFT($H112,3)="Fix",$I112="")</formula>
    </cfRule>
  </conditionalFormatting>
  <conditionalFormatting sqref="J48">
    <cfRule type="expression" dxfId="169" priority="1009">
      <formula>AND(F48="Rent (Resi)",J48="")</formula>
    </cfRule>
  </conditionalFormatting>
  <conditionalFormatting sqref="M67">
    <cfRule type="expression" dxfId="168" priority="239">
      <formula>IF(AND(VLOOKUP(G67,$X$10:$Z$11,3,FALSE)=0,D67="HECS/HELP"),TRUE,FALSE)</formula>
    </cfRule>
  </conditionalFormatting>
  <conditionalFormatting sqref="L27:M27">
    <cfRule type="expression" dxfId="167" priority="4394">
      <formula>AND($J27="Year to Date",$D28="SE - Company Wages")</formula>
    </cfRule>
  </conditionalFormatting>
  <conditionalFormatting sqref="L27:M27">
    <cfRule type="expression" dxfId="166" priority="4395">
      <formula>AND($M26&lt;&gt;"",L27="",$D28="SE - Company Wages",$J27="Year to Date",$X26&lt;182)</formula>
    </cfRule>
  </conditionalFormatting>
  <conditionalFormatting sqref="D29">
    <cfRule type="expression" dxfId="165" priority="4398">
      <formula>OR(LEFT($D28,2)="SE",$D$28="LoDoc")</formula>
    </cfRule>
  </conditionalFormatting>
  <conditionalFormatting sqref="F35">
    <cfRule type="expression" dxfId="164" priority="190">
      <formula>LEFT(F35,5)="Error"</formula>
    </cfRule>
  </conditionalFormatting>
  <conditionalFormatting sqref="G27">
    <cfRule type="expression" dxfId="163" priority="189">
      <formula>AND($M26&lt;&gt;"",G27="",$D28="SE - Company Wages",$J27="Year to Date",$X26&lt;182)</formula>
    </cfRule>
  </conditionalFormatting>
  <conditionalFormatting sqref="G27">
    <cfRule type="expression" dxfId="162" priority="188">
      <formula>AND(D28="SE - Company",AND(G27&gt;0,G31&gt;0))</formula>
    </cfRule>
  </conditionalFormatting>
  <conditionalFormatting sqref="G31">
    <cfRule type="expression" dxfId="161" priority="187">
      <formula>AND(D28="SE - Company",AND(G27&gt;0,G31&gt;0))</formula>
    </cfRule>
  </conditionalFormatting>
  <conditionalFormatting sqref="E30:E34">
    <cfRule type="expression" dxfId="160" priority="185">
      <formula>AND(E30="Select Type",G30&lt;&gt;"")</formula>
    </cfRule>
    <cfRule type="expression" dxfId="159" priority="186">
      <formula>E30="Select Type"</formula>
    </cfRule>
  </conditionalFormatting>
  <conditionalFormatting sqref="D30">
    <cfRule type="expression" dxfId="158" priority="183">
      <formula>OR(LEFT($D28,2)="SE",$D28="LoDoc")</formula>
    </cfRule>
    <cfRule type="expression" dxfId="157" priority="184">
      <formula>AND(LEFT(D28,2)="SE",OR(D30&lt;0,D30&gt;1,D30=""))</formula>
    </cfRule>
  </conditionalFormatting>
  <conditionalFormatting sqref="N26">
    <cfRule type="expression" dxfId="156" priority="29">
      <formula>LEFT(D28,2)="SE"</formula>
    </cfRule>
  </conditionalFormatting>
  <conditionalFormatting sqref="K67">
    <cfRule type="expression" dxfId="155" priority="7">
      <formula>J67*12+K67&gt;360</formula>
    </cfRule>
  </conditionalFormatting>
  <conditionalFormatting sqref="J67">
    <cfRule type="expression" dxfId="154" priority="6">
      <formula>J67&gt;30</formula>
    </cfRule>
  </conditionalFormatting>
  <conditionalFormatting sqref="J112">
    <cfRule type="expression" dxfId="153" priority="4">
      <formula>J112&gt;30</formula>
    </cfRule>
  </conditionalFormatting>
  <conditionalFormatting sqref="J112:K112">
    <cfRule type="expression" dxfId="152" priority="5">
      <formula>AND($H112&lt;&gt;"",$H112&lt;&gt;"Bridging",$J112="",$K112="")</formula>
    </cfRule>
  </conditionalFormatting>
  <conditionalFormatting sqref="K112">
    <cfRule type="expression" dxfId="151" priority="3">
      <formula>J112*12+K112&gt;360</formula>
    </cfRule>
  </conditionalFormatting>
  <conditionalFormatting sqref="H26">
    <cfRule type="expression" dxfId="150" priority="2">
      <formula>AND($D26&lt;&gt;"",$G26&lt;&gt;"",$H26="",LEFT($D28,2)&lt;&gt;"SE")</formula>
    </cfRule>
  </conditionalFormatting>
  <conditionalFormatting sqref="J26:K26">
    <cfRule type="expression" dxfId="149" priority="1">
      <formula>AND($D26&lt;&gt;"",$H26&lt;&gt;"",$J26="",LEFT($D28,2)&lt;&gt;"SE")</formula>
    </cfRule>
  </conditionalFormatting>
  <dataValidations count="18">
    <dataValidation type="list" allowBlank="1" showInputMessage="1" showErrorMessage="1" sqref="F96:F100 F80:F85 J96:J99 J80:J85 H48 N67" xr:uid="{C8B1828C-B53F-4A48-B829-27DDBAAAD6BE}">
      <formula1>"Weekly, Fortnightly, Four Weekly, Monthly, Quarterly, Bi Annually, Annually"</formula1>
    </dataValidation>
    <dataValidation type="list" allowBlank="1" showInputMessage="1" showErrorMessage="1" sqref="D26" xr:uid="{FAC63174-A23F-464F-8766-8AA6A3029DCA}">
      <formula1>$X$10:$X$11</formula1>
    </dataValidation>
    <dataValidation type="list" allowBlank="1" showInputMessage="1" showErrorMessage="1" sqref="K68 H49" xr:uid="{CEE49D33-2AC1-4B6D-9EAC-4E037CF0857C}">
      <formula1>"Weekly, Fortnightly, Monthly, Annually"</formula1>
    </dataValidation>
    <dataValidation type="list" allowBlank="1" showInputMessage="1" showErrorMessage="1" sqref="F27:F29 E112:E113 G68 F112 F36 M29 E67:E68 F67 I26:I35 I36:J36 J35" xr:uid="{97838892-0461-4D34-BF88-293C6260B3ED}">
      <formula1>"TRUE,FALSE"</formula1>
    </dataValidation>
    <dataValidation type="list" allowBlank="1" showInputMessage="1" showErrorMessage="1" sqref="F68 D49" xr:uid="{9CFDD645-B965-4395-B10D-46A8583C3107}">
      <formula1>$W$10:$W$12</formula1>
    </dataValidation>
    <dataValidation type="list" allowBlank="1" showInputMessage="1" showErrorMessage="1" sqref="H26:H29 H35:H36" xr:uid="{5D360B5F-3991-4C09-AC3C-647DE2B5FF4C}">
      <formula1>"After Tax, Before Tax"</formula1>
    </dataValidation>
    <dataValidation type="list" allowBlank="1" showInputMessage="1" showErrorMessage="1" sqref="F113" xr:uid="{A4529008-C1D1-4542-9149-32AC2EC910E2}">
      <formula1>"Principal and Interest,Interest Only,Interest in Advance, Line of Credit"</formula1>
    </dataValidation>
    <dataValidation type="list" allowBlank="1" showInputMessage="1" showErrorMessage="1" sqref="G113" xr:uid="{5696D07B-DDF6-42BF-979B-AAED2FB68819}">
      <formula1>"Variable堀폵_x001F_,ᬀ,Ԁက,,＀?切_xFFFF_ÿ,,ty PLUS"</formula1>
    </dataValidation>
    <dataValidation type="list" allowBlank="1" showInputMessage="1" showErrorMessage="1" sqref="J26:J34" xr:uid="{32D88A0B-4A97-49FF-BECD-980EB8F0441D}">
      <formula1>"Weekly, Fortnightly, Four Weekly, Monthly, Quarterly, Bi Annually, Annually, Year to Date"</formula1>
    </dataValidation>
    <dataValidation type="list" allowBlank="1" showInputMessage="1" showErrorMessage="1" sqref="D48 G67 G112" xr:uid="{E5803B54-A5DB-40F1-ABFB-EDAACA6BFB37}">
      <formula1>$W$10:$W$13</formula1>
    </dataValidation>
    <dataValidation type="list" allowBlank="1" showInputMessage="1" showErrorMessage="1" sqref="E48" xr:uid="{87F30066-C30B-4405-ACA0-B98226595504}">
      <formula1>OTHER_INCOMES</formula1>
    </dataValidation>
    <dataValidation type="list" allowBlank="1" showInputMessage="1" showErrorMessage="1" sqref="F48:F49" xr:uid="{160F2085-8E3F-4F02-8B41-DFAC0A56897B}">
      <formula1>INDIRECT(E48)</formula1>
    </dataValidation>
    <dataValidation type="list" allowBlank="1" showInputMessage="1" showErrorMessage="1" sqref="D67:D68" xr:uid="{3785D90C-BBCF-4BFA-A501-D78AFD33B54C}">
      <formula1>Liabilities_List</formula1>
    </dataValidation>
    <dataValidation type="list" allowBlank="1" showInputMessage="1" showErrorMessage="1" sqref="E31:E34" xr:uid="{3BAEB88A-5FB2-4E93-846F-2449F3794DE1}">
      <formula1>SEAdd</formula1>
    </dataValidation>
    <dataValidation type="whole" operator="greaterThanOrEqual" allowBlank="1" showInputMessage="1" showErrorMessage="1" errorTitle="Years Value" error="Years value must be a whole number greater or equal to 0" sqref="J67" xr:uid="{720F2CA3-ACFA-4B5A-869F-B66BDF5FEA29}">
      <formula1>0</formula1>
    </dataValidation>
    <dataValidation type="whole" operator="greaterThanOrEqual" allowBlank="1" showInputMessage="1" showErrorMessage="1" errorTitle="Month Value" error="Months value must be a whole number greater or equal to 0" sqref="K67" xr:uid="{1E6E56D4-5CD1-450D-A7FB-ACF400F0EA91}">
      <formula1>0</formula1>
    </dataValidation>
    <dataValidation type="whole" allowBlank="1" showInputMessage="1" showErrorMessage="1" errorTitle="Month Value" error="Months value must be a whole number greater or equal to 0_x000a__x000a_Total Term (Years and Months) must not be greater than 30 Years" sqref="K112" xr:uid="{31A874AA-B1D5-4F7E-820F-28AD6B1BC9CF}">
      <formula1>0</formula1>
      <formula2>360</formula2>
    </dataValidation>
    <dataValidation type="whole" allowBlank="1" showInputMessage="1" showErrorMessage="1" errorTitle="Years Value" error="Years value must be a whole number greater or equal to 0_x000a__x000a_Total Term (Years and Months) must not be greater than 30 Years" sqref="J112" xr:uid="{4E069C28-C501-470C-9DCA-C1A01F1AFD13}">
      <formula1>0</formula1>
      <formula2>30</formula2>
    </dataValidation>
  </dataValidations>
  <pageMargins left="0" right="0" top="0" bottom="0" header="0" footer="0"/>
  <pageSetup paperSize="9" scale="5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Employment_Include">
                <anchor moveWithCells="1">
                  <from>
                    <xdr:col>5</xdr:col>
                    <xdr:colOff>330200</xdr:colOff>
                    <xdr:row>26</xdr:row>
                    <xdr:rowOff>25400</xdr:rowOff>
                  </from>
                  <to>
                    <xdr:col>5</xdr:col>
                    <xdr:colOff>635000</xdr:colOff>
                    <xdr:row>26</xdr:row>
                    <xdr:rowOff>177800</xdr:rowOff>
                  </to>
                </anchor>
              </controlPr>
            </control>
          </mc:Choice>
        </mc:AlternateContent>
        <mc:AlternateContent xmlns:mc="http://schemas.openxmlformats.org/markup-compatibility/2006">
          <mc:Choice Requires="x14">
            <control shapeId="7170" r:id="rId5" name="Check Box 2">
              <controlPr defaultSize="0" autoFill="0" autoLine="0" autoPict="0" macro="[0]!Employment_Include">
                <anchor moveWithCells="1">
                  <from>
                    <xdr:col>5</xdr:col>
                    <xdr:colOff>330200</xdr:colOff>
                    <xdr:row>27</xdr:row>
                    <xdr:rowOff>25400</xdr:rowOff>
                  </from>
                  <to>
                    <xdr:col>5</xdr:col>
                    <xdr:colOff>635000</xdr:colOff>
                    <xdr:row>27</xdr:row>
                    <xdr:rowOff>177800</xdr:rowOff>
                  </to>
                </anchor>
              </controlPr>
            </control>
          </mc:Choice>
        </mc:AlternateContent>
        <mc:AlternateContent xmlns:mc="http://schemas.openxmlformats.org/markup-compatibility/2006">
          <mc:Choice Requires="x14">
            <control shapeId="7171" r:id="rId6" name="Check Box 3">
              <controlPr defaultSize="0" autoFill="0" autoLine="0" autoPict="0" macro="[0]!Employment_Include">
                <anchor moveWithCells="1">
                  <from>
                    <xdr:col>5</xdr:col>
                    <xdr:colOff>330200</xdr:colOff>
                    <xdr:row>28</xdr:row>
                    <xdr:rowOff>25400</xdr:rowOff>
                  </from>
                  <to>
                    <xdr:col>5</xdr:col>
                    <xdr:colOff>635000</xdr:colOff>
                    <xdr:row>28</xdr:row>
                    <xdr:rowOff>177800</xdr:rowOff>
                  </to>
                </anchor>
              </controlPr>
            </control>
          </mc:Choice>
        </mc:AlternateContent>
        <mc:AlternateContent xmlns:mc="http://schemas.openxmlformats.org/markup-compatibility/2006">
          <mc:Choice Requires="x14">
            <control shapeId="7172" r:id="rId7" name="Check Box 4">
              <controlPr defaultSize="0" autoFill="0" autoLine="0" autoPict="0">
                <anchor moveWithCells="1">
                  <from>
                    <xdr:col>4</xdr:col>
                    <xdr:colOff>368300</xdr:colOff>
                    <xdr:row>66</xdr:row>
                    <xdr:rowOff>25400</xdr:rowOff>
                  </from>
                  <to>
                    <xdr:col>4</xdr:col>
                    <xdr:colOff>673100</xdr:colOff>
                    <xdr:row>66</xdr:row>
                    <xdr:rowOff>177800</xdr:rowOff>
                  </to>
                </anchor>
              </controlPr>
            </control>
          </mc:Choice>
        </mc:AlternateContent>
        <mc:AlternateContent xmlns:mc="http://schemas.openxmlformats.org/markup-compatibility/2006">
          <mc:Choice Requires="x14">
            <control shapeId="7173" r:id="rId8" name="Check Box 5">
              <controlPr defaultSize="0" autoFill="0" autoLine="0" autoPict="0" macro="[0]!Deductible_Cell">
                <anchor moveWithCells="1">
                  <from>
                    <xdr:col>5</xdr:col>
                    <xdr:colOff>330200</xdr:colOff>
                    <xdr:row>66</xdr:row>
                    <xdr:rowOff>25400</xdr:rowOff>
                  </from>
                  <to>
                    <xdr:col>5</xdr:col>
                    <xdr:colOff>635000</xdr:colOff>
                    <xdr:row>66</xdr:row>
                    <xdr:rowOff>177800</xdr:rowOff>
                  </to>
                </anchor>
              </controlPr>
            </control>
          </mc:Choice>
        </mc:AlternateContent>
        <mc:AlternateContent xmlns:mc="http://schemas.openxmlformats.org/markup-compatibility/2006">
          <mc:Choice Requires="x14">
            <control shapeId="7174" r:id="rId9" name="Check Box 6">
              <controlPr defaultSize="0" autoFill="0" autoLine="0" autoPict="0" macro="[0]!Deductible_Cell">
                <anchor moveWithCells="1">
                  <from>
                    <xdr:col>4</xdr:col>
                    <xdr:colOff>330200</xdr:colOff>
                    <xdr:row>111</xdr:row>
                    <xdr:rowOff>25400</xdr:rowOff>
                  </from>
                  <to>
                    <xdr:col>4</xdr:col>
                    <xdr:colOff>635000</xdr:colOff>
                    <xdr:row>111</xdr:row>
                    <xdr:rowOff>177800</xdr:rowOff>
                  </to>
                </anchor>
              </controlPr>
            </control>
          </mc:Choice>
        </mc:AlternateContent>
        <mc:AlternateContent xmlns:mc="http://schemas.openxmlformats.org/markup-compatibility/2006">
          <mc:Choice Requires="x14">
            <control shapeId="7175" r:id="rId10" name="Check Box 7">
              <controlPr defaultSize="0" autoFill="0" autoLine="0" autoPict="0">
                <anchor moveWithCells="1">
                  <from>
                    <xdr:col>8</xdr:col>
                    <xdr:colOff>406400</xdr:colOff>
                    <xdr:row>25</xdr:row>
                    <xdr:rowOff>25400</xdr:rowOff>
                  </from>
                  <to>
                    <xdr:col>8</xdr:col>
                    <xdr:colOff>711200</xdr:colOff>
                    <xdr:row>25</xdr:row>
                    <xdr:rowOff>177800</xdr:rowOff>
                  </to>
                </anchor>
              </controlPr>
            </control>
          </mc:Choice>
        </mc:AlternateContent>
        <mc:AlternateContent xmlns:mc="http://schemas.openxmlformats.org/markup-compatibility/2006">
          <mc:Choice Requires="x14">
            <control shapeId="7176" r:id="rId11" name="Check Box 8">
              <controlPr defaultSize="0" autoFill="0" autoLine="0" autoPict="0">
                <anchor moveWithCells="1">
                  <from>
                    <xdr:col>8</xdr:col>
                    <xdr:colOff>406400</xdr:colOff>
                    <xdr:row>26</xdr:row>
                    <xdr:rowOff>25400</xdr:rowOff>
                  </from>
                  <to>
                    <xdr:col>8</xdr:col>
                    <xdr:colOff>711200</xdr:colOff>
                    <xdr:row>26</xdr:row>
                    <xdr:rowOff>177800</xdr:rowOff>
                  </to>
                </anchor>
              </controlPr>
            </control>
          </mc:Choice>
        </mc:AlternateContent>
        <mc:AlternateContent xmlns:mc="http://schemas.openxmlformats.org/markup-compatibility/2006">
          <mc:Choice Requires="x14">
            <control shapeId="7177" r:id="rId12" name="Check Box 9">
              <controlPr defaultSize="0" autoFill="0" autoLine="0" autoPict="0">
                <anchor moveWithCells="1">
                  <from>
                    <xdr:col>8</xdr:col>
                    <xdr:colOff>406400</xdr:colOff>
                    <xdr:row>27</xdr:row>
                    <xdr:rowOff>25400</xdr:rowOff>
                  </from>
                  <to>
                    <xdr:col>8</xdr:col>
                    <xdr:colOff>711200</xdr:colOff>
                    <xdr:row>27</xdr:row>
                    <xdr:rowOff>177800</xdr:rowOff>
                  </to>
                </anchor>
              </controlPr>
            </control>
          </mc:Choice>
        </mc:AlternateContent>
        <mc:AlternateContent xmlns:mc="http://schemas.openxmlformats.org/markup-compatibility/2006">
          <mc:Choice Requires="x14">
            <control shapeId="7178" r:id="rId13" name="Check Box 10">
              <controlPr defaultSize="0" autoFill="0" autoLine="0" autoPict="0">
                <anchor moveWithCells="1">
                  <from>
                    <xdr:col>8</xdr:col>
                    <xdr:colOff>406400</xdr:colOff>
                    <xdr:row>28</xdr:row>
                    <xdr:rowOff>25400</xdr:rowOff>
                  </from>
                  <to>
                    <xdr:col>8</xdr:col>
                    <xdr:colOff>711200</xdr:colOff>
                    <xdr:row>28</xdr:row>
                    <xdr:rowOff>177800</xdr:rowOff>
                  </to>
                </anchor>
              </controlPr>
            </control>
          </mc:Choice>
        </mc:AlternateContent>
        <mc:AlternateContent xmlns:mc="http://schemas.openxmlformats.org/markup-compatibility/2006">
          <mc:Choice Requires="x14">
            <control shapeId="7182" r:id="rId14" name="Check Box 14">
              <controlPr defaultSize="0" autoFill="0" autoLine="0" autoPict="0" macro="[0]!Deductible_Cell">
                <anchor moveWithCells="1">
                  <from>
                    <xdr:col>5</xdr:col>
                    <xdr:colOff>330200</xdr:colOff>
                    <xdr:row>111</xdr:row>
                    <xdr:rowOff>25400</xdr:rowOff>
                  </from>
                  <to>
                    <xdr:col>5</xdr:col>
                    <xdr:colOff>635000</xdr:colOff>
                    <xdr:row>111</xdr:row>
                    <xdr:rowOff>177800</xdr:rowOff>
                  </to>
                </anchor>
              </controlPr>
            </control>
          </mc:Choice>
        </mc:AlternateContent>
        <mc:AlternateContent xmlns:mc="http://schemas.openxmlformats.org/markup-compatibility/2006">
          <mc:Choice Requires="x14">
            <control shapeId="7183" r:id="rId15" name="Check Box 15">
              <controlPr defaultSize="0" autoFill="0" autoLine="0" autoPict="0">
                <anchor moveWithCells="1">
                  <from>
                    <xdr:col>12</xdr:col>
                    <xdr:colOff>279400</xdr:colOff>
                    <xdr:row>28</xdr:row>
                    <xdr:rowOff>25400</xdr:rowOff>
                  </from>
                  <to>
                    <xdr:col>12</xdr:col>
                    <xdr:colOff>584200</xdr:colOff>
                    <xdr:row>28</xdr:row>
                    <xdr:rowOff>177800</xdr:rowOff>
                  </to>
                </anchor>
              </controlPr>
            </control>
          </mc:Choice>
        </mc:AlternateContent>
        <mc:AlternateContent xmlns:mc="http://schemas.openxmlformats.org/markup-compatibility/2006">
          <mc:Choice Requires="x14">
            <control shapeId="7185" r:id="rId16" name="Check Box 17">
              <controlPr defaultSize="0" autoFill="0" autoLine="0" autoPict="0" macro="[0]!Employment_LMI">
                <anchor moveWithCells="1">
                  <from>
                    <xdr:col>13</xdr:col>
                    <xdr:colOff>279400</xdr:colOff>
                    <xdr:row>25</xdr:row>
                    <xdr:rowOff>25400</xdr:rowOff>
                  </from>
                  <to>
                    <xdr:col>13</xdr:col>
                    <xdr:colOff>584200</xdr:colOff>
                    <xdr:row>25</xdr:row>
                    <xdr:rowOff>177800</xdr:rowOff>
                  </to>
                </anchor>
              </controlPr>
            </control>
          </mc:Choice>
        </mc:AlternateContent>
        <mc:AlternateContent xmlns:mc="http://schemas.openxmlformats.org/markup-compatibility/2006">
          <mc:Choice Requires="x14">
            <control shapeId="7186" r:id="rId17" name="Check Box 18">
              <controlPr defaultSize="0" autoFill="0" autoLine="0" autoPict="0" macro="[0]!Employment_LMI">
                <anchor moveWithCells="1">
                  <from>
                    <xdr:col>30</xdr:col>
                    <xdr:colOff>266700</xdr:colOff>
                    <xdr:row>16</xdr:row>
                    <xdr:rowOff>25400</xdr:rowOff>
                  </from>
                  <to>
                    <xdr:col>36</xdr:col>
                    <xdr:colOff>304800</xdr:colOff>
                    <xdr:row>16</xdr:row>
                    <xdr:rowOff>177800</xdr:rowOff>
                  </to>
                </anchor>
              </controlPr>
            </control>
          </mc:Choice>
        </mc:AlternateContent>
        <mc:AlternateContent xmlns:mc="http://schemas.openxmlformats.org/markup-compatibility/2006">
          <mc:Choice Requires="x14">
            <control shapeId="7187" r:id="rId18" name="Check Box 19">
              <controlPr defaultSize="0" autoFill="0" autoLine="0" autoPict="0" macro="[0]!Employment_LMI">
                <anchor moveWithCells="1">
                  <from>
                    <xdr:col>30</xdr:col>
                    <xdr:colOff>266700</xdr:colOff>
                    <xdr:row>16</xdr:row>
                    <xdr:rowOff>25400</xdr:rowOff>
                  </from>
                  <to>
                    <xdr:col>36</xdr:col>
                    <xdr:colOff>304800</xdr:colOff>
                    <xdr:row>16</xdr:row>
                    <xdr:rowOff>177800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37" id="{6D9B2180-DE75-4315-985F-01245E1A69DB}">
            <xm:f>IF($Q$139&gt;='Configurable Items'!$E$537,TRUE,FALSE)</xm:f>
            <x14:dxf>
              <font>
                <b/>
                <i val="0"/>
                <color rgb="FFC00000"/>
              </font>
            </x14:dxf>
          </x14:cfRule>
          <x14:cfRule type="expression" priority="1238" id="{E63631F6-4A1C-4A0D-9F17-B29A4EE04B9C}">
            <xm:f>IF(AND($Q$139&gt;='Configurable Items'!$E$536,'Internal Ref'!$L$238=0),TRUE,FALSE)</xm:f>
            <x14:dxf>
              <font>
                <b/>
                <i val="0"/>
                <color rgb="FFC00000"/>
              </font>
            </x14:dxf>
          </x14:cfRule>
          <x14:cfRule type="expression" priority="1239" id="{73E010A1-77DC-4101-AC53-C6A3CF054756}">
            <xm:f>$Q$139&gt;'Configurable Items'!$E$535</xm:f>
            <x14:dxf>
              <font>
                <b/>
                <i val="0"/>
                <color rgb="FFF36D00"/>
              </font>
            </x14:dxf>
          </x14:cfRule>
          <xm:sqref>Q139</xm:sqref>
        </x14:conditionalFormatting>
        <x14:conditionalFormatting xmlns:xm="http://schemas.microsoft.com/office/excel/2006/main">
          <x14:cfRule type="expression" priority="1234" id="{3361F7A9-1284-4CBC-9D67-1696CBBFB70C}">
            <xm:f>IF($Q$139&gt;='Configurable Items'!$E$537,TRUE,FALSE)</xm:f>
            <x14:dxf>
              <font>
                <b/>
                <i val="0"/>
                <color rgb="FFC00000"/>
              </font>
            </x14:dxf>
          </x14:cfRule>
          <x14:cfRule type="expression" priority="1235" id="{019762BE-7BB4-4466-A804-EDC04BEF81AD}">
            <xm:f>IF(AND($Q$139&gt;='Configurable Items'!$E$536,'Internal Ref'!$L$238=0),TRUE,FALSE)</xm:f>
            <x14:dxf>
              <font>
                <b/>
                <i val="0"/>
                <color rgb="FFC00000"/>
              </font>
            </x14:dxf>
          </x14:cfRule>
          <x14:cfRule type="expression" priority="1236" id="{60D09B5A-3E78-4F7B-BE06-E619D2007A89}">
            <xm:f>$Q$139&gt;'Configurable Items'!$E$535</xm:f>
            <x14:dxf>
              <font>
                <b/>
                <i val="0"/>
                <color rgb="FFF36D00"/>
              </font>
            </x14:dxf>
          </x14:cfRule>
          <xm:sqref>L142</xm:sqref>
        </x14:conditionalFormatting>
        <x14:conditionalFormatting xmlns:xm="http://schemas.microsoft.com/office/excel/2006/main">
          <x14:cfRule type="expression" priority="1225" id="{2C6FEE2B-837E-4D10-A49C-9BB71BFF6FC2}">
            <xm:f>IF($H$132&gt;='Configurable Items'!$E$537,TRUE,FALSE)</xm:f>
            <x14:dxf>
              <font>
                <b/>
                <i val="0"/>
                <color rgb="FFB60000"/>
              </font>
            </x14:dxf>
          </x14:cfRule>
          <x14:cfRule type="expression" priority="1226" id="{A29948A1-428F-4079-80E5-BA5B1CC47BF6}">
            <xm:f>IF(AND($H$132&gt;='Configurable Items'!$E$536,'Internal Ref'!$L$237=0),TRUE,FALSE)</xm:f>
            <x14:dxf>
              <font>
                <b/>
                <i val="0"/>
                <color rgb="FFC00000"/>
              </font>
            </x14:dxf>
          </x14:cfRule>
          <xm:sqref>H132:H133</xm:sqref>
        </x14:conditionalFormatting>
        <x14:conditionalFormatting xmlns:xm="http://schemas.microsoft.com/office/excel/2006/main">
          <x14:cfRule type="expression" priority="1227" id="{AEC2F03F-88C6-41E0-A929-CC6EBB77B5CE}">
            <xm:f>$H$132&gt;'Configurable Items'!$E$535</xm:f>
            <x14:dxf>
              <font>
                <b/>
                <i val="0"/>
                <color rgb="FFF36D00"/>
              </font>
            </x14:dxf>
          </x14:cfRule>
          <xm:sqref>H132:H133</xm:sqref>
        </x14:conditionalFormatting>
        <x14:conditionalFormatting xmlns:xm="http://schemas.microsoft.com/office/excel/2006/main">
          <x14:cfRule type="expression" priority="1221" id="{7648BD5A-491F-4249-B2BF-DD310A808B16}">
            <xm:f>AND(VLOOKUP(E48,'Configurable Items'!$D$4692:$F$4700,3,FALSE),I48="")</xm:f>
            <x14:dxf>
              <fill>
                <patternFill>
                  <bgColor rgb="FFF6C2C2"/>
                </patternFill>
              </fill>
            </x14:dxf>
          </x14:cfRule>
          <xm:sqref>I48</xm:sqref>
        </x14:conditionalFormatting>
        <x14:conditionalFormatting xmlns:xm="http://schemas.microsoft.com/office/excel/2006/main">
          <x14:cfRule type="expression" priority="1223" id="{20C02490-95F5-48EF-8B7C-D0FE0BDC324F}">
            <xm:f>AND(VLOOKUP(E48,'Configurable Items'!$D$4692:$E$4700,2,FALSE),$F48="")</xm:f>
            <x14:dxf>
              <fill>
                <patternFill>
                  <bgColor rgb="FFF6C2C2"/>
                </patternFill>
              </fill>
            </x14:dxf>
          </x14:cfRule>
          <x14:cfRule type="expression" priority="1224" id="{50A9ABF0-BB65-474B-9A7E-3B8C2993F1A7}">
            <xm:f>VLOOKUP(E48,'Configurable Items'!$D$4690:$E$4697,2,FALSE)</xm:f>
            <x14:dxf>
              <fill>
                <patternFill patternType="none">
                  <bgColor auto="1"/>
                </patternFill>
              </fill>
              <border>
                <left style="thin">
                  <color rgb="FFE0E0E0"/>
                </left>
                <right style="thin">
                  <color rgb="FFE0E0E0"/>
                </right>
                <top style="thin">
                  <color rgb="FFE0E0E0"/>
                </top>
                <bottom style="thin">
                  <color rgb="FFE0E0E0"/>
                </bottom>
                <vertical/>
                <horizontal/>
              </border>
            </x14:dxf>
          </x14:cfRule>
          <xm:sqref>F48</xm:sqref>
        </x14:conditionalFormatting>
        <x14:conditionalFormatting xmlns:xm="http://schemas.microsoft.com/office/excel/2006/main">
          <x14:cfRule type="expression" priority="1008" stopIfTrue="1" id="{4D23738F-D915-4B5E-BAFA-9CC98FCFA80C}">
            <xm:f>AND(E48="Overseas",NOT(VLOOKUP(F48,'Configurable Items'!$E$4702:$H$4730,4,FALSE)))</xm:f>
            <x14:dxf>
              <fill>
                <patternFill>
                  <bgColor rgb="FFF7F7F7"/>
                </patternFill>
              </fill>
            </x14:dxf>
          </x14:cfRule>
          <xm:sqref>J48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4A5D1E0-783A-4D92-97FE-37F80175F642}">
          <x14:formula1>
            <xm:f>'Configurable Items'!$D$4791:$D$4797</xm:f>
          </x14:formula1>
          <xm:sqref>F10</xm:sqref>
        </x14:dataValidation>
        <x14:dataValidation type="list" allowBlank="1" showInputMessage="1" showErrorMessage="1" xr:uid="{17B6BB4B-4899-4A9A-AB9F-4A09DFE677CE}">
          <x14:formula1>
            <xm:f>'Configurable Items'!$E$4762:$E$4774</xm:f>
          </x14:formula1>
          <xm:sqref>D28</xm:sqref>
        </x14:dataValidation>
        <x14:dataValidation type="list" allowBlank="1" showInputMessage="1" showErrorMessage="1" xr:uid="{B3ADDD24-0152-4203-93A8-BDE07AED2745}">
          <x14:formula1>
            <xm:f>'Configurable Items'!$D$4807:$D$4814</xm:f>
          </x14:formula1>
          <xm:sqref>H112</xm:sqref>
        </x14:dataValidation>
        <x14:dataValidation type="list" allowBlank="1" showInputMessage="1" showErrorMessage="1" xr:uid="{75598129-E4F0-4FDB-AD38-39A8619EC29C}">
          <x14:formula1>
            <xm:f>'Configurable Items'!$D$4801:$D$4803</xm:f>
          </x14:formula1>
          <xm:sqref>G10</xm:sqref>
        </x14:dataValidation>
        <x14:dataValidation type="list" allowBlank="1" showInputMessage="1" showErrorMessage="1" xr:uid="{C0B6159A-ECB7-48F6-9F4A-D42CDA0F1B58}">
          <x14:formula1>
            <xm:f>'Configurable Items'!$D$4692:$D$4700</xm:f>
          </x14:formula1>
          <xm:sqref>E49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5149C-9124-4587-A1B0-6BEF0294CCDD}">
  <sheetPr codeName="Sheet28">
    <outlinePr summaryBelow="0"/>
    <pageSetUpPr fitToPage="1"/>
  </sheetPr>
  <dimension ref="B1:AR1704"/>
  <sheetViews>
    <sheetView showGridLines="0" showRowColHeaders="0" zoomScaleNormal="100" workbookViewId="0">
      <selection activeCell="D10" sqref="D10"/>
    </sheetView>
  </sheetViews>
  <sheetFormatPr baseColWidth="10" defaultColWidth="8" defaultRowHeight="15"/>
  <cols>
    <col min="1" max="2" width="0.83203125" style="2" customWidth="1"/>
    <col min="3" max="3" width="3.1640625" style="2" customWidth="1"/>
    <col min="4" max="4" width="18.1640625" style="2" customWidth="1"/>
    <col min="5" max="5" width="12.5" style="2" customWidth="1"/>
    <col min="6" max="6" width="11.1640625" style="2" customWidth="1"/>
    <col min="7" max="7" width="13.6640625" style="2" customWidth="1"/>
    <col min="8" max="8" width="15.6640625" style="2" customWidth="1"/>
    <col min="9" max="9" width="12.5" style="2" customWidth="1"/>
    <col min="10" max="11" width="5" style="2" customWidth="1"/>
    <col min="12" max="14" width="10" style="2" customWidth="1"/>
    <col min="15" max="15" width="12.5" style="2" customWidth="1"/>
    <col min="16" max="16" width="0.6640625" style="2" customWidth="1"/>
    <col min="17" max="17" width="14.33203125" style="2" customWidth="1"/>
    <col min="18" max="18" width="1" style="2" customWidth="1"/>
    <col min="19" max="19" width="14.33203125" style="2" customWidth="1"/>
    <col min="20" max="21" width="0.83203125" style="2" customWidth="1"/>
    <col min="22" max="22" width="1.6640625" style="2" customWidth="1"/>
    <col min="23" max="36" width="13.6640625" style="2" hidden="1" customWidth="1"/>
    <col min="37" max="37" width="13.6640625" style="2" customWidth="1"/>
    <col min="38" max="38" width="18.1640625" style="2" customWidth="1"/>
    <col min="39" max="39" width="23.6640625" style="2" customWidth="1"/>
    <col min="40" max="42" width="8" style="1" hidden="1" customWidth="1"/>
    <col min="43" max="43" width="19.1640625" style="2" hidden="1" customWidth="1"/>
    <col min="44" max="45" width="8" style="2" customWidth="1"/>
    <col min="46" max="16384" width="8" style="2"/>
  </cols>
  <sheetData>
    <row r="1" spans="2:38" ht="5.25" customHeight="1"/>
    <row r="2" spans="2:38" ht="5.25" customHeight="1">
      <c r="B2" s="730"/>
      <c r="C2" s="731"/>
      <c r="D2" s="731"/>
      <c r="E2" s="731"/>
      <c r="F2" s="731"/>
      <c r="G2" s="731"/>
      <c r="H2" s="731"/>
      <c r="I2" s="731"/>
      <c r="J2" s="731"/>
      <c r="K2" s="731"/>
      <c r="L2" s="731"/>
      <c r="M2" s="731"/>
      <c r="N2" s="731"/>
      <c r="O2" s="731"/>
      <c r="P2" s="731"/>
      <c r="Q2" s="731"/>
      <c r="R2" s="731"/>
      <c r="S2" s="731"/>
      <c r="T2" s="731"/>
      <c r="U2" s="732"/>
    </row>
    <row r="3" spans="2:38" ht="30.75" customHeight="1">
      <c r="B3" s="733"/>
      <c r="C3" s="1472" t="s">
        <v>8939</v>
      </c>
      <c r="D3" s="1472"/>
      <c r="E3" s="1472"/>
      <c r="F3" s="1472"/>
      <c r="G3" s="1472"/>
      <c r="H3" s="1472"/>
      <c r="I3" s="1472"/>
      <c r="J3" s="1472"/>
      <c r="K3" s="1472"/>
      <c r="L3" s="1472"/>
      <c r="M3" s="1472"/>
      <c r="N3" s="1472"/>
      <c r="O3" s="1472"/>
      <c r="P3" s="1472"/>
      <c r="Q3" s="1472"/>
      <c r="R3" s="1472"/>
      <c r="S3" s="1472"/>
      <c r="T3" s="1472"/>
      <c r="U3" s="736"/>
    </row>
    <row r="4" spans="2:38" ht="8.25" customHeight="1">
      <c r="B4" s="733"/>
      <c r="C4" s="735"/>
      <c r="D4" s="735"/>
      <c r="E4" s="735"/>
      <c r="F4" s="735"/>
      <c r="G4" s="735"/>
      <c r="H4" s="735"/>
      <c r="I4" s="735"/>
      <c r="J4" s="735"/>
      <c r="K4" s="735"/>
      <c r="L4" s="735"/>
      <c r="M4" s="735"/>
      <c r="N4" s="735"/>
      <c r="O4" s="735"/>
      <c r="P4" s="735"/>
      <c r="Q4" s="735"/>
      <c r="R4" s="735"/>
      <c r="S4" s="735"/>
      <c r="T4" s="735"/>
      <c r="U4" s="736"/>
    </row>
    <row r="5" spans="2:38" ht="17.25" customHeight="1">
      <c r="B5" s="733"/>
      <c r="C5" s="1473" t="str">
        <f>IF(D10="","Select your customers to start",IF(D11="",D10 &amp; IF(RIGHT(D10,1)="s","'","'s") &amp; " Statement of Position",D10&amp;" &amp; " &amp; D11 &amp;IF(RIGHT(D11,1)="s","'","'s") &amp; " Statement of Position"))</f>
        <v>Select your customers to start</v>
      </c>
      <c r="D5" s="1473"/>
      <c r="E5" s="1473"/>
      <c r="F5" s="1473"/>
      <c r="G5" s="1473"/>
      <c r="H5" s="1473"/>
      <c r="I5" s="1473"/>
      <c r="J5" s="1473"/>
      <c r="K5" s="1473"/>
      <c r="L5" s="1473"/>
      <c r="M5" s="1473"/>
      <c r="N5" s="1473"/>
      <c r="O5" s="1473"/>
      <c r="P5" s="1473"/>
      <c r="Q5" s="1473"/>
      <c r="R5" s="1473"/>
      <c r="S5" s="1473"/>
      <c r="T5" s="1473"/>
      <c r="U5" s="736"/>
      <c r="W5" s="54"/>
      <c r="X5" s="54"/>
      <c r="Y5" s="54"/>
    </row>
    <row r="6" spans="2:38" ht="6.75" customHeight="1">
      <c r="B6" s="733"/>
      <c r="C6" s="735"/>
      <c r="D6" s="735"/>
      <c r="E6" s="735"/>
      <c r="F6" s="735"/>
      <c r="G6" s="735"/>
      <c r="H6" s="735"/>
      <c r="I6" s="735"/>
      <c r="J6" s="735"/>
      <c r="K6" s="735"/>
      <c r="L6" s="735"/>
      <c r="M6" s="735"/>
      <c r="N6" s="735"/>
      <c r="O6" s="735"/>
      <c r="P6" s="735"/>
      <c r="Q6" s="735"/>
      <c r="R6" s="735"/>
      <c r="S6" s="735"/>
      <c r="T6" s="735"/>
      <c r="U6" s="736"/>
      <c r="W6" s="54"/>
    </row>
    <row r="7" spans="2:38" ht="18" customHeight="1">
      <c r="B7" s="733"/>
      <c r="C7" s="958" t="s">
        <v>28</v>
      </c>
      <c r="D7" s="735"/>
      <c r="E7" s="735"/>
      <c r="F7" s="735"/>
      <c r="G7" s="735"/>
      <c r="H7" s="735"/>
      <c r="I7" s="735"/>
      <c r="J7" s="735"/>
      <c r="K7" s="735"/>
      <c r="L7" s="735"/>
      <c r="M7" s="735"/>
      <c r="N7" s="735"/>
      <c r="O7" s="735"/>
      <c r="P7" s="735"/>
      <c r="Q7" s="735"/>
      <c r="R7" s="735"/>
      <c r="S7" s="735"/>
      <c r="T7" s="735"/>
      <c r="U7" s="736"/>
    </row>
    <row r="8" spans="2:38" ht="7.5" customHeight="1">
      <c r="B8" s="733"/>
      <c r="C8" s="945"/>
      <c r="D8" s="959"/>
      <c r="E8" s="743"/>
      <c r="F8" s="743"/>
      <c r="G8" s="743"/>
      <c r="H8" s="743"/>
      <c r="I8" s="743"/>
      <c r="J8" s="743"/>
      <c r="K8" s="743"/>
      <c r="L8" s="743"/>
      <c r="M8" s="743"/>
      <c r="N8" s="743"/>
      <c r="O8" s="743"/>
      <c r="P8" s="743"/>
      <c r="Q8" s="743"/>
      <c r="R8" s="960"/>
      <c r="S8" s="743"/>
      <c r="T8" s="744"/>
      <c r="U8" s="736"/>
      <c r="W8" s="35"/>
    </row>
    <row r="9" spans="2:38" ht="17.25" customHeight="1">
      <c r="B9" s="733"/>
      <c r="C9" s="742"/>
      <c r="D9" s="833" t="s">
        <v>29</v>
      </c>
      <c r="E9" s="833" t="s">
        <v>30</v>
      </c>
      <c r="F9" s="833" t="s">
        <v>8052</v>
      </c>
      <c r="G9" s="36" t="str">
        <f>IF(D11="","Spouse","")</f>
        <v>Spouse</v>
      </c>
      <c r="H9" s="32"/>
      <c r="J9" s="34"/>
      <c r="L9" s="34"/>
      <c r="M9" s="34"/>
      <c r="N9" s="34"/>
      <c r="O9" s="34"/>
      <c r="P9" s="34"/>
      <c r="Q9" s="37"/>
      <c r="R9" s="834"/>
      <c r="S9" s="37"/>
      <c r="T9" s="901"/>
      <c r="U9" s="736"/>
      <c r="W9" s="39" t="s">
        <v>31</v>
      </c>
      <c r="X9" s="39" t="s">
        <v>32</v>
      </c>
      <c r="Y9" s="39"/>
      <c r="Z9" s="39" t="s">
        <v>8900</v>
      </c>
      <c r="AA9" s="39" t="s">
        <v>33</v>
      </c>
      <c r="AB9" s="39" t="s">
        <v>589</v>
      </c>
      <c r="AC9" s="39" t="s">
        <v>8993</v>
      </c>
      <c r="AD9" s="39" t="s">
        <v>8628</v>
      </c>
      <c r="AJ9" s="54"/>
    </row>
    <row r="10" spans="2:38" ht="17.25" customHeight="1">
      <c r="B10" s="733"/>
      <c r="C10" s="713"/>
      <c r="D10" s="919"/>
      <c r="E10" s="912"/>
      <c r="F10" s="912"/>
      <c r="G10" s="920"/>
      <c r="L10" s="34"/>
      <c r="M10" s="34"/>
      <c r="N10" s="34"/>
      <c r="O10" s="34"/>
      <c r="P10" s="34"/>
      <c r="Q10" s="835"/>
      <c r="R10" s="834"/>
      <c r="S10" s="40"/>
      <c r="T10" s="901"/>
      <c r="U10" s="736"/>
      <c r="W10" s="936">
        <f>D10</f>
        <v>0</v>
      </c>
      <c r="X10" s="936">
        <f>D10</f>
        <v>0</v>
      </c>
      <c r="Y10" s="936" t="s">
        <v>34</v>
      </c>
      <c r="Z10" s="936">
        <f>COUNTIFS(D17:D37,X10,H17:H37,"After Tax")</f>
        <v>0</v>
      </c>
      <c r="AA10" s="937">
        <f>MATCH("Other Incomes",D:D,FALSE)</f>
        <v>38</v>
      </c>
      <c r="AB10" s="936">
        <f>MATCH(AB9,'Internal Ref'!$A$251:$J$251,0)-1</f>
        <v>1</v>
      </c>
      <c r="AC10" s="1378" t="b">
        <v>0</v>
      </c>
      <c r="AD10" s="936">
        <v>17</v>
      </c>
      <c r="AJ10" s="54"/>
      <c r="AK10" s="54"/>
      <c r="AL10" s="54"/>
    </row>
    <row r="11" spans="2:38" ht="17.25" customHeight="1">
      <c r="B11" s="733"/>
      <c r="C11" s="713"/>
      <c r="D11" s="919"/>
      <c r="E11" s="912"/>
      <c r="F11" s="34"/>
      <c r="G11" s="836"/>
      <c r="K11" s="54"/>
      <c r="L11" s="837"/>
      <c r="M11" s="837"/>
      <c r="N11" s="34"/>
      <c r="O11" s="34"/>
      <c r="P11" s="34"/>
      <c r="Q11" s="40"/>
      <c r="R11" s="834"/>
      <c r="S11" s="40"/>
      <c r="T11" s="901"/>
      <c r="U11" s="736"/>
      <c r="W11" s="936" t="str">
        <f>IF(ISBLANK(D11),"Other",D11)</f>
        <v>Other</v>
      </c>
      <c r="X11" s="936" t="str">
        <f>IF(ISBLANK(D11),"",D11)</f>
        <v/>
      </c>
      <c r="Y11" s="936" t="s">
        <v>35</v>
      </c>
      <c r="Z11" s="936">
        <f>COUNTIFS(D17:D37,X11,H17:H37,"After Tax")</f>
        <v>1</v>
      </c>
      <c r="AB11" s="936">
        <f>VLOOKUP(AB9,'Internal Ref'!$A$203:$B$206,2,FALSE)</f>
        <v>1</v>
      </c>
      <c r="AC11" s="936">
        <f>COUNTIF(D:D,"SE -*")</f>
        <v>0</v>
      </c>
      <c r="AD11" s="936">
        <f>SUM(I48:I49)</f>
        <v>0</v>
      </c>
      <c r="AE11" s="31"/>
      <c r="AJ11" s="31"/>
      <c r="AL11" s="54"/>
    </row>
    <row r="12" spans="2:38" ht="7.5" customHeight="1">
      <c r="B12" s="733"/>
      <c r="C12" s="807"/>
      <c r="D12" s="727"/>
      <c r="E12" s="727"/>
      <c r="F12" s="727"/>
      <c r="G12" s="727"/>
      <c r="H12" s="727"/>
      <c r="I12" s="727"/>
      <c r="J12" s="727"/>
      <c r="K12" s="727"/>
      <c r="L12" s="943"/>
      <c r="M12" s="943"/>
      <c r="N12" s="715"/>
      <c r="O12" s="715"/>
      <c r="P12" s="715"/>
      <c r="Q12" s="944"/>
      <c r="R12" s="828"/>
      <c r="S12" s="944"/>
      <c r="T12" s="908"/>
      <c r="U12" s="736"/>
      <c r="W12" s="936" t="str">
        <f>IF(ISBLANK(D11),"",D10&amp;" 50% "&amp;D11&amp;" 50%")</f>
        <v/>
      </c>
      <c r="X12" s="42"/>
      <c r="AD12" s="936">
        <f>COUNT(N48:O49)</f>
        <v>0</v>
      </c>
      <c r="AE12" s="31"/>
      <c r="AJ12" s="31"/>
    </row>
    <row r="13" spans="2:38" ht="7.5" customHeight="1">
      <c r="B13" s="733"/>
      <c r="C13" s="731"/>
      <c r="D13" s="731"/>
      <c r="E13" s="731"/>
      <c r="F13" s="731"/>
      <c r="G13" s="731"/>
      <c r="H13" s="731"/>
      <c r="I13" s="731"/>
      <c r="J13" s="731"/>
      <c r="K13" s="731"/>
      <c r="L13" s="951"/>
      <c r="M13" s="951"/>
      <c r="N13" s="731"/>
      <c r="O13" s="731"/>
      <c r="P13" s="731"/>
      <c r="Q13" s="952"/>
      <c r="R13" s="952"/>
      <c r="S13" s="952"/>
      <c r="T13" s="952"/>
      <c r="U13" s="736"/>
      <c r="W13" s="936" t="str">
        <f>IF(ISBLANK(D11),"","Other")</f>
        <v/>
      </c>
      <c r="X13" s="42"/>
      <c r="AD13" s="942"/>
      <c r="AE13" s="31"/>
      <c r="AJ13" s="31"/>
    </row>
    <row r="14" spans="2:38" ht="17.25" customHeight="1">
      <c r="B14" s="733"/>
      <c r="C14" s="953" t="s">
        <v>36</v>
      </c>
      <c r="D14" s="953"/>
      <c r="E14" s="738"/>
      <c r="F14" s="738"/>
      <c r="G14" s="738"/>
      <c r="H14" s="738"/>
      <c r="I14" s="738"/>
      <c r="J14" s="954"/>
      <c r="K14" s="954"/>
      <c r="L14" s="954"/>
      <c r="M14" s="954"/>
      <c r="N14" s="954"/>
      <c r="O14" s="738"/>
      <c r="P14" s="738"/>
      <c r="Q14" s="955"/>
      <c r="R14" s="956"/>
      <c r="S14" s="955"/>
      <c r="T14" s="956"/>
      <c r="U14" s="736"/>
      <c r="X14" s="44"/>
      <c r="Y14" s="45"/>
      <c r="AD14" s="31"/>
      <c r="AE14" s="31"/>
      <c r="AL14" s="31"/>
    </row>
    <row r="15" spans="2:38" ht="5.25" customHeight="1">
      <c r="B15" s="733"/>
      <c r="C15" s="969"/>
      <c r="D15" s="743"/>
      <c r="E15" s="743"/>
      <c r="F15" s="743"/>
      <c r="G15" s="970"/>
      <c r="H15" s="971"/>
      <c r="I15" s="971"/>
      <c r="J15" s="971"/>
      <c r="K15" s="743"/>
      <c r="L15" s="743"/>
      <c r="M15" s="743"/>
      <c r="N15" s="743"/>
      <c r="O15" s="743"/>
      <c r="P15" s="743"/>
      <c r="Q15" s="972"/>
      <c r="R15" s="957"/>
      <c r="S15" s="972"/>
      <c r="T15" s="973"/>
      <c r="U15" s="736"/>
      <c r="X15" s="44"/>
      <c r="Y15" s="45"/>
      <c r="AD15" s="31"/>
      <c r="AE15" s="31"/>
      <c r="AK15" s="43"/>
      <c r="AL15" s="31"/>
    </row>
    <row r="16" spans="2:38" ht="19.5" customHeight="1">
      <c r="B16" s="733"/>
      <c r="C16" s="713"/>
      <c r="D16" s="778" t="s">
        <v>40</v>
      </c>
      <c r="K16" s="54"/>
      <c r="L16" s="837"/>
      <c r="M16" s="837"/>
      <c r="N16" s="46"/>
      <c r="O16" s="46"/>
      <c r="P16" s="34"/>
      <c r="Q16" s="974" t="s">
        <v>37</v>
      </c>
      <c r="R16" s="40"/>
      <c r="S16" s="974" t="s">
        <v>38</v>
      </c>
      <c r="T16" s="901"/>
      <c r="U16" s="736"/>
      <c r="X16" s="42"/>
      <c r="AD16" s="31"/>
      <c r="AE16" s="31"/>
      <c r="AK16" s="43" t="s">
        <v>39</v>
      </c>
      <c r="AL16" s="31"/>
    </row>
    <row r="17" spans="2:44" ht="17.25" customHeight="1">
      <c r="B17" s="733"/>
      <c r="C17" s="902"/>
      <c r="D17" s="833" t="s">
        <v>41</v>
      </c>
      <c r="E17" s="833" t="s">
        <v>13</v>
      </c>
      <c r="F17" s="833" t="s">
        <v>42</v>
      </c>
      <c r="G17" s="833" t="s">
        <v>14</v>
      </c>
      <c r="H17" s="833" t="s">
        <v>43</v>
      </c>
      <c r="I17" s="833" t="s">
        <v>44</v>
      </c>
      <c r="J17" s="833" t="s">
        <v>15</v>
      </c>
      <c r="K17" s="817"/>
      <c r="L17" s="833" t="s">
        <v>45</v>
      </c>
      <c r="M17" s="833" t="s">
        <v>46</v>
      </c>
      <c r="N17" s="36" t="str">
        <f>IF($AC$11&gt;0,"LMI App?","")</f>
        <v/>
      </c>
      <c r="O17" s="36" t="str">
        <f>IF(AND($AC$11&gt;0,$AC$10=TRUE),"Prior Year Amt","")</f>
        <v/>
      </c>
      <c r="P17" s="836"/>
      <c r="Q17" s="833" t="s">
        <v>47</v>
      </c>
      <c r="R17" s="1303"/>
      <c r="S17" s="840" t="s">
        <v>48</v>
      </c>
      <c r="T17" s="901"/>
      <c r="U17" s="736"/>
      <c r="W17" s="39" t="s">
        <v>49</v>
      </c>
      <c r="X17" s="39" t="s">
        <v>50</v>
      </c>
      <c r="Y17" s="39" t="s">
        <v>51</v>
      </c>
      <c r="Z17" s="39" t="s">
        <v>52</v>
      </c>
      <c r="AA17" s="39" t="s">
        <v>53</v>
      </c>
      <c r="AB17" s="39" t="s">
        <v>54</v>
      </c>
      <c r="AC17" s="39" t="s">
        <v>55</v>
      </c>
      <c r="AD17" s="39" t="s">
        <v>7875</v>
      </c>
      <c r="AE17" s="39" t="b">
        <v>0</v>
      </c>
      <c r="AK17" s="39" t="s">
        <v>56</v>
      </c>
      <c r="AL17" s="39" t="s">
        <v>21</v>
      </c>
    </row>
    <row r="18" spans="2:44" ht="17.25" hidden="1" customHeight="1">
      <c r="B18" s="733"/>
      <c r="C18" s="713"/>
      <c r="D18" s="48" t="s">
        <v>57</v>
      </c>
      <c r="E18" s="24" t="e">
        <f>IF(LEFT(D28,2)="SE","",'Configurable Items'!#REF!)</f>
        <v>#REF!</v>
      </c>
      <c r="F18" s="32"/>
      <c r="G18" s="32"/>
      <c r="H18" s="32"/>
      <c r="I18" s="32"/>
      <c r="J18" s="32"/>
      <c r="K18" s="48" t="s">
        <v>16</v>
      </c>
      <c r="L18" s="49"/>
      <c r="M18" s="49"/>
      <c r="O18" s="50"/>
      <c r="P18" s="50"/>
      <c r="Q18" s="51"/>
      <c r="R18" s="841"/>
      <c r="S18" s="51"/>
      <c r="T18" s="901"/>
      <c r="U18" s="736"/>
      <c r="W18" s="32"/>
      <c r="X18" s="42"/>
      <c r="AD18" s="31"/>
      <c r="AE18" s="31"/>
      <c r="AL18" s="31"/>
    </row>
    <row r="19" spans="2:44" ht="17.25" hidden="1" customHeight="1">
      <c r="B19" s="733"/>
      <c r="C19" s="713"/>
      <c r="D19" s="48"/>
      <c r="E19" s="24" t="e">
        <f>IF(LEFT(D28,2)="SE","",'Configurable Items'!#REF!)</f>
        <v>#REF!</v>
      </c>
      <c r="F19" s="32"/>
      <c r="G19" s="32"/>
      <c r="H19" s="32"/>
      <c r="I19" s="32"/>
      <c r="J19" s="24" t="s">
        <v>17</v>
      </c>
      <c r="L19" s="32"/>
      <c r="M19" s="32"/>
      <c r="Q19" s="37"/>
      <c r="R19" s="834"/>
      <c r="S19" s="37"/>
      <c r="T19" s="714"/>
      <c r="U19" s="736"/>
      <c r="W19" s="32"/>
      <c r="X19" s="42"/>
      <c r="AD19" s="31"/>
      <c r="AE19" s="31"/>
      <c r="AL19" s="31"/>
    </row>
    <row r="20" spans="2:44" ht="17.25" hidden="1" customHeight="1">
      <c r="B20" s="733"/>
      <c r="C20" s="713"/>
      <c r="D20" s="48"/>
      <c r="E20" s="24" t="e">
        <f>IF(LEFT(D28,2)="SE","",'Configurable Items'!#REF!)</f>
        <v>#REF!</v>
      </c>
      <c r="F20" s="32"/>
      <c r="G20" s="32"/>
      <c r="H20" s="32"/>
      <c r="I20" s="32"/>
      <c r="J20" s="24" t="s">
        <v>3</v>
      </c>
      <c r="L20" s="32"/>
      <c r="M20" s="32"/>
      <c r="Q20" s="37"/>
      <c r="R20" s="834"/>
      <c r="S20" s="37"/>
      <c r="T20" s="714"/>
      <c r="U20" s="736"/>
      <c r="W20" s="32"/>
      <c r="X20" s="42"/>
      <c r="AD20" s="31"/>
      <c r="AE20" s="31"/>
      <c r="AL20" s="31"/>
    </row>
    <row r="21" spans="2:44" ht="17.25" hidden="1" customHeight="1">
      <c r="B21" s="733"/>
      <c r="C21" s="713"/>
      <c r="D21" s="48"/>
      <c r="E21" s="24" t="e">
        <f>IF(LEFT(D28,2)="SE","",'Configurable Items'!#REF!)</f>
        <v>#REF!</v>
      </c>
      <c r="F21" s="32"/>
      <c r="G21" s="32"/>
      <c r="H21" s="32"/>
      <c r="I21" s="32"/>
      <c r="J21" s="24" t="s">
        <v>18</v>
      </c>
      <c r="L21" s="32"/>
      <c r="M21" s="32"/>
      <c r="Q21" s="37"/>
      <c r="R21" s="834"/>
      <c r="S21" s="37"/>
      <c r="T21" s="714"/>
      <c r="U21" s="736"/>
      <c r="W21" s="32"/>
      <c r="X21" s="42"/>
      <c r="AD21" s="31"/>
      <c r="AE21" s="31"/>
      <c r="AL21" s="31"/>
    </row>
    <row r="22" spans="2:44" ht="17.25" hidden="1" customHeight="1">
      <c r="B22" s="733"/>
      <c r="C22" s="713"/>
      <c r="D22" s="24"/>
      <c r="E22" s="24" t="e">
        <f>IF(LEFT(D28,2)="SE","",'Configurable Items'!#REF!)</f>
        <v>#REF!</v>
      </c>
      <c r="F22" s="32"/>
      <c r="G22" s="32"/>
      <c r="H22" s="24" t="s">
        <v>34</v>
      </c>
      <c r="I22" s="32"/>
      <c r="J22" s="24" t="s">
        <v>2</v>
      </c>
      <c r="L22" s="32"/>
      <c r="M22" s="32"/>
      <c r="Q22" s="37"/>
      <c r="R22" s="834"/>
      <c r="S22" s="37"/>
      <c r="T22" s="714"/>
      <c r="U22" s="736"/>
      <c r="W22" s="32"/>
      <c r="X22" s="42"/>
      <c r="AD22" s="31"/>
      <c r="AE22" s="31"/>
      <c r="AL22" s="31"/>
    </row>
    <row r="23" spans="2:44" ht="17.25" hidden="1" customHeight="1">
      <c r="B23" s="733"/>
      <c r="C23" s="713"/>
      <c r="D23" s="24" t="s">
        <v>58</v>
      </c>
      <c r="E23" s="24" t="str">
        <f>IF(LEFT(D28,2)="SE",'Configurable Items'!D4753,'Configurable Items'!D4756)</f>
        <v>Select Type</v>
      </c>
      <c r="F23" s="32"/>
      <c r="G23" s="32"/>
      <c r="H23" s="842" t="s">
        <v>35</v>
      </c>
      <c r="I23" s="32"/>
      <c r="J23" s="24" t="s">
        <v>19</v>
      </c>
      <c r="L23" s="32"/>
      <c r="M23" s="32"/>
      <c r="Q23" s="37"/>
      <c r="R23" s="834"/>
      <c r="S23" s="37"/>
      <c r="T23" s="714"/>
      <c r="U23" s="736"/>
      <c r="W23" s="32"/>
      <c r="X23" s="42"/>
      <c r="AD23" s="31"/>
      <c r="AE23" s="31"/>
      <c r="AL23" s="31"/>
    </row>
    <row r="24" spans="2:44" ht="17.25" hidden="1" customHeight="1">
      <c r="B24" s="733"/>
      <c r="C24" s="713"/>
      <c r="D24" s="24" t="str">
        <f>IF($D$11="","Other",$D$11)</f>
        <v>Other</v>
      </c>
      <c r="E24" s="24" t="str">
        <f>IF(LEFT(D28,2)="SE",'Configurable Items'!D4754,'Configurable Items'!D4757)</f>
        <v>Taxable Sacrifice</v>
      </c>
      <c r="F24" s="24" t="b">
        <v>1</v>
      </c>
      <c r="G24" s="24"/>
      <c r="H24" s="842" t="s">
        <v>51</v>
      </c>
      <c r="I24" s="24" t="b">
        <v>1</v>
      </c>
      <c r="J24" s="24" t="s">
        <v>20</v>
      </c>
      <c r="L24" s="32"/>
      <c r="M24" s="32"/>
      <c r="Q24" s="37"/>
      <c r="R24" s="834"/>
      <c r="S24" s="37"/>
      <c r="T24" s="714"/>
      <c r="U24" s="736"/>
      <c r="W24" s="32"/>
      <c r="X24" s="42"/>
      <c r="AD24" s="31"/>
      <c r="AE24" s="31"/>
      <c r="AL24" s="31"/>
    </row>
    <row r="25" spans="2:44" ht="17.25" hidden="1" customHeight="1">
      <c r="B25" s="733"/>
      <c r="C25" s="713"/>
      <c r="D25" s="24">
        <f>$D$10</f>
        <v>0</v>
      </c>
      <c r="E25" s="24" t="str">
        <f>IF(LEFT(D28,2)="SE",'Configurable Items'!D4755,'Configurable Items'!D4758)</f>
        <v>Non-Taxable Sacrifice</v>
      </c>
      <c r="F25" s="24" t="b">
        <v>0</v>
      </c>
      <c r="G25" s="842"/>
      <c r="H25" s="842" t="s">
        <v>59</v>
      </c>
      <c r="I25" s="842" t="b">
        <v>0</v>
      </c>
      <c r="J25" s="842" t="s">
        <v>60</v>
      </c>
      <c r="L25" s="32"/>
      <c r="M25" s="32"/>
      <c r="Q25" s="37"/>
      <c r="R25" s="834"/>
      <c r="S25" s="37"/>
      <c r="T25" s="714"/>
      <c r="U25" s="736"/>
      <c r="W25" s="32"/>
      <c r="X25" s="42"/>
      <c r="AD25" s="31"/>
      <c r="AE25" s="31"/>
      <c r="AL25" s="31"/>
    </row>
    <row r="26" spans="2:44" ht="17.25" customHeight="1">
      <c r="B26" s="733"/>
      <c r="C26" s="1349">
        <f>D26</f>
        <v>0</v>
      </c>
      <c r="D26" s="915"/>
      <c r="E26" s="930" t="str">
        <f>IF(OR(D28="SE - Sole Trader",D28="SE - Dual App",D28 = "SE - RM Verified"),"Gross Annual Income",
IF(D28="SE - Company Wages","ATO Income","Salary"))</f>
        <v>Salary</v>
      </c>
      <c r="F26" s="927"/>
      <c r="G26" s="916"/>
      <c r="H26" s="917"/>
      <c r="I26" s="718"/>
      <c r="J26" s="1484"/>
      <c r="K26" s="1484"/>
      <c r="L26" s="929"/>
      <c r="M26" s="929"/>
      <c r="N26" s="1369" t="b">
        <v>0</v>
      </c>
      <c r="O26" s="836"/>
      <c r="P26" s="836"/>
      <c r="Q26" s="931">
        <f>IF(E26&lt;&gt;"Salary",
IF(E26="ATO Income",IF(X26+X27=0,0,CONVERT_TO_MONTHLY(G26+G27,J26,X26+X27)),
CONVERT_TO_MONTHLY(G26,J26)),
IF(AND((LEFT(D28,2)&lt;&gt;"SE"),OR(G26="",H26="",J26="")=TRUE)=TRUE,0,
CONVERT_TO_MONTHLY(EmploymentIncomeComponent(E26, D28, G26/(1+(IF(I26=TRUE,mandatorySuperannuationContributions,0))), H26, J26, 0, H165, D30, X26, G27/(1+(IF(I26=TRUE,mandatorySuperannuationContributions,0))), H27, J27, F27, G29/(1+(IF(I26=TRUE,mandatorySuperannuationContributions,0))), H29, J29, F29, G28/(1+(IF(I26=TRUE,mandatorySuperannuationContributions,0))), H28, J28, F28, FALSE),"annually")))</f>
        <v>0</v>
      </c>
      <c r="R26" s="47"/>
      <c r="S26" s="931">
        <f>Q26*AE26</f>
        <v>0</v>
      </c>
      <c r="T26" s="901"/>
      <c r="U26" s="736"/>
      <c r="W26" s="931">
        <f>Q26</f>
        <v>0</v>
      </c>
      <c r="X26" s="938">
        <f>IF(J26="Year to Date",IF(AND(OR(L26="",M26=""),E26="ATO Income"),0,M26-L26+1),IF(J26="monthly",365/12,IF(J26="fortnightly",14,IF(J26="weekly",7,365))))</f>
        <v>365</v>
      </c>
      <c r="Y26" s="939" t="b">
        <f>IF(E26="","",VLOOKUP(E26,'Configurable Items'!$D$4734:$E$4750,2,FALSE))</f>
        <v>1</v>
      </c>
      <c r="AA26" s="938">
        <f>IF(D28="SE - RM Verified",1,IF(D28="SE - Dual Application",1,0))</f>
        <v>0</v>
      </c>
      <c r="AB26" s="931">
        <f>IF(Y26=TRUE,IF(LEFT(D28,2)="SE",S26,Q26),0)</f>
        <v>0</v>
      </c>
      <c r="AC26" s="931">
        <f>IF(LEFT(D28,2)="SE",S26,Q26)</f>
        <v>0</v>
      </c>
      <c r="AD26" s="31"/>
      <c r="AE26" s="1375" cm="1">
        <f t="array" ref="AE26">SE_NPBT_Volatility(D28, $AC$10, IF(D28="SE - Sole Trader",G26,IF(D28="SE - Company",G31,G34)), IF(D28="SE - Sole Trader",O26,IF(D28="SE - Company",O31,O34)),1)</f>
        <v>1</v>
      </c>
      <c r="AK26" s="931" cm="1">
        <f t="array" ref="AK26">IF(AL26=0,0,IF(LEFT(D28,2)="SE",AL26*(Q26/SUM(Q26:Q27)),
CONVERT_TO_MONTHLY(EmploymentIncomeComponent(E26, D28, G26/(1+(IF(I26=TRUE,mandatorySuperannuationContributions,0))), H26, J26, 0, H168, D30, X26, G27/(1+(IF(I26=TRUE,mandatorySuperannuationContributions,0))), H27, J27, F27, G29/(1+(IF(I26=TRUE,mandatorySuperannuationContributions,0))), H29, J29, F29, G28/(1+(IF(I26=TRUE,mandatorySuperannuationContributions,0))), H28, J28, F28, TRUE),"annually")))</f>
        <v>0</v>
      </c>
      <c r="AL26" s="542">
        <f>AN26+AO26</f>
        <v>0</v>
      </c>
      <c r="AN26" s="537">
        <f>IF(LEFT(D28,2)="SE",CONVERT_TO_NET(SUM(Q26:Q27)*12, TRUE, IF(ISBLANK($D$11),1,2), $E$10+$E$11)/12,
IF(H30="Taxable",CONVERT_TO_NET(SUM(Q26:Q30)*12, TRUE, IF(ISBLANK($D$11),1,2), $E$10+$E$11)/12,CONVERT_TO_NET(SUM(Q26:Q29)*12, TRUE, IF(ISBLANK($D$11),1,2), $E$10+$E$11)/12))</f>
        <v>0</v>
      </c>
      <c r="AO26" s="537">
        <f>IF(LEFT(D28,2)="SE",0,
IF(H30="Taxable",0,Q30))</f>
        <v>0</v>
      </c>
      <c r="AQ26" s="54">
        <f>S63-S148</f>
        <v>0</v>
      </c>
    </row>
    <row r="27" spans="2:44" ht="17.25" customHeight="1">
      <c r="B27" s="733"/>
      <c r="C27" s="1357">
        <f>D26</f>
        <v>0</v>
      </c>
      <c r="D27" s="36" t="s">
        <v>8963</v>
      </c>
      <c r="E27" s="1346" t="str">
        <f>IF(OR(D28="SE - Sole Trader",D28="SE - RM Verified",D28="SE - Dual App"),"",
IF(OR(D28="SE - Partnership",D28="SE - Trust (Ind ATF)",D28="SE - Trust (Comp ATF)"),"Distribution",
IF(D28="SE - Company","Dividends",
IF(D28="SE - Company Wages","Prior Year ATO Income",
"Bonus"))))</f>
        <v>Bonus</v>
      </c>
      <c r="F27" s="718"/>
      <c r="G27" s="910"/>
      <c r="H27" s="917"/>
      <c r="I27" s="718"/>
      <c r="J27" s="1485"/>
      <c r="K27" s="1485"/>
      <c r="L27" s="929"/>
      <c r="M27" s="929"/>
      <c r="N27" s="836"/>
      <c r="O27" s="836"/>
      <c r="P27" s="836"/>
      <c r="Q27" s="931">
        <f>IF(E27="",0,
IF(E27="Prior Year ATO Income",0,
IF(E27="Bonus",
CONVERT_TO_MONTHLY(EmploymentIncomeComponent(E27, D28, G26/(1+(IF(I26=TRUE,mandatorySuperannuationContributions,0))), H26, J26, 0, H168, D30, X26, G27/(1+(IF(I26=TRUE,mandatorySuperannuationContributions,0))), H27, J27, F27, G29/(1+(IF(I26=TRUE,mandatorySuperannuationContributions,0))), H29, J29, F29, G28/(1+(IF(I26=TRUE,mandatorySuperannuationContributions,0))), H28, J28, F28, FALSE),"annually"),CONVERT_TO_MONTHLY(G27,J27))))</f>
        <v>0</v>
      </c>
      <c r="R27" s="47"/>
      <c r="S27" s="931">
        <f>IF(E27="",0,
IF(G27="",0,
IF(E27="Bonus",CONVERT_TO_MONTHLY(Sensitise_Income(CONVERT_TO_ANNUALLY(Q27,"Monthly"), VLOOKUP(D26,$D$122:$H$123,5,FALSE), BONUS_SENSITIVITY_MULTIPLIER, 0, 0,FALSE),"Annually"),Q27*AE27)))</f>
        <v>0</v>
      </c>
      <c r="T27" s="901"/>
      <c r="U27" s="736"/>
      <c r="W27" s="931">
        <f>Q27</f>
        <v>0</v>
      </c>
      <c r="X27" s="938">
        <f>IF(J27="Year to Date",IF(OR(L27="",M27=""),0,M27-L27+1),IF(J27="monthly",365/12,IF(J27="fortnightly",14,IF(J27="weekly",7,365))))</f>
        <v>365</v>
      </c>
      <c r="Y27" s="939" t="b">
        <f>IF(E27="","",VLOOKUP(E27,'Configurable Items'!$D$4734:$E$4750,2,FALSE))</f>
        <v>1</v>
      </c>
      <c r="Z27" s="34"/>
      <c r="AB27" s="931">
        <f>IF(Y27=TRUE,IF(LEFT(D28,2)="SE",S27,Q27),0)</f>
        <v>0</v>
      </c>
      <c r="AC27" s="931">
        <f>IF(LEFT(D28,2)="SE",S27,Q27)</f>
        <v>0</v>
      </c>
      <c r="AD27" s="31"/>
      <c r="AE27" s="1375" cm="1">
        <f t="array" ref="AE27">SE_NPBT_Volatility(D28, $AC$10, IF(D28="SE - Sole Trader",G26,IF(D28="SE - Company",G31,G34)), IF(D28="SE - Sole Trader",O26,IF(D28="SE - Company",O31,O34)),2)</f>
        <v>1</v>
      </c>
      <c r="AK27" s="931" cm="1">
        <f t="array" ref="AK27">IF(AL26=0,0,IF(LEFT(D28,2)="SE",IF(Q27="","",AL26*(Q27/SUM(Q26:Q27))),
CONVERT_TO_MONTHLY(EmploymentIncomeComponent(E27, D28, G26/(1+(IF(I26=TRUE,mandatorySuperannuationContributions,0))), H26, J26, 0, H168, D30, X26, G27/(1+(IF(I26=TRUE,mandatorySuperannuationContributions,0))), H27, J27, F27, G29/(1+(IF(I26=TRUE,mandatorySuperannuationContributions,0))), H29, J29, F29, G28/(1+(IF(I26=TRUE,mandatorySuperannuationContributions,0))), H28, J28, F28, TRUE),"annually")))</f>
        <v>0</v>
      </c>
    </row>
    <row r="28" spans="2:44" ht="17.25" customHeight="1">
      <c r="B28" s="733"/>
      <c r="C28" s="1349">
        <f>D26</f>
        <v>0</v>
      </c>
      <c r="D28" s="917"/>
      <c r="E28" s="1346" t="str">
        <f>IF(D28="SE - Company Wages","Payslip",
IF(OR(D28="SE - Dual App",D28="SE - RM Verified"),"",
IF(LEFT(D28,2)="SE","Interest",
"Commission")))</f>
        <v>Commission</v>
      </c>
      <c r="F28" s="718"/>
      <c r="G28" s="916"/>
      <c r="H28" s="917"/>
      <c r="I28" s="718"/>
      <c r="J28" s="1484"/>
      <c r="K28" s="1484"/>
      <c r="L28" s="843" t="str">
        <f>IF(AND(E28="Payslip",Q26&gt;0,G28=""),"  Enter Amount",
IF(AND(Q26=0,E28="Payslip"), "  Enter ATO Income",
IF(AND(Q26&gt;0,E28="Payslip",OR(AD28&lt;Q26*0.85,AD28&gt;Q26*1.15)),"  Inconsistent income, enquire and capture in app notes","")))</f>
        <v/>
      </c>
      <c r="N28" s="836"/>
      <c r="O28" s="836"/>
      <c r="P28" s="836"/>
      <c r="Q28" s="931">
        <f>IF(OR(E28="",E28="Payslip"),0,IF(E28="Commission",CONVERT_TO_MONTHLY(EmploymentIncomeComponent(E28, D28, G26/(1+(IF(I26=TRUE,mandatorySuperannuationContributions,0))), H26, J26, 0, H168, D30, X26, G27/(1+(IF(I26=TRUE,mandatorySuperannuationContributions,0))), H27, J27, F27, G29/(1+(IF(I26=TRUE,mandatorySuperannuationContributions,0))), H29, J29, F29, G28/(1+(IF(I26=TRUE,mandatorySuperannuationContributions,0))), H28, J28, F28, FALSE),"annually"),CONVERT_TO_MONTHLY(G28,J28)*D30))</f>
        <v>0</v>
      </c>
      <c r="R28" s="47"/>
      <c r="S28" s="931">
        <f>IF(OR(E28="",E28="Payslip"),0,
IF(G28="",0,
IF(E28="Commission",CONVERT_TO_MONTHLY(Sensitise_Income(CONVERT_TO_ANNUALLY(Q28,"Monthly"), VLOOKUP(D26,$D$122:$H$123,5,FALSE), COMMISSION_SENSITIVITY_MULTIPLIER, 0, 0,FALSE),"Annually"),Q28)))</f>
        <v>0</v>
      </c>
      <c r="T28" s="901"/>
      <c r="U28" s="736"/>
      <c r="W28" s="931">
        <f>IF(LEFT(D28,2)="SE",0,Q28)</f>
        <v>0</v>
      </c>
      <c r="Y28" s="939" t="b">
        <f>IF(OR(E28="",E28="Payslip"),"",VLOOKUP(E28,'Configurable Items'!$D$4734:$E$4750,2,FALSE))</f>
        <v>1</v>
      </c>
      <c r="AA28" s="54"/>
      <c r="AB28" s="931">
        <f>IF(Y28=TRUE,IF(LEFT(D28,2)="SE",S28,Q28),0)</f>
        <v>0</v>
      </c>
      <c r="AC28" s="931">
        <f>IF(LEFT(D28,2)="SE",S28,Q28)</f>
        <v>0</v>
      </c>
      <c r="AD28" s="931" t="b" cm="1">
        <f t="array" ref="AD28">IF(E28="Payslip",IF(H28="After Tax",CONVERT_TO_MONTHLY(CONVERT_TO_GROSS(CONVERT_TO_ANNUALLY(G28,J28),TRUE,IF($D$11="",1,2),SUM($E$10:$E$11)),"Annually"),CONVERT_TO_MONTHLY(G28,J28)))</f>
        <v>0</v>
      </c>
      <c r="AE28" s="31"/>
      <c r="AK28" s="931" cm="1">
        <f t="array" ref="AK28">IF(AL26=0,0,IF(LEFT(D28,2)="SE","",
CONVERT_TO_MONTHLY(EmploymentIncomeComponent(E28, D28, G26/(1+(IF(I26=TRUE,mandatorySuperannuationContributions,0))), H26, J26, 0, H168, D30, X26, G27/(1+(IF(I26=TRUE,mandatorySuperannuationContributions,0))), H27, J27, F27, G29/(1+(IF(I26=TRUE,mandatorySuperannuationContributions,0))), H29, J29, F29, G28/(1+(IF(I26=TRUE,mandatorySuperannuationContributions,0))), H28, J28, F28, TRUE),"annually")))</f>
        <v>0</v>
      </c>
      <c r="AL28" s="31"/>
      <c r="AQ28" s="54"/>
    </row>
    <row r="29" spans="2:44" ht="17.25" customHeight="1">
      <c r="B29" s="733"/>
      <c r="C29" s="1349">
        <f>D26</f>
        <v>0</v>
      </c>
      <c r="D29" s="39"/>
      <c r="E29" s="1346" t="str">
        <f>IF(D28="SE - RM Verified","",
IF(LEFT(D28,2)="SE","Depreciation",
"Overtime"))</f>
        <v>Overtime</v>
      </c>
      <c r="F29" s="718"/>
      <c r="G29" s="916"/>
      <c r="H29" s="917"/>
      <c r="I29" s="718"/>
      <c r="J29" s="1484"/>
      <c r="K29" s="1484"/>
      <c r="L29" s="930"/>
      <c r="M29" s="928"/>
      <c r="N29" s="836"/>
      <c r="O29" s="836"/>
      <c r="P29" s="836"/>
      <c r="Q29" s="931">
        <f>IF(E29="",0,IF(E29="Overtime",CONVERT_TO_MONTHLY(EmploymentIncomeComponent(E29, D28, G26/(1+(IF(I26=TRUE,mandatorySuperannuationContributions,0))), H26, J26, 0, H168, D30, X26, G27/(1+(IF(I26=TRUE,mandatorySuperannuationContributions,0))), H27, J27, F27, G29/(1+(IF(I26=TRUE,mandatorySuperannuationContributions,0))), H29, J29, F29, G28/(1+(IF(I26=TRUE,mandatorySuperannuationContributions,0))), H28, J28, F28, FALSE),"annually"),CONVERT_TO_MONTHLY(G29,J29)*D30))</f>
        <v>0</v>
      </c>
      <c r="R29" s="47"/>
      <c r="S29" s="931">
        <f>IF(E29="",0,
IF(G29="",0,
IF(E29="Overtime",CONVERT_TO_MONTHLY(Sensitise_Income(CONVERT_TO_ANNUALLY(Q29,"Monthly"), VLOOKUP(D26,$D$122:$H$123,5,FALSE), COMMISSION_SENSITIVITY_MULTIPLIER, 0, 0,M29),"Annually"),Q29)))</f>
        <v>0</v>
      </c>
      <c r="T29" s="901"/>
      <c r="U29" s="736"/>
      <c r="W29" s="931">
        <f>IF(LEFT(D28,2)="SE",0,Q29)</f>
        <v>0</v>
      </c>
      <c r="Y29" s="939" t="b">
        <f>IF(E29="","",VLOOKUP(E29,'Configurable Items'!$D$4734:$E$4750,2,FALSE))</f>
        <v>1</v>
      </c>
      <c r="AB29" s="931">
        <f>IF(Y29=TRUE,IF(LEFT(D28,2)="SE",S29,Q29),0)</f>
        <v>0</v>
      </c>
      <c r="AC29" s="931">
        <f>IF(LEFT(D28,2)="SE",S29,Q29)</f>
        <v>0</v>
      </c>
      <c r="AD29" s="31"/>
      <c r="AE29" s="31"/>
      <c r="AK29" s="931" cm="1">
        <f t="array" ref="AK29">IF(AL26=0,0,IF(LEFT(D28,2)="SE","",
CONVERT_TO_MONTHLY(EmploymentIncomeComponent(E29, D28, G26/(1+(IF(I26=TRUE,mandatorySuperannuationContributions,0))), H26, J26, 0, H168, D30, X26, G27/(1+(IF(I26=TRUE,mandatorySuperannuationContributions,0))), H27, J27, F27, G29/(1+(IF(I26=TRUE,mandatorySuperannuationContributions,0))), H29, J29, F29, G28/(1+(IF(I26=TRUE,mandatorySuperannuationContributions,0))), H28, J28, F28, TRUE),"annually")))</f>
        <v>0</v>
      </c>
      <c r="AL29" s="31"/>
      <c r="AQ29" s="54"/>
      <c r="AR29" s="54"/>
    </row>
    <row r="30" spans="2:44" ht="17.25" hidden="1" customHeight="1">
      <c r="B30" s="733"/>
      <c r="C30" s="1349">
        <f>D26</f>
        <v>0</v>
      </c>
      <c r="D30" s="1371">
        <v>1</v>
      </c>
      <c r="E30" s="930" t="s">
        <v>8967</v>
      </c>
      <c r="F30" s="928"/>
      <c r="G30" s="910"/>
      <c r="H30" s="930" t="str">
        <f>VLOOKUP(E30,'Configurable Items'!$D$4734:$F$4758,3,FALSE)</f>
        <v/>
      </c>
      <c r="I30" s="928"/>
      <c r="J30" s="1485"/>
      <c r="K30" s="1485"/>
      <c r="L30" s="3"/>
      <c r="M30" s="3"/>
      <c r="N30" s="836"/>
      <c r="O30" s="836"/>
      <c r="P30" s="836"/>
      <c r="Q30" s="931">
        <f>IF(E30= "Select Type",0,IF(E30="",0,IF(J30="Year to Date",CONVERT_TO_MONTHLY(G30,J30,X26),CONVERT_TO_MONTHLY(G30,J30))*IF(LEFT(D28,2)="SE",D30,1)))</f>
        <v>0</v>
      </c>
      <c r="R30" s="47"/>
      <c r="S30" s="931">
        <f>Q30</f>
        <v>0</v>
      </c>
      <c r="T30" s="714"/>
      <c r="U30" s="1013"/>
      <c r="W30" s="931">
        <f>Q30</f>
        <v>0</v>
      </c>
      <c r="Y30" s="1022" t="b">
        <f>IF(H30="",IF(E30="",TRUE,VLOOKUP(E30,'Configurable Items'!$D$4734:$E$4758,2,FALSE)),IF(H30="Taxable",TRUE,FALSE))</f>
        <v>1</v>
      </c>
      <c r="Z30" s="1023">
        <f>IF(E30="Personal Tax Deduction",#REF!,0)</f>
        <v>0</v>
      </c>
      <c r="AB30" s="1020">
        <f>IF(Y30=TRUE,IF(LEFT(D28,2)="SE",S30,Q30),0)</f>
        <v>0</v>
      </c>
      <c r="AC30" s="1023">
        <f>IF(LEFT(D28,2)="SE",S30,Q30)</f>
        <v>0</v>
      </c>
      <c r="AD30" s="31"/>
      <c r="AE30" s="31"/>
      <c r="AK30" s="931">
        <f>IF(AL26=0,0,IF(LEFT(D28,2)="SE","",
IF(H30="Taxable",AN26-SUM(AK26:AK29),Q30)))</f>
        <v>0</v>
      </c>
      <c r="AL30" s="54"/>
      <c r="AQ30" s="54"/>
      <c r="AR30" s="54"/>
    </row>
    <row r="31" spans="2:44" ht="17.25" hidden="1" customHeight="1">
      <c r="B31" s="733"/>
      <c r="C31" s="1349">
        <f>D26</f>
        <v>0</v>
      </c>
      <c r="D31" s="845"/>
      <c r="E31" s="1348" t="s">
        <v>8977</v>
      </c>
      <c r="F31" s="928"/>
      <c r="G31" s="910"/>
      <c r="H31" s="930" t="str">
        <f>VLOOKUP(E31,'Configurable Items'!$D$4734:$F$4758,3,FALSE)</f>
        <v/>
      </c>
      <c r="I31" s="928"/>
      <c r="J31" s="1485"/>
      <c r="K31" s="1485"/>
      <c r="L31" s="3"/>
      <c r="M31" s="3"/>
      <c r="N31" s="846"/>
      <c r="O31" s="846"/>
      <c r="P31" s="846"/>
      <c r="Q31" s="931">
        <f>IF(E31= "Select Type",0,IF(E31="",0,IF(J31="Year to Date",CONVERT_TO_MONTHLY(G31,J31,X26),CONVERT_TO_MONTHLY(G31,J31))*IF(LEFT(D28,2)="SE",D30,1)))</f>
        <v>0</v>
      </c>
      <c r="R31" s="47"/>
      <c r="S31" s="931">
        <f>Q31*AE31</f>
        <v>0</v>
      </c>
      <c r="T31" s="714"/>
      <c r="U31" s="1013"/>
      <c r="W31" s="931">
        <f>IF(LEFT(D28,2)="SE",IF(Y31=TRUE,Q31,0),Q31)</f>
        <v>0</v>
      </c>
      <c r="Y31" s="1022" t="b">
        <f>IF(H31="",IF(E31="",TRUE,VLOOKUP(E31,'Configurable Items'!$D$4734:$E$4758,2,FALSE)),IF(H31="Taxable",TRUE,FALSE))</f>
        <v>0</v>
      </c>
      <c r="Z31" s="1023">
        <f>IF(E31="Personal Tax Deduction",G31,0)</f>
        <v>0</v>
      </c>
      <c r="AB31" s="1020">
        <f>IF(Y31=TRUE,IF(LEFT(D28,2)="SE",S31,Q31),0)</f>
        <v>0</v>
      </c>
      <c r="AC31" s="1023">
        <f>IF(LEFT(D28,2)="SE",S31,Q31)</f>
        <v>0</v>
      </c>
      <c r="AD31" s="31"/>
      <c r="AE31" s="1375" cm="1">
        <f t="array" ref="AE31">SE_NPBT_Volatility(D28, $AC$10, IF(D28="SE - Sole Trader",G26,IF(D28="SE - Company",G31,G34)), IF(D28="SE - Sole Trader",O26,IF(D28="SE - Company",O31,O34)),6)</f>
        <v>1</v>
      </c>
      <c r="AJ31" s="31"/>
    </row>
    <row r="32" spans="2:44" ht="17.25" hidden="1" customHeight="1">
      <c r="B32" s="733"/>
      <c r="C32" s="1349">
        <f>D26</f>
        <v>0</v>
      </c>
      <c r="D32" s="845"/>
      <c r="E32" s="1348" t="s">
        <v>8977</v>
      </c>
      <c r="F32" s="928"/>
      <c r="G32" s="910"/>
      <c r="H32" s="930" t="str">
        <f>VLOOKUP(E32,'Configurable Items'!$D$4734:$F$4758,3,FALSE)</f>
        <v/>
      </c>
      <c r="I32" s="928"/>
      <c r="J32" s="1485"/>
      <c r="K32" s="1485"/>
      <c r="L32" s="3"/>
      <c r="M32" s="3"/>
      <c r="N32" s="846"/>
      <c r="O32" s="846"/>
      <c r="P32" s="846"/>
      <c r="Q32" s="931">
        <f>IF(E32= "Select Type",0,IF(E32="",0,IF(J32="Year to Date",CONVERT_TO_MONTHLY(G32,J32,X26),CONVERT_TO_MONTHLY(G32,J32))*IF(LEFT(D28,2)="SE",D30,1)))</f>
        <v>0</v>
      </c>
      <c r="R32" s="47"/>
      <c r="S32" s="931">
        <f>Q32</f>
        <v>0</v>
      </c>
      <c r="T32" s="714"/>
      <c r="U32" s="1013"/>
      <c r="W32" s="931">
        <f>IF(LEFT(D28,2)="SE",IF(Y32=TRUE,Q32,0),Q32)</f>
        <v>0</v>
      </c>
      <c r="Y32" s="1022" t="b">
        <f>IF(H32="",IF(E32="",TRUE,VLOOKUP(E32,'Configurable Items'!$D$4734:$E$4758,2,FALSE)),IF(H32="Taxable",TRUE,FALSE))</f>
        <v>0</v>
      </c>
      <c r="Z32" s="1023">
        <f>IF(E32="Personal Tax Deduction",G32,0)</f>
        <v>0</v>
      </c>
      <c r="AB32" s="1020">
        <f>IF(Y32=TRUE,IF(LEFT(D28,2)="SE",S32,Q32),0)</f>
        <v>0</v>
      </c>
      <c r="AC32" s="1023">
        <f>IF(LEFT(D28,2)="SE",S32,Q32)</f>
        <v>0</v>
      </c>
      <c r="AD32" s="31"/>
      <c r="AE32" s="31"/>
      <c r="AJ32" s="31"/>
    </row>
    <row r="33" spans="2:38" ht="17.25" hidden="1" customHeight="1">
      <c r="B33" s="733"/>
      <c r="C33" s="1349">
        <f>D26</f>
        <v>0</v>
      </c>
      <c r="D33" s="845"/>
      <c r="E33" s="1348" t="s">
        <v>8977</v>
      </c>
      <c r="F33" s="928"/>
      <c r="G33" s="910"/>
      <c r="H33" s="930" t="str">
        <f>VLOOKUP(E33,'Configurable Items'!$D$4734:$F$4758,3,FALSE)</f>
        <v/>
      </c>
      <c r="I33" s="928"/>
      <c r="J33" s="1485"/>
      <c r="K33" s="1485"/>
      <c r="L33" s="3"/>
      <c r="M33" s="3"/>
      <c r="N33" s="846"/>
      <c r="O33" s="846"/>
      <c r="P33" s="846"/>
      <c r="Q33" s="931">
        <f>IF(E33= "Select Type",0,IF(E33="",0,IF(J33="Year to Date",CONVERT_TO_MONTHLY(G33,J33,X26),CONVERT_TO_MONTHLY(G33,J33))*IF(LEFT(D28,2)="SE",D30,1)))</f>
        <v>0</v>
      </c>
      <c r="R33" s="47"/>
      <c r="S33" s="931">
        <f>Q33</f>
        <v>0</v>
      </c>
      <c r="T33" s="714"/>
      <c r="U33" s="1013"/>
      <c r="W33" s="931">
        <f>IF(LEFT(D28,2)="SE",IF(Y33=TRUE,Q33,0),Q33)</f>
        <v>0</v>
      </c>
      <c r="Y33" s="1022" t="b">
        <f>IF(H33="",IF(E33="",TRUE,VLOOKUP(E33,'Configurable Items'!$D$4734:$E$4758,2,FALSE)),IF(H33="Taxable",TRUE,FALSE))</f>
        <v>0</v>
      </c>
      <c r="Z33" s="1023">
        <f>IF(E33="Personal Tax Deduction",G33,0)</f>
        <v>0</v>
      </c>
      <c r="AB33" s="1020">
        <f>IF(Y33=TRUE,IF(LEFT(D28,2)="SE",S33,Q33),0)</f>
        <v>0</v>
      </c>
      <c r="AC33" s="1023">
        <f>IF(LEFT(D28,2)="SE",S33,Q33)</f>
        <v>0</v>
      </c>
      <c r="AD33" s="31"/>
      <c r="AE33" s="31"/>
      <c r="AJ33" s="31"/>
    </row>
    <row r="34" spans="2:38" ht="17.25" hidden="1" customHeight="1">
      <c r="B34" s="733"/>
      <c r="C34" s="1349">
        <f>D26</f>
        <v>0</v>
      </c>
      <c r="D34" s="845"/>
      <c r="E34" s="1348" t="s">
        <v>8977</v>
      </c>
      <c r="F34" s="928"/>
      <c r="G34" s="910"/>
      <c r="H34" s="930" t="str">
        <f>VLOOKUP(E34,'Configurable Items'!$D$4734:$F$4758,3,FALSE)</f>
        <v/>
      </c>
      <c r="I34" s="928"/>
      <c r="J34" s="1485"/>
      <c r="K34" s="1485"/>
      <c r="L34" s="3"/>
      <c r="M34" s="3"/>
      <c r="N34" s="846"/>
      <c r="O34" s="846"/>
      <c r="P34" s="846"/>
      <c r="Q34" s="931">
        <f>IF(E34= "Select Type",0,IF(E34="",0,IF(J34="Year to Date",CONVERT_TO_MONTHLY(G34,J34,X26),
CONVERT_TO_MONTHLY(G34,J34))*AE34))</f>
        <v>0</v>
      </c>
      <c r="R34" s="47"/>
      <c r="S34" s="931">
        <f>Q34</f>
        <v>0</v>
      </c>
      <c r="T34" s="714"/>
      <c r="U34" s="1013"/>
      <c r="W34" s="931">
        <f>IF(LEFT(D28,2)="SE",IF(Y34=TRUE,Q34,0),Q34)</f>
        <v>0</v>
      </c>
      <c r="Y34" s="1022" t="b">
        <f>IF(H34="",IF(E34="",TRUE,VLOOKUP(E34,'Configurable Items'!$D$4734:$E$4758,2,FALSE)),IF(H34="Taxable",TRUE,FALSE))</f>
        <v>0</v>
      </c>
      <c r="Z34" s="1023">
        <f>IF(E34="Personal Tax Deduction",G34,0)</f>
        <v>0</v>
      </c>
      <c r="AB34" s="1020">
        <f>IF(Y34=TRUE,IF(LEFT(D28,2)="SE",S34,Q34),0)</f>
        <v>0</v>
      </c>
      <c r="AC34" s="1023">
        <f>IF(LEFT(D28,2)="SE",S34,Q34)</f>
        <v>0</v>
      </c>
      <c r="AD34" s="31"/>
      <c r="AE34" s="1375">
        <f>IF(OR(D28="SE - Partnership",D28="SE - Trust (Comp ATF)", D28 = "SE - Trust (Ind ATF)"),0,1)</f>
        <v>1</v>
      </c>
      <c r="AJ34" s="31"/>
    </row>
    <row r="35" spans="2:38" ht="17.25" customHeight="1">
      <c r="B35" s="733"/>
      <c r="C35" s="903"/>
      <c r="D35" s="845"/>
      <c r="E35" s="859"/>
      <c r="F35" s="1353" t="str" cm="1">
        <f t="array" ref="F35">IF(Employment_Message(D28, D30, G26:G34, O26:O34,$AC$10, AE35)=0,"",Employment_Message(D28, D30, G26:G34, O26:O34,$AC$10, AE35))</f>
        <v/>
      </c>
      <c r="G35" s="918"/>
      <c r="H35" s="682"/>
      <c r="I35" s="534"/>
      <c r="J35" s="845"/>
      <c r="K35" s="3"/>
      <c r="L35" s="3"/>
      <c r="M35" s="3"/>
      <c r="N35" s="846"/>
      <c r="O35" s="846"/>
      <c r="P35" s="846"/>
      <c r="Q35" s="847"/>
      <c r="R35" s="848"/>
      <c r="S35" s="847"/>
      <c r="T35" s="901"/>
      <c r="U35" s="736"/>
      <c r="W35" s="55"/>
      <c r="AD35" s="31"/>
      <c r="AE35" s="1375">
        <f>MIN(AE26:AE31)</f>
        <v>1</v>
      </c>
      <c r="AJ35" s="31"/>
    </row>
    <row r="36" spans="2:38" ht="3.75" hidden="1" customHeight="1">
      <c r="B36" s="733"/>
      <c r="C36" s="903"/>
      <c r="D36" s="845"/>
      <c r="E36" s="859"/>
      <c r="F36" s="534"/>
      <c r="G36" s="918"/>
      <c r="H36" s="682"/>
      <c r="I36" s="534"/>
      <c r="J36" s="845"/>
      <c r="K36" s="3"/>
      <c r="L36" s="3"/>
      <c r="M36" s="3"/>
      <c r="N36" s="846"/>
      <c r="O36" s="846"/>
      <c r="P36" s="846"/>
      <c r="Q36" s="847"/>
      <c r="R36" s="848"/>
      <c r="S36" s="847"/>
      <c r="T36" s="901"/>
      <c r="U36" s="736"/>
      <c r="W36" s="55"/>
      <c r="AD36" s="31"/>
      <c r="AE36" s="31"/>
      <c r="AJ36" s="31"/>
    </row>
    <row r="37" spans="2:38" ht="17.25" customHeight="1">
      <c r="B37" s="733"/>
      <c r="C37" s="713"/>
      <c r="D37" s="3"/>
      <c r="E37" s="3"/>
      <c r="F37" s="3"/>
      <c r="G37" s="3"/>
      <c r="H37" s="3"/>
      <c r="I37" s="3"/>
      <c r="J37" s="3"/>
      <c r="K37" s="3"/>
      <c r="L37" s="3"/>
      <c r="M37" s="3"/>
      <c r="N37" s="3"/>
      <c r="O37" s="3"/>
      <c r="P37" s="3"/>
      <c r="Q37" s="56">
        <f t="array" ref="Q37">SUM(ROUND(Q18:Q36,2))</f>
        <v>0</v>
      </c>
      <c r="R37" s="849"/>
      <c r="S37" s="56">
        <f t="array" ref="S37">SUM(ROUND(S18:S36,2))</f>
        <v>0</v>
      </c>
      <c r="T37" s="901"/>
      <c r="U37" s="736"/>
      <c r="AC37" s="56">
        <f t="array" ref="AC37">SUM(ROUND(AC18:AC36,2))</f>
        <v>0</v>
      </c>
      <c r="AD37" s="31"/>
      <c r="AE37" s="31"/>
      <c r="AJ37" s="31"/>
    </row>
    <row r="38" spans="2:38" ht="17.25" customHeight="1">
      <c r="B38" s="733"/>
      <c r="C38" s="904"/>
      <c r="D38" s="7" t="s">
        <v>61</v>
      </c>
      <c r="G38" s="32"/>
      <c r="H38" s="32"/>
      <c r="I38" s="32"/>
      <c r="J38" s="32"/>
      <c r="L38" s="34"/>
      <c r="M38" s="34"/>
      <c r="N38" s="34"/>
      <c r="O38" s="34"/>
      <c r="P38" s="34"/>
      <c r="Q38" s="838"/>
      <c r="R38" s="493"/>
      <c r="S38" s="838"/>
      <c r="T38" s="901"/>
      <c r="U38" s="736"/>
      <c r="AA38" s="39" t="s">
        <v>62</v>
      </c>
      <c r="AB38" s="39" t="s">
        <v>63</v>
      </c>
      <c r="AC38" s="39"/>
      <c r="AD38" s="39" t="s">
        <v>64</v>
      </c>
      <c r="AE38" s="39"/>
      <c r="AF38" s="39" t="s">
        <v>65</v>
      </c>
      <c r="AG38" s="39" t="s">
        <v>66</v>
      </c>
      <c r="AH38" s="39"/>
      <c r="AJ38" s="31"/>
    </row>
    <row r="39" spans="2:38" ht="16.5" customHeight="1">
      <c r="B39" s="733"/>
      <c r="C39" s="713"/>
      <c r="D39" s="36" t="s">
        <v>41</v>
      </c>
      <c r="E39" s="36" t="s">
        <v>13</v>
      </c>
      <c r="F39" s="36" t="s">
        <v>67</v>
      </c>
      <c r="G39" s="36" t="s">
        <v>68</v>
      </c>
      <c r="H39" s="36" t="s">
        <v>15</v>
      </c>
      <c r="I39" s="833" t="s">
        <v>69</v>
      </c>
      <c r="J39" s="36" t="s">
        <v>70</v>
      </c>
      <c r="M39" s="36" t="s">
        <v>71</v>
      </c>
      <c r="O39" s="836"/>
      <c r="P39" s="836"/>
      <c r="Q39" s="36" t="s">
        <v>47</v>
      </c>
      <c r="R39" s="1302"/>
      <c r="S39" s="39" t="s">
        <v>48</v>
      </c>
      <c r="T39" s="714"/>
      <c r="U39" s="736"/>
      <c r="W39" s="39" t="s">
        <v>49</v>
      </c>
      <c r="X39" s="39" t="s">
        <v>54</v>
      </c>
      <c r="Y39" s="39" t="s">
        <v>72</v>
      </c>
      <c r="Z39" s="39" t="s">
        <v>73</v>
      </c>
      <c r="AA39" s="39"/>
      <c r="AB39" s="39"/>
      <c r="AC39" s="39"/>
      <c r="AD39" s="39"/>
      <c r="AE39" s="39"/>
      <c r="AF39" s="39"/>
      <c r="AG39" s="39" t="str">
        <f>IF($D$10="","",$D$10)</f>
        <v/>
      </c>
      <c r="AH39" s="39" t="str">
        <f>IF($D$11="","",$D$11)</f>
        <v/>
      </c>
      <c r="AI39" s="39" t="s">
        <v>74</v>
      </c>
      <c r="AJ39" s="36" t="s">
        <v>51</v>
      </c>
      <c r="AK39" s="36" t="s">
        <v>9105</v>
      </c>
      <c r="AL39" s="39" t="s">
        <v>9106</v>
      </c>
    </row>
    <row r="40" spans="2:38" ht="16.5" hidden="1" customHeight="1">
      <c r="B40" s="733"/>
      <c r="C40" s="713"/>
      <c r="D40" s="36"/>
      <c r="E40" s="24" t="s">
        <v>75</v>
      </c>
      <c r="F40" s="36"/>
      <c r="G40" s="36"/>
      <c r="H40" s="36"/>
      <c r="I40" s="36"/>
      <c r="J40" s="36"/>
      <c r="N40" s="850"/>
      <c r="O40" s="850"/>
      <c r="P40" s="850"/>
      <c r="Q40" s="39"/>
      <c r="R40" s="47"/>
      <c r="S40" s="39"/>
      <c r="T40" s="714"/>
      <c r="U40" s="736"/>
      <c r="W40" s="32"/>
      <c r="X40" s="32"/>
      <c r="Y40" s="32"/>
      <c r="AA40" s="39"/>
      <c r="AB40" s="39"/>
      <c r="AC40" s="39"/>
      <c r="AD40" s="39"/>
      <c r="AE40" s="39"/>
      <c r="AF40" s="39"/>
      <c r="AJ40" s="36"/>
      <c r="AK40" s="36"/>
      <c r="AL40" s="36"/>
    </row>
    <row r="41" spans="2:38" ht="16.5" hidden="1" customHeight="1">
      <c r="B41" s="733"/>
      <c r="C41" s="713"/>
      <c r="D41" s="36"/>
      <c r="E41" s="24" t="s">
        <v>76</v>
      </c>
      <c r="F41" s="36"/>
      <c r="G41" s="36"/>
      <c r="H41" s="24" t="s">
        <v>16</v>
      </c>
      <c r="I41" s="36"/>
      <c r="J41" s="36"/>
      <c r="N41" s="850"/>
      <c r="O41" s="850"/>
      <c r="P41" s="850"/>
      <c r="Q41" s="39"/>
      <c r="R41" s="47"/>
      <c r="S41" s="39"/>
      <c r="T41" s="714"/>
      <c r="U41" s="736"/>
      <c r="W41" s="32"/>
      <c r="X41" s="32"/>
      <c r="Y41" s="32"/>
      <c r="AA41" s="39"/>
      <c r="AB41" s="39"/>
      <c r="AC41" s="39"/>
      <c r="AD41" s="39"/>
      <c r="AE41" s="39"/>
      <c r="AF41" s="39"/>
      <c r="AJ41" s="36"/>
      <c r="AK41" s="36"/>
      <c r="AL41" s="36"/>
    </row>
    <row r="42" spans="2:38" ht="16.5" hidden="1" customHeight="1">
      <c r="B42" s="733"/>
      <c r="C42" s="713"/>
      <c r="D42" s="36"/>
      <c r="E42" s="24" t="s">
        <v>77</v>
      </c>
      <c r="F42" s="36"/>
      <c r="G42" s="36"/>
      <c r="H42" s="24" t="s">
        <v>17</v>
      </c>
      <c r="I42" s="36"/>
      <c r="J42" s="36"/>
      <c r="N42" s="850"/>
      <c r="O42" s="850"/>
      <c r="P42" s="850"/>
      <c r="Q42" s="39"/>
      <c r="R42" s="47"/>
      <c r="S42" s="39"/>
      <c r="T42" s="714"/>
      <c r="U42" s="736"/>
      <c r="W42" s="32"/>
      <c r="X42" s="32"/>
      <c r="Y42" s="32"/>
      <c r="AA42" s="39"/>
      <c r="AB42" s="39"/>
      <c r="AC42" s="39"/>
      <c r="AD42" s="39"/>
      <c r="AE42" s="39"/>
      <c r="AF42" s="39"/>
      <c r="AJ42" s="36"/>
      <c r="AK42" s="36"/>
      <c r="AL42" s="36"/>
    </row>
    <row r="43" spans="2:38" ht="16.5" hidden="1" customHeight="1">
      <c r="B43" s="733"/>
      <c r="C43" s="713"/>
      <c r="D43" s="36"/>
      <c r="E43" s="24" t="s">
        <v>78</v>
      </c>
      <c r="F43" s="36"/>
      <c r="G43" s="36"/>
      <c r="H43" s="24" t="s">
        <v>3</v>
      </c>
      <c r="I43" s="36"/>
      <c r="J43" s="36"/>
      <c r="N43" s="850"/>
      <c r="O43" s="850"/>
      <c r="P43" s="850"/>
      <c r="Q43" s="39"/>
      <c r="R43" s="47"/>
      <c r="S43" s="39"/>
      <c r="T43" s="714"/>
      <c r="U43" s="736"/>
      <c r="W43" s="32"/>
      <c r="X43" s="32"/>
      <c r="Y43" s="32"/>
      <c r="AA43" s="39"/>
      <c r="AB43" s="39"/>
      <c r="AC43" s="39"/>
      <c r="AD43" s="39"/>
      <c r="AE43" s="39"/>
      <c r="AF43" s="39"/>
      <c r="AJ43" s="36"/>
      <c r="AK43" s="36"/>
      <c r="AL43" s="36"/>
    </row>
    <row r="44" spans="2:38" ht="16.5" hidden="1" customHeight="1">
      <c r="B44" s="733"/>
      <c r="C44" s="713"/>
      <c r="D44" s="24"/>
      <c r="E44" s="24" t="s">
        <v>79</v>
      </c>
      <c r="F44" s="36"/>
      <c r="G44" s="36"/>
      <c r="H44" s="24" t="s">
        <v>18</v>
      </c>
      <c r="I44" s="36"/>
      <c r="J44" s="36"/>
      <c r="N44" s="850"/>
      <c r="O44" s="850"/>
      <c r="P44" s="850"/>
      <c r="Q44" s="39"/>
      <c r="R44" s="47"/>
      <c r="S44" s="39"/>
      <c r="T44" s="714"/>
      <c r="U44" s="736"/>
      <c r="W44" s="32"/>
      <c r="X44" s="32"/>
      <c r="Y44" s="32"/>
      <c r="AA44" s="39"/>
      <c r="AB44" s="39"/>
      <c r="AC44" s="39"/>
      <c r="AD44" s="39"/>
      <c r="AE44" s="39"/>
      <c r="AF44" s="39"/>
      <c r="AJ44" s="36"/>
      <c r="AK44" s="36"/>
      <c r="AL44" s="36"/>
    </row>
    <row r="45" spans="2:38" ht="16.5" hidden="1" customHeight="1">
      <c r="B45" s="733"/>
      <c r="C45" s="713"/>
      <c r="D45" s="24" t="s">
        <v>58</v>
      </c>
      <c r="E45" s="24" t="s">
        <v>80</v>
      </c>
      <c r="F45" s="36"/>
      <c r="G45" s="36"/>
      <c r="H45" s="24" t="s">
        <v>2</v>
      </c>
      <c r="I45" s="36"/>
      <c r="J45" s="36"/>
      <c r="N45" s="850"/>
      <c r="O45" s="850"/>
      <c r="P45" s="850"/>
      <c r="Q45" s="39"/>
      <c r="R45" s="47"/>
      <c r="S45" s="39"/>
      <c r="T45" s="714"/>
      <c r="U45" s="736"/>
      <c r="W45" s="32"/>
      <c r="X45" s="32"/>
      <c r="Y45" s="32"/>
      <c r="AA45" s="39"/>
      <c r="AB45" s="39"/>
      <c r="AC45" s="39"/>
      <c r="AD45" s="39"/>
      <c r="AE45" s="39"/>
      <c r="AF45" s="39"/>
      <c r="AJ45" s="36"/>
      <c r="AK45" s="36"/>
      <c r="AL45" s="36"/>
    </row>
    <row r="46" spans="2:38" ht="16.5" hidden="1" customHeight="1">
      <c r="B46" s="733"/>
      <c r="C46" s="713"/>
      <c r="D46" s="24" t="str">
        <f>IF($D$11="","Other",$D$11)</f>
        <v>Other</v>
      </c>
      <c r="E46" s="24" t="s">
        <v>81</v>
      </c>
      <c r="F46" s="36"/>
      <c r="G46" s="36"/>
      <c r="H46" s="24" t="s">
        <v>19</v>
      </c>
      <c r="I46" s="36"/>
      <c r="J46" s="36"/>
      <c r="N46" s="850"/>
      <c r="O46" s="850"/>
      <c r="P46" s="850"/>
      <c r="Q46" s="39"/>
      <c r="R46" s="47"/>
      <c r="S46" s="39"/>
      <c r="T46" s="714"/>
      <c r="U46" s="736"/>
      <c r="W46" s="32"/>
      <c r="X46" s="32"/>
      <c r="Y46" s="32"/>
      <c r="AA46" s="39"/>
      <c r="AB46" s="39"/>
      <c r="AC46" s="39"/>
      <c r="AD46" s="39"/>
      <c r="AE46" s="39"/>
      <c r="AF46" s="39"/>
      <c r="AJ46" s="36"/>
      <c r="AK46" s="36"/>
      <c r="AL46" s="36"/>
    </row>
    <row r="47" spans="2:38" ht="16.5" hidden="1" customHeight="1">
      <c r="B47" s="733"/>
      <c r="C47" s="713"/>
      <c r="D47" s="24">
        <f>$D$10</f>
        <v>0</v>
      </c>
      <c r="E47" s="24" t="s">
        <v>58</v>
      </c>
      <c r="F47" s="36"/>
      <c r="G47" s="36"/>
      <c r="H47" s="24" t="s">
        <v>20</v>
      </c>
      <c r="J47" s="36"/>
      <c r="N47" s="850"/>
      <c r="O47" s="850"/>
      <c r="P47" s="850"/>
      <c r="Q47" s="39" t="s">
        <v>82</v>
      </c>
      <c r="R47" s="47"/>
      <c r="S47" s="39" t="s">
        <v>83</v>
      </c>
      <c r="T47" s="901"/>
      <c r="U47" s="736"/>
      <c r="W47" s="39" t="s">
        <v>49</v>
      </c>
      <c r="X47" s="39" t="s">
        <v>54</v>
      </c>
      <c r="Y47" s="32"/>
      <c r="AA47" s="39"/>
      <c r="AB47" s="39" t="str">
        <f>IF($D$10="","",$D$10)</f>
        <v/>
      </c>
      <c r="AC47" s="39" t="str">
        <f>IF($D$11="","",$D$11)</f>
        <v/>
      </c>
      <c r="AD47" s="39" t="str">
        <f>IF($D$10="","",$D$10)</f>
        <v/>
      </c>
      <c r="AE47" s="39" t="str">
        <f>IF($D$11="","",$D$11)</f>
        <v/>
      </c>
      <c r="AF47" s="39"/>
      <c r="AJ47" s="36"/>
      <c r="AK47" s="36"/>
      <c r="AL47" s="36"/>
    </row>
    <row r="48" spans="2:38" ht="16.5" customHeight="1">
      <c r="B48" s="733"/>
      <c r="C48" s="713"/>
      <c r="D48" s="911"/>
      <c r="E48" s="912"/>
      <c r="F48" s="912"/>
      <c r="G48" s="910"/>
      <c r="H48" s="924"/>
      <c r="I48" s="910"/>
      <c r="J48" s="1488"/>
      <c r="K48" s="1495"/>
      <c r="L48" s="1495"/>
      <c r="M48" s="1484"/>
      <c r="N48" s="1484"/>
      <c r="O48" s="1484"/>
      <c r="P48" s="851">
        <v>3182025135805</v>
      </c>
      <c r="Q48" s="931">
        <f>Calculate_CSV_Incomes(ROW(E48), F48, G48, H48, AB48, AC48)</f>
        <v>0</v>
      </c>
      <c r="R48" s="47"/>
      <c r="S48" s="931">
        <f>(IF(ISBLANK(E48),0,Calculate_Income(D48,E48,F48,G48,H48,I48,"BAV",SUM($H$122:$H$123),AA48,Q48,AB48,AC48)))</f>
        <v>0</v>
      </c>
      <c r="T48" s="901"/>
      <c r="U48" s="736"/>
      <c r="W48" s="931">
        <f>HEM_INCOME(IF(E48="Overseas",F48,E48),Q48,S48,I48)</f>
        <v>0</v>
      </c>
      <c r="X48" s="931">
        <f>TAX_INCOME(IF(E48="Overseas",F48,E48), AJ48, Q48, Z48, I48,AF48)</f>
        <v>0</v>
      </c>
      <c r="Y48" s="931">
        <f>IF(E48="Overseas",
IF(F48="Interest",X48,
IF(F48="Dividends",X48,
IF(F48="Employment (Regular)",CONVERT_TO_MONTHLY(G48,H48),
IF(F48="Employment (Irregular)",CONVERT_TO_MONTHLY(G48,H48),
Q48)))),0)</f>
        <v>0</v>
      </c>
      <c r="Z48" s="931">
        <f>IF(OR(E48="Rent (Resi)",F48="Rent (Resi)",E48="Rent (Short Stay)",F48="Rent (Short Stay)"),MIN(CONVERT_TO_MONTHLY(I48*RENTAL_YIELD_CAP*(AB48+AC48),"Annually"),Q48),0)</f>
        <v>0</v>
      </c>
      <c r="AA48" s="934">
        <f>AD48*$H$122+AE48*$H$123</f>
        <v>0</v>
      </c>
      <c r="AB48" s="934">
        <f>IF(D48=$D$10,1,
IF(D48=$D$11,0,
IF(ISERR(SEARCH($D$10,D48)),0,
(MID(D48,LEN($D$10)+2,SEARCH("%",D48)-LEN($D$10)-2)/100))))</f>
        <v>1</v>
      </c>
      <c r="AC48" s="934">
        <f>IF($D$11="",0,IF(D48=$D$11,1,
IF(D48=$D$10,0,
IF(ISERR(SEARCH($D$11,D48)),0,
MID(D48,SEARCH($D$11,D48)+LEN($D$11)+1,LEN(D48)-(SEARCH($D$11,D48)+LEN($D$11)+1))/100))))</f>
        <v>0</v>
      </c>
      <c r="AD48" s="934">
        <f>IF(SUM(AB48:AC48)=0,0,AB48/SUM(AB48:AC48))</f>
        <v>1</v>
      </c>
      <c r="AE48" s="934">
        <f>IF(SUM(AB48:AC48)=0,0,AC48/SUM(AB48:AC48))</f>
        <v>0</v>
      </c>
      <c r="AF48" s="934">
        <f>AC48+AB48</f>
        <v>1</v>
      </c>
      <c r="AG48" s="940">
        <f>IF(Q48=0,0,AB48*AI48)</f>
        <v>0</v>
      </c>
      <c r="AH48" s="940">
        <f>IF(Q48=0,0,AE48*AI48)</f>
        <v>0</v>
      </c>
      <c r="AI48" s="931">
        <f>MAX(RESI_INVESTMENT_EXPENSE_SENSITIVITY_MULTIPLIER * Z48*12, J48)</f>
        <v>0</v>
      </c>
      <c r="AJ48" s="938" t="str">
        <f>IF(IF(ISBLANK(F48),IF(ISBLANK(E48),"",VLOOKUP(E48,'Configurable Items'!$D$4690:$G$4700,4,FALSE)),VLOOKUP(F48,'Configurable Items'!$E$4702:$F$4730,2,FALSE))=0,"",IF(ISBLANK(F48),IF(ISBLANK(E48),"",VLOOKUP(E48,'Configurable Items'!$D$4690:$G$4700,4,FALSE)),VLOOKUP(F48,'Configurable Items'!$E$4702:$F$4730,2,FALSE)))</f>
        <v/>
      </c>
      <c r="AK48" s="931">
        <f>MAX(RESI_INVESTMENT_EXPENSE_SENSITIVITY_MULTIPLIER * Z48,AL48)</f>
        <v>0</v>
      </c>
      <c r="AL48" s="931">
        <f>J48/12*AF48</f>
        <v>0</v>
      </c>
    </row>
    <row r="49" spans="2:38" ht="1.5" customHeight="1">
      <c r="B49" s="733"/>
      <c r="C49" s="713"/>
      <c r="D49" s="852"/>
      <c r="E49" s="57"/>
      <c r="F49" s="57"/>
      <c r="G49" s="55"/>
      <c r="H49" s="46"/>
      <c r="I49" s="57"/>
      <c r="J49" s="58"/>
      <c r="L49" s="853"/>
      <c r="M49" s="853"/>
      <c r="Q49" s="854"/>
      <c r="R49" s="40"/>
      <c r="S49" s="854"/>
      <c r="T49" s="901"/>
      <c r="U49" s="736"/>
      <c r="AD49" s="31"/>
      <c r="AE49" s="31"/>
      <c r="AJ49" s="31"/>
    </row>
    <row r="50" spans="2:38" ht="16.5" customHeight="1">
      <c r="B50" s="733"/>
      <c r="C50" s="713"/>
      <c r="L50" s="850"/>
      <c r="M50" s="850"/>
      <c r="N50" s="850"/>
      <c r="O50" s="34"/>
      <c r="P50" s="34"/>
      <c r="Q50" s="56" cm="1">
        <f t="array" ref="Q50">SUM(ROUND(Q48:Q49,2))</f>
        <v>0</v>
      </c>
      <c r="R50" s="855"/>
      <c r="S50" s="56">
        <f t="array" ref="S50">SUM(ROUND(S48:S49,2))</f>
        <v>0</v>
      </c>
      <c r="T50" s="901"/>
      <c r="U50" s="736"/>
      <c r="AC50" s="56">
        <f>Q50</f>
        <v>0</v>
      </c>
      <c r="AD50" s="31"/>
      <c r="AE50" s="31"/>
      <c r="AJ50" s="31"/>
    </row>
    <row r="51" spans="2:38" ht="16.5" customHeight="1">
      <c r="B51" s="733"/>
      <c r="C51" s="713"/>
      <c r="D51" s="161" t="s">
        <v>84</v>
      </c>
      <c r="G51" s="32"/>
      <c r="H51" s="32"/>
      <c r="I51" s="32"/>
      <c r="J51" s="32"/>
      <c r="L51" s="34"/>
      <c r="M51" s="34"/>
      <c r="N51" s="34"/>
      <c r="O51" s="34"/>
      <c r="P51" s="34"/>
      <c r="Q51" s="59">
        <f>SUM(Q37,Q50)</f>
        <v>0</v>
      </c>
      <c r="R51" s="856"/>
      <c r="S51" s="59">
        <f>SUM(S37,S50)</f>
        <v>0</v>
      </c>
      <c r="T51" s="901"/>
      <c r="U51" s="736"/>
      <c r="W51" s="54"/>
      <c r="X51" s="60"/>
      <c r="Z51" s="60"/>
      <c r="AA51" s="31"/>
      <c r="AB51" s="61"/>
      <c r="AC51" s="59">
        <f>SUM(AC37,AC50)</f>
        <v>0</v>
      </c>
      <c r="AD51" s="31"/>
      <c r="AE51" s="31"/>
      <c r="AJ51" s="31"/>
      <c r="AK51" s="59">
        <f>SUM(AK48:AK50)</f>
        <v>0</v>
      </c>
      <c r="AL51" s="59">
        <f>SUM(AL48:AL50)</f>
        <v>0</v>
      </c>
    </row>
    <row r="52" spans="2:38" ht="7.5" customHeight="1">
      <c r="B52" s="733"/>
      <c r="C52" s="807"/>
      <c r="D52" s="961"/>
      <c r="E52" s="727"/>
      <c r="F52" s="727"/>
      <c r="G52" s="948"/>
      <c r="H52" s="948"/>
      <c r="I52" s="948"/>
      <c r="J52" s="948"/>
      <c r="K52" s="727"/>
      <c r="L52" s="715"/>
      <c r="M52" s="715"/>
      <c r="N52" s="715"/>
      <c r="O52" s="715"/>
      <c r="P52" s="715"/>
      <c r="Q52" s="949"/>
      <c r="R52" s="950"/>
      <c r="S52" s="949"/>
      <c r="T52" s="908"/>
      <c r="U52" s="736"/>
      <c r="W52" s="54"/>
      <c r="X52" s="60"/>
      <c r="Z52" s="60"/>
      <c r="AA52" s="31"/>
      <c r="AB52" s="61"/>
      <c r="AC52" s="59"/>
      <c r="AD52" s="31"/>
      <c r="AE52" s="31"/>
      <c r="AJ52" s="31"/>
    </row>
    <row r="53" spans="2:38" ht="8.25" customHeight="1">
      <c r="B53" s="733"/>
      <c r="C53" s="731"/>
      <c r="D53" s="963"/>
      <c r="E53" s="731"/>
      <c r="F53" s="731"/>
      <c r="G53" s="964"/>
      <c r="H53" s="964"/>
      <c r="I53" s="964"/>
      <c r="J53" s="964"/>
      <c r="K53" s="731"/>
      <c r="L53" s="731"/>
      <c r="M53" s="731"/>
      <c r="N53" s="731"/>
      <c r="O53" s="731"/>
      <c r="P53" s="731"/>
      <c r="Q53" s="965"/>
      <c r="R53" s="952"/>
      <c r="S53" s="965"/>
      <c r="T53" s="952"/>
      <c r="U53" s="736"/>
      <c r="AD53" s="31"/>
      <c r="AE53" s="31"/>
      <c r="AJ53" s="31"/>
    </row>
    <row r="54" spans="2:38" ht="17.25" customHeight="1">
      <c r="B54" s="733"/>
      <c r="C54" s="958" t="s">
        <v>85</v>
      </c>
      <c r="D54" s="735"/>
      <c r="E54" s="735"/>
      <c r="F54" s="735"/>
      <c r="G54" s="966"/>
      <c r="H54" s="967"/>
      <c r="I54" s="967"/>
      <c r="J54" s="967"/>
      <c r="K54" s="735"/>
      <c r="L54" s="735"/>
      <c r="M54" s="735"/>
      <c r="N54" s="735"/>
      <c r="O54" s="735"/>
      <c r="P54" s="735"/>
      <c r="Q54" s="968"/>
      <c r="R54" s="893"/>
      <c r="S54" s="968"/>
      <c r="T54" s="893"/>
      <c r="U54" s="736"/>
      <c r="AD54" s="31"/>
      <c r="AE54" s="31"/>
      <c r="AJ54" s="31"/>
    </row>
    <row r="55" spans="2:38" ht="7.5" customHeight="1">
      <c r="B55" s="733"/>
      <c r="C55" s="969"/>
      <c r="D55" s="743"/>
      <c r="E55" s="743"/>
      <c r="F55" s="743"/>
      <c r="G55" s="970"/>
      <c r="H55" s="971"/>
      <c r="I55" s="971"/>
      <c r="J55" s="971"/>
      <c r="K55" s="743"/>
      <c r="L55" s="743"/>
      <c r="M55" s="743"/>
      <c r="N55" s="743"/>
      <c r="O55" s="743"/>
      <c r="P55" s="743"/>
      <c r="Q55" s="972"/>
      <c r="R55" s="957"/>
      <c r="S55" s="972"/>
      <c r="T55" s="973"/>
      <c r="U55" s="736"/>
      <c r="AD55" s="31"/>
      <c r="AE55" s="31"/>
      <c r="AJ55" s="31"/>
    </row>
    <row r="56" spans="2:38" ht="17.25" customHeight="1">
      <c r="B56" s="733"/>
      <c r="C56" s="713"/>
      <c r="D56" s="858" t="s">
        <v>86</v>
      </c>
      <c r="G56" s="32"/>
      <c r="H56" s="32"/>
      <c r="I56" s="32"/>
      <c r="J56" s="32"/>
      <c r="L56" s="34"/>
      <c r="M56" s="34"/>
      <c r="N56" s="34"/>
      <c r="O56" s="34"/>
      <c r="P56" s="34"/>
      <c r="Q56" s="838"/>
      <c r="R56" s="493"/>
      <c r="S56" s="838"/>
      <c r="T56" s="901"/>
      <c r="U56" s="736"/>
      <c r="AA56" s="39" t="s">
        <v>87</v>
      </c>
      <c r="AB56" s="39" t="s">
        <v>63</v>
      </c>
      <c r="AC56" s="39"/>
      <c r="AD56" s="39" t="s">
        <v>64</v>
      </c>
      <c r="AE56" s="39"/>
      <c r="AF56" s="39" t="s">
        <v>65</v>
      </c>
      <c r="AG56" s="39" t="s">
        <v>8607</v>
      </c>
      <c r="AI56" s="39"/>
      <c r="AJ56" s="31"/>
    </row>
    <row r="57" spans="2:38" ht="17.25" customHeight="1">
      <c r="B57" s="733"/>
      <c r="C57" s="713"/>
      <c r="D57" s="36" t="s">
        <v>13</v>
      </c>
      <c r="E57" s="36" t="s">
        <v>88</v>
      </c>
      <c r="F57" s="36" t="s">
        <v>89</v>
      </c>
      <c r="G57" s="36" t="s">
        <v>8597</v>
      </c>
      <c r="H57" s="36" t="s">
        <v>90</v>
      </c>
      <c r="I57" s="36" t="s">
        <v>8648</v>
      </c>
      <c r="J57" s="1482" t="s">
        <v>8649</v>
      </c>
      <c r="K57" s="1482"/>
      <c r="L57" s="36" t="s">
        <v>92</v>
      </c>
      <c r="M57" s="36" t="s">
        <v>91</v>
      </c>
      <c r="N57" s="36" t="s">
        <v>15</v>
      </c>
      <c r="O57" s="36" t="s">
        <v>71</v>
      </c>
      <c r="P57" s="836"/>
      <c r="Q57" s="39" t="s">
        <v>93</v>
      </c>
      <c r="R57" s="1302"/>
      <c r="S57" s="39" t="s">
        <v>94</v>
      </c>
      <c r="T57" s="901"/>
      <c r="U57" s="736"/>
      <c r="W57" s="39" t="str">
        <f>$D$10 &amp; " Deducation"</f>
        <v xml:space="preserve"> Deducation</v>
      </c>
      <c r="X57" s="39" t="str">
        <f>$D$11 &amp; " Deducation"</f>
        <v xml:space="preserve"> Deducation</v>
      </c>
      <c r="Y57" s="39" t="s">
        <v>8598</v>
      </c>
      <c r="Z57" s="39" t="s">
        <v>95</v>
      </c>
      <c r="AA57" s="39"/>
      <c r="AB57" s="39" t="str">
        <f>IF($D$10="","",$D$10)</f>
        <v/>
      </c>
      <c r="AC57" s="39" t="str">
        <f>IF($D$11="","",$D$11)</f>
        <v/>
      </c>
      <c r="AD57" s="39" t="str">
        <f>IF($D$10="","",$D$10)</f>
        <v/>
      </c>
      <c r="AE57" s="39" t="str">
        <f>IF($D$11="","",$D$11)</f>
        <v/>
      </c>
      <c r="AF57" s="39"/>
      <c r="AG57" s="39" t="s">
        <v>8627</v>
      </c>
      <c r="AH57" s="39" t="s">
        <v>8611</v>
      </c>
      <c r="AI57" s="39" t="s">
        <v>8610</v>
      </c>
      <c r="AK57" s="39" t="s">
        <v>8625</v>
      </c>
    </row>
    <row r="58" spans="2:38" ht="17.25" hidden="1" customHeight="1">
      <c r="B58" s="733"/>
      <c r="C58" s="713"/>
      <c r="D58" s="24" t="s">
        <v>96</v>
      </c>
      <c r="E58" s="36"/>
      <c r="F58" s="36"/>
      <c r="G58" s="36"/>
      <c r="H58" s="36"/>
      <c r="J58" s="36"/>
      <c r="K58" s="36"/>
      <c r="L58" s="36"/>
      <c r="M58" s="36"/>
      <c r="N58" s="36"/>
      <c r="O58" s="34"/>
      <c r="P58" s="850"/>
      <c r="Q58" s="39"/>
      <c r="R58" s="47"/>
      <c r="S58" s="39"/>
      <c r="T58" s="714"/>
      <c r="U58" s="736"/>
      <c r="W58" s="32"/>
      <c r="X58" s="32"/>
      <c r="Y58" s="32"/>
      <c r="Z58" s="32"/>
      <c r="AB58" s="32"/>
      <c r="AC58" s="32"/>
      <c r="AD58" s="32"/>
      <c r="AE58" s="32"/>
    </row>
    <row r="59" spans="2:38" ht="17.25" hidden="1" customHeight="1">
      <c r="B59" s="733"/>
      <c r="C59" s="713"/>
      <c r="D59" s="24" t="s">
        <v>97</v>
      </c>
      <c r="E59" s="36"/>
      <c r="F59" s="36"/>
      <c r="G59" s="36"/>
      <c r="H59" s="36"/>
      <c r="J59" s="36"/>
      <c r="K59" s="36"/>
      <c r="L59" s="36"/>
      <c r="M59" s="36"/>
      <c r="N59" s="24"/>
      <c r="O59" s="34"/>
      <c r="P59" s="850"/>
      <c r="Q59" s="39"/>
      <c r="R59" s="47"/>
      <c r="S59" s="39"/>
      <c r="T59" s="714"/>
      <c r="U59" s="736"/>
      <c r="W59" s="32"/>
      <c r="X59" s="32"/>
      <c r="Y59" s="32"/>
      <c r="Z59" s="32"/>
      <c r="AB59" s="32"/>
      <c r="AC59" s="32"/>
      <c r="AD59" s="32"/>
      <c r="AE59" s="32"/>
    </row>
    <row r="60" spans="2:38" ht="17.25" hidden="1" customHeight="1">
      <c r="B60" s="733"/>
      <c r="C60" s="713"/>
      <c r="D60" s="24" t="s">
        <v>98</v>
      </c>
      <c r="E60" s="36"/>
      <c r="F60" s="36"/>
      <c r="G60" s="36"/>
      <c r="H60" s="36"/>
      <c r="J60" s="36" t="s">
        <v>16</v>
      </c>
      <c r="K60" s="36"/>
      <c r="L60" s="36"/>
      <c r="M60" s="36"/>
      <c r="N60" s="24" t="s">
        <v>16</v>
      </c>
      <c r="O60" s="34"/>
      <c r="P60" s="850"/>
      <c r="Q60" s="39"/>
      <c r="R60" s="47"/>
      <c r="S60" s="39"/>
      <c r="T60" s="714"/>
      <c r="U60" s="736"/>
      <c r="W60" s="32"/>
      <c r="X60" s="32"/>
      <c r="Y60" s="32"/>
      <c r="Z60" s="32"/>
      <c r="AB60" s="32"/>
      <c r="AC60" s="32"/>
      <c r="AD60" s="32"/>
      <c r="AE60" s="32"/>
    </row>
    <row r="61" spans="2:38" ht="17.25" hidden="1" customHeight="1">
      <c r="B61" s="733"/>
      <c r="C61" s="713"/>
      <c r="D61" s="24" t="s">
        <v>99</v>
      </c>
      <c r="E61" s="36"/>
      <c r="F61" s="36"/>
      <c r="G61" s="36"/>
      <c r="H61" s="36"/>
      <c r="J61" s="36" t="s">
        <v>17</v>
      </c>
      <c r="K61" s="36"/>
      <c r="L61" s="36"/>
      <c r="M61" s="36"/>
      <c r="N61" s="24" t="s">
        <v>17</v>
      </c>
      <c r="O61" s="34"/>
      <c r="P61" s="850"/>
      <c r="Q61" s="39"/>
      <c r="R61" s="47"/>
      <c r="S61" s="39"/>
      <c r="T61" s="714"/>
      <c r="U61" s="736"/>
      <c r="W61" s="32"/>
      <c r="X61" s="32"/>
      <c r="Y61" s="32"/>
      <c r="Z61" s="32"/>
      <c r="AB61" s="32"/>
      <c r="AC61" s="32"/>
      <c r="AD61" s="32"/>
      <c r="AE61" s="32"/>
    </row>
    <row r="62" spans="2:38" ht="17.25" hidden="1" customHeight="1">
      <c r="B62" s="733"/>
      <c r="C62" s="713"/>
      <c r="D62" s="24" t="s">
        <v>100</v>
      </c>
      <c r="E62" s="36"/>
      <c r="F62" s="36"/>
      <c r="G62" s="36"/>
      <c r="H62" s="36"/>
      <c r="J62" s="36" t="s">
        <v>3</v>
      </c>
      <c r="K62" s="36"/>
      <c r="L62" s="36"/>
      <c r="M62" s="36"/>
      <c r="N62" s="24" t="s">
        <v>3</v>
      </c>
      <c r="O62" s="34"/>
      <c r="P62" s="850"/>
      <c r="Q62" s="39"/>
      <c r="R62" s="47"/>
      <c r="S62" s="39"/>
      <c r="T62" s="714"/>
      <c r="U62" s="736"/>
      <c r="W62" s="32"/>
      <c r="X62" s="32"/>
      <c r="Y62" s="32"/>
      <c r="Z62" s="32"/>
      <c r="AB62" s="32"/>
      <c r="AC62" s="32"/>
      <c r="AD62" s="32"/>
      <c r="AE62" s="32"/>
    </row>
    <row r="63" spans="2:38" ht="17.25" hidden="1" customHeight="1">
      <c r="B63" s="733"/>
      <c r="C63" s="713"/>
      <c r="D63" s="24" t="s">
        <v>101</v>
      </c>
      <c r="E63" s="36"/>
      <c r="F63" s="36"/>
      <c r="G63" s="24"/>
      <c r="H63" s="36"/>
      <c r="J63" s="36" t="s">
        <v>18</v>
      </c>
      <c r="K63" s="36"/>
      <c r="L63" s="36"/>
      <c r="M63" s="36"/>
      <c r="N63" s="24" t="s">
        <v>18</v>
      </c>
      <c r="O63" s="34"/>
      <c r="P63" s="850"/>
      <c r="Q63" s="39"/>
      <c r="R63" s="47"/>
      <c r="S63" s="39"/>
      <c r="T63" s="714"/>
      <c r="U63" s="736"/>
      <c r="W63" s="32"/>
      <c r="X63" s="32"/>
      <c r="Y63" s="32"/>
      <c r="Z63" s="32"/>
      <c r="AB63" s="32"/>
      <c r="AC63" s="32"/>
      <c r="AD63" s="32"/>
      <c r="AE63" s="32"/>
    </row>
    <row r="64" spans="2:38" ht="17.25" hidden="1" customHeight="1">
      <c r="B64" s="733"/>
      <c r="C64" s="713"/>
      <c r="D64" s="24" t="s">
        <v>102</v>
      </c>
      <c r="E64" s="36"/>
      <c r="F64" s="36"/>
      <c r="G64" s="24" t="s">
        <v>58</v>
      </c>
      <c r="H64" s="36"/>
      <c r="J64" s="36" t="s">
        <v>2</v>
      </c>
      <c r="K64" s="36"/>
      <c r="L64" s="36"/>
      <c r="M64" s="36"/>
      <c r="N64" s="24" t="s">
        <v>2</v>
      </c>
      <c r="O64" s="34"/>
      <c r="P64" s="850"/>
      <c r="Q64" s="39"/>
      <c r="R64" s="47"/>
      <c r="S64" s="39"/>
      <c r="T64" s="714"/>
      <c r="U64" s="736"/>
      <c r="W64" s="32"/>
      <c r="X64" s="32"/>
      <c r="Y64" s="32"/>
      <c r="Z64" s="32"/>
      <c r="AB64" s="32"/>
      <c r="AC64" s="32"/>
      <c r="AD64" s="32"/>
      <c r="AE64" s="32"/>
    </row>
    <row r="65" spans="2:44" ht="17.25" hidden="1" customHeight="1">
      <c r="B65" s="733"/>
      <c r="C65" s="713"/>
      <c r="D65" s="24" t="s">
        <v>103</v>
      </c>
      <c r="E65" s="24" t="b">
        <v>1</v>
      </c>
      <c r="F65" s="24" t="b">
        <v>1</v>
      </c>
      <c r="G65" s="24" t="str">
        <f>IF($D$11="","Other",$D$11)</f>
        <v>Other</v>
      </c>
      <c r="H65" s="36"/>
      <c r="J65" s="36" t="s">
        <v>19</v>
      </c>
      <c r="K65" s="36"/>
      <c r="L65" s="36"/>
      <c r="M65" s="36"/>
      <c r="N65" s="24" t="s">
        <v>19</v>
      </c>
      <c r="O65" s="34"/>
      <c r="P65" s="850"/>
      <c r="Q65" s="39"/>
      <c r="R65" s="47"/>
      <c r="S65" s="39"/>
      <c r="T65" s="714"/>
      <c r="U65" s="736"/>
      <c r="W65" s="32"/>
      <c r="X65" s="32"/>
      <c r="Y65" s="32"/>
      <c r="Z65" s="32"/>
      <c r="AB65" s="32"/>
      <c r="AC65" s="32"/>
      <c r="AD65" s="32"/>
      <c r="AE65" s="32"/>
    </row>
    <row r="66" spans="2:44" ht="17.25" hidden="1" customHeight="1">
      <c r="B66" s="733"/>
      <c r="C66" s="713"/>
      <c r="D66" s="24" t="s">
        <v>104</v>
      </c>
      <c r="E66" s="24" t="b">
        <v>0</v>
      </c>
      <c r="F66" s="24" t="b">
        <v>0</v>
      </c>
      <c r="G66" s="24">
        <f>$D$10</f>
        <v>0</v>
      </c>
      <c r="H66" s="36"/>
      <c r="J66" s="36" t="s">
        <v>20</v>
      </c>
      <c r="K66" s="36"/>
      <c r="L66" s="36"/>
      <c r="M66" s="36"/>
      <c r="N66" s="24" t="s">
        <v>20</v>
      </c>
      <c r="O66" s="34"/>
      <c r="P66" s="850"/>
      <c r="Q66" s="39"/>
      <c r="R66" s="47"/>
      <c r="S66" s="39"/>
      <c r="T66" s="714"/>
      <c r="U66" s="736"/>
      <c r="W66" s="32"/>
      <c r="X66" s="32"/>
      <c r="Y66" s="32"/>
      <c r="Z66" s="32"/>
      <c r="AB66" s="32"/>
      <c r="AC66" s="32"/>
      <c r="AD66" s="32"/>
      <c r="AE66" s="32"/>
    </row>
    <row r="67" spans="2:44" ht="17.25" customHeight="1">
      <c r="B67" s="733"/>
      <c r="C67" s="713"/>
      <c r="D67" s="912"/>
      <c r="E67" s="718"/>
      <c r="F67" s="718"/>
      <c r="G67" s="911"/>
      <c r="H67" s="910"/>
      <c r="I67" s="910"/>
      <c r="J67" s="913"/>
      <c r="K67" s="913"/>
      <c r="L67" s="1017"/>
      <c r="M67" s="910"/>
      <c r="N67" s="924"/>
      <c r="O67" s="912"/>
      <c r="P67" s="850"/>
      <c r="Q67" s="931">
        <f>IF(ISBLANK(D67),0,Calculate_Repayment(D67, E67, H67, M67, N67, J67, K67, L67, FALSE))*(AB67+AC67)</f>
        <v>0</v>
      </c>
      <c r="R67" s="47"/>
      <c r="S67" s="931">
        <f>IF(ISBLANK(D67),0,Calculate_Repayment(D67, E67, H67+I67, M67, N67, J67, K67, L67, TRUE))*(AA67)</f>
        <v>0</v>
      </c>
      <c r="T67" s="901"/>
      <c r="U67" s="736"/>
      <c r="W67" s="931">
        <f>IF(AND($F67=TRUE,OR($D67="Home Loan",$D67="Residential Inv Loan",$D67="Property Line of Credit"),'Internal Ref'!$J$234&gt;0),
IF($L67="",RIL_INDEX_RATE*$H67*AB67,$L67*$H67*AB67),0)</f>
        <v>0</v>
      </c>
      <c r="X67" s="931">
        <f>IF(AND($F67=TRUE,OR($D67="Home Loan",$D67="Residential Inv Loan",$D67="Property Line of Credit"),'Internal Ref'!$J$234&gt;0),
IF($L67="",RIL_INDEX_RATE*$H67*AC67,$L67*$H67*AC67),0)</f>
        <v>0</v>
      </c>
      <c r="Y67" s="931" t="e">
        <f ca="1">VLOOKUP(G67,INDIRECT('Internal Ref'!$G$242),2,FALSE)</f>
        <v>#N/A</v>
      </c>
      <c r="Z67" s="931">
        <f>W67+X67</f>
        <v>0</v>
      </c>
      <c r="AA67" s="934">
        <f>IF(ISERR(SEARCH("^",G67)),AB67+AC67,1)</f>
        <v>1</v>
      </c>
      <c r="AB67" s="934">
        <f>IF(G67=$D$10,1,
IF(G67=$D$11,0,
IF(ISERR(SEARCH($D$10,G67)),0,
(MID(G67,LEN($D$10)+2,SEARCH("%",G67)-LEN($D$10)-2)/100))))</f>
        <v>1</v>
      </c>
      <c r="AC67" s="934">
        <f>IF($D$11="",0,IF(G67=$D$11,1,
IF(G67=$D$10,0,
IF(ISERR(SEARCH($D$11,G67)),0,
MID(G67,SEARCH($D$11,G67)+LEN($D$11)+1,LEN(G67)-(SEARCH($D$11,G67)+LEN($D$11)+IF(ISERR(SEARCH("^",G64)),1,2)))/100))))</f>
        <v>0</v>
      </c>
      <c r="AD67" s="934">
        <f>IF(SUM(AB67:AC67)=0,0,AB67/SUM(AB67:AC67))</f>
        <v>1</v>
      </c>
      <c r="AE67" s="934">
        <f>IF(SUM(AB67:AC67)=0,0,AC67/SUM(AB67:AC67))</f>
        <v>0</v>
      </c>
      <c r="AF67" s="934">
        <f>AC67+AB67</f>
        <v>1</v>
      </c>
      <c r="AG67" s="938">
        <f>IF(AH67="",0,IF(LEN(AH67)-LEN(SUBSTITUTE(AH67,"|",""))=0,"1^",LEN(AH67)-LEN(SUBSTITUTE(AH67,"|",""))))</f>
        <v>0</v>
      </c>
      <c r="AH67" s="930"/>
      <c r="AI67" s="930" t="e">
        <f ca="1">VLOOKUP(G67,INDIRECT('Internal Ref'!$G$242),4,FALSE)</f>
        <v>#N/A</v>
      </c>
      <c r="AK67" s="1483" t="str" cm="1">
        <f t="array" ref="AK67">LinkedSecurities($AB$11,AH67,AG67,"Security",$AD$10+$AD$11+$AD$12)</f>
        <v/>
      </c>
      <c r="AL67" s="1483"/>
      <c r="AM67" s="1483"/>
      <c r="AR67" s="2" t="str" cm="1">
        <f t="array" ref="AR67">LinkedSecurities($AB$11,AH67,AG67,"Parties",$AD$10+$AD$11+$AD$12)</f>
        <v/>
      </c>
    </row>
    <row r="68" spans="2:44" ht="19.5" hidden="1" customHeight="1">
      <c r="B68" s="733"/>
      <c r="C68" s="713"/>
      <c r="D68" s="859"/>
      <c r="E68" s="534"/>
      <c r="F68" s="860"/>
      <c r="G68" s="534"/>
      <c r="H68" s="861"/>
      <c r="I68" s="861"/>
      <c r="J68" s="862"/>
      <c r="K68" s="863"/>
      <c r="L68" s="863"/>
      <c r="M68" s="863"/>
      <c r="N68" s="62"/>
      <c r="O68" s="62"/>
      <c r="P68" s="846"/>
      <c r="Q68" s="847"/>
      <c r="R68" s="848"/>
      <c r="S68" s="847"/>
      <c r="T68" s="901"/>
      <c r="U68" s="736"/>
      <c r="AD68" s="31"/>
      <c r="AE68" s="31"/>
      <c r="AJ68" s="31"/>
    </row>
    <row r="69" spans="2:44">
      <c r="B69" s="733"/>
      <c r="C69" s="713"/>
      <c r="F69" s="50"/>
      <c r="G69" s="32"/>
      <c r="H69" s="32"/>
      <c r="I69" s="32"/>
      <c r="J69" s="32"/>
      <c r="L69" s="34"/>
      <c r="M69" s="34"/>
      <c r="P69" s="34"/>
      <c r="Q69" s="56">
        <f t="array" ref="Q69">SUM(ROUND(Q67:Q68,2))</f>
        <v>0</v>
      </c>
      <c r="R69" s="834"/>
      <c r="S69" s="56">
        <f t="array" ref="S69">SUM(ROUND(S67:S68,2))</f>
        <v>0</v>
      </c>
      <c r="T69" s="901"/>
      <c r="U69" s="736"/>
      <c r="Z69" s="54"/>
      <c r="AD69" s="31"/>
      <c r="AE69" s="31"/>
      <c r="AJ69" s="31"/>
    </row>
    <row r="70" spans="2:44" ht="17.25" customHeight="1">
      <c r="B70" s="733"/>
      <c r="C70" s="713"/>
      <c r="D70" s="858"/>
      <c r="L70" s="34"/>
      <c r="M70" s="34"/>
      <c r="N70" s="34"/>
      <c r="O70" s="34"/>
      <c r="P70" s="34"/>
      <c r="Q70" s="838"/>
      <c r="R70" s="493"/>
      <c r="S70" s="838"/>
      <c r="T70" s="901"/>
      <c r="U70" s="736"/>
      <c r="AD70" s="31"/>
      <c r="AE70" s="31"/>
      <c r="AJ70" s="31"/>
    </row>
    <row r="71" spans="2:44" ht="17.25" customHeight="1">
      <c r="B71" s="733"/>
      <c r="C71" s="713"/>
      <c r="D71" s="858" t="s">
        <v>106</v>
      </c>
      <c r="L71" s="34"/>
      <c r="M71" s="34"/>
      <c r="N71" s="34"/>
      <c r="O71" s="34"/>
      <c r="P71" s="34"/>
      <c r="Q71" s="40"/>
      <c r="R71" s="40"/>
      <c r="S71" s="40"/>
      <c r="T71" s="901"/>
      <c r="U71" s="736"/>
      <c r="AD71" s="31"/>
      <c r="AE71" s="31"/>
      <c r="AJ71" s="31"/>
    </row>
    <row r="72" spans="2:44" ht="17.25" customHeight="1">
      <c r="B72" s="733"/>
      <c r="C72" s="713"/>
      <c r="D72" s="36" t="s">
        <v>13</v>
      </c>
      <c r="E72" s="36" t="s">
        <v>14</v>
      </c>
      <c r="F72" s="36" t="s">
        <v>15</v>
      </c>
      <c r="G72" s="846"/>
      <c r="H72" s="36" t="s">
        <v>13</v>
      </c>
      <c r="I72" s="36" t="s">
        <v>14</v>
      </c>
      <c r="J72" s="36" t="s">
        <v>15</v>
      </c>
      <c r="Q72" s="39" t="s">
        <v>93</v>
      </c>
      <c r="R72" s="1302"/>
      <c r="S72" s="39" t="s">
        <v>94</v>
      </c>
      <c r="T72" s="901"/>
      <c r="U72" s="736"/>
      <c r="W72" s="39" t="s">
        <v>93</v>
      </c>
      <c r="X72" s="39"/>
      <c r="Y72" s="34"/>
      <c r="AD72" s="31"/>
      <c r="AE72" s="31"/>
      <c r="AJ72" s="31"/>
    </row>
    <row r="73" spans="2:44" ht="17.25" hidden="1" customHeight="1">
      <c r="B73" s="733"/>
      <c r="C73" s="713"/>
      <c r="D73" s="36"/>
      <c r="E73" s="36"/>
      <c r="F73" s="24" t="s">
        <v>16</v>
      </c>
      <c r="G73" s="846"/>
      <c r="H73" s="36"/>
      <c r="I73" s="36"/>
      <c r="J73" s="24" t="s">
        <v>16</v>
      </c>
      <c r="L73" s="34"/>
      <c r="M73" s="34"/>
      <c r="N73" s="34"/>
      <c r="O73" s="34"/>
      <c r="P73" s="34"/>
      <c r="Q73" s="864"/>
      <c r="R73" s="865"/>
      <c r="S73" s="864"/>
      <c r="T73" s="714"/>
      <c r="U73" s="736"/>
      <c r="Y73" s="34"/>
      <c r="AD73" s="31"/>
      <c r="AE73" s="31"/>
      <c r="AJ73" s="31"/>
    </row>
    <row r="74" spans="2:44" ht="17.25" hidden="1" customHeight="1">
      <c r="B74" s="733"/>
      <c r="C74" s="713"/>
      <c r="D74" s="36"/>
      <c r="E74" s="36"/>
      <c r="F74" s="24" t="s">
        <v>17</v>
      </c>
      <c r="G74" s="846"/>
      <c r="H74" s="36"/>
      <c r="I74" s="36"/>
      <c r="J74" s="24" t="s">
        <v>17</v>
      </c>
      <c r="L74" s="34"/>
      <c r="M74" s="34"/>
      <c r="N74" s="34"/>
      <c r="O74" s="34"/>
      <c r="P74" s="34"/>
      <c r="Q74" s="864"/>
      <c r="R74" s="865"/>
      <c r="S74" s="864"/>
      <c r="T74" s="714"/>
      <c r="U74" s="736"/>
      <c r="Y74" s="34"/>
      <c r="AD74" s="31"/>
      <c r="AE74" s="31"/>
      <c r="AJ74" s="31"/>
    </row>
    <row r="75" spans="2:44" ht="17.25" hidden="1" customHeight="1">
      <c r="B75" s="733"/>
      <c r="C75" s="713"/>
      <c r="D75" s="36"/>
      <c r="E75" s="36"/>
      <c r="F75" s="24" t="s">
        <v>3</v>
      </c>
      <c r="G75" s="846"/>
      <c r="H75" s="36"/>
      <c r="I75" s="36"/>
      <c r="J75" s="24" t="s">
        <v>3</v>
      </c>
      <c r="L75" s="34"/>
      <c r="M75" s="34"/>
      <c r="N75" s="34"/>
      <c r="O75" s="34"/>
      <c r="P75" s="34"/>
      <c r="Q75" s="864"/>
      <c r="R75" s="865"/>
      <c r="S75" s="864"/>
      <c r="T75" s="714"/>
      <c r="U75" s="736"/>
      <c r="Y75" s="34"/>
      <c r="AD75" s="31"/>
      <c r="AE75" s="31"/>
      <c r="AJ75" s="31"/>
    </row>
    <row r="76" spans="2:44" ht="17.25" hidden="1" customHeight="1">
      <c r="B76" s="733"/>
      <c r="C76" s="713"/>
      <c r="D76" s="36"/>
      <c r="E76" s="36"/>
      <c r="F76" s="24" t="s">
        <v>18</v>
      </c>
      <c r="G76" s="846"/>
      <c r="H76" s="36"/>
      <c r="I76" s="36"/>
      <c r="J76" s="24" t="s">
        <v>18</v>
      </c>
      <c r="L76" s="34"/>
      <c r="M76" s="34"/>
      <c r="N76" s="34"/>
      <c r="O76" s="34"/>
      <c r="P76" s="34"/>
      <c r="Q76" s="864"/>
      <c r="R76" s="865"/>
      <c r="S76" s="864"/>
      <c r="T76" s="714"/>
      <c r="U76" s="736"/>
      <c r="Y76" s="34"/>
      <c r="AD76" s="31"/>
      <c r="AE76" s="31"/>
      <c r="AJ76" s="31"/>
    </row>
    <row r="77" spans="2:44" ht="17.25" hidden="1" customHeight="1">
      <c r="B77" s="733"/>
      <c r="C77" s="713"/>
      <c r="D77" s="36"/>
      <c r="E77" s="36"/>
      <c r="F77" s="24" t="s">
        <v>2</v>
      </c>
      <c r="G77" s="846"/>
      <c r="H77" s="36"/>
      <c r="I77" s="36"/>
      <c r="J77" s="24" t="s">
        <v>2</v>
      </c>
      <c r="L77" s="34"/>
      <c r="M77" s="34"/>
      <c r="N77" s="34"/>
      <c r="O77" s="34"/>
      <c r="P77" s="34"/>
      <c r="Q77" s="864"/>
      <c r="R77" s="865"/>
      <c r="S77" s="864"/>
      <c r="T77" s="714"/>
      <c r="U77" s="736"/>
      <c r="Y77" s="34"/>
      <c r="AD77" s="31"/>
      <c r="AE77" s="31"/>
      <c r="AJ77" s="31"/>
    </row>
    <row r="78" spans="2:44" ht="17.25" hidden="1" customHeight="1">
      <c r="B78" s="733"/>
      <c r="C78" s="713"/>
      <c r="D78" s="36"/>
      <c r="E78" s="36"/>
      <c r="F78" s="24" t="s">
        <v>19</v>
      </c>
      <c r="G78" s="846"/>
      <c r="H78" s="36"/>
      <c r="I78" s="36"/>
      <c r="J78" s="24" t="s">
        <v>19</v>
      </c>
      <c r="L78" s="34"/>
      <c r="M78" s="34"/>
      <c r="N78" s="34"/>
      <c r="O78" s="34"/>
      <c r="P78" s="34"/>
      <c r="Q78" s="864"/>
      <c r="R78" s="865"/>
      <c r="S78" s="864"/>
      <c r="T78" s="714"/>
      <c r="U78" s="736"/>
      <c r="Y78" s="34"/>
      <c r="AD78" s="31"/>
      <c r="AE78" s="31"/>
      <c r="AJ78" s="31"/>
    </row>
    <row r="79" spans="2:44" ht="17.25" hidden="1" customHeight="1">
      <c r="B79" s="733"/>
      <c r="C79" s="713"/>
      <c r="D79" s="36"/>
      <c r="E79" s="36"/>
      <c r="F79" s="24" t="s">
        <v>20</v>
      </c>
      <c r="G79" s="846"/>
      <c r="H79" s="36"/>
      <c r="I79" s="36"/>
      <c r="J79" s="24" t="s">
        <v>20</v>
      </c>
      <c r="L79" s="34"/>
      <c r="M79" s="34"/>
      <c r="N79" s="34"/>
      <c r="O79" s="34"/>
      <c r="P79" s="34"/>
      <c r="Q79" s="864"/>
      <c r="R79" s="865"/>
      <c r="S79" s="864"/>
      <c r="T79" s="714"/>
      <c r="U79" s="736"/>
      <c r="Y79" s="34"/>
      <c r="AD79" s="31"/>
      <c r="AE79" s="31"/>
      <c r="AJ79" s="31"/>
    </row>
    <row r="80" spans="2:44" ht="17.25" customHeight="1">
      <c r="B80" s="733"/>
      <c r="C80" s="713"/>
      <c r="D80" s="935" t="s">
        <v>9087</v>
      </c>
      <c r="E80" s="910"/>
      <c r="F80" s="924" t="s">
        <v>3</v>
      </c>
      <c r="G80" s="846"/>
      <c r="H80" s="935" t="s">
        <v>107</v>
      </c>
      <c r="I80" s="910"/>
      <c r="J80" s="1484" t="s">
        <v>3</v>
      </c>
      <c r="K80" s="1484"/>
      <c r="L80" s="34"/>
      <c r="M80" s="34"/>
      <c r="N80" s="34"/>
      <c r="O80" s="34"/>
      <c r="P80" s="34"/>
      <c r="Q80" s="931">
        <f>SUM(W72:X85)</f>
        <v>0</v>
      </c>
      <c r="R80" s="47"/>
      <c r="S80" s="931">
        <f>IF(D10="",0,MAX(Q80,HEM_RATE(IF(ISBLANK(D11),"Single GROSS","Couple GROSS"),SUM(F122:F123),E10+E11,IF(D11="",G10,""))))</f>
        <v>0</v>
      </c>
      <c r="T80" s="901"/>
      <c r="U80" s="736"/>
      <c r="W80" s="931">
        <f t="shared" ref="W80:W85" si="0">CONVERT_TO_MONTHLY(E80,F80)</f>
        <v>0</v>
      </c>
      <c r="X80" s="931">
        <f t="shared" ref="X80:X85" si="1">CONVERT_TO_MONTHLY(I80,J80)</f>
        <v>0</v>
      </c>
      <c r="AD80" s="31"/>
      <c r="AE80" s="31"/>
      <c r="AJ80" s="31"/>
    </row>
    <row r="81" spans="2:36" ht="17.25" customHeight="1">
      <c r="B81" s="733"/>
      <c r="C81" s="713"/>
      <c r="D81" s="935" t="s">
        <v>108</v>
      </c>
      <c r="E81" s="910"/>
      <c r="F81" s="924" t="s">
        <v>3</v>
      </c>
      <c r="G81" s="846"/>
      <c r="H81" s="935" t="s">
        <v>109</v>
      </c>
      <c r="I81" s="910"/>
      <c r="J81" s="1484" t="s">
        <v>3</v>
      </c>
      <c r="K81" s="1484"/>
      <c r="L81" s="34"/>
      <c r="M81" s="34"/>
      <c r="N81" s="34"/>
      <c r="O81" s="34"/>
      <c r="P81" s="34"/>
      <c r="Q81" s="834"/>
      <c r="R81" s="834"/>
      <c r="S81" s="834"/>
      <c r="T81" s="901"/>
      <c r="U81" s="736"/>
      <c r="W81" s="931">
        <f t="shared" si="0"/>
        <v>0</v>
      </c>
      <c r="X81" s="931">
        <f t="shared" si="1"/>
        <v>0</v>
      </c>
      <c r="AD81" s="31"/>
      <c r="AE81" s="31"/>
      <c r="AJ81" s="31"/>
    </row>
    <row r="82" spans="2:36" ht="17.25" customHeight="1">
      <c r="B82" s="733"/>
      <c r="C82" s="713"/>
      <c r="D82" s="935" t="s">
        <v>110</v>
      </c>
      <c r="E82" s="910"/>
      <c r="F82" s="924" t="s">
        <v>3</v>
      </c>
      <c r="G82" s="846"/>
      <c r="H82" s="935" t="s">
        <v>111</v>
      </c>
      <c r="I82" s="910"/>
      <c r="J82" s="1484" t="s">
        <v>3</v>
      </c>
      <c r="K82" s="1484"/>
      <c r="L82" s="34"/>
      <c r="M82" s="34"/>
      <c r="N82" s="34"/>
      <c r="O82" s="34"/>
      <c r="P82" s="34"/>
      <c r="Q82" s="834"/>
      <c r="R82" s="834"/>
      <c r="S82" s="834"/>
      <c r="T82" s="901"/>
      <c r="U82" s="736"/>
      <c r="W82" s="931">
        <f t="shared" si="0"/>
        <v>0</v>
      </c>
      <c r="X82" s="931">
        <f t="shared" si="1"/>
        <v>0</v>
      </c>
      <c r="AD82" s="31"/>
      <c r="AE82" s="31"/>
      <c r="AJ82" s="31"/>
    </row>
    <row r="83" spans="2:36" ht="17.25" customHeight="1">
      <c r="B83" s="733"/>
      <c r="C83" s="713"/>
      <c r="D83" s="935" t="s">
        <v>112</v>
      </c>
      <c r="E83" s="910"/>
      <c r="F83" s="924" t="s">
        <v>3</v>
      </c>
      <c r="G83" s="846"/>
      <c r="H83" s="935" t="s">
        <v>113</v>
      </c>
      <c r="I83" s="910"/>
      <c r="J83" s="1484" t="s">
        <v>3</v>
      </c>
      <c r="K83" s="1484"/>
      <c r="L83" s="34"/>
      <c r="M83" s="34"/>
      <c r="N83" s="34"/>
      <c r="O83" s="34"/>
      <c r="P83" s="34"/>
      <c r="Q83" s="834"/>
      <c r="R83" s="834"/>
      <c r="S83" s="834"/>
      <c r="T83" s="901"/>
      <c r="U83" s="736"/>
      <c r="W83" s="931">
        <f t="shared" si="0"/>
        <v>0</v>
      </c>
      <c r="X83" s="931">
        <f t="shared" si="1"/>
        <v>0</v>
      </c>
      <c r="AD83" s="31"/>
      <c r="AE83" s="31"/>
      <c r="AJ83" s="31"/>
    </row>
    <row r="84" spans="2:36" ht="17.25" customHeight="1">
      <c r="B84" s="733"/>
      <c r="C84" s="713"/>
      <c r="D84" s="935" t="s">
        <v>114</v>
      </c>
      <c r="E84" s="910"/>
      <c r="F84" s="924" t="s">
        <v>3</v>
      </c>
      <c r="G84" s="846"/>
      <c r="H84" s="935" t="s">
        <v>115</v>
      </c>
      <c r="I84" s="910"/>
      <c r="J84" s="1484" t="s">
        <v>3</v>
      </c>
      <c r="K84" s="1484"/>
      <c r="L84" s="34"/>
      <c r="M84" s="34"/>
      <c r="N84" s="34"/>
      <c r="O84" s="34"/>
      <c r="P84" s="34"/>
      <c r="Q84" s="834"/>
      <c r="R84" s="834"/>
      <c r="S84" s="834"/>
      <c r="T84" s="901"/>
      <c r="U84" s="736"/>
      <c r="W84" s="931">
        <f t="shared" si="0"/>
        <v>0</v>
      </c>
      <c r="X84" s="931">
        <f t="shared" si="1"/>
        <v>0</v>
      </c>
      <c r="AD84" s="31"/>
      <c r="AE84" s="31"/>
      <c r="AJ84" s="31"/>
    </row>
    <row r="85" spans="2:36" ht="17.25" customHeight="1">
      <c r="B85" s="733"/>
      <c r="C85" s="713"/>
      <c r="D85" s="935" t="s">
        <v>116</v>
      </c>
      <c r="E85" s="910"/>
      <c r="F85" s="924" t="s">
        <v>3</v>
      </c>
      <c r="G85" s="846"/>
      <c r="H85" s="935" t="s">
        <v>117</v>
      </c>
      <c r="I85" s="910"/>
      <c r="J85" s="1484" t="s">
        <v>3</v>
      </c>
      <c r="K85" s="1484"/>
      <c r="L85" s="34"/>
      <c r="M85" s="34"/>
      <c r="N85" s="34"/>
      <c r="O85" s="34"/>
      <c r="P85" s="34"/>
      <c r="Q85" s="834"/>
      <c r="R85" s="834"/>
      <c r="S85" s="834"/>
      <c r="T85" s="901"/>
      <c r="U85" s="736"/>
      <c r="W85" s="931">
        <f t="shared" si="0"/>
        <v>0</v>
      </c>
      <c r="X85" s="931">
        <f t="shared" si="1"/>
        <v>0</v>
      </c>
      <c r="AD85" s="31"/>
      <c r="AE85" s="31"/>
      <c r="AJ85" s="31"/>
    </row>
    <row r="86" spans="2:36" ht="4.5" customHeight="1">
      <c r="B86" s="733"/>
      <c r="C86" s="713"/>
      <c r="L86" s="34"/>
      <c r="M86" s="34"/>
      <c r="N86" s="34"/>
      <c r="O86" s="34"/>
      <c r="P86" s="34"/>
      <c r="Q86" s="834"/>
      <c r="R86" s="834"/>
      <c r="S86" s="834"/>
      <c r="T86" s="901"/>
      <c r="U86" s="736"/>
      <c r="AD86" s="31"/>
      <c r="AE86" s="31"/>
      <c r="AJ86" s="31"/>
    </row>
    <row r="87" spans="2:36" ht="17.25" customHeight="1">
      <c r="B87" s="733"/>
      <c r="C87" s="713"/>
      <c r="D87" s="858" t="s">
        <v>118</v>
      </c>
      <c r="L87" s="34"/>
      <c r="M87" s="34"/>
      <c r="N87" s="34"/>
      <c r="O87" s="34"/>
      <c r="P87" s="34"/>
      <c r="Q87" s="40"/>
      <c r="R87" s="40"/>
      <c r="S87" s="40"/>
      <c r="T87" s="901"/>
      <c r="U87" s="736"/>
      <c r="AD87" s="31"/>
      <c r="AE87" s="31"/>
      <c r="AJ87" s="31"/>
    </row>
    <row r="88" spans="2:36" ht="17.25" customHeight="1">
      <c r="B88" s="733"/>
      <c r="C88" s="713"/>
      <c r="D88" s="36" t="s">
        <v>13</v>
      </c>
      <c r="E88" s="36" t="s">
        <v>14</v>
      </c>
      <c r="F88" s="36" t="s">
        <v>15</v>
      </c>
      <c r="H88" s="36" t="s">
        <v>13</v>
      </c>
      <c r="I88" s="36" t="s">
        <v>14</v>
      </c>
      <c r="J88" s="36" t="s">
        <v>15</v>
      </c>
      <c r="L88" s="36" t="s">
        <v>71</v>
      </c>
      <c r="O88" s="34"/>
      <c r="P88" s="34"/>
      <c r="Q88" s="39" t="s">
        <v>93</v>
      </c>
      <c r="R88" s="40"/>
      <c r="S88" s="39" t="s">
        <v>94</v>
      </c>
      <c r="T88" s="901"/>
      <c r="U88" s="736"/>
      <c r="AD88" s="31"/>
      <c r="AE88" s="31"/>
      <c r="AJ88" s="31"/>
    </row>
    <row r="89" spans="2:36" ht="17.25" hidden="1" customHeight="1">
      <c r="B89" s="733"/>
      <c r="C89" s="713"/>
      <c r="D89" s="36"/>
      <c r="E89" s="36"/>
      <c r="F89" s="24" t="s">
        <v>16</v>
      </c>
      <c r="G89" s="36"/>
      <c r="M89" s="34"/>
      <c r="N89" s="34"/>
      <c r="O89" s="34"/>
      <c r="P89" s="34"/>
      <c r="Q89" s="40"/>
      <c r="R89" s="40"/>
      <c r="S89" s="40"/>
      <c r="T89" s="714"/>
      <c r="U89" s="736"/>
      <c r="AD89" s="31"/>
      <c r="AE89" s="31"/>
      <c r="AJ89" s="31"/>
    </row>
    <row r="90" spans="2:36" ht="17.25" hidden="1" customHeight="1">
      <c r="B90" s="733"/>
      <c r="C90" s="713"/>
      <c r="D90" s="36"/>
      <c r="E90" s="36"/>
      <c r="F90" s="24" t="s">
        <v>17</v>
      </c>
      <c r="G90" s="36"/>
      <c r="M90" s="34"/>
      <c r="N90" s="34"/>
      <c r="O90" s="34"/>
      <c r="P90" s="34"/>
      <c r="Q90" s="40"/>
      <c r="R90" s="40"/>
      <c r="S90" s="40"/>
      <c r="T90" s="714"/>
      <c r="U90" s="736"/>
      <c r="AD90" s="31"/>
      <c r="AE90" s="31"/>
      <c r="AJ90" s="31"/>
    </row>
    <row r="91" spans="2:36" ht="17.25" hidden="1" customHeight="1">
      <c r="B91" s="733"/>
      <c r="C91" s="713"/>
      <c r="D91" s="36"/>
      <c r="E91" s="36"/>
      <c r="F91" s="24" t="s">
        <v>3</v>
      </c>
      <c r="G91" s="36"/>
      <c r="M91" s="34"/>
      <c r="N91" s="34"/>
      <c r="O91" s="34"/>
      <c r="P91" s="34"/>
      <c r="Q91" s="40"/>
      <c r="R91" s="40"/>
      <c r="S91" s="40"/>
      <c r="T91" s="714"/>
      <c r="U91" s="736"/>
      <c r="AD91" s="31"/>
      <c r="AE91" s="31"/>
      <c r="AJ91" s="31"/>
    </row>
    <row r="92" spans="2:36" ht="17.25" hidden="1" customHeight="1">
      <c r="B92" s="733"/>
      <c r="C92" s="713"/>
      <c r="D92" s="36"/>
      <c r="E92" s="36"/>
      <c r="F92" s="24" t="s">
        <v>18</v>
      </c>
      <c r="G92" s="36"/>
      <c r="M92" s="34"/>
      <c r="N92" s="34"/>
      <c r="O92" s="34"/>
      <c r="P92" s="34"/>
      <c r="Q92" s="40"/>
      <c r="R92" s="40"/>
      <c r="S92" s="40"/>
      <c r="T92" s="714"/>
      <c r="U92" s="736"/>
      <c r="AD92" s="31"/>
      <c r="AE92" s="31"/>
      <c r="AJ92" s="31"/>
    </row>
    <row r="93" spans="2:36" ht="17.25" hidden="1" customHeight="1">
      <c r="B93" s="733"/>
      <c r="C93" s="713"/>
      <c r="D93" s="36"/>
      <c r="E93" s="36"/>
      <c r="F93" s="24" t="s">
        <v>2</v>
      </c>
      <c r="G93" s="36"/>
      <c r="M93" s="34"/>
      <c r="N93" s="34"/>
      <c r="O93" s="34"/>
      <c r="P93" s="34"/>
      <c r="Q93" s="40"/>
      <c r="R93" s="40"/>
      <c r="S93" s="40"/>
      <c r="T93" s="714"/>
      <c r="U93" s="736"/>
      <c r="AD93" s="31"/>
      <c r="AE93" s="31"/>
      <c r="AJ93" s="31"/>
    </row>
    <row r="94" spans="2:36" ht="17.25" hidden="1" customHeight="1">
      <c r="B94" s="733"/>
      <c r="C94" s="713"/>
      <c r="D94" s="36"/>
      <c r="E94" s="36"/>
      <c r="F94" s="24" t="s">
        <v>19</v>
      </c>
      <c r="G94" s="36"/>
      <c r="M94" s="34"/>
      <c r="N94" s="34"/>
      <c r="O94" s="34"/>
      <c r="P94" s="34"/>
      <c r="Q94" s="40"/>
      <c r="R94" s="40"/>
      <c r="S94" s="40"/>
      <c r="T94" s="714"/>
      <c r="U94" s="736"/>
      <c r="AD94" s="31"/>
      <c r="AE94" s="31"/>
      <c r="AJ94" s="31"/>
    </row>
    <row r="95" spans="2:36" ht="17.25" hidden="1" customHeight="1">
      <c r="B95" s="733"/>
      <c r="C95" s="713"/>
      <c r="D95" s="36"/>
      <c r="E95" s="36"/>
      <c r="F95" s="24" t="s">
        <v>20</v>
      </c>
      <c r="G95" s="36"/>
      <c r="M95" s="34"/>
      <c r="N95" s="34"/>
      <c r="O95" s="34"/>
      <c r="P95" s="34"/>
      <c r="Q95" s="40"/>
      <c r="R95" s="40"/>
      <c r="S95" s="40"/>
      <c r="T95" s="714"/>
      <c r="U95" s="736"/>
      <c r="AD95" s="31"/>
      <c r="AE95" s="31"/>
      <c r="AJ95" s="31"/>
    </row>
    <row r="96" spans="2:36" ht="17.25" customHeight="1">
      <c r="B96" s="733"/>
      <c r="C96" s="713"/>
      <c r="D96" s="935" t="s">
        <v>119</v>
      </c>
      <c r="E96" s="910"/>
      <c r="F96" s="924" t="s">
        <v>3</v>
      </c>
      <c r="G96" s="846"/>
      <c r="H96" s="935" t="s">
        <v>120</v>
      </c>
      <c r="I96" s="910"/>
      <c r="J96" s="1484" t="s">
        <v>3</v>
      </c>
      <c r="K96" s="1484"/>
      <c r="L96" s="1479"/>
      <c r="M96" s="1479"/>
      <c r="N96" s="1479"/>
      <c r="O96" s="34"/>
      <c r="P96" s="866"/>
      <c r="Q96" s="931">
        <f>CONVERT_TO_MONTHLY(E96,F96) + CONVERT_TO_MONTHLY(I96,J96)</f>
        <v>0</v>
      </c>
      <c r="R96" s="47"/>
      <c r="S96" s="931">
        <f>IF(F10="",0,MAX(W96,VLOOKUP(F10,'Configurable Items'!$D$4791:$E$4797,2,FALSE)))+X96</f>
        <v>0</v>
      </c>
      <c r="T96" s="901"/>
      <c r="U96" s="736"/>
      <c r="W96" s="931">
        <f>CONVERT_TO_MONTHLY(E96,F96)</f>
        <v>0</v>
      </c>
      <c r="X96" s="931">
        <f>CONVERT_TO_MONTHLY(I96,J96)</f>
        <v>0</v>
      </c>
      <c r="AD96" s="31"/>
      <c r="AE96" s="31"/>
      <c r="AJ96" s="31"/>
    </row>
    <row r="97" spans="2:39" ht="17.25" customHeight="1">
      <c r="B97" s="733"/>
      <c r="C97" s="713"/>
      <c r="D97" s="935" t="s">
        <v>121</v>
      </c>
      <c r="E97" s="910"/>
      <c r="F97" s="924" t="s">
        <v>3</v>
      </c>
      <c r="G97" s="846"/>
      <c r="H97" s="935" t="s">
        <v>122</v>
      </c>
      <c r="I97" s="910"/>
      <c r="J97" s="1484" t="s">
        <v>3</v>
      </c>
      <c r="K97" s="1484"/>
      <c r="L97" s="1479"/>
      <c r="M97" s="1479"/>
      <c r="N97" s="1479"/>
      <c r="O97" s="34"/>
      <c r="P97" s="866"/>
      <c r="Q97" s="931">
        <f>CONVERT_TO_MONTHLY(E97,F97) + CONVERT_TO_MONTHLY(I97,J97)</f>
        <v>0</v>
      </c>
      <c r="R97" s="47"/>
      <c r="S97" s="931">
        <f>Q97</f>
        <v>0</v>
      </c>
      <c r="T97" s="714"/>
      <c r="U97" s="736"/>
      <c r="W97" s="931">
        <f>CONVERT_TO_MONTHLY(E97,F97)</f>
        <v>0</v>
      </c>
      <c r="X97" s="931">
        <f>CONVERT_TO_MONTHLY(I97,J97)</f>
        <v>0</v>
      </c>
      <c r="AD97" s="31"/>
      <c r="AE97" s="31"/>
      <c r="AJ97" s="31"/>
    </row>
    <row r="98" spans="2:39" ht="17.25" customHeight="1">
      <c r="B98" s="733"/>
      <c r="C98" s="713"/>
      <c r="D98" s="935" t="s">
        <v>123</v>
      </c>
      <c r="E98" s="910"/>
      <c r="F98" s="924" t="s">
        <v>3</v>
      </c>
      <c r="G98" s="846"/>
      <c r="H98" s="935" t="s">
        <v>124</v>
      </c>
      <c r="I98" s="910"/>
      <c r="J98" s="1484" t="s">
        <v>3</v>
      </c>
      <c r="K98" s="1484"/>
      <c r="L98" s="1479"/>
      <c r="M98" s="1479"/>
      <c r="N98" s="1479"/>
      <c r="O98" s="34"/>
      <c r="P98" s="866"/>
      <c r="Q98" s="931">
        <f>CONVERT_TO_MONTHLY(E98,F98) + CONVERT_TO_MONTHLY(I98,J98)</f>
        <v>0</v>
      </c>
      <c r="R98" s="47"/>
      <c r="S98" s="931">
        <f>Q98</f>
        <v>0</v>
      </c>
      <c r="T98" s="714"/>
      <c r="U98" s="736"/>
      <c r="W98" s="931">
        <f>CONVERT_TO_MONTHLY(E98,F98)</f>
        <v>0</v>
      </c>
      <c r="X98" s="931">
        <f>CONVERT_TO_MONTHLY(I98,J98)</f>
        <v>0</v>
      </c>
      <c r="AD98" s="31"/>
      <c r="AE98" s="31"/>
      <c r="AJ98" s="31"/>
    </row>
    <row r="99" spans="2:39" ht="17.25" customHeight="1">
      <c r="B99" s="733"/>
      <c r="C99" s="713"/>
      <c r="D99" s="935" t="s">
        <v>9086</v>
      </c>
      <c r="E99" s="910"/>
      <c r="F99" s="924" t="s">
        <v>3</v>
      </c>
      <c r="G99" s="846"/>
      <c r="H99" s="935" t="s">
        <v>58</v>
      </c>
      <c r="I99" s="910"/>
      <c r="J99" s="1484" t="s">
        <v>3</v>
      </c>
      <c r="K99" s="1484"/>
      <c r="L99" s="1479"/>
      <c r="M99" s="1479"/>
      <c r="N99" s="1479"/>
      <c r="O99" s="34"/>
      <c r="P99" s="866"/>
      <c r="Q99" s="931">
        <f>CONVERT_TO_MONTHLY(E99,F99) + CONVERT_TO_MONTHLY(I99,J99)</f>
        <v>0</v>
      </c>
      <c r="R99" s="47"/>
      <c r="S99" s="931">
        <f>Q99</f>
        <v>0</v>
      </c>
      <c r="T99" s="901"/>
      <c r="U99" s="736"/>
      <c r="W99" s="931">
        <f>CONVERT_TO_MONTHLY(E99,F99)</f>
        <v>0</v>
      </c>
      <c r="X99" s="931">
        <f>CONVERT_TO_MONTHLY(I99,J99)</f>
        <v>0</v>
      </c>
      <c r="AD99" s="31"/>
      <c r="AE99" s="31"/>
      <c r="AJ99" s="31"/>
    </row>
    <row r="100" spans="2:39" ht="17.25" customHeight="1">
      <c r="B100" s="733"/>
      <c r="C100" s="713"/>
      <c r="D100" s="935" t="s">
        <v>125</v>
      </c>
      <c r="E100" s="931">
        <f>AL51</f>
        <v>0</v>
      </c>
      <c r="F100" s="935" t="s">
        <v>3</v>
      </c>
      <c r="G100" s="846"/>
      <c r="P100" s="866"/>
      <c r="Q100" s="931">
        <f>CONVERT_TO_MONTHLY(E100,F100)</f>
        <v>0</v>
      </c>
      <c r="R100" s="47"/>
      <c r="S100" s="931">
        <f>AK51</f>
        <v>0</v>
      </c>
      <c r="T100" s="901"/>
      <c r="U100" s="736"/>
      <c r="W100" s="931">
        <f>CONVERT_TO_MONTHLY(E100,F100)</f>
        <v>0</v>
      </c>
      <c r="AD100" s="31"/>
      <c r="AE100" s="31"/>
      <c r="AJ100" s="31"/>
    </row>
    <row r="101" spans="2:39" ht="17.25" customHeight="1">
      <c r="B101" s="733"/>
      <c r="C101" s="713"/>
      <c r="N101" s="34"/>
      <c r="O101" s="34"/>
      <c r="P101" s="34"/>
      <c r="Q101" s="56">
        <f t="array" ref="Q101">SUM(ROUND(Q96:Q100,2))+ Q80</f>
        <v>0</v>
      </c>
      <c r="R101" s="834"/>
      <c r="S101" s="56">
        <f t="array" ref="S101">SUM(ROUND(S96:S100,2))+ S80</f>
        <v>0</v>
      </c>
      <c r="T101" s="901"/>
      <c r="U101" s="736"/>
      <c r="AD101" s="31"/>
      <c r="AE101" s="31"/>
      <c r="AJ101" s="31"/>
    </row>
    <row r="102" spans="2:39" ht="17.25" customHeight="1">
      <c r="B102" s="733"/>
      <c r="C102" s="713"/>
      <c r="D102" s="867" t="s">
        <v>126</v>
      </c>
      <c r="E102" s="34"/>
      <c r="F102" s="34"/>
      <c r="G102" s="34"/>
      <c r="H102" s="34"/>
      <c r="I102" s="34"/>
      <c r="J102" s="34"/>
      <c r="K102" s="34"/>
      <c r="L102" s="34"/>
      <c r="M102" s="34"/>
      <c r="N102" s="34"/>
      <c r="O102" s="34"/>
      <c r="P102" s="34"/>
      <c r="Q102" s="838"/>
      <c r="R102" s="493"/>
      <c r="S102" s="838"/>
      <c r="T102" s="901"/>
      <c r="U102" s="736"/>
      <c r="AA102" s="39" t="s">
        <v>87</v>
      </c>
      <c r="AB102" s="39" t="s">
        <v>63</v>
      </c>
      <c r="AC102" s="39"/>
      <c r="AD102" s="39" t="s">
        <v>64</v>
      </c>
      <c r="AE102" s="39"/>
      <c r="AF102" s="39" t="s">
        <v>65</v>
      </c>
      <c r="AG102" s="39" t="s">
        <v>8607</v>
      </c>
      <c r="AH102" s="39"/>
      <c r="AI102" s="39"/>
      <c r="AJ102" s="31"/>
    </row>
    <row r="103" spans="2:39" ht="17.25" customHeight="1">
      <c r="B103" s="733"/>
      <c r="C103" s="902"/>
      <c r="D103" s="36" t="s">
        <v>14</v>
      </c>
      <c r="E103" s="36" t="s">
        <v>127</v>
      </c>
      <c r="F103" s="36" t="s">
        <v>89</v>
      </c>
      <c r="G103" s="36" t="s">
        <v>8597</v>
      </c>
      <c r="H103" s="36" t="s">
        <v>128</v>
      </c>
      <c r="I103" s="36" t="s">
        <v>129</v>
      </c>
      <c r="J103" s="1482" t="s">
        <v>8650</v>
      </c>
      <c r="K103" s="1482"/>
      <c r="L103" s="36" t="s">
        <v>132</v>
      </c>
      <c r="M103" s="36" t="s">
        <v>133</v>
      </c>
      <c r="N103" s="36" t="s">
        <v>134</v>
      </c>
      <c r="O103" s="36" t="s">
        <v>135</v>
      </c>
      <c r="P103" s="836"/>
      <c r="Q103" s="39" t="s">
        <v>93</v>
      </c>
      <c r="R103" s="1302"/>
      <c r="S103" s="39" t="s">
        <v>94</v>
      </c>
      <c r="T103" s="901"/>
      <c r="U103" s="736"/>
      <c r="W103" s="39" t="str">
        <f>$D$10 &amp; " Deducation"</f>
        <v xml:space="preserve"> Deducation</v>
      </c>
      <c r="X103" s="39" t="str">
        <f>$D$11 &amp; " Deducation"</f>
        <v xml:space="preserve"> Deducation</v>
      </c>
      <c r="Y103" s="39" t="s">
        <v>8598</v>
      </c>
      <c r="Z103" s="39" t="s">
        <v>8609</v>
      </c>
      <c r="AB103" s="39" t="str">
        <f>IF($D$10="","",$D$10)</f>
        <v/>
      </c>
      <c r="AC103" s="39" t="str">
        <f>IF($D$11="","",$D$11)</f>
        <v/>
      </c>
      <c r="AD103" s="39" t="str">
        <f>IF($D$10="","",$D$10)</f>
        <v/>
      </c>
      <c r="AE103" s="39" t="str">
        <f>IF($D$11="","",$D$11)</f>
        <v/>
      </c>
      <c r="AF103" s="39"/>
      <c r="AG103" s="39" t="s">
        <v>8627</v>
      </c>
      <c r="AH103" s="39" t="s">
        <v>8611</v>
      </c>
      <c r="AI103" s="39" t="s">
        <v>8610</v>
      </c>
      <c r="AK103" s="39" t="s">
        <v>8625</v>
      </c>
    </row>
    <row r="104" spans="2:39" ht="17.25" hidden="1" customHeight="1">
      <c r="B104" s="733"/>
      <c r="C104" s="902"/>
      <c r="D104" s="36"/>
      <c r="E104" s="36"/>
      <c r="F104" s="36"/>
      <c r="G104" s="36"/>
      <c r="H104" s="24" t="s">
        <v>136</v>
      </c>
      <c r="I104" s="36"/>
      <c r="J104" s="36"/>
      <c r="K104" s="36"/>
      <c r="L104" s="36"/>
      <c r="M104" s="36"/>
      <c r="N104" s="36"/>
      <c r="O104" s="36"/>
      <c r="P104" s="850"/>
      <c r="Q104" s="39"/>
      <c r="R104" s="47"/>
      <c r="S104" s="39"/>
      <c r="T104" s="714"/>
      <c r="U104" s="736"/>
      <c r="W104" s="32"/>
      <c r="X104" s="32"/>
      <c r="AB104" s="32"/>
      <c r="AC104" s="32"/>
      <c r="AD104" s="32"/>
      <c r="AE104" s="32"/>
      <c r="AK104" s="31"/>
    </row>
    <row r="105" spans="2:39" ht="17.25" hidden="1" customHeight="1">
      <c r="B105" s="733"/>
      <c r="C105" s="902"/>
      <c r="D105" s="36"/>
      <c r="E105" s="36"/>
      <c r="F105" s="36"/>
      <c r="G105" s="36"/>
      <c r="H105" s="24" t="s">
        <v>137</v>
      </c>
      <c r="I105" s="36"/>
      <c r="J105" s="36"/>
      <c r="K105" s="36"/>
      <c r="L105" s="36"/>
      <c r="M105" s="36"/>
      <c r="N105" s="36"/>
      <c r="O105" s="36"/>
      <c r="P105" s="850"/>
      <c r="Q105" s="39"/>
      <c r="R105" s="47"/>
      <c r="S105" s="39"/>
      <c r="T105" s="714"/>
      <c r="U105" s="736"/>
      <c r="W105" s="32"/>
      <c r="X105" s="32"/>
      <c r="AB105" s="32"/>
      <c r="AC105" s="32"/>
      <c r="AD105" s="32"/>
      <c r="AE105" s="32"/>
      <c r="AK105" s="31"/>
    </row>
    <row r="106" spans="2:39" ht="17.25" hidden="1" customHeight="1">
      <c r="B106" s="733"/>
      <c r="C106" s="902"/>
      <c r="D106" s="36"/>
      <c r="E106" s="36"/>
      <c r="F106" s="36"/>
      <c r="G106" s="36"/>
      <c r="H106" s="24" t="s">
        <v>138</v>
      </c>
      <c r="I106" s="36"/>
      <c r="J106" s="36"/>
      <c r="K106" s="36"/>
      <c r="L106" s="36"/>
      <c r="M106" s="36"/>
      <c r="N106" s="36"/>
      <c r="O106" s="36"/>
      <c r="P106" s="850"/>
      <c r="Q106" s="39"/>
      <c r="R106" s="47"/>
      <c r="S106" s="39"/>
      <c r="T106" s="714"/>
      <c r="U106" s="736"/>
      <c r="W106" s="32"/>
      <c r="X106" s="32"/>
      <c r="AB106" s="32"/>
      <c r="AC106" s="32"/>
      <c r="AD106" s="32"/>
      <c r="AE106" s="32"/>
      <c r="AK106" s="31"/>
    </row>
    <row r="107" spans="2:39" ht="17.25" hidden="1" customHeight="1">
      <c r="B107" s="733"/>
      <c r="C107" s="902"/>
      <c r="D107" s="36"/>
      <c r="E107" s="36"/>
      <c r="F107" s="36"/>
      <c r="G107" s="36"/>
      <c r="H107" s="24" t="s">
        <v>139</v>
      </c>
      <c r="I107" s="36"/>
      <c r="J107" s="36"/>
      <c r="K107" s="36"/>
      <c r="L107" s="36"/>
      <c r="M107" s="36"/>
      <c r="N107" s="36"/>
      <c r="O107" s="36"/>
      <c r="P107" s="850"/>
      <c r="Q107" s="39"/>
      <c r="R107" s="47"/>
      <c r="S107" s="39"/>
      <c r="T107" s="714"/>
      <c r="U107" s="736"/>
      <c r="W107" s="32"/>
      <c r="X107" s="32"/>
      <c r="AB107" s="32"/>
      <c r="AC107" s="32"/>
      <c r="AD107" s="32"/>
      <c r="AE107" s="32"/>
      <c r="AK107" s="31"/>
    </row>
    <row r="108" spans="2:39" ht="17.25" hidden="1" customHeight="1">
      <c r="B108" s="733"/>
      <c r="C108" s="902"/>
      <c r="D108" s="36"/>
      <c r="E108" s="36"/>
      <c r="F108" s="36"/>
      <c r="G108" s="24"/>
      <c r="H108" s="24" t="s">
        <v>140</v>
      </c>
      <c r="I108" s="36"/>
      <c r="J108" s="36"/>
      <c r="K108" s="36"/>
      <c r="L108" s="36"/>
      <c r="M108" s="36"/>
      <c r="N108" s="36"/>
      <c r="O108" s="36"/>
      <c r="P108" s="850"/>
      <c r="Q108" s="39"/>
      <c r="R108" s="47"/>
      <c r="S108" s="39"/>
      <c r="T108" s="714"/>
      <c r="U108" s="736"/>
      <c r="W108" s="32"/>
      <c r="X108" s="32"/>
      <c r="AB108" s="32"/>
      <c r="AC108" s="32"/>
      <c r="AD108" s="32"/>
      <c r="AE108" s="32"/>
      <c r="AK108" s="31"/>
    </row>
    <row r="109" spans="2:39" ht="17.25" hidden="1" customHeight="1">
      <c r="B109" s="733"/>
      <c r="C109" s="902"/>
      <c r="D109" s="36"/>
      <c r="E109" s="36"/>
      <c r="F109" s="36"/>
      <c r="G109" s="24" t="s">
        <v>58</v>
      </c>
      <c r="H109" s="24" t="s">
        <v>141</v>
      </c>
      <c r="I109" s="36"/>
      <c r="J109" s="36"/>
      <c r="K109" s="36"/>
      <c r="L109" s="36"/>
      <c r="M109" s="36"/>
      <c r="N109" s="36"/>
      <c r="O109" s="36"/>
      <c r="P109" s="850"/>
      <c r="Q109" s="39"/>
      <c r="R109" s="47"/>
      <c r="S109" s="39"/>
      <c r="T109" s="714"/>
      <c r="U109" s="736"/>
      <c r="W109" s="32"/>
      <c r="X109" s="32"/>
      <c r="AB109" s="32"/>
      <c r="AC109" s="32"/>
      <c r="AD109" s="32"/>
      <c r="AE109" s="32"/>
      <c r="AK109" s="31"/>
    </row>
    <row r="110" spans="2:39" ht="17.25" hidden="1" customHeight="1">
      <c r="B110" s="733"/>
      <c r="C110" s="902"/>
      <c r="D110" s="36"/>
      <c r="E110" s="24" t="b">
        <v>1</v>
      </c>
      <c r="F110" s="24" t="b">
        <v>1</v>
      </c>
      <c r="G110" s="24" t="str">
        <f>IF($D$11="","Other",$D$11)</f>
        <v>Other</v>
      </c>
      <c r="H110" s="24" t="s">
        <v>142</v>
      </c>
      <c r="I110" s="36"/>
      <c r="J110" s="36"/>
      <c r="K110" s="36"/>
      <c r="L110" s="36"/>
      <c r="M110" s="36"/>
      <c r="N110" s="36"/>
      <c r="O110" s="36"/>
      <c r="P110" s="850"/>
      <c r="Q110" s="39"/>
      <c r="R110" s="47"/>
      <c r="S110" s="39"/>
      <c r="T110" s="714"/>
      <c r="U110" s="736"/>
      <c r="W110" s="32"/>
      <c r="X110" s="32"/>
      <c r="AB110" s="32"/>
      <c r="AC110" s="32"/>
      <c r="AD110" s="32"/>
      <c r="AE110" s="32"/>
      <c r="AK110" s="31"/>
    </row>
    <row r="111" spans="2:39" ht="17.25" hidden="1" customHeight="1">
      <c r="B111" s="733"/>
      <c r="C111" s="902"/>
      <c r="D111" s="36"/>
      <c r="E111" s="24"/>
      <c r="F111" s="24"/>
      <c r="G111" s="24" t="s">
        <v>143</v>
      </c>
      <c r="H111" s="24" t="s">
        <v>136</v>
      </c>
      <c r="I111" s="868">
        <v>5</v>
      </c>
      <c r="J111" s="868"/>
      <c r="K111" s="868"/>
      <c r="L111" s="36">
        <v>1.4999999999999999E-2</v>
      </c>
      <c r="M111" s="36"/>
      <c r="N111" s="868">
        <v>1.4999999999999999E-2</v>
      </c>
      <c r="O111" s="36"/>
      <c r="P111" s="850"/>
      <c r="Q111" s="39"/>
      <c r="R111" s="47"/>
      <c r="S111" s="39"/>
      <c r="T111" s="714"/>
      <c r="U111" s="736"/>
      <c r="W111" s="32"/>
      <c r="X111" s="32"/>
      <c r="AB111" s="32"/>
      <c r="AC111" s="32"/>
      <c r="AD111" s="32"/>
      <c r="AE111" s="32"/>
      <c r="AK111" s="31"/>
    </row>
    <row r="112" spans="2:39" ht="17.25" customHeight="1">
      <c r="B112" s="733"/>
      <c r="C112" s="713"/>
      <c r="D112" s="910"/>
      <c r="E112" s="718" t="b">
        <v>0</v>
      </c>
      <c r="F112" s="718" t="b">
        <v>0</v>
      </c>
      <c r="G112" s="911"/>
      <c r="H112" s="912"/>
      <c r="I112" s="933"/>
      <c r="J112" s="933"/>
      <c r="K112" s="1423"/>
      <c r="L112" s="914"/>
      <c r="M112" s="934" t="str">
        <f>IF(H112="","",RATE_LOOKUP(E112,VLOOKUP(H112,'Configurable Items'!$D$4807:$I$4815,3,FALSE),VLOOKUP(H112,'Configurable Items'!$D$4807:$I$4815,2,FALSE),I112,"Initial")-L112)</f>
        <v/>
      </c>
      <c r="N112" s="1422"/>
      <c r="O112" s="934" t="str">
        <f>IF(H112="","",IF(VLOOKUP(H112,'Configurable Items'!$D$4807:$G$4815,4,FALSE),RATE_LOOKUP(E112,VLOOKUP(H112,'Configurable Items'!$D$4807:$I$4815,3,FALSE),VLOOKUP(H112,'Configurable Items'!$D$4807:$I$4815,2,FALSE),'SoP 4'!I112,"Subsequent")-N112,""))</f>
        <v/>
      </c>
      <c r="P112" s="850"/>
      <c r="Q112" s="931">
        <f>IF(H112="",0,IF(AND(J112="",K112="",H112&lt;&gt;"Bridging"),0,Repayments(D112, (J112*12)+K112,I112* 12, IF(LEFT(VLOOKUP(H112,'Configurable Items'!$D$4807:$E$4815,2,FALSE),3)="Int",I112*12,0), VLOOKUP(H112,'Configurable Items'!$D$4807:$F$4815,2,FALSE), "Monthly", M112, M112, "Initial","Full")))*(AB112+AC112)</f>
        <v>0</v>
      </c>
      <c r="R112" s="47"/>
      <c r="S112" s="931">
        <f>IF(ISBLANK(H112),0,IF(AND(J112="",K112="",H112&lt;&gt;"Bridging"),0,Calculate_Repayment(IF(H112="EMA","Property Line of Credit","Home Loan"),TRUE,D112,0,"Monthly",0,IF(H112="EMA",360,IF(H112="Bridging",300,IF(VLOOKUP(H112,'Configurable Items'!$D$4807:$H$4815,5,FALSE)=TRUE,(((J112*12+K112)-(I112*12))),J112*12+K112))),IF(O112="",M112,O112),TRUE)))*AA112</f>
        <v>0</v>
      </c>
      <c r="T112" s="901"/>
      <c r="U112" s="736"/>
      <c r="W112" s="931">
        <f>IF(AND(H112&lt;&gt;0,F112=TRUE,'Internal Ref'!$J$234&gt;0),IF(O112="",D112*M112,D112*O112),0)*AB112</f>
        <v>0</v>
      </c>
      <c r="X112" s="931">
        <f>IF(AND(H112&lt;&gt;0,F112=TRUE,'Internal Ref'!$J$234&gt;0),IF(O112="",D112*M112,D112*O112),0)*AC112</f>
        <v>0</v>
      </c>
      <c r="Y112" s="931" t="e">
        <f ca="1">VLOOKUP(G112,INDIRECT('Internal Ref'!$G$242),2,FALSE)</f>
        <v>#N/A</v>
      </c>
      <c r="Z112" s="939" t="s">
        <v>4536</v>
      </c>
      <c r="AA112" s="934">
        <f>IF(ISERR(SEARCH("^",G112)),AB112+AC112,1)</f>
        <v>1</v>
      </c>
      <c r="AB112" s="934">
        <f>IF(G112=$D$10,1,
IF(G112=$D$11,0,
IF(ISERR(SEARCH($D$10,G112)),0,
(MID(G112,LEN($D$10)+2,SEARCH("%",G112)-LEN($D$10)-2)/100))))</f>
        <v>1</v>
      </c>
      <c r="AC112" s="934">
        <f>IF($D$11="",0,IF(G112=$D$11,1,
IF(G112=$D$10,0,
IF(ISERR(SEARCH($D$11,G112)),0,
MID(G112,SEARCH($D$11,G112)+LEN($D$11)+1,LEN(G112)-(SEARCH($D$11,G112)+LEN($D$11)+IF(ISERR(SEARCH("^",G112)),1,2)))/100))))</f>
        <v>0</v>
      </c>
      <c r="AD112" s="934">
        <f>IF(SUM(AB112:AC112)=0,0,AB112/SUM(AB112:AC112))</f>
        <v>1</v>
      </c>
      <c r="AE112" s="934">
        <f>IF(SUM(AB112:AC112)=0,0,AC112/SUM(AB112:AC112))</f>
        <v>0</v>
      </c>
      <c r="AF112" s="934">
        <f>AC112+AB112</f>
        <v>1</v>
      </c>
      <c r="AG112" s="938">
        <f>IF(AH112="",0,IF(LEN(AH112)-LEN(SUBSTITUTE(AH112,"|",""))=0,"1^",LEN(AH112)-LEN(SUBSTITUTE(AH112,"|",""))))</f>
        <v>0</v>
      </c>
      <c r="AH112" s="930"/>
      <c r="AI112" s="930" t="e">
        <f ca="1">VLOOKUP(G112,INDIRECT('Internal Ref'!$G$242),4,FALSE)</f>
        <v>#N/A</v>
      </c>
      <c r="AK112" s="1483" t="str" cm="1">
        <f t="array" ref="AK112">LinkedSecurities($AB$11,AH112,AG112,"Security",$AD$10+$AD$11+$AD$12)</f>
        <v/>
      </c>
      <c r="AL112" s="1483"/>
      <c r="AM112" s="1483"/>
    </row>
    <row r="113" spans="2:36" ht="2.25" customHeight="1">
      <c r="B113" s="733"/>
      <c r="C113" s="713"/>
      <c r="D113" s="55"/>
      <c r="F113" s="57"/>
      <c r="G113" s="57"/>
      <c r="H113" s="63"/>
      <c r="I113" s="63"/>
      <c r="J113" s="63"/>
      <c r="K113" s="64"/>
      <c r="L113" s="65"/>
      <c r="M113" s="65"/>
      <c r="N113" s="32"/>
      <c r="O113" s="32"/>
      <c r="Q113" s="854"/>
      <c r="R113" s="40"/>
      <c r="S113" s="854"/>
      <c r="T113" s="901"/>
      <c r="U113" s="736"/>
      <c r="W113" s="55"/>
      <c r="X113" s="46"/>
      <c r="AD113" s="31"/>
      <c r="AE113" s="31"/>
      <c r="AJ113" s="31"/>
    </row>
    <row r="114" spans="2:36" ht="17.25" customHeight="1">
      <c r="B114" s="733"/>
      <c r="C114" s="713"/>
      <c r="D114" s="869">
        <f t="array" ref="D114">SUM(ROUND(D112:D113,2))</f>
        <v>0</v>
      </c>
      <c r="E114" s="32"/>
      <c r="F114" s="32"/>
      <c r="I114" s="23"/>
      <c r="J114" s="23"/>
      <c r="L114" s="34"/>
      <c r="M114" s="34"/>
      <c r="N114" s="32"/>
      <c r="O114" s="32"/>
      <c r="P114" s="34"/>
      <c r="Q114" s="56">
        <f t="array" ref="Q114">SUM(ROUND(Q112:Q113,2))</f>
        <v>0</v>
      </c>
      <c r="R114" s="834"/>
      <c r="S114" s="56">
        <f t="array" ref="S114">SUM(ROUND(S112:S113,2))</f>
        <v>0</v>
      </c>
      <c r="T114" s="901"/>
      <c r="U114" s="736"/>
      <c r="W114" s="56">
        <f t="array" ref="W114">SUM(ROUND(W112:W113,2))</f>
        <v>0</v>
      </c>
      <c r="X114" s="56">
        <f t="array" ref="X114">SUM(ROUND(X112:X113,2))</f>
        <v>0</v>
      </c>
      <c r="AD114" s="31"/>
      <c r="AE114" s="31"/>
      <c r="AJ114" s="31"/>
    </row>
    <row r="115" spans="2:36" ht="17.25" hidden="1" customHeight="1">
      <c r="B115" s="733"/>
      <c r="C115" s="713"/>
      <c r="D115" s="858" t="s">
        <v>144</v>
      </c>
      <c r="E115" s="34"/>
      <c r="F115" s="34"/>
      <c r="G115" s="34"/>
      <c r="H115" s="34"/>
      <c r="I115" s="66"/>
      <c r="J115" s="66"/>
      <c r="K115" s="34"/>
      <c r="L115" s="34"/>
      <c r="M115" s="34"/>
      <c r="N115" s="34"/>
      <c r="O115" s="34"/>
      <c r="P115" s="34"/>
      <c r="Q115" s="870"/>
      <c r="R115" s="493"/>
      <c r="S115" s="870"/>
      <c r="T115" s="714"/>
      <c r="U115" s="736"/>
      <c r="AD115" s="31"/>
      <c r="AE115" s="31"/>
      <c r="AJ115" s="31"/>
    </row>
    <row r="116" spans="2:36" ht="17.25" hidden="1" customHeight="1">
      <c r="B116" s="733"/>
      <c r="C116" s="713"/>
      <c r="D116" s="36" t="s">
        <v>29</v>
      </c>
      <c r="E116" s="850"/>
      <c r="F116" s="850"/>
      <c r="G116" s="850"/>
      <c r="H116" s="850"/>
      <c r="I116" s="871"/>
      <c r="J116" s="851"/>
      <c r="K116" s="836"/>
      <c r="L116" s="850"/>
      <c r="M116" s="850"/>
      <c r="N116" s="850"/>
      <c r="O116" s="850"/>
      <c r="P116" s="850"/>
      <c r="Q116" s="39" t="s">
        <v>93</v>
      </c>
      <c r="R116" s="1302"/>
      <c r="S116" s="39" t="s">
        <v>94</v>
      </c>
      <c r="T116" s="714"/>
      <c r="U116" s="736"/>
      <c r="AD116" s="31"/>
      <c r="AE116" s="31"/>
      <c r="AJ116" s="31"/>
    </row>
    <row r="117" spans="2:36" ht="17.25" hidden="1" customHeight="1">
      <c r="B117" s="733"/>
      <c r="C117" s="713"/>
      <c r="D117" s="909" t="str">
        <f>IF(D10="","",D10)</f>
        <v/>
      </c>
      <c r="E117" s="47"/>
      <c r="F117" s="47"/>
      <c r="G117" s="47"/>
      <c r="H117" s="47"/>
      <c r="I117" s="871"/>
      <c r="J117" s="872"/>
      <c r="K117" s="873"/>
      <c r="L117" s="874"/>
      <c r="M117" s="874"/>
      <c r="N117" s="874"/>
      <c r="O117" s="874"/>
      <c r="P117" s="874"/>
      <c r="Q117" s="941">
        <v>0</v>
      </c>
      <c r="R117" s="875"/>
      <c r="S117" s="941">
        <f>SUMPRODUCT($Y$48:$Y$51,$AB$48:$AB$51)*(1-ERMR_MULTIPLIER)</f>
        <v>0</v>
      </c>
      <c r="T117" s="714"/>
      <c r="U117" s="736"/>
      <c r="W117" s="54"/>
      <c r="Y117" s="34"/>
      <c r="AD117" s="31"/>
      <c r="AE117" s="31"/>
      <c r="AJ117" s="31"/>
    </row>
    <row r="118" spans="2:36" ht="17.25" hidden="1" customHeight="1">
      <c r="B118" s="733"/>
      <c r="C118" s="713"/>
      <c r="D118" s="1323" t="str">
        <f>IF(D11="","",D11)</f>
        <v/>
      </c>
      <c r="E118" s="866"/>
      <c r="F118" s="47"/>
      <c r="G118" s="47"/>
      <c r="H118" s="47"/>
      <c r="I118" s="871"/>
      <c r="J118" s="872"/>
      <c r="K118" s="876"/>
      <c r="L118" s="872"/>
      <c r="M118" s="872"/>
      <c r="N118" s="872"/>
      <c r="O118" s="872"/>
      <c r="P118" s="872"/>
      <c r="Q118" s="1324">
        <v>0</v>
      </c>
      <c r="R118" s="1326"/>
      <c r="S118" s="1324">
        <f>SUMPRODUCT($Y$48:$Y$51,$AC$48:$AC$51)*(1-ERMR_MULTIPLIER)</f>
        <v>0</v>
      </c>
      <c r="T118" s="714"/>
      <c r="U118" s="736"/>
      <c r="W118" s="54"/>
      <c r="AD118" s="31"/>
      <c r="AE118" s="31"/>
      <c r="AJ118" s="31"/>
    </row>
    <row r="119" spans="2:36" ht="17.25" hidden="1" customHeight="1">
      <c r="B119" s="733"/>
      <c r="C119" s="713"/>
      <c r="D119" s="878">
        <f>W4</f>
        <v>0</v>
      </c>
      <c r="E119" s="66"/>
      <c r="F119" s="66"/>
      <c r="G119" s="66"/>
      <c r="H119" s="879"/>
      <c r="I119" s="66"/>
      <c r="J119" s="880"/>
      <c r="K119" s="67"/>
      <c r="L119" s="881"/>
      <c r="M119" s="881"/>
      <c r="N119" s="881"/>
      <c r="O119" s="881"/>
      <c r="P119" s="881"/>
      <c r="Q119" s="56">
        <f>SUM(Q117:Q118)</f>
        <v>0</v>
      </c>
      <c r="R119" s="834"/>
      <c r="S119" s="56">
        <f>SUM(S117:S118)</f>
        <v>0</v>
      </c>
      <c r="T119" s="905"/>
      <c r="U119" s="736"/>
      <c r="W119" s="54"/>
      <c r="AD119" s="31"/>
      <c r="AE119" s="31"/>
      <c r="AJ119" s="31"/>
    </row>
    <row r="120" spans="2:36" ht="17.25" customHeight="1">
      <c r="B120" s="733"/>
      <c r="C120" s="713"/>
      <c r="D120" s="882" t="s">
        <v>145</v>
      </c>
      <c r="E120" s="34"/>
      <c r="F120" s="34"/>
      <c r="G120" s="34"/>
      <c r="H120" s="34"/>
      <c r="I120" s="66"/>
      <c r="J120" s="66"/>
      <c r="K120" s="34"/>
      <c r="L120" s="34"/>
      <c r="M120" s="34"/>
      <c r="N120" s="34"/>
      <c r="O120" s="34"/>
      <c r="P120" s="34"/>
      <c r="Q120" s="870"/>
      <c r="R120" s="493"/>
      <c r="S120" s="870"/>
      <c r="T120" s="901"/>
      <c r="U120" s="736"/>
      <c r="W120" s="54"/>
      <c r="AD120" s="31"/>
      <c r="AE120" s="31"/>
      <c r="AJ120" s="31"/>
    </row>
    <row r="121" spans="2:36" ht="17.25" customHeight="1">
      <c r="B121" s="733"/>
      <c r="C121" s="713"/>
      <c r="D121" s="36" t="s">
        <v>29</v>
      </c>
      <c r="E121" s="846"/>
      <c r="F121" s="36" t="s">
        <v>146</v>
      </c>
      <c r="G121" s="36" t="s">
        <v>147</v>
      </c>
      <c r="H121" s="36" t="s">
        <v>148</v>
      </c>
      <c r="I121" s="871"/>
      <c r="J121" s="851"/>
      <c r="K121" s="846"/>
      <c r="L121" s="866"/>
      <c r="M121" s="866"/>
      <c r="N121" s="866"/>
      <c r="O121" s="866"/>
      <c r="P121" s="866"/>
      <c r="Q121" s="39" t="s">
        <v>149</v>
      </c>
      <c r="R121" s="1302"/>
      <c r="S121" s="39" t="s">
        <v>149</v>
      </c>
      <c r="T121" s="901"/>
      <c r="U121" s="736"/>
      <c r="AD121" s="31"/>
      <c r="AE121" s="31"/>
      <c r="AJ121" s="31"/>
    </row>
    <row r="122" spans="2:36" ht="17.25" customHeight="1">
      <c r="B122" s="733"/>
      <c r="C122" s="713"/>
      <c r="D122" s="909" t="str">
        <f>IF(D10="","",D10)</f>
        <v/>
      </c>
      <c r="E122" s="865"/>
      <c r="F122" s="1360">
        <f>(SUMIFS($W$18:$W$37,$C$18:$C$37,D122)
+SUMPRODUCT($W$48:$W$51,$AD$48:$AD$51)
-SUM($AG$48:$AG$49)/12
-SUM($W$67:$W$68)/12
-SUM($W$112:$W$113)/12
)*12</f>
        <v>0</v>
      </c>
      <c r="G122" s="1360">
        <f>MAX((SUMIFS($AB$18:$AB$37,$C$18:$C$37,D122)
+SUMPRODUCT($X$48:$X$49,$AD$48:$AD$49)
-SUM($AG$48:$AG$49)/12
-SUM($W$67:$W$68)/12
-SUM($W$112:$W$113)/12
)*12,0)</f>
        <v>0</v>
      </c>
      <c r="H122" s="1361">
        <f>IF(G122=0,0,Q122*12/G122)</f>
        <v>0</v>
      </c>
      <c r="I122" s="883" t="str">
        <f>IF(AND('Internal Ref'!$J$234=0,'Internal Ref'!$N$234&gt;0),"No gearing applied as no rent entered","")</f>
        <v/>
      </c>
      <c r="J122" s="872"/>
      <c r="K122" s="884"/>
      <c r="L122" s="885"/>
      <c r="M122" s="885"/>
      <c r="N122" s="885"/>
      <c r="O122" s="885"/>
      <c r="P122" s="885"/>
      <c r="Q122" s="931">
        <f>TAX_ON_GROSS(G122, TRUE, IF(ISBLANK($D$11),1,2), $E$10+$E$11)/12</f>
        <v>0</v>
      </c>
      <c r="R122" s="875"/>
      <c r="S122" s="931">
        <f>Q122</f>
        <v>0</v>
      </c>
      <c r="T122" s="901"/>
      <c r="U122" s="736"/>
      <c r="W122" s="54"/>
      <c r="Y122" s="34"/>
      <c r="AD122" s="31"/>
      <c r="AE122" s="31"/>
      <c r="AJ122" s="31"/>
    </row>
    <row r="123" spans="2:36" ht="17.25" customHeight="1">
      <c r="B123" s="733"/>
      <c r="C123" s="713"/>
      <c r="D123" s="1323" t="str">
        <f>IF(D11="","",D11)</f>
        <v/>
      </c>
      <c r="E123" s="846"/>
      <c r="F123" s="1362">
        <f>(SUMIFS($W$18:$W$37,$C$18:$C$37,D123)
+SUMPRODUCT($W$48:$W$51,$AE$48:$AE$51)
-SUM($AH$48:$AH$49)/12
-SUM($X$67:$X$68)/12
-SUM($X$112:$X$113)/12
)*12</f>
        <v>0</v>
      </c>
      <c r="G123" s="1362">
        <f>MAX((SUMIFS($AB$18:$AB$37,$C$18:$C$37,D123)
+SUMPRODUCT($X$48:$X$51,$AE$48:$AE$51)
-SUM($AH$48:$AH$49)/12
-SUM($X$67:$X$68)/12
-SUM($X$112:$X$113)/12
)*12,0)</f>
        <v>0</v>
      </c>
      <c r="H123" s="1363">
        <f>IF(G123=0,0,ROUND(Q123*12/G123,4))</f>
        <v>0</v>
      </c>
      <c r="I123" s="871"/>
      <c r="J123" s="876"/>
      <c r="K123" s="876"/>
      <c r="L123" s="876"/>
      <c r="M123" s="876"/>
      <c r="N123" s="876"/>
      <c r="O123" s="876"/>
      <c r="P123" s="876"/>
      <c r="Q123" s="1324">
        <f>TAX_ON_GROSS(G123, TRUE, IF(ISBLANK($D$11),1,2), $E$10+$E$11)/12</f>
        <v>0</v>
      </c>
      <c r="R123" s="1326"/>
      <c r="S123" s="1324">
        <f>Q123</f>
        <v>0</v>
      </c>
      <c r="T123" s="901"/>
      <c r="U123" s="736"/>
      <c r="W123" s="54"/>
      <c r="AD123" s="31"/>
      <c r="AE123" s="31"/>
      <c r="AJ123" s="31"/>
    </row>
    <row r="124" spans="2:36" ht="17.25" customHeight="1">
      <c r="B124" s="733"/>
      <c r="C124" s="713"/>
      <c r="D124" s="878" t="str">
        <f>W12</f>
        <v/>
      </c>
      <c r="E124" s="66"/>
      <c r="F124" s="66"/>
      <c r="G124" s="66"/>
      <c r="H124" s="879">
        <f>AVERAGE(H122:H123)</f>
        <v>0</v>
      </c>
      <c r="I124" s="66"/>
      <c r="J124" s="880"/>
      <c r="K124" s="67"/>
      <c r="L124" s="881"/>
      <c r="M124" s="881"/>
      <c r="N124" s="881"/>
      <c r="O124" s="881"/>
      <c r="P124" s="881"/>
      <c r="Q124" s="56">
        <f t="array" ref="Q124">SUM(ROUND(Q122:Q123,2))</f>
        <v>0</v>
      </c>
      <c r="R124" s="56">
        <f t="array" ref="R124">SUM(ROUND(R122:R123,2))</f>
        <v>0</v>
      </c>
      <c r="S124" s="56">
        <f t="array" ref="S124">SUM(ROUND(S122:S123,2))</f>
        <v>0</v>
      </c>
      <c r="T124" s="906"/>
      <c r="U124" s="736"/>
      <c r="W124" s="54"/>
      <c r="AD124" s="31"/>
      <c r="AE124" s="31"/>
      <c r="AJ124" s="31"/>
    </row>
    <row r="125" spans="2:36" ht="17.25" customHeight="1">
      <c r="B125" s="733"/>
      <c r="C125" s="713"/>
      <c r="D125" s="161" t="s">
        <v>150</v>
      </c>
      <c r="G125" s="32"/>
      <c r="H125" s="32"/>
      <c r="I125" s="48"/>
      <c r="J125" s="48"/>
      <c r="L125" s="34"/>
      <c r="M125" s="34"/>
      <c r="N125" s="34"/>
      <c r="O125" s="34"/>
      <c r="P125" s="34"/>
      <c r="Q125" s="59">
        <f>SUM(Q69,Q101,Q114,Q124)</f>
        <v>0</v>
      </c>
      <c r="R125" s="834"/>
      <c r="S125" s="59">
        <f>SUM(S69,S101,S114,S119,S124)</f>
        <v>0</v>
      </c>
      <c r="T125" s="901"/>
      <c r="U125" s="736"/>
      <c r="W125" s="54"/>
      <c r="AD125" s="31"/>
      <c r="AE125" s="31"/>
      <c r="AJ125" s="31"/>
    </row>
    <row r="126" spans="2:36">
      <c r="B126" s="733"/>
      <c r="C126" s="807"/>
      <c r="D126" s="961"/>
      <c r="E126" s="727"/>
      <c r="F126" s="727"/>
      <c r="G126" s="948"/>
      <c r="H126" s="948"/>
      <c r="I126" s="962"/>
      <c r="J126" s="962"/>
      <c r="K126" s="727"/>
      <c r="L126" s="715"/>
      <c r="M126" s="715"/>
      <c r="N126" s="715"/>
      <c r="O126" s="715"/>
      <c r="P126" s="715"/>
      <c r="Q126" s="949"/>
      <c r="R126" s="828"/>
      <c r="S126" s="949"/>
      <c r="T126" s="908"/>
      <c r="U126" s="736"/>
      <c r="W126" s="54"/>
      <c r="AD126" s="31"/>
      <c r="AE126" s="31"/>
      <c r="AJ126" s="31"/>
    </row>
    <row r="127" spans="2:36" ht="7.5" customHeight="1">
      <c r="B127" s="733"/>
      <c r="C127" s="731"/>
      <c r="D127" s="978"/>
      <c r="E127" s="978"/>
      <c r="F127" s="979"/>
      <c r="G127" s="731"/>
      <c r="H127" s="731"/>
      <c r="I127" s="980"/>
      <c r="J127" s="980"/>
      <c r="K127" s="731"/>
      <c r="L127" s="731"/>
      <c r="M127" s="731"/>
      <c r="N127" s="731"/>
      <c r="O127" s="731"/>
      <c r="P127" s="731"/>
      <c r="Q127" s="952"/>
      <c r="R127" s="952"/>
      <c r="S127" s="952"/>
      <c r="T127" s="952"/>
      <c r="U127" s="736"/>
      <c r="W127" s="54"/>
      <c r="AD127" s="31"/>
      <c r="AE127" s="31"/>
      <c r="AJ127" s="31"/>
    </row>
    <row r="128" spans="2:36" ht="7.5" customHeight="1">
      <c r="B128" s="733"/>
      <c r="C128" s="945"/>
      <c r="D128" s="981"/>
      <c r="E128" s="981"/>
      <c r="F128" s="946"/>
      <c r="G128" s="743"/>
      <c r="H128" s="743"/>
      <c r="I128" s="982"/>
      <c r="J128" s="982"/>
      <c r="K128" s="743"/>
      <c r="L128" s="712"/>
      <c r="M128" s="712"/>
      <c r="N128" s="712"/>
      <c r="O128" s="712"/>
      <c r="P128" s="712"/>
      <c r="Q128" s="825"/>
      <c r="R128" s="825"/>
      <c r="S128" s="825"/>
      <c r="T128" s="947"/>
      <c r="U128" s="736"/>
      <c r="W128" s="54"/>
      <c r="AD128" s="31"/>
      <c r="AE128" s="31"/>
      <c r="AJ128" s="31"/>
    </row>
    <row r="129" spans="2:37" ht="17.25" customHeight="1">
      <c r="B129" s="733"/>
      <c r="C129" s="713"/>
      <c r="D129" s="68" t="s">
        <v>151</v>
      </c>
      <c r="G129" s="32"/>
      <c r="H129" s="32"/>
      <c r="I129" s="48"/>
      <c r="J129" s="48"/>
      <c r="L129" s="34"/>
      <c r="M129" s="34"/>
      <c r="N129" s="34"/>
      <c r="O129" s="34"/>
      <c r="P129" s="34"/>
      <c r="Q129" s="59">
        <f>Q51-Q125</f>
        <v>0</v>
      </c>
      <c r="R129" s="834"/>
      <c r="S129" s="59">
        <f>S51-S125</f>
        <v>0</v>
      </c>
      <c r="T129" s="901"/>
      <c r="U129" s="736"/>
      <c r="AD129" s="31"/>
      <c r="AE129" s="31"/>
      <c r="AJ129" s="31"/>
    </row>
    <row r="130" spans="2:37" ht="17.25" customHeight="1">
      <c r="B130" s="733"/>
      <c r="C130" s="713"/>
      <c r="D130" s="886"/>
      <c r="G130" s="32"/>
      <c r="H130" s="1001" t="str">
        <f>BorrowPower(S129,D112:X113,"Label",ROW(H130))</f>
        <v>OO 100% | 8.39% | 30Y</v>
      </c>
      <c r="I130" s="887"/>
      <c r="J130" s="48"/>
      <c r="L130" s="34"/>
      <c r="M130" s="34"/>
      <c r="N130" s="34"/>
      <c r="O130" s="34"/>
      <c r="P130" s="34"/>
      <c r="Q130" s="888"/>
      <c r="R130" s="834"/>
      <c r="S130" s="888"/>
      <c r="T130" s="901"/>
      <c r="U130" s="736"/>
      <c r="AD130" s="31"/>
      <c r="AE130" s="31"/>
      <c r="AJ130" s="31"/>
    </row>
    <row r="131" spans="2:37" ht="17.25" customHeight="1">
      <c r="B131" s="733"/>
      <c r="C131" s="713"/>
      <c r="D131" s="7" t="s">
        <v>152</v>
      </c>
      <c r="G131" s="1480">
        <f>BorrowPower(S129,D112:X113,"INV",ROW(H131))</f>
        <v>0</v>
      </c>
      <c r="H131" s="1481"/>
      <c r="I131"/>
      <c r="J131" s="887"/>
      <c r="K131" s="887"/>
      <c r="N131" s="34"/>
      <c r="O131" s="34"/>
      <c r="P131" s="34"/>
      <c r="Q131" s="888"/>
      <c r="R131" s="834"/>
      <c r="S131" s="888"/>
      <c r="T131" s="901"/>
      <c r="U131" s="736"/>
      <c r="AD131" s="31"/>
      <c r="AE131" s="31"/>
      <c r="AJ131" s="31"/>
      <c r="AK131" s="69"/>
    </row>
    <row r="132" spans="2:37" ht="17.25" customHeight="1">
      <c r="B132" s="733"/>
      <c r="C132" s="713"/>
      <c r="D132" s="7" t="s">
        <v>153</v>
      </c>
      <c r="G132" s="890"/>
      <c r="H132" s="891" cm="1">
        <f t="array" ref="H132">Calc_DTI(SUMPRODUCT(D112:D113,AF112:AF113),SUMPRODUCT(H67:H68,AF67:AF68), AC37, D48:X49,"DTI")</f>
        <v>0</v>
      </c>
      <c r="I132" s="48">
        <v>3.6</v>
      </c>
      <c r="J132" s="48">
        <v>716375.38754550298</v>
      </c>
      <c r="L132" s="892"/>
      <c r="M132" s="892"/>
      <c r="N132" s="34"/>
      <c r="O132" s="34"/>
      <c r="P132" s="34"/>
      <c r="Q132" s="888"/>
      <c r="R132" s="834"/>
      <c r="S132" s="888"/>
      <c r="T132" s="901"/>
      <c r="U132" s="736"/>
      <c r="AD132" s="31"/>
      <c r="AE132" s="31"/>
      <c r="AJ132" s="31"/>
    </row>
    <row r="133" spans="2:37">
      <c r="B133" s="733"/>
      <c r="C133" s="709"/>
      <c r="D133" s="715"/>
      <c r="E133" s="715"/>
      <c r="F133" s="715"/>
      <c r="G133" s="715"/>
      <c r="H133" s="907" t="str" cm="1">
        <f t="array" ref="H133">DTI_Policy($H$132,COUNTIFS(E48:E49,"Rent*",G48:G49,"&gt; 0")+COUNTIFS(F48:F49,"Rent*",G48:G49,"&gt; 0")+COUNTIF(F113:F113,TRUE), "Message")</f>
        <v/>
      </c>
      <c r="I133" s="715"/>
      <c r="J133" s="715"/>
      <c r="K133" s="715"/>
      <c r="L133" s="715"/>
      <c r="M133" s="715"/>
      <c r="N133" s="715"/>
      <c r="O133" s="715"/>
      <c r="P133" s="715"/>
      <c r="Q133" s="828"/>
      <c r="R133" s="828"/>
      <c r="S133" s="828"/>
      <c r="T133" s="908"/>
      <c r="U133" s="736"/>
      <c r="AD133" s="31"/>
      <c r="AE133" s="31"/>
      <c r="AJ133" s="31"/>
    </row>
    <row r="134" spans="2:37" ht="7.5" customHeight="1">
      <c r="B134" s="733"/>
      <c r="C134" s="735"/>
      <c r="D134" s="735"/>
      <c r="E134" s="735"/>
      <c r="F134" s="735"/>
      <c r="G134" s="735"/>
      <c r="H134" s="735"/>
      <c r="I134" s="735"/>
      <c r="J134" s="735"/>
      <c r="K134" s="735"/>
      <c r="L134" s="735"/>
      <c r="M134" s="735"/>
      <c r="N134" s="735"/>
      <c r="O134" s="735"/>
      <c r="P134" s="735"/>
      <c r="Q134" s="893"/>
      <c r="R134" s="893"/>
      <c r="S134" s="893"/>
      <c r="T134" s="893"/>
      <c r="U134" s="736"/>
      <c r="AD134" s="31"/>
      <c r="AE134" s="31"/>
      <c r="AJ134" s="31"/>
    </row>
    <row r="135" spans="2:37" ht="17.25" customHeight="1">
      <c r="B135" s="733"/>
      <c r="C135" s="1494" t="s">
        <v>556</v>
      </c>
      <c r="D135" s="1494"/>
      <c r="E135" s="1494"/>
      <c r="F135" s="1494"/>
      <c r="G135" s="1494"/>
      <c r="H135" s="1494"/>
      <c r="I135" s="1494"/>
      <c r="J135" s="1494"/>
      <c r="K135" s="1494"/>
      <c r="L135" s="1494"/>
      <c r="M135" s="1494"/>
      <c r="N135" s="1494"/>
      <c r="O135" s="993"/>
      <c r="P135" s="735"/>
      <c r="Q135" s="893"/>
      <c r="R135" s="893"/>
      <c r="S135" s="893"/>
      <c r="T135" s="893"/>
      <c r="U135" s="736"/>
      <c r="AD135" s="31"/>
      <c r="AE135" s="31"/>
      <c r="AJ135" s="31"/>
    </row>
    <row r="136" spans="2:37" ht="17.25" customHeight="1">
      <c r="B136" s="733"/>
      <c r="C136" s="706"/>
      <c r="D136" s="707"/>
      <c r="E136" s="707"/>
      <c r="F136" s="707"/>
      <c r="G136" s="707"/>
      <c r="H136" s="707"/>
      <c r="I136" s="707"/>
      <c r="J136" s="707"/>
      <c r="K136" s="707"/>
      <c r="L136" s="707"/>
      <c r="M136" s="707"/>
      <c r="N136" s="707"/>
      <c r="O136" s="707"/>
      <c r="P136" s="707"/>
      <c r="Q136" s="996"/>
      <c r="R136" s="996"/>
      <c r="S136" s="996"/>
      <c r="T136" s="947"/>
      <c r="U136" s="736"/>
      <c r="AD136" s="31"/>
      <c r="AE136" s="31"/>
      <c r="AJ136" s="31"/>
    </row>
    <row r="137" spans="2:37" ht="17.25" customHeight="1">
      <c r="B137" s="733"/>
      <c r="C137" s="725"/>
      <c r="D137" s="7" t="s">
        <v>155</v>
      </c>
      <c r="E137" s="7" t="s">
        <v>156</v>
      </c>
      <c r="F137" s="7" t="s">
        <v>157</v>
      </c>
      <c r="G137" s="7" t="s">
        <v>126</v>
      </c>
      <c r="H137" s="7" t="s">
        <v>158</v>
      </c>
      <c r="I137" s="7" t="s">
        <v>159</v>
      </c>
      <c r="K137" s="894" t="s">
        <v>151</v>
      </c>
      <c r="L137" s="895"/>
      <c r="M137" s="895"/>
      <c r="N137" s="71"/>
      <c r="O137" s="71"/>
      <c r="P137" s="71"/>
      <c r="Q137" s="59">
        <f>SUM(I138:I141)</f>
        <v>15825.660000000003</v>
      </c>
      <c r="R137" s="896"/>
      <c r="S137" s="896"/>
      <c r="T137" s="901"/>
      <c r="U137" s="736"/>
      <c r="AD137" s="31"/>
      <c r="AE137" s="31"/>
      <c r="AJ137" s="31"/>
    </row>
    <row r="138" spans="2:37" ht="17.25" customHeight="1">
      <c r="B138" s="733"/>
      <c r="C138" s="725"/>
      <c r="D138" s="1366" t="str">
        <f>VLOOKUP("SoP 1",'Internal Ref'!$A$234:$G$237,2,FALSE)</f>
        <v>Fan Jiang &amp; Sifei Liu</v>
      </c>
      <c r="E138" s="1364">
        <f>VLOOKUP("SoP 1",'Internal Ref'!$A$234:$G$237,3,FALSE)</f>
        <v>113559.08</v>
      </c>
      <c r="F138" s="1365">
        <f>VLOOKUP("SoP 1",'Internal Ref'!$A$234:$G$237,4,FALSE)</f>
        <v>8972</v>
      </c>
      <c r="G138" s="1365">
        <f>VLOOKUP("SoP 1",'Internal Ref'!$A$234:$G$237,5,FALSE)</f>
        <v>43536.31</v>
      </c>
      <c r="H138" s="1365">
        <f>VLOOKUP("SoP 1",'Internal Ref'!$A$234:$G$237,6,FALSE)</f>
        <v>45225.110160916665</v>
      </c>
      <c r="I138" s="1364">
        <f>VLOOKUP("SoP 1",'Internal Ref'!$A$234:$G$237,7,FALSE)</f>
        <v>15825.660000000003</v>
      </c>
      <c r="J138" s="897"/>
      <c r="K138" s="858" t="s">
        <v>152</v>
      </c>
      <c r="L138" s="803"/>
      <c r="M138" s="803"/>
      <c r="N138" s="72"/>
      <c r="O138" s="72"/>
      <c r="P138" s="72"/>
      <c r="Q138" s="1367">
        <f>'SoP 4'!G131 + 'SoP 2'!G131+ 'SoP 1'!G167 + 'SoP 3'!G131</f>
        <v>7635499.9981616996</v>
      </c>
      <c r="R138" s="896"/>
      <c r="S138" s="896"/>
      <c r="T138" s="901"/>
      <c r="U138" s="736"/>
      <c r="AD138" s="31"/>
      <c r="AE138" s="31"/>
      <c r="AJ138" s="31"/>
    </row>
    <row r="139" spans="2:37" ht="17.25" customHeight="1">
      <c r="B139" s="733"/>
      <c r="C139" s="725"/>
      <c r="D139" s="1366" t="str">
        <f>VLOOKUP("SoP 2",'Internal Ref'!$A$234:$G$237,2,FALSE)</f>
        <v/>
      </c>
      <c r="E139" s="1364">
        <f>VLOOKUP("SoP 2",'Internal Ref'!$A$234:$G$237,3,FALSE)</f>
        <v>0</v>
      </c>
      <c r="F139" s="1365">
        <f>VLOOKUP("SoP 2",'Internal Ref'!$A$234:$G$237,4,FALSE)</f>
        <v>0</v>
      </c>
      <c r="G139" s="1365">
        <f>VLOOKUP("SoP 2",'Internal Ref'!$A$234:$G$237,5,FALSE)</f>
        <v>0</v>
      </c>
      <c r="H139" s="1365">
        <f>VLOOKUP("SoP 2",'Internal Ref'!$A$234:$G$237,6,FALSE)</f>
        <v>0</v>
      </c>
      <c r="I139" s="1364">
        <f>VLOOKUP("SoP 2",'Internal Ref'!$A$234:$G$237,7,FALSE)</f>
        <v>0</v>
      </c>
      <c r="J139" s="897"/>
      <c r="K139" s="858" t="s">
        <v>153</v>
      </c>
      <c r="L139" s="803"/>
      <c r="M139" s="803"/>
      <c r="N139" s="72"/>
      <c r="O139" s="72"/>
      <c r="P139" s="72"/>
      <c r="Q139" s="898">
        <f>IF(SUM('Internal Ref'!$J$178:$J$181)=0,0,SUM('Internal Ref'!$J$178:$J$181)/SUM('Internal Ref'!$I$178:$I$181))</f>
        <v>4.1094614949915647</v>
      </c>
      <c r="R139" s="899"/>
      <c r="S139" s="896"/>
      <c r="T139" s="901"/>
      <c r="U139" s="736"/>
      <c r="AD139" s="31"/>
      <c r="AE139" s="31"/>
      <c r="AJ139" s="31"/>
    </row>
    <row r="140" spans="2:37" ht="17.25" customHeight="1">
      <c r="B140" s="733"/>
      <c r="C140" s="725"/>
      <c r="D140" s="1366" t="str">
        <f>VLOOKUP("SoP 3",'Internal Ref'!$A$234:$G$237,2,FALSE)</f>
        <v/>
      </c>
      <c r="E140" s="1364">
        <f>VLOOKUP("SoP 3",'Internal Ref'!$A$234:$G$237,3,FALSE)</f>
        <v>0</v>
      </c>
      <c r="F140" s="1365">
        <f>VLOOKUP("SoP 3",'Internal Ref'!$A$234:$G$237,4,FALSE)</f>
        <v>0</v>
      </c>
      <c r="G140" s="1365">
        <f>VLOOKUP("SoP 3",'Internal Ref'!$A$234:$G$237,5,FALSE)</f>
        <v>0</v>
      </c>
      <c r="H140" s="1365">
        <f>VLOOKUP("SoP 3",'Internal Ref'!$A$234:$G$237,6,FALSE)</f>
        <v>0</v>
      </c>
      <c r="I140" s="1364">
        <f>VLOOKUP("SoP 3",'Internal Ref'!$A$234:$G$237,7,FALSE)</f>
        <v>0</v>
      </c>
      <c r="J140" s="897"/>
      <c r="R140" s="900"/>
      <c r="S140" s="896"/>
      <c r="T140" s="901"/>
      <c r="U140" s="736"/>
      <c r="AD140" s="31"/>
      <c r="AE140" s="31"/>
      <c r="AJ140" s="31"/>
    </row>
    <row r="141" spans="2:37" ht="17.25" customHeight="1">
      <c r="B141" s="733"/>
      <c r="C141" s="725"/>
      <c r="D141" s="1366" t="str">
        <f>VLOOKUP("SoP 4",'Internal Ref'!$A$234:$G$237,2,FALSE)</f>
        <v/>
      </c>
      <c r="E141" s="1364">
        <f>VLOOKUP("SoP 4",'Internal Ref'!$A$234:$G$237,3,FALSE)</f>
        <v>0</v>
      </c>
      <c r="F141" s="1365">
        <f>VLOOKUP("SoP 4",'Internal Ref'!$A$234:$G$237,4,FALSE)</f>
        <v>0</v>
      </c>
      <c r="G141" s="1365">
        <f>VLOOKUP("SoP 4",'Internal Ref'!$A$234:$G$237,5,FALSE)</f>
        <v>0</v>
      </c>
      <c r="H141" s="1365">
        <f>VLOOKUP("SoP 4",'Internal Ref'!$A$234:$G$237,6,FALSE)</f>
        <v>0</v>
      </c>
      <c r="I141" s="1364">
        <f>VLOOKUP("SoP 4",'Internal Ref'!$A$234:$G$237,7,FALSE)</f>
        <v>0</v>
      </c>
      <c r="J141" s="897"/>
      <c r="Q141" s="40"/>
      <c r="R141" s="40"/>
      <c r="S141" s="896"/>
      <c r="T141" s="901"/>
      <c r="U141" s="736"/>
      <c r="AD141" s="31"/>
      <c r="AE141" s="31"/>
      <c r="AJ141" s="31"/>
    </row>
    <row r="142" spans="2:37" ht="17.25" customHeight="1">
      <c r="B142" s="733"/>
      <c r="C142" s="709"/>
      <c r="D142" s="804"/>
      <c r="E142" s="805"/>
      <c r="F142" s="805"/>
      <c r="G142" s="805"/>
      <c r="H142" s="805"/>
      <c r="I142" s="805"/>
      <c r="J142" s="805"/>
      <c r="K142" s="997" t="str" cm="1">
        <f t="array" ref="K142">DTI_Policy(Q139,SUM($J$138:$J$141), "Message")</f>
        <v/>
      </c>
      <c r="L142" s="805"/>
      <c r="M142" s="805"/>
      <c r="N142" s="805"/>
      <c r="O142" s="805"/>
      <c r="P142" s="805"/>
      <c r="Q142" s="727"/>
      <c r="R142" s="998"/>
      <c r="S142" s="998"/>
      <c r="T142" s="999"/>
      <c r="U142" s="736"/>
      <c r="AD142" s="31"/>
      <c r="AE142" s="31"/>
      <c r="AJ142" s="31"/>
    </row>
    <row r="143" spans="2:37" ht="17.25" customHeight="1">
      <c r="B143" s="733"/>
      <c r="C143" s="735"/>
      <c r="D143" s="735"/>
      <c r="E143" s="735"/>
      <c r="F143" s="735"/>
      <c r="G143" s="735"/>
      <c r="H143" s="735"/>
      <c r="I143" s="735"/>
      <c r="J143" s="735"/>
      <c r="K143" s="735"/>
      <c r="L143" s="735"/>
      <c r="M143" s="735"/>
      <c r="N143" s="735"/>
      <c r="O143" s="735"/>
      <c r="P143" s="735"/>
      <c r="Q143" s="735"/>
      <c r="R143" s="735"/>
      <c r="S143" s="735"/>
      <c r="T143" s="735"/>
      <c r="U143" s="736"/>
      <c r="AD143" s="31"/>
      <c r="AE143" s="31"/>
      <c r="AJ143" s="31"/>
    </row>
    <row r="144" spans="2:37" ht="17.25" customHeight="1">
      <c r="B144" s="733"/>
      <c r="C144" s="775" t="s">
        <v>160</v>
      </c>
      <c r="D144" s="735"/>
      <c r="E144" s="983"/>
      <c r="F144" s="983"/>
      <c r="G144" s="983"/>
      <c r="H144" s="983"/>
      <c r="I144" s="984"/>
      <c r="J144" s="984"/>
      <c r="K144" s="983"/>
      <c r="L144" s="983"/>
      <c r="M144" s="983"/>
      <c r="N144" s="983"/>
      <c r="O144" s="983"/>
      <c r="P144" s="983"/>
      <c r="Q144" s="983"/>
      <c r="R144" s="983"/>
      <c r="S144" s="983"/>
      <c r="T144" s="735"/>
      <c r="U144" s="736"/>
      <c r="AD144" s="31"/>
      <c r="AE144" s="31"/>
      <c r="AJ144" s="31"/>
    </row>
    <row r="145" spans="2:36" ht="26.25" customHeight="1">
      <c r="B145" s="733"/>
      <c r="C145" s="1478" t="str">
        <f ca="1">"This is an estimate only, current as at "&amp;TEXT(TODAY(),"dd/mm/yyyy")&amp;". It is provided for illustrative purposes only and is based on the accuracy of information provided. "&amp;"It does not constitute a quote or offer for credit. All applications for credit are subject to ANZ’s normal credit approval criteria. Terms and conditions apply and are available on application. Fees and charges apply."</f>
        <v>This is an estimate only, current as at 03/06/2025. It is provided for illustrative purposes only and is based on the accuracy of information provided. It does not constitute a quote or offer for credit. All applications for credit are subject to ANZ’s normal credit approval criteria. Terms and conditions apply and are available on application. Fees and charges apply.</v>
      </c>
      <c r="D145" s="1478"/>
      <c r="E145" s="1478"/>
      <c r="F145" s="1478"/>
      <c r="G145" s="1478"/>
      <c r="H145" s="1478"/>
      <c r="I145" s="1478"/>
      <c r="J145" s="1478"/>
      <c r="K145" s="1478"/>
      <c r="L145" s="1478"/>
      <c r="M145" s="1478"/>
      <c r="N145" s="1478"/>
      <c r="O145" s="1478"/>
      <c r="P145" s="1478"/>
      <c r="Q145" s="1478"/>
      <c r="R145" s="1478"/>
      <c r="S145" s="1478"/>
      <c r="T145" s="985"/>
      <c r="U145" s="736"/>
      <c r="AD145" s="31"/>
      <c r="AE145" s="31"/>
      <c r="AJ145" s="31"/>
    </row>
    <row r="146" spans="2:36">
      <c r="B146" s="734"/>
      <c r="C146" s="738"/>
      <c r="D146" s="738"/>
      <c r="E146" s="738"/>
      <c r="F146" s="738"/>
      <c r="G146" s="738"/>
      <c r="H146" s="738"/>
      <c r="I146" s="738"/>
      <c r="J146" s="738"/>
      <c r="K146" s="738"/>
      <c r="L146" s="738"/>
      <c r="M146" s="738"/>
      <c r="N146" s="738"/>
      <c r="O146" s="738"/>
      <c r="P146" s="738"/>
      <c r="Q146" s="738"/>
      <c r="R146" s="738"/>
      <c r="S146" s="738"/>
      <c r="T146" s="818" t="str">
        <f>ML_CALC_VERSION</f>
        <v>HL_Calc_V54_250405</v>
      </c>
      <c r="U146" s="737"/>
      <c r="AD146" s="31"/>
      <c r="AE146" s="31"/>
      <c r="AJ146" s="31"/>
    </row>
    <row r="147" spans="2:36" ht="24.75" customHeight="1">
      <c r="AD147" s="31"/>
      <c r="AE147" s="31"/>
      <c r="AJ147" s="31"/>
    </row>
    <row r="148" spans="2:36" ht="24.75" customHeight="1">
      <c r="AD148" s="31"/>
      <c r="AE148" s="31"/>
      <c r="AJ148" s="31"/>
    </row>
    <row r="149" spans="2:36" ht="24.75" customHeight="1">
      <c r="AD149" s="31"/>
      <c r="AE149" s="31"/>
      <c r="AJ149" s="31"/>
    </row>
    <row r="150" spans="2:36">
      <c r="AD150" s="31"/>
      <c r="AE150" s="31"/>
      <c r="AJ150" s="31"/>
    </row>
    <row r="151" spans="2:36">
      <c r="AD151" s="31"/>
      <c r="AE151" s="31"/>
      <c r="AJ151" s="31"/>
    </row>
    <row r="152" spans="2:36">
      <c r="AD152" s="31"/>
      <c r="AE152" s="31"/>
      <c r="AJ152" s="31"/>
    </row>
    <row r="153" spans="2:36">
      <c r="AD153" s="31"/>
      <c r="AE153" s="31"/>
      <c r="AJ153" s="31"/>
    </row>
    <row r="154" spans="2:36">
      <c r="AD154" s="31"/>
      <c r="AE154" s="31"/>
      <c r="AJ154" s="31"/>
    </row>
    <row r="155" spans="2:36">
      <c r="AD155" s="31"/>
      <c r="AE155" s="31"/>
      <c r="AJ155" s="31"/>
    </row>
    <row r="156" spans="2:36">
      <c r="AD156" s="31"/>
      <c r="AE156" s="31"/>
      <c r="AJ156" s="31"/>
    </row>
    <row r="157" spans="2:36">
      <c r="AD157" s="31"/>
      <c r="AE157" s="31"/>
      <c r="AJ157" s="31"/>
    </row>
    <row r="158" spans="2:36">
      <c r="AD158" s="31"/>
      <c r="AE158" s="31"/>
      <c r="AJ158" s="31"/>
    </row>
    <row r="159" spans="2:36">
      <c r="AD159" s="31"/>
      <c r="AE159" s="31"/>
      <c r="AJ159" s="31"/>
    </row>
    <row r="160" spans="2:36">
      <c r="AD160" s="31"/>
      <c r="AE160" s="31"/>
      <c r="AJ160" s="31"/>
    </row>
    <row r="161" spans="30:36">
      <c r="AD161" s="31"/>
      <c r="AE161" s="31"/>
      <c r="AJ161" s="31"/>
    </row>
    <row r="162" spans="30:36">
      <c r="AD162" s="31"/>
      <c r="AE162" s="31"/>
      <c r="AJ162" s="31"/>
    </row>
    <row r="163" spans="30:36">
      <c r="AD163" s="31"/>
      <c r="AE163" s="31"/>
      <c r="AJ163" s="31"/>
    </row>
    <row r="164" spans="30:36">
      <c r="AD164" s="31"/>
      <c r="AE164" s="31"/>
      <c r="AJ164" s="31"/>
    </row>
    <row r="165" spans="30:36">
      <c r="AD165" s="31"/>
      <c r="AE165" s="31"/>
      <c r="AJ165" s="31"/>
    </row>
    <row r="166" spans="30:36">
      <c r="AD166" s="31"/>
      <c r="AE166" s="31"/>
      <c r="AJ166" s="31"/>
    </row>
    <row r="167" spans="30:36">
      <c r="AD167" s="31"/>
      <c r="AE167" s="31"/>
      <c r="AJ167" s="31"/>
    </row>
    <row r="168" spans="30:36">
      <c r="AD168" s="31"/>
      <c r="AE168" s="31"/>
      <c r="AJ168" s="31"/>
    </row>
    <row r="169" spans="30:36">
      <c r="AD169" s="31"/>
      <c r="AE169" s="31"/>
      <c r="AJ169" s="31"/>
    </row>
    <row r="170" spans="30:36">
      <c r="AD170" s="31"/>
      <c r="AE170" s="31"/>
      <c r="AJ170" s="31"/>
    </row>
    <row r="171" spans="30:36">
      <c r="AD171" s="31"/>
      <c r="AE171" s="31"/>
      <c r="AJ171" s="31"/>
    </row>
    <row r="172" spans="30:36">
      <c r="AD172" s="31"/>
      <c r="AE172" s="31"/>
      <c r="AJ172" s="31"/>
    </row>
    <row r="173" spans="30:36">
      <c r="AD173" s="31"/>
      <c r="AE173" s="31"/>
      <c r="AJ173" s="31"/>
    </row>
    <row r="174" spans="30:36">
      <c r="AD174" s="31"/>
      <c r="AE174" s="31"/>
      <c r="AJ174" s="31"/>
    </row>
    <row r="175" spans="30:36">
      <c r="AD175" s="31"/>
      <c r="AE175" s="31"/>
      <c r="AJ175" s="31"/>
    </row>
    <row r="176" spans="30:36">
      <c r="AD176" s="31"/>
      <c r="AE176" s="31"/>
      <c r="AJ176" s="31"/>
    </row>
    <row r="177" spans="30:36">
      <c r="AD177" s="31"/>
      <c r="AE177" s="31"/>
      <c r="AJ177" s="31"/>
    </row>
    <row r="178" spans="30:36">
      <c r="AD178" s="31"/>
      <c r="AE178" s="31"/>
      <c r="AJ178" s="31"/>
    </row>
    <row r="179" spans="30:36">
      <c r="AD179" s="31"/>
      <c r="AE179" s="31"/>
      <c r="AJ179" s="31"/>
    </row>
    <row r="180" spans="30:36">
      <c r="AD180" s="31"/>
      <c r="AE180" s="31"/>
      <c r="AJ180" s="31"/>
    </row>
    <row r="181" spans="30:36">
      <c r="AD181" s="31"/>
      <c r="AE181" s="31"/>
      <c r="AJ181" s="31"/>
    </row>
    <row r="182" spans="30:36">
      <c r="AD182" s="31"/>
      <c r="AE182" s="31"/>
      <c r="AJ182" s="31"/>
    </row>
    <row r="183" spans="30:36">
      <c r="AD183" s="31"/>
      <c r="AE183" s="31"/>
      <c r="AJ183" s="31"/>
    </row>
    <row r="184" spans="30:36">
      <c r="AD184" s="31"/>
      <c r="AE184" s="31"/>
      <c r="AJ184" s="31"/>
    </row>
    <row r="185" spans="30:36">
      <c r="AD185" s="31"/>
      <c r="AE185" s="31"/>
      <c r="AJ185" s="31"/>
    </row>
    <row r="186" spans="30:36">
      <c r="AD186" s="31"/>
      <c r="AE186" s="31"/>
      <c r="AJ186" s="31"/>
    </row>
    <row r="187" spans="30:36">
      <c r="AD187" s="31"/>
      <c r="AE187" s="31"/>
      <c r="AJ187" s="31"/>
    </row>
    <row r="188" spans="30:36">
      <c r="AD188" s="31"/>
      <c r="AE188" s="31"/>
      <c r="AJ188" s="31"/>
    </row>
    <row r="189" spans="30:36">
      <c r="AD189" s="31"/>
      <c r="AE189" s="31"/>
      <c r="AJ189" s="31"/>
    </row>
    <row r="190" spans="30:36">
      <c r="AD190" s="31"/>
      <c r="AE190" s="31"/>
      <c r="AJ190" s="31"/>
    </row>
    <row r="191" spans="30:36">
      <c r="AD191" s="31"/>
      <c r="AE191" s="31"/>
      <c r="AJ191" s="31"/>
    </row>
    <row r="192" spans="30:36">
      <c r="AD192" s="31"/>
      <c r="AE192" s="31"/>
      <c r="AJ192" s="31"/>
    </row>
    <row r="193" spans="30:36">
      <c r="AD193" s="31"/>
      <c r="AE193" s="31"/>
      <c r="AJ193" s="31"/>
    </row>
    <row r="194" spans="30:36">
      <c r="AD194" s="31"/>
      <c r="AE194" s="31"/>
      <c r="AJ194" s="31"/>
    </row>
    <row r="195" spans="30:36">
      <c r="AD195" s="31"/>
      <c r="AE195" s="31"/>
      <c r="AJ195" s="31"/>
    </row>
    <row r="196" spans="30:36">
      <c r="AD196" s="31"/>
      <c r="AE196" s="31"/>
      <c r="AJ196" s="31"/>
    </row>
    <row r="197" spans="30:36">
      <c r="AD197" s="31"/>
      <c r="AE197" s="31"/>
      <c r="AJ197" s="31"/>
    </row>
    <row r="198" spans="30:36">
      <c r="AD198" s="31"/>
      <c r="AE198" s="31"/>
      <c r="AJ198" s="31"/>
    </row>
    <row r="199" spans="30:36">
      <c r="AD199" s="31"/>
      <c r="AE199" s="31"/>
      <c r="AJ199" s="31"/>
    </row>
    <row r="200" spans="30:36">
      <c r="AD200" s="31"/>
      <c r="AE200" s="31"/>
      <c r="AJ200" s="31"/>
    </row>
    <row r="201" spans="30:36">
      <c r="AD201" s="31"/>
      <c r="AE201" s="31"/>
      <c r="AJ201" s="31"/>
    </row>
    <row r="202" spans="30:36">
      <c r="AD202" s="31"/>
      <c r="AE202" s="31"/>
      <c r="AJ202" s="31"/>
    </row>
    <row r="203" spans="30:36">
      <c r="AD203" s="31"/>
      <c r="AE203" s="31"/>
      <c r="AJ203" s="31"/>
    </row>
    <row r="204" spans="30:36">
      <c r="AD204" s="31"/>
      <c r="AE204" s="31"/>
      <c r="AJ204" s="31"/>
    </row>
    <row r="205" spans="30:36">
      <c r="AD205" s="31"/>
      <c r="AE205" s="31"/>
      <c r="AJ205" s="31"/>
    </row>
    <row r="206" spans="30:36">
      <c r="AD206" s="31"/>
      <c r="AE206" s="31"/>
      <c r="AJ206" s="31"/>
    </row>
    <row r="207" spans="30:36">
      <c r="AD207" s="31"/>
      <c r="AE207" s="31"/>
      <c r="AJ207" s="31"/>
    </row>
    <row r="208" spans="30:36">
      <c r="AD208" s="31"/>
      <c r="AE208" s="31"/>
      <c r="AJ208" s="31"/>
    </row>
    <row r="209" spans="30:36">
      <c r="AD209" s="31"/>
      <c r="AE209" s="31"/>
      <c r="AJ209" s="31"/>
    </row>
    <row r="210" spans="30:36">
      <c r="AD210" s="31"/>
      <c r="AE210" s="31"/>
      <c r="AJ210" s="31"/>
    </row>
    <row r="211" spans="30:36">
      <c r="AD211" s="31"/>
      <c r="AE211" s="31"/>
      <c r="AJ211" s="31"/>
    </row>
    <row r="212" spans="30:36">
      <c r="AD212" s="31"/>
      <c r="AE212" s="31"/>
      <c r="AJ212" s="31"/>
    </row>
    <row r="213" spans="30:36">
      <c r="AD213" s="31"/>
      <c r="AE213" s="31"/>
      <c r="AJ213" s="31"/>
    </row>
    <row r="214" spans="30:36">
      <c r="AD214" s="31"/>
      <c r="AE214" s="31"/>
    </row>
    <row r="215" spans="30:36">
      <c r="AD215" s="31"/>
      <c r="AE215" s="31"/>
    </row>
    <row r="216" spans="30:36">
      <c r="AD216" s="31"/>
      <c r="AE216" s="31"/>
    </row>
    <row r="217" spans="30:36">
      <c r="AD217" s="31"/>
      <c r="AE217" s="31"/>
    </row>
    <row r="218" spans="30:36">
      <c r="AD218" s="31"/>
      <c r="AE218" s="31"/>
    </row>
    <row r="219" spans="30:36">
      <c r="AD219" s="31"/>
      <c r="AE219" s="31"/>
    </row>
    <row r="220" spans="30:36">
      <c r="AD220" s="31"/>
      <c r="AE220" s="31"/>
    </row>
    <row r="221" spans="30:36">
      <c r="AD221" s="31"/>
      <c r="AE221" s="31"/>
    </row>
    <row r="222" spans="30:36">
      <c r="AD222" s="31"/>
      <c r="AE222" s="31"/>
    </row>
    <row r="223" spans="30:36">
      <c r="AD223" s="31"/>
      <c r="AE223" s="31"/>
    </row>
    <row r="224" spans="30:36">
      <c r="AD224" s="31"/>
      <c r="AE224" s="31"/>
    </row>
    <row r="225" spans="30:31">
      <c r="AD225" s="31"/>
      <c r="AE225" s="31"/>
    </row>
    <row r="226" spans="30:31">
      <c r="AD226" s="31"/>
      <c r="AE226" s="31"/>
    </row>
    <row r="227" spans="30:31">
      <c r="AD227" s="31"/>
      <c r="AE227" s="31"/>
    </row>
    <row r="228" spans="30:31">
      <c r="AD228" s="31"/>
      <c r="AE228" s="31"/>
    </row>
    <row r="229" spans="30:31">
      <c r="AD229" s="31"/>
      <c r="AE229" s="31"/>
    </row>
    <row r="230" spans="30:31">
      <c r="AD230" s="31"/>
      <c r="AE230" s="31"/>
    </row>
    <row r="231" spans="30:31">
      <c r="AD231" s="31"/>
      <c r="AE231" s="31"/>
    </row>
    <row r="232" spans="30:31">
      <c r="AD232" s="31"/>
      <c r="AE232" s="31"/>
    </row>
    <row r="233" spans="30:31">
      <c r="AD233" s="31"/>
      <c r="AE233" s="31"/>
    </row>
    <row r="234" spans="30:31">
      <c r="AD234" s="31"/>
      <c r="AE234" s="31"/>
    </row>
    <row r="235" spans="30:31">
      <c r="AD235" s="31"/>
      <c r="AE235" s="31"/>
    </row>
    <row r="236" spans="30:31">
      <c r="AD236" s="31"/>
      <c r="AE236" s="31"/>
    </row>
    <row r="237" spans="30:31">
      <c r="AD237" s="31"/>
      <c r="AE237" s="31"/>
    </row>
    <row r="238" spans="30:31">
      <c r="AD238" s="31"/>
      <c r="AE238" s="31"/>
    </row>
    <row r="239" spans="30:31">
      <c r="AD239" s="31"/>
      <c r="AE239" s="31"/>
    </row>
    <row r="240" spans="30:31">
      <c r="AD240" s="31"/>
      <c r="AE240" s="31"/>
    </row>
    <row r="241" spans="30:31">
      <c r="AD241" s="31"/>
      <c r="AE241" s="31"/>
    </row>
    <row r="242" spans="30:31">
      <c r="AD242" s="31"/>
      <c r="AE242" s="31"/>
    </row>
    <row r="243" spans="30:31">
      <c r="AD243" s="31"/>
      <c r="AE243" s="31"/>
    </row>
    <row r="244" spans="30:31">
      <c r="AD244" s="31"/>
      <c r="AE244" s="31"/>
    </row>
    <row r="245" spans="30:31">
      <c r="AD245" s="31"/>
      <c r="AE245" s="31"/>
    </row>
    <row r="246" spans="30:31">
      <c r="AD246" s="31"/>
      <c r="AE246" s="31"/>
    </row>
    <row r="247" spans="30:31">
      <c r="AD247" s="31"/>
      <c r="AE247" s="31"/>
    </row>
    <row r="248" spans="30:31">
      <c r="AD248" s="31"/>
      <c r="AE248" s="31"/>
    </row>
    <row r="249" spans="30:31">
      <c r="AD249" s="31"/>
      <c r="AE249" s="31"/>
    </row>
    <row r="250" spans="30:31">
      <c r="AD250" s="31"/>
      <c r="AE250" s="31"/>
    </row>
    <row r="251" spans="30:31">
      <c r="AD251" s="31"/>
      <c r="AE251" s="31"/>
    </row>
    <row r="252" spans="30:31">
      <c r="AD252" s="31"/>
      <c r="AE252" s="31"/>
    </row>
    <row r="253" spans="30:31">
      <c r="AD253" s="31"/>
      <c r="AE253" s="31"/>
    </row>
    <row r="254" spans="30:31">
      <c r="AD254" s="31"/>
      <c r="AE254" s="31"/>
    </row>
    <row r="255" spans="30:31">
      <c r="AD255" s="31"/>
      <c r="AE255" s="31"/>
    </row>
    <row r="256" spans="30:31">
      <c r="AD256" s="31"/>
      <c r="AE256" s="31"/>
    </row>
    <row r="257" spans="30:31">
      <c r="AD257" s="31"/>
      <c r="AE257" s="31"/>
    </row>
    <row r="258" spans="30:31">
      <c r="AD258" s="31"/>
      <c r="AE258" s="31"/>
    </row>
    <row r="259" spans="30:31">
      <c r="AD259" s="31"/>
      <c r="AE259" s="31"/>
    </row>
    <row r="260" spans="30:31">
      <c r="AD260" s="31"/>
      <c r="AE260" s="31"/>
    </row>
    <row r="261" spans="30:31">
      <c r="AD261" s="31"/>
      <c r="AE261" s="31"/>
    </row>
    <row r="262" spans="30:31">
      <c r="AD262" s="31"/>
      <c r="AE262" s="31"/>
    </row>
    <row r="263" spans="30:31">
      <c r="AD263" s="31"/>
      <c r="AE263" s="31"/>
    </row>
    <row r="264" spans="30:31">
      <c r="AD264" s="31"/>
      <c r="AE264" s="31"/>
    </row>
    <row r="265" spans="30:31">
      <c r="AD265" s="31"/>
      <c r="AE265" s="31"/>
    </row>
    <row r="266" spans="30:31">
      <c r="AD266" s="31"/>
      <c r="AE266" s="31"/>
    </row>
    <row r="267" spans="30:31">
      <c r="AD267" s="31"/>
      <c r="AE267" s="31"/>
    </row>
    <row r="268" spans="30:31">
      <c r="AD268" s="31"/>
      <c r="AE268" s="31"/>
    </row>
    <row r="269" spans="30:31">
      <c r="AD269" s="31"/>
      <c r="AE269" s="31"/>
    </row>
    <row r="270" spans="30:31">
      <c r="AD270" s="31"/>
      <c r="AE270" s="31"/>
    </row>
    <row r="271" spans="30:31">
      <c r="AD271" s="31"/>
      <c r="AE271" s="31"/>
    </row>
    <row r="272" spans="30:31">
      <c r="AD272" s="31"/>
      <c r="AE272" s="31"/>
    </row>
    <row r="273" spans="30:31">
      <c r="AD273" s="31"/>
      <c r="AE273" s="31"/>
    </row>
    <row r="274" spans="30:31">
      <c r="AD274" s="31"/>
      <c r="AE274" s="31"/>
    </row>
    <row r="275" spans="30:31">
      <c r="AD275" s="31"/>
      <c r="AE275" s="31"/>
    </row>
    <row r="276" spans="30:31">
      <c r="AD276" s="31"/>
      <c r="AE276" s="31"/>
    </row>
    <row r="277" spans="30:31">
      <c r="AD277" s="31"/>
      <c r="AE277" s="31"/>
    </row>
    <row r="278" spans="30:31">
      <c r="AD278" s="31"/>
      <c r="AE278" s="31"/>
    </row>
    <row r="279" spans="30:31">
      <c r="AD279" s="31"/>
      <c r="AE279" s="31"/>
    </row>
    <row r="280" spans="30:31">
      <c r="AD280" s="31"/>
      <c r="AE280" s="31"/>
    </row>
    <row r="281" spans="30:31">
      <c r="AD281" s="31"/>
      <c r="AE281" s="31"/>
    </row>
    <row r="282" spans="30:31">
      <c r="AD282" s="31"/>
      <c r="AE282" s="31"/>
    </row>
    <row r="283" spans="30:31">
      <c r="AD283" s="31"/>
      <c r="AE283" s="31"/>
    </row>
    <row r="284" spans="30:31">
      <c r="AD284" s="31"/>
      <c r="AE284" s="31"/>
    </row>
    <row r="285" spans="30:31">
      <c r="AD285" s="31"/>
      <c r="AE285" s="31"/>
    </row>
    <row r="286" spans="30:31">
      <c r="AD286" s="31"/>
      <c r="AE286" s="31"/>
    </row>
    <row r="287" spans="30:31">
      <c r="AD287" s="31"/>
      <c r="AE287" s="31"/>
    </row>
    <row r="288" spans="30:31">
      <c r="AD288" s="31"/>
      <c r="AE288" s="31"/>
    </row>
    <row r="289" spans="30:31">
      <c r="AD289" s="31"/>
      <c r="AE289" s="31"/>
    </row>
    <row r="290" spans="30:31">
      <c r="AD290" s="31"/>
      <c r="AE290" s="31"/>
    </row>
    <row r="291" spans="30:31">
      <c r="AD291" s="31"/>
      <c r="AE291" s="31"/>
    </row>
    <row r="292" spans="30:31">
      <c r="AD292" s="31"/>
      <c r="AE292" s="31"/>
    </row>
    <row r="293" spans="30:31">
      <c r="AD293" s="31"/>
      <c r="AE293" s="31"/>
    </row>
    <row r="294" spans="30:31">
      <c r="AD294" s="31"/>
      <c r="AE294" s="31"/>
    </row>
    <row r="295" spans="30:31">
      <c r="AD295" s="31"/>
      <c r="AE295" s="31"/>
    </row>
    <row r="296" spans="30:31">
      <c r="AD296" s="31"/>
      <c r="AE296" s="31"/>
    </row>
    <row r="297" spans="30:31">
      <c r="AD297" s="31"/>
      <c r="AE297" s="31"/>
    </row>
    <row r="298" spans="30:31">
      <c r="AD298" s="31"/>
      <c r="AE298" s="31"/>
    </row>
    <row r="299" spans="30:31">
      <c r="AD299" s="31"/>
      <c r="AE299" s="31"/>
    </row>
    <row r="300" spans="30:31">
      <c r="AD300" s="31"/>
      <c r="AE300" s="31"/>
    </row>
    <row r="301" spans="30:31">
      <c r="AD301" s="31"/>
      <c r="AE301" s="31"/>
    </row>
    <row r="302" spans="30:31">
      <c r="AD302" s="31"/>
      <c r="AE302" s="31"/>
    </row>
    <row r="303" spans="30:31">
      <c r="AD303" s="31"/>
      <c r="AE303" s="31"/>
    </row>
    <row r="304" spans="30:31">
      <c r="AD304" s="31"/>
      <c r="AE304" s="31"/>
    </row>
    <row r="305" spans="30:31">
      <c r="AD305" s="31"/>
      <c r="AE305" s="31"/>
    </row>
    <row r="306" spans="30:31">
      <c r="AD306" s="31"/>
      <c r="AE306" s="31"/>
    </row>
    <row r="307" spans="30:31">
      <c r="AD307" s="31"/>
      <c r="AE307" s="31"/>
    </row>
    <row r="308" spans="30:31">
      <c r="AD308" s="31"/>
      <c r="AE308" s="31"/>
    </row>
    <row r="309" spans="30:31">
      <c r="AD309" s="31"/>
      <c r="AE309" s="31"/>
    </row>
    <row r="310" spans="30:31">
      <c r="AD310" s="31"/>
      <c r="AE310" s="31"/>
    </row>
    <row r="311" spans="30:31">
      <c r="AD311" s="31"/>
      <c r="AE311" s="31"/>
    </row>
    <row r="312" spans="30:31">
      <c r="AD312" s="31"/>
      <c r="AE312" s="31"/>
    </row>
    <row r="313" spans="30:31">
      <c r="AD313" s="31"/>
      <c r="AE313" s="31"/>
    </row>
    <row r="314" spans="30:31">
      <c r="AD314" s="31"/>
      <c r="AE314" s="31"/>
    </row>
    <row r="315" spans="30:31">
      <c r="AD315" s="31"/>
      <c r="AE315" s="31"/>
    </row>
    <row r="316" spans="30:31">
      <c r="AD316" s="31"/>
      <c r="AE316" s="31"/>
    </row>
    <row r="317" spans="30:31">
      <c r="AD317" s="31"/>
      <c r="AE317" s="31"/>
    </row>
    <row r="318" spans="30:31">
      <c r="AD318" s="31"/>
      <c r="AE318" s="31"/>
    </row>
    <row r="319" spans="30:31">
      <c r="AD319" s="31"/>
      <c r="AE319" s="31"/>
    </row>
    <row r="320" spans="30:31">
      <c r="AD320" s="31"/>
      <c r="AE320" s="31"/>
    </row>
    <row r="321" spans="30:31">
      <c r="AD321" s="31"/>
      <c r="AE321" s="31"/>
    </row>
    <row r="322" spans="30:31">
      <c r="AD322" s="31"/>
      <c r="AE322" s="31"/>
    </row>
    <row r="323" spans="30:31">
      <c r="AD323" s="31"/>
      <c r="AE323" s="31"/>
    </row>
    <row r="324" spans="30:31">
      <c r="AD324" s="31"/>
      <c r="AE324" s="31"/>
    </row>
    <row r="325" spans="30:31">
      <c r="AD325" s="31"/>
      <c r="AE325" s="31"/>
    </row>
    <row r="326" spans="30:31">
      <c r="AD326" s="31"/>
      <c r="AE326" s="31"/>
    </row>
    <row r="327" spans="30:31">
      <c r="AD327" s="31"/>
      <c r="AE327" s="31"/>
    </row>
    <row r="328" spans="30:31">
      <c r="AD328" s="31"/>
      <c r="AE328" s="31"/>
    </row>
    <row r="329" spans="30:31">
      <c r="AD329" s="31"/>
      <c r="AE329" s="31"/>
    </row>
    <row r="330" spans="30:31">
      <c r="AD330" s="31"/>
      <c r="AE330" s="31"/>
    </row>
    <row r="331" spans="30:31">
      <c r="AD331" s="31"/>
      <c r="AE331" s="31"/>
    </row>
    <row r="332" spans="30:31">
      <c r="AD332" s="31"/>
      <c r="AE332" s="31"/>
    </row>
    <row r="333" spans="30:31">
      <c r="AD333" s="31"/>
      <c r="AE333" s="31"/>
    </row>
    <row r="334" spans="30:31">
      <c r="AD334" s="31"/>
      <c r="AE334" s="31"/>
    </row>
    <row r="335" spans="30:31">
      <c r="AD335" s="31"/>
      <c r="AE335" s="31"/>
    </row>
    <row r="336" spans="30:31">
      <c r="AD336" s="31"/>
      <c r="AE336" s="31"/>
    </row>
    <row r="337" spans="30:31">
      <c r="AD337" s="31"/>
      <c r="AE337" s="31"/>
    </row>
    <row r="338" spans="30:31">
      <c r="AD338" s="31"/>
      <c r="AE338" s="31"/>
    </row>
    <row r="339" spans="30:31">
      <c r="AD339" s="31"/>
      <c r="AE339" s="31"/>
    </row>
    <row r="340" spans="30:31">
      <c r="AD340" s="31"/>
      <c r="AE340" s="31"/>
    </row>
    <row r="341" spans="30:31">
      <c r="AD341" s="31"/>
      <c r="AE341" s="31"/>
    </row>
    <row r="342" spans="30:31">
      <c r="AD342" s="31"/>
      <c r="AE342" s="31"/>
    </row>
    <row r="343" spans="30:31">
      <c r="AD343" s="31"/>
      <c r="AE343" s="31"/>
    </row>
    <row r="344" spans="30:31">
      <c r="AD344" s="31"/>
      <c r="AE344" s="31"/>
    </row>
    <row r="345" spans="30:31">
      <c r="AD345" s="31"/>
      <c r="AE345" s="31"/>
    </row>
    <row r="346" spans="30:31">
      <c r="AD346" s="31"/>
      <c r="AE346" s="31"/>
    </row>
    <row r="347" spans="30:31">
      <c r="AD347" s="31"/>
      <c r="AE347" s="31"/>
    </row>
    <row r="348" spans="30:31">
      <c r="AD348" s="31"/>
      <c r="AE348" s="31"/>
    </row>
    <row r="349" spans="30:31">
      <c r="AD349" s="31"/>
      <c r="AE349" s="31"/>
    </row>
    <row r="350" spans="30:31">
      <c r="AD350" s="31"/>
      <c r="AE350" s="31"/>
    </row>
    <row r="351" spans="30:31">
      <c r="AD351" s="31"/>
      <c r="AE351" s="31"/>
    </row>
    <row r="352" spans="30:31">
      <c r="AD352" s="31"/>
      <c r="AE352" s="31"/>
    </row>
    <row r="353" spans="30:31">
      <c r="AD353" s="31"/>
      <c r="AE353" s="31"/>
    </row>
    <row r="354" spans="30:31">
      <c r="AD354" s="31"/>
      <c r="AE354" s="31"/>
    </row>
    <row r="355" spans="30:31">
      <c r="AD355" s="31"/>
      <c r="AE355" s="31"/>
    </row>
    <row r="356" spans="30:31">
      <c r="AD356" s="31"/>
      <c r="AE356" s="31"/>
    </row>
    <row r="357" spans="30:31">
      <c r="AD357" s="31"/>
      <c r="AE357" s="31"/>
    </row>
    <row r="358" spans="30:31">
      <c r="AD358" s="31"/>
      <c r="AE358" s="31"/>
    </row>
    <row r="359" spans="30:31">
      <c r="AD359" s="31"/>
      <c r="AE359" s="31"/>
    </row>
    <row r="360" spans="30:31">
      <c r="AD360" s="31"/>
      <c r="AE360" s="31"/>
    </row>
    <row r="361" spans="30:31">
      <c r="AD361" s="31"/>
      <c r="AE361" s="31"/>
    </row>
    <row r="362" spans="30:31">
      <c r="AD362" s="31"/>
      <c r="AE362" s="31"/>
    </row>
    <row r="363" spans="30:31">
      <c r="AD363" s="31"/>
      <c r="AE363" s="31"/>
    </row>
    <row r="364" spans="30:31">
      <c r="AD364" s="31"/>
      <c r="AE364" s="31"/>
    </row>
    <row r="365" spans="30:31">
      <c r="AD365" s="31"/>
      <c r="AE365" s="31"/>
    </row>
    <row r="366" spans="30:31">
      <c r="AD366" s="31"/>
      <c r="AE366" s="31"/>
    </row>
    <row r="367" spans="30:31">
      <c r="AD367" s="31"/>
      <c r="AE367" s="31"/>
    </row>
    <row r="368" spans="30:31">
      <c r="AD368" s="31"/>
      <c r="AE368" s="31"/>
    </row>
    <row r="369" spans="30:31">
      <c r="AD369" s="31"/>
      <c r="AE369" s="31"/>
    </row>
    <row r="370" spans="30:31">
      <c r="AD370" s="31"/>
      <c r="AE370" s="31"/>
    </row>
    <row r="371" spans="30:31">
      <c r="AD371" s="31"/>
      <c r="AE371" s="31"/>
    </row>
    <row r="372" spans="30:31">
      <c r="AD372" s="31"/>
      <c r="AE372" s="31"/>
    </row>
    <row r="373" spans="30:31">
      <c r="AD373" s="31"/>
      <c r="AE373" s="31"/>
    </row>
    <row r="374" spans="30:31">
      <c r="AD374" s="31"/>
      <c r="AE374" s="31"/>
    </row>
    <row r="375" spans="30:31">
      <c r="AD375" s="31"/>
      <c r="AE375" s="31"/>
    </row>
    <row r="376" spans="30:31">
      <c r="AD376" s="31"/>
      <c r="AE376" s="31"/>
    </row>
    <row r="377" spans="30:31">
      <c r="AD377" s="31"/>
      <c r="AE377" s="31"/>
    </row>
    <row r="378" spans="30:31">
      <c r="AD378" s="31"/>
      <c r="AE378" s="31"/>
    </row>
    <row r="379" spans="30:31">
      <c r="AD379" s="31"/>
      <c r="AE379" s="31"/>
    </row>
    <row r="380" spans="30:31">
      <c r="AD380" s="31"/>
      <c r="AE380" s="31"/>
    </row>
    <row r="381" spans="30:31">
      <c r="AD381" s="31"/>
      <c r="AE381" s="31"/>
    </row>
    <row r="382" spans="30:31">
      <c r="AD382" s="31"/>
      <c r="AE382" s="31"/>
    </row>
    <row r="383" spans="30:31">
      <c r="AD383" s="31"/>
      <c r="AE383" s="31"/>
    </row>
    <row r="384" spans="30:31">
      <c r="AD384" s="31"/>
      <c r="AE384" s="31"/>
    </row>
    <row r="385" spans="30:31">
      <c r="AD385" s="31"/>
      <c r="AE385" s="31"/>
    </row>
    <row r="386" spans="30:31">
      <c r="AD386" s="31"/>
      <c r="AE386" s="31"/>
    </row>
    <row r="387" spans="30:31">
      <c r="AD387" s="31"/>
      <c r="AE387" s="31"/>
    </row>
    <row r="388" spans="30:31">
      <c r="AD388" s="31"/>
      <c r="AE388" s="31"/>
    </row>
    <row r="389" spans="30:31">
      <c r="AD389" s="31"/>
      <c r="AE389" s="31"/>
    </row>
    <row r="390" spans="30:31">
      <c r="AD390" s="31"/>
      <c r="AE390" s="31"/>
    </row>
    <row r="391" spans="30:31">
      <c r="AD391" s="31"/>
      <c r="AE391" s="31"/>
    </row>
    <row r="392" spans="30:31">
      <c r="AD392" s="31"/>
      <c r="AE392" s="31"/>
    </row>
    <row r="393" spans="30:31">
      <c r="AD393" s="31"/>
      <c r="AE393" s="31"/>
    </row>
    <row r="394" spans="30:31">
      <c r="AD394" s="31"/>
      <c r="AE394" s="31"/>
    </row>
    <row r="395" spans="30:31">
      <c r="AD395" s="31"/>
      <c r="AE395" s="31"/>
    </row>
    <row r="396" spans="30:31">
      <c r="AD396" s="31"/>
      <c r="AE396" s="31"/>
    </row>
    <row r="397" spans="30:31">
      <c r="AD397" s="31"/>
      <c r="AE397" s="31"/>
    </row>
    <row r="398" spans="30:31">
      <c r="AD398" s="31"/>
      <c r="AE398" s="31"/>
    </row>
    <row r="399" spans="30:31">
      <c r="AD399" s="31"/>
      <c r="AE399" s="31"/>
    </row>
    <row r="400" spans="30:31">
      <c r="AD400" s="31"/>
      <c r="AE400" s="31"/>
    </row>
    <row r="401" spans="30:31">
      <c r="AD401" s="31"/>
      <c r="AE401" s="31"/>
    </row>
    <row r="402" spans="30:31">
      <c r="AD402" s="31"/>
      <c r="AE402" s="31"/>
    </row>
    <row r="403" spans="30:31">
      <c r="AD403" s="31"/>
      <c r="AE403" s="31"/>
    </row>
    <row r="404" spans="30:31">
      <c r="AD404" s="31"/>
      <c r="AE404" s="31"/>
    </row>
    <row r="405" spans="30:31">
      <c r="AD405" s="31"/>
      <c r="AE405" s="31"/>
    </row>
    <row r="406" spans="30:31">
      <c r="AD406" s="31"/>
      <c r="AE406" s="31"/>
    </row>
    <row r="407" spans="30:31">
      <c r="AD407" s="31"/>
      <c r="AE407" s="31"/>
    </row>
    <row r="408" spans="30:31">
      <c r="AD408" s="31"/>
      <c r="AE408" s="31"/>
    </row>
    <row r="409" spans="30:31">
      <c r="AD409" s="31"/>
      <c r="AE409" s="31"/>
    </row>
    <row r="410" spans="30:31">
      <c r="AD410" s="31"/>
      <c r="AE410" s="31"/>
    </row>
    <row r="411" spans="30:31">
      <c r="AD411" s="31"/>
      <c r="AE411" s="31"/>
    </row>
    <row r="412" spans="30:31">
      <c r="AD412" s="31"/>
      <c r="AE412" s="31"/>
    </row>
    <row r="413" spans="30:31">
      <c r="AD413" s="31"/>
      <c r="AE413" s="31"/>
    </row>
    <row r="414" spans="30:31">
      <c r="AD414" s="31"/>
      <c r="AE414" s="31"/>
    </row>
    <row r="415" spans="30:31">
      <c r="AD415" s="31"/>
      <c r="AE415" s="31"/>
    </row>
    <row r="416" spans="30:31">
      <c r="AD416" s="31"/>
      <c r="AE416" s="31"/>
    </row>
    <row r="417" spans="30:31">
      <c r="AD417" s="31"/>
      <c r="AE417" s="31"/>
    </row>
    <row r="418" spans="30:31">
      <c r="AD418" s="31"/>
      <c r="AE418" s="31"/>
    </row>
    <row r="419" spans="30:31">
      <c r="AD419" s="31"/>
      <c r="AE419" s="31"/>
    </row>
    <row r="420" spans="30:31">
      <c r="AD420" s="31"/>
      <c r="AE420" s="31"/>
    </row>
    <row r="421" spans="30:31">
      <c r="AD421" s="31"/>
      <c r="AE421" s="31"/>
    </row>
    <row r="422" spans="30:31">
      <c r="AD422" s="31"/>
      <c r="AE422" s="31"/>
    </row>
    <row r="423" spans="30:31">
      <c r="AD423" s="31"/>
      <c r="AE423" s="31"/>
    </row>
    <row r="424" spans="30:31">
      <c r="AD424" s="31"/>
      <c r="AE424" s="31"/>
    </row>
    <row r="425" spans="30:31">
      <c r="AD425" s="31"/>
      <c r="AE425" s="31"/>
    </row>
    <row r="426" spans="30:31">
      <c r="AD426" s="31"/>
      <c r="AE426" s="31"/>
    </row>
    <row r="427" spans="30:31">
      <c r="AD427" s="31"/>
      <c r="AE427" s="31"/>
    </row>
    <row r="428" spans="30:31">
      <c r="AD428" s="31"/>
      <c r="AE428" s="31"/>
    </row>
    <row r="429" spans="30:31">
      <c r="AD429" s="31"/>
      <c r="AE429" s="31"/>
    </row>
    <row r="430" spans="30:31">
      <c r="AD430" s="31"/>
      <c r="AE430" s="31"/>
    </row>
    <row r="431" spans="30:31">
      <c r="AD431" s="31"/>
      <c r="AE431" s="31"/>
    </row>
    <row r="432" spans="30:31">
      <c r="AD432" s="31"/>
      <c r="AE432" s="31"/>
    </row>
    <row r="433" spans="30:31">
      <c r="AD433" s="31"/>
      <c r="AE433" s="31"/>
    </row>
    <row r="434" spans="30:31">
      <c r="AD434" s="31"/>
      <c r="AE434" s="31"/>
    </row>
    <row r="435" spans="30:31">
      <c r="AD435" s="31"/>
      <c r="AE435" s="31"/>
    </row>
    <row r="436" spans="30:31">
      <c r="AD436" s="31"/>
      <c r="AE436" s="31"/>
    </row>
    <row r="437" spans="30:31">
      <c r="AD437" s="31"/>
      <c r="AE437" s="31"/>
    </row>
    <row r="438" spans="30:31">
      <c r="AD438" s="31"/>
      <c r="AE438" s="31"/>
    </row>
    <row r="439" spans="30:31">
      <c r="AD439" s="31"/>
      <c r="AE439" s="31"/>
    </row>
    <row r="440" spans="30:31">
      <c r="AD440" s="31"/>
      <c r="AE440" s="31"/>
    </row>
    <row r="441" spans="30:31">
      <c r="AD441" s="31"/>
      <c r="AE441" s="31"/>
    </row>
    <row r="442" spans="30:31">
      <c r="AD442" s="31"/>
      <c r="AE442" s="31"/>
    </row>
    <row r="443" spans="30:31">
      <c r="AD443" s="31"/>
      <c r="AE443" s="31"/>
    </row>
    <row r="444" spans="30:31">
      <c r="AD444" s="31"/>
      <c r="AE444" s="31"/>
    </row>
    <row r="445" spans="30:31">
      <c r="AD445" s="31"/>
      <c r="AE445" s="31"/>
    </row>
    <row r="446" spans="30:31">
      <c r="AD446" s="31"/>
      <c r="AE446" s="31"/>
    </row>
    <row r="447" spans="30:31">
      <c r="AD447" s="31"/>
      <c r="AE447" s="31"/>
    </row>
    <row r="448" spans="30:31">
      <c r="AD448" s="31"/>
      <c r="AE448" s="31"/>
    </row>
    <row r="449" spans="30:31">
      <c r="AD449" s="31"/>
      <c r="AE449" s="31"/>
    </row>
    <row r="450" spans="30:31">
      <c r="AD450" s="31"/>
      <c r="AE450" s="31"/>
    </row>
    <row r="451" spans="30:31">
      <c r="AD451" s="31"/>
      <c r="AE451" s="31"/>
    </row>
    <row r="452" spans="30:31">
      <c r="AD452" s="31"/>
      <c r="AE452" s="31"/>
    </row>
    <row r="453" spans="30:31">
      <c r="AD453" s="31"/>
      <c r="AE453" s="31"/>
    </row>
    <row r="454" spans="30:31">
      <c r="AD454" s="31"/>
      <c r="AE454" s="31"/>
    </row>
    <row r="455" spans="30:31">
      <c r="AD455" s="31"/>
      <c r="AE455" s="31"/>
    </row>
    <row r="456" spans="30:31">
      <c r="AD456" s="31"/>
      <c r="AE456" s="31"/>
    </row>
    <row r="457" spans="30:31">
      <c r="AD457" s="31"/>
      <c r="AE457" s="31"/>
    </row>
    <row r="458" spans="30:31">
      <c r="AD458" s="31"/>
      <c r="AE458" s="31"/>
    </row>
    <row r="459" spans="30:31">
      <c r="AD459" s="31"/>
      <c r="AE459" s="31"/>
    </row>
    <row r="460" spans="30:31">
      <c r="AD460" s="31"/>
      <c r="AE460" s="31"/>
    </row>
    <row r="461" spans="30:31">
      <c r="AD461" s="31"/>
      <c r="AE461" s="31"/>
    </row>
    <row r="462" spans="30:31">
      <c r="AD462" s="31"/>
      <c r="AE462" s="31"/>
    </row>
    <row r="463" spans="30:31">
      <c r="AD463" s="31"/>
      <c r="AE463" s="31"/>
    </row>
    <row r="464" spans="30:31">
      <c r="AD464" s="31"/>
      <c r="AE464" s="31"/>
    </row>
    <row r="465" spans="30:31">
      <c r="AD465" s="31"/>
      <c r="AE465" s="31"/>
    </row>
    <row r="466" spans="30:31">
      <c r="AD466" s="31"/>
      <c r="AE466" s="31"/>
    </row>
    <row r="467" spans="30:31">
      <c r="AD467" s="31"/>
      <c r="AE467" s="31"/>
    </row>
    <row r="468" spans="30:31">
      <c r="AD468" s="31"/>
      <c r="AE468" s="31"/>
    </row>
    <row r="469" spans="30:31">
      <c r="AD469" s="31"/>
      <c r="AE469" s="31"/>
    </row>
    <row r="470" spans="30:31">
      <c r="AD470" s="31"/>
      <c r="AE470" s="31"/>
    </row>
    <row r="471" spans="30:31">
      <c r="AD471" s="31"/>
      <c r="AE471" s="31"/>
    </row>
    <row r="472" spans="30:31">
      <c r="AD472" s="31"/>
      <c r="AE472" s="31"/>
    </row>
    <row r="473" spans="30:31">
      <c r="AD473" s="31"/>
      <c r="AE473" s="31"/>
    </row>
    <row r="474" spans="30:31">
      <c r="AD474" s="31"/>
      <c r="AE474" s="31"/>
    </row>
    <row r="475" spans="30:31">
      <c r="AD475" s="31"/>
      <c r="AE475" s="31"/>
    </row>
    <row r="476" spans="30:31">
      <c r="AD476" s="31"/>
      <c r="AE476" s="31"/>
    </row>
    <row r="477" spans="30:31">
      <c r="AD477" s="31"/>
      <c r="AE477" s="31"/>
    </row>
    <row r="478" spans="30:31">
      <c r="AD478" s="31"/>
      <c r="AE478" s="31"/>
    </row>
    <row r="479" spans="30:31">
      <c r="AD479" s="31"/>
      <c r="AE479" s="31"/>
    </row>
    <row r="480" spans="30:31">
      <c r="AD480" s="31"/>
      <c r="AE480" s="31"/>
    </row>
    <row r="481" spans="30:31">
      <c r="AD481" s="31"/>
      <c r="AE481" s="31"/>
    </row>
    <row r="482" spans="30:31">
      <c r="AD482" s="31"/>
      <c r="AE482" s="31"/>
    </row>
    <row r="483" spans="30:31">
      <c r="AD483" s="31"/>
      <c r="AE483" s="31"/>
    </row>
    <row r="484" spans="30:31">
      <c r="AD484" s="31"/>
      <c r="AE484" s="31"/>
    </row>
    <row r="485" spans="30:31">
      <c r="AD485" s="31"/>
      <c r="AE485" s="31"/>
    </row>
    <row r="486" spans="30:31">
      <c r="AD486" s="31"/>
      <c r="AE486" s="31"/>
    </row>
    <row r="487" spans="30:31">
      <c r="AD487" s="31"/>
      <c r="AE487" s="31"/>
    </row>
    <row r="488" spans="30:31">
      <c r="AD488" s="31"/>
      <c r="AE488" s="31"/>
    </row>
    <row r="489" spans="30:31">
      <c r="AD489" s="31"/>
      <c r="AE489" s="31"/>
    </row>
    <row r="490" spans="30:31">
      <c r="AD490" s="31"/>
      <c r="AE490" s="31"/>
    </row>
    <row r="491" spans="30:31">
      <c r="AD491" s="31"/>
      <c r="AE491" s="31"/>
    </row>
    <row r="492" spans="30:31">
      <c r="AD492" s="31"/>
      <c r="AE492" s="31"/>
    </row>
    <row r="493" spans="30:31">
      <c r="AD493" s="31"/>
      <c r="AE493" s="31"/>
    </row>
    <row r="494" spans="30:31">
      <c r="AD494" s="31"/>
      <c r="AE494" s="31"/>
    </row>
    <row r="495" spans="30:31">
      <c r="AD495" s="31"/>
      <c r="AE495" s="31"/>
    </row>
    <row r="496" spans="30:31">
      <c r="AD496" s="31"/>
      <c r="AE496" s="31"/>
    </row>
    <row r="497" spans="30:31">
      <c r="AD497" s="31"/>
      <c r="AE497" s="31"/>
    </row>
    <row r="498" spans="30:31">
      <c r="AD498" s="31"/>
      <c r="AE498" s="31"/>
    </row>
    <row r="499" spans="30:31">
      <c r="AD499" s="31"/>
      <c r="AE499" s="31"/>
    </row>
    <row r="500" spans="30:31">
      <c r="AD500" s="31"/>
      <c r="AE500" s="31"/>
    </row>
    <row r="501" spans="30:31">
      <c r="AD501" s="31"/>
      <c r="AE501" s="31"/>
    </row>
    <row r="502" spans="30:31">
      <c r="AD502" s="31"/>
      <c r="AE502" s="31"/>
    </row>
    <row r="503" spans="30:31">
      <c r="AD503" s="31"/>
      <c r="AE503" s="31"/>
    </row>
    <row r="504" spans="30:31">
      <c r="AD504" s="31"/>
      <c r="AE504" s="31"/>
    </row>
    <row r="505" spans="30:31">
      <c r="AD505" s="31"/>
      <c r="AE505" s="31"/>
    </row>
    <row r="506" spans="30:31">
      <c r="AD506" s="31"/>
      <c r="AE506" s="31"/>
    </row>
    <row r="507" spans="30:31">
      <c r="AD507" s="31"/>
      <c r="AE507" s="31"/>
    </row>
    <row r="508" spans="30:31">
      <c r="AD508" s="31"/>
      <c r="AE508" s="31"/>
    </row>
    <row r="509" spans="30:31">
      <c r="AD509" s="31"/>
      <c r="AE509" s="31"/>
    </row>
    <row r="510" spans="30:31">
      <c r="AD510" s="31"/>
      <c r="AE510" s="31"/>
    </row>
    <row r="511" spans="30:31">
      <c r="AD511" s="31"/>
      <c r="AE511" s="31"/>
    </row>
    <row r="512" spans="30:31">
      <c r="AD512" s="31"/>
      <c r="AE512" s="31"/>
    </row>
    <row r="513" spans="30:31">
      <c r="AD513" s="31"/>
      <c r="AE513" s="31"/>
    </row>
    <row r="514" spans="30:31">
      <c r="AD514" s="31"/>
      <c r="AE514" s="31"/>
    </row>
    <row r="515" spans="30:31">
      <c r="AD515" s="31"/>
      <c r="AE515" s="31"/>
    </row>
    <row r="516" spans="30:31">
      <c r="AD516" s="31"/>
      <c r="AE516" s="31"/>
    </row>
    <row r="517" spans="30:31">
      <c r="AD517" s="31"/>
      <c r="AE517" s="31"/>
    </row>
    <row r="518" spans="30:31">
      <c r="AD518" s="31"/>
      <c r="AE518" s="31"/>
    </row>
    <row r="519" spans="30:31">
      <c r="AD519" s="31"/>
      <c r="AE519" s="31"/>
    </row>
    <row r="520" spans="30:31">
      <c r="AD520" s="31"/>
      <c r="AE520" s="31"/>
    </row>
    <row r="521" spans="30:31">
      <c r="AD521" s="31"/>
      <c r="AE521" s="31"/>
    </row>
    <row r="522" spans="30:31">
      <c r="AD522" s="31"/>
      <c r="AE522" s="31"/>
    </row>
    <row r="523" spans="30:31">
      <c r="AD523" s="31"/>
      <c r="AE523" s="31"/>
    </row>
    <row r="524" spans="30:31">
      <c r="AD524" s="31"/>
      <c r="AE524" s="31"/>
    </row>
    <row r="525" spans="30:31">
      <c r="AD525" s="31"/>
      <c r="AE525" s="31"/>
    </row>
    <row r="526" spans="30:31">
      <c r="AD526" s="31"/>
      <c r="AE526" s="31"/>
    </row>
    <row r="527" spans="30:31">
      <c r="AD527" s="31"/>
      <c r="AE527" s="31"/>
    </row>
    <row r="528" spans="30:31">
      <c r="AD528" s="31"/>
      <c r="AE528" s="31"/>
    </row>
    <row r="529" spans="30:31">
      <c r="AD529" s="31"/>
      <c r="AE529" s="31"/>
    </row>
    <row r="530" spans="30:31">
      <c r="AD530" s="31"/>
      <c r="AE530" s="31"/>
    </row>
    <row r="531" spans="30:31">
      <c r="AD531" s="31"/>
      <c r="AE531" s="31"/>
    </row>
    <row r="532" spans="30:31">
      <c r="AD532" s="31"/>
      <c r="AE532" s="31"/>
    </row>
    <row r="533" spans="30:31">
      <c r="AD533" s="31"/>
      <c r="AE533" s="31"/>
    </row>
    <row r="534" spans="30:31">
      <c r="AD534" s="31"/>
      <c r="AE534" s="31"/>
    </row>
    <row r="535" spans="30:31">
      <c r="AD535" s="31"/>
      <c r="AE535" s="31"/>
    </row>
    <row r="536" spans="30:31">
      <c r="AD536" s="31"/>
      <c r="AE536" s="31"/>
    </row>
    <row r="537" spans="30:31">
      <c r="AD537" s="31"/>
      <c r="AE537" s="31"/>
    </row>
    <row r="538" spans="30:31">
      <c r="AD538" s="31"/>
      <c r="AE538" s="31"/>
    </row>
    <row r="539" spans="30:31">
      <c r="AD539" s="31"/>
      <c r="AE539" s="31"/>
    </row>
    <row r="540" spans="30:31">
      <c r="AD540" s="31"/>
      <c r="AE540" s="31"/>
    </row>
    <row r="541" spans="30:31">
      <c r="AD541" s="31"/>
      <c r="AE541" s="31"/>
    </row>
    <row r="542" spans="30:31">
      <c r="AD542" s="31"/>
      <c r="AE542" s="31"/>
    </row>
    <row r="543" spans="30:31">
      <c r="AD543" s="31"/>
      <c r="AE543" s="31"/>
    </row>
    <row r="544" spans="30:31">
      <c r="AD544" s="31"/>
      <c r="AE544" s="31"/>
    </row>
    <row r="545" spans="30:31">
      <c r="AD545" s="31"/>
      <c r="AE545" s="31"/>
    </row>
    <row r="546" spans="30:31">
      <c r="AD546" s="31"/>
      <c r="AE546" s="31"/>
    </row>
    <row r="547" spans="30:31">
      <c r="AD547" s="31"/>
      <c r="AE547" s="31"/>
    </row>
    <row r="548" spans="30:31">
      <c r="AD548" s="31"/>
      <c r="AE548" s="31"/>
    </row>
    <row r="549" spans="30:31">
      <c r="AD549" s="31"/>
      <c r="AE549" s="31"/>
    </row>
    <row r="550" spans="30:31">
      <c r="AD550" s="31"/>
      <c r="AE550" s="31"/>
    </row>
    <row r="551" spans="30:31">
      <c r="AD551" s="31"/>
      <c r="AE551" s="31"/>
    </row>
    <row r="552" spans="30:31">
      <c r="AD552" s="31"/>
      <c r="AE552" s="31"/>
    </row>
    <row r="553" spans="30:31">
      <c r="AD553" s="31"/>
      <c r="AE553" s="31"/>
    </row>
    <row r="554" spans="30:31">
      <c r="AD554" s="31"/>
      <c r="AE554" s="31"/>
    </row>
    <row r="555" spans="30:31">
      <c r="AD555" s="31"/>
      <c r="AE555" s="31"/>
    </row>
    <row r="556" spans="30:31">
      <c r="AD556" s="31"/>
      <c r="AE556" s="31"/>
    </row>
    <row r="557" spans="30:31">
      <c r="AD557" s="31"/>
      <c r="AE557" s="31"/>
    </row>
    <row r="558" spans="30:31">
      <c r="AD558" s="31"/>
      <c r="AE558" s="31"/>
    </row>
    <row r="559" spans="30:31">
      <c r="AD559" s="31"/>
      <c r="AE559" s="31"/>
    </row>
    <row r="560" spans="30:31">
      <c r="AD560" s="31"/>
      <c r="AE560" s="31"/>
    </row>
    <row r="561" spans="30:31">
      <c r="AD561" s="31"/>
      <c r="AE561" s="31"/>
    </row>
    <row r="562" spans="30:31">
      <c r="AD562" s="31"/>
      <c r="AE562" s="31"/>
    </row>
    <row r="563" spans="30:31">
      <c r="AD563" s="31"/>
      <c r="AE563" s="31"/>
    </row>
    <row r="564" spans="30:31">
      <c r="AD564" s="31"/>
      <c r="AE564" s="31"/>
    </row>
    <row r="565" spans="30:31">
      <c r="AD565" s="31"/>
      <c r="AE565" s="31"/>
    </row>
    <row r="566" spans="30:31">
      <c r="AD566" s="31"/>
      <c r="AE566" s="31"/>
    </row>
    <row r="567" spans="30:31">
      <c r="AD567" s="31"/>
      <c r="AE567" s="31"/>
    </row>
    <row r="568" spans="30:31">
      <c r="AD568" s="31"/>
      <c r="AE568" s="31"/>
    </row>
    <row r="569" spans="30:31">
      <c r="AD569" s="31"/>
      <c r="AE569" s="31"/>
    </row>
    <row r="570" spans="30:31">
      <c r="AD570" s="31"/>
      <c r="AE570" s="31"/>
    </row>
    <row r="571" spans="30:31">
      <c r="AD571" s="31"/>
      <c r="AE571" s="31"/>
    </row>
    <row r="572" spans="30:31">
      <c r="AD572" s="31"/>
      <c r="AE572" s="31"/>
    </row>
    <row r="573" spans="30:31">
      <c r="AD573" s="31"/>
      <c r="AE573" s="31"/>
    </row>
    <row r="574" spans="30:31">
      <c r="AD574" s="31"/>
      <c r="AE574" s="31"/>
    </row>
    <row r="575" spans="30:31">
      <c r="AD575" s="31"/>
      <c r="AE575" s="31"/>
    </row>
    <row r="576" spans="30:31">
      <c r="AD576" s="31"/>
      <c r="AE576" s="31"/>
    </row>
    <row r="577" spans="30:31">
      <c r="AD577" s="31"/>
      <c r="AE577" s="31"/>
    </row>
    <row r="578" spans="30:31">
      <c r="AD578" s="31"/>
      <c r="AE578" s="31"/>
    </row>
    <row r="579" spans="30:31">
      <c r="AD579" s="31"/>
      <c r="AE579" s="31"/>
    </row>
    <row r="580" spans="30:31">
      <c r="AD580" s="31"/>
      <c r="AE580" s="31"/>
    </row>
    <row r="581" spans="30:31">
      <c r="AD581" s="31"/>
      <c r="AE581" s="31"/>
    </row>
    <row r="582" spans="30:31">
      <c r="AD582" s="31"/>
      <c r="AE582" s="31"/>
    </row>
    <row r="583" spans="30:31">
      <c r="AD583" s="31"/>
      <c r="AE583" s="31"/>
    </row>
    <row r="584" spans="30:31">
      <c r="AD584" s="31"/>
      <c r="AE584" s="31"/>
    </row>
    <row r="585" spans="30:31">
      <c r="AD585" s="31"/>
      <c r="AE585" s="31"/>
    </row>
    <row r="586" spans="30:31">
      <c r="AD586" s="31"/>
      <c r="AE586" s="31"/>
    </row>
    <row r="587" spans="30:31">
      <c r="AD587" s="31"/>
      <c r="AE587" s="31"/>
    </row>
    <row r="588" spans="30:31">
      <c r="AD588" s="31"/>
      <c r="AE588" s="31"/>
    </row>
    <row r="589" spans="30:31">
      <c r="AD589" s="31"/>
      <c r="AE589" s="31"/>
    </row>
    <row r="590" spans="30:31">
      <c r="AD590" s="31"/>
      <c r="AE590" s="31"/>
    </row>
    <row r="591" spans="30:31">
      <c r="AD591" s="31"/>
      <c r="AE591" s="31"/>
    </row>
    <row r="592" spans="30:31">
      <c r="AD592" s="31"/>
      <c r="AE592" s="31"/>
    </row>
    <row r="593" spans="30:31">
      <c r="AD593" s="31"/>
      <c r="AE593" s="31"/>
    </row>
    <row r="594" spans="30:31">
      <c r="AD594" s="31"/>
      <c r="AE594" s="31"/>
    </row>
    <row r="595" spans="30:31">
      <c r="AD595" s="31"/>
      <c r="AE595" s="31"/>
    </row>
    <row r="596" spans="30:31">
      <c r="AD596" s="31"/>
      <c r="AE596" s="31"/>
    </row>
    <row r="597" spans="30:31">
      <c r="AD597" s="31"/>
      <c r="AE597" s="31"/>
    </row>
    <row r="598" spans="30:31">
      <c r="AD598" s="31"/>
      <c r="AE598" s="31"/>
    </row>
    <row r="599" spans="30:31">
      <c r="AD599" s="31"/>
      <c r="AE599" s="31"/>
    </row>
    <row r="600" spans="30:31">
      <c r="AD600" s="31"/>
      <c r="AE600" s="31"/>
    </row>
    <row r="601" spans="30:31">
      <c r="AD601" s="31"/>
      <c r="AE601" s="31"/>
    </row>
    <row r="602" spans="30:31">
      <c r="AD602" s="31"/>
      <c r="AE602" s="31"/>
    </row>
    <row r="603" spans="30:31">
      <c r="AD603" s="31"/>
      <c r="AE603" s="31"/>
    </row>
    <row r="604" spans="30:31">
      <c r="AD604" s="31"/>
      <c r="AE604" s="31"/>
    </row>
    <row r="605" spans="30:31">
      <c r="AD605" s="31"/>
      <c r="AE605" s="31"/>
    </row>
    <row r="606" spans="30:31">
      <c r="AD606" s="31"/>
      <c r="AE606" s="31"/>
    </row>
    <row r="607" spans="30:31">
      <c r="AD607" s="31"/>
      <c r="AE607" s="31"/>
    </row>
    <row r="608" spans="30:31">
      <c r="AD608" s="31"/>
      <c r="AE608" s="31"/>
    </row>
    <row r="609" spans="30:31">
      <c r="AD609" s="31"/>
      <c r="AE609" s="31"/>
    </row>
    <row r="610" spans="30:31">
      <c r="AD610" s="31"/>
      <c r="AE610" s="31"/>
    </row>
    <row r="611" spans="30:31">
      <c r="AD611" s="31"/>
      <c r="AE611" s="31"/>
    </row>
    <row r="612" spans="30:31">
      <c r="AD612" s="31"/>
      <c r="AE612" s="31"/>
    </row>
    <row r="613" spans="30:31">
      <c r="AD613" s="31"/>
      <c r="AE613" s="31"/>
    </row>
    <row r="614" spans="30:31">
      <c r="AD614" s="31"/>
      <c r="AE614" s="31"/>
    </row>
    <row r="615" spans="30:31">
      <c r="AD615" s="31"/>
      <c r="AE615" s="31"/>
    </row>
    <row r="616" spans="30:31">
      <c r="AD616" s="31"/>
      <c r="AE616" s="31"/>
    </row>
    <row r="617" spans="30:31">
      <c r="AD617" s="31"/>
      <c r="AE617" s="31"/>
    </row>
    <row r="618" spans="30:31">
      <c r="AD618" s="31"/>
      <c r="AE618" s="31"/>
    </row>
    <row r="619" spans="30:31">
      <c r="AD619" s="31"/>
      <c r="AE619" s="31"/>
    </row>
    <row r="620" spans="30:31">
      <c r="AD620" s="31"/>
      <c r="AE620" s="31"/>
    </row>
    <row r="621" spans="30:31">
      <c r="AD621" s="31"/>
      <c r="AE621" s="31"/>
    </row>
    <row r="622" spans="30:31">
      <c r="AD622" s="31"/>
      <c r="AE622" s="31"/>
    </row>
    <row r="623" spans="30:31">
      <c r="AD623" s="31"/>
      <c r="AE623" s="31"/>
    </row>
    <row r="624" spans="30:31">
      <c r="AD624" s="31"/>
      <c r="AE624" s="31"/>
    </row>
    <row r="625" spans="30:31">
      <c r="AD625" s="31"/>
      <c r="AE625" s="31"/>
    </row>
    <row r="626" spans="30:31">
      <c r="AD626" s="31"/>
      <c r="AE626" s="31"/>
    </row>
    <row r="627" spans="30:31">
      <c r="AD627" s="31"/>
      <c r="AE627" s="31"/>
    </row>
    <row r="628" spans="30:31">
      <c r="AD628" s="31"/>
      <c r="AE628" s="31"/>
    </row>
    <row r="629" spans="30:31">
      <c r="AD629" s="31"/>
      <c r="AE629" s="31"/>
    </row>
    <row r="630" spans="30:31">
      <c r="AD630" s="31"/>
      <c r="AE630" s="31"/>
    </row>
    <row r="631" spans="30:31">
      <c r="AD631" s="31"/>
      <c r="AE631" s="31"/>
    </row>
    <row r="632" spans="30:31">
      <c r="AD632" s="31"/>
      <c r="AE632" s="31"/>
    </row>
    <row r="633" spans="30:31">
      <c r="AD633" s="31"/>
      <c r="AE633" s="31"/>
    </row>
    <row r="634" spans="30:31">
      <c r="AD634" s="31"/>
      <c r="AE634" s="31"/>
    </row>
    <row r="635" spans="30:31">
      <c r="AD635" s="31"/>
      <c r="AE635" s="31"/>
    </row>
    <row r="636" spans="30:31">
      <c r="AD636" s="31"/>
      <c r="AE636" s="31"/>
    </row>
    <row r="637" spans="30:31">
      <c r="AD637" s="31"/>
      <c r="AE637" s="31"/>
    </row>
    <row r="638" spans="30:31">
      <c r="AD638" s="31"/>
      <c r="AE638" s="31"/>
    </row>
    <row r="639" spans="30:31">
      <c r="AD639" s="31"/>
      <c r="AE639" s="31"/>
    </row>
    <row r="640" spans="30:31">
      <c r="AD640" s="31"/>
      <c r="AE640" s="31"/>
    </row>
    <row r="641" spans="30:31">
      <c r="AD641" s="31"/>
      <c r="AE641" s="31"/>
    </row>
    <row r="642" spans="30:31">
      <c r="AD642" s="31"/>
      <c r="AE642" s="31"/>
    </row>
    <row r="643" spans="30:31">
      <c r="AD643" s="31"/>
      <c r="AE643" s="31"/>
    </row>
    <row r="644" spans="30:31">
      <c r="AD644" s="31"/>
      <c r="AE644" s="31"/>
    </row>
    <row r="645" spans="30:31">
      <c r="AD645" s="31"/>
      <c r="AE645" s="31"/>
    </row>
    <row r="646" spans="30:31">
      <c r="AD646" s="31"/>
      <c r="AE646" s="31"/>
    </row>
    <row r="647" spans="30:31">
      <c r="AD647" s="31"/>
      <c r="AE647" s="31"/>
    </row>
    <row r="648" spans="30:31">
      <c r="AD648" s="31"/>
      <c r="AE648" s="31"/>
    </row>
    <row r="649" spans="30:31">
      <c r="AD649" s="31"/>
      <c r="AE649" s="31"/>
    </row>
    <row r="650" spans="30:31">
      <c r="AD650" s="31"/>
      <c r="AE650" s="31"/>
    </row>
    <row r="651" spans="30:31">
      <c r="AD651" s="31"/>
      <c r="AE651" s="31"/>
    </row>
    <row r="652" spans="30:31">
      <c r="AD652" s="31"/>
      <c r="AE652" s="31"/>
    </row>
    <row r="653" spans="30:31">
      <c r="AD653" s="31"/>
      <c r="AE653" s="31"/>
    </row>
    <row r="654" spans="30:31">
      <c r="AD654" s="31"/>
      <c r="AE654" s="31"/>
    </row>
    <row r="655" spans="30:31">
      <c r="AD655" s="31"/>
      <c r="AE655" s="31"/>
    </row>
    <row r="656" spans="30:31">
      <c r="AD656" s="31"/>
      <c r="AE656" s="31"/>
    </row>
    <row r="657" spans="30:31">
      <c r="AD657" s="31"/>
      <c r="AE657" s="31"/>
    </row>
    <row r="658" spans="30:31">
      <c r="AD658" s="31"/>
      <c r="AE658" s="31"/>
    </row>
    <row r="659" spans="30:31">
      <c r="AD659" s="31"/>
      <c r="AE659" s="31"/>
    </row>
    <row r="660" spans="30:31">
      <c r="AD660" s="31"/>
      <c r="AE660" s="31"/>
    </row>
    <row r="661" spans="30:31">
      <c r="AD661" s="31"/>
      <c r="AE661" s="31"/>
    </row>
    <row r="662" spans="30:31">
      <c r="AD662" s="31"/>
      <c r="AE662" s="31"/>
    </row>
    <row r="663" spans="30:31">
      <c r="AD663" s="31"/>
      <c r="AE663" s="31"/>
    </row>
    <row r="664" spans="30:31">
      <c r="AD664" s="31"/>
      <c r="AE664" s="31"/>
    </row>
    <row r="665" spans="30:31">
      <c r="AD665" s="31"/>
      <c r="AE665" s="31"/>
    </row>
    <row r="666" spans="30:31">
      <c r="AD666" s="31"/>
      <c r="AE666" s="31"/>
    </row>
    <row r="667" spans="30:31">
      <c r="AD667" s="31"/>
      <c r="AE667" s="31"/>
    </row>
    <row r="668" spans="30:31">
      <c r="AD668" s="31"/>
      <c r="AE668" s="31"/>
    </row>
    <row r="669" spans="30:31">
      <c r="AD669" s="31"/>
      <c r="AE669" s="31"/>
    </row>
    <row r="670" spans="30:31">
      <c r="AD670" s="31"/>
      <c r="AE670" s="31"/>
    </row>
    <row r="671" spans="30:31">
      <c r="AD671" s="31"/>
      <c r="AE671" s="31"/>
    </row>
    <row r="672" spans="30:31">
      <c r="AD672" s="31"/>
      <c r="AE672" s="31"/>
    </row>
    <row r="673" spans="30:31">
      <c r="AD673" s="31"/>
      <c r="AE673" s="31"/>
    </row>
    <row r="674" spans="30:31">
      <c r="AD674" s="31"/>
      <c r="AE674" s="31"/>
    </row>
    <row r="675" spans="30:31">
      <c r="AD675" s="31"/>
      <c r="AE675" s="31"/>
    </row>
    <row r="676" spans="30:31">
      <c r="AD676" s="31"/>
      <c r="AE676" s="31"/>
    </row>
    <row r="677" spans="30:31">
      <c r="AD677" s="31"/>
      <c r="AE677" s="31"/>
    </row>
    <row r="678" spans="30:31">
      <c r="AD678" s="31"/>
      <c r="AE678" s="31"/>
    </row>
    <row r="679" spans="30:31">
      <c r="AD679" s="31"/>
      <c r="AE679" s="31"/>
    </row>
    <row r="680" spans="30:31">
      <c r="AD680" s="31"/>
      <c r="AE680" s="31"/>
    </row>
    <row r="681" spans="30:31">
      <c r="AD681" s="31"/>
      <c r="AE681" s="31"/>
    </row>
    <row r="682" spans="30:31">
      <c r="AD682" s="31"/>
      <c r="AE682" s="31"/>
    </row>
    <row r="683" spans="30:31">
      <c r="AD683" s="31"/>
      <c r="AE683" s="31"/>
    </row>
    <row r="684" spans="30:31">
      <c r="AD684" s="31"/>
      <c r="AE684" s="31"/>
    </row>
    <row r="685" spans="30:31">
      <c r="AD685" s="31"/>
      <c r="AE685" s="31"/>
    </row>
    <row r="686" spans="30:31">
      <c r="AD686" s="31"/>
      <c r="AE686" s="31"/>
    </row>
    <row r="687" spans="30:31">
      <c r="AD687" s="31"/>
      <c r="AE687" s="31"/>
    </row>
    <row r="688" spans="30:31">
      <c r="AD688" s="31"/>
      <c r="AE688" s="31"/>
    </row>
    <row r="689" spans="30:31">
      <c r="AD689" s="31"/>
      <c r="AE689" s="31"/>
    </row>
    <row r="690" spans="30:31">
      <c r="AD690" s="31"/>
      <c r="AE690" s="31"/>
    </row>
    <row r="691" spans="30:31">
      <c r="AD691" s="31"/>
      <c r="AE691" s="31"/>
    </row>
    <row r="692" spans="30:31">
      <c r="AD692" s="31"/>
      <c r="AE692" s="31"/>
    </row>
    <row r="693" spans="30:31">
      <c r="AD693" s="31"/>
      <c r="AE693" s="31"/>
    </row>
    <row r="694" spans="30:31">
      <c r="AD694" s="31"/>
      <c r="AE694" s="31"/>
    </row>
    <row r="695" spans="30:31">
      <c r="AD695" s="31"/>
      <c r="AE695" s="31"/>
    </row>
    <row r="696" spans="30:31">
      <c r="AD696" s="31"/>
      <c r="AE696" s="31"/>
    </row>
    <row r="697" spans="30:31">
      <c r="AD697" s="31"/>
      <c r="AE697" s="31"/>
    </row>
    <row r="698" spans="30:31">
      <c r="AD698" s="31"/>
      <c r="AE698" s="31"/>
    </row>
    <row r="699" spans="30:31">
      <c r="AD699" s="31"/>
      <c r="AE699" s="31"/>
    </row>
    <row r="700" spans="30:31">
      <c r="AD700" s="31"/>
      <c r="AE700" s="31"/>
    </row>
    <row r="701" spans="30:31">
      <c r="AD701" s="31"/>
      <c r="AE701" s="31"/>
    </row>
    <row r="702" spans="30:31">
      <c r="AD702" s="31"/>
      <c r="AE702" s="31"/>
    </row>
    <row r="703" spans="30:31">
      <c r="AD703" s="31"/>
      <c r="AE703" s="31"/>
    </row>
    <row r="704" spans="30:31">
      <c r="AD704" s="31"/>
      <c r="AE704" s="31"/>
    </row>
    <row r="705" spans="30:31">
      <c r="AD705" s="31"/>
      <c r="AE705" s="31"/>
    </row>
    <row r="706" spans="30:31">
      <c r="AD706" s="31"/>
      <c r="AE706" s="31"/>
    </row>
    <row r="707" spans="30:31">
      <c r="AD707" s="31"/>
      <c r="AE707" s="31"/>
    </row>
    <row r="708" spans="30:31">
      <c r="AD708" s="31"/>
      <c r="AE708" s="31"/>
    </row>
    <row r="709" spans="30:31">
      <c r="AD709" s="31"/>
      <c r="AE709" s="31"/>
    </row>
    <row r="710" spans="30:31">
      <c r="AD710" s="31"/>
      <c r="AE710" s="31"/>
    </row>
    <row r="711" spans="30:31">
      <c r="AD711" s="31"/>
      <c r="AE711" s="31"/>
    </row>
    <row r="712" spans="30:31">
      <c r="AD712" s="31"/>
      <c r="AE712" s="31"/>
    </row>
    <row r="713" spans="30:31">
      <c r="AD713" s="31"/>
      <c r="AE713" s="31"/>
    </row>
    <row r="714" spans="30:31">
      <c r="AD714" s="31"/>
      <c r="AE714" s="31"/>
    </row>
    <row r="715" spans="30:31">
      <c r="AD715" s="31"/>
      <c r="AE715" s="31"/>
    </row>
    <row r="716" spans="30:31">
      <c r="AD716" s="31"/>
      <c r="AE716" s="31"/>
    </row>
    <row r="717" spans="30:31">
      <c r="AD717" s="31"/>
      <c r="AE717" s="31"/>
    </row>
    <row r="718" spans="30:31">
      <c r="AD718" s="31"/>
      <c r="AE718" s="31"/>
    </row>
    <row r="719" spans="30:31">
      <c r="AD719" s="31"/>
      <c r="AE719" s="31"/>
    </row>
    <row r="720" spans="30:31">
      <c r="AD720" s="31"/>
      <c r="AE720" s="31"/>
    </row>
    <row r="721" spans="30:31">
      <c r="AD721" s="31"/>
      <c r="AE721" s="31"/>
    </row>
    <row r="722" spans="30:31">
      <c r="AD722" s="31"/>
      <c r="AE722" s="31"/>
    </row>
    <row r="723" spans="30:31">
      <c r="AD723" s="31"/>
      <c r="AE723" s="31"/>
    </row>
    <row r="724" spans="30:31">
      <c r="AD724" s="31"/>
      <c r="AE724" s="31"/>
    </row>
    <row r="725" spans="30:31">
      <c r="AD725" s="31"/>
      <c r="AE725" s="31"/>
    </row>
    <row r="726" spans="30:31">
      <c r="AD726" s="31"/>
      <c r="AE726" s="31"/>
    </row>
    <row r="727" spans="30:31">
      <c r="AD727" s="31"/>
      <c r="AE727" s="31"/>
    </row>
    <row r="728" spans="30:31">
      <c r="AD728" s="31"/>
      <c r="AE728" s="31"/>
    </row>
    <row r="729" spans="30:31">
      <c r="AD729" s="31"/>
      <c r="AE729" s="31"/>
    </row>
    <row r="730" spans="30:31">
      <c r="AD730" s="31"/>
      <c r="AE730" s="31"/>
    </row>
    <row r="731" spans="30:31">
      <c r="AD731" s="31"/>
      <c r="AE731" s="31"/>
    </row>
    <row r="732" spans="30:31">
      <c r="AD732" s="31"/>
      <c r="AE732" s="31"/>
    </row>
    <row r="733" spans="30:31">
      <c r="AD733" s="31"/>
      <c r="AE733" s="31"/>
    </row>
    <row r="734" spans="30:31">
      <c r="AD734" s="31"/>
      <c r="AE734" s="31"/>
    </row>
    <row r="735" spans="30:31">
      <c r="AD735" s="31"/>
      <c r="AE735" s="31"/>
    </row>
    <row r="736" spans="30:31">
      <c r="AD736" s="31"/>
      <c r="AE736" s="31"/>
    </row>
    <row r="737" spans="30:31">
      <c r="AD737" s="31"/>
      <c r="AE737" s="31"/>
    </row>
    <row r="738" spans="30:31">
      <c r="AD738" s="31"/>
      <c r="AE738" s="31"/>
    </row>
    <row r="739" spans="30:31">
      <c r="AD739" s="31"/>
      <c r="AE739" s="31"/>
    </row>
    <row r="740" spans="30:31">
      <c r="AD740" s="31"/>
      <c r="AE740" s="31"/>
    </row>
    <row r="741" spans="30:31">
      <c r="AD741" s="31"/>
      <c r="AE741" s="31"/>
    </row>
    <row r="742" spans="30:31">
      <c r="AD742" s="31"/>
      <c r="AE742" s="31"/>
    </row>
    <row r="743" spans="30:31">
      <c r="AD743" s="31"/>
      <c r="AE743" s="31"/>
    </row>
    <row r="744" spans="30:31">
      <c r="AD744" s="31"/>
      <c r="AE744" s="31"/>
    </row>
    <row r="745" spans="30:31">
      <c r="AD745" s="31"/>
      <c r="AE745" s="31"/>
    </row>
    <row r="746" spans="30:31">
      <c r="AD746" s="31"/>
      <c r="AE746" s="31"/>
    </row>
    <row r="747" spans="30:31">
      <c r="AD747" s="31"/>
      <c r="AE747" s="31"/>
    </row>
    <row r="748" spans="30:31">
      <c r="AD748" s="31"/>
      <c r="AE748" s="31"/>
    </row>
    <row r="749" spans="30:31">
      <c r="AD749" s="31"/>
      <c r="AE749" s="31"/>
    </row>
    <row r="750" spans="30:31">
      <c r="AD750" s="31"/>
      <c r="AE750" s="31"/>
    </row>
    <row r="751" spans="30:31">
      <c r="AD751" s="31"/>
      <c r="AE751" s="31"/>
    </row>
    <row r="752" spans="30:31">
      <c r="AD752" s="31"/>
      <c r="AE752" s="31"/>
    </row>
    <row r="753" spans="30:31">
      <c r="AD753" s="31"/>
      <c r="AE753" s="31"/>
    </row>
    <row r="754" spans="30:31">
      <c r="AD754" s="31"/>
      <c r="AE754" s="31"/>
    </row>
    <row r="755" spans="30:31">
      <c r="AD755" s="31"/>
      <c r="AE755" s="31"/>
    </row>
    <row r="756" spans="30:31">
      <c r="AD756" s="31"/>
      <c r="AE756" s="31"/>
    </row>
    <row r="757" spans="30:31">
      <c r="AD757" s="31"/>
      <c r="AE757" s="31"/>
    </row>
    <row r="758" spans="30:31">
      <c r="AD758" s="31"/>
      <c r="AE758" s="31"/>
    </row>
    <row r="759" spans="30:31">
      <c r="AD759" s="31"/>
      <c r="AE759" s="31"/>
    </row>
    <row r="760" spans="30:31">
      <c r="AD760" s="31"/>
      <c r="AE760" s="31"/>
    </row>
    <row r="761" spans="30:31">
      <c r="AD761" s="31"/>
      <c r="AE761" s="31"/>
    </row>
    <row r="762" spans="30:31">
      <c r="AD762" s="31"/>
      <c r="AE762" s="31"/>
    </row>
    <row r="763" spans="30:31">
      <c r="AD763" s="31"/>
      <c r="AE763" s="31"/>
    </row>
    <row r="764" spans="30:31">
      <c r="AD764" s="31"/>
      <c r="AE764" s="31"/>
    </row>
    <row r="765" spans="30:31">
      <c r="AD765" s="31"/>
      <c r="AE765" s="31"/>
    </row>
    <row r="766" spans="30:31">
      <c r="AD766" s="31"/>
      <c r="AE766" s="31"/>
    </row>
    <row r="767" spans="30:31">
      <c r="AD767" s="31"/>
      <c r="AE767" s="31"/>
    </row>
    <row r="768" spans="30:31">
      <c r="AD768" s="31"/>
      <c r="AE768" s="31"/>
    </row>
    <row r="769" spans="30:31">
      <c r="AD769" s="31"/>
      <c r="AE769" s="31"/>
    </row>
    <row r="770" spans="30:31">
      <c r="AD770" s="31"/>
      <c r="AE770" s="31"/>
    </row>
    <row r="771" spans="30:31">
      <c r="AD771" s="31"/>
      <c r="AE771" s="31"/>
    </row>
    <row r="772" spans="30:31">
      <c r="AD772" s="31"/>
      <c r="AE772" s="31"/>
    </row>
    <row r="773" spans="30:31">
      <c r="AD773" s="31"/>
      <c r="AE773" s="31"/>
    </row>
    <row r="774" spans="30:31">
      <c r="AD774" s="31"/>
      <c r="AE774" s="31"/>
    </row>
    <row r="775" spans="30:31">
      <c r="AD775" s="31"/>
      <c r="AE775" s="31"/>
    </row>
    <row r="776" spans="30:31">
      <c r="AD776" s="31"/>
      <c r="AE776" s="31"/>
    </row>
    <row r="777" spans="30:31">
      <c r="AD777" s="31"/>
      <c r="AE777" s="31"/>
    </row>
    <row r="778" spans="30:31">
      <c r="AD778" s="31"/>
      <c r="AE778" s="31"/>
    </row>
    <row r="779" spans="30:31">
      <c r="AD779" s="31"/>
      <c r="AE779" s="31"/>
    </row>
    <row r="780" spans="30:31">
      <c r="AD780" s="31"/>
      <c r="AE780" s="31"/>
    </row>
    <row r="781" spans="30:31">
      <c r="AD781" s="31"/>
      <c r="AE781" s="31"/>
    </row>
    <row r="782" spans="30:31">
      <c r="AD782" s="31"/>
      <c r="AE782" s="31"/>
    </row>
    <row r="783" spans="30:31">
      <c r="AD783" s="31"/>
      <c r="AE783" s="31"/>
    </row>
    <row r="784" spans="30:31">
      <c r="AD784" s="31"/>
      <c r="AE784" s="31"/>
    </row>
    <row r="785" spans="30:31">
      <c r="AD785" s="31"/>
      <c r="AE785" s="31"/>
    </row>
    <row r="786" spans="30:31">
      <c r="AD786" s="31"/>
      <c r="AE786" s="31"/>
    </row>
    <row r="787" spans="30:31">
      <c r="AD787" s="31"/>
      <c r="AE787" s="31"/>
    </row>
    <row r="788" spans="30:31">
      <c r="AD788" s="31"/>
      <c r="AE788" s="31"/>
    </row>
    <row r="789" spans="30:31">
      <c r="AD789" s="31"/>
      <c r="AE789" s="31"/>
    </row>
    <row r="790" spans="30:31">
      <c r="AD790" s="31"/>
      <c r="AE790" s="31"/>
    </row>
    <row r="791" spans="30:31">
      <c r="AD791" s="31"/>
      <c r="AE791" s="31"/>
    </row>
    <row r="792" spans="30:31">
      <c r="AD792" s="31"/>
      <c r="AE792" s="31"/>
    </row>
    <row r="793" spans="30:31">
      <c r="AD793" s="31"/>
      <c r="AE793" s="31"/>
    </row>
    <row r="794" spans="30:31">
      <c r="AD794" s="31"/>
      <c r="AE794" s="31"/>
    </row>
    <row r="795" spans="30:31">
      <c r="AD795" s="31"/>
      <c r="AE795" s="31"/>
    </row>
    <row r="796" spans="30:31">
      <c r="AD796" s="31"/>
      <c r="AE796" s="31"/>
    </row>
    <row r="797" spans="30:31">
      <c r="AD797" s="31"/>
      <c r="AE797" s="31"/>
    </row>
    <row r="798" spans="30:31">
      <c r="AD798" s="31"/>
      <c r="AE798" s="31"/>
    </row>
    <row r="799" spans="30:31">
      <c r="AD799" s="31"/>
      <c r="AE799" s="31"/>
    </row>
    <row r="800" spans="30:31">
      <c r="AD800" s="31"/>
      <c r="AE800" s="31"/>
    </row>
    <row r="801" spans="30:31">
      <c r="AD801" s="31"/>
      <c r="AE801" s="31"/>
    </row>
    <row r="802" spans="30:31">
      <c r="AD802" s="31"/>
      <c r="AE802" s="31"/>
    </row>
    <row r="803" spans="30:31">
      <c r="AD803" s="31"/>
      <c r="AE803" s="31"/>
    </row>
    <row r="804" spans="30:31">
      <c r="AD804" s="31"/>
      <c r="AE804" s="31"/>
    </row>
    <row r="805" spans="30:31">
      <c r="AD805" s="31"/>
      <c r="AE805" s="31"/>
    </row>
    <row r="806" spans="30:31">
      <c r="AD806" s="31"/>
      <c r="AE806" s="31"/>
    </row>
    <row r="807" spans="30:31">
      <c r="AD807" s="31"/>
      <c r="AE807" s="31"/>
    </row>
    <row r="808" spans="30:31">
      <c r="AD808" s="31"/>
      <c r="AE808" s="31"/>
    </row>
    <row r="809" spans="30:31">
      <c r="AD809" s="31"/>
      <c r="AE809" s="31"/>
    </row>
    <row r="810" spans="30:31">
      <c r="AD810" s="31"/>
      <c r="AE810" s="31"/>
    </row>
    <row r="811" spans="30:31">
      <c r="AD811" s="31"/>
      <c r="AE811" s="31"/>
    </row>
    <row r="812" spans="30:31">
      <c r="AD812" s="31"/>
      <c r="AE812" s="31"/>
    </row>
    <row r="813" spans="30:31">
      <c r="AD813" s="31"/>
      <c r="AE813" s="31"/>
    </row>
    <row r="814" spans="30:31">
      <c r="AD814" s="31"/>
      <c r="AE814" s="31"/>
    </row>
    <row r="815" spans="30:31">
      <c r="AD815" s="31"/>
      <c r="AE815" s="31"/>
    </row>
    <row r="816" spans="30:31">
      <c r="AD816" s="31"/>
      <c r="AE816" s="31"/>
    </row>
    <row r="817" spans="30:31">
      <c r="AD817" s="31"/>
      <c r="AE817" s="31"/>
    </row>
    <row r="818" spans="30:31">
      <c r="AD818" s="31"/>
      <c r="AE818" s="31"/>
    </row>
    <row r="819" spans="30:31">
      <c r="AD819" s="31"/>
      <c r="AE819" s="31"/>
    </row>
    <row r="820" spans="30:31">
      <c r="AD820" s="31"/>
      <c r="AE820" s="31"/>
    </row>
    <row r="821" spans="30:31">
      <c r="AD821" s="31"/>
      <c r="AE821" s="31"/>
    </row>
    <row r="822" spans="30:31">
      <c r="AD822" s="31"/>
      <c r="AE822" s="31"/>
    </row>
    <row r="823" spans="30:31">
      <c r="AD823" s="31"/>
      <c r="AE823" s="31"/>
    </row>
    <row r="824" spans="30:31">
      <c r="AD824" s="31"/>
      <c r="AE824" s="31"/>
    </row>
    <row r="825" spans="30:31">
      <c r="AD825" s="31"/>
      <c r="AE825" s="31"/>
    </row>
    <row r="826" spans="30:31">
      <c r="AD826" s="31"/>
      <c r="AE826" s="31"/>
    </row>
    <row r="827" spans="30:31">
      <c r="AD827" s="31"/>
      <c r="AE827" s="31"/>
    </row>
    <row r="828" spans="30:31">
      <c r="AD828" s="31"/>
      <c r="AE828" s="31"/>
    </row>
    <row r="829" spans="30:31">
      <c r="AD829" s="31"/>
      <c r="AE829" s="31"/>
    </row>
    <row r="830" spans="30:31">
      <c r="AD830" s="31"/>
      <c r="AE830" s="31"/>
    </row>
    <row r="831" spans="30:31">
      <c r="AD831" s="31"/>
      <c r="AE831" s="31"/>
    </row>
    <row r="832" spans="30:31">
      <c r="AD832" s="31"/>
      <c r="AE832" s="31"/>
    </row>
    <row r="833" spans="30:31">
      <c r="AD833" s="31"/>
      <c r="AE833" s="31"/>
    </row>
    <row r="834" spans="30:31">
      <c r="AD834" s="31"/>
      <c r="AE834" s="31"/>
    </row>
    <row r="835" spans="30:31">
      <c r="AD835" s="31"/>
      <c r="AE835" s="31"/>
    </row>
    <row r="836" spans="30:31">
      <c r="AD836" s="31"/>
      <c r="AE836" s="31"/>
    </row>
    <row r="837" spans="30:31">
      <c r="AD837" s="31"/>
      <c r="AE837" s="31"/>
    </row>
    <row r="838" spans="30:31">
      <c r="AD838" s="31"/>
      <c r="AE838" s="31"/>
    </row>
    <row r="839" spans="30:31">
      <c r="AD839" s="31"/>
      <c r="AE839" s="31"/>
    </row>
    <row r="840" spans="30:31">
      <c r="AD840" s="31"/>
      <c r="AE840" s="31"/>
    </row>
    <row r="841" spans="30:31">
      <c r="AD841" s="31"/>
      <c r="AE841" s="31"/>
    </row>
    <row r="842" spans="30:31">
      <c r="AD842" s="31"/>
      <c r="AE842" s="31"/>
    </row>
    <row r="843" spans="30:31">
      <c r="AD843" s="31"/>
      <c r="AE843" s="31"/>
    </row>
    <row r="844" spans="30:31">
      <c r="AD844" s="31"/>
      <c r="AE844" s="31"/>
    </row>
    <row r="845" spans="30:31">
      <c r="AD845" s="31"/>
      <c r="AE845" s="31"/>
    </row>
    <row r="846" spans="30:31">
      <c r="AD846" s="31"/>
      <c r="AE846" s="31"/>
    </row>
    <row r="847" spans="30:31">
      <c r="AD847" s="31"/>
      <c r="AE847" s="31"/>
    </row>
    <row r="848" spans="30:31">
      <c r="AD848" s="31"/>
      <c r="AE848" s="31"/>
    </row>
    <row r="849" spans="30:31">
      <c r="AD849" s="31"/>
      <c r="AE849" s="31"/>
    </row>
    <row r="850" spans="30:31">
      <c r="AD850" s="31"/>
      <c r="AE850" s="31"/>
    </row>
    <row r="851" spans="30:31">
      <c r="AD851" s="31"/>
      <c r="AE851" s="31"/>
    </row>
    <row r="852" spans="30:31">
      <c r="AD852" s="31"/>
      <c r="AE852" s="31"/>
    </row>
    <row r="853" spans="30:31">
      <c r="AD853" s="31"/>
      <c r="AE853" s="31"/>
    </row>
    <row r="854" spans="30:31">
      <c r="AD854" s="31"/>
      <c r="AE854" s="31"/>
    </row>
    <row r="855" spans="30:31">
      <c r="AD855" s="31"/>
      <c r="AE855" s="31"/>
    </row>
    <row r="856" spans="30:31">
      <c r="AD856" s="31"/>
      <c r="AE856" s="31"/>
    </row>
    <row r="857" spans="30:31">
      <c r="AD857" s="31"/>
      <c r="AE857" s="31"/>
    </row>
    <row r="858" spans="30:31">
      <c r="AD858" s="31"/>
      <c r="AE858" s="31"/>
    </row>
    <row r="859" spans="30:31">
      <c r="AD859" s="31"/>
      <c r="AE859" s="31"/>
    </row>
    <row r="860" spans="30:31">
      <c r="AD860" s="31"/>
      <c r="AE860" s="31"/>
    </row>
    <row r="861" spans="30:31">
      <c r="AD861" s="31"/>
      <c r="AE861" s="31"/>
    </row>
    <row r="862" spans="30:31">
      <c r="AD862" s="31"/>
      <c r="AE862" s="31"/>
    </row>
    <row r="863" spans="30:31">
      <c r="AD863" s="31"/>
      <c r="AE863" s="31"/>
    </row>
    <row r="864" spans="30:31">
      <c r="AD864" s="31"/>
      <c r="AE864" s="31"/>
    </row>
    <row r="865" spans="30:31">
      <c r="AD865" s="31"/>
      <c r="AE865" s="31"/>
    </row>
    <row r="866" spans="30:31">
      <c r="AD866" s="31"/>
      <c r="AE866" s="31"/>
    </row>
    <row r="867" spans="30:31">
      <c r="AD867" s="31"/>
      <c r="AE867" s="31"/>
    </row>
    <row r="868" spans="30:31">
      <c r="AD868" s="31"/>
      <c r="AE868" s="31"/>
    </row>
    <row r="869" spans="30:31">
      <c r="AD869" s="31"/>
      <c r="AE869" s="31"/>
    </row>
    <row r="870" spans="30:31">
      <c r="AD870" s="31"/>
      <c r="AE870" s="31"/>
    </row>
    <row r="871" spans="30:31">
      <c r="AD871" s="31"/>
      <c r="AE871" s="31"/>
    </row>
    <row r="872" spans="30:31">
      <c r="AD872" s="31"/>
      <c r="AE872" s="31"/>
    </row>
    <row r="873" spans="30:31">
      <c r="AD873" s="31"/>
      <c r="AE873" s="31"/>
    </row>
    <row r="874" spans="30:31">
      <c r="AD874" s="31"/>
      <c r="AE874" s="31"/>
    </row>
    <row r="875" spans="30:31">
      <c r="AD875" s="31"/>
      <c r="AE875" s="31"/>
    </row>
    <row r="876" spans="30:31">
      <c r="AD876" s="31"/>
      <c r="AE876" s="31"/>
    </row>
    <row r="877" spans="30:31">
      <c r="AD877" s="31"/>
      <c r="AE877" s="31"/>
    </row>
    <row r="878" spans="30:31">
      <c r="AD878" s="31"/>
      <c r="AE878" s="31"/>
    </row>
    <row r="879" spans="30:31">
      <c r="AD879" s="31"/>
      <c r="AE879" s="31"/>
    </row>
    <row r="880" spans="30:31">
      <c r="AD880" s="31"/>
      <c r="AE880" s="31"/>
    </row>
    <row r="881" spans="30:31">
      <c r="AD881" s="31"/>
      <c r="AE881" s="31"/>
    </row>
    <row r="882" spans="30:31">
      <c r="AD882" s="31"/>
      <c r="AE882" s="31"/>
    </row>
    <row r="883" spans="30:31">
      <c r="AD883" s="31"/>
      <c r="AE883" s="31"/>
    </row>
    <row r="884" spans="30:31">
      <c r="AD884" s="31"/>
      <c r="AE884" s="31"/>
    </row>
    <row r="885" spans="30:31">
      <c r="AD885" s="31"/>
      <c r="AE885" s="31"/>
    </row>
    <row r="886" spans="30:31">
      <c r="AD886" s="31"/>
      <c r="AE886" s="31"/>
    </row>
    <row r="887" spans="30:31">
      <c r="AD887" s="31"/>
      <c r="AE887" s="31"/>
    </row>
    <row r="888" spans="30:31">
      <c r="AD888" s="31"/>
      <c r="AE888" s="31"/>
    </row>
    <row r="889" spans="30:31">
      <c r="AD889" s="31"/>
      <c r="AE889" s="31"/>
    </row>
    <row r="890" spans="30:31">
      <c r="AD890" s="31"/>
      <c r="AE890" s="31"/>
    </row>
    <row r="891" spans="30:31">
      <c r="AD891" s="31"/>
      <c r="AE891" s="31"/>
    </row>
    <row r="892" spans="30:31">
      <c r="AD892" s="31"/>
      <c r="AE892" s="31"/>
    </row>
    <row r="893" spans="30:31">
      <c r="AD893" s="31"/>
      <c r="AE893" s="31"/>
    </row>
    <row r="894" spans="30:31">
      <c r="AD894" s="31"/>
      <c r="AE894" s="31"/>
    </row>
    <row r="895" spans="30:31">
      <c r="AD895" s="31"/>
      <c r="AE895" s="31"/>
    </row>
    <row r="896" spans="30:31">
      <c r="AD896" s="31"/>
      <c r="AE896" s="31"/>
    </row>
    <row r="897" spans="30:31">
      <c r="AD897" s="31"/>
      <c r="AE897" s="31"/>
    </row>
    <row r="898" spans="30:31">
      <c r="AD898" s="31"/>
      <c r="AE898" s="31"/>
    </row>
    <row r="899" spans="30:31">
      <c r="AD899" s="31"/>
      <c r="AE899" s="31"/>
    </row>
    <row r="900" spans="30:31">
      <c r="AD900" s="31"/>
      <c r="AE900" s="31"/>
    </row>
    <row r="901" spans="30:31">
      <c r="AD901" s="31"/>
      <c r="AE901" s="31"/>
    </row>
    <row r="902" spans="30:31">
      <c r="AD902" s="31"/>
      <c r="AE902" s="31"/>
    </row>
    <row r="903" spans="30:31">
      <c r="AD903" s="31"/>
      <c r="AE903" s="31"/>
    </row>
    <row r="904" spans="30:31">
      <c r="AD904" s="31"/>
      <c r="AE904" s="31"/>
    </row>
    <row r="905" spans="30:31">
      <c r="AD905" s="31"/>
      <c r="AE905" s="31"/>
    </row>
    <row r="906" spans="30:31">
      <c r="AD906" s="31"/>
      <c r="AE906" s="31"/>
    </row>
    <row r="907" spans="30:31">
      <c r="AD907" s="31"/>
      <c r="AE907" s="31"/>
    </row>
    <row r="908" spans="30:31">
      <c r="AD908" s="31"/>
      <c r="AE908" s="31"/>
    </row>
    <row r="909" spans="30:31">
      <c r="AD909" s="31"/>
      <c r="AE909" s="31"/>
    </row>
    <row r="910" spans="30:31">
      <c r="AD910" s="31"/>
      <c r="AE910" s="31"/>
    </row>
    <row r="911" spans="30:31">
      <c r="AD911" s="31"/>
      <c r="AE911" s="31"/>
    </row>
    <row r="912" spans="30:31">
      <c r="AD912" s="31"/>
      <c r="AE912" s="31"/>
    </row>
    <row r="913" spans="30:31">
      <c r="AD913" s="31"/>
      <c r="AE913" s="31"/>
    </row>
    <row r="914" spans="30:31">
      <c r="AD914" s="31"/>
      <c r="AE914" s="31"/>
    </row>
    <row r="915" spans="30:31">
      <c r="AD915" s="31"/>
      <c r="AE915" s="31"/>
    </row>
    <row r="916" spans="30:31">
      <c r="AD916" s="31"/>
      <c r="AE916" s="31"/>
    </row>
    <row r="917" spans="30:31">
      <c r="AD917" s="31"/>
      <c r="AE917" s="31"/>
    </row>
    <row r="918" spans="30:31">
      <c r="AD918" s="31"/>
      <c r="AE918" s="31"/>
    </row>
    <row r="919" spans="30:31">
      <c r="AD919" s="31"/>
      <c r="AE919" s="31"/>
    </row>
    <row r="920" spans="30:31">
      <c r="AD920" s="31"/>
      <c r="AE920" s="31"/>
    </row>
    <row r="921" spans="30:31">
      <c r="AD921" s="31"/>
      <c r="AE921" s="31"/>
    </row>
    <row r="922" spans="30:31">
      <c r="AD922" s="31"/>
      <c r="AE922" s="31"/>
    </row>
    <row r="923" spans="30:31">
      <c r="AD923" s="31"/>
      <c r="AE923" s="31"/>
    </row>
    <row r="924" spans="30:31">
      <c r="AD924" s="31"/>
      <c r="AE924" s="31"/>
    </row>
    <row r="925" spans="30:31">
      <c r="AD925" s="31"/>
      <c r="AE925" s="31"/>
    </row>
    <row r="926" spans="30:31">
      <c r="AD926" s="31"/>
      <c r="AE926" s="31"/>
    </row>
    <row r="927" spans="30:31">
      <c r="AD927" s="31"/>
      <c r="AE927" s="31"/>
    </row>
    <row r="928" spans="30:31">
      <c r="AD928" s="31"/>
      <c r="AE928" s="31"/>
    </row>
    <row r="929" spans="30:31">
      <c r="AD929" s="31"/>
      <c r="AE929" s="31"/>
    </row>
    <row r="930" spans="30:31">
      <c r="AD930" s="31"/>
      <c r="AE930" s="31"/>
    </row>
    <row r="931" spans="30:31">
      <c r="AD931" s="31"/>
      <c r="AE931" s="31"/>
    </row>
    <row r="932" spans="30:31">
      <c r="AD932" s="31"/>
      <c r="AE932" s="31"/>
    </row>
    <row r="933" spans="30:31">
      <c r="AD933" s="31"/>
      <c r="AE933" s="31"/>
    </row>
    <row r="934" spans="30:31">
      <c r="AD934" s="31"/>
      <c r="AE934" s="31"/>
    </row>
    <row r="935" spans="30:31">
      <c r="AD935" s="31"/>
      <c r="AE935" s="31"/>
    </row>
    <row r="936" spans="30:31">
      <c r="AD936" s="31"/>
      <c r="AE936" s="31"/>
    </row>
    <row r="937" spans="30:31">
      <c r="AD937" s="31"/>
      <c r="AE937" s="31"/>
    </row>
    <row r="938" spans="30:31">
      <c r="AD938" s="31"/>
      <c r="AE938" s="31"/>
    </row>
    <row r="939" spans="30:31">
      <c r="AD939" s="31"/>
      <c r="AE939" s="31"/>
    </row>
    <row r="940" spans="30:31">
      <c r="AD940" s="31"/>
      <c r="AE940" s="31"/>
    </row>
    <row r="941" spans="30:31">
      <c r="AD941" s="31"/>
      <c r="AE941" s="31"/>
    </row>
    <row r="942" spans="30:31">
      <c r="AD942" s="31"/>
      <c r="AE942" s="31"/>
    </row>
    <row r="943" spans="30:31">
      <c r="AD943" s="31"/>
      <c r="AE943" s="31"/>
    </row>
    <row r="944" spans="30:31">
      <c r="AD944" s="31"/>
      <c r="AE944" s="31"/>
    </row>
    <row r="945" spans="30:31">
      <c r="AD945" s="31"/>
      <c r="AE945" s="31"/>
    </row>
    <row r="946" spans="30:31">
      <c r="AD946" s="31"/>
      <c r="AE946" s="31"/>
    </row>
    <row r="947" spans="30:31">
      <c r="AD947" s="31"/>
      <c r="AE947" s="31"/>
    </row>
    <row r="948" spans="30:31">
      <c r="AD948" s="31"/>
      <c r="AE948" s="31"/>
    </row>
    <row r="949" spans="30:31">
      <c r="AD949" s="31"/>
      <c r="AE949" s="31"/>
    </row>
    <row r="950" spans="30:31">
      <c r="AD950" s="31"/>
      <c r="AE950" s="31"/>
    </row>
    <row r="951" spans="30:31">
      <c r="AD951" s="31"/>
      <c r="AE951" s="31"/>
    </row>
    <row r="952" spans="30:31">
      <c r="AD952" s="31"/>
      <c r="AE952" s="31"/>
    </row>
    <row r="953" spans="30:31">
      <c r="AD953" s="31"/>
      <c r="AE953" s="31"/>
    </row>
    <row r="954" spans="30:31">
      <c r="AD954" s="31"/>
      <c r="AE954" s="31"/>
    </row>
    <row r="955" spans="30:31">
      <c r="AD955" s="31"/>
      <c r="AE955" s="31"/>
    </row>
    <row r="956" spans="30:31">
      <c r="AD956" s="31"/>
      <c r="AE956" s="31"/>
    </row>
    <row r="957" spans="30:31">
      <c r="AD957" s="31"/>
      <c r="AE957" s="31"/>
    </row>
    <row r="958" spans="30:31">
      <c r="AD958" s="31"/>
      <c r="AE958" s="31"/>
    </row>
    <row r="959" spans="30:31">
      <c r="AD959" s="31"/>
      <c r="AE959" s="31"/>
    </row>
    <row r="960" spans="30:31">
      <c r="AD960" s="31"/>
      <c r="AE960" s="31"/>
    </row>
    <row r="961" spans="30:31">
      <c r="AD961" s="31"/>
      <c r="AE961" s="31"/>
    </row>
    <row r="962" spans="30:31">
      <c r="AD962" s="31"/>
      <c r="AE962" s="31"/>
    </row>
    <row r="963" spans="30:31">
      <c r="AD963" s="31"/>
      <c r="AE963" s="31"/>
    </row>
    <row r="964" spans="30:31">
      <c r="AD964" s="31"/>
      <c r="AE964" s="31"/>
    </row>
    <row r="965" spans="30:31">
      <c r="AD965" s="31"/>
      <c r="AE965" s="31"/>
    </row>
    <row r="966" spans="30:31">
      <c r="AD966" s="31"/>
      <c r="AE966" s="31"/>
    </row>
    <row r="967" spans="30:31">
      <c r="AD967" s="31"/>
      <c r="AE967" s="31"/>
    </row>
    <row r="968" spans="30:31">
      <c r="AD968" s="31"/>
      <c r="AE968" s="31"/>
    </row>
    <row r="969" spans="30:31">
      <c r="AD969" s="31"/>
      <c r="AE969" s="31"/>
    </row>
    <row r="970" spans="30:31">
      <c r="AD970" s="31"/>
      <c r="AE970" s="31"/>
    </row>
    <row r="971" spans="30:31">
      <c r="AD971" s="31"/>
      <c r="AE971" s="31"/>
    </row>
    <row r="972" spans="30:31">
      <c r="AD972" s="31"/>
      <c r="AE972" s="31"/>
    </row>
    <row r="973" spans="30:31">
      <c r="AD973" s="31"/>
      <c r="AE973" s="31"/>
    </row>
    <row r="974" spans="30:31">
      <c r="AD974" s="31"/>
      <c r="AE974" s="31"/>
    </row>
    <row r="975" spans="30:31">
      <c r="AD975" s="31"/>
      <c r="AE975" s="31"/>
    </row>
    <row r="976" spans="30:31">
      <c r="AD976" s="31"/>
      <c r="AE976" s="31"/>
    </row>
    <row r="977" spans="30:31">
      <c r="AD977" s="31"/>
      <c r="AE977" s="31"/>
    </row>
    <row r="978" spans="30:31">
      <c r="AD978" s="31"/>
      <c r="AE978" s="31"/>
    </row>
    <row r="979" spans="30:31">
      <c r="AD979" s="31"/>
      <c r="AE979" s="31"/>
    </row>
    <row r="980" spans="30:31">
      <c r="AD980" s="31"/>
      <c r="AE980" s="31"/>
    </row>
    <row r="981" spans="30:31">
      <c r="AD981" s="31"/>
      <c r="AE981" s="31"/>
    </row>
    <row r="982" spans="30:31">
      <c r="AD982" s="31"/>
      <c r="AE982" s="31"/>
    </row>
    <row r="983" spans="30:31">
      <c r="AD983" s="31"/>
      <c r="AE983" s="31"/>
    </row>
    <row r="984" spans="30:31">
      <c r="AD984" s="31"/>
      <c r="AE984" s="31"/>
    </row>
    <row r="985" spans="30:31">
      <c r="AD985" s="31"/>
      <c r="AE985" s="31"/>
    </row>
    <row r="986" spans="30:31">
      <c r="AD986" s="31"/>
      <c r="AE986" s="31"/>
    </row>
    <row r="987" spans="30:31">
      <c r="AD987" s="31"/>
      <c r="AE987" s="31"/>
    </row>
    <row r="988" spans="30:31">
      <c r="AD988" s="31"/>
      <c r="AE988" s="31"/>
    </row>
    <row r="989" spans="30:31">
      <c r="AD989" s="31"/>
      <c r="AE989" s="31"/>
    </row>
    <row r="990" spans="30:31">
      <c r="AD990" s="31"/>
      <c r="AE990" s="31"/>
    </row>
    <row r="991" spans="30:31">
      <c r="AD991" s="31"/>
      <c r="AE991" s="31"/>
    </row>
    <row r="992" spans="30:31">
      <c r="AD992" s="31"/>
      <c r="AE992" s="31"/>
    </row>
    <row r="993" spans="30:31">
      <c r="AD993" s="31"/>
      <c r="AE993" s="31"/>
    </row>
    <row r="994" spans="30:31">
      <c r="AD994" s="31"/>
      <c r="AE994" s="31"/>
    </row>
    <row r="995" spans="30:31">
      <c r="AD995" s="31"/>
      <c r="AE995" s="31"/>
    </row>
    <row r="996" spans="30:31">
      <c r="AD996" s="31"/>
      <c r="AE996" s="31"/>
    </row>
    <row r="997" spans="30:31">
      <c r="AD997" s="31"/>
      <c r="AE997" s="31"/>
    </row>
    <row r="998" spans="30:31">
      <c r="AD998" s="31"/>
      <c r="AE998" s="31"/>
    </row>
    <row r="999" spans="30:31">
      <c r="AD999" s="31"/>
      <c r="AE999" s="31"/>
    </row>
    <row r="1000" spans="30:31">
      <c r="AD1000" s="31"/>
      <c r="AE1000" s="31"/>
    </row>
    <row r="1001" spans="30:31">
      <c r="AD1001" s="31"/>
      <c r="AE1001" s="31"/>
    </row>
    <row r="1002" spans="30:31">
      <c r="AD1002" s="31"/>
      <c r="AE1002" s="31"/>
    </row>
    <row r="1003" spans="30:31">
      <c r="AD1003" s="31"/>
      <c r="AE1003" s="31"/>
    </row>
    <row r="1004" spans="30:31">
      <c r="AD1004" s="31"/>
      <c r="AE1004" s="31"/>
    </row>
    <row r="1005" spans="30:31">
      <c r="AD1005" s="31"/>
      <c r="AE1005" s="31"/>
    </row>
    <row r="1006" spans="30:31">
      <c r="AD1006" s="31"/>
      <c r="AE1006" s="31"/>
    </row>
    <row r="1007" spans="30:31">
      <c r="AD1007" s="31"/>
      <c r="AE1007" s="31"/>
    </row>
    <row r="1008" spans="30:31">
      <c r="AD1008" s="31"/>
      <c r="AE1008" s="31"/>
    </row>
    <row r="1009" spans="30:31">
      <c r="AD1009" s="31"/>
      <c r="AE1009" s="31"/>
    </row>
    <row r="1010" spans="30:31">
      <c r="AD1010" s="31"/>
      <c r="AE1010" s="31"/>
    </row>
    <row r="1011" spans="30:31">
      <c r="AD1011" s="31"/>
      <c r="AE1011" s="31"/>
    </row>
    <row r="1012" spans="30:31">
      <c r="AD1012" s="31"/>
      <c r="AE1012" s="31"/>
    </row>
    <row r="1013" spans="30:31">
      <c r="AD1013" s="31"/>
      <c r="AE1013" s="31"/>
    </row>
    <row r="1014" spans="30:31">
      <c r="AD1014" s="31"/>
      <c r="AE1014" s="31"/>
    </row>
    <row r="1015" spans="30:31">
      <c r="AD1015" s="31"/>
      <c r="AE1015" s="31"/>
    </row>
    <row r="1016" spans="30:31">
      <c r="AD1016" s="31"/>
      <c r="AE1016" s="31"/>
    </row>
    <row r="1017" spans="30:31">
      <c r="AD1017" s="31"/>
      <c r="AE1017" s="31"/>
    </row>
    <row r="1018" spans="30:31">
      <c r="AD1018" s="31"/>
      <c r="AE1018" s="31"/>
    </row>
    <row r="1019" spans="30:31">
      <c r="AD1019" s="31"/>
      <c r="AE1019" s="31"/>
    </row>
    <row r="1020" spans="30:31">
      <c r="AD1020" s="31"/>
      <c r="AE1020" s="31"/>
    </row>
    <row r="1021" spans="30:31">
      <c r="AD1021" s="31"/>
      <c r="AE1021" s="31"/>
    </row>
    <row r="1022" spans="30:31">
      <c r="AD1022" s="31"/>
      <c r="AE1022" s="31"/>
    </row>
    <row r="1023" spans="30:31">
      <c r="AD1023" s="31"/>
      <c r="AE1023" s="31"/>
    </row>
    <row r="1024" spans="30:31">
      <c r="AD1024" s="31"/>
      <c r="AE1024" s="31"/>
    </row>
    <row r="1025" spans="30:31">
      <c r="AD1025" s="31"/>
      <c r="AE1025" s="31"/>
    </row>
    <row r="1026" spans="30:31">
      <c r="AD1026" s="31"/>
      <c r="AE1026" s="31"/>
    </row>
    <row r="1027" spans="30:31">
      <c r="AD1027" s="31"/>
      <c r="AE1027" s="31"/>
    </row>
    <row r="1028" spans="30:31">
      <c r="AD1028" s="31"/>
      <c r="AE1028" s="31"/>
    </row>
    <row r="1029" spans="30:31">
      <c r="AD1029" s="31"/>
      <c r="AE1029" s="31"/>
    </row>
    <row r="1030" spans="30:31">
      <c r="AD1030" s="31"/>
      <c r="AE1030" s="31"/>
    </row>
    <row r="1031" spans="30:31">
      <c r="AD1031" s="31"/>
      <c r="AE1031" s="31"/>
    </row>
    <row r="1032" spans="30:31">
      <c r="AD1032" s="31"/>
      <c r="AE1032" s="31"/>
    </row>
    <row r="1033" spans="30:31">
      <c r="AD1033" s="31"/>
      <c r="AE1033" s="31"/>
    </row>
    <row r="1034" spans="30:31">
      <c r="AD1034" s="31"/>
      <c r="AE1034" s="31"/>
    </row>
    <row r="1035" spans="30:31">
      <c r="AD1035" s="31"/>
      <c r="AE1035" s="31"/>
    </row>
    <row r="1036" spans="30:31">
      <c r="AD1036" s="31"/>
      <c r="AE1036" s="31"/>
    </row>
    <row r="1037" spans="30:31">
      <c r="AD1037" s="31"/>
      <c r="AE1037" s="31"/>
    </row>
    <row r="1038" spans="30:31">
      <c r="AD1038" s="31"/>
      <c r="AE1038" s="31"/>
    </row>
    <row r="1039" spans="30:31">
      <c r="AD1039" s="31"/>
      <c r="AE1039" s="31"/>
    </row>
    <row r="1040" spans="30:31">
      <c r="AD1040" s="31"/>
      <c r="AE1040" s="31"/>
    </row>
    <row r="1041" spans="30:31">
      <c r="AD1041" s="31"/>
      <c r="AE1041" s="31"/>
    </row>
    <row r="1042" spans="30:31">
      <c r="AD1042" s="31"/>
      <c r="AE1042" s="31"/>
    </row>
    <row r="1043" spans="30:31">
      <c r="AD1043" s="31"/>
      <c r="AE1043" s="31"/>
    </row>
    <row r="1044" spans="30:31">
      <c r="AD1044" s="31"/>
      <c r="AE1044" s="31"/>
    </row>
    <row r="1045" spans="30:31">
      <c r="AD1045" s="31"/>
      <c r="AE1045" s="31"/>
    </row>
    <row r="1046" spans="30:31">
      <c r="AD1046" s="31"/>
      <c r="AE1046" s="31"/>
    </row>
    <row r="1047" spans="30:31">
      <c r="AD1047" s="31"/>
      <c r="AE1047" s="31"/>
    </row>
    <row r="1048" spans="30:31">
      <c r="AD1048" s="31"/>
      <c r="AE1048" s="31"/>
    </row>
    <row r="1049" spans="30:31">
      <c r="AD1049" s="31"/>
      <c r="AE1049" s="31"/>
    </row>
    <row r="1050" spans="30:31">
      <c r="AD1050" s="31"/>
      <c r="AE1050" s="31"/>
    </row>
    <row r="1051" spans="30:31">
      <c r="AD1051" s="31"/>
      <c r="AE1051" s="31"/>
    </row>
    <row r="1052" spans="30:31">
      <c r="AD1052" s="31"/>
      <c r="AE1052" s="31"/>
    </row>
    <row r="1053" spans="30:31">
      <c r="AD1053" s="31"/>
      <c r="AE1053" s="31"/>
    </row>
    <row r="1054" spans="30:31">
      <c r="AD1054" s="31"/>
      <c r="AE1054" s="31"/>
    </row>
    <row r="1055" spans="30:31">
      <c r="AD1055" s="31"/>
      <c r="AE1055" s="31"/>
    </row>
    <row r="1056" spans="30:31">
      <c r="AD1056" s="31"/>
      <c r="AE1056" s="31"/>
    </row>
    <row r="1057" spans="30:31">
      <c r="AD1057" s="31"/>
      <c r="AE1057" s="31"/>
    </row>
    <row r="1058" spans="30:31">
      <c r="AD1058" s="31"/>
      <c r="AE1058" s="31"/>
    </row>
    <row r="1059" spans="30:31">
      <c r="AD1059" s="31"/>
      <c r="AE1059" s="31"/>
    </row>
    <row r="1060" spans="30:31">
      <c r="AD1060" s="31"/>
      <c r="AE1060" s="31"/>
    </row>
    <row r="1061" spans="30:31">
      <c r="AD1061" s="31"/>
      <c r="AE1061" s="31"/>
    </row>
    <row r="1062" spans="30:31">
      <c r="AD1062" s="31"/>
      <c r="AE1062" s="31"/>
    </row>
    <row r="1063" spans="30:31">
      <c r="AD1063" s="31"/>
      <c r="AE1063" s="31"/>
    </row>
    <row r="1064" spans="30:31">
      <c r="AD1064" s="31"/>
      <c r="AE1064" s="31"/>
    </row>
    <row r="1065" spans="30:31">
      <c r="AD1065" s="31"/>
      <c r="AE1065" s="31"/>
    </row>
    <row r="1066" spans="30:31">
      <c r="AD1066" s="31"/>
      <c r="AE1066" s="31"/>
    </row>
    <row r="1067" spans="30:31">
      <c r="AD1067" s="31"/>
      <c r="AE1067" s="31"/>
    </row>
    <row r="1068" spans="30:31">
      <c r="AD1068" s="31"/>
      <c r="AE1068" s="31"/>
    </row>
    <row r="1069" spans="30:31">
      <c r="AD1069" s="31"/>
      <c r="AE1069" s="31"/>
    </row>
    <row r="1070" spans="30:31">
      <c r="AD1070" s="31"/>
      <c r="AE1070" s="31"/>
    </row>
    <row r="1071" spans="30:31">
      <c r="AD1071" s="31"/>
      <c r="AE1071" s="31"/>
    </row>
    <row r="1072" spans="30:31">
      <c r="AD1072" s="31"/>
      <c r="AE1072" s="31"/>
    </row>
    <row r="1073" spans="30:31">
      <c r="AD1073" s="31"/>
      <c r="AE1073" s="31"/>
    </row>
    <row r="1074" spans="30:31">
      <c r="AD1074" s="31"/>
      <c r="AE1074" s="31"/>
    </row>
    <row r="1075" spans="30:31">
      <c r="AD1075" s="31"/>
      <c r="AE1075" s="31"/>
    </row>
    <row r="1076" spans="30:31">
      <c r="AD1076" s="31"/>
      <c r="AE1076" s="31"/>
    </row>
    <row r="1077" spans="30:31">
      <c r="AD1077" s="31"/>
      <c r="AE1077" s="31"/>
    </row>
    <row r="1078" spans="30:31">
      <c r="AD1078" s="31"/>
      <c r="AE1078" s="31"/>
    </row>
    <row r="1079" spans="30:31">
      <c r="AD1079" s="31"/>
      <c r="AE1079" s="31"/>
    </row>
    <row r="1080" spans="30:31">
      <c r="AD1080" s="31"/>
      <c r="AE1080" s="31"/>
    </row>
    <row r="1081" spans="30:31">
      <c r="AD1081" s="31"/>
      <c r="AE1081" s="31"/>
    </row>
    <row r="1082" spans="30:31">
      <c r="AD1082" s="31"/>
      <c r="AE1082" s="31"/>
    </row>
    <row r="1083" spans="30:31">
      <c r="AD1083" s="31"/>
      <c r="AE1083" s="31"/>
    </row>
    <row r="1084" spans="30:31">
      <c r="AD1084" s="31"/>
      <c r="AE1084" s="31"/>
    </row>
    <row r="1085" spans="30:31">
      <c r="AD1085" s="31"/>
      <c r="AE1085" s="31"/>
    </row>
    <row r="1086" spans="30:31">
      <c r="AD1086" s="31"/>
      <c r="AE1086" s="31"/>
    </row>
    <row r="1087" spans="30:31">
      <c r="AD1087" s="31"/>
      <c r="AE1087" s="31"/>
    </row>
    <row r="1088" spans="30:31">
      <c r="AD1088" s="31"/>
      <c r="AE1088" s="31"/>
    </row>
    <row r="1089" spans="30:31">
      <c r="AD1089" s="31"/>
      <c r="AE1089" s="31"/>
    </row>
    <row r="1090" spans="30:31">
      <c r="AD1090" s="31"/>
      <c r="AE1090" s="31"/>
    </row>
    <row r="1091" spans="30:31">
      <c r="AD1091" s="31"/>
      <c r="AE1091" s="31"/>
    </row>
    <row r="1092" spans="30:31">
      <c r="AD1092" s="31"/>
      <c r="AE1092" s="31"/>
    </row>
    <row r="1093" spans="30:31">
      <c r="AD1093" s="31"/>
      <c r="AE1093" s="31"/>
    </row>
    <row r="1094" spans="30:31">
      <c r="AD1094" s="31"/>
      <c r="AE1094" s="31"/>
    </row>
    <row r="1095" spans="30:31">
      <c r="AD1095" s="31"/>
      <c r="AE1095" s="31"/>
    </row>
    <row r="1096" spans="30:31">
      <c r="AD1096" s="31"/>
      <c r="AE1096" s="31"/>
    </row>
    <row r="1097" spans="30:31">
      <c r="AD1097" s="31"/>
      <c r="AE1097" s="31"/>
    </row>
    <row r="1098" spans="30:31">
      <c r="AD1098" s="31"/>
      <c r="AE1098" s="31"/>
    </row>
    <row r="1099" spans="30:31">
      <c r="AD1099" s="31"/>
      <c r="AE1099" s="31"/>
    </row>
    <row r="1100" spans="30:31">
      <c r="AD1100" s="31"/>
      <c r="AE1100" s="31"/>
    </row>
    <row r="1101" spans="30:31">
      <c r="AD1101" s="31"/>
      <c r="AE1101" s="31"/>
    </row>
    <row r="1102" spans="30:31">
      <c r="AD1102" s="31"/>
      <c r="AE1102" s="31"/>
    </row>
    <row r="1103" spans="30:31">
      <c r="AD1103" s="31"/>
      <c r="AE1103" s="31"/>
    </row>
    <row r="1104" spans="30:31">
      <c r="AD1104" s="31"/>
      <c r="AE1104" s="31"/>
    </row>
    <row r="1105" spans="30:31">
      <c r="AD1105" s="31"/>
      <c r="AE1105" s="31"/>
    </row>
    <row r="1106" spans="30:31">
      <c r="AD1106" s="31"/>
      <c r="AE1106" s="31"/>
    </row>
    <row r="1107" spans="30:31">
      <c r="AD1107" s="31"/>
      <c r="AE1107" s="31"/>
    </row>
    <row r="1108" spans="30:31">
      <c r="AD1108" s="31"/>
      <c r="AE1108" s="31"/>
    </row>
    <row r="1109" spans="30:31">
      <c r="AD1109" s="31"/>
      <c r="AE1109" s="31"/>
    </row>
    <row r="1110" spans="30:31">
      <c r="AD1110" s="31"/>
      <c r="AE1110" s="31"/>
    </row>
    <row r="1111" spans="30:31">
      <c r="AD1111" s="31"/>
      <c r="AE1111" s="31"/>
    </row>
    <row r="1112" spans="30:31">
      <c r="AD1112" s="31"/>
      <c r="AE1112" s="31"/>
    </row>
    <row r="1113" spans="30:31">
      <c r="AD1113" s="31"/>
      <c r="AE1113" s="31"/>
    </row>
    <row r="1114" spans="30:31">
      <c r="AD1114" s="31"/>
      <c r="AE1114" s="31"/>
    </row>
    <row r="1115" spans="30:31">
      <c r="AD1115" s="31"/>
      <c r="AE1115" s="31"/>
    </row>
    <row r="1116" spans="30:31">
      <c r="AD1116" s="31"/>
      <c r="AE1116" s="31"/>
    </row>
    <row r="1117" spans="30:31">
      <c r="AD1117" s="31"/>
      <c r="AE1117" s="31"/>
    </row>
    <row r="1118" spans="30:31">
      <c r="AD1118" s="31"/>
      <c r="AE1118" s="31"/>
    </row>
    <row r="1119" spans="30:31">
      <c r="AD1119" s="31"/>
      <c r="AE1119" s="31"/>
    </row>
    <row r="1120" spans="30:31">
      <c r="AD1120" s="31"/>
      <c r="AE1120" s="31"/>
    </row>
    <row r="1121" spans="30:31">
      <c r="AD1121" s="31"/>
      <c r="AE1121" s="31"/>
    </row>
    <row r="1122" spans="30:31">
      <c r="AD1122" s="31"/>
      <c r="AE1122" s="31"/>
    </row>
    <row r="1123" spans="30:31">
      <c r="AD1123" s="31"/>
      <c r="AE1123" s="31"/>
    </row>
    <row r="1124" spans="30:31">
      <c r="AD1124" s="31"/>
      <c r="AE1124" s="31"/>
    </row>
    <row r="1125" spans="30:31">
      <c r="AD1125" s="31"/>
      <c r="AE1125" s="31"/>
    </row>
    <row r="1126" spans="30:31">
      <c r="AD1126" s="31"/>
      <c r="AE1126" s="31"/>
    </row>
    <row r="1127" spans="30:31">
      <c r="AD1127" s="31"/>
      <c r="AE1127" s="31"/>
    </row>
    <row r="1128" spans="30:31">
      <c r="AD1128" s="31"/>
      <c r="AE1128" s="31"/>
    </row>
    <row r="1129" spans="30:31">
      <c r="AD1129" s="31"/>
      <c r="AE1129" s="31"/>
    </row>
    <row r="1130" spans="30:31">
      <c r="AD1130" s="31"/>
      <c r="AE1130" s="31"/>
    </row>
    <row r="1131" spans="30:31">
      <c r="AD1131" s="31"/>
      <c r="AE1131" s="31"/>
    </row>
    <row r="1132" spans="30:31">
      <c r="AD1132" s="31"/>
      <c r="AE1132" s="31"/>
    </row>
    <row r="1133" spans="30:31">
      <c r="AD1133" s="31"/>
      <c r="AE1133" s="31"/>
    </row>
    <row r="1134" spans="30:31">
      <c r="AD1134" s="31"/>
      <c r="AE1134" s="31"/>
    </row>
    <row r="1135" spans="30:31">
      <c r="AD1135" s="31"/>
      <c r="AE1135" s="31"/>
    </row>
    <row r="1136" spans="30:31">
      <c r="AD1136" s="31"/>
      <c r="AE1136" s="31"/>
    </row>
    <row r="1137" spans="30:31">
      <c r="AD1137" s="31"/>
      <c r="AE1137" s="31"/>
    </row>
    <row r="1138" spans="30:31">
      <c r="AD1138" s="31"/>
      <c r="AE1138" s="31"/>
    </row>
    <row r="1139" spans="30:31">
      <c r="AD1139" s="31"/>
      <c r="AE1139" s="31"/>
    </row>
    <row r="1140" spans="30:31">
      <c r="AD1140" s="31"/>
      <c r="AE1140" s="31"/>
    </row>
    <row r="1141" spans="30:31">
      <c r="AD1141" s="31"/>
      <c r="AE1141" s="31"/>
    </row>
    <row r="1142" spans="30:31">
      <c r="AD1142" s="31"/>
      <c r="AE1142" s="31"/>
    </row>
    <row r="1143" spans="30:31">
      <c r="AD1143" s="31"/>
      <c r="AE1143" s="31"/>
    </row>
    <row r="1144" spans="30:31">
      <c r="AD1144" s="31"/>
      <c r="AE1144" s="31"/>
    </row>
    <row r="1145" spans="30:31">
      <c r="AD1145" s="31"/>
      <c r="AE1145" s="31"/>
    </row>
    <row r="1146" spans="30:31">
      <c r="AD1146" s="31"/>
      <c r="AE1146" s="31"/>
    </row>
    <row r="1147" spans="30:31">
      <c r="AD1147" s="31"/>
      <c r="AE1147" s="31"/>
    </row>
    <row r="1148" spans="30:31">
      <c r="AD1148" s="31"/>
      <c r="AE1148" s="31"/>
    </row>
    <row r="1149" spans="30:31">
      <c r="AD1149" s="31"/>
      <c r="AE1149" s="31"/>
    </row>
    <row r="1150" spans="30:31">
      <c r="AD1150" s="31"/>
      <c r="AE1150" s="31"/>
    </row>
    <row r="1151" spans="30:31">
      <c r="AD1151" s="31"/>
      <c r="AE1151" s="31"/>
    </row>
    <row r="1152" spans="30:31">
      <c r="AD1152" s="31"/>
      <c r="AE1152" s="31"/>
    </row>
    <row r="1153" spans="30:31">
      <c r="AD1153" s="31"/>
      <c r="AE1153" s="31"/>
    </row>
    <row r="1154" spans="30:31">
      <c r="AD1154" s="31"/>
      <c r="AE1154" s="31"/>
    </row>
    <row r="1155" spans="30:31">
      <c r="AD1155" s="31"/>
      <c r="AE1155" s="31"/>
    </row>
    <row r="1156" spans="30:31">
      <c r="AD1156" s="31"/>
      <c r="AE1156" s="31"/>
    </row>
    <row r="1157" spans="30:31">
      <c r="AD1157" s="31"/>
      <c r="AE1157" s="31"/>
    </row>
    <row r="1158" spans="30:31">
      <c r="AD1158" s="31"/>
      <c r="AE1158" s="31"/>
    </row>
    <row r="1159" spans="30:31">
      <c r="AD1159" s="31"/>
      <c r="AE1159" s="31"/>
    </row>
    <row r="1160" spans="30:31">
      <c r="AD1160" s="31"/>
      <c r="AE1160" s="31"/>
    </row>
    <row r="1161" spans="30:31">
      <c r="AD1161" s="31"/>
      <c r="AE1161" s="31"/>
    </row>
    <row r="1162" spans="30:31">
      <c r="AD1162" s="31"/>
      <c r="AE1162" s="31"/>
    </row>
    <row r="1163" spans="30:31">
      <c r="AD1163" s="31"/>
      <c r="AE1163" s="31"/>
    </row>
    <row r="1164" spans="30:31">
      <c r="AD1164" s="31"/>
      <c r="AE1164" s="31"/>
    </row>
    <row r="1165" spans="30:31">
      <c r="AD1165" s="31"/>
      <c r="AE1165" s="31"/>
    </row>
    <row r="1166" spans="30:31">
      <c r="AD1166" s="31"/>
      <c r="AE1166" s="31"/>
    </row>
    <row r="1167" spans="30:31">
      <c r="AD1167" s="31"/>
      <c r="AE1167" s="31"/>
    </row>
    <row r="1168" spans="30:31">
      <c r="AD1168" s="31"/>
      <c r="AE1168" s="31"/>
    </row>
    <row r="1169" spans="30:31">
      <c r="AD1169" s="31"/>
      <c r="AE1169" s="31"/>
    </row>
    <row r="1170" spans="30:31">
      <c r="AD1170" s="31"/>
      <c r="AE1170" s="31"/>
    </row>
    <row r="1171" spans="30:31">
      <c r="AD1171" s="31"/>
      <c r="AE1171" s="31"/>
    </row>
    <row r="1172" spans="30:31">
      <c r="AD1172" s="31"/>
      <c r="AE1172" s="31"/>
    </row>
    <row r="1173" spans="30:31">
      <c r="AD1173" s="31"/>
      <c r="AE1173" s="31"/>
    </row>
    <row r="1174" spans="30:31">
      <c r="AD1174" s="31"/>
      <c r="AE1174" s="31"/>
    </row>
    <row r="1175" spans="30:31">
      <c r="AD1175" s="31"/>
      <c r="AE1175" s="31"/>
    </row>
    <row r="1176" spans="30:31">
      <c r="AD1176" s="31"/>
      <c r="AE1176" s="31"/>
    </row>
    <row r="1177" spans="30:31">
      <c r="AD1177" s="31"/>
      <c r="AE1177" s="31"/>
    </row>
    <row r="1178" spans="30:31">
      <c r="AD1178" s="31"/>
      <c r="AE1178" s="31"/>
    </row>
    <row r="1179" spans="30:31">
      <c r="AD1179" s="31"/>
      <c r="AE1179" s="31"/>
    </row>
    <row r="1180" spans="30:31">
      <c r="AD1180" s="31"/>
      <c r="AE1180" s="31"/>
    </row>
    <row r="1181" spans="30:31">
      <c r="AD1181" s="31"/>
      <c r="AE1181" s="31"/>
    </row>
    <row r="1182" spans="30:31">
      <c r="AD1182" s="31"/>
      <c r="AE1182" s="31"/>
    </row>
    <row r="1183" spans="30:31">
      <c r="AD1183" s="31"/>
      <c r="AE1183" s="31"/>
    </row>
    <row r="1184" spans="30:31">
      <c r="AD1184" s="31"/>
      <c r="AE1184" s="31"/>
    </row>
    <row r="1185" spans="30:31">
      <c r="AD1185" s="31"/>
      <c r="AE1185" s="31"/>
    </row>
    <row r="1186" spans="30:31">
      <c r="AD1186" s="31"/>
      <c r="AE1186" s="31"/>
    </row>
    <row r="1187" spans="30:31">
      <c r="AD1187" s="31"/>
      <c r="AE1187" s="31"/>
    </row>
    <row r="1188" spans="30:31">
      <c r="AD1188" s="31"/>
      <c r="AE1188" s="31"/>
    </row>
    <row r="1189" spans="30:31">
      <c r="AD1189" s="31"/>
      <c r="AE1189" s="31"/>
    </row>
    <row r="1190" spans="30:31">
      <c r="AD1190" s="31"/>
      <c r="AE1190" s="31"/>
    </row>
    <row r="1191" spans="30:31">
      <c r="AD1191" s="31"/>
      <c r="AE1191" s="31"/>
    </row>
    <row r="1192" spans="30:31">
      <c r="AD1192" s="31"/>
      <c r="AE1192" s="31"/>
    </row>
    <row r="1193" spans="30:31">
      <c r="AD1193" s="31"/>
      <c r="AE1193" s="31"/>
    </row>
    <row r="1194" spans="30:31">
      <c r="AD1194" s="31"/>
      <c r="AE1194" s="31"/>
    </row>
    <row r="1195" spans="30:31">
      <c r="AD1195" s="31"/>
      <c r="AE1195" s="31"/>
    </row>
    <row r="1196" spans="30:31">
      <c r="AD1196" s="31"/>
      <c r="AE1196" s="31"/>
    </row>
    <row r="1197" spans="30:31">
      <c r="AD1197" s="31"/>
      <c r="AE1197" s="31"/>
    </row>
    <row r="1198" spans="30:31">
      <c r="AD1198" s="31"/>
      <c r="AE1198" s="31"/>
    </row>
    <row r="1199" spans="30:31">
      <c r="AD1199" s="31"/>
      <c r="AE1199" s="31"/>
    </row>
    <row r="1200" spans="30:31">
      <c r="AD1200" s="31"/>
      <c r="AE1200" s="31"/>
    </row>
    <row r="1201" spans="30:31">
      <c r="AD1201" s="31"/>
      <c r="AE1201" s="31"/>
    </row>
    <row r="1202" spans="30:31">
      <c r="AD1202" s="31"/>
      <c r="AE1202" s="31"/>
    </row>
    <row r="1203" spans="30:31">
      <c r="AD1203" s="31"/>
      <c r="AE1203" s="31"/>
    </row>
    <row r="1204" spans="30:31">
      <c r="AD1204" s="31"/>
      <c r="AE1204" s="31"/>
    </row>
    <row r="1205" spans="30:31">
      <c r="AD1205" s="31"/>
      <c r="AE1205" s="31"/>
    </row>
    <row r="1206" spans="30:31">
      <c r="AD1206" s="31"/>
      <c r="AE1206" s="31"/>
    </row>
    <row r="1207" spans="30:31">
      <c r="AD1207" s="31"/>
      <c r="AE1207" s="31"/>
    </row>
    <row r="1208" spans="30:31">
      <c r="AD1208" s="31"/>
      <c r="AE1208" s="31"/>
    </row>
    <row r="1209" spans="30:31">
      <c r="AD1209" s="31"/>
      <c r="AE1209" s="31"/>
    </row>
    <row r="1210" spans="30:31">
      <c r="AD1210" s="31"/>
      <c r="AE1210" s="31"/>
    </row>
    <row r="1211" spans="30:31">
      <c r="AD1211" s="31"/>
      <c r="AE1211" s="31"/>
    </row>
    <row r="1212" spans="30:31">
      <c r="AD1212" s="31"/>
      <c r="AE1212" s="31"/>
    </row>
    <row r="1213" spans="30:31">
      <c r="AD1213" s="31"/>
      <c r="AE1213" s="31"/>
    </row>
    <row r="1214" spans="30:31">
      <c r="AD1214" s="31"/>
      <c r="AE1214" s="31"/>
    </row>
    <row r="1215" spans="30:31">
      <c r="AD1215" s="31"/>
      <c r="AE1215" s="31"/>
    </row>
    <row r="1216" spans="30:31">
      <c r="AD1216" s="31"/>
      <c r="AE1216" s="31"/>
    </row>
    <row r="1217" spans="30:31">
      <c r="AD1217" s="31"/>
      <c r="AE1217" s="31"/>
    </row>
    <row r="1218" spans="30:31">
      <c r="AD1218" s="31"/>
      <c r="AE1218" s="31"/>
    </row>
    <row r="1219" spans="30:31">
      <c r="AD1219" s="31"/>
      <c r="AE1219" s="31"/>
    </row>
    <row r="1220" spans="30:31">
      <c r="AD1220" s="31"/>
      <c r="AE1220" s="31"/>
    </row>
    <row r="1221" spans="30:31">
      <c r="AD1221" s="31"/>
      <c r="AE1221" s="31"/>
    </row>
    <row r="1222" spans="30:31">
      <c r="AD1222" s="31"/>
      <c r="AE1222" s="31"/>
    </row>
    <row r="1223" spans="30:31">
      <c r="AD1223" s="31"/>
      <c r="AE1223" s="31"/>
    </row>
    <row r="1224" spans="30:31">
      <c r="AD1224" s="31"/>
      <c r="AE1224" s="31"/>
    </row>
    <row r="1225" spans="30:31">
      <c r="AD1225" s="31"/>
      <c r="AE1225" s="31"/>
    </row>
    <row r="1226" spans="30:31">
      <c r="AD1226" s="31"/>
      <c r="AE1226" s="31"/>
    </row>
    <row r="1227" spans="30:31">
      <c r="AD1227" s="31"/>
      <c r="AE1227" s="31"/>
    </row>
    <row r="1228" spans="30:31">
      <c r="AD1228" s="31"/>
      <c r="AE1228" s="31"/>
    </row>
    <row r="1229" spans="30:31">
      <c r="AD1229" s="31"/>
      <c r="AE1229" s="31"/>
    </row>
    <row r="1230" spans="30:31">
      <c r="AD1230" s="31"/>
      <c r="AE1230" s="31"/>
    </row>
    <row r="1231" spans="30:31">
      <c r="AD1231" s="31"/>
      <c r="AE1231" s="31"/>
    </row>
    <row r="1232" spans="30:31">
      <c r="AD1232" s="31"/>
      <c r="AE1232" s="31"/>
    </row>
    <row r="1233" spans="30:31">
      <c r="AD1233" s="31"/>
      <c r="AE1233" s="31"/>
    </row>
    <row r="1234" spans="30:31">
      <c r="AD1234" s="31"/>
      <c r="AE1234" s="31"/>
    </row>
    <row r="1235" spans="30:31">
      <c r="AD1235" s="31"/>
      <c r="AE1235" s="31"/>
    </row>
    <row r="1236" spans="30:31">
      <c r="AD1236" s="31"/>
      <c r="AE1236" s="31"/>
    </row>
    <row r="1237" spans="30:31">
      <c r="AD1237" s="31"/>
      <c r="AE1237" s="31"/>
    </row>
    <row r="1238" spans="30:31">
      <c r="AD1238" s="31"/>
      <c r="AE1238" s="31"/>
    </row>
    <row r="1239" spans="30:31">
      <c r="AD1239" s="31"/>
      <c r="AE1239" s="31"/>
    </row>
    <row r="1240" spans="30:31">
      <c r="AD1240" s="31"/>
      <c r="AE1240" s="31"/>
    </row>
    <row r="1241" spans="30:31">
      <c r="AD1241" s="31"/>
      <c r="AE1241" s="31"/>
    </row>
    <row r="1242" spans="30:31">
      <c r="AD1242" s="31"/>
      <c r="AE1242" s="31"/>
    </row>
    <row r="1243" spans="30:31">
      <c r="AD1243" s="31"/>
      <c r="AE1243" s="31"/>
    </row>
    <row r="1244" spans="30:31">
      <c r="AD1244" s="31"/>
      <c r="AE1244" s="31"/>
    </row>
    <row r="1245" spans="30:31">
      <c r="AD1245" s="31"/>
      <c r="AE1245" s="31"/>
    </row>
    <row r="1246" spans="30:31">
      <c r="AD1246" s="31"/>
      <c r="AE1246" s="31"/>
    </row>
    <row r="1247" spans="30:31">
      <c r="AD1247" s="31"/>
      <c r="AE1247" s="31"/>
    </row>
    <row r="1248" spans="30:31">
      <c r="AD1248" s="31"/>
      <c r="AE1248" s="31"/>
    </row>
    <row r="1249" spans="30:31">
      <c r="AD1249" s="31"/>
      <c r="AE1249" s="31"/>
    </row>
    <row r="1250" spans="30:31">
      <c r="AD1250" s="31"/>
      <c r="AE1250" s="31"/>
    </row>
    <row r="1251" spans="30:31">
      <c r="AD1251" s="31"/>
      <c r="AE1251" s="31"/>
    </row>
    <row r="1252" spans="30:31">
      <c r="AD1252" s="31"/>
      <c r="AE1252" s="31"/>
    </row>
    <row r="1253" spans="30:31">
      <c r="AD1253" s="31"/>
      <c r="AE1253" s="31"/>
    </row>
    <row r="1254" spans="30:31">
      <c r="AD1254" s="31"/>
      <c r="AE1254" s="31"/>
    </row>
    <row r="1255" spans="30:31">
      <c r="AD1255" s="31"/>
      <c r="AE1255" s="31"/>
    </row>
    <row r="1256" spans="30:31">
      <c r="AD1256" s="31"/>
      <c r="AE1256" s="31"/>
    </row>
    <row r="1257" spans="30:31">
      <c r="AD1257" s="31"/>
      <c r="AE1257" s="31"/>
    </row>
    <row r="1258" spans="30:31">
      <c r="AD1258" s="31"/>
      <c r="AE1258" s="31"/>
    </row>
    <row r="1259" spans="30:31">
      <c r="AD1259" s="31"/>
      <c r="AE1259" s="31"/>
    </row>
    <row r="1260" spans="30:31">
      <c r="AD1260" s="31"/>
      <c r="AE1260" s="31"/>
    </row>
    <row r="1261" spans="30:31">
      <c r="AD1261" s="31"/>
      <c r="AE1261" s="31"/>
    </row>
    <row r="1262" spans="30:31">
      <c r="AD1262" s="31"/>
      <c r="AE1262" s="31"/>
    </row>
    <row r="1263" spans="30:31">
      <c r="AD1263" s="31"/>
      <c r="AE1263" s="31"/>
    </row>
    <row r="1264" spans="30:31">
      <c r="AD1264" s="31"/>
      <c r="AE1264" s="31"/>
    </row>
    <row r="1265" spans="30:31">
      <c r="AD1265" s="31"/>
      <c r="AE1265" s="31"/>
    </row>
    <row r="1266" spans="30:31">
      <c r="AD1266" s="31"/>
      <c r="AE1266" s="31"/>
    </row>
    <row r="1267" spans="30:31">
      <c r="AD1267" s="31"/>
      <c r="AE1267" s="31"/>
    </row>
    <row r="1268" spans="30:31">
      <c r="AD1268" s="31"/>
      <c r="AE1268" s="31"/>
    </row>
    <row r="1269" spans="30:31">
      <c r="AD1269" s="31"/>
      <c r="AE1269" s="31"/>
    </row>
    <row r="1270" spans="30:31">
      <c r="AD1270" s="31"/>
      <c r="AE1270" s="31"/>
    </row>
    <row r="1271" spans="30:31">
      <c r="AD1271" s="31"/>
      <c r="AE1271" s="31"/>
    </row>
    <row r="1272" spans="30:31">
      <c r="AD1272" s="31"/>
      <c r="AE1272" s="31"/>
    </row>
    <row r="1273" spans="30:31">
      <c r="AD1273" s="31"/>
      <c r="AE1273" s="31"/>
    </row>
    <row r="1274" spans="30:31">
      <c r="AD1274" s="31"/>
      <c r="AE1274" s="31"/>
    </row>
    <row r="1275" spans="30:31">
      <c r="AD1275" s="31"/>
      <c r="AE1275" s="31"/>
    </row>
    <row r="1276" spans="30:31">
      <c r="AD1276" s="31"/>
      <c r="AE1276" s="31"/>
    </row>
    <row r="1277" spans="30:31">
      <c r="AD1277" s="31"/>
      <c r="AE1277" s="31"/>
    </row>
    <row r="1278" spans="30:31">
      <c r="AD1278" s="31"/>
      <c r="AE1278" s="31"/>
    </row>
    <row r="1279" spans="30:31">
      <c r="AD1279" s="31"/>
      <c r="AE1279" s="31"/>
    </row>
    <row r="1280" spans="30:31">
      <c r="AD1280" s="31"/>
      <c r="AE1280" s="31"/>
    </row>
    <row r="1281" spans="30:31">
      <c r="AD1281" s="31"/>
      <c r="AE1281" s="31"/>
    </row>
    <row r="1282" spans="30:31">
      <c r="AD1282" s="31"/>
      <c r="AE1282" s="31"/>
    </row>
    <row r="1283" spans="30:31">
      <c r="AD1283" s="31"/>
      <c r="AE1283" s="31"/>
    </row>
    <row r="1284" spans="30:31">
      <c r="AD1284" s="31"/>
      <c r="AE1284" s="31"/>
    </row>
    <row r="1285" spans="30:31">
      <c r="AD1285" s="31"/>
      <c r="AE1285" s="31"/>
    </row>
    <row r="1286" spans="30:31">
      <c r="AD1286" s="31"/>
      <c r="AE1286" s="31"/>
    </row>
    <row r="1287" spans="30:31">
      <c r="AD1287" s="31"/>
      <c r="AE1287" s="31"/>
    </row>
    <row r="1288" spans="30:31">
      <c r="AD1288" s="31"/>
      <c r="AE1288" s="31"/>
    </row>
    <row r="1289" spans="30:31">
      <c r="AD1289" s="31"/>
      <c r="AE1289" s="31"/>
    </row>
    <row r="1290" spans="30:31">
      <c r="AD1290" s="31"/>
      <c r="AE1290" s="31"/>
    </row>
    <row r="1291" spans="30:31">
      <c r="AD1291" s="31"/>
      <c r="AE1291" s="31"/>
    </row>
    <row r="1292" spans="30:31">
      <c r="AD1292" s="31"/>
      <c r="AE1292" s="31"/>
    </row>
    <row r="1293" spans="30:31">
      <c r="AD1293" s="31"/>
      <c r="AE1293" s="31"/>
    </row>
    <row r="1294" spans="30:31">
      <c r="AD1294" s="31"/>
      <c r="AE1294" s="31"/>
    </row>
    <row r="1295" spans="30:31">
      <c r="AD1295" s="31"/>
      <c r="AE1295" s="31"/>
    </row>
    <row r="1296" spans="30:31">
      <c r="AD1296" s="31"/>
      <c r="AE1296" s="31"/>
    </row>
    <row r="1297" spans="30:31">
      <c r="AD1297" s="31"/>
      <c r="AE1297" s="31"/>
    </row>
    <row r="1298" spans="30:31">
      <c r="AD1298" s="31"/>
      <c r="AE1298" s="31"/>
    </row>
    <row r="1299" spans="30:31">
      <c r="AD1299" s="31"/>
      <c r="AE1299" s="31"/>
    </row>
    <row r="1300" spans="30:31">
      <c r="AD1300" s="31"/>
      <c r="AE1300" s="31"/>
    </row>
    <row r="1301" spans="30:31">
      <c r="AD1301" s="31"/>
      <c r="AE1301" s="31"/>
    </row>
    <row r="1302" spans="30:31">
      <c r="AD1302" s="31"/>
      <c r="AE1302" s="31"/>
    </row>
    <row r="1303" spans="30:31">
      <c r="AD1303" s="31"/>
      <c r="AE1303" s="31"/>
    </row>
    <row r="1304" spans="30:31">
      <c r="AD1304" s="31"/>
      <c r="AE1304" s="31"/>
    </row>
    <row r="1305" spans="30:31">
      <c r="AD1305" s="31"/>
      <c r="AE1305" s="31"/>
    </row>
    <row r="1306" spans="30:31">
      <c r="AD1306" s="31"/>
      <c r="AE1306" s="31"/>
    </row>
    <row r="1307" spans="30:31">
      <c r="AD1307" s="31"/>
      <c r="AE1307" s="31"/>
    </row>
    <row r="1308" spans="30:31">
      <c r="AD1308" s="31"/>
      <c r="AE1308" s="31"/>
    </row>
    <row r="1309" spans="30:31">
      <c r="AD1309" s="31"/>
      <c r="AE1309" s="31"/>
    </row>
    <row r="1310" spans="30:31">
      <c r="AD1310" s="31"/>
      <c r="AE1310" s="31"/>
    </row>
    <row r="1311" spans="30:31">
      <c r="AD1311" s="31"/>
      <c r="AE1311" s="31"/>
    </row>
    <row r="1312" spans="30:31">
      <c r="AD1312" s="31"/>
      <c r="AE1312" s="31"/>
    </row>
    <row r="1313" spans="30:31">
      <c r="AD1313" s="31"/>
      <c r="AE1313" s="31"/>
    </row>
    <row r="1314" spans="30:31">
      <c r="AD1314" s="31"/>
      <c r="AE1314" s="31"/>
    </row>
    <row r="1315" spans="30:31">
      <c r="AD1315" s="31"/>
      <c r="AE1315" s="31"/>
    </row>
    <row r="1316" spans="30:31">
      <c r="AD1316" s="31"/>
      <c r="AE1316" s="31"/>
    </row>
    <row r="1317" spans="30:31">
      <c r="AD1317" s="31"/>
      <c r="AE1317" s="31"/>
    </row>
    <row r="1318" spans="30:31">
      <c r="AD1318" s="31"/>
      <c r="AE1318" s="31"/>
    </row>
    <row r="1319" spans="30:31">
      <c r="AD1319" s="31"/>
      <c r="AE1319" s="31"/>
    </row>
    <row r="1320" spans="30:31">
      <c r="AD1320" s="31"/>
      <c r="AE1320" s="31"/>
    </row>
    <row r="1321" spans="30:31">
      <c r="AD1321" s="31"/>
      <c r="AE1321" s="31"/>
    </row>
    <row r="1322" spans="30:31">
      <c r="AD1322" s="31"/>
      <c r="AE1322" s="31"/>
    </row>
    <row r="1323" spans="30:31">
      <c r="AD1323" s="31"/>
      <c r="AE1323" s="31"/>
    </row>
    <row r="1324" spans="30:31">
      <c r="AD1324" s="31"/>
      <c r="AE1324" s="31"/>
    </row>
    <row r="1325" spans="30:31">
      <c r="AD1325" s="31"/>
      <c r="AE1325" s="31"/>
    </row>
    <row r="1326" spans="30:31">
      <c r="AD1326" s="31"/>
      <c r="AE1326" s="31"/>
    </row>
    <row r="1327" spans="30:31">
      <c r="AD1327" s="31"/>
      <c r="AE1327" s="31"/>
    </row>
    <row r="1328" spans="30:31">
      <c r="AD1328" s="31"/>
      <c r="AE1328" s="31"/>
    </row>
    <row r="1329" spans="30:31">
      <c r="AD1329" s="31"/>
      <c r="AE1329" s="31"/>
    </row>
    <row r="1330" spans="30:31">
      <c r="AD1330" s="31"/>
      <c r="AE1330" s="31"/>
    </row>
    <row r="1331" spans="30:31">
      <c r="AD1331" s="31"/>
      <c r="AE1331" s="31"/>
    </row>
    <row r="1332" spans="30:31">
      <c r="AD1332" s="31"/>
      <c r="AE1332" s="31"/>
    </row>
    <row r="1333" spans="30:31">
      <c r="AD1333" s="31"/>
      <c r="AE1333" s="31"/>
    </row>
    <row r="1334" spans="30:31">
      <c r="AD1334" s="31"/>
      <c r="AE1334" s="31"/>
    </row>
    <row r="1335" spans="30:31">
      <c r="AD1335" s="31"/>
      <c r="AE1335" s="31"/>
    </row>
    <row r="1336" spans="30:31">
      <c r="AD1336" s="31"/>
      <c r="AE1336" s="31"/>
    </row>
    <row r="1337" spans="30:31">
      <c r="AD1337" s="31"/>
      <c r="AE1337" s="31"/>
    </row>
    <row r="1338" spans="30:31">
      <c r="AD1338" s="31"/>
      <c r="AE1338" s="31"/>
    </row>
    <row r="1339" spans="30:31">
      <c r="AD1339" s="31"/>
      <c r="AE1339" s="31"/>
    </row>
    <row r="1340" spans="30:31">
      <c r="AD1340" s="31"/>
      <c r="AE1340" s="31"/>
    </row>
    <row r="1341" spans="30:31">
      <c r="AD1341" s="31"/>
      <c r="AE1341" s="31"/>
    </row>
    <row r="1342" spans="30:31">
      <c r="AD1342" s="31"/>
      <c r="AE1342" s="31"/>
    </row>
    <row r="1343" spans="30:31">
      <c r="AD1343" s="31"/>
      <c r="AE1343" s="31"/>
    </row>
    <row r="1344" spans="30:31">
      <c r="AD1344" s="31"/>
      <c r="AE1344" s="31"/>
    </row>
    <row r="1345" spans="30:31">
      <c r="AD1345" s="31"/>
      <c r="AE1345" s="31"/>
    </row>
    <row r="1346" spans="30:31">
      <c r="AD1346" s="31"/>
      <c r="AE1346" s="31"/>
    </row>
    <row r="1347" spans="30:31">
      <c r="AD1347" s="31"/>
      <c r="AE1347" s="31"/>
    </row>
    <row r="1348" spans="30:31">
      <c r="AD1348" s="31"/>
      <c r="AE1348" s="31"/>
    </row>
    <row r="1349" spans="30:31">
      <c r="AD1349" s="31"/>
      <c r="AE1349" s="31"/>
    </row>
    <row r="1350" spans="30:31">
      <c r="AD1350" s="31"/>
      <c r="AE1350" s="31"/>
    </row>
    <row r="1351" spans="30:31">
      <c r="AD1351" s="31"/>
      <c r="AE1351" s="31"/>
    </row>
    <row r="1352" spans="30:31">
      <c r="AD1352" s="31"/>
      <c r="AE1352" s="31"/>
    </row>
    <row r="1353" spans="30:31">
      <c r="AD1353" s="31"/>
      <c r="AE1353" s="31"/>
    </row>
    <row r="1354" spans="30:31">
      <c r="AD1354" s="31"/>
      <c r="AE1354" s="31"/>
    </row>
    <row r="1355" spans="30:31">
      <c r="AD1355" s="31"/>
      <c r="AE1355" s="31"/>
    </row>
    <row r="1356" spans="30:31">
      <c r="AD1356" s="31"/>
      <c r="AE1356" s="31"/>
    </row>
    <row r="1357" spans="30:31">
      <c r="AD1357" s="31"/>
      <c r="AE1357" s="31"/>
    </row>
    <row r="1358" spans="30:31">
      <c r="AD1358" s="31"/>
      <c r="AE1358" s="31"/>
    </row>
    <row r="1359" spans="30:31">
      <c r="AD1359" s="31"/>
      <c r="AE1359" s="31"/>
    </row>
    <row r="1360" spans="30:31">
      <c r="AD1360" s="31"/>
      <c r="AE1360" s="31"/>
    </row>
    <row r="1361" spans="30:31">
      <c r="AD1361" s="31"/>
      <c r="AE1361" s="31"/>
    </row>
    <row r="1362" spans="30:31">
      <c r="AD1362" s="31"/>
      <c r="AE1362" s="31"/>
    </row>
    <row r="1363" spans="30:31">
      <c r="AD1363" s="31"/>
      <c r="AE1363" s="31"/>
    </row>
    <row r="1364" spans="30:31">
      <c r="AD1364" s="31"/>
      <c r="AE1364" s="31"/>
    </row>
    <row r="1365" spans="30:31">
      <c r="AD1365" s="31"/>
      <c r="AE1365" s="31"/>
    </row>
    <row r="1366" spans="30:31">
      <c r="AD1366" s="31"/>
      <c r="AE1366" s="31"/>
    </row>
    <row r="1367" spans="30:31">
      <c r="AD1367" s="31"/>
      <c r="AE1367" s="31"/>
    </row>
    <row r="1368" spans="30:31">
      <c r="AD1368" s="31"/>
      <c r="AE1368" s="31"/>
    </row>
    <row r="1369" spans="30:31">
      <c r="AD1369" s="31"/>
      <c r="AE1369" s="31"/>
    </row>
    <row r="1370" spans="30:31">
      <c r="AD1370" s="31"/>
      <c r="AE1370" s="31"/>
    </row>
    <row r="1371" spans="30:31">
      <c r="AD1371" s="31"/>
      <c r="AE1371" s="31"/>
    </row>
    <row r="1372" spans="30:31">
      <c r="AD1372" s="31"/>
      <c r="AE1372" s="31"/>
    </row>
    <row r="1373" spans="30:31">
      <c r="AD1373" s="31"/>
      <c r="AE1373" s="31"/>
    </row>
    <row r="1374" spans="30:31">
      <c r="AD1374" s="31"/>
      <c r="AE1374" s="31"/>
    </row>
    <row r="1375" spans="30:31">
      <c r="AD1375" s="31"/>
      <c r="AE1375" s="31"/>
    </row>
    <row r="1376" spans="30:31">
      <c r="AD1376" s="31"/>
      <c r="AE1376" s="31"/>
    </row>
    <row r="1377" spans="30:31">
      <c r="AD1377" s="31"/>
      <c r="AE1377" s="31"/>
    </row>
    <row r="1378" spans="30:31">
      <c r="AD1378" s="31"/>
      <c r="AE1378" s="31"/>
    </row>
    <row r="1379" spans="30:31">
      <c r="AD1379" s="31"/>
      <c r="AE1379" s="31"/>
    </row>
    <row r="1380" spans="30:31">
      <c r="AD1380" s="31"/>
      <c r="AE1380" s="31"/>
    </row>
    <row r="1381" spans="30:31">
      <c r="AD1381" s="31"/>
      <c r="AE1381" s="31"/>
    </row>
    <row r="1382" spans="30:31">
      <c r="AD1382" s="31"/>
      <c r="AE1382" s="31"/>
    </row>
    <row r="1383" spans="30:31">
      <c r="AD1383" s="31"/>
      <c r="AE1383" s="31"/>
    </row>
    <row r="1384" spans="30:31">
      <c r="AD1384" s="31"/>
      <c r="AE1384" s="31"/>
    </row>
    <row r="1385" spans="30:31">
      <c r="AD1385" s="31"/>
      <c r="AE1385" s="31"/>
    </row>
    <row r="1386" spans="30:31">
      <c r="AD1386" s="31"/>
      <c r="AE1386" s="31"/>
    </row>
    <row r="1387" spans="30:31">
      <c r="AD1387" s="31"/>
      <c r="AE1387" s="31"/>
    </row>
    <row r="1388" spans="30:31">
      <c r="AD1388" s="31"/>
      <c r="AE1388" s="31"/>
    </row>
    <row r="1389" spans="30:31">
      <c r="AD1389" s="31"/>
      <c r="AE1389" s="31"/>
    </row>
    <row r="1390" spans="30:31">
      <c r="AD1390" s="31"/>
      <c r="AE1390" s="31"/>
    </row>
    <row r="1391" spans="30:31">
      <c r="AD1391" s="31"/>
      <c r="AE1391" s="31"/>
    </row>
    <row r="1392" spans="30:31">
      <c r="AD1392" s="31"/>
      <c r="AE1392" s="31"/>
    </row>
    <row r="1393" spans="30:31">
      <c r="AD1393" s="31"/>
      <c r="AE1393" s="31"/>
    </row>
    <row r="1394" spans="30:31">
      <c r="AD1394" s="31"/>
      <c r="AE1394" s="31"/>
    </row>
    <row r="1395" spans="30:31">
      <c r="AD1395" s="31"/>
      <c r="AE1395" s="31"/>
    </row>
    <row r="1396" spans="30:31">
      <c r="AD1396" s="31"/>
      <c r="AE1396" s="31"/>
    </row>
    <row r="1397" spans="30:31">
      <c r="AD1397" s="31"/>
      <c r="AE1397" s="31"/>
    </row>
    <row r="1398" spans="30:31">
      <c r="AD1398" s="31"/>
      <c r="AE1398" s="31"/>
    </row>
    <row r="1399" spans="30:31">
      <c r="AD1399" s="31"/>
      <c r="AE1399" s="31"/>
    </row>
    <row r="1400" spans="30:31">
      <c r="AD1400" s="31"/>
      <c r="AE1400" s="31"/>
    </row>
    <row r="1401" spans="30:31">
      <c r="AD1401" s="31"/>
      <c r="AE1401" s="31"/>
    </row>
    <row r="1402" spans="30:31">
      <c r="AD1402" s="31"/>
      <c r="AE1402" s="31"/>
    </row>
    <row r="1403" spans="30:31">
      <c r="AD1403" s="31"/>
      <c r="AE1403" s="31"/>
    </row>
    <row r="1404" spans="30:31">
      <c r="AD1404" s="31"/>
      <c r="AE1404" s="31"/>
    </row>
    <row r="1405" spans="30:31">
      <c r="AD1405" s="31"/>
      <c r="AE1405" s="31"/>
    </row>
    <row r="1406" spans="30:31">
      <c r="AD1406" s="31"/>
      <c r="AE1406" s="31"/>
    </row>
    <row r="1407" spans="30:31">
      <c r="AD1407" s="31"/>
      <c r="AE1407" s="31"/>
    </row>
    <row r="1408" spans="30:31">
      <c r="AD1408" s="31"/>
      <c r="AE1408" s="31"/>
    </row>
    <row r="1409" spans="30:31">
      <c r="AD1409" s="31"/>
      <c r="AE1409" s="31"/>
    </row>
    <row r="1410" spans="30:31">
      <c r="AD1410" s="31"/>
      <c r="AE1410" s="31"/>
    </row>
    <row r="1411" spans="30:31">
      <c r="AD1411" s="31"/>
      <c r="AE1411" s="31"/>
    </row>
    <row r="1412" spans="30:31">
      <c r="AD1412" s="31"/>
      <c r="AE1412" s="31"/>
    </row>
    <row r="1413" spans="30:31">
      <c r="AD1413" s="31"/>
      <c r="AE1413" s="31"/>
    </row>
    <row r="1414" spans="30:31">
      <c r="AD1414" s="31"/>
      <c r="AE1414" s="31"/>
    </row>
    <row r="1415" spans="30:31">
      <c r="AD1415" s="31"/>
      <c r="AE1415" s="31"/>
    </row>
    <row r="1416" spans="30:31">
      <c r="AD1416" s="31"/>
      <c r="AE1416" s="31"/>
    </row>
    <row r="1417" spans="30:31">
      <c r="AD1417" s="31"/>
      <c r="AE1417" s="31"/>
    </row>
    <row r="1418" spans="30:31">
      <c r="AD1418" s="31"/>
      <c r="AE1418" s="31"/>
    </row>
    <row r="1419" spans="30:31">
      <c r="AD1419" s="31"/>
      <c r="AE1419" s="31"/>
    </row>
    <row r="1420" spans="30:31">
      <c r="AD1420" s="31"/>
      <c r="AE1420" s="31"/>
    </row>
    <row r="1421" spans="30:31">
      <c r="AD1421" s="31"/>
      <c r="AE1421" s="31"/>
    </row>
    <row r="1422" spans="30:31">
      <c r="AD1422" s="31"/>
      <c r="AE1422" s="31"/>
    </row>
    <row r="1423" spans="30:31">
      <c r="AD1423" s="31"/>
      <c r="AE1423" s="31"/>
    </row>
    <row r="1424" spans="30:31">
      <c r="AD1424" s="31"/>
      <c r="AE1424" s="31"/>
    </row>
    <row r="1425" spans="30:31">
      <c r="AD1425" s="31"/>
      <c r="AE1425" s="31"/>
    </row>
    <row r="1426" spans="30:31">
      <c r="AD1426" s="31"/>
      <c r="AE1426" s="31"/>
    </row>
    <row r="1427" spans="30:31">
      <c r="AD1427" s="31"/>
      <c r="AE1427" s="31"/>
    </row>
    <row r="1428" spans="30:31">
      <c r="AD1428" s="31"/>
      <c r="AE1428" s="31"/>
    </row>
    <row r="1429" spans="30:31">
      <c r="AD1429" s="31"/>
      <c r="AE1429" s="31"/>
    </row>
    <row r="1430" spans="30:31">
      <c r="AD1430" s="31"/>
      <c r="AE1430" s="31"/>
    </row>
    <row r="1431" spans="30:31">
      <c r="AD1431" s="31"/>
      <c r="AE1431" s="31"/>
    </row>
    <row r="1432" spans="30:31">
      <c r="AD1432" s="31"/>
      <c r="AE1432" s="31"/>
    </row>
    <row r="1433" spans="30:31">
      <c r="AD1433" s="31"/>
      <c r="AE1433" s="31"/>
    </row>
    <row r="1434" spans="30:31">
      <c r="AD1434" s="31"/>
      <c r="AE1434" s="31"/>
    </row>
    <row r="1435" spans="30:31">
      <c r="AD1435" s="31"/>
      <c r="AE1435" s="31"/>
    </row>
    <row r="1436" spans="30:31">
      <c r="AD1436" s="31"/>
      <c r="AE1436" s="31"/>
    </row>
    <row r="1437" spans="30:31">
      <c r="AD1437" s="31"/>
      <c r="AE1437" s="31"/>
    </row>
    <row r="1438" spans="30:31">
      <c r="AD1438" s="31"/>
      <c r="AE1438" s="31"/>
    </row>
    <row r="1439" spans="30:31">
      <c r="AD1439" s="31"/>
      <c r="AE1439" s="31"/>
    </row>
    <row r="1440" spans="30:31">
      <c r="AD1440" s="31"/>
      <c r="AE1440" s="31"/>
    </row>
    <row r="1441" spans="30:31">
      <c r="AD1441" s="31"/>
      <c r="AE1441" s="31"/>
    </row>
    <row r="1442" spans="30:31">
      <c r="AD1442" s="31"/>
      <c r="AE1442" s="31"/>
    </row>
    <row r="1443" spans="30:31">
      <c r="AD1443" s="31"/>
      <c r="AE1443" s="31"/>
    </row>
    <row r="1444" spans="30:31">
      <c r="AD1444" s="31"/>
      <c r="AE1444" s="31"/>
    </row>
    <row r="1445" spans="30:31">
      <c r="AD1445" s="31"/>
      <c r="AE1445" s="31"/>
    </row>
    <row r="1446" spans="30:31">
      <c r="AD1446" s="31"/>
      <c r="AE1446" s="31"/>
    </row>
    <row r="1447" spans="30:31">
      <c r="AD1447" s="31"/>
      <c r="AE1447" s="31"/>
    </row>
    <row r="1448" spans="30:31">
      <c r="AD1448" s="31"/>
      <c r="AE1448" s="31"/>
    </row>
    <row r="1449" spans="30:31">
      <c r="AD1449" s="31"/>
      <c r="AE1449" s="31"/>
    </row>
    <row r="1450" spans="30:31">
      <c r="AD1450" s="31"/>
      <c r="AE1450" s="31"/>
    </row>
    <row r="1451" spans="30:31">
      <c r="AD1451" s="31"/>
      <c r="AE1451" s="31"/>
    </row>
    <row r="1452" spans="30:31">
      <c r="AD1452" s="31"/>
      <c r="AE1452" s="31"/>
    </row>
    <row r="1453" spans="30:31">
      <c r="AD1453" s="31"/>
      <c r="AE1453" s="31"/>
    </row>
    <row r="1454" spans="30:31">
      <c r="AD1454" s="31"/>
      <c r="AE1454" s="31"/>
    </row>
    <row r="1455" spans="30:31">
      <c r="AD1455" s="31"/>
      <c r="AE1455" s="31"/>
    </row>
    <row r="1456" spans="30:31">
      <c r="AD1456" s="31"/>
      <c r="AE1456" s="31"/>
    </row>
    <row r="1457" spans="30:31">
      <c r="AD1457" s="31"/>
      <c r="AE1457" s="31"/>
    </row>
    <row r="1458" spans="30:31">
      <c r="AD1458" s="31"/>
      <c r="AE1458" s="31"/>
    </row>
    <row r="1459" spans="30:31">
      <c r="AD1459" s="31"/>
      <c r="AE1459" s="31"/>
    </row>
    <row r="1460" spans="30:31">
      <c r="AD1460" s="31"/>
      <c r="AE1460" s="31"/>
    </row>
    <row r="1461" spans="30:31">
      <c r="AD1461" s="31"/>
      <c r="AE1461" s="31"/>
    </row>
    <row r="1462" spans="30:31">
      <c r="AD1462" s="31"/>
      <c r="AE1462" s="31"/>
    </row>
    <row r="1463" spans="30:31">
      <c r="AD1463" s="31"/>
      <c r="AE1463" s="31"/>
    </row>
    <row r="1464" spans="30:31">
      <c r="AD1464" s="31"/>
      <c r="AE1464" s="31"/>
    </row>
    <row r="1465" spans="30:31">
      <c r="AD1465" s="31"/>
      <c r="AE1465" s="31"/>
    </row>
    <row r="1466" spans="30:31">
      <c r="AD1466" s="31"/>
      <c r="AE1466" s="31"/>
    </row>
    <row r="1467" spans="30:31">
      <c r="AD1467" s="31"/>
      <c r="AE1467" s="31"/>
    </row>
    <row r="1468" spans="30:31">
      <c r="AD1468" s="31"/>
      <c r="AE1468" s="31"/>
    </row>
    <row r="1469" spans="30:31">
      <c r="AD1469" s="31"/>
      <c r="AE1469" s="31"/>
    </row>
    <row r="1470" spans="30:31">
      <c r="AD1470" s="31"/>
      <c r="AE1470" s="31"/>
    </row>
    <row r="1471" spans="30:31">
      <c r="AD1471" s="31"/>
      <c r="AE1471" s="31"/>
    </row>
    <row r="1472" spans="30:31">
      <c r="AD1472" s="31"/>
      <c r="AE1472" s="31"/>
    </row>
    <row r="1473" spans="30:31">
      <c r="AD1473" s="31"/>
      <c r="AE1473" s="31"/>
    </row>
    <row r="1474" spans="30:31">
      <c r="AD1474" s="31"/>
      <c r="AE1474" s="31"/>
    </row>
    <row r="1475" spans="30:31">
      <c r="AD1475" s="31"/>
      <c r="AE1475" s="31"/>
    </row>
    <row r="1476" spans="30:31">
      <c r="AD1476" s="31"/>
      <c r="AE1476" s="31"/>
    </row>
    <row r="1477" spans="30:31">
      <c r="AD1477" s="31"/>
      <c r="AE1477" s="31"/>
    </row>
    <row r="1478" spans="30:31">
      <c r="AD1478" s="31"/>
      <c r="AE1478" s="31"/>
    </row>
    <row r="1479" spans="30:31">
      <c r="AD1479" s="31"/>
      <c r="AE1479" s="31"/>
    </row>
    <row r="1480" spans="30:31">
      <c r="AD1480" s="31"/>
      <c r="AE1480" s="31"/>
    </row>
    <row r="1481" spans="30:31">
      <c r="AD1481" s="31"/>
      <c r="AE1481" s="31"/>
    </row>
    <row r="1482" spans="30:31">
      <c r="AD1482" s="31"/>
      <c r="AE1482" s="31"/>
    </row>
    <row r="1483" spans="30:31">
      <c r="AD1483" s="31"/>
      <c r="AE1483" s="31"/>
    </row>
    <row r="1484" spans="30:31">
      <c r="AD1484" s="31"/>
      <c r="AE1484" s="31"/>
    </row>
    <row r="1485" spans="30:31">
      <c r="AD1485" s="31"/>
      <c r="AE1485" s="31"/>
    </row>
    <row r="1486" spans="30:31">
      <c r="AD1486" s="31"/>
      <c r="AE1486" s="31"/>
    </row>
    <row r="1487" spans="30:31">
      <c r="AD1487" s="31"/>
      <c r="AE1487" s="31"/>
    </row>
    <row r="1488" spans="30:31">
      <c r="AD1488" s="31"/>
      <c r="AE1488" s="31"/>
    </row>
    <row r="1489" spans="30:31">
      <c r="AD1489" s="31"/>
      <c r="AE1489" s="31"/>
    </row>
    <row r="1490" spans="30:31">
      <c r="AD1490" s="31"/>
      <c r="AE1490" s="31"/>
    </row>
    <row r="1491" spans="30:31">
      <c r="AD1491" s="31"/>
      <c r="AE1491" s="31"/>
    </row>
    <row r="1492" spans="30:31">
      <c r="AD1492" s="31"/>
      <c r="AE1492" s="31"/>
    </row>
    <row r="1493" spans="30:31">
      <c r="AD1493" s="31"/>
      <c r="AE1493" s="31"/>
    </row>
    <row r="1494" spans="30:31">
      <c r="AD1494" s="31"/>
      <c r="AE1494" s="31"/>
    </row>
    <row r="1495" spans="30:31">
      <c r="AD1495" s="31"/>
      <c r="AE1495" s="31"/>
    </row>
    <row r="1496" spans="30:31">
      <c r="AD1496" s="31"/>
      <c r="AE1496" s="31"/>
    </row>
    <row r="1497" spans="30:31">
      <c r="AD1497" s="31"/>
      <c r="AE1497" s="31"/>
    </row>
    <row r="1498" spans="30:31">
      <c r="AD1498" s="31"/>
      <c r="AE1498" s="31"/>
    </row>
    <row r="1499" spans="30:31">
      <c r="AD1499" s="31"/>
      <c r="AE1499" s="31"/>
    </row>
    <row r="1500" spans="30:31">
      <c r="AD1500" s="31"/>
      <c r="AE1500" s="31"/>
    </row>
    <row r="1501" spans="30:31">
      <c r="AD1501" s="31"/>
      <c r="AE1501" s="31"/>
    </row>
    <row r="1502" spans="30:31">
      <c r="AD1502" s="31"/>
      <c r="AE1502" s="31"/>
    </row>
    <row r="1503" spans="30:31">
      <c r="AD1503" s="31"/>
      <c r="AE1503" s="31"/>
    </row>
    <row r="1504" spans="30:31">
      <c r="AD1504" s="31"/>
      <c r="AE1504" s="31"/>
    </row>
    <row r="1505" spans="30:31">
      <c r="AD1505" s="31"/>
      <c r="AE1505" s="31"/>
    </row>
    <row r="1506" spans="30:31">
      <c r="AD1506" s="31"/>
      <c r="AE1506" s="31"/>
    </row>
    <row r="1507" spans="30:31">
      <c r="AD1507" s="31"/>
      <c r="AE1507" s="31"/>
    </row>
    <row r="1508" spans="30:31">
      <c r="AD1508" s="31"/>
      <c r="AE1508" s="31"/>
    </row>
    <row r="1509" spans="30:31">
      <c r="AD1509" s="31"/>
      <c r="AE1509" s="31"/>
    </row>
    <row r="1510" spans="30:31">
      <c r="AD1510" s="31"/>
      <c r="AE1510" s="31"/>
    </row>
    <row r="1511" spans="30:31">
      <c r="AD1511" s="31"/>
      <c r="AE1511" s="31"/>
    </row>
    <row r="1512" spans="30:31">
      <c r="AD1512" s="31"/>
      <c r="AE1512" s="31"/>
    </row>
    <row r="1513" spans="30:31">
      <c r="AD1513" s="31"/>
      <c r="AE1513" s="31"/>
    </row>
    <row r="1514" spans="30:31">
      <c r="AD1514" s="31"/>
      <c r="AE1514" s="31"/>
    </row>
    <row r="1515" spans="30:31">
      <c r="AD1515" s="31"/>
      <c r="AE1515" s="31"/>
    </row>
    <row r="1516" spans="30:31">
      <c r="AD1516" s="31"/>
      <c r="AE1516" s="31"/>
    </row>
    <row r="1517" spans="30:31">
      <c r="AD1517" s="31"/>
      <c r="AE1517" s="31"/>
    </row>
    <row r="1518" spans="30:31">
      <c r="AD1518" s="31"/>
      <c r="AE1518" s="31"/>
    </row>
    <row r="1519" spans="30:31">
      <c r="AD1519" s="31"/>
      <c r="AE1519" s="31"/>
    </row>
    <row r="1520" spans="30:31">
      <c r="AD1520" s="31"/>
      <c r="AE1520" s="31"/>
    </row>
    <row r="1521" spans="30:31">
      <c r="AD1521" s="31"/>
      <c r="AE1521" s="31"/>
    </row>
    <row r="1522" spans="30:31">
      <c r="AD1522" s="31"/>
      <c r="AE1522" s="31"/>
    </row>
    <row r="1523" spans="30:31">
      <c r="AD1523" s="31"/>
      <c r="AE1523" s="31"/>
    </row>
    <row r="1524" spans="30:31">
      <c r="AD1524" s="31"/>
      <c r="AE1524" s="31"/>
    </row>
    <row r="1525" spans="30:31">
      <c r="AD1525" s="31"/>
      <c r="AE1525" s="31"/>
    </row>
    <row r="1526" spans="30:31">
      <c r="AD1526" s="31"/>
      <c r="AE1526" s="31"/>
    </row>
    <row r="1527" spans="30:31">
      <c r="AD1527" s="31"/>
      <c r="AE1527" s="31"/>
    </row>
    <row r="1528" spans="30:31">
      <c r="AD1528" s="31"/>
      <c r="AE1528" s="31"/>
    </row>
    <row r="1529" spans="30:31">
      <c r="AD1529" s="31"/>
      <c r="AE1529" s="31"/>
    </row>
    <row r="1530" spans="30:31">
      <c r="AD1530" s="31"/>
      <c r="AE1530" s="31"/>
    </row>
    <row r="1531" spans="30:31">
      <c r="AD1531" s="31"/>
      <c r="AE1531" s="31"/>
    </row>
    <row r="1532" spans="30:31">
      <c r="AD1532" s="31"/>
      <c r="AE1532" s="31"/>
    </row>
    <row r="1533" spans="30:31">
      <c r="AD1533" s="31"/>
      <c r="AE1533" s="31"/>
    </row>
    <row r="1534" spans="30:31">
      <c r="AD1534" s="31"/>
      <c r="AE1534" s="31"/>
    </row>
    <row r="1535" spans="30:31">
      <c r="AD1535" s="31"/>
      <c r="AE1535" s="31"/>
    </row>
    <row r="1536" spans="30:31">
      <c r="AD1536" s="31"/>
      <c r="AE1536" s="31"/>
    </row>
    <row r="1537" spans="30:31">
      <c r="AD1537" s="31"/>
      <c r="AE1537" s="31"/>
    </row>
    <row r="1538" spans="30:31">
      <c r="AD1538" s="31"/>
      <c r="AE1538" s="31"/>
    </row>
    <row r="1539" spans="30:31">
      <c r="AD1539" s="31"/>
      <c r="AE1539" s="31"/>
    </row>
    <row r="1540" spans="30:31">
      <c r="AD1540" s="31"/>
      <c r="AE1540" s="31"/>
    </row>
    <row r="1541" spans="30:31">
      <c r="AD1541" s="31"/>
      <c r="AE1541" s="31"/>
    </row>
    <row r="1542" spans="30:31">
      <c r="AD1542" s="31"/>
      <c r="AE1542" s="31"/>
    </row>
    <row r="1543" spans="30:31">
      <c r="AD1543" s="31"/>
      <c r="AE1543" s="31"/>
    </row>
    <row r="1544" spans="30:31">
      <c r="AD1544" s="31"/>
      <c r="AE1544" s="31"/>
    </row>
    <row r="1545" spans="30:31">
      <c r="AD1545" s="31"/>
      <c r="AE1545" s="31"/>
    </row>
    <row r="1546" spans="30:31">
      <c r="AD1546" s="31"/>
      <c r="AE1546" s="31"/>
    </row>
    <row r="1547" spans="30:31">
      <c r="AD1547" s="31"/>
      <c r="AE1547" s="31"/>
    </row>
    <row r="1548" spans="30:31">
      <c r="AD1548" s="31"/>
      <c r="AE1548" s="31"/>
    </row>
    <row r="1549" spans="30:31">
      <c r="AD1549" s="31"/>
      <c r="AE1549" s="31"/>
    </row>
    <row r="1550" spans="30:31">
      <c r="AD1550" s="31"/>
      <c r="AE1550" s="31"/>
    </row>
    <row r="1551" spans="30:31">
      <c r="AD1551" s="31"/>
      <c r="AE1551" s="31"/>
    </row>
    <row r="1552" spans="30:31">
      <c r="AD1552" s="31"/>
      <c r="AE1552" s="31"/>
    </row>
    <row r="1553" spans="30:31">
      <c r="AD1553" s="31"/>
      <c r="AE1553" s="31"/>
    </row>
    <row r="1554" spans="30:31">
      <c r="AD1554" s="31"/>
      <c r="AE1554" s="31"/>
    </row>
    <row r="1555" spans="30:31">
      <c r="AD1555" s="31"/>
      <c r="AE1555" s="31"/>
    </row>
    <row r="1556" spans="30:31">
      <c r="AD1556" s="31"/>
      <c r="AE1556" s="31"/>
    </row>
    <row r="1557" spans="30:31">
      <c r="AD1557" s="31"/>
      <c r="AE1557" s="31"/>
    </row>
    <row r="1558" spans="30:31">
      <c r="AD1558" s="31"/>
      <c r="AE1558" s="31"/>
    </row>
    <row r="1559" spans="30:31">
      <c r="AD1559" s="31"/>
      <c r="AE1559" s="31"/>
    </row>
    <row r="1560" spans="30:31">
      <c r="AD1560" s="31"/>
      <c r="AE1560" s="31"/>
    </row>
    <row r="1561" spans="30:31">
      <c r="AD1561" s="31"/>
      <c r="AE1561" s="31"/>
    </row>
    <row r="1562" spans="30:31">
      <c r="AD1562" s="31"/>
      <c r="AE1562" s="31"/>
    </row>
    <row r="1563" spans="30:31">
      <c r="AD1563" s="31"/>
    </row>
    <row r="1564" spans="30:31">
      <c r="AD1564" s="31"/>
    </row>
    <row r="1565" spans="30:31">
      <c r="AD1565" s="31"/>
    </row>
    <row r="1566" spans="30:31">
      <c r="AD1566" s="31"/>
    </row>
    <row r="1567" spans="30:31">
      <c r="AD1567" s="31"/>
    </row>
    <row r="1568" spans="30:31">
      <c r="AD1568" s="31"/>
    </row>
    <row r="1569" spans="30:30">
      <c r="AD1569" s="31"/>
    </row>
    <row r="1570" spans="30:30">
      <c r="AD1570" s="31"/>
    </row>
    <row r="1571" spans="30:30">
      <c r="AD1571" s="31"/>
    </row>
    <row r="1572" spans="30:30">
      <c r="AD1572" s="31"/>
    </row>
    <row r="1573" spans="30:30">
      <c r="AD1573" s="31"/>
    </row>
    <row r="1574" spans="30:30">
      <c r="AD1574" s="31"/>
    </row>
    <row r="1575" spans="30:30">
      <c r="AD1575" s="31"/>
    </row>
    <row r="1576" spans="30:30">
      <c r="AD1576" s="31"/>
    </row>
    <row r="1577" spans="30:30">
      <c r="AD1577" s="31"/>
    </row>
    <row r="1578" spans="30:30">
      <c r="AD1578" s="31"/>
    </row>
    <row r="1579" spans="30:30">
      <c r="AD1579" s="31"/>
    </row>
    <row r="1580" spans="30:30">
      <c r="AD1580" s="31"/>
    </row>
    <row r="1581" spans="30:30">
      <c r="AD1581" s="31"/>
    </row>
    <row r="1582" spans="30:30">
      <c r="AD1582" s="31"/>
    </row>
    <row r="1583" spans="30:30">
      <c r="AD1583" s="31"/>
    </row>
    <row r="1584" spans="30:30">
      <c r="AD1584" s="31"/>
    </row>
    <row r="1585" spans="30:30">
      <c r="AD1585" s="31"/>
    </row>
    <row r="1586" spans="30:30">
      <c r="AD1586" s="31"/>
    </row>
    <row r="1587" spans="30:30">
      <c r="AD1587" s="31"/>
    </row>
    <row r="1588" spans="30:30">
      <c r="AD1588" s="31"/>
    </row>
    <row r="1589" spans="30:30">
      <c r="AD1589" s="31"/>
    </row>
    <row r="1590" spans="30:30">
      <c r="AD1590" s="31"/>
    </row>
    <row r="1591" spans="30:30">
      <c r="AD1591" s="31"/>
    </row>
    <row r="1592" spans="30:30">
      <c r="AD1592" s="31"/>
    </row>
    <row r="1593" spans="30:30">
      <c r="AD1593" s="31"/>
    </row>
    <row r="1594" spans="30:30">
      <c r="AD1594" s="31"/>
    </row>
    <row r="1595" spans="30:30">
      <c r="AD1595" s="31"/>
    </row>
    <row r="1596" spans="30:30">
      <c r="AD1596" s="31"/>
    </row>
    <row r="1597" spans="30:30">
      <c r="AD1597" s="31"/>
    </row>
    <row r="1598" spans="30:30">
      <c r="AD1598" s="31"/>
    </row>
    <row r="1599" spans="30:30">
      <c r="AD1599" s="31"/>
    </row>
    <row r="1600" spans="30:30">
      <c r="AD1600" s="31"/>
    </row>
    <row r="1601" spans="30:30">
      <c r="AD1601" s="31"/>
    </row>
    <row r="1602" spans="30:30">
      <c r="AD1602" s="31"/>
    </row>
    <row r="1603" spans="30:30">
      <c r="AD1603" s="31"/>
    </row>
    <row r="1604" spans="30:30">
      <c r="AD1604" s="31"/>
    </row>
    <row r="1605" spans="30:30">
      <c r="AD1605" s="31"/>
    </row>
    <row r="1606" spans="30:30">
      <c r="AD1606" s="31"/>
    </row>
    <row r="1607" spans="30:30">
      <c r="AD1607" s="31"/>
    </row>
    <row r="1608" spans="30:30">
      <c r="AD1608" s="31"/>
    </row>
    <row r="1609" spans="30:30">
      <c r="AD1609" s="31"/>
    </row>
    <row r="1610" spans="30:30">
      <c r="AD1610" s="31"/>
    </row>
    <row r="1611" spans="30:30">
      <c r="AD1611" s="31"/>
    </row>
    <row r="1612" spans="30:30">
      <c r="AD1612" s="31"/>
    </row>
    <row r="1613" spans="30:30">
      <c r="AD1613" s="31"/>
    </row>
    <row r="1614" spans="30:30">
      <c r="AD1614" s="31"/>
    </row>
    <row r="1615" spans="30:30">
      <c r="AD1615" s="31"/>
    </row>
    <row r="1616" spans="30:30">
      <c r="AD1616" s="31"/>
    </row>
    <row r="1617" spans="30:30">
      <c r="AD1617" s="31"/>
    </row>
    <row r="1618" spans="30:30">
      <c r="AD1618" s="31"/>
    </row>
    <row r="1619" spans="30:30">
      <c r="AD1619" s="31"/>
    </row>
    <row r="1620" spans="30:30">
      <c r="AD1620" s="31"/>
    </row>
    <row r="1621" spans="30:30">
      <c r="AD1621" s="31"/>
    </row>
    <row r="1622" spans="30:30">
      <c r="AD1622" s="31"/>
    </row>
    <row r="1623" spans="30:30">
      <c r="AD1623" s="31"/>
    </row>
    <row r="1624" spans="30:30">
      <c r="AD1624" s="31"/>
    </row>
    <row r="1625" spans="30:30">
      <c r="AD1625" s="31"/>
    </row>
    <row r="1626" spans="30:30">
      <c r="AD1626" s="31"/>
    </row>
    <row r="1627" spans="30:30">
      <c r="AD1627" s="31"/>
    </row>
    <row r="1628" spans="30:30">
      <c r="AD1628" s="31"/>
    </row>
    <row r="1629" spans="30:30">
      <c r="AD1629" s="31"/>
    </row>
    <row r="1630" spans="30:30">
      <c r="AD1630" s="31"/>
    </row>
    <row r="1631" spans="30:30">
      <c r="AD1631" s="31"/>
    </row>
    <row r="1632" spans="30:30">
      <c r="AD1632" s="31"/>
    </row>
    <row r="1633" spans="30:30">
      <c r="AD1633" s="31"/>
    </row>
    <row r="1634" spans="30:30">
      <c r="AD1634" s="31"/>
    </row>
    <row r="1635" spans="30:30">
      <c r="AD1635" s="31"/>
    </row>
    <row r="1636" spans="30:30">
      <c r="AD1636" s="31"/>
    </row>
    <row r="1637" spans="30:30">
      <c r="AD1637" s="31"/>
    </row>
    <row r="1638" spans="30:30">
      <c r="AD1638" s="31"/>
    </row>
    <row r="1639" spans="30:30">
      <c r="AD1639" s="31"/>
    </row>
    <row r="1640" spans="30:30">
      <c r="AD1640" s="31"/>
    </row>
    <row r="1641" spans="30:30">
      <c r="AD1641" s="31"/>
    </row>
    <row r="1642" spans="30:30">
      <c r="AD1642" s="31"/>
    </row>
    <row r="1643" spans="30:30">
      <c r="AD1643" s="31"/>
    </row>
    <row r="1644" spans="30:30">
      <c r="AD1644" s="31"/>
    </row>
    <row r="1645" spans="30:30">
      <c r="AD1645" s="31"/>
    </row>
    <row r="1646" spans="30:30">
      <c r="AD1646" s="31"/>
    </row>
    <row r="1647" spans="30:30">
      <c r="AD1647" s="31"/>
    </row>
    <row r="1648" spans="30:30">
      <c r="AD1648" s="31"/>
    </row>
    <row r="1649" spans="30:30">
      <c r="AD1649" s="31"/>
    </row>
    <row r="1650" spans="30:30">
      <c r="AD1650" s="31"/>
    </row>
    <row r="1651" spans="30:30">
      <c r="AD1651" s="31"/>
    </row>
    <row r="1652" spans="30:30">
      <c r="AD1652" s="31"/>
    </row>
    <row r="1653" spans="30:30">
      <c r="AD1653" s="31"/>
    </row>
    <row r="1654" spans="30:30">
      <c r="AD1654" s="31"/>
    </row>
    <row r="1655" spans="30:30">
      <c r="AD1655" s="31"/>
    </row>
    <row r="1656" spans="30:30">
      <c r="AD1656" s="31"/>
    </row>
    <row r="1657" spans="30:30">
      <c r="AD1657" s="31"/>
    </row>
    <row r="1658" spans="30:30">
      <c r="AD1658" s="31"/>
    </row>
    <row r="1659" spans="30:30">
      <c r="AD1659" s="31"/>
    </row>
    <row r="1660" spans="30:30">
      <c r="AD1660" s="31"/>
    </row>
    <row r="1661" spans="30:30">
      <c r="AD1661" s="31"/>
    </row>
    <row r="1662" spans="30:30">
      <c r="AD1662" s="31"/>
    </row>
    <row r="1663" spans="30:30">
      <c r="AD1663" s="31"/>
    </row>
    <row r="1664" spans="30:30">
      <c r="AD1664" s="31"/>
    </row>
    <row r="1665" spans="30:30">
      <c r="AD1665" s="31"/>
    </row>
    <row r="1666" spans="30:30">
      <c r="AD1666" s="31"/>
    </row>
    <row r="1667" spans="30:30">
      <c r="AD1667" s="31"/>
    </row>
    <row r="1668" spans="30:30">
      <c r="AD1668" s="31"/>
    </row>
    <row r="1669" spans="30:30">
      <c r="AD1669" s="31"/>
    </row>
    <row r="1670" spans="30:30">
      <c r="AD1670" s="31"/>
    </row>
    <row r="1671" spans="30:30">
      <c r="AD1671" s="31"/>
    </row>
    <row r="1672" spans="30:30">
      <c r="AD1672" s="31"/>
    </row>
    <row r="1673" spans="30:30">
      <c r="AD1673" s="31"/>
    </row>
    <row r="1674" spans="30:30">
      <c r="AD1674" s="31"/>
    </row>
    <row r="1675" spans="30:30">
      <c r="AD1675" s="31"/>
    </row>
    <row r="1676" spans="30:30">
      <c r="AD1676" s="31"/>
    </row>
    <row r="1677" spans="30:30">
      <c r="AD1677" s="31"/>
    </row>
    <row r="1678" spans="30:30">
      <c r="AD1678" s="31"/>
    </row>
    <row r="1679" spans="30:30">
      <c r="AD1679" s="31"/>
    </row>
    <row r="1680" spans="30:30">
      <c r="AD1680" s="31"/>
    </row>
    <row r="1681" spans="30:30">
      <c r="AD1681" s="31"/>
    </row>
    <row r="1682" spans="30:30">
      <c r="AD1682" s="31"/>
    </row>
    <row r="1683" spans="30:30">
      <c r="AD1683" s="31"/>
    </row>
    <row r="1684" spans="30:30">
      <c r="AD1684" s="31"/>
    </row>
    <row r="1685" spans="30:30">
      <c r="AD1685" s="31"/>
    </row>
    <row r="1686" spans="30:30">
      <c r="AD1686" s="31"/>
    </row>
    <row r="1687" spans="30:30">
      <c r="AD1687" s="31"/>
    </row>
    <row r="1688" spans="30:30">
      <c r="AD1688" s="31"/>
    </row>
    <row r="1689" spans="30:30">
      <c r="AD1689" s="31"/>
    </row>
    <row r="1690" spans="30:30">
      <c r="AD1690" s="31"/>
    </row>
    <row r="1691" spans="30:30">
      <c r="AD1691" s="31"/>
    </row>
    <row r="1692" spans="30:30">
      <c r="AD1692" s="31"/>
    </row>
    <row r="1693" spans="30:30">
      <c r="AD1693" s="31"/>
    </row>
    <row r="1694" spans="30:30">
      <c r="AD1694" s="31"/>
    </row>
    <row r="1695" spans="30:30">
      <c r="AD1695" s="31"/>
    </row>
    <row r="1696" spans="30:30">
      <c r="AD1696" s="31"/>
    </row>
    <row r="1697" spans="30:30">
      <c r="AD1697" s="31"/>
    </row>
    <row r="1698" spans="30:30">
      <c r="AD1698" s="31"/>
    </row>
    <row r="1699" spans="30:30">
      <c r="AD1699" s="31"/>
    </row>
    <row r="1700" spans="30:30">
      <c r="AD1700" s="31"/>
    </row>
    <row r="1701" spans="30:30">
      <c r="AD1701" s="31"/>
    </row>
    <row r="1702" spans="30:30">
      <c r="AD1702" s="31"/>
    </row>
    <row r="1703" spans="30:30">
      <c r="AD1703" s="31"/>
    </row>
    <row r="1704" spans="30:30">
      <c r="AD1704" s="31"/>
    </row>
  </sheetData>
  <sheetProtection algorithmName="SHA-512" hashValue="CwkILgIHAmnaXYKgUxfpY2fZGR17f6fAN82g/bYmIFgN8UceOEPV6043i1zXTNV+Z+lYpuXP3+vy4/ystWdsbQ==" saltValue="DJMZyrC2lpTAh49zZUuROw==" spinCount="100000" sheet="1"/>
  <dataConsolidate/>
  <mergeCells count="34">
    <mergeCell ref="C145:S145"/>
    <mergeCell ref="C135:N135"/>
    <mergeCell ref="J48:L48"/>
    <mergeCell ref="M48:O48"/>
    <mergeCell ref="J57:K57"/>
    <mergeCell ref="AK112:AM112"/>
    <mergeCell ref="J80:K80"/>
    <mergeCell ref="G131:H131"/>
    <mergeCell ref="J84:K84"/>
    <mergeCell ref="J85:K85"/>
    <mergeCell ref="J103:K103"/>
    <mergeCell ref="L96:N96"/>
    <mergeCell ref="L97:N97"/>
    <mergeCell ref="L98:N98"/>
    <mergeCell ref="L99:N99"/>
    <mergeCell ref="J96:K96"/>
    <mergeCell ref="J97:K97"/>
    <mergeCell ref="J98:K98"/>
    <mergeCell ref="J99:K99"/>
    <mergeCell ref="J83:K83"/>
    <mergeCell ref="J82:K82"/>
    <mergeCell ref="AK67:AM67"/>
    <mergeCell ref="C3:T3"/>
    <mergeCell ref="C5:T5"/>
    <mergeCell ref="J81:K81"/>
    <mergeCell ref="J26:K26"/>
    <mergeCell ref="J27:K27"/>
    <mergeCell ref="J28:K28"/>
    <mergeCell ref="J29:K29"/>
    <mergeCell ref="J30:K30"/>
    <mergeCell ref="J31:K31"/>
    <mergeCell ref="J32:K32"/>
    <mergeCell ref="J33:K33"/>
    <mergeCell ref="J34:K34"/>
  </mergeCells>
  <conditionalFormatting sqref="D123">
    <cfRule type="expression" dxfId="135" priority="3897">
      <formula>$D$11&lt;&gt;""</formula>
    </cfRule>
  </conditionalFormatting>
  <conditionalFormatting sqref="Q123 S123">
    <cfRule type="expression" dxfId="134" priority="3896">
      <formula>$D$11&lt;&gt;""</formula>
    </cfRule>
  </conditionalFormatting>
  <conditionalFormatting sqref="Q118 S118">
    <cfRule type="expression" dxfId="133" priority="3895">
      <formula>$D$11&lt;&gt;""</formula>
    </cfRule>
  </conditionalFormatting>
  <conditionalFormatting sqref="F123:H123">
    <cfRule type="expression" dxfId="132" priority="3868">
      <formula>$D$11&lt;&gt;""</formula>
    </cfRule>
  </conditionalFormatting>
  <conditionalFormatting sqref="G10">
    <cfRule type="expression" dxfId="131" priority="3727">
      <formula>$D$11&lt;&gt;""</formula>
    </cfRule>
    <cfRule type="expression" dxfId="130" priority="3728">
      <formula>AND($D$10&lt;&gt;"",$D$11="",$G$10="")</formula>
    </cfRule>
    <cfRule type="expression" dxfId="129" priority="3729">
      <formula>$D$11=""</formula>
    </cfRule>
  </conditionalFormatting>
  <conditionalFormatting sqref="K67">
    <cfRule type="expression" dxfId="128" priority="3656">
      <formula>J67*12+K67&gt;360</formula>
    </cfRule>
  </conditionalFormatting>
  <conditionalFormatting sqref="J67">
    <cfRule type="expression" dxfId="127" priority="3482">
      <formula>J67&gt;30</formula>
    </cfRule>
  </conditionalFormatting>
  <conditionalFormatting sqref="G112 G67">
    <cfRule type="expression" dxfId="126" priority="2844">
      <formula>AND(G67&lt;&gt;"",F67=TRUE,AK67="")</formula>
    </cfRule>
    <cfRule type="expression" dxfId="125" priority="2924">
      <formula>G67="Multiple/Other Securities"</formula>
    </cfRule>
  </conditionalFormatting>
  <conditionalFormatting sqref="I112">
    <cfRule type="expression" dxfId="124" priority="4188">
      <formula>AND(OR(H112="Var IO",H112="S+ IO"),I112="")</formula>
    </cfRule>
    <cfRule type="expression" dxfId="123" priority="4189">
      <formula>I112&gt;10</formula>
    </cfRule>
    <cfRule type="expression" dxfId="122" priority="4190">
      <formula>AND(LEFT($H112,3)="Fix",$I112="")</formula>
    </cfRule>
  </conditionalFormatting>
  <conditionalFormatting sqref="D26">
    <cfRule type="expression" dxfId="121" priority="4201">
      <formula>AND(D26&lt;&gt;$D$10,D26&lt;&gt;$D$11,D26&lt;&gt;"")</formula>
    </cfRule>
    <cfRule type="expression" dxfId="120" priority="4202">
      <formula>AND($D26="",CONCATENATE(#REF!,#REF!,#REF!,#REF!,#REF!)&lt;&gt;"")</formula>
    </cfRule>
  </conditionalFormatting>
  <conditionalFormatting sqref="I48">
    <cfRule type="expression" dxfId="119" priority="776">
      <formula>AND(E48="Overseas",AND(F48&lt;&gt;"Interest",F48&lt;&gt;"Dividends",F48&lt;&gt;"Rent (Resi)"))</formula>
    </cfRule>
    <cfRule type="expression" dxfId="118" priority="777">
      <formula>AND(OR(F48="Interest",F48="Dividends",F48="Rent (Resi)"),I48="")</formula>
    </cfRule>
  </conditionalFormatting>
  <conditionalFormatting sqref="D48:E48">
    <cfRule type="expression" dxfId="117" priority="775">
      <formula>AND(D48="",$G48&lt;&gt;"")</formula>
    </cfRule>
  </conditionalFormatting>
  <conditionalFormatting sqref="J48:L48">
    <cfRule type="expression" dxfId="116" priority="774">
      <formula>AND(F48="Rent (Resi)",J48="")</formula>
    </cfRule>
  </conditionalFormatting>
  <conditionalFormatting sqref="M67">
    <cfRule type="expression" dxfId="115" priority="365">
      <formula>IF(AND(VLOOKUP(G67,$X$10:$Z$11,3,FALSE)=0,D67="HECS/HELP"),TRUE,FALSE)</formula>
    </cfRule>
  </conditionalFormatting>
  <conditionalFormatting sqref="D118">
    <cfRule type="expression" dxfId="114" priority="338">
      <formula>$D$11&lt;&gt;""</formula>
    </cfRule>
  </conditionalFormatting>
  <conditionalFormatting sqref="D28">
    <cfRule type="expression" dxfId="113" priority="223">
      <formula>AND(ISBLANK(D28),NOT(ISBLANK(D26)))</formula>
    </cfRule>
  </conditionalFormatting>
  <conditionalFormatting sqref="L26:M26">
    <cfRule type="expression" dxfId="112" priority="220">
      <formula>$J26="Year to Date"</formula>
    </cfRule>
  </conditionalFormatting>
  <conditionalFormatting sqref="AL26 AN26:AO26">
    <cfRule type="expression" dxfId="111" priority="225">
      <formula>#REF!=0</formula>
    </cfRule>
  </conditionalFormatting>
  <conditionalFormatting sqref="D29">
    <cfRule type="expression" dxfId="110" priority="227">
      <formula>OR(LEFT($D28,2)="SE",#REF!="LoDoc")</formula>
    </cfRule>
  </conditionalFormatting>
  <conditionalFormatting sqref="L27:M27">
    <cfRule type="expression" dxfId="109" priority="4369">
      <formula>AND($J27="Year to Date",$D28="SE - Company Wages")</formula>
    </cfRule>
  </conditionalFormatting>
  <conditionalFormatting sqref="L27:M27">
    <cfRule type="expression" dxfId="108" priority="4370">
      <formula>AND($M26&lt;&gt;"",L27="",$D28="SE - Company Wages",$J27="Year to Date",$X26&lt;182)</formula>
    </cfRule>
  </conditionalFormatting>
  <conditionalFormatting sqref="F35">
    <cfRule type="expression" dxfId="107" priority="163">
      <formula>LEFT(F35,5)="Error"</formula>
    </cfRule>
  </conditionalFormatting>
  <conditionalFormatting sqref="G27">
    <cfRule type="expression" dxfId="106" priority="162">
      <formula>AND($M26&lt;&gt;"",G27="",$D28="SE - Company Wages",$J27="Year to Date",$X26&lt;182)</formula>
    </cfRule>
  </conditionalFormatting>
  <conditionalFormatting sqref="G31">
    <cfRule type="expression" dxfId="105" priority="160">
      <formula>AND(D28="SE - Company",AND(G27&gt;0,G31&gt;0))</formula>
    </cfRule>
  </conditionalFormatting>
  <conditionalFormatting sqref="G27">
    <cfRule type="expression" dxfId="104" priority="4472">
      <formula>AND(D28="SE - Company",AND(G27&gt;0,G31&gt;0))</formula>
    </cfRule>
  </conditionalFormatting>
  <conditionalFormatting sqref="E31:E34">
    <cfRule type="expression" dxfId="103" priority="158">
      <formula>AND(E31="Select Type",G31&lt;&gt;"")</formula>
    </cfRule>
    <cfRule type="expression" dxfId="102" priority="159">
      <formula>E31="Select Type"</formula>
    </cfRule>
  </conditionalFormatting>
  <conditionalFormatting sqref="D30">
    <cfRule type="expression" dxfId="101" priority="156">
      <formula>OR(LEFT($D28,2)="SE",$D28="LoDoc")</formula>
    </cfRule>
    <cfRule type="expression" dxfId="100" priority="157">
      <formula>AND(LEFT(D28,2)="SE",OR(D30&lt;0,D30&gt;1,D30=""))</formula>
    </cfRule>
  </conditionalFormatting>
  <conditionalFormatting sqref="E30">
    <cfRule type="expression" dxfId="99" priority="109">
      <formula>AND(E30="Select Type",G30&lt;&gt;"")</formula>
    </cfRule>
    <cfRule type="expression" dxfId="98" priority="110">
      <formula>E30="Select Type"</formula>
    </cfRule>
  </conditionalFormatting>
  <conditionalFormatting sqref="N26">
    <cfRule type="expression" dxfId="97" priority="6">
      <formula>LEFT(D28,2)="SE"</formula>
    </cfRule>
  </conditionalFormatting>
  <conditionalFormatting sqref="J112">
    <cfRule type="expression" dxfId="96" priority="4">
      <formula>J112&gt;30</formula>
    </cfRule>
  </conditionalFormatting>
  <conditionalFormatting sqref="J112:K112">
    <cfRule type="expression" dxfId="95" priority="5">
      <formula>AND($H112&lt;&gt;"",$H112&lt;&gt;"Bridging",$J112="",$K112="")</formula>
    </cfRule>
  </conditionalFormatting>
  <conditionalFormatting sqref="K112">
    <cfRule type="expression" dxfId="94" priority="3">
      <formula>J112*12+K112&gt;360</formula>
    </cfRule>
  </conditionalFormatting>
  <conditionalFormatting sqref="H26">
    <cfRule type="expression" dxfId="93" priority="2">
      <formula>AND($D26&lt;&gt;"",$G26&lt;&gt;"",$H26="",LEFT($D28,2)&lt;&gt;"SE")</formula>
    </cfRule>
  </conditionalFormatting>
  <conditionalFormatting sqref="J26:K26">
    <cfRule type="expression" dxfId="92" priority="1">
      <formula>AND($D26&lt;&gt;"",$H26&lt;&gt;"",$J26="",LEFT($D28,2)&lt;&gt;"SE")</formula>
    </cfRule>
  </conditionalFormatting>
  <dataValidations count="19">
    <dataValidation type="list" allowBlank="1" showInputMessage="1" showErrorMessage="1" sqref="F80:F85 J96:J99 J80:J85 F96:F100 N67 H48" xr:uid="{83C92F79-412C-45A9-A23B-DF87C6944A8E}">
      <formula1>"Weekly, Fortnightly, Four Weekly, Monthly, Quarterly, Bi Annually, Annually"</formula1>
    </dataValidation>
    <dataValidation type="list" allowBlank="1" showInputMessage="1" showErrorMessage="1" sqref="J26:J34" xr:uid="{53DBE507-9197-4768-9159-E7C1E4C479D3}">
      <formula1>"Weekly, Fortnightly, Four Weekly, Monthly, Quarterly, Bi Annually, Annually, Year to Date"</formula1>
    </dataValidation>
    <dataValidation type="list" allowBlank="1" showInputMessage="1" showErrorMessage="1" sqref="D26" xr:uid="{433B79B7-BEB8-494E-B9EA-FB367A124A07}">
      <formula1>$X$10:$X$11</formula1>
    </dataValidation>
    <dataValidation type="list" allowBlank="1" showInputMessage="1" showErrorMessage="1" sqref="G113" xr:uid="{119D4970-B8CA-4240-B051-BD27F37213A3}">
      <formula1>"Variable, Fixed, Simplicity PLUS"</formula1>
    </dataValidation>
    <dataValidation type="list" allowBlank="1" showInputMessage="1" showErrorMessage="1" sqref="F113" xr:uid="{BEA1D196-21C4-44E9-BF28-FC405C8DC346}">
      <formula1>"Principal and Interest,Interest Only,Interest in Advance, Line of Credit"</formula1>
    </dataValidation>
    <dataValidation type="list" allowBlank="1" showInputMessage="1" showErrorMessage="1" sqref="H26:H29 H35:H36" xr:uid="{1D660088-C62A-4D41-9147-29867BF924D7}">
      <formula1>"After Tax, Before Tax"</formula1>
    </dataValidation>
    <dataValidation type="list" allowBlank="1" showInputMessage="1" showErrorMessage="1" sqref="D49 F68" xr:uid="{1B2B2DF3-830A-4FE2-9B67-BAAB4937C7F6}">
      <formula1>$W$10:$W$12</formula1>
    </dataValidation>
    <dataValidation type="list" allowBlank="1" showInputMessage="1" showErrorMessage="1" sqref="F36 G68 E112 F67 F27:F29 M29 E67:E68 I26:I36" xr:uid="{259337FE-7CAB-4A02-97FE-3E5C95E2CE2B}">
      <formula1>"TRUE,FALSE"</formula1>
    </dataValidation>
    <dataValidation type="list" allowBlank="1" showInputMessage="1" showErrorMessage="1" sqref="H49 J68" xr:uid="{2EB949A4-BD17-4407-813B-A25AEFCD871A}">
      <formula1>"Weekly, Fortnightly, Monthly, Annually"</formula1>
    </dataValidation>
    <dataValidation type="list" allowBlank="1" showInputMessage="1" showErrorMessage="1" sqref="D48 G67 G112" xr:uid="{9619B566-69F0-441A-8CCA-D9F16F113F7E}">
      <formula1>$W$10:$W$13</formula1>
    </dataValidation>
    <dataValidation type="list" allowBlank="1" showInputMessage="1" showErrorMessage="1" sqref="E48" xr:uid="{244D8772-5EC6-44E4-852C-B7256B767127}">
      <formula1>OTHER_INCOMES</formula1>
    </dataValidation>
    <dataValidation type="list" allowBlank="1" showInputMessage="1" showErrorMessage="1" sqref="D67:D68" xr:uid="{AB8F6B81-8327-4913-8BDD-253247084ACE}">
      <formula1>Liabilities_List</formula1>
    </dataValidation>
    <dataValidation type="list" allowBlank="1" showInputMessage="1" showErrorMessage="1" sqref="F48:F49" xr:uid="{0DF41679-FC5B-4528-8E15-AC6D227B937F}">
      <formula1>INDIRECT(E48)</formula1>
    </dataValidation>
    <dataValidation type="list" allowBlank="1" showInputMessage="1" showErrorMessage="1" sqref="E32:E34" xr:uid="{ED87A884-5A86-48F2-B388-C45136179086}">
      <formula1>SEAdd</formula1>
    </dataValidation>
    <dataValidation type="list" allowBlank="1" showInputMessage="1" showErrorMessage="1" sqref="E31" xr:uid="{93E725A0-E6BF-4301-AF03-5A0ED0240062}">
      <formula1>PAYGAdd</formula1>
    </dataValidation>
    <dataValidation type="whole" operator="greaterThanOrEqual" allowBlank="1" showInputMessage="1" showErrorMessage="1" errorTitle="Month Value" error="Months value must be a whole number greater or equal to 0" sqref="K67" xr:uid="{EFDE4F0B-B74B-4DC4-B832-E25088CBC3BF}">
      <formula1>0</formula1>
    </dataValidation>
    <dataValidation type="whole" operator="greaterThanOrEqual" allowBlank="1" showInputMessage="1" showErrorMessage="1" errorTitle="Years Value" error="Years value must be a whole number greater or equal to 0" sqref="J67" xr:uid="{DC0729CB-28CA-4584-8B5C-B8C220E55D47}">
      <formula1>0</formula1>
    </dataValidation>
    <dataValidation type="whole" allowBlank="1" showInputMessage="1" showErrorMessage="1" errorTitle="Years Value" error="Years value must be a whole number greater or equal to 0_x000a__x000a_Total Term (Years and Months) must not be greater than 30 Years" sqref="J112" xr:uid="{F9AA07EE-E449-4BEB-8949-CB64EE29F8A3}">
      <formula1>0</formula1>
      <formula2>30</formula2>
    </dataValidation>
    <dataValidation type="whole" allowBlank="1" showInputMessage="1" showErrorMessage="1" errorTitle="Month Value" error="Months value must be a whole number greater or equal to 0_x000a__x000a_Total Term (Years and Months) must not be greater than 30 Years" sqref="K112" xr:uid="{FDB7C847-0B16-401C-90A6-F64541EB7653}">
      <formula1>0</formula1>
      <formula2>360</formula2>
    </dataValidation>
  </dataValidations>
  <pageMargins left="0" right="0" top="0" bottom="0" header="0" footer="0"/>
  <pageSetup paperSize="9" scale="5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39" r:id="rId4" name="Check Box 43">
              <controlPr defaultSize="0" autoFill="0" autoLine="0" autoPict="0" macro="[0]!Deductible_Cell">
                <anchor moveWithCells="1">
                  <from>
                    <xdr:col>4</xdr:col>
                    <xdr:colOff>330200</xdr:colOff>
                    <xdr:row>111</xdr:row>
                    <xdr:rowOff>25400</xdr:rowOff>
                  </from>
                  <to>
                    <xdr:col>4</xdr:col>
                    <xdr:colOff>635000</xdr:colOff>
                    <xdr:row>111</xdr:row>
                    <xdr:rowOff>177800</xdr:rowOff>
                  </to>
                </anchor>
              </controlPr>
            </control>
          </mc:Choice>
        </mc:AlternateContent>
        <mc:AlternateContent xmlns:mc="http://schemas.openxmlformats.org/markup-compatibility/2006">
          <mc:Choice Requires="x14">
            <control shapeId="4145" r:id="rId5" name="Check Box 49">
              <controlPr defaultSize="0" autoFill="0" autoLine="0" autoPict="0">
                <anchor moveWithCells="1">
                  <from>
                    <xdr:col>4</xdr:col>
                    <xdr:colOff>368300</xdr:colOff>
                    <xdr:row>66</xdr:row>
                    <xdr:rowOff>25400</xdr:rowOff>
                  </from>
                  <to>
                    <xdr:col>4</xdr:col>
                    <xdr:colOff>673100</xdr:colOff>
                    <xdr:row>66</xdr:row>
                    <xdr:rowOff>177800</xdr:rowOff>
                  </to>
                </anchor>
              </controlPr>
            </control>
          </mc:Choice>
        </mc:AlternateContent>
        <mc:AlternateContent xmlns:mc="http://schemas.openxmlformats.org/markup-compatibility/2006">
          <mc:Choice Requires="x14">
            <control shapeId="4146" r:id="rId6" name="Check Box 50">
              <controlPr defaultSize="0" autoFill="0" autoLine="0" autoPict="0" macro="[0]!Deductible_Cell">
                <anchor moveWithCells="1">
                  <from>
                    <xdr:col>5</xdr:col>
                    <xdr:colOff>368300</xdr:colOff>
                    <xdr:row>66</xdr:row>
                    <xdr:rowOff>25400</xdr:rowOff>
                  </from>
                  <to>
                    <xdr:col>5</xdr:col>
                    <xdr:colOff>673100</xdr:colOff>
                    <xdr:row>66</xdr:row>
                    <xdr:rowOff>177800</xdr:rowOff>
                  </to>
                </anchor>
              </controlPr>
            </control>
          </mc:Choice>
        </mc:AlternateContent>
        <mc:AlternateContent xmlns:mc="http://schemas.openxmlformats.org/markup-compatibility/2006">
          <mc:Choice Requires="x14">
            <control shapeId="4152" r:id="rId7" name="Check Box 56">
              <controlPr defaultSize="0" autoFill="0" autoLine="0" autoPict="0" macro="[0]!Deductible_Cell">
                <anchor moveWithCells="1">
                  <from>
                    <xdr:col>5</xdr:col>
                    <xdr:colOff>330200</xdr:colOff>
                    <xdr:row>111</xdr:row>
                    <xdr:rowOff>25400</xdr:rowOff>
                  </from>
                  <to>
                    <xdr:col>5</xdr:col>
                    <xdr:colOff>635000</xdr:colOff>
                    <xdr:row>111</xdr:row>
                    <xdr:rowOff>177800</xdr:rowOff>
                  </to>
                </anchor>
              </controlPr>
            </control>
          </mc:Choice>
        </mc:AlternateContent>
        <mc:AlternateContent xmlns:mc="http://schemas.openxmlformats.org/markup-compatibility/2006">
          <mc:Choice Requires="x14">
            <control shapeId="103551" r:id="rId8" name="Check Box 1151">
              <controlPr defaultSize="0" autoFill="0" autoLine="0" autoPict="0" macro="[0]!Employment_Include">
                <anchor moveWithCells="1">
                  <from>
                    <xdr:col>5</xdr:col>
                    <xdr:colOff>342900</xdr:colOff>
                    <xdr:row>27</xdr:row>
                    <xdr:rowOff>25400</xdr:rowOff>
                  </from>
                  <to>
                    <xdr:col>5</xdr:col>
                    <xdr:colOff>647700</xdr:colOff>
                    <xdr:row>27</xdr:row>
                    <xdr:rowOff>177800</xdr:rowOff>
                  </to>
                </anchor>
              </controlPr>
            </control>
          </mc:Choice>
        </mc:AlternateContent>
        <mc:AlternateContent xmlns:mc="http://schemas.openxmlformats.org/markup-compatibility/2006">
          <mc:Choice Requires="x14">
            <control shapeId="103552" r:id="rId9" name="Check Box 1152">
              <controlPr defaultSize="0" autoFill="0" autoLine="0" autoPict="0" macro="[0]!Employment_Include">
                <anchor moveWithCells="1">
                  <from>
                    <xdr:col>5</xdr:col>
                    <xdr:colOff>342900</xdr:colOff>
                    <xdr:row>28</xdr:row>
                    <xdr:rowOff>25400</xdr:rowOff>
                  </from>
                  <to>
                    <xdr:col>5</xdr:col>
                    <xdr:colOff>647700</xdr:colOff>
                    <xdr:row>28</xdr:row>
                    <xdr:rowOff>177800</xdr:rowOff>
                  </to>
                </anchor>
              </controlPr>
            </control>
          </mc:Choice>
        </mc:AlternateContent>
        <mc:AlternateContent xmlns:mc="http://schemas.openxmlformats.org/markup-compatibility/2006">
          <mc:Choice Requires="x14">
            <control shapeId="103553" r:id="rId10" name="Check Box 1153">
              <controlPr defaultSize="0" autoFill="0" autoLine="0" autoPict="0">
                <anchor moveWithCells="1">
                  <from>
                    <xdr:col>8</xdr:col>
                    <xdr:colOff>406400</xdr:colOff>
                    <xdr:row>25</xdr:row>
                    <xdr:rowOff>25400</xdr:rowOff>
                  </from>
                  <to>
                    <xdr:col>8</xdr:col>
                    <xdr:colOff>711200</xdr:colOff>
                    <xdr:row>25</xdr:row>
                    <xdr:rowOff>177800</xdr:rowOff>
                  </to>
                </anchor>
              </controlPr>
            </control>
          </mc:Choice>
        </mc:AlternateContent>
        <mc:AlternateContent xmlns:mc="http://schemas.openxmlformats.org/markup-compatibility/2006">
          <mc:Choice Requires="x14">
            <control shapeId="103554" r:id="rId11" name="Check Box 1154">
              <controlPr defaultSize="0" autoFill="0" autoLine="0" autoPict="0">
                <anchor moveWithCells="1">
                  <from>
                    <xdr:col>8</xdr:col>
                    <xdr:colOff>406400</xdr:colOff>
                    <xdr:row>26</xdr:row>
                    <xdr:rowOff>25400</xdr:rowOff>
                  </from>
                  <to>
                    <xdr:col>8</xdr:col>
                    <xdr:colOff>711200</xdr:colOff>
                    <xdr:row>26</xdr:row>
                    <xdr:rowOff>177800</xdr:rowOff>
                  </to>
                </anchor>
              </controlPr>
            </control>
          </mc:Choice>
        </mc:AlternateContent>
        <mc:AlternateContent xmlns:mc="http://schemas.openxmlformats.org/markup-compatibility/2006">
          <mc:Choice Requires="x14">
            <control shapeId="103555" r:id="rId12" name="Check Box 1155">
              <controlPr defaultSize="0" autoFill="0" autoLine="0" autoPict="0">
                <anchor moveWithCells="1">
                  <from>
                    <xdr:col>8</xdr:col>
                    <xdr:colOff>406400</xdr:colOff>
                    <xdr:row>27</xdr:row>
                    <xdr:rowOff>25400</xdr:rowOff>
                  </from>
                  <to>
                    <xdr:col>8</xdr:col>
                    <xdr:colOff>711200</xdr:colOff>
                    <xdr:row>27</xdr:row>
                    <xdr:rowOff>177800</xdr:rowOff>
                  </to>
                </anchor>
              </controlPr>
            </control>
          </mc:Choice>
        </mc:AlternateContent>
        <mc:AlternateContent xmlns:mc="http://schemas.openxmlformats.org/markup-compatibility/2006">
          <mc:Choice Requires="x14">
            <control shapeId="103556" r:id="rId13" name="Check Box 1156">
              <controlPr defaultSize="0" autoFill="0" autoLine="0" autoPict="0">
                <anchor moveWithCells="1">
                  <from>
                    <xdr:col>8</xdr:col>
                    <xdr:colOff>406400</xdr:colOff>
                    <xdr:row>28</xdr:row>
                    <xdr:rowOff>25400</xdr:rowOff>
                  </from>
                  <to>
                    <xdr:col>8</xdr:col>
                    <xdr:colOff>711200</xdr:colOff>
                    <xdr:row>28</xdr:row>
                    <xdr:rowOff>177800</xdr:rowOff>
                  </to>
                </anchor>
              </controlPr>
            </control>
          </mc:Choice>
        </mc:AlternateContent>
        <mc:AlternateContent xmlns:mc="http://schemas.openxmlformats.org/markup-compatibility/2006">
          <mc:Choice Requires="x14">
            <control shapeId="103558" r:id="rId14" name="Check Box 1158">
              <controlPr defaultSize="0" autoFill="0" autoLine="0" autoPict="0" macro="[0]!Employment_Include">
                <anchor moveWithCells="1">
                  <from>
                    <xdr:col>5</xdr:col>
                    <xdr:colOff>342900</xdr:colOff>
                    <xdr:row>26</xdr:row>
                    <xdr:rowOff>25400</xdr:rowOff>
                  </from>
                  <to>
                    <xdr:col>5</xdr:col>
                    <xdr:colOff>647700</xdr:colOff>
                    <xdr:row>26</xdr:row>
                    <xdr:rowOff>177800</xdr:rowOff>
                  </to>
                </anchor>
              </controlPr>
            </control>
          </mc:Choice>
        </mc:AlternateContent>
        <mc:AlternateContent xmlns:mc="http://schemas.openxmlformats.org/markup-compatibility/2006">
          <mc:Choice Requires="x14">
            <control shapeId="103559" r:id="rId15" name="Check Box 1159">
              <controlPr defaultSize="0" autoFill="0" autoLine="0" autoPict="0">
                <anchor moveWithCells="1">
                  <from>
                    <xdr:col>5</xdr:col>
                    <xdr:colOff>342900</xdr:colOff>
                    <xdr:row>27</xdr:row>
                    <xdr:rowOff>25400</xdr:rowOff>
                  </from>
                  <to>
                    <xdr:col>5</xdr:col>
                    <xdr:colOff>647700</xdr:colOff>
                    <xdr:row>27</xdr:row>
                    <xdr:rowOff>177800</xdr:rowOff>
                  </to>
                </anchor>
              </controlPr>
            </control>
          </mc:Choice>
        </mc:AlternateContent>
        <mc:AlternateContent xmlns:mc="http://schemas.openxmlformats.org/markup-compatibility/2006">
          <mc:Choice Requires="x14">
            <control shapeId="103560" r:id="rId16" name="Check Box 1160">
              <controlPr defaultSize="0" autoFill="0" autoLine="0" autoPict="0">
                <anchor moveWithCells="1">
                  <from>
                    <xdr:col>5</xdr:col>
                    <xdr:colOff>342900</xdr:colOff>
                    <xdr:row>28</xdr:row>
                    <xdr:rowOff>25400</xdr:rowOff>
                  </from>
                  <to>
                    <xdr:col>5</xdr:col>
                    <xdr:colOff>647700</xdr:colOff>
                    <xdr:row>28</xdr:row>
                    <xdr:rowOff>177800</xdr:rowOff>
                  </to>
                </anchor>
              </controlPr>
            </control>
          </mc:Choice>
        </mc:AlternateContent>
        <mc:AlternateContent xmlns:mc="http://schemas.openxmlformats.org/markup-compatibility/2006">
          <mc:Choice Requires="x14">
            <control shapeId="103561" r:id="rId17" name="Check Box 1161">
              <controlPr defaultSize="0" autoFill="0" autoLine="0" autoPict="0">
                <anchor moveWithCells="1">
                  <from>
                    <xdr:col>8</xdr:col>
                    <xdr:colOff>406400</xdr:colOff>
                    <xdr:row>25</xdr:row>
                    <xdr:rowOff>25400</xdr:rowOff>
                  </from>
                  <to>
                    <xdr:col>8</xdr:col>
                    <xdr:colOff>711200</xdr:colOff>
                    <xdr:row>25</xdr:row>
                    <xdr:rowOff>177800</xdr:rowOff>
                  </to>
                </anchor>
              </controlPr>
            </control>
          </mc:Choice>
        </mc:AlternateContent>
        <mc:AlternateContent xmlns:mc="http://schemas.openxmlformats.org/markup-compatibility/2006">
          <mc:Choice Requires="x14">
            <control shapeId="103562" r:id="rId18" name="Check Box 1162">
              <controlPr defaultSize="0" autoFill="0" autoLine="0" autoPict="0">
                <anchor moveWithCells="1">
                  <from>
                    <xdr:col>8</xdr:col>
                    <xdr:colOff>406400</xdr:colOff>
                    <xdr:row>26</xdr:row>
                    <xdr:rowOff>25400</xdr:rowOff>
                  </from>
                  <to>
                    <xdr:col>8</xdr:col>
                    <xdr:colOff>711200</xdr:colOff>
                    <xdr:row>26</xdr:row>
                    <xdr:rowOff>177800</xdr:rowOff>
                  </to>
                </anchor>
              </controlPr>
            </control>
          </mc:Choice>
        </mc:AlternateContent>
        <mc:AlternateContent xmlns:mc="http://schemas.openxmlformats.org/markup-compatibility/2006">
          <mc:Choice Requires="x14">
            <control shapeId="103563" r:id="rId19" name="Check Box 1163">
              <controlPr defaultSize="0" autoFill="0" autoLine="0" autoPict="0">
                <anchor moveWithCells="1">
                  <from>
                    <xdr:col>8</xdr:col>
                    <xdr:colOff>406400</xdr:colOff>
                    <xdr:row>27</xdr:row>
                    <xdr:rowOff>25400</xdr:rowOff>
                  </from>
                  <to>
                    <xdr:col>8</xdr:col>
                    <xdr:colOff>711200</xdr:colOff>
                    <xdr:row>27</xdr:row>
                    <xdr:rowOff>177800</xdr:rowOff>
                  </to>
                </anchor>
              </controlPr>
            </control>
          </mc:Choice>
        </mc:AlternateContent>
        <mc:AlternateContent xmlns:mc="http://schemas.openxmlformats.org/markup-compatibility/2006">
          <mc:Choice Requires="x14">
            <control shapeId="103564" r:id="rId20" name="Check Box 1164">
              <controlPr defaultSize="0" autoFill="0" autoLine="0" autoPict="0">
                <anchor moveWithCells="1">
                  <from>
                    <xdr:col>8</xdr:col>
                    <xdr:colOff>406400</xdr:colOff>
                    <xdr:row>28</xdr:row>
                    <xdr:rowOff>25400</xdr:rowOff>
                  </from>
                  <to>
                    <xdr:col>8</xdr:col>
                    <xdr:colOff>711200</xdr:colOff>
                    <xdr:row>28</xdr:row>
                    <xdr:rowOff>177800</xdr:rowOff>
                  </to>
                </anchor>
              </controlPr>
            </control>
          </mc:Choice>
        </mc:AlternateContent>
        <mc:AlternateContent xmlns:mc="http://schemas.openxmlformats.org/markup-compatibility/2006">
          <mc:Choice Requires="x14">
            <control shapeId="103565" r:id="rId21" name="Check Box 1165">
              <controlPr defaultSize="0" autoFill="0" autoLine="0" autoPict="0">
                <anchor moveWithCells="1">
                  <from>
                    <xdr:col>5</xdr:col>
                    <xdr:colOff>342900</xdr:colOff>
                    <xdr:row>26</xdr:row>
                    <xdr:rowOff>25400</xdr:rowOff>
                  </from>
                  <to>
                    <xdr:col>5</xdr:col>
                    <xdr:colOff>647700</xdr:colOff>
                    <xdr:row>26</xdr:row>
                    <xdr:rowOff>177800</xdr:rowOff>
                  </to>
                </anchor>
              </controlPr>
            </control>
          </mc:Choice>
        </mc:AlternateContent>
        <mc:AlternateContent xmlns:mc="http://schemas.openxmlformats.org/markup-compatibility/2006">
          <mc:Choice Requires="x14">
            <control shapeId="103566" r:id="rId22" name="Check Box 1166">
              <controlPr defaultSize="0" autoFill="0" autoLine="0" autoPict="0" macro="[0]!Employment_Include">
                <anchor moveWithCells="1">
                  <from>
                    <xdr:col>5</xdr:col>
                    <xdr:colOff>342900</xdr:colOff>
                    <xdr:row>27</xdr:row>
                    <xdr:rowOff>25400</xdr:rowOff>
                  </from>
                  <to>
                    <xdr:col>5</xdr:col>
                    <xdr:colOff>647700</xdr:colOff>
                    <xdr:row>27</xdr:row>
                    <xdr:rowOff>177800</xdr:rowOff>
                  </to>
                </anchor>
              </controlPr>
            </control>
          </mc:Choice>
        </mc:AlternateContent>
        <mc:AlternateContent xmlns:mc="http://schemas.openxmlformats.org/markup-compatibility/2006">
          <mc:Choice Requires="x14">
            <control shapeId="103567" r:id="rId23" name="Check Box 1167">
              <controlPr defaultSize="0" autoFill="0" autoLine="0" autoPict="0" macro="[0]!Employment_Include">
                <anchor moveWithCells="1">
                  <from>
                    <xdr:col>5</xdr:col>
                    <xdr:colOff>342900</xdr:colOff>
                    <xdr:row>28</xdr:row>
                    <xdr:rowOff>25400</xdr:rowOff>
                  </from>
                  <to>
                    <xdr:col>5</xdr:col>
                    <xdr:colOff>647700</xdr:colOff>
                    <xdr:row>28</xdr:row>
                    <xdr:rowOff>177800</xdr:rowOff>
                  </to>
                </anchor>
              </controlPr>
            </control>
          </mc:Choice>
        </mc:AlternateContent>
        <mc:AlternateContent xmlns:mc="http://schemas.openxmlformats.org/markup-compatibility/2006">
          <mc:Choice Requires="x14">
            <control shapeId="103568" r:id="rId24" name="Check Box 1168">
              <controlPr defaultSize="0" autoFill="0" autoLine="0" autoPict="0">
                <anchor moveWithCells="1">
                  <from>
                    <xdr:col>8</xdr:col>
                    <xdr:colOff>406400</xdr:colOff>
                    <xdr:row>25</xdr:row>
                    <xdr:rowOff>25400</xdr:rowOff>
                  </from>
                  <to>
                    <xdr:col>8</xdr:col>
                    <xdr:colOff>711200</xdr:colOff>
                    <xdr:row>25</xdr:row>
                    <xdr:rowOff>177800</xdr:rowOff>
                  </to>
                </anchor>
              </controlPr>
            </control>
          </mc:Choice>
        </mc:AlternateContent>
        <mc:AlternateContent xmlns:mc="http://schemas.openxmlformats.org/markup-compatibility/2006">
          <mc:Choice Requires="x14">
            <control shapeId="103569" r:id="rId25" name="Check Box 1169">
              <controlPr defaultSize="0" autoFill="0" autoLine="0" autoPict="0">
                <anchor moveWithCells="1">
                  <from>
                    <xdr:col>8</xdr:col>
                    <xdr:colOff>406400</xdr:colOff>
                    <xdr:row>26</xdr:row>
                    <xdr:rowOff>25400</xdr:rowOff>
                  </from>
                  <to>
                    <xdr:col>8</xdr:col>
                    <xdr:colOff>711200</xdr:colOff>
                    <xdr:row>26</xdr:row>
                    <xdr:rowOff>177800</xdr:rowOff>
                  </to>
                </anchor>
              </controlPr>
            </control>
          </mc:Choice>
        </mc:AlternateContent>
        <mc:AlternateContent xmlns:mc="http://schemas.openxmlformats.org/markup-compatibility/2006">
          <mc:Choice Requires="x14">
            <control shapeId="103570" r:id="rId26" name="Check Box 1170">
              <controlPr defaultSize="0" autoFill="0" autoLine="0" autoPict="0">
                <anchor moveWithCells="1">
                  <from>
                    <xdr:col>8</xdr:col>
                    <xdr:colOff>406400</xdr:colOff>
                    <xdr:row>27</xdr:row>
                    <xdr:rowOff>25400</xdr:rowOff>
                  </from>
                  <to>
                    <xdr:col>8</xdr:col>
                    <xdr:colOff>711200</xdr:colOff>
                    <xdr:row>27</xdr:row>
                    <xdr:rowOff>177800</xdr:rowOff>
                  </to>
                </anchor>
              </controlPr>
            </control>
          </mc:Choice>
        </mc:AlternateContent>
        <mc:AlternateContent xmlns:mc="http://schemas.openxmlformats.org/markup-compatibility/2006">
          <mc:Choice Requires="x14">
            <control shapeId="103571" r:id="rId27" name="Check Box 1171">
              <controlPr defaultSize="0" autoFill="0" autoLine="0" autoPict="0">
                <anchor moveWithCells="1">
                  <from>
                    <xdr:col>8</xdr:col>
                    <xdr:colOff>406400</xdr:colOff>
                    <xdr:row>28</xdr:row>
                    <xdr:rowOff>25400</xdr:rowOff>
                  </from>
                  <to>
                    <xdr:col>8</xdr:col>
                    <xdr:colOff>711200</xdr:colOff>
                    <xdr:row>28</xdr:row>
                    <xdr:rowOff>177800</xdr:rowOff>
                  </to>
                </anchor>
              </controlPr>
            </control>
          </mc:Choice>
        </mc:AlternateContent>
        <mc:AlternateContent xmlns:mc="http://schemas.openxmlformats.org/markup-compatibility/2006">
          <mc:Choice Requires="x14">
            <control shapeId="103572" r:id="rId28" name="Check Box 1172">
              <controlPr defaultSize="0" autoFill="0" autoLine="0" autoPict="0" macro="[0]!Employment_Include">
                <anchor moveWithCells="1">
                  <from>
                    <xdr:col>5</xdr:col>
                    <xdr:colOff>342900</xdr:colOff>
                    <xdr:row>26</xdr:row>
                    <xdr:rowOff>25400</xdr:rowOff>
                  </from>
                  <to>
                    <xdr:col>5</xdr:col>
                    <xdr:colOff>647700</xdr:colOff>
                    <xdr:row>26</xdr:row>
                    <xdr:rowOff>177800</xdr:rowOff>
                  </to>
                </anchor>
              </controlPr>
            </control>
          </mc:Choice>
        </mc:AlternateContent>
        <mc:AlternateContent xmlns:mc="http://schemas.openxmlformats.org/markup-compatibility/2006">
          <mc:Choice Requires="x14">
            <control shapeId="103573" r:id="rId29" name="Check Box 1173">
              <controlPr defaultSize="0" autoFill="0" autoLine="0" autoPict="0">
                <anchor moveWithCells="1">
                  <from>
                    <xdr:col>12</xdr:col>
                    <xdr:colOff>279400</xdr:colOff>
                    <xdr:row>28</xdr:row>
                    <xdr:rowOff>25400</xdr:rowOff>
                  </from>
                  <to>
                    <xdr:col>12</xdr:col>
                    <xdr:colOff>584200</xdr:colOff>
                    <xdr:row>28</xdr:row>
                    <xdr:rowOff>177800</xdr:rowOff>
                  </to>
                </anchor>
              </controlPr>
            </control>
          </mc:Choice>
        </mc:AlternateContent>
        <mc:AlternateContent xmlns:mc="http://schemas.openxmlformats.org/markup-compatibility/2006">
          <mc:Choice Requires="x14">
            <control shapeId="103574" r:id="rId30" name="Check Box 1174">
              <controlPr defaultSize="0" autoFill="0" autoLine="0" autoPict="0" macro="[0]!Employment_LMI">
                <anchor moveWithCells="1">
                  <from>
                    <xdr:col>13</xdr:col>
                    <xdr:colOff>279400</xdr:colOff>
                    <xdr:row>25</xdr:row>
                    <xdr:rowOff>25400</xdr:rowOff>
                  </from>
                  <to>
                    <xdr:col>13</xdr:col>
                    <xdr:colOff>584200</xdr:colOff>
                    <xdr:row>25</xdr:row>
                    <xdr:rowOff>177800</xdr:rowOff>
                  </to>
                </anchor>
              </controlPr>
            </control>
          </mc:Choice>
        </mc:AlternateContent>
        <mc:AlternateContent xmlns:mc="http://schemas.openxmlformats.org/markup-compatibility/2006">
          <mc:Choice Requires="x14">
            <control shapeId="103575" r:id="rId31" name="Check Box 1175">
              <controlPr defaultSize="0" autoFill="0" autoLine="0" autoPict="0" macro="[0]!Employment_LMI">
                <anchor moveWithCells="1">
                  <from>
                    <xdr:col>30</xdr:col>
                    <xdr:colOff>266700</xdr:colOff>
                    <xdr:row>16</xdr:row>
                    <xdr:rowOff>25400</xdr:rowOff>
                  </from>
                  <to>
                    <xdr:col>36</xdr:col>
                    <xdr:colOff>304800</xdr:colOff>
                    <xdr:row>16</xdr:row>
                    <xdr:rowOff>177800</xdr:rowOff>
                  </to>
                </anchor>
              </controlPr>
            </control>
          </mc:Choice>
        </mc:AlternateContent>
        <mc:AlternateContent xmlns:mc="http://schemas.openxmlformats.org/markup-compatibility/2006">
          <mc:Choice Requires="x14">
            <control shapeId="103576" r:id="rId32" name="Check Box 1176">
              <controlPr defaultSize="0" autoFill="0" autoLine="0" autoPict="0" macro="[0]!Employment_LMI">
                <anchor moveWithCells="1">
                  <from>
                    <xdr:col>30</xdr:col>
                    <xdr:colOff>266700</xdr:colOff>
                    <xdr:row>16</xdr:row>
                    <xdr:rowOff>25400</xdr:rowOff>
                  </from>
                  <to>
                    <xdr:col>36</xdr:col>
                    <xdr:colOff>304800</xdr:colOff>
                    <xdr:row>16</xdr:row>
                    <xdr:rowOff>177800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044" id="{00000000-000E-0000-0200-00000B000000}">
            <xm:f>IF($Q$139&gt;='Configurable Items'!$E$537,TRUE,FALSE)</xm:f>
            <x14:dxf>
              <font>
                <b/>
                <i val="0"/>
                <color rgb="FFB60000"/>
              </font>
            </x14:dxf>
          </x14:cfRule>
          <x14:cfRule type="expression" priority="3056" id="{F77CDB77-7767-48E0-B0B0-B66C70BF4307}">
            <xm:f>IF(AND($Q$139&gt;='Configurable Items'!$E$536,'Internal Ref'!$L$238=0),TRUE,FALSE)</xm:f>
            <x14:dxf>
              <font>
                <b/>
                <i val="0"/>
                <color rgb="FFB60000"/>
              </font>
            </x14:dxf>
          </x14:cfRule>
          <x14:cfRule type="expression" priority="3057" id="{00000000-000E-0000-0200-00000C000000}">
            <xm:f>$Q$139&gt;'Configurable Items'!$E$535</xm:f>
            <x14:dxf>
              <font>
                <b/>
                <i val="0"/>
                <color rgb="FFF36D00"/>
              </font>
            </x14:dxf>
          </x14:cfRule>
          <xm:sqref>K142 Q139</xm:sqref>
        </x14:conditionalFormatting>
        <x14:conditionalFormatting xmlns:xm="http://schemas.microsoft.com/office/excel/2006/main">
          <x14:cfRule type="expression" priority="3045" id="{00000000-000E-0000-0200-00006C040000}">
            <xm:f>IF($H$132&gt;='Configurable Items'!$E$537,TRUE,FALSE)</xm:f>
            <x14:dxf>
              <font>
                <b/>
                <i val="0"/>
                <color rgb="FFB60000"/>
              </font>
            </x14:dxf>
          </x14:cfRule>
          <x14:cfRule type="expression" priority="4177" id="{2152C83F-DC92-47C3-B8C0-2E9AAEE65C02}">
            <xm:f>IF(AND($H$132&gt;='Configurable Items'!$E$536,'Internal Ref'!$L$234=0),TRUE,FALSE)</xm:f>
            <x14:dxf>
              <font>
                <b/>
                <i val="0"/>
                <color rgb="FFB60000"/>
              </font>
            </x14:dxf>
          </x14:cfRule>
          <xm:sqref>H132:H133</xm:sqref>
        </x14:conditionalFormatting>
        <x14:conditionalFormatting xmlns:xm="http://schemas.microsoft.com/office/excel/2006/main">
          <x14:cfRule type="expression" priority="4178" id="{00000000-000E-0000-0200-00006D040000}">
            <xm:f>$H$132&gt;'Configurable Items'!$E$535</xm:f>
            <x14:dxf>
              <font>
                <b/>
                <i val="0"/>
                <color rgb="FFF36D00"/>
              </font>
            </x14:dxf>
          </x14:cfRule>
          <xm:sqref>H132:H133</xm:sqref>
        </x14:conditionalFormatting>
        <x14:conditionalFormatting xmlns:xm="http://schemas.microsoft.com/office/excel/2006/main">
          <x14:cfRule type="expression" priority="778" id="{96B2CC34-6233-4DE1-8117-44E972D50B89}">
            <xm:f>AND(VLOOKUP(E48,'Configurable Items'!$D$4692:$F$4700,3,FALSE),I48="")</xm:f>
            <x14:dxf>
              <fill>
                <patternFill>
                  <bgColor rgb="FFF6C2C2"/>
                </patternFill>
              </fill>
            </x14:dxf>
          </x14:cfRule>
          <xm:sqref>I48</xm:sqref>
        </x14:conditionalFormatting>
        <x14:conditionalFormatting xmlns:xm="http://schemas.microsoft.com/office/excel/2006/main">
          <x14:cfRule type="expression" priority="779" id="{8E49FA2B-1F30-47AC-8DC1-CF6865BB6C48}">
            <xm:f>AND(VLOOKUP(E48,'Configurable Items'!$D$4692:$E$4700,2,FALSE),$F48="")</xm:f>
            <x14:dxf>
              <fill>
                <patternFill>
                  <bgColor rgb="FFF6C2C2"/>
                </patternFill>
              </fill>
            </x14:dxf>
          </x14:cfRule>
          <x14:cfRule type="expression" priority="780" id="{D44D2D05-BE0F-41CA-BEB5-26E0AB4E8210}">
            <xm:f>VLOOKUP(E48,'Configurable Items'!$D$4690:$E$4697,2,FALSE)</xm:f>
            <x14:dxf>
              <fill>
                <patternFill patternType="none">
                  <bgColor auto="1"/>
                </patternFill>
              </fill>
              <border>
                <left style="thin">
                  <color rgb="FFE0E0E0"/>
                </left>
                <right style="thin">
                  <color rgb="FFE0E0E0"/>
                </right>
                <top style="thin">
                  <color rgb="FFE0E0E0"/>
                </top>
                <bottom style="thin">
                  <color rgb="FFE0E0E0"/>
                </bottom>
                <vertical/>
                <horizontal/>
              </border>
            </x14:dxf>
          </x14:cfRule>
          <xm:sqref>F48</xm:sqref>
        </x14:conditionalFormatting>
        <x14:conditionalFormatting xmlns:xm="http://schemas.microsoft.com/office/excel/2006/main">
          <x14:cfRule type="expression" priority="773" stopIfTrue="1" id="{E80C554C-C7F4-4608-8FCD-6FA055F28CDC}">
            <xm:f>AND(E48="Overseas",NOT(VLOOKUP(F48,'Configurable Items'!$E$4702:$H$4730,4,FALSE)))</xm:f>
            <x14:dxf>
              <fill>
                <patternFill>
                  <bgColor rgb="FFF7F7F7"/>
                </patternFill>
              </fill>
            </x14:dxf>
          </x14:cfRule>
          <xm:sqref>J48:L48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C6FED01F-EB5F-492B-A7A2-C2B06429B1D3}">
          <x14:formula1>
            <xm:f>'Configurable Items'!$D$4692:$D$4700</xm:f>
          </x14:formula1>
          <xm:sqref>E49</xm:sqref>
        </x14:dataValidation>
        <x14:dataValidation type="list" allowBlank="1" showInputMessage="1" showErrorMessage="1" xr:uid="{7B391AF4-8E3C-43F3-B14F-D94C17DD96D3}">
          <x14:formula1>
            <xm:f>'Configurable Items'!$E$4762:$E$4774</xm:f>
          </x14:formula1>
          <xm:sqref>D28</xm:sqref>
        </x14:dataValidation>
        <x14:dataValidation type="list" allowBlank="1" showInputMessage="1" showErrorMessage="1" xr:uid="{9A50B6B7-66A3-4172-9FDD-3A99E9A0F286}">
          <x14:formula1>
            <xm:f>'Configurable Items'!$D$4791:$D$4797</xm:f>
          </x14:formula1>
          <xm:sqref>F10</xm:sqref>
        </x14:dataValidation>
        <x14:dataValidation type="list" allowBlank="1" showInputMessage="1" showErrorMessage="1" xr:uid="{EC6F2610-010D-4F59-9C21-EB74DE5EF40A}">
          <x14:formula1>
            <xm:f>'Configurable Items'!$D$4801:$D$4803</xm:f>
          </x14:formula1>
          <xm:sqref>G10</xm:sqref>
        </x14:dataValidation>
        <x14:dataValidation type="list" allowBlank="1" showInputMessage="1" showErrorMessage="1" xr:uid="{78035171-8FAE-40B5-957D-9E228B79A9C2}">
          <x14:formula1>
            <xm:f>'Configurable Items'!$D$4807:$D$4814</xm:f>
          </x14:formula1>
          <xm:sqref>H112</xm:sqref>
        </x14:dataValidation>
        <x14:dataValidation type="list" allowBlank="1" showInputMessage="1" showErrorMessage="1" xr:uid="{A85AF135-84D0-489E-8E0A-40D2164E9BCA}">
          <x14:formula1>
            <xm:f>INDIRECT('Internal Ref'!$F$242)</xm:f>
          </x14:formula1>
          <xm:sqref>F112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28A44-7C0C-4838-B01F-BF918132605C}">
  <sheetPr codeName="Sheet3">
    <tabColor theme="0" tint="-0.499984740745262"/>
  </sheetPr>
  <dimension ref="A1:CS762"/>
  <sheetViews>
    <sheetView topLeftCell="A188" workbookViewId="0">
      <selection activeCell="B191" sqref="B191"/>
    </sheetView>
  </sheetViews>
  <sheetFormatPr baseColWidth="10" defaultColWidth="9" defaultRowHeight="15" outlineLevelCol="1"/>
  <cols>
    <col min="1" max="1" width="44.5" style="2" bestFit="1" customWidth="1"/>
    <col min="2" max="2" width="16.6640625" style="2" customWidth="1"/>
    <col min="3" max="3" width="10.5" style="2" customWidth="1"/>
    <col min="4" max="4" width="32.33203125" style="2" bestFit="1" customWidth="1"/>
    <col min="5" max="5" width="8.83203125" style="2" bestFit="1" customWidth="1"/>
    <col min="6" max="6" width="25.83203125" style="2" customWidth="1"/>
    <col min="7" max="7" width="39.5" style="2" customWidth="1"/>
    <col min="8" max="8" width="24.1640625" style="2" customWidth="1"/>
    <col min="9" max="9" width="13.1640625" style="2" customWidth="1"/>
    <col min="10" max="10" width="15.1640625" style="2" customWidth="1"/>
    <col min="11" max="11" width="12.5" style="2" customWidth="1"/>
    <col min="12" max="12" width="23.6640625" style="2" customWidth="1"/>
    <col min="13" max="13" width="21.6640625" style="2" bestFit="1" customWidth="1"/>
    <col min="14" max="14" width="14.33203125" style="2" customWidth="1"/>
    <col min="15" max="15" width="11.5" style="2" customWidth="1"/>
    <col min="16" max="16" width="21.5" style="2" bestFit="1" customWidth="1"/>
    <col min="17" max="17" width="27.5" style="2" customWidth="1"/>
    <col min="18" max="18" width="37.1640625" style="2" bestFit="1" customWidth="1" outlineLevel="1"/>
    <col min="19" max="19" width="12" style="2" customWidth="1"/>
    <col min="20" max="20" width="14.5" style="2" customWidth="1" outlineLevel="1"/>
    <col min="21" max="21" width="14.5" style="2" customWidth="1"/>
    <col min="22" max="22" width="14.5" style="2" customWidth="1" outlineLevel="1"/>
    <col min="23" max="23" width="14.5" style="2" customWidth="1"/>
    <col min="24" max="24" width="14.5" style="2" customWidth="1" outlineLevel="1"/>
    <col min="25" max="25" width="14.5" style="2" customWidth="1"/>
    <col min="26" max="29" width="9" style="2"/>
    <col min="30" max="30" width="25.1640625" style="2" bestFit="1" customWidth="1"/>
    <col min="31" max="31" width="15.6640625" style="2" bestFit="1" customWidth="1"/>
    <col min="32" max="32" width="13.33203125" style="2" customWidth="1"/>
    <col min="33" max="33" width="9" style="2"/>
    <col min="34" max="34" width="28.83203125" style="2" bestFit="1" customWidth="1"/>
    <col min="35" max="35" width="9" style="2"/>
    <col min="36" max="36" width="10.6640625" style="2" bestFit="1" customWidth="1"/>
    <col min="37" max="38" width="9" style="2"/>
    <col min="39" max="39" width="30" style="2" bestFit="1" customWidth="1"/>
    <col min="40" max="40" width="17.6640625" style="2" bestFit="1" customWidth="1"/>
    <col min="41" max="41" width="18.6640625" style="2" bestFit="1" customWidth="1"/>
    <col min="42" max="51" width="9" style="2"/>
    <col min="52" max="52" width="10.6640625" style="2" bestFit="1" customWidth="1"/>
    <col min="53" max="53" width="9" style="2"/>
    <col min="54" max="54" width="12" style="2" customWidth="1"/>
    <col min="55" max="59" width="9" style="2"/>
    <col min="60" max="60" width="12.6640625" style="2" customWidth="1"/>
    <col min="61" max="63" width="9" style="2"/>
    <col min="64" max="64" width="14.6640625" style="2" customWidth="1"/>
    <col min="65" max="16384" width="9" style="2"/>
  </cols>
  <sheetData>
    <row r="1" spans="1:41">
      <c r="D1" s="101" t="s">
        <v>242</v>
      </c>
      <c r="E1" s="2">
        <f>MATCH(D1,'Configurable Items'!C:C,0)</f>
        <v>710</v>
      </c>
      <c r="F1" s="115" t="s">
        <v>8914</v>
      </c>
      <c r="G1" s="115" t="s">
        <v>8906</v>
      </c>
      <c r="H1" s="115" t="s">
        <v>8907</v>
      </c>
      <c r="I1" s="115" t="s">
        <v>8908</v>
      </c>
      <c r="J1" s="699" t="s">
        <v>243</v>
      </c>
      <c r="K1" s="2">
        <v>88</v>
      </c>
      <c r="Q1" s="102" t="s">
        <v>244</v>
      </c>
      <c r="R1" s="103"/>
      <c r="S1" s="103"/>
      <c r="T1" s="103"/>
      <c r="U1" s="103"/>
      <c r="V1" s="103"/>
      <c r="W1" s="103"/>
      <c r="X1" s="103"/>
      <c r="Y1" s="104"/>
      <c r="AE1" s="2" t="s">
        <v>245</v>
      </c>
      <c r="AM1" s="1337" t="s">
        <v>8950</v>
      </c>
      <c r="AN1" s="1338"/>
      <c r="AO1" s="1339"/>
    </row>
    <row r="2" spans="1:41">
      <c r="A2" s="2">
        <v>1</v>
      </c>
      <c r="D2" s="105" t="s">
        <v>246</v>
      </c>
      <c r="E2" s="2">
        <f>MATCH(D2,'Configurable Items'!C:C,0)</f>
        <v>4806</v>
      </c>
      <c r="F2" s="701" t="s">
        <v>8909</v>
      </c>
      <c r="G2" s="700">
        <f>MATCH(F2&amp;$G$1,'Configurable Items'!C:C,0)</f>
        <v>558</v>
      </c>
      <c r="H2" s="700">
        <f>MATCH(F2&amp;$H$1,'Configurable Items'!C:C,0)</f>
        <v>564</v>
      </c>
      <c r="I2" s="700">
        <f>H2-G2-2</f>
        <v>4</v>
      </c>
      <c r="Q2" s="106" t="s">
        <v>247</v>
      </c>
      <c r="R2" s="107"/>
      <c r="S2" s="107" t="s">
        <v>248</v>
      </c>
      <c r="T2" s="106"/>
      <c r="U2" s="106" t="s">
        <v>249</v>
      </c>
      <c r="V2" s="106"/>
      <c r="W2" s="106" t="s">
        <v>250</v>
      </c>
      <c r="X2" s="107"/>
      <c r="Y2" s="107" t="s">
        <v>251</v>
      </c>
      <c r="AA2" s="2">
        <v>600</v>
      </c>
      <c r="AD2" s="108" t="s">
        <v>252</v>
      </c>
      <c r="AE2" s="2" t="e">
        <f>MATCH(AD2,#REF!,0)-1</f>
        <v>#REF!</v>
      </c>
      <c r="AH2" s="109" t="s">
        <v>253</v>
      </c>
      <c r="AI2" s="110" t="s">
        <v>254</v>
      </c>
      <c r="AM2" s="145" t="s">
        <v>834</v>
      </c>
      <c r="AN2" s="145" t="s">
        <v>835</v>
      </c>
      <c r="AO2" s="207" t="s">
        <v>836</v>
      </c>
    </row>
    <row r="3" spans="1:41" ht="16">
      <c r="D3" s="2" t="s">
        <v>8466</v>
      </c>
      <c r="E3" s="2">
        <f>MATCH(D3,'Configurable Items'!C:C,0)</f>
        <v>351</v>
      </c>
      <c r="F3" s="701" t="s">
        <v>8910</v>
      </c>
      <c r="G3" s="700">
        <f>MATCH(F3&amp;$G$1,'Configurable Items'!C:C,0)</f>
        <v>566</v>
      </c>
      <c r="H3" s="700">
        <f>MATCH(F3&amp;$H$1,'Configurable Items'!C:C,0)</f>
        <v>569</v>
      </c>
      <c r="I3" s="700">
        <f>H3-G3-2</f>
        <v>1</v>
      </c>
      <c r="Q3" s="111" t="s">
        <v>255</v>
      </c>
      <c r="R3" s="112" t="s">
        <v>255</v>
      </c>
      <c r="S3" s="111" t="e">
        <f>MATCH(R3,#REF!,0)</f>
        <v>#REF!</v>
      </c>
      <c r="T3" s="111" t="s">
        <v>255</v>
      </c>
      <c r="U3" s="112" t="e">
        <f>MATCH(T3,#REF!,0)</f>
        <v>#REF!</v>
      </c>
      <c r="V3" s="111" t="s">
        <v>255</v>
      </c>
      <c r="W3" s="111" t="e">
        <f>MATCH(V3,#REF!,0)</f>
        <v>#REF!</v>
      </c>
      <c r="X3" s="112" t="s">
        <v>256</v>
      </c>
      <c r="Y3" s="112" t="e">
        <f>MATCH(X3,#REF!,0)</f>
        <v>#REF!</v>
      </c>
      <c r="AD3" s="108" t="s">
        <v>257</v>
      </c>
      <c r="AE3" s="2" t="e">
        <f>MATCH(AD3,#REF!,0)-1</f>
        <v>#REF!</v>
      </c>
      <c r="AH3" s="113" t="s">
        <v>258</v>
      </c>
      <c r="AI3" s="114" t="s">
        <v>220</v>
      </c>
      <c r="AM3" s="138" t="s">
        <v>838</v>
      </c>
      <c r="AN3" s="112" t="s">
        <v>839</v>
      </c>
      <c r="AO3" s="112" t="str">
        <f>VLOOKUP(AN3,'reference-data'!A:B,2,FALSE)</f>
        <v>141</v>
      </c>
    </row>
    <row r="4" spans="1:41" ht="16">
      <c r="A4" s="115" t="s">
        <v>259</v>
      </c>
      <c r="B4" s="115" t="s">
        <v>260</v>
      </c>
      <c r="C4" s="115" t="s">
        <v>261</v>
      </c>
      <c r="D4" s="105" t="s">
        <v>262</v>
      </c>
      <c r="E4" s="2">
        <f>MATCH(D4,'Configurable Items'!C:C,0)</f>
        <v>514</v>
      </c>
      <c r="F4" s="701" t="s">
        <v>8911</v>
      </c>
      <c r="G4" s="700">
        <f>MATCH(F4&amp;$G$1,'Configurable Items'!C:C,0)</f>
        <v>571</v>
      </c>
      <c r="H4" s="700">
        <f>MATCH(F4&amp;$H$1,'Configurable Items'!C:C,0)</f>
        <v>575</v>
      </c>
      <c r="I4" s="700">
        <f>H4-G4-2</f>
        <v>2</v>
      </c>
      <c r="Q4" s="113" t="s">
        <v>263</v>
      </c>
      <c r="R4" s="114" t="s">
        <v>263</v>
      </c>
      <c r="S4" s="113" t="e">
        <f>MATCH(R4,#REF!,0)</f>
        <v>#REF!</v>
      </c>
      <c r="T4" s="113" t="s">
        <v>263</v>
      </c>
      <c r="U4" s="114" t="e">
        <f>MATCH(T4,#REF!,0)</f>
        <v>#REF!</v>
      </c>
      <c r="V4" s="113" t="s">
        <v>263</v>
      </c>
      <c r="W4" s="113" t="e">
        <f>MATCH(V4,#REF!,0)</f>
        <v>#REF!</v>
      </c>
      <c r="X4" s="114" t="s">
        <v>264</v>
      </c>
      <c r="Y4" s="114" t="e">
        <f>MATCH(X4,#REF!,0)</f>
        <v>#REF!</v>
      </c>
      <c r="AD4" s="108" t="s">
        <v>265</v>
      </c>
      <c r="AE4" s="2" t="e">
        <f>MATCH(AD4,#REF!,0)-1</f>
        <v>#REF!</v>
      </c>
      <c r="AH4" s="111" t="s">
        <v>266</v>
      </c>
      <c r="AI4" s="112" t="s">
        <v>220</v>
      </c>
      <c r="AM4" s="138" t="s">
        <v>840</v>
      </c>
      <c r="AN4" s="1336" t="s">
        <v>841</v>
      </c>
      <c r="AO4" s="1335" t="str">
        <f>VLOOKUP(AN4,'reference-data'!A:B,2,FALSE)</f>
        <v>2025-04-06T00:00:00Z</v>
      </c>
    </row>
    <row r="5" spans="1:41" ht="17" thickBot="1">
      <c r="A5" s="116" t="s">
        <v>168</v>
      </c>
      <c r="B5" s="117" t="e">
        <f>MATCH(A5,#REF!,FALSE)+14</f>
        <v>#REF!</v>
      </c>
      <c r="C5" s="117" t="e">
        <f>B6-2</f>
        <v>#REF!</v>
      </c>
      <c r="D5" s="105" t="s">
        <v>267</v>
      </c>
      <c r="E5" s="2">
        <f>MATCH(D5,'Configurable Items'!C:C,0)</f>
        <v>530</v>
      </c>
      <c r="F5" s="701" t="s">
        <v>8912</v>
      </c>
      <c r="G5" s="700">
        <f>MATCH(F5&amp;$G$1,'Configurable Items'!C:C,0)</f>
        <v>577</v>
      </c>
      <c r="H5" s="700">
        <f>MATCH(F5&amp;$H$1,'Configurable Items'!C:C,0)</f>
        <v>582</v>
      </c>
      <c r="I5" s="700">
        <f>H5-G5-2</f>
        <v>3</v>
      </c>
      <c r="Q5" s="118" t="s">
        <v>268</v>
      </c>
      <c r="R5" s="119" t="s">
        <v>269</v>
      </c>
      <c r="S5" s="118" t="e">
        <f>MATCH(R5,#REF!,0)</f>
        <v>#REF!</v>
      </c>
      <c r="T5" s="118" t="s">
        <v>270</v>
      </c>
      <c r="U5" s="119" t="e">
        <f>MATCH(T5,#REF!,0)</f>
        <v>#REF!</v>
      </c>
      <c r="V5" s="118" t="s">
        <v>271</v>
      </c>
      <c r="W5" s="118" t="e">
        <f>MATCH(V5,#REF!,0)</f>
        <v>#REF!</v>
      </c>
      <c r="X5" s="119" t="s">
        <v>272</v>
      </c>
      <c r="Y5" s="119" t="e">
        <f>MATCH(X5,#REF!,0)</f>
        <v>#REF!</v>
      </c>
      <c r="AD5" s="108" t="s">
        <v>273</v>
      </c>
      <c r="AE5" s="2" t="e">
        <f>MATCH(AD5,#REF!,0)-1</f>
        <v>#REF!</v>
      </c>
      <c r="AH5" s="113" t="s">
        <v>274</v>
      </c>
      <c r="AI5" s="114" t="s">
        <v>217</v>
      </c>
      <c r="AM5" s="138" t="s">
        <v>8935</v>
      </c>
      <c r="AN5" s="264" t="s">
        <v>8932</v>
      </c>
      <c r="AO5" s="112" t="str">
        <f>VLOOKUP(AN5,'reference-data'!A:B,2,FALSE)</f>
        <v>HL_Calc_V54_250405</v>
      </c>
    </row>
    <row r="6" spans="1:41" ht="16">
      <c r="A6" s="116" t="s">
        <v>225</v>
      </c>
      <c r="B6" s="100" t="e">
        <f>MATCH(A6,#REF!,FALSE)</f>
        <v>#REF!</v>
      </c>
      <c r="C6" s="100"/>
      <c r="D6" s="2" t="s">
        <v>275</v>
      </c>
      <c r="F6" s="701" t="s">
        <v>8913</v>
      </c>
      <c r="G6" s="700">
        <f>MATCH(F6&amp;$G$1,'Configurable Items'!C:C,0)</f>
        <v>584</v>
      </c>
      <c r="H6" s="700">
        <f>MATCH(F6&amp;$H$1,'Configurable Items'!C:C,0)</f>
        <v>589</v>
      </c>
      <c r="I6" s="700">
        <f>(H6-G6-2)</f>
        <v>3</v>
      </c>
      <c r="Q6" s="120" t="s">
        <v>276</v>
      </c>
      <c r="R6" s="121" t="s">
        <v>277</v>
      </c>
      <c r="S6" s="120" t="e">
        <f>MATCH(R6,#REF!,0)</f>
        <v>#REF!</v>
      </c>
      <c r="T6" s="120" t="s">
        <v>278</v>
      </c>
      <c r="U6" s="121" t="e">
        <f>MATCH(T6,#REF!,0)</f>
        <v>#REF!</v>
      </c>
      <c r="V6" s="120" t="s">
        <v>279</v>
      </c>
      <c r="W6" s="120" t="e">
        <f>MATCH(V6,#REF!,0)</f>
        <v>#REF!</v>
      </c>
      <c r="X6" s="120" t="s">
        <v>280</v>
      </c>
      <c r="Y6" s="121" t="e">
        <f>MATCH(X6,#REF!,0)</f>
        <v>#REF!</v>
      </c>
      <c r="AD6" s="108" t="s">
        <v>281</v>
      </c>
      <c r="AE6" s="2" t="e">
        <f>MATCH(AD6,#REF!,0)-1</f>
        <v>#REF!</v>
      </c>
      <c r="AH6" s="111" t="s">
        <v>282</v>
      </c>
      <c r="AI6" s="112" t="s">
        <v>208</v>
      </c>
      <c r="AM6" s="138" t="s">
        <v>8934</v>
      </c>
      <c r="AN6" s="1336" t="s">
        <v>8933</v>
      </c>
      <c r="AO6" s="1335" t="str">
        <f>VLOOKUP(AN6,'reference-data'!A:B,2,FALSE)</f>
        <v>CCPL_Calc_V07_250405</v>
      </c>
    </row>
    <row r="7" spans="1:41" ht="16">
      <c r="A7" s="116" t="s">
        <v>86</v>
      </c>
      <c r="B7" s="117" t="e">
        <f>MATCH(A7,#REF!,FALSE)+2</f>
        <v>#REF!</v>
      </c>
      <c r="C7" s="117" t="e">
        <f>B8-3</f>
        <v>#REF!</v>
      </c>
      <c r="D7" s="2" t="s">
        <v>283</v>
      </c>
      <c r="E7" s="2">
        <f>MATCH(D7,'Configurable Items'!C:C,0)</f>
        <v>934</v>
      </c>
      <c r="F7" s="702" t="s">
        <v>914</v>
      </c>
      <c r="G7" s="700">
        <f>MATCH(F7,'Configurable Items'!D:D,0)</f>
        <v>68</v>
      </c>
      <c r="H7" s="700"/>
      <c r="I7" s="700"/>
      <c r="Q7" s="111" t="s">
        <v>284</v>
      </c>
      <c r="R7" s="112" t="s">
        <v>285</v>
      </c>
      <c r="S7" s="111" t="e">
        <f>MATCH(R7,#REF!,0)</f>
        <v>#REF!</v>
      </c>
      <c r="T7" s="111" t="s">
        <v>286</v>
      </c>
      <c r="U7" s="112" t="e">
        <f>MATCH(T7,#REF!,0)</f>
        <v>#REF!</v>
      </c>
      <c r="V7" s="111" t="s">
        <v>287</v>
      </c>
      <c r="W7" s="111" t="e">
        <f>MATCH(V7,#REF!,0)</f>
        <v>#REF!</v>
      </c>
      <c r="X7" s="111" t="s">
        <v>288</v>
      </c>
      <c r="Y7" s="112" t="e">
        <f>MATCH(X7,#REF!,0)</f>
        <v>#REF!</v>
      </c>
      <c r="AD7" s="108" t="s">
        <v>289</v>
      </c>
      <c r="AE7" s="2" t="e">
        <f>MATCH(AD7,#REF!,0)-1</f>
        <v>#REF!</v>
      </c>
      <c r="AH7" s="113" t="s">
        <v>290</v>
      </c>
      <c r="AI7" s="114" t="s">
        <v>212</v>
      </c>
    </row>
    <row r="8" spans="1:41" ht="17" thickBot="1">
      <c r="A8" s="116" t="s">
        <v>227</v>
      </c>
      <c r="B8" s="100" t="e">
        <f>MATCH(A8,#REF!,FALSE)</f>
        <v>#REF!</v>
      </c>
      <c r="C8" s="100"/>
      <c r="D8" s="2" t="s">
        <v>291</v>
      </c>
      <c r="E8" s="2">
        <f>MATCH(D8,'Configurable Items'!C:C,0)</f>
        <v>951</v>
      </c>
      <c r="F8" s="703" t="s">
        <v>916</v>
      </c>
      <c r="G8" s="700">
        <f>MATCH(F8,'Configurable Items'!D:D,0)</f>
        <v>69</v>
      </c>
      <c r="H8" s="700"/>
      <c r="I8" s="700"/>
      <c r="Q8" s="122" t="s">
        <v>292</v>
      </c>
      <c r="R8" s="123"/>
      <c r="S8" s="122" t="s">
        <v>293</v>
      </c>
      <c r="T8" s="122"/>
      <c r="U8" s="122" t="s">
        <v>293</v>
      </c>
      <c r="V8" s="122" t="s">
        <v>294</v>
      </c>
      <c r="W8" s="122" t="e">
        <f>MATCH(V8,#REF!,0)</f>
        <v>#REF!</v>
      </c>
      <c r="X8" s="122"/>
      <c r="Y8" s="123" t="s">
        <v>293</v>
      </c>
      <c r="AD8" s="108" t="s">
        <v>295</v>
      </c>
      <c r="AE8" s="2" t="e">
        <f>MATCH(AD8,#REF!,0)-1</f>
        <v>#REF!</v>
      </c>
      <c r="AH8" s="111" t="s">
        <v>296</v>
      </c>
      <c r="AI8" s="112" t="s">
        <v>210</v>
      </c>
    </row>
    <row r="9" spans="1:41" ht="16">
      <c r="A9" s="116" t="s">
        <v>228</v>
      </c>
      <c r="B9" s="100" t="e">
        <f>MATCH(A9,#REF!,FALSE)</f>
        <v>#REF!</v>
      </c>
      <c r="C9" s="100"/>
      <c r="D9" s="124" t="s">
        <v>297</v>
      </c>
      <c r="E9" s="2">
        <f>MATCH(D9,'Configurable Items'!C:C,0)</f>
        <v>4211</v>
      </c>
      <c r="F9" s="704"/>
      <c r="G9" s="704"/>
      <c r="H9" s="704"/>
      <c r="I9" s="704">
        <f>SUM(I2:I5)+I6*10</f>
        <v>40</v>
      </c>
      <c r="Q9" s="125" t="s">
        <v>298</v>
      </c>
      <c r="R9" s="126" t="s">
        <v>299</v>
      </c>
      <c r="S9" s="125" t="e">
        <f>MATCH(R9,#REF!,0)</f>
        <v>#REF!</v>
      </c>
      <c r="T9" s="125" t="s">
        <v>300</v>
      </c>
      <c r="U9" s="125" t="e">
        <f>MATCH(T9,#REF!,0)</f>
        <v>#REF!</v>
      </c>
      <c r="V9" s="125" t="s">
        <v>301</v>
      </c>
      <c r="W9" s="125" t="e">
        <f>MATCH(V9,#REF!,0)</f>
        <v>#REF!</v>
      </c>
      <c r="X9" s="125" t="s">
        <v>302</v>
      </c>
      <c r="Y9" s="126" t="e">
        <f>MATCH(X9,#REF!,0)</f>
        <v>#REF!</v>
      </c>
      <c r="AD9" s="108" t="s">
        <v>303</v>
      </c>
      <c r="AE9" s="2" t="e">
        <f>MATCH(AD9,#REF!,0)-1</f>
        <v>#REF!</v>
      </c>
      <c r="AH9" s="113" t="s">
        <v>304</v>
      </c>
      <c r="AI9" s="114" t="s">
        <v>205</v>
      </c>
    </row>
    <row r="10" spans="1:41" ht="16">
      <c r="A10" s="116" t="s">
        <v>229</v>
      </c>
      <c r="B10" s="117" t="e">
        <f>MATCH(A10,#REF!,FALSE)+2</f>
        <v>#REF!</v>
      </c>
      <c r="C10" s="117" t="e">
        <f>B11-3</f>
        <v>#REF!</v>
      </c>
      <c r="D10" s="124" t="s">
        <v>305</v>
      </c>
      <c r="E10" s="2">
        <f>MATCH(D10,'Configurable Items'!C:C,0)</f>
        <v>146</v>
      </c>
      <c r="Q10" s="113" t="s">
        <v>306</v>
      </c>
      <c r="R10" s="114" t="s">
        <v>307</v>
      </c>
      <c r="S10" s="113" t="e">
        <f>MATCH(R10,#REF!,0)</f>
        <v>#REF!</v>
      </c>
      <c r="T10" s="113" t="s">
        <v>308</v>
      </c>
      <c r="U10" s="113" t="e">
        <f>MATCH(T10,#REF!,0)</f>
        <v>#REF!</v>
      </c>
      <c r="V10" s="113" t="s">
        <v>309</v>
      </c>
      <c r="W10" s="113" t="e">
        <f>MATCH(V10,#REF!,0)</f>
        <v>#REF!</v>
      </c>
      <c r="X10" s="113" t="s">
        <v>310</v>
      </c>
      <c r="Y10" s="114" t="e">
        <f>MATCH(X10,#REF!,0)</f>
        <v>#REF!</v>
      </c>
      <c r="AD10" s="108" t="s">
        <v>311</v>
      </c>
      <c r="AE10" s="2" t="e">
        <f>MATCH(AD10,#REF!,0)-1</f>
        <v>#REF!</v>
      </c>
      <c r="AH10" s="111" t="s">
        <v>312</v>
      </c>
      <c r="AI10" s="112" t="s">
        <v>223</v>
      </c>
    </row>
    <row r="11" spans="1:41" ht="17" thickBot="1">
      <c r="A11" s="116" t="s">
        <v>232</v>
      </c>
      <c r="B11" s="100" t="e">
        <f>MATCH(A11,#REF!,FALSE)</f>
        <v>#REF!</v>
      </c>
      <c r="C11" s="100"/>
      <c r="D11" s="124" t="s">
        <v>313</v>
      </c>
      <c r="E11" s="2">
        <f>MATCH(D11,'Configurable Items'!C:C,0)</f>
        <v>373</v>
      </c>
      <c r="Q11" s="127" t="s">
        <v>314</v>
      </c>
      <c r="R11" s="128"/>
      <c r="S11" s="127" t="s">
        <v>293</v>
      </c>
      <c r="T11" s="127"/>
      <c r="U11" s="127" t="s">
        <v>293</v>
      </c>
      <c r="V11" s="127" t="s">
        <v>315</v>
      </c>
      <c r="W11" s="127" t="e">
        <f>MATCH(V11,#REF!,0)</f>
        <v>#REF!</v>
      </c>
      <c r="X11" s="127"/>
      <c r="Y11" s="128" t="s">
        <v>293</v>
      </c>
      <c r="AD11" s="108" t="s">
        <v>316</v>
      </c>
      <c r="AE11" s="2" t="e">
        <f>MATCH(AD11,#REF!,0)-1</f>
        <v>#REF!</v>
      </c>
      <c r="AH11" s="113" t="s">
        <v>317</v>
      </c>
      <c r="AI11" s="114" t="s">
        <v>212</v>
      </c>
    </row>
    <row r="12" spans="1:41" ht="16">
      <c r="A12" s="116" t="s">
        <v>233</v>
      </c>
      <c r="B12" s="100" t="e">
        <f>MATCH(A12,#REF!,FALSE)</f>
        <v>#REF!</v>
      </c>
      <c r="C12" s="100"/>
      <c r="D12" s="124" t="s">
        <v>318</v>
      </c>
      <c r="E12" s="2">
        <f>MATCH(D12,'Configurable Items'!C:C,0)</f>
        <v>388</v>
      </c>
      <c r="Q12" s="120" t="s">
        <v>319</v>
      </c>
      <c r="R12" s="121" t="s">
        <v>320</v>
      </c>
      <c r="S12" s="120" t="e">
        <f>MATCH(R12,#REF!,0)</f>
        <v>#REF!</v>
      </c>
      <c r="T12" s="120" t="s">
        <v>321</v>
      </c>
      <c r="U12" s="120" t="e">
        <f>MATCH(T12,#REF!,0)</f>
        <v>#REF!</v>
      </c>
      <c r="V12" s="120" t="s">
        <v>322</v>
      </c>
      <c r="W12" s="120" t="e">
        <f>MATCH(V12,#REF!,0)</f>
        <v>#REF!</v>
      </c>
      <c r="X12" s="120" t="s">
        <v>323</v>
      </c>
      <c r="Y12" s="121" t="e">
        <f>MATCH(X12,#REF!,0)</f>
        <v>#REF!</v>
      </c>
      <c r="AD12" s="108" t="s">
        <v>324</v>
      </c>
      <c r="AE12" s="2" t="e">
        <f>MATCH(AD12,#REF!,0)-1</f>
        <v>#REF!</v>
      </c>
      <c r="AH12" s="111" t="s">
        <v>325</v>
      </c>
      <c r="AI12" s="112" t="s">
        <v>214</v>
      </c>
    </row>
    <row r="13" spans="1:41" ht="16">
      <c r="A13" s="116" t="s">
        <v>232</v>
      </c>
      <c r="B13" s="117" t="e">
        <f>MATCH(A13,#REF!,FALSE)+2</f>
        <v>#REF!</v>
      </c>
      <c r="C13" s="117" t="e">
        <f>B14-3</f>
        <v>#REF!</v>
      </c>
      <c r="D13" s="124" t="s">
        <v>326</v>
      </c>
      <c r="E13" s="2">
        <f>MATCH(D13,'Configurable Items'!C:C,0)</f>
        <v>394</v>
      </c>
      <c r="Q13" s="111" t="s">
        <v>327</v>
      </c>
      <c r="R13" s="112" t="s">
        <v>328</v>
      </c>
      <c r="S13" s="111" t="e">
        <f>MATCH(R13,#REF!,0)</f>
        <v>#REF!</v>
      </c>
      <c r="T13" s="111" t="s">
        <v>329</v>
      </c>
      <c r="U13" s="111" t="e">
        <f>MATCH(T13,#REF!,0)</f>
        <v>#REF!</v>
      </c>
      <c r="V13" s="111" t="s">
        <v>330</v>
      </c>
      <c r="W13" s="111" t="e">
        <f>MATCH(V13,#REF!,0)</f>
        <v>#REF!</v>
      </c>
      <c r="X13" s="111" t="s">
        <v>331</v>
      </c>
      <c r="Y13" s="112" t="e">
        <f>MATCH(X13,#REF!,0)</f>
        <v>#REF!</v>
      </c>
      <c r="AD13" s="108" t="s">
        <v>332</v>
      </c>
      <c r="AE13" s="2" t="e">
        <f>MATCH(AD13,#REF!,0)-1</f>
        <v>#REF!</v>
      </c>
      <c r="AH13" s="113" t="s">
        <v>333</v>
      </c>
      <c r="AI13" s="114" t="s">
        <v>220</v>
      </c>
    </row>
    <row r="14" spans="1:41" ht="17" thickBot="1">
      <c r="A14" s="116" t="s">
        <v>236</v>
      </c>
      <c r="B14" s="100" t="e">
        <f>MATCH(A14,#REF!,FALSE)</f>
        <v>#REF!</v>
      </c>
      <c r="C14" s="100"/>
      <c r="D14" s="124" t="s">
        <v>334</v>
      </c>
      <c r="E14" s="2">
        <f>MATCH(D14,'Configurable Items'!C:C,0)</f>
        <v>409</v>
      </c>
      <c r="Q14" s="122" t="s">
        <v>335</v>
      </c>
      <c r="R14" s="123"/>
      <c r="S14" s="122" t="s">
        <v>293</v>
      </c>
      <c r="T14" s="122"/>
      <c r="U14" s="122" t="s">
        <v>293</v>
      </c>
      <c r="V14" s="122" t="s">
        <v>336</v>
      </c>
      <c r="W14" s="122" t="e">
        <f>MATCH(V14,#REF!,0)</f>
        <v>#REF!</v>
      </c>
      <c r="X14" s="122"/>
      <c r="Y14" s="123" t="s">
        <v>293</v>
      </c>
      <c r="AD14" s="129" t="s">
        <v>337</v>
      </c>
      <c r="AE14" s="2" t="e">
        <f>MATCH(AD14,#REF!,0)-1</f>
        <v>#REF!</v>
      </c>
      <c r="AH14" s="111" t="s">
        <v>338</v>
      </c>
      <c r="AI14" s="112" t="s">
        <v>217</v>
      </c>
    </row>
    <row r="15" spans="1:41" ht="16">
      <c r="A15" s="130" t="s">
        <v>182</v>
      </c>
      <c r="B15" s="117" t="e">
        <f>MATCH(A15,#REF!,FALSE)+2</f>
        <v>#REF!</v>
      </c>
      <c r="C15" s="117" t="e">
        <f>B16-3</f>
        <v>#REF!</v>
      </c>
      <c r="D15" s="131" t="s">
        <v>339</v>
      </c>
      <c r="E15" s="2">
        <f>MATCH(D15,'Configurable Items'!C:C,0)</f>
        <v>51</v>
      </c>
      <c r="Q15" s="125" t="s">
        <v>340</v>
      </c>
      <c r="R15" s="126" t="s">
        <v>341</v>
      </c>
      <c r="S15" s="125" t="e">
        <f>MATCH(R15,#REF!,0)</f>
        <v>#REF!</v>
      </c>
      <c r="T15" s="125" t="s">
        <v>342</v>
      </c>
      <c r="U15" s="125" t="e">
        <f>MATCH(T15,#REF!,0)</f>
        <v>#REF!</v>
      </c>
      <c r="V15" s="125" t="s">
        <v>343</v>
      </c>
      <c r="W15" s="125" t="e">
        <f>MATCH(V15,#REF!,0)</f>
        <v>#REF!</v>
      </c>
      <c r="X15" s="125" t="s">
        <v>344</v>
      </c>
      <c r="Y15" s="126" t="e">
        <f>MATCH(X15,#REF!,0)</f>
        <v>#REF!</v>
      </c>
      <c r="AD15" s="129" t="s">
        <v>345</v>
      </c>
      <c r="AE15" s="2" t="e">
        <f>MATCH(AD15,#REF!,0)-1</f>
        <v>#REF!</v>
      </c>
      <c r="AH15" s="113" t="s">
        <v>346</v>
      </c>
      <c r="AI15" s="114" t="s">
        <v>212</v>
      </c>
    </row>
    <row r="16" spans="1:41" ht="16">
      <c r="A16" s="116" t="s">
        <v>154</v>
      </c>
      <c r="B16" s="100" t="e">
        <f>MATCH(A16,#REF!,FALSE)</f>
        <v>#REF!</v>
      </c>
      <c r="C16" s="100"/>
      <c r="D16" s="2" t="s">
        <v>347</v>
      </c>
      <c r="E16" s="2" t="e">
        <f>MATCH(D16,'Configurable Items'!C:C,0)</f>
        <v>#N/A</v>
      </c>
      <c r="Q16" s="113" t="s">
        <v>348</v>
      </c>
      <c r="R16" s="114" t="s">
        <v>349</v>
      </c>
      <c r="S16" s="113" t="e">
        <f>MATCH(R16,#REF!,0)</f>
        <v>#REF!</v>
      </c>
      <c r="T16" s="113" t="s">
        <v>350</v>
      </c>
      <c r="U16" s="113" t="e">
        <f>MATCH(T16,#REF!,0)</f>
        <v>#REF!</v>
      </c>
      <c r="V16" s="113" t="s">
        <v>351</v>
      </c>
      <c r="W16" s="113" t="e">
        <f>MATCH(V16,#REF!,0)</f>
        <v>#REF!</v>
      </c>
      <c r="X16" s="113" t="s">
        <v>352</v>
      </c>
      <c r="Y16" s="114" t="e">
        <f>MATCH(X16,#REF!,0)</f>
        <v>#REF!</v>
      </c>
      <c r="AD16" s="108" t="s">
        <v>353</v>
      </c>
      <c r="AE16" s="2" t="e">
        <f>MATCH(AD16,#REF!,0)-1</f>
        <v>#REF!</v>
      </c>
      <c r="AH16" s="111" t="s">
        <v>354</v>
      </c>
      <c r="AI16" s="112" t="s">
        <v>205</v>
      </c>
    </row>
    <row r="17" spans="1:35" ht="16" thickBot="1">
      <c r="D17" s="132" t="s">
        <v>8958</v>
      </c>
      <c r="E17" s="2">
        <f>MATCH(D17,'Configurable Items'!C:C,0)</f>
        <v>722</v>
      </c>
      <c r="Q17" s="127" t="s">
        <v>355</v>
      </c>
      <c r="R17" s="128"/>
      <c r="S17" s="127">
        <v>1</v>
      </c>
      <c r="T17" s="127">
        <v>5302023171617</v>
      </c>
      <c r="U17" s="127" t="s">
        <v>293</v>
      </c>
      <c r="V17" s="127" t="s">
        <v>356</v>
      </c>
      <c r="W17" s="127" t="e">
        <f>MATCH(V17,#REF!,0)</f>
        <v>#REF!</v>
      </c>
      <c r="X17" s="127"/>
      <c r="Y17" s="128" t="s">
        <v>293</v>
      </c>
      <c r="AD17" s="108" t="s">
        <v>357</v>
      </c>
      <c r="AE17" s="2" t="e">
        <f>MATCH(AD17,#REF!,0)-1</f>
        <v>#REF!</v>
      </c>
      <c r="AH17" s="113" t="s">
        <v>358</v>
      </c>
      <c r="AI17" s="114" t="s">
        <v>214</v>
      </c>
    </row>
    <row r="18" spans="1:35" ht="16" thickBot="1">
      <c r="D18" s="132" t="s">
        <v>242</v>
      </c>
      <c r="E18" s="2">
        <f>MATCH(D18,'Configurable Items'!C:C,0)</f>
        <v>710</v>
      </c>
      <c r="Q18" s="133" t="s">
        <v>359</v>
      </c>
      <c r="R18" s="134"/>
      <c r="S18" s="133" t="s">
        <v>360</v>
      </c>
      <c r="T18" s="133"/>
      <c r="U18" s="134" t="s">
        <v>361</v>
      </c>
      <c r="V18" s="133"/>
      <c r="W18" s="133" t="s">
        <v>361</v>
      </c>
      <c r="X18" s="134"/>
      <c r="Y18" s="134" t="s">
        <v>361</v>
      </c>
      <c r="AD18" s="108" t="s">
        <v>362</v>
      </c>
      <c r="AE18" s="2" t="e">
        <f>MATCH(AD18,#REF!,0)-1</f>
        <v>#REF!</v>
      </c>
      <c r="AH18" s="111" t="s">
        <v>304</v>
      </c>
      <c r="AI18" s="112" t="s">
        <v>205</v>
      </c>
    </row>
    <row r="19" spans="1:35" ht="16" thickBot="1">
      <c r="A19" s="132" t="s">
        <v>8197</v>
      </c>
      <c r="B19" s="2">
        <f>MATCH(A19,'Configurable Items'!C:C,0)</f>
        <v>4003</v>
      </c>
      <c r="D19" s="132" t="s">
        <v>363</v>
      </c>
      <c r="E19" s="2">
        <f>MATCH(D19,'Configurable Items'!C:C,0)</f>
        <v>688</v>
      </c>
      <c r="Q19" s="127" t="s">
        <v>364</v>
      </c>
      <c r="R19" s="127" t="s">
        <v>365</v>
      </c>
      <c r="S19" s="125" t="e">
        <f>MATCH(R19,#REF!,0)</f>
        <v>#REF!</v>
      </c>
      <c r="T19" s="127" t="s">
        <v>365</v>
      </c>
      <c r="U19" s="128" t="e">
        <f>MATCH(T19,#REF!,0)</f>
        <v>#REF!</v>
      </c>
      <c r="V19" s="127" t="s">
        <v>366</v>
      </c>
      <c r="W19" s="127" t="e">
        <f>MATCH(V19,#REF!,0)</f>
        <v>#REF!</v>
      </c>
      <c r="X19" s="128" t="s">
        <v>367</v>
      </c>
      <c r="Y19" s="128" t="e">
        <f>MATCH(X19,#REF!,0)</f>
        <v>#REF!</v>
      </c>
      <c r="AD19" s="135" t="s">
        <v>368</v>
      </c>
      <c r="AE19" s="2" t="e">
        <f>MATCH(AD19,#REF!,0)-1</f>
        <v>#REF!</v>
      </c>
      <c r="AH19" s="113" t="s">
        <v>369</v>
      </c>
      <c r="AI19" s="114" t="s">
        <v>208</v>
      </c>
    </row>
    <row r="20" spans="1:35">
      <c r="A20" s="132" t="s">
        <v>8198</v>
      </c>
      <c r="B20" s="2">
        <f>MATCH(A20,'Configurable Items'!C:C,0)</f>
        <v>4016</v>
      </c>
      <c r="D20" s="114" t="s">
        <v>370</v>
      </c>
      <c r="E20" s="2">
        <f>MATCH(D20,'Configurable Items'!C:C,0)</f>
        <v>99</v>
      </c>
      <c r="Q20" s="133" t="s">
        <v>371</v>
      </c>
      <c r="R20" s="133" t="s">
        <v>372</v>
      </c>
      <c r="S20" s="121" t="e">
        <f>ADDRESS(ROW(#REF!),COLUMN(#REF!),4)</f>
        <v>#REF!</v>
      </c>
      <c r="T20" s="133" t="s">
        <v>372</v>
      </c>
      <c r="U20" s="121" t="e">
        <f>ADDRESS(ROW(#REF!),COLUMN(#REF!),4)</f>
        <v>#REF!</v>
      </c>
      <c r="V20" s="133" t="s">
        <v>372</v>
      </c>
      <c r="W20" s="121" t="e">
        <f>ADDRESS(ROW(#REF!),COLUMN(#REF!),4)</f>
        <v>#REF!</v>
      </c>
      <c r="X20" s="134" t="s">
        <v>373</v>
      </c>
      <c r="Y20" s="121" t="e">
        <f>MATCH(X20,#REF!,0)</f>
        <v>#REF!</v>
      </c>
      <c r="AD20" s="129" t="s">
        <v>374</v>
      </c>
      <c r="AE20" s="2" t="e">
        <f>MATCH(AD20,#REF!,0)-1</f>
        <v>#REF!</v>
      </c>
      <c r="AH20" s="111" t="s">
        <v>375</v>
      </c>
      <c r="AI20" s="112" t="s">
        <v>210</v>
      </c>
    </row>
    <row r="21" spans="1:35">
      <c r="A21" s="132" t="s">
        <v>4890</v>
      </c>
      <c r="B21" s="2">
        <f>MATCH(A21,'Configurable Items'!C:C,0)</f>
        <v>4029</v>
      </c>
      <c r="D21" s="114" t="s">
        <v>376</v>
      </c>
      <c r="E21" s="2">
        <f>MATCH(D21,'Configurable Items'!C:C,0)</f>
        <v>100</v>
      </c>
      <c r="Q21" s="111" t="s">
        <v>377</v>
      </c>
      <c r="R21" s="111" t="s">
        <v>378</v>
      </c>
      <c r="S21" s="112" t="e">
        <f>ADDRESS(ROW(#REF!),COLUMN(#REF!),4)</f>
        <v>#REF!</v>
      </c>
      <c r="T21" s="111" t="s">
        <v>378</v>
      </c>
      <c r="U21" s="112" t="e">
        <f>ADDRESS(ROW(#REF!),COLUMN(#REF!),4)</f>
        <v>#REF!</v>
      </c>
      <c r="V21" s="111" t="s">
        <v>378</v>
      </c>
      <c r="W21" s="112" t="e">
        <f>ADDRESS(ROW(#REF!),COLUMN(#REF!),4)</f>
        <v>#REF!</v>
      </c>
      <c r="X21" s="112" t="s">
        <v>379</v>
      </c>
      <c r="Y21" s="112" t="e">
        <f>MATCH(X21,#REF!,0)</f>
        <v>#REF!</v>
      </c>
      <c r="AD21" s="129" t="s">
        <v>14</v>
      </c>
      <c r="AE21" s="2" t="e">
        <f>MATCH(AD21,#REF!,0)-1</f>
        <v>#REF!</v>
      </c>
      <c r="AH21" s="113" t="s">
        <v>380</v>
      </c>
      <c r="AI21" s="114" t="s">
        <v>223</v>
      </c>
    </row>
    <row r="22" spans="1:35">
      <c r="A22" s="105" t="s">
        <v>8795</v>
      </c>
      <c r="B22" s="2">
        <f>MATCH(A22,'Configurable Items'!C:C,0)</f>
        <v>4704</v>
      </c>
      <c r="D22" s="2" t="s">
        <v>381</v>
      </c>
      <c r="E22" s="2">
        <f>MATCH(D22,'Configurable Items'!C:C,0)</f>
        <v>3859</v>
      </c>
      <c r="Q22" s="133" t="s">
        <v>382</v>
      </c>
      <c r="R22" s="133" t="s">
        <v>383</v>
      </c>
      <c r="S22" s="134" t="e">
        <f>ADDRESS(ROW(#REF!),COLUMN(#REF!),4)</f>
        <v>#REF!</v>
      </c>
      <c r="T22" s="133" t="s">
        <v>383</v>
      </c>
      <c r="U22" s="134" t="e">
        <f>ADDRESS(ROW(#REF!),COLUMN(#REF!),4)</f>
        <v>#REF!</v>
      </c>
      <c r="V22" s="133" t="s">
        <v>383</v>
      </c>
      <c r="W22" s="134" t="e">
        <f>ADDRESS(ROW(#REF!),COLUMN(#REF!),4)</f>
        <v>#REF!</v>
      </c>
      <c r="X22" s="134" t="s">
        <v>384</v>
      </c>
      <c r="Y22" s="134" t="e">
        <f>MATCH(X22,#REF!,0)</f>
        <v>#REF!</v>
      </c>
      <c r="AD22" s="129" t="s">
        <v>385</v>
      </c>
      <c r="AE22" s="2" t="e">
        <f>MATCH(AD22,#REF!,0)-1</f>
        <v>#REF!</v>
      </c>
      <c r="AH22" s="111" t="s">
        <v>304</v>
      </c>
      <c r="AI22" s="112" t="s">
        <v>205</v>
      </c>
    </row>
    <row r="23" spans="1:35">
      <c r="A23" s="105" t="s">
        <v>8796</v>
      </c>
      <c r="B23" s="2">
        <f>MATCH(A23,'Configurable Items'!C:C,0)</f>
        <v>4730</v>
      </c>
      <c r="D23" s="124" t="s">
        <v>386</v>
      </c>
      <c r="E23" s="2" t="e">
        <f>MATCH(D23,'Configurable Items'!C:C,0)</f>
        <v>#N/A</v>
      </c>
      <c r="Q23" s="111" t="s">
        <v>387</v>
      </c>
      <c r="R23" s="111" t="s">
        <v>388</v>
      </c>
      <c r="S23" s="112" t="e">
        <f>ADDRESS(ROW(#REF!),COLUMN(#REF!),4)</f>
        <v>#REF!</v>
      </c>
      <c r="T23" s="111" t="s">
        <v>388</v>
      </c>
      <c r="U23" s="112" t="e">
        <f>ADDRESS(ROW(#REF!),COLUMN(#REF!),4)</f>
        <v>#REF!</v>
      </c>
      <c r="V23" s="111" t="s">
        <v>388</v>
      </c>
      <c r="W23" s="112" t="e">
        <f>ADDRESS(ROW(#REF!),COLUMN(#REF!),4)</f>
        <v>#REF!</v>
      </c>
      <c r="X23" s="112" t="s">
        <v>389</v>
      </c>
      <c r="Y23" s="112" t="e">
        <f>MATCH(X23,#REF!,0)</f>
        <v>#REF!</v>
      </c>
      <c r="AD23" s="136" t="s">
        <v>390</v>
      </c>
      <c r="AE23" s="2" t="e">
        <f>MATCH(AD23,#REF!,0)-1</f>
        <v>#REF!</v>
      </c>
      <c r="AH23" s="113" t="s">
        <v>391</v>
      </c>
      <c r="AI23" s="114" t="s">
        <v>220</v>
      </c>
    </row>
    <row r="24" spans="1:35">
      <c r="A24" s="138" t="s">
        <v>8797</v>
      </c>
      <c r="B24" s="2">
        <f>MATCH(A24,'Configurable Items'!C:C,0)</f>
        <v>4898</v>
      </c>
      <c r="D24" s="124" t="s">
        <v>392</v>
      </c>
      <c r="E24" s="2">
        <f>MATCH(D24,'Configurable Items'!C:C,0)</f>
        <v>1029</v>
      </c>
      <c r="Q24" s="133" t="s">
        <v>393</v>
      </c>
      <c r="R24" s="134" t="s">
        <v>394</v>
      </c>
      <c r="S24" s="134" t="e">
        <f>ADDRESS(ROW(#REF!),COLUMN(#REF!),4)</f>
        <v>#REF!</v>
      </c>
      <c r="T24" s="134" t="s">
        <v>394</v>
      </c>
      <c r="U24" s="134" t="e">
        <f>ADDRESS(ROW(#REF!),COLUMN(#REF!),4)</f>
        <v>#REF!</v>
      </c>
      <c r="V24" s="134" t="s">
        <v>394</v>
      </c>
      <c r="W24" s="134" t="e">
        <f>ADDRESS(ROW(#REF!),COLUMN(#REF!),4)</f>
        <v>#REF!</v>
      </c>
      <c r="X24" s="134" t="s">
        <v>395</v>
      </c>
      <c r="Y24" s="134" t="e">
        <f>MATCH(X24,#REF!,0)</f>
        <v>#REF!</v>
      </c>
      <c r="AD24" s="136" t="s">
        <v>396</v>
      </c>
      <c r="AE24" s="2" t="e">
        <f>MATCH(AD24,#REF!,0)-1</f>
        <v>#REF!</v>
      </c>
      <c r="AH24" s="111" t="s">
        <v>397</v>
      </c>
      <c r="AI24" s="112" t="s">
        <v>212</v>
      </c>
    </row>
    <row r="25" spans="1:35">
      <c r="D25" s="124" t="s">
        <v>398</v>
      </c>
      <c r="E25" s="2">
        <f>MATCH(D25,'Configurable Items'!C:C,0)</f>
        <v>4461</v>
      </c>
      <c r="Q25" s="111" t="s">
        <v>399</v>
      </c>
      <c r="R25" s="111" t="s">
        <v>388</v>
      </c>
      <c r="S25" s="112" t="e">
        <f>S16</f>
        <v>#REF!</v>
      </c>
      <c r="T25" s="111" t="s">
        <v>388</v>
      </c>
      <c r="U25" s="112" t="e">
        <f>U16</f>
        <v>#REF!</v>
      </c>
      <c r="V25" s="111" t="s">
        <v>388</v>
      </c>
      <c r="W25" s="112" t="e">
        <f>W17</f>
        <v>#REF!</v>
      </c>
      <c r="X25" s="112" t="s">
        <v>389</v>
      </c>
      <c r="Y25" s="112" t="e">
        <f>Y16</f>
        <v>#REF!</v>
      </c>
      <c r="AD25" s="136" t="s">
        <v>400</v>
      </c>
      <c r="AE25" s="2" t="e">
        <f>MATCH(AD25,#REF!,0)-1</f>
        <v>#REF!</v>
      </c>
      <c r="AH25" s="113" t="s">
        <v>401</v>
      </c>
      <c r="AI25" s="114" t="s">
        <v>212</v>
      </c>
    </row>
    <row r="26" spans="1:35">
      <c r="D26" s="105" t="s">
        <v>402</v>
      </c>
      <c r="E26" s="2">
        <f>MATCH(D26,'Configurable Items'!C:C,0)</f>
        <v>3918</v>
      </c>
      <c r="AD26" s="136" t="s">
        <v>403</v>
      </c>
      <c r="AE26" s="2" t="e">
        <f>MATCH(AD26,#REF!,0)-1</f>
        <v>#REF!</v>
      </c>
      <c r="AH26" s="111" t="s">
        <v>404</v>
      </c>
      <c r="AI26" s="112" t="s">
        <v>212</v>
      </c>
    </row>
    <row r="27" spans="1:35">
      <c r="A27" s="138" t="s">
        <v>986</v>
      </c>
      <c r="B27" s="2">
        <f>MATCH(A27,'Configurable Items'!C:C,0)</f>
        <v>110</v>
      </c>
      <c r="D27" s="2" t="s">
        <v>405</v>
      </c>
      <c r="E27" s="2">
        <f>MATCH(D27,'Configurable Items'!C:C,0)</f>
        <v>988</v>
      </c>
      <c r="AH27" s="113" t="s">
        <v>406</v>
      </c>
      <c r="AI27" s="114" t="s">
        <v>212</v>
      </c>
    </row>
    <row r="28" spans="1:35">
      <c r="A28" s="138" t="s">
        <v>988</v>
      </c>
      <c r="B28" s="2">
        <f>MATCH(A28,'Configurable Items'!C:C,0)</f>
        <v>111</v>
      </c>
      <c r="D28" s="137" t="s">
        <v>407</v>
      </c>
      <c r="E28" s="2">
        <f>MATCH(D28,'Configurable Items'!C:C,0)</f>
        <v>4468</v>
      </c>
      <c r="AH28" s="111" t="s">
        <v>408</v>
      </c>
      <c r="AI28" s="112" t="s">
        <v>212</v>
      </c>
    </row>
    <row r="29" spans="1:35">
      <c r="A29" s="138" t="s">
        <v>990</v>
      </c>
      <c r="B29" s="2">
        <f>MATCH(A29,'Configurable Items'!C:C,0)</f>
        <v>112</v>
      </c>
      <c r="D29" s="112" t="s">
        <v>409</v>
      </c>
      <c r="E29" s="2">
        <f>MATCH(D29,'Configurable Items'!C:C,0)</f>
        <v>5063</v>
      </c>
      <c r="AH29" s="113" t="s">
        <v>410</v>
      </c>
      <c r="AI29" s="114" t="s">
        <v>212</v>
      </c>
    </row>
    <row r="30" spans="1:35">
      <c r="A30" s="138" t="s">
        <v>992</v>
      </c>
      <c r="B30" s="2">
        <f>MATCH(A30,'Configurable Items'!C:C,0)</f>
        <v>113</v>
      </c>
      <c r="D30" s="138" t="s">
        <v>411</v>
      </c>
      <c r="E30" s="2">
        <f>MATCH(D30,'Configurable Items'!C:C,0)</f>
        <v>56</v>
      </c>
    </row>
    <row r="31" spans="1:35">
      <c r="A31" s="138" t="s">
        <v>8164</v>
      </c>
      <c r="B31" s="2">
        <f>MATCH(A31,'Configurable Items'!C:C,0)</f>
        <v>114</v>
      </c>
      <c r="D31" s="138" t="s">
        <v>412</v>
      </c>
      <c r="E31" s="2">
        <f>MATCH(D31,'Configurable Items'!C:C,0)</f>
        <v>101</v>
      </c>
      <c r="M31" s="2">
        <v>0.97</v>
      </c>
    </row>
    <row r="32" spans="1:35">
      <c r="A32" s="2" t="s">
        <v>8804</v>
      </c>
      <c r="B32" s="2">
        <f>MATCH(A32,'Configurable Items'!C:C,0)</f>
        <v>70</v>
      </c>
      <c r="D32" s="138" t="s">
        <v>413</v>
      </c>
      <c r="E32" s="2">
        <f>MATCH(D32,'Configurable Items'!C:C,0)</f>
        <v>67</v>
      </c>
    </row>
    <row r="33" spans="1:16">
      <c r="D33" s="124" t="s">
        <v>414</v>
      </c>
      <c r="E33" s="2">
        <f>MATCH(D33,'Configurable Items'!C:C,0)</f>
        <v>339</v>
      </c>
      <c r="M33" s="2">
        <v>0.97</v>
      </c>
    </row>
    <row r="34" spans="1:16">
      <c r="D34" s="341" t="s">
        <v>415</v>
      </c>
      <c r="E34" t="s">
        <v>416</v>
      </c>
      <c r="I34" s="2">
        <f>I33*2</f>
        <v>0</v>
      </c>
      <c r="M34" s="2">
        <v>0.97</v>
      </c>
    </row>
    <row r="35" spans="1:16">
      <c r="I35" s="2">
        <f>I34*2</f>
        <v>0</v>
      </c>
      <c r="M35" s="2">
        <v>0.97</v>
      </c>
    </row>
    <row r="36" spans="1:16">
      <c r="A36" s="139" t="s">
        <v>417</v>
      </c>
      <c r="B36" s="2" t="b">
        <v>1</v>
      </c>
      <c r="D36" s="341" t="s">
        <v>418</v>
      </c>
      <c r="I36" s="2">
        <f>I35*2</f>
        <v>0</v>
      </c>
      <c r="M36" s="2">
        <v>0.9</v>
      </c>
    </row>
    <row r="37" spans="1:16">
      <c r="A37" s="140" t="s">
        <v>419</v>
      </c>
      <c r="D37" s="342" t="s">
        <v>420</v>
      </c>
    </row>
    <row r="38" spans="1:16">
      <c r="A38" s="139" t="s">
        <v>421</v>
      </c>
      <c r="B38" s="2">
        <v>0</v>
      </c>
      <c r="D38" s="342" t="s">
        <v>422</v>
      </c>
    </row>
    <row r="39" spans="1:16">
      <c r="D39" s="342" t="s">
        <v>423</v>
      </c>
      <c r="H39" s="2" t="s">
        <v>424</v>
      </c>
      <c r="J39" s="2" t="s">
        <v>425</v>
      </c>
      <c r="K39" s="2" t="s">
        <v>426</v>
      </c>
      <c r="L39" s="2" t="s">
        <v>427</v>
      </c>
      <c r="M39" s="2" t="s">
        <v>428</v>
      </c>
    </row>
    <row r="40" spans="1:16">
      <c r="A40" s="105" t="s">
        <v>7847</v>
      </c>
      <c r="B40" s="2">
        <f>MATCH(A40,'Configurable Items'!C:C,0)</f>
        <v>564</v>
      </c>
      <c r="D40" s="342" t="s">
        <v>429</v>
      </c>
      <c r="H40" s="2">
        <f>J40</f>
        <v>1</v>
      </c>
      <c r="I40" s="2">
        <v>100</v>
      </c>
      <c r="J40" s="2">
        <v>1</v>
      </c>
      <c r="K40" s="2">
        <v>128</v>
      </c>
      <c r="L40" s="2">
        <f>K40-J40</f>
        <v>127</v>
      </c>
      <c r="M40" s="2">
        <f>J40</f>
        <v>1</v>
      </c>
      <c r="O40" s="2">
        <f t="shared" ref="O40:O58" si="0">H40/I40</f>
        <v>0.01</v>
      </c>
    </row>
    <row r="41" spans="1:16">
      <c r="A41" s="105" t="s">
        <v>7848</v>
      </c>
      <c r="B41" s="2">
        <f>MATCH(A41,'Configurable Items'!C:C,0)</f>
        <v>569</v>
      </c>
      <c r="D41" s="342" t="s">
        <v>430</v>
      </c>
      <c r="H41" s="2">
        <f>J41</f>
        <v>64.5</v>
      </c>
      <c r="I41" s="2">
        <v>100</v>
      </c>
      <c r="J41" s="2">
        <f>J40+L40/2</f>
        <v>64.5</v>
      </c>
      <c r="K41" s="2">
        <v>128</v>
      </c>
      <c r="L41" s="2">
        <f>K41-J41</f>
        <v>63.5</v>
      </c>
      <c r="M41" s="2">
        <f>J41</f>
        <v>64.5</v>
      </c>
      <c r="O41" s="2">
        <f t="shared" si="0"/>
        <v>0.64500000000000002</v>
      </c>
      <c r="P41" s="2">
        <v>0.97</v>
      </c>
    </row>
    <row r="42" spans="1:16">
      <c r="A42" s="105" t="s">
        <v>7849</v>
      </c>
      <c r="B42" s="2">
        <f>MATCH(A42,'Configurable Items'!C:C,0)</f>
        <v>575</v>
      </c>
      <c r="D42" s="342" t="s">
        <v>431</v>
      </c>
      <c r="H42" s="2">
        <f>J42</f>
        <v>96.25</v>
      </c>
      <c r="I42" s="2">
        <v>100</v>
      </c>
      <c r="J42" s="2">
        <f>J41+L41/2</f>
        <v>96.25</v>
      </c>
      <c r="O42" s="2">
        <f t="shared" si="0"/>
        <v>0.96250000000000002</v>
      </c>
      <c r="P42" s="2">
        <v>0.9</v>
      </c>
    </row>
    <row r="43" spans="1:16">
      <c r="A43" s="105" t="s">
        <v>7850</v>
      </c>
      <c r="B43" s="2">
        <f>MATCH(A43,'Configurable Items'!C:C,0)</f>
        <v>582</v>
      </c>
      <c r="D43" s="342" t="s">
        <v>432</v>
      </c>
      <c r="I43" s="2">
        <v>100</v>
      </c>
      <c r="J43" s="2">
        <f>M41</f>
        <v>64.5</v>
      </c>
      <c r="K43" s="2">
        <v>128</v>
      </c>
      <c r="L43" s="2">
        <f>K43-J43</f>
        <v>63.5</v>
      </c>
      <c r="M43" s="2">
        <f>K43</f>
        <v>128</v>
      </c>
      <c r="O43" s="2">
        <f t="shared" si="0"/>
        <v>0</v>
      </c>
    </row>
    <row r="44" spans="1:16">
      <c r="A44" s="105" t="s">
        <v>7851</v>
      </c>
      <c r="B44" s="2">
        <f>MATCH(A44,'Configurable Items'!C:C,0)</f>
        <v>589</v>
      </c>
      <c r="D44" s="342" t="s">
        <v>231</v>
      </c>
      <c r="H44" s="2">
        <f>K44</f>
        <v>96.25</v>
      </c>
      <c r="I44" s="2">
        <v>100</v>
      </c>
      <c r="J44" s="2">
        <f>J43</f>
        <v>64.5</v>
      </c>
      <c r="K44" s="2">
        <f>K43-L43/2</f>
        <v>96.25</v>
      </c>
      <c r="L44" s="2">
        <f>K44-J44</f>
        <v>31.75</v>
      </c>
      <c r="M44" s="2">
        <f>K44</f>
        <v>96.25</v>
      </c>
      <c r="O44" s="2">
        <f t="shared" si="0"/>
        <v>0.96250000000000002</v>
      </c>
      <c r="P44" s="2">
        <v>0.9</v>
      </c>
    </row>
    <row r="45" spans="1:16">
      <c r="A45" s="114" t="s">
        <v>914</v>
      </c>
      <c r="B45" s="2">
        <f>MATCH(A45,'Configurable Items'!D:D,0)</f>
        <v>68</v>
      </c>
      <c r="D45" s="342" t="s">
        <v>433</v>
      </c>
      <c r="H45" s="2">
        <f>K45</f>
        <v>80.375</v>
      </c>
      <c r="I45" s="2">
        <v>100</v>
      </c>
      <c r="K45" s="2">
        <f>K44-L44/2</f>
        <v>80.375</v>
      </c>
      <c r="O45" s="2">
        <f t="shared" si="0"/>
        <v>0.80374999999999996</v>
      </c>
      <c r="P45" s="2">
        <v>0.97</v>
      </c>
    </row>
    <row r="46" spans="1:16">
      <c r="A46" s="112" t="s">
        <v>916</v>
      </c>
      <c r="B46" s="2">
        <f>MATCH(A46,'Configurable Items'!D:D,0)</f>
        <v>69</v>
      </c>
      <c r="D46" s="342" t="s">
        <v>434</v>
      </c>
      <c r="H46" s="2">
        <f>J46</f>
        <v>80.375</v>
      </c>
      <c r="I46" s="2">
        <v>100</v>
      </c>
      <c r="J46" s="2">
        <f>K45</f>
        <v>80.375</v>
      </c>
      <c r="K46" s="2">
        <f>M44</f>
        <v>96.25</v>
      </c>
      <c r="L46" s="2">
        <f>K46-J46</f>
        <v>15.875</v>
      </c>
      <c r="M46" s="2">
        <f>J46</f>
        <v>80.375</v>
      </c>
      <c r="O46" s="2">
        <f t="shared" si="0"/>
        <v>0.80374999999999996</v>
      </c>
      <c r="P46" s="2">
        <v>0.97</v>
      </c>
    </row>
    <row r="47" spans="1:16">
      <c r="H47" s="2">
        <f>J47</f>
        <v>88.3125</v>
      </c>
      <c r="I47" s="2">
        <v>100</v>
      </c>
      <c r="J47" s="2">
        <f>J46+L46/2</f>
        <v>88.3125</v>
      </c>
      <c r="K47" s="2">
        <f>K46</f>
        <v>96.25</v>
      </c>
      <c r="L47" s="2">
        <f>K47-J47</f>
        <v>7.9375</v>
      </c>
      <c r="M47" s="2">
        <f>J47</f>
        <v>88.3125</v>
      </c>
      <c r="O47" s="2">
        <f t="shared" si="0"/>
        <v>0.88312500000000005</v>
      </c>
    </row>
    <row r="48" spans="1:16">
      <c r="D48" s="2" t="s">
        <v>435</v>
      </c>
      <c r="E48" s="2" t="s">
        <v>436</v>
      </c>
      <c r="H48" s="2">
        <f>J48</f>
        <v>92.28125</v>
      </c>
      <c r="I48" s="2">
        <v>100</v>
      </c>
      <c r="J48" s="2">
        <f>J47+L47/2</f>
        <v>92.28125</v>
      </c>
      <c r="O48" s="2">
        <f t="shared" si="0"/>
        <v>0.92281250000000004</v>
      </c>
      <c r="P48" s="2">
        <v>0.9</v>
      </c>
    </row>
    <row r="49" spans="1:16">
      <c r="A49" s="105" t="s">
        <v>8855</v>
      </c>
      <c r="B49" s="2">
        <f>MATCH(A49,'Configurable Items'!C:C,0)</f>
        <v>3925</v>
      </c>
      <c r="I49" s="2">
        <v>100</v>
      </c>
      <c r="J49" s="2">
        <f>M47</f>
        <v>88.3125</v>
      </c>
      <c r="K49" s="2">
        <f>K47</f>
        <v>96.25</v>
      </c>
      <c r="L49" s="2">
        <f>K49-J49</f>
        <v>7.9375</v>
      </c>
      <c r="M49" s="2">
        <f>K49</f>
        <v>96.25</v>
      </c>
      <c r="O49" s="2">
        <f t="shared" si="0"/>
        <v>0</v>
      </c>
    </row>
    <row r="50" spans="1:16">
      <c r="A50" s="105" t="s">
        <v>8856</v>
      </c>
      <c r="B50" s="2">
        <f>MATCH(A50,'Configurable Items'!C:C,0)</f>
        <v>3930</v>
      </c>
      <c r="D50" s="2" t="s">
        <v>418</v>
      </c>
      <c r="H50" s="2">
        <f>K50</f>
        <v>92.28125</v>
      </c>
      <c r="I50" s="2">
        <v>100</v>
      </c>
      <c r="J50" s="2">
        <f>J49</f>
        <v>88.3125</v>
      </c>
      <c r="K50" s="2">
        <f>K49-L49/2</f>
        <v>92.28125</v>
      </c>
      <c r="L50" s="2">
        <f>K50-J50</f>
        <v>3.96875</v>
      </c>
      <c r="M50" s="2">
        <f>K50</f>
        <v>92.28125</v>
      </c>
      <c r="O50" s="2">
        <f t="shared" si="0"/>
        <v>0.92281250000000004</v>
      </c>
      <c r="P50" s="2">
        <v>0.9</v>
      </c>
    </row>
    <row r="51" spans="1:16">
      <c r="D51" s="45" t="s">
        <v>423</v>
      </c>
      <c r="H51" s="2">
        <f>K51</f>
        <v>90.296875</v>
      </c>
      <c r="I51" s="2">
        <v>100</v>
      </c>
      <c r="K51" s="2">
        <f>K50-L50/2</f>
        <v>90.296875</v>
      </c>
      <c r="O51" s="2">
        <f t="shared" si="0"/>
        <v>0.90296874999999999</v>
      </c>
      <c r="P51" s="2">
        <v>0.97</v>
      </c>
    </row>
    <row r="52" spans="1:16">
      <c r="D52" s="45" t="s">
        <v>435</v>
      </c>
      <c r="H52" s="2">
        <f>J52</f>
        <v>90.296875</v>
      </c>
      <c r="I52" s="2">
        <v>100</v>
      </c>
      <c r="J52" s="2">
        <f>K51</f>
        <v>90.296875</v>
      </c>
      <c r="K52" s="2">
        <f>M50</f>
        <v>92.28125</v>
      </c>
      <c r="L52" s="2">
        <f>K52-J52</f>
        <v>1.984375</v>
      </c>
      <c r="M52" s="2">
        <f>J52</f>
        <v>90.296875</v>
      </c>
      <c r="O52" s="2">
        <f t="shared" si="0"/>
        <v>0.90296874999999999</v>
      </c>
      <c r="P52" s="2">
        <v>0.97</v>
      </c>
    </row>
    <row r="53" spans="1:16">
      <c r="D53" s="138" t="s">
        <v>437</v>
      </c>
      <c r="E53" s="2">
        <f>MATCH(D53,'Configurable Items'!C:C,0)</f>
        <v>85</v>
      </c>
      <c r="H53" s="2">
        <f>J53</f>
        <v>91.2890625</v>
      </c>
      <c r="I53" s="2">
        <v>100</v>
      </c>
      <c r="J53" s="2">
        <f>J52+L52/2</f>
        <v>91.2890625</v>
      </c>
      <c r="K53" s="2">
        <f>K52</f>
        <v>92.28125</v>
      </c>
      <c r="L53" s="2">
        <f>K53-J53</f>
        <v>0.9921875</v>
      </c>
      <c r="M53" s="2">
        <f>J53</f>
        <v>91.2890625</v>
      </c>
      <c r="O53" s="2">
        <f t="shared" si="0"/>
        <v>0.91289062499999996</v>
      </c>
      <c r="P53" s="2">
        <v>0.97</v>
      </c>
    </row>
    <row r="54" spans="1:16">
      <c r="D54" s="2" t="s">
        <v>438</v>
      </c>
      <c r="E54" s="2">
        <f>MATCH(D54,'Configurable Items'!C:C,0)</f>
        <v>53</v>
      </c>
      <c r="H54" s="2">
        <f>J54</f>
        <v>91.78515625</v>
      </c>
      <c r="I54" s="2">
        <v>100</v>
      </c>
      <c r="J54" s="2">
        <f>J53+L53/2</f>
        <v>91.78515625</v>
      </c>
      <c r="K54" s="2">
        <f>J54</f>
        <v>91.78515625</v>
      </c>
      <c r="O54" s="2">
        <f t="shared" si="0"/>
        <v>0.9178515625</v>
      </c>
      <c r="P54" s="2">
        <v>0.97</v>
      </c>
    </row>
    <row r="55" spans="1:16">
      <c r="D55" s="138" t="s">
        <v>439</v>
      </c>
      <c r="E55" s="2">
        <f>MATCH(D55,'Configurable Items'!C:C,0)</f>
        <v>45</v>
      </c>
      <c r="I55" s="2">
        <v>100</v>
      </c>
      <c r="J55" s="2">
        <f>J54+L54/2</f>
        <v>91.78515625</v>
      </c>
      <c r="K55" s="2">
        <f>M53</f>
        <v>91.2890625</v>
      </c>
      <c r="L55" s="2">
        <f>K55-J55</f>
        <v>-0.49609375</v>
      </c>
      <c r="O55" s="2">
        <f t="shared" si="0"/>
        <v>0</v>
      </c>
    </row>
    <row r="56" spans="1:16">
      <c r="D56" s="138" t="s">
        <v>440</v>
      </c>
      <c r="E56" s="2">
        <f>MATCH(D56,'Configurable Items'!C:C,0)</f>
        <v>44</v>
      </c>
      <c r="I56" s="2">
        <v>100</v>
      </c>
      <c r="O56" s="2">
        <f t="shared" si="0"/>
        <v>0</v>
      </c>
    </row>
    <row r="57" spans="1:16">
      <c r="D57" s="138" t="s">
        <v>437</v>
      </c>
      <c r="E57" s="2">
        <f>MATCH(D57,'Configurable Items'!C:C,0)</f>
        <v>85</v>
      </c>
      <c r="I57" s="2">
        <v>100</v>
      </c>
      <c r="O57" s="2">
        <f t="shared" si="0"/>
        <v>0</v>
      </c>
    </row>
    <row r="58" spans="1:16">
      <c r="D58" s="138" t="s">
        <v>441</v>
      </c>
      <c r="E58" s="2">
        <f>MATCH(D58,'Configurable Items'!C:C,0)</f>
        <v>108</v>
      </c>
      <c r="I58" s="2">
        <v>100</v>
      </c>
      <c r="O58" s="2">
        <f t="shared" si="0"/>
        <v>0</v>
      </c>
    </row>
    <row r="59" spans="1:16">
      <c r="D59" s="138" t="s">
        <v>442</v>
      </c>
      <c r="E59" s="2">
        <f>MATCH(D59,'Configurable Items'!C:C,0)</f>
        <v>109</v>
      </c>
    </row>
    <row r="60" spans="1:16">
      <c r="D60" s="2" t="s">
        <v>443</v>
      </c>
      <c r="E60" s="2">
        <f>MATCH(D60,'Configurable Items'!C:C,0)</f>
        <v>61</v>
      </c>
    </row>
    <row r="61" spans="1:16">
      <c r="D61" s="138" t="s">
        <v>444</v>
      </c>
      <c r="E61" s="2">
        <f>MATCH(D61,'Configurable Items'!C:C,0)</f>
        <v>64</v>
      </c>
    </row>
    <row r="62" spans="1:16">
      <c r="D62" s="138" t="s">
        <v>445</v>
      </c>
      <c r="E62" s="2">
        <f>MATCH(D62,'Configurable Items'!C:C,0)</f>
        <v>55</v>
      </c>
      <c r="H62" s="102" t="s">
        <v>446</v>
      </c>
      <c r="I62" s="104"/>
    </row>
    <row r="63" spans="1:16">
      <c r="D63" s="138" t="s">
        <v>447</v>
      </c>
      <c r="E63" s="2">
        <f>MATCH(D63,'Configurable Items'!C:C,0)</f>
        <v>54</v>
      </c>
      <c r="H63" s="141" t="s">
        <v>448</v>
      </c>
      <c r="I63" s="142" t="e">
        <f>IF(LEN(ADDRESS(1,MATCH(H63,#REF!,0),4))=3,LEFT(ADDRESS(1,MATCH(H63,#REF!,0),4),2),LEFT(ADDRESS(1,MATCH(H63,#REF!,0),4),1))</f>
        <v>#REF!</v>
      </c>
    </row>
    <row r="64" spans="1:16">
      <c r="A64" s="2" t="s">
        <v>8526</v>
      </c>
      <c r="B64" s="144" t="s">
        <v>8527</v>
      </c>
      <c r="D64" s="138" t="s">
        <v>449</v>
      </c>
      <c r="E64" s="2">
        <f>MATCH(D64,'Configurable Items'!C:C,0)</f>
        <v>66</v>
      </c>
      <c r="H64" s="143" t="s">
        <v>450</v>
      </c>
      <c r="I64" s="142" t="e">
        <f>IF(LEN(ADDRESS(1,MATCH(H64,#REF!,0),4))=3,LEFT(ADDRESS(1,MATCH(H64,#REF!,0),4),2),LEFT(ADDRESS(1,MATCH(H64,#REF!,0),4),1))</f>
        <v>#REF!</v>
      </c>
    </row>
    <row r="65" spans="1:9">
      <c r="A65" s="2" t="s">
        <v>451</v>
      </c>
      <c r="B65" s="144" t="s">
        <v>452</v>
      </c>
      <c r="D65" s="138" t="s">
        <v>453</v>
      </c>
      <c r="E65" s="2">
        <f>MATCH(D65,'Configurable Items'!C:C,0)</f>
        <v>62</v>
      </c>
      <c r="H65" s="145" t="s">
        <v>454</v>
      </c>
      <c r="I65" s="142" t="e">
        <f>IF(LEN(ADDRESS(1,MATCH(H65,#REF!,0),4))=3,LEFT(ADDRESS(1,MATCH(H65,#REF!,0),4),2),LEFT(ADDRESS(1,MATCH(H65,#REF!,0),4),1))</f>
        <v>#REF!</v>
      </c>
    </row>
    <row r="66" spans="1:9">
      <c r="A66" s="2" t="s">
        <v>455</v>
      </c>
      <c r="B66" s="144" t="s">
        <v>456</v>
      </c>
      <c r="D66" s="138" t="s">
        <v>457</v>
      </c>
      <c r="E66" s="2">
        <f>MATCH(D66,'Configurable Items'!C:C,0)</f>
        <v>65</v>
      </c>
      <c r="H66" s="143" t="s">
        <v>255</v>
      </c>
      <c r="I66" s="142" t="e">
        <f>IF(LEN(ADDRESS(1,MATCH(H66,#REF!,0),4))=3,LEFT(ADDRESS(1,MATCH(H66,#REF!,0),4),2),LEFT(ADDRESS(1,MATCH(H66,#REF!,0),4),1))</f>
        <v>#REF!</v>
      </c>
    </row>
    <row r="67" spans="1:9">
      <c r="D67" s="138" t="s">
        <v>458</v>
      </c>
      <c r="E67" s="2">
        <f>MATCH(D67,'Configurable Items'!C:C,0)</f>
        <v>63</v>
      </c>
      <c r="H67" s="143" t="s">
        <v>459</v>
      </c>
      <c r="I67" s="142" t="e">
        <f>IF(LEN(ADDRESS(1,MATCH(H67,#REF!,0),4))=3,LEFT(ADDRESS(1,MATCH(H67,#REF!,0),4),2),LEFT(ADDRESS(1,MATCH(H67,#REF!,0),4),1))</f>
        <v>#REF!</v>
      </c>
    </row>
    <row r="68" spans="1:9">
      <c r="D68" s="138" t="s">
        <v>460</v>
      </c>
      <c r="E68" s="2">
        <f>MATCH(D68,'Configurable Items'!C:C,0)</f>
        <v>71</v>
      </c>
      <c r="H68" s="143" t="s">
        <v>263</v>
      </c>
      <c r="I68" s="142" t="e">
        <f>IF(LEN(ADDRESS(1,MATCH(H68,#REF!,0),4))=3,LEFT(ADDRESS(1,MATCH(H68,#REF!,0),4),2),LEFT(ADDRESS(1,MATCH(H68,#REF!,0),4),1))</f>
        <v>#REF!</v>
      </c>
    </row>
    <row r="69" spans="1:9">
      <c r="D69" s="105" t="s">
        <v>461</v>
      </c>
      <c r="E69" s="2">
        <f>MATCH(D69,'Configurable Items'!C:C,0)</f>
        <v>482</v>
      </c>
      <c r="H69" s="143" t="s">
        <v>462</v>
      </c>
      <c r="I69" s="142" t="e">
        <f>IF(LEN(ADDRESS(1,MATCH(H69,#REF!,0),4))=3,LEFT(ADDRESS(1,MATCH(H69,#REF!,0),4),2),LEFT(ADDRESS(1,MATCH(H69,#REF!,0),4),1))</f>
        <v>#REF!</v>
      </c>
    </row>
    <row r="70" spans="1:9">
      <c r="D70" s="105" t="s">
        <v>463</v>
      </c>
      <c r="E70" s="2">
        <f>MATCH(D70,'Configurable Items'!C:C,0)</f>
        <v>490</v>
      </c>
      <c r="H70" s="146" t="s">
        <v>464</v>
      </c>
      <c r="I70" s="142" t="e">
        <f>IF(LEN(ADDRESS(1,MATCH(H70,#REF!,0),4))=3,LEFT(ADDRESS(1,MATCH(H70,#REF!,0),4),2),LEFT(ADDRESS(1,MATCH(H70,#REF!,0),4),1))</f>
        <v>#REF!</v>
      </c>
    </row>
    <row r="71" spans="1:9">
      <c r="D71" s="105" t="s">
        <v>465</v>
      </c>
      <c r="E71" s="2">
        <f>MATCH(D71,'Configurable Items'!C:C,0)</f>
        <v>494</v>
      </c>
      <c r="H71" s="143" t="s">
        <v>466</v>
      </c>
      <c r="I71" s="142" t="e">
        <f>IF(LEN(ADDRESS(1,MATCH(H71,#REF!,0),4))=3,LEFT(ADDRESS(1,MATCH(H71,#REF!,0),4),2),LEFT(ADDRESS(1,MATCH(H71,#REF!,0),4),1))</f>
        <v>#REF!</v>
      </c>
    </row>
    <row r="72" spans="1:9">
      <c r="D72" s="105" t="s">
        <v>467</v>
      </c>
      <c r="E72" s="2">
        <f>MATCH(D72,'Configurable Items'!C:C,0)</f>
        <v>497</v>
      </c>
      <c r="H72" s="143" t="s">
        <v>468</v>
      </c>
      <c r="I72" s="142" t="e">
        <f>IF(LEN(ADDRESS(1,MATCH(H72,#REF!,0),4))=3,LEFT(ADDRESS(1,MATCH(H72,#REF!,0),4),2),LEFT(ADDRESS(1,MATCH(H72,#REF!,0),4),1))</f>
        <v>#REF!</v>
      </c>
    </row>
    <row r="73" spans="1:9">
      <c r="D73" s="105" t="s">
        <v>469</v>
      </c>
      <c r="E73" s="2">
        <f>MATCH(D73,'Configurable Items'!C:C,0)</f>
        <v>501</v>
      </c>
    </row>
    <row r="74" spans="1:9">
      <c r="A74" s="2" t="s">
        <v>8156</v>
      </c>
      <c r="D74" s="105" t="s">
        <v>470</v>
      </c>
      <c r="E74" s="2">
        <f>MATCH(D74,'Configurable Items'!C:C,0)</f>
        <v>504</v>
      </c>
    </row>
    <row r="75" spans="1:9">
      <c r="A75" s="2" t="s">
        <v>8157</v>
      </c>
      <c r="D75" s="105" t="s">
        <v>471</v>
      </c>
      <c r="E75" s="2">
        <f>MATCH(D75,'Configurable Items'!C:C,0)</f>
        <v>508</v>
      </c>
    </row>
    <row r="76" spans="1:9">
      <c r="A76" s="2" t="s">
        <v>8159</v>
      </c>
      <c r="B76" s="411"/>
      <c r="D76" s="105" t="s">
        <v>472</v>
      </c>
      <c r="E76" s="2">
        <f>MATCH(D76,'Configurable Items'!C:C,0)</f>
        <v>1045</v>
      </c>
    </row>
    <row r="77" spans="1:9">
      <c r="A77" s="2" t="s">
        <v>8158</v>
      </c>
      <c r="D77" s="105" t="s">
        <v>473</v>
      </c>
      <c r="E77" s="2">
        <f>MATCH(D77,'Configurable Items'!C:C,0)</f>
        <v>3974</v>
      </c>
    </row>
    <row r="78" spans="1:9">
      <c r="D78" s="105" t="s">
        <v>474</v>
      </c>
      <c r="E78" s="2">
        <f>MATCH(D78,'Configurable Items'!C:C,0)</f>
        <v>3985</v>
      </c>
      <c r="G78" s="147">
        <v>1562500</v>
      </c>
    </row>
    <row r="79" spans="1:9">
      <c r="D79" s="124" t="s">
        <v>475</v>
      </c>
      <c r="E79" s="2">
        <f>MATCH(D79,'Configurable Items'!C:C,0)</f>
        <v>966</v>
      </c>
      <c r="G79" s="114">
        <v>1388889</v>
      </c>
    </row>
    <row r="80" spans="1:9">
      <c r="D80" s="105" t="s">
        <v>476</v>
      </c>
      <c r="E80" s="2" t="e">
        <f>MATCH(D80,'Configurable Items'!C:C,0)</f>
        <v>#N/A</v>
      </c>
      <c r="G80" s="147">
        <v>1250000</v>
      </c>
    </row>
    <row r="81" spans="4:7">
      <c r="D81" s="105" t="s">
        <v>477</v>
      </c>
      <c r="E81" s="2">
        <f>MATCH(D81,'Configurable Items'!C:C,0)</f>
        <v>542</v>
      </c>
      <c r="G81" s="114">
        <v>1111111</v>
      </c>
    </row>
    <row r="82" spans="4:7">
      <c r="D82" s="105" t="s">
        <v>478</v>
      </c>
      <c r="E82" s="2">
        <f>MATCH(D82,'Configurable Items'!C:C,0)</f>
        <v>5112</v>
      </c>
      <c r="G82" s="114">
        <v>1052631</v>
      </c>
    </row>
    <row r="83" spans="4:7">
      <c r="D83" s="2" t="s">
        <v>479</v>
      </c>
      <c r="E83" s="2">
        <f>MATCH(D83,'Configurable Items'!C:C,0)</f>
        <v>57</v>
      </c>
      <c r="G83" s="147">
        <f>ROUNDDOWN(750000*100/90,0)</f>
        <v>833333</v>
      </c>
    </row>
    <row r="84" spans="4:7">
      <c r="D84" s="2" t="s">
        <v>480</v>
      </c>
      <c r="E84" s="2">
        <f>MATCH(D84,'Configurable Items'!C:C,0)</f>
        <v>58</v>
      </c>
      <c r="G84" s="114">
        <f>ROUNDDOWN(750000*100/95,0)</f>
        <v>789473</v>
      </c>
    </row>
    <row r="85" spans="4:7">
      <c r="D85" s="112" t="s">
        <v>481</v>
      </c>
      <c r="E85" s="2">
        <f>MATCH(D85,'Configurable Items'!C:C,0)</f>
        <v>5084</v>
      </c>
      <c r="G85" s="147">
        <v>750000</v>
      </c>
    </row>
    <row r="86" spans="4:7">
      <c r="D86" s="2" t="s">
        <v>482</v>
      </c>
      <c r="E86" s="2" t="s">
        <v>483</v>
      </c>
      <c r="G86" s="114">
        <v>666666</v>
      </c>
    </row>
    <row r="87" spans="4:7">
      <c r="D87" s="148" t="s">
        <v>484</v>
      </c>
      <c r="E87" s="112" t="s">
        <v>485</v>
      </c>
      <c r="G87" s="147">
        <f>ROUNDDOWN(500000*100/80,0)</f>
        <v>625000</v>
      </c>
    </row>
    <row r="88" spans="4:7">
      <c r="D88" s="148" t="s">
        <v>486</v>
      </c>
      <c r="E88" s="114" t="s">
        <v>487</v>
      </c>
      <c r="G88" s="114">
        <f>ROUNDDOWN(500000*100/90,0)</f>
        <v>555555</v>
      </c>
    </row>
    <row r="89" spans="4:7">
      <c r="D89" s="148" t="s">
        <v>488</v>
      </c>
      <c r="E89" s="112" t="s">
        <v>489</v>
      </c>
      <c r="G89" s="114">
        <f>ROUNDDOWN(500000*100/95,0)</f>
        <v>526315</v>
      </c>
    </row>
    <row r="90" spans="4:7">
      <c r="D90" s="148" t="s">
        <v>490</v>
      </c>
      <c r="E90" s="114" t="s">
        <v>491</v>
      </c>
      <c r="G90" s="147">
        <f>ROUNDDOWN(400000*100/90,0)</f>
        <v>444444</v>
      </c>
    </row>
    <row r="91" spans="4:7">
      <c r="D91" s="149" t="s">
        <v>492</v>
      </c>
      <c r="E91" s="2" t="s">
        <v>483</v>
      </c>
      <c r="G91" s="114">
        <f>ROUNDDOWN(400000*100/95,0)</f>
        <v>421052</v>
      </c>
    </row>
    <row r="92" spans="4:7">
      <c r="D92" s="111" t="s">
        <v>493</v>
      </c>
      <c r="E92" s="111" t="s">
        <v>494</v>
      </c>
      <c r="G92" s="147">
        <f>ROUNDDOWN(300000*100/80,0)</f>
        <v>375000</v>
      </c>
    </row>
    <row r="93" spans="4:7">
      <c r="D93" s="113" t="s">
        <v>495</v>
      </c>
      <c r="E93" s="113" t="s">
        <v>496</v>
      </c>
      <c r="G93" s="114">
        <f>ROUNDDOWN(300000*100/85,0)</f>
        <v>352941</v>
      </c>
    </row>
    <row r="94" spans="4:7">
      <c r="D94" s="111" t="s">
        <v>497</v>
      </c>
      <c r="E94" s="111" t="s">
        <v>498</v>
      </c>
      <c r="G94" s="114">
        <f>ROUNDDOWN(300000*100/90,0)</f>
        <v>333333</v>
      </c>
    </row>
    <row r="95" spans="4:7">
      <c r="D95" s="113" t="s">
        <v>490</v>
      </c>
      <c r="E95" s="113" t="s">
        <v>499</v>
      </c>
    </row>
    <row r="96" spans="4:7">
      <c r="D96" s="2" t="s">
        <v>500</v>
      </c>
      <c r="E96" s="2">
        <f>MATCH(D96,'Configurable Items'!C:C,0)</f>
        <v>124</v>
      </c>
    </row>
    <row r="97" spans="4:8">
      <c r="D97" s="124" t="s">
        <v>501</v>
      </c>
      <c r="E97" s="2">
        <f>MATCH(D97,'Configurable Items'!C:C,0)</f>
        <v>415</v>
      </c>
    </row>
    <row r="98" spans="4:8">
      <c r="D98" s="124" t="s">
        <v>502</v>
      </c>
      <c r="E98" s="2">
        <f>MATCH(D98,'Configurable Items'!C:C,0)</f>
        <v>430</v>
      </c>
    </row>
    <row r="99" spans="4:8">
      <c r="D99" s="124" t="s">
        <v>503</v>
      </c>
      <c r="E99" s="2">
        <f>MATCH(D99,'Configurable Items'!C:C,0)</f>
        <v>436</v>
      </c>
    </row>
    <row r="100" spans="4:8">
      <c r="D100" s="124" t="s">
        <v>504</v>
      </c>
      <c r="E100" s="2">
        <f>MATCH(D100,'Configurable Items'!C:C,0)</f>
        <v>451</v>
      </c>
    </row>
    <row r="101" spans="4:8">
      <c r="D101" s="132" t="s">
        <v>505</v>
      </c>
      <c r="E101" s="2">
        <f>MATCH(D101,'Configurable Items'!C:C,0)</f>
        <v>911</v>
      </c>
    </row>
    <row r="102" spans="4:8">
      <c r="D102" s="2" t="s">
        <v>506</v>
      </c>
      <c r="E102" s="2">
        <f>MATCH(D102,'Configurable Items'!C:C,0)</f>
        <v>5053</v>
      </c>
    </row>
    <row r="103" spans="4:8">
      <c r="D103" s="2" t="s">
        <v>507</v>
      </c>
      <c r="E103" s="2">
        <f>MATCH(D103,'Configurable Items'!C:C,0)</f>
        <v>72</v>
      </c>
      <c r="H103" s="109" t="s">
        <v>508</v>
      </c>
    </row>
    <row r="104" spans="4:8">
      <c r="D104" s="138" t="s">
        <v>509</v>
      </c>
      <c r="E104" s="2">
        <f>MATCH(D104,'Configurable Items'!C:C,0)</f>
        <v>59</v>
      </c>
      <c r="H104" s="111" t="s">
        <v>510</v>
      </c>
    </row>
    <row r="105" spans="4:8">
      <c r="D105" s="138" t="s">
        <v>511</v>
      </c>
      <c r="E105" s="2">
        <f>MATCH(D105,'Configurable Items'!C:C,0)</f>
        <v>60</v>
      </c>
      <c r="H105" s="111" t="s">
        <v>512</v>
      </c>
    </row>
    <row r="106" spans="4:8">
      <c r="D106" s="138" t="s">
        <v>8046</v>
      </c>
      <c r="E106" s="2">
        <f>MATCH(D106,'Configurable Items'!C:C,0)</f>
        <v>367</v>
      </c>
      <c r="H106" s="111" t="s">
        <v>513</v>
      </c>
    </row>
    <row r="107" spans="4:8">
      <c r="H107" s="111" t="s">
        <v>514</v>
      </c>
    </row>
    <row r="108" spans="4:8">
      <c r="D108" s="2" t="s">
        <v>515</v>
      </c>
      <c r="H108" s="111" t="s">
        <v>516</v>
      </c>
    </row>
    <row r="109" spans="4:8">
      <c r="D109" s="137" t="s">
        <v>517</v>
      </c>
      <c r="E109" s="2">
        <f>MATCH(D109,'Configurable Items'!C:C,0)</f>
        <v>5824</v>
      </c>
      <c r="H109" s="111" t="s">
        <v>518</v>
      </c>
    </row>
    <row r="110" spans="4:8">
      <c r="D110" s="137" t="s">
        <v>519</v>
      </c>
      <c r="E110" s="2">
        <f>MATCH(D110,'Configurable Items'!C:C,0)</f>
        <v>5836</v>
      </c>
    </row>
    <row r="111" spans="4:8">
      <c r="D111" s="137" t="s">
        <v>520</v>
      </c>
      <c r="E111" s="2">
        <f>MATCH(D111,'Configurable Items'!C:C,0)</f>
        <v>5670</v>
      </c>
    </row>
    <row r="112" spans="4:8">
      <c r="D112" s="137" t="s">
        <v>521</v>
      </c>
      <c r="E112" s="2">
        <f>MATCH(D112,'Configurable Items'!C:C,0)</f>
        <v>5680</v>
      </c>
    </row>
    <row r="114" spans="4:42">
      <c r="D114" s="138" t="s">
        <v>8432</v>
      </c>
      <c r="E114" s="2">
        <f>MATCH(D114,'Configurable Items'!C:C,0)</f>
        <v>535</v>
      </c>
    </row>
    <row r="115" spans="4:42">
      <c r="D115" s="138" t="s">
        <v>8433</v>
      </c>
      <c r="E115" s="2">
        <f>MATCH(D115,'Configurable Items'!C:C,0)</f>
        <v>536</v>
      </c>
    </row>
    <row r="116" spans="4:42">
      <c r="D116" s="138" t="s">
        <v>8435</v>
      </c>
      <c r="E116" s="2">
        <f>MATCH(D116,'Configurable Items'!C:C,0)</f>
        <v>537</v>
      </c>
    </row>
    <row r="118" spans="4:42">
      <c r="D118" s="132" t="s">
        <v>8443</v>
      </c>
      <c r="E118" s="2" t="e">
        <f>MATCH(D118,'Configurable Items'!C:C,0)</f>
        <v>#N/A</v>
      </c>
    </row>
    <row r="119" spans="4:42">
      <c r="D119" s="132" t="s">
        <v>4890</v>
      </c>
      <c r="E119" s="2">
        <f>MATCH(D119,'Configurable Items'!C:C,0)</f>
        <v>4029</v>
      </c>
    </row>
    <row r="120" spans="4:42">
      <c r="I120" s="2">
        <v>-5563.15</v>
      </c>
      <c r="J120" s="2">
        <v>0</v>
      </c>
      <c r="AM120" s="2">
        <v>0</v>
      </c>
      <c r="AN120" s="2">
        <v>443980.55675444897</v>
      </c>
      <c r="AO120" s="2" t="b">
        <v>0</v>
      </c>
      <c r="AP120" s="2" t="b">
        <v>0</v>
      </c>
    </row>
    <row r="121" spans="4:42">
      <c r="D121" s="138" t="s">
        <v>8699</v>
      </c>
      <c r="E121" s="2">
        <f>MATCH(D121,'Configurable Items'!C:C,0)</f>
        <v>140</v>
      </c>
      <c r="AM121" s="2">
        <v>171.04</v>
      </c>
      <c r="AN121" s="2">
        <v>2349464.03627356</v>
      </c>
      <c r="AO121" s="2" t="b">
        <v>0</v>
      </c>
      <c r="AP121" s="2" t="b">
        <v>0</v>
      </c>
    </row>
    <row r="122" spans="4:42">
      <c r="D122" s="2" t="s">
        <v>8700</v>
      </c>
      <c r="E122" s="2">
        <f>MATCH(D122,'Configurable Items'!C:C,0)</f>
        <v>141</v>
      </c>
      <c r="AM122" s="2">
        <v>2278.7399999999998</v>
      </c>
      <c r="AN122" s="2">
        <v>309009.40123205801</v>
      </c>
      <c r="AO122" s="2" t="b">
        <v>0</v>
      </c>
      <c r="AP122" s="2" t="b">
        <v>0</v>
      </c>
    </row>
    <row r="123" spans="4:42">
      <c r="AM123" s="2">
        <v>9351.9500000000007</v>
      </c>
      <c r="AN123" s="2">
        <v>1732930.50231131</v>
      </c>
      <c r="AO123" s="2" t="b">
        <v>1</v>
      </c>
      <c r="AP123" s="2" t="b">
        <v>1</v>
      </c>
    </row>
    <row r="124" spans="4:42">
      <c r="D124" s="124" t="s">
        <v>8703</v>
      </c>
      <c r="E124" s="2">
        <f>MATCH(D124,'Configurable Items'!C:C,0)</f>
        <v>318</v>
      </c>
      <c r="AN124" s="2">
        <v>1969838.7446500701</v>
      </c>
      <c r="AP124" s="2" t="b">
        <v>0</v>
      </c>
    </row>
    <row r="125" spans="4:42">
      <c r="AM125" s="2">
        <v>-125.61</v>
      </c>
      <c r="AN125" s="2">
        <v>1017265.24786987</v>
      </c>
      <c r="AO125" s="2" t="b">
        <v>0</v>
      </c>
      <c r="AP125" s="2" t="b">
        <v>1</v>
      </c>
    </row>
    <row r="126" spans="4:42">
      <c r="D126" s="138" t="s">
        <v>522</v>
      </c>
      <c r="E126" s="2">
        <f>MATCH(D126,'Configurable Items'!C:C,0)</f>
        <v>52</v>
      </c>
      <c r="AN126" s="2">
        <v>0</v>
      </c>
      <c r="AP126" s="2" t="b">
        <v>0</v>
      </c>
    </row>
    <row r="127" spans="4:42">
      <c r="D127" s="2" t="s">
        <v>523</v>
      </c>
      <c r="E127" s="2">
        <f>MATCH(D127,'Configurable Items'!C:C,0)</f>
        <v>5113</v>
      </c>
      <c r="AN127" s="2">
        <v>401472.19767904899</v>
      </c>
      <c r="AP127" s="2" t="b">
        <v>0</v>
      </c>
    </row>
    <row r="128" spans="4:42">
      <c r="D128" s="138" t="s">
        <v>524</v>
      </c>
      <c r="E128" s="2">
        <f>MATCH(D128,'Configurable Items'!C:C,0)</f>
        <v>91</v>
      </c>
      <c r="AN128" s="2">
        <v>370567.56203717098</v>
      </c>
      <c r="AP128" s="2" t="b">
        <v>0</v>
      </c>
    </row>
    <row r="129" spans="4:44">
      <c r="D129" s="132" t="s">
        <v>525</v>
      </c>
      <c r="E129" s="2">
        <f>MATCH(D129,'Configurable Items'!C:C,0)</f>
        <v>953</v>
      </c>
      <c r="AN129" s="2">
        <v>437127.94374698802</v>
      </c>
      <c r="AP129" s="2" t="b">
        <v>0</v>
      </c>
    </row>
    <row r="130" spans="4:44">
      <c r="F130" s="150" t="s">
        <v>526</v>
      </c>
      <c r="G130" s="150" t="s">
        <v>527</v>
      </c>
      <c r="H130" s="150" t="s">
        <v>528</v>
      </c>
      <c r="I130" s="150" t="s">
        <v>529</v>
      </c>
      <c r="J130" s="150" t="s">
        <v>530</v>
      </c>
      <c r="K130" s="150" t="s">
        <v>531</v>
      </c>
      <c r="L130" s="150" t="s">
        <v>531</v>
      </c>
      <c r="M130" s="150" t="s">
        <v>531</v>
      </c>
      <c r="AN130" s="2">
        <v>333663.40171675902</v>
      </c>
      <c r="AP130" s="2" t="b">
        <v>1</v>
      </c>
    </row>
    <row r="131" spans="4:44" ht="16">
      <c r="D131" s="151" t="s">
        <v>532</v>
      </c>
      <c r="E131" s="152" t="s">
        <v>533</v>
      </c>
      <c r="F131" s="148" t="s">
        <v>207</v>
      </c>
      <c r="G131" s="148">
        <v>1000</v>
      </c>
      <c r="H131" s="148">
        <v>600</v>
      </c>
      <c r="I131" s="148" t="b">
        <v>1</v>
      </c>
      <c r="J131" s="148" t="b">
        <v>0</v>
      </c>
      <c r="K131" s="148" t="s">
        <v>238</v>
      </c>
      <c r="L131" s="148"/>
      <c r="M131" s="148" t="s">
        <v>238</v>
      </c>
      <c r="AN131" s="2">
        <v>-4649.29</v>
      </c>
      <c r="AO131" s="2">
        <v>0</v>
      </c>
      <c r="AP131" s="2" t="b">
        <v>0</v>
      </c>
      <c r="AQ131" s="2">
        <v>360</v>
      </c>
      <c r="AR131" s="2">
        <v>1.01583333333333E-2</v>
      </c>
    </row>
    <row r="132" spans="4:44" ht="16">
      <c r="D132" s="151" t="s">
        <v>534</v>
      </c>
      <c r="E132" s="152" t="s">
        <v>535</v>
      </c>
      <c r="F132" s="148" t="s">
        <v>209</v>
      </c>
      <c r="G132" s="148"/>
      <c r="H132" s="148"/>
      <c r="I132" s="148" t="b">
        <v>1</v>
      </c>
      <c r="J132" s="148" t="b">
        <v>0</v>
      </c>
      <c r="K132" s="148" t="s">
        <v>238</v>
      </c>
      <c r="L132" s="148"/>
      <c r="M132" s="148" t="s">
        <v>238</v>
      </c>
      <c r="AN132" s="2">
        <v>644615.19387628301</v>
      </c>
      <c r="AP132" s="2" t="b">
        <v>0</v>
      </c>
    </row>
    <row r="133" spans="4:44">
      <c r="F133" s="148" t="s">
        <v>211</v>
      </c>
      <c r="G133" s="148"/>
      <c r="H133" s="148"/>
      <c r="I133" s="148" t="b">
        <v>1</v>
      </c>
      <c r="J133" s="148" t="b">
        <v>1</v>
      </c>
      <c r="K133" s="148" t="s">
        <v>536</v>
      </c>
      <c r="L133" s="148" t="s">
        <v>537</v>
      </c>
      <c r="M133" s="148" t="s">
        <v>538</v>
      </c>
    </row>
    <row r="134" spans="4:44" ht="16">
      <c r="D134" s="151" t="s">
        <v>542</v>
      </c>
      <c r="F134" s="148" t="s">
        <v>213</v>
      </c>
      <c r="G134" s="148"/>
      <c r="H134" s="148"/>
      <c r="I134" s="148" t="b">
        <v>1</v>
      </c>
      <c r="J134" s="148" t="b">
        <v>1</v>
      </c>
      <c r="K134" s="148" t="s">
        <v>539</v>
      </c>
      <c r="L134" s="148" t="s">
        <v>540</v>
      </c>
      <c r="M134" s="148" t="s">
        <v>541</v>
      </c>
      <c r="AN134" s="2">
        <v>1225.8567635696099</v>
      </c>
      <c r="AP134" s="2" t="b">
        <v>1</v>
      </c>
    </row>
    <row r="135" spans="4:44">
      <c r="F135" s="148" t="s">
        <v>216</v>
      </c>
      <c r="G135" s="148"/>
      <c r="H135" s="148"/>
      <c r="I135" s="148" t="b">
        <v>1</v>
      </c>
      <c r="J135" s="148" t="b">
        <v>0</v>
      </c>
      <c r="K135" s="148" t="s">
        <v>540</v>
      </c>
      <c r="L135" s="148"/>
      <c r="M135" s="148" t="s">
        <v>540</v>
      </c>
    </row>
    <row r="136" spans="4:44">
      <c r="F136" s="148" t="s">
        <v>219</v>
      </c>
      <c r="G136" s="148"/>
      <c r="H136" s="148"/>
      <c r="I136" s="148" t="b">
        <v>1</v>
      </c>
      <c r="J136" s="148" t="b">
        <v>0</v>
      </c>
      <c r="K136" s="148" t="s">
        <v>238</v>
      </c>
      <c r="L136" s="148"/>
      <c r="M136" s="148" t="s">
        <v>238</v>
      </c>
      <c r="AM136" s="2">
        <v>539.88</v>
      </c>
      <c r="AN136" s="2">
        <v>1732930.50231131</v>
      </c>
      <c r="AO136" s="2" t="b">
        <v>1</v>
      </c>
      <c r="AP136" s="2" t="b">
        <v>1</v>
      </c>
    </row>
    <row r="137" spans="4:44">
      <c r="F137" s="148" t="s">
        <v>222</v>
      </c>
      <c r="AM137" s="2">
        <v>8881.5400000000009</v>
      </c>
      <c r="AN137" s="2">
        <v>1898618.6270528201</v>
      </c>
      <c r="AO137" s="2" t="b">
        <v>0</v>
      </c>
    </row>
    <row r="138" spans="4:44">
      <c r="AN138" s="2">
        <v>0</v>
      </c>
      <c r="AP138" s="2" t="b">
        <v>1</v>
      </c>
    </row>
    <row r="139" spans="4:44">
      <c r="AN139" s="2">
        <v>0</v>
      </c>
      <c r="AP139" s="2" t="b">
        <v>1</v>
      </c>
    </row>
    <row r="140" spans="4:44">
      <c r="D140" s="132" t="s">
        <v>543</v>
      </c>
      <c r="E140" s="2">
        <f>MATCH(D140,'Configurable Items'!C:C,0)</f>
        <v>862</v>
      </c>
      <c r="AN140" s="2">
        <v>1565874.4767638801</v>
      </c>
      <c r="AP140" s="2" t="b">
        <v>0</v>
      </c>
    </row>
    <row r="141" spans="4:44">
      <c r="D141" s="132" t="s">
        <v>544</v>
      </c>
      <c r="E141" s="2">
        <f>MATCH(D141,'Configurable Items'!C:C,0)</f>
        <v>874</v>
      </c>
    </row>
    <row r="142" spans="4:44">
      <c r="D142" s="132" t="s">
        <v>545</v>
      </c>
      <c r="E142" s="2">
        <f>MATCH(D142,'Configurable Items'!C:C,0)</f>
        <v>887</v>
      </c>
    </row>
    <row r="143" spans="4:44">
      <c r="D143" s="2" t="s">
        <v>546</v>
      </c>
      <c r="E143" s="2">
        <f>MATCH(D143,'Configurable Items'!C:C,0)</f>
        <v>122</v>
      </c>
    </row>
    <row r="144" spans="4:44">
      <c r="D144" s="2" t="s">
        <v>547</v>
      </c>
      <c r="E144" s="2">
        <f>MATCH(D144,'Configurable Items'!C:C,0)</f>
        <v>121</v>
      </c>
    </row>
    <row r="146" spans="4:42">
      <c r="D146" s="2" t="s">
        <v>8799</v>
      </c>
      <c r="E146" s="2">
        <f>MATCH(D146,'Configurable Items'!C:C,0)</f>
        <v>125</v>
      </c>
    </row>
    <row r="147" spans="4:42">
      <c r="D147" s="138" t="s">
        <v>8164</v>
      </c>
    </row>
    <row r="148" spans="4:42">
      <c r="D148" s="138" t="s">
        <v>8859</v>
      </c>
      <c r="E148" s="2">
        <f>MATCH(D148,'Configurable Items'!C:C,0)</f>
        <v>928</v>
      </c>
    </row>
    <row r="149" spans="4:42">
      <c r="AN149" s="2">
        <v>13279.4478867858</v>
      </c>
      <c r="AP149" s="2" t="b">
        <v>0</v>
      </c>
    </row>
    <row r="150" spans="4:42">
      <c r="D150" s="138" t="s">
        <v>8884</v>
      </c>
      <c r="E150" s="2">
        <f>MATCH(D150,'Configurable Items'!C:C,0)</f>
        <v>46</v>
      </c>
      <c r="AN150" s="2">
        <v>1565874.4767638801</v>
      </c>
      <c r="AP150" s="2" t="b">
        <v>0</v>
      </c>
    </row>
    <row r="151" spans="4:42">
      <c r="D151" s="138" t="s">
        <v>8885</v>
      </c>
      <c r="E151" s="2">
        <f>MATCH(D151,'Configurable Items'!C:C,0)</f>
        <v>47</v>
      </c>
      <c r="AN151" s="2">
        <v>0</v>
      </c>
      <c r="AP151" s="2" t="b">
        <v>1</v>
      </c>
    </row>
    <row r="153" spans="4:42">
      <c r="D153" s="138" t="s">
        <v>8895</v>
      </c>
      <c r="E153" s="2">
        <f>MATCH(D153,'Configurable Items'!C:C,0)</f>
        <v>130</v>
      </c>
    </row>
    <row r="154" spans="4:42">
      <c r="D154" s="138" t="s">
        <v>8897</v>
      </c>
      <c r="E154" s="2">
        <f>MATCH(D154,'Configurable Items'!C:C,0)</f>
        <v>131</v>
      </c>
    </row>
    <row r="155" spans="4:42">
      <c r="D155" s="138" t="s">
        <v>8955</v>
      </c>
      <c r="E155" s="2">
        <f>MATCH(D155,'Configurable Items'!C:C,0)</f>
        <v>132</v>
      </c>
    </row>
    <row r="156" spans="4:42">
      <c r="D156" s="138" t="s">
        <v>8956</v>
      </c>
      <c r="E156" s="2">
        <f>MATCH(D156,'Configurable Items'!C:C,0)</f>
        <v>133</v>
      </c>
    </row>
    <row r="157" spans="4:42">
      <c r="D157" s="138" t="s">
        <v>8987</v>
      </c>
      <c r="E157" s="2">
        <f>MATCH(D157,'Configurable Items'!C:C,0)</f>
        <v>134</v>
      </c>
    </row>
    <row r="158" spans="4:42">
      <c r="D158" s="138" t="s">
        <v>8988</v>
      </c>
      <c r="E158" s="2">
        <f>MATCH(D158,'Configurable Items'!C:C,0)</f>
        <v>135</v>
      </c>
    </row>
    <row r="161" spans="4:42">
      <c r="AN161" s="2">
        <v>431618.61017838301</v>
      </c>
      <c r="AP161" s="2" t="b">
        <v>0</v>
      </c>
    </row>
    <row r="165" spans="4:42">
      <c r="AN165" s="2">
        <v>393654.89882072899</v>
      </c>
      <c r="AP165" s="2" t="b">
        <v>1</v>
      </c>
    </row>
    <row r="166" spans="4:42" ht="19.5" customHeight="1">
      <c r="S166" s="349" t="s">
        <v>7963</v>
      </c>
    </row>
    <row r="167" spans="4:42">
      <c r="AN167" s="2">
        <v>325980.63140174898</v>
      </c>
      <c r="AP167" s="2" t="b">
        <v>1</v>
      </c>
    </row>
    <row r="168" spans="4:42">
      <c r="F168" s="2" t="s">
        <v>548</v>
      </c>
      <c r="G168" s="2" t="s">
        <v>9203</v>
      </c>
      <c r="H168" s="2" t="s">
        <v>168</v>
      </c>
      <c r="I168" s="2" t="s">
        <v>9186</v>
      </c>
      <c r="J168" s="2" t="s">
        <v>551</v>
      </c>
      <c r="K168" s="2">
        <v>365</v>
      </c>
      <c r="T168" s="23" t="s">
        <v>7962</v>
      </c>
    </row>
    <row r="170" spans="4:42">
      <c r="T170" s="2" t="str">
        <f>IF('Internal Ref'!Q173=FALSE,"! New Loan amounts don't match your SOP inputs","")</f>
        <v/>
      </c>
    </row>
    <row r="171" spans="4:42" ht="16" thickBot="1">
      <c r="P171" s="2" t="s">
        <v>7960</v>
      </c>
    </row>
    <row r="172" spans="4:42">
      <c r="D172" s="153" t="s">
        <v>549</v>
      </c>
      <c r="E172" s="2" t="e">
        <f>MATCH(D172,#REF!,0)</f>
        <v>#REF!</v>
      </c>
      <c r="F172" s="2" t="s">
        <v>57</v>
      </c>
      <c r="G172" s="2">
        <f>COUNTIF('SoP 4'!D:D,'Internal Ref'!F172)</f>
        <v>1</v>
      </c>
      <c r="K172" s="2" t="s">
        <v>7976</v>
      </c>
      <c r="L172" s="2" t="s">
        <v>7975</v>
      </c>
      <c r="O172" s="2" t="str">
        <f>'LMI Qualifier'!I9</f>
        <v>&lt; 6</v>
      </c>
      <c r="P172" s="2" t="b">
        <f>IF(ISNA(VLOOKUP(O172,P176:P180,1,FALSE)),TRUE,FALSE)</f>
        <v>1</v>
      </c>
      <c r="Q172" s="2">
        <f>VLOOKUP(O172,$P$176:$Q$182,2,FALSE)</f>
        <v>0</v>
      </c>
      <c r="R172" s="2">
        <f>VLOOKUP(O172,$P$176:$R$182,3,FALSE)</f>
        <v>0</v>
      </c>
    </row>
    <row r="173" spans="4:42">
      <c r="I173" s="2" cm="1">
        <f t="array" aca="1" ref="I173" ca="1">IF(H174="","",OFFSET(INDIRECT("'"&amp;G174&amp;"'!"&amp;H174),0,27))</f>
        <v>0</v>
      </c>
      <c r="K173" s="2">
        <f>'Internal Ref'!I206-'Internal Ref'!I205-5</f>
        <v>1</v>
      </c>
      <c r="L173" s="2">
        <f ca="1">SUM(OFFSET('LMI Qualifier'!E26:E27,1,FALSE))</f>
        <v>0</v>
      </c>
      <c r="M173" s="78">
        <f>'LMI Qualifier'!$F$35</f>
        <v>0</v>
      </c>
      <c r="N173" s="2" t="b">
        <f>'LMI Qualifier'!L24</f>
        <v>1</v>
      </c>
      <c r="O173" s="348">
        <f>VLOOKUP(O172,P176:W182,8,FALSE)</f>
        <v>5.99</v>
      </c>
      <c r="P173" s="347">
        <f>'LMI Qualifier'!J9</f>
        <v>5.99</v>
      </c>
      <c r="Q173" s="2" t="b">
        <f>O173=P173</f>
        <v>1</v>
      </c>
    </row>
    <row r="174" spans="4:42">
      <c r="F174" s="2" t="s">
        <v>550</v>
      </c>
      <c r="G174" s="69" t="s">
        <v>551</v>
      </c>
      <c r="H174" s="2" t="s">
        <v>9201</v>
      </c>
      <c r="I174" s="2" cm="1">
        <f t="array" aca="1" ref="I174" ca="1">IF(H174="","",INDIRECT("'"&amp;G174&amp;"'!G"&amp;RIGHT(H174,LEN(H174)-FIND("$",H174,2))))</f>
        <v>0</v>
      </c>
      <c r="J174" s="2" t="str" cm="1">
        <f t="array" aca="1" ref="J174" ca="1">IF(H174="","",INDIRECT("'" &amp; G174&amp;"'!F"&amp; RIGHT(H174,LEN(H174)-FIND("$",H174,2))))</f>
        <v>Four Weekly</v>
      </c>
      <c r="K174" s="2" t="str">
        <f ca="1">IF(INT(RIGHT(H174,LEN(H174)-FIND("$",H174,2)))&lt;OFFSET(A217,0,VLOOKUP(G174,A203:B206,2)),"LIABILITY", "LOAN")</f>
        <v>LOAN</v>
      </c>
      <c r="M174" s="2">
        <v>1</v>
      </c>
      <c r="N174" s="2">
        <v>2</v>
      </c>
      <c r="O174" s="2">
        <v>3</v>
      </c>
      <c r="P174" s="2">
        <v>4</v>
      </c>
      <c r="Q174" s="2" t="s">
        <v>594</v>
      </c>
      <c r="R174" s="2" t="s">
        <v>7953</v>
      </c>
      <c r="S174" s="2" t="s">
        <v>7954</v>
      </c>
      <c r="T174" s="2" t="s">
        <v>8439</v>
      </c>
      <c r="U174" s="2" t="s">
        <v>8441</v>
      </c>
      <c r="V174" s="2" t="s">
        <v>8442</v>
      </c>
    </row>
    <row r="175" spans="4:42">
      <c r="F175" s="2" t="s">
        <v>552</v>
      </c>
      <c r="G175" s="2" t="s">
        <v>168</v>
      </c>
      <c r="H175" s="2">
        <f>IF(ISNA(VLOOKUP(G175,G184:H193,2,FALSE)),0,VLOOKUP(G175,G184:H193,2,FALSE))</f>
        <v>0</v>
      </c>
      <c r="U175" s="2">
        <f>IF(Q175=0,0,(S175+R175)/Q175)</f>
        <v>0</v>
      </c>
      <c r="AN175" s="2">
        <v>2170053.5048541999</v>
      </c>
      <c r="AP175" s="2" t="b">
        <v>1</v>
      </c>
    </row>
    <row r="176" spans="4:42">
      <c r="F176" s="2" t="s">
        <v>553</v>
      </c>
      <c r="G176" s="2">
        <v>1</v>
      </c>
      <c r="M176" s="2" t="s">
        <v>7961</v>
      </c>
      <c r="N176" s="2" t="s">
        <v>7961</v>
      </c>
      <c r="O176" s="2" t="s">
        <v>7961</v>
      </c>
      <c r="P176" s="117" t="s">
        <v>7961</v>
      </c>
      <c r="Q176" s="395">
        <f>VLOOKUP(P176,$F$178:$L$182,4,FALSE)</f>
        <v>1362708.96</v>
      </c>
      <c r="R176" s="117">
        <f>VLOOKUP(P176,$F$178:$L$182,6,FALSE)</f>
        <v>0</v>
      </c>
      <c r="S176" s="117">
        <f>SUMIFS('LMI Qualifier'!E26:E27,'LMI Qualifier'!D26:D27,TRUE)</f>
        <v>0</v>
      </c>
      <c r="T176" s="117">
        <f>IF(Q176=0,0,(S176+R176)/Q176)</f>
        <v>0</v>
      </c>
      <c r="U176" s="117">
        <f>IF(Q176=0,0,(S176+R176+IF('LMI Qualifier'!$L$24=TRUE,'LMI Qualifier'!$F$35,0))/Q176)</f>
        <v>0</v>
      </c>
      <c r="V176" s="2">
        <f>SUM(V177:V180)</f>
        <v>0</v>
      </c>
      <c r="W176" s="2">
        <f>VLOOKUP(P176,$F$178:$L$182,7,FALSE)</f>
        <v>4.1094614949915647</v>
      </c>
    </row>
    <row r="177" spans="2:42">
      <c r="F177" s="2" t="s">
        <v>7949</v>
      </c>
      <c r="G177" s="2">
        <f>IF(NUMBER_SOPs=1,S1_DTI,TOTAL_DTI)</f>
        <v>0</v>
      </c>
      <c r="I177" s="2" t="s">
        <v>554</v>
      </c>
      <c r="J177" s="2" t="s">
        <v>555</v>
      </c>
      <c r="K177" s="2" t="s">
        <v>7950</v>
      </c>
      <c r="M177" s="2" t="s">
        <v>7952</v>
      </c>
      <c r="N177" s="2" t="s">
        <v>551</v>
      </c>
      <c r="O177" s="2" t="s">
        <v>551</v>
      </c>
      <c r="P177" s="117" t="s">
        <v>551</v>
      </c>
      <c r="Q177" s="395">
        <f>VLOOKUP(P177,$F$178:$L$182,4,FALSE)</f>
        <v>1362708.96</v>
      </c>
      <c r="R177" s="117">
        <f>VLOOKUP(P177,$F$178:$L$182,6,FALSE)</f>
        <v>0</v>
      </c>
      <c r="S177" s="117">
        <f>S176</f>
        <v>0</v>
      </c>
      <c r="T177" s="117">
        <f>IF(Q177=0,0,(S177+R177)/Q177)</f>
        <v>0</v>
      </c>
      <c r="U177" s="117">
        <f>IF(Q177=0,0,(S177+R177+IF('LMI Qualifier'!$L$24=TRUE,'LMI Qualifier'!$F$35,0))/Q177)</f>
        <v>0</v>
      </c>
      <c r="V177" s="2">
        <f>VLOOKUP(P177,$A$234:$L$237,10,FALSE)</f>
        <v>0</v>
      </c>
      <c r="W177" s="2">
        <f>VLOOKUP(P177,$F$178:$L$182,7,FALSE)</f>
        <v>4.1094614949915647</v>
      </c>
    </row>
    <row r="178" spans="2:42">
      <c r="F178" s="117" t="str">
        <f>'SoP 4'!AB9</f>
        <v>SoP 4</v>
      </c>
      <c r="G178" s="117" t="s">
        <v>556</v>
      </c>
      <c r="H178" s="117">
        <f>MATCH(G178,'SoP 4'!C:C,0)</f>
        <v>135</v>
      </c>
      <c r="I178" s="395" cm="1">
        <f t="array" ref="I178">Calc_DTI(0,0, 'SoP 4'!AC37, 'SoP 4'!D48:X49,"INC")</f>
        <v>0</v>
      </c>
      <c r="J178" s="117">
        <f>SUMPRODUCT('SoP 4'!D112:D113,'SoP 4'!AF112:AF113)+SUMPRODUCT('SoP 4'!H67:H68,'SoP 4'!AF67:AF68)</f>
        <v>0</v>
      </c>
      <c r="K178" s="117">
        <f>SUMPRODUCT('SoP 4'!H67:H68,'SoP 4'!AF67:AF68)</f>
        <v>0</v>
      </c>
      <c r="L178" s="117">
        <f>IF(I178 = 0, 0, J178/I178)</f>
        <v>0</v>
      </c>
      <c r="M178" s="2" t="s">
        <v>7951</v>
      </c>
      <c r="N178" s="2" t="s">
        <v>587</v>
      </c>
      <c r="O178" s="2" t="s">
        <v>587</v>
      </c>
      <c r="P178" s="117" t="s">
        <v>587</v>
      </c>
      <c r="Q178" s="395">
        <f>VLOOKUP(P178,$F$178:$L$182,4,FALSE)</f>
        <v>0</v>
      </c>
      <c r="R178" s="117">
        <f>VLOOKUP(P178,$F$178:$L$182,6,FALSE)</f>
        <v>0</v>
      </c>
      <c r="S178" s="117">
        <f>S176</f>
        <v>0</v>
      </c>
      <c r="T178" s="117">
        <f>IF(Q178=0,0,(S178+R178)/Q178)</f>
        <v>0</v>
      </c>
      <c r="U178" s="117">
        <f>IF(Q178=0,0,(S178+R178+IF('LMI Qualifier'!$L$24=TRUE,'LMI Qualifier'!$F$35,0))/Q178)</f>
        <v>0</v>
      </c>
      <c r="V178" s="2">
        <f>VLOOKUP(P178,$A$234:$L$237,10,FALSE)</f>
        <v>0</v>
      </c>
      <c r="W178" s="2">
        <f>VLOOKUP(P178,$F$178:$L$182,7,FALSE)</f>
        <v>0</v>
      </c>
    </row>
    <row r="179" spans="2:42">
      <c r="F179" s="117" t="str">
        <f>'SoP 2'!AB9</f>
        <v>SoP 2</v>
      </c>
      <c r="G179" s="117" t="s">
        <v>556</v>
      </c>
      <c r="H179" s="117">
        <f>MATCH(G179,'SoP 2'!C:C,0)</f>
        <v>135</v>
      </c>
      <c r="I179" s="395" cm="1">
        <f t="array" ref="I179">Calc_DTI(0,0, 'SoP 2'!AC37, 'SoP 2'!D48:X49,"INC")</f>
        <v>0</v>
      </c>
      <c r="J179" s="117">
        <f>SUMPRODUCT('SoP 2'!D112:D113,'SoP 2'!AF112:AF113)+SUMPRODUCT('SoP 2'!H67:H68,'SoP 2'!AF67:AF68)</f>
        <v>0</v>
      </c>
      <c r="K179" s="117">
        <f>SUMPRODUCT('SoP 2'!H67:H68,'SoP 2'!AF67:AF68)</f>
        <v>0</v>
      </c>
      <c r="L179" s="117">
        <f>IF(I179 = 0, 0, J179/I179)</f>
        <v>0</v>
      </c>
      <c r="N179" s="2" t="s">
        <v>7952</v>
      </c>
      <c r="O179" s="2" t="s">
        <v>588</v>
      </c>
      <c r="P179" s="117" t="s">
        <v>588</v>
      </c>
      <c r="Q179" s="395">
        <f>VLOOKUP(P179,$F$178:$L$182,4,FALSE)</f>
        <v>0</v>
      </c>
      <c r="R179" s="117">
        <f>VLOOKUP(P179,$F$178:$L$182,6,FALSE)</f>
        <v>0</v>
      </c>
      <c r="S179" s="117">
        <f>S176</f>
        <v>0</v>
      </c>
      <c r="T179" s="117">
        <f>IF(Q179=0,0,(S179+R179)/Q179)</f>
        <v>0</v>
      </c>
      <c r="U179" s="117">
        <f>IF(Q179=0,0,(S179+R179+IF('LMI Qualifier'!$L$24=TRUE,'LMI Qualifier'!$F$35,0))/Q179)</f>
        <v>0</v>
      </c>
      <c r="V179" s="2">
        <f>VLOOKUP(P179,$A$234:$L$237,10,FALSE)</f>
        <v>0</v>
      </c>
      <c r="W179" s="2">
        <f>VLOOKUP(P179,$F$178:$L$182,7,FALSE)</f>
        <v>0</v>
      </c>
    </row>
    <row r="180" spans="2:42">
      <c r="F180" s="117" t="str">
        <f>'SoP 1'!AB9</f>
        <v>SoP 1</v>
      </c>
      <c r="G180" s="117" t="s">
        <v>556</v>
      </c>
      <c r="H180" s="117">
        <f>MATCH(G180,'SoP 1'!C:C,0)</f>
        <v>171</v>
      </c>
      <c r="I180" s="395" cm="1">
        <f t="array" ref="I180">Calc_DTI(0,0, 'SoP 1'!AC73, 'SoP 1'!D84:X85,"INC")</f>
        <v>1362708.96</v>
      </c>
      <c r="J180" s="117">
        <f>SUMPRODUCT('SoP 1'!D148:D149,'SoP 1'!AF148:AF149)+SUMPRODUCT('SoP 1'!H103:H104,'SoP 1'!AF103:AF104)</f>
        <v>5600000</v>
      </c>
      <c r="K180" s="117">
        <f>SUMPRODUCT('SoP 1'!H103:H104,'SoP 1'!AF103:AF104)</f>
        <v>0</v>
      </c>
      <c r="L180" s="117">
        <f>IF(I180 = 0, 0, J180/I180)</f>
        <v>4.1094614949915647</v>
      </c>
      <c r="N180" s="2" t="s">
        <v>7951</v>
      </c>
      <c r="O180" s="2" t="s">
        <v>7952</v>
      </c>
      <c r="P180" s="117" t="s">
        <v>589</v>
      </c>
      <c r="Q180" s="395">
        <f>VLOOKUP(P180,$F$178:$L$182,4,FALSE)</f>
        <v>0</v>
      </c>
      <c r="R180" s="117">
        <f>VLOOKUP(P180,$F$178:$L$182,6,FALSE)</f>
        <v>0</v>
      </c>
      <c r="S180" s="117">
        <f>S176</f>
        <v>0</v>
      </c>
      <c r="T180" s="117">
        <f>IF(Q180=0,0,(S180+R180)/Q180)</f>
        <v>0</v>
      </c>
      <c r="U180" s="117">
        <f>IF(Q180=0,0,(S180+R180+IF('LMI Qualifier'!$L$24=TRUE,'LMI Qualifier'!$F$35,0))/Q180)</f>
        <v>0</v>
      </c>
      <c r="V180" s="2">
        <f>VLOOKUP(P180,$A$234:$L$237,10,FALSE)</f>
        <v>0</v>
      </c>
      <c r="W180" s="2">
        <f>VLOOKUP(P180,$F$178:$L$182,7,FALSE)</f>
        <v>0</v>
      </c>
    </row>
    <row r="181" spans="2:42">
      <c r="F181" s="117" t="str">
        <f>'SoP 3'!AB9</f>
        <v>SoP 3</v>
      </c>
      <c r="G181" s="117" t="s">
        <v>556</v>
      </c>
      <c r="H181" s="117">
        <f>MATCH(G181,'SoP 3'!C:C,0)</f>
        <v>135</v>
      </c>
      <c r="I181" s="395" cm="1">
        <f t="array" ref="I181">Calc_DTI(0,0, 'SoP 3'!AC37, 'SoP 3'!D48:X49,"INC")</f>
        <v>0</v>
      </c>
      <c r="J181" s="117">
        <f>SUMPRODUCT('SoP 3'!D112:D113,'SoP 3'!AF112:AF113)+SUMPRODUCT('SoP 3'!H67:H68,'SoP 3'!AF67:AF68)</f>
        <v>0</v>
      </c>
      <c r="K181" s="117">
        <f>SUMPRODUCT('SoP 3'!H67:H68,'SoP 3'!AF67:AF68)</f>
        <v>0</v>
      </c>
      <c r="L181" s="117">
        <f>IF(I181 = 0, 0, J181/I181)</f>
        <v>0</v>
      </c>
      <c r="O181" s="2" t="s">
        <v>7951</v>
      </c>
      <c r="P181" s="117" t="s">
        <v>7952</v>
      </c>
      <c r="Q181" s="395">
        <v>0</v>
      </c>
      <c r="R181" s="117"/>
      <c r="S181" s="117"/>
      <c r="T181" s="117">
        <v>5.99</v>
      </c>
      <c r="U181" s="117">
        <v>5.99</v>
      </c>
      <c r="V181" s="2">
        <v>0</v>
      </c>
      <c r="W181" s="2">
        <v>5.99</v>
      </c>
    </row>
    <row r="182" spans="2:42">
      <c r="B182" s="69"/>
      <c r="F182" s="117" t="s">
        <v>7961</v>
      </c>
      <c r="G182" s="117"/>
      <c r="H182" s="117"/>
      <c r="I182" s="395">
        <f>SUM(I178:I181)</f>
        <v>1362708.96</v>
      </c>
      <c r="J182" s="395">
        <f>SUM(J178:J181)</f>
        <v>5600000</v>
      </c>
      <c r="K182" s="117">
        <f>SUM(K178:K181)</f>
        <v>0</v>
      </c>
      <c r="L182" s="117">
        <f>IF(I182 = 0, 0, J182/I182)</f>
        <v>4.1094614949915647</v>
      </c>
      <c r="P182" s="117" t="s">
        <v>7951</v>
      </c>
      <c r="Q182" s="395">
        <v>6</v>
      </c>
      <c r="R182" s="117"/>
      <c r="S182" s="117"/>
      <c r="T182" s="117">
        <v>6</v>
      </c>
      <c r="U182" s="117">
        <v>6</v>
      </c>
      <c r="V182" s="2">
        <v>0</v>
      </c>
      <c r="W182" s="2">
        <v>6</v>
      </c>
    </row>
    <row r="183" spans="2:42">
      <c r="F183" s="2" t="s">
        <v>557</v>
      </c>
      <c r="G183" s="2" t="s">
        <v>558</v>
      </c>
      <c r="H183" s="2" t="s">
        <v>559</v>
      </c>
      <c r="I183" s="2" t="s">
        <v>560</v>
      </c>
      <c r="J183" s="2" t="s">
        <v>561</v>
      </c>
    </row>
    <row r="184" spans="2:42">
      <c r="B184" s="2" t="s">
        <v>8524</v>
      </c>
      <c r="C184" s="2" t="s">
        <v>8524</v>
      </c>
      <c r="F184" s="2" t="s">
        <v>109</v>
      </c>
      <c r="G184" s="154" t="s">
        <v>109</v>
      </c>
      <c r="H184" s="2">
        <v>2</v>
      </c>
      <c r="I184" s="2" t="s">
        <v>562</v>
      </c>
      <c r="J184" s="2" t="s">
        <v>563</v>
      </c>
    </row>
    <row r="185" spans="2:42">
      <c r="B185" s="2" t="s">
        <v>234</v>
      </c>
      <c r="C185" s="2" t="s">
        <v>576</v>
      </c>
      <c r="F185" s="2" t="s">
        <v>564</v>
      </c>
      <c r="G185" s="154" t="s">
        <v>112</v>
      </c>
      <c r="H185" s="2">
        <v>6</v>
      </c>
      <c r="I185" s="2" t="s">
        <v>562</v>
      </c>
      <c r="J185" s="2" t="s">
        <v>563</v>
      </c>
      <c r="AN185" s="2">
        <v>896915.34531172202</v>
      </c>
      <c r="AP185" s="2" t="b">
        <v>0</v>
      </c>
    </row>
    <row r="186" spans="2:42">
      <c r="B186" s="2" t="s">
        <v>8166</v>
      </c>
      <c r="C186" s="2" t="s">
        <v>576</v>
      </c>
      <c r="F186" s="2" t="s">
        <v>565</v>
      </c>
      <c r="G186" s="154" t="s">
        <v>565</v>
      </c>
      <c r="H186" s="2">
        <v>8</v>
      </c>
      <c r="I186" s="2" t="s">
        <v>562</v>
      </c>
      <c r="J186" s="2" t="s">
        <v>563</v>
      </c>
    </row>
    <row r="187" spans="2:42">
      <c r="B187" s="2" t="s">
        <v>8417</v>
      </c>
      <c r="C187" s="2" t="s">
        <v>8418</v>
      </c>
      <c r="F187" s="2" t="s">
        <v>110</v>
      </c>
      <c r="G187" s="154" t="s">
        <v>110</v>
      </c>
      <c r="H187" s="2">
        <v>4</v>
      </c>
      <c r="I187" s="2" t="s">
        <v>562</v>
      </c>
      <c r="J187" s="2" t="s">
        <v>563</v>
      </c>
      <c r="N187" s="1382" t="s">
        <v>9018</v>
      </c>
      <c r="O187" s="2" t="str" cm="1">
        <f t="array" aca="1" ref="O187" ca="1">INDIRECT("'SoP 1'!D10")</f>
        <v>Fan Jiang</v>
      </c>
      <c r="V187" s="158"/>
    </row>
    <row r="188" spans="2:42">
      <c r="B188" s="2" t="s">
        <v>8601</v>
      </c>
      <c r="C188" s="2" t="s">
        <v>168</v>
      </c>
      <c r="F188" s="2" t="s">
        <v>566</v>
      </c>
      <c r="G188" s="154" t="s">
        <v>567</v>
      </c>
      <c r="H188" s="2">
        <v>5</v>
      </c>
      <c r="I188" s="2" t="s">
        <v>562</v>
      </c>
      <c r="J188" s="2" t="s">
        <v>563</v>
      </c>
      <c r="N188" s="1382" t="s">
        <v>9019</v>
      </c>
      <c r="O188" s="2" t="str" cm="1">
        <f t="array" aca="1" ref="O188" ca="1">INDIRECT("'SoP 1'!D11")</f>
        <v>Sifei Liu</v>
      </c>
      <c r="U188" s="8"/>
      <c r="V188" s="8"/>
      <c r="W188" s="8"/>
      <c r="X188" s="8"/>
    </row>
    <row r="189" spans="2:42">
      <c r="B189" s="2" t="s">
        <v>9032</v>
      </c>
      <c r="C189" s="2" t="s">
        <v>8819</v>
      </c>
      <c r="F189" s="2" t="s">
        <v>22</v>
      </c>
      <c r="G189" s="154" t="s">
        <v>22</v>
      </c>
      <c r="H189" s="2">
        <v>5</v>
      </c>
      <c r="I189" s="2" t="s">
        <v>568</v>
      </c>
      <c r="J189" s="2" t="s">
        <v>569</v>
      </c>
      <c r="N189" s="1382" t="s">
        <v>9020</v>
      </c>
      <c r="O189" s="2" cm="1">
        <f t="array" aca="1" ref="O189" ca="1">INDIRECT("'SoP 2'!D10")</f>
        <v>0</v>
      </c>
    </row>
    <row r="190" spans="2:42">
      <c r="B190" s="2" t="s">
        <v>9041</v>
      </c>
      <c r="C190" s="2" t="s">
        <v>8835</v>
      </c>
      <c r="F190" s="2" t="s">
        <v>570</v>
      </c>
      <c r="G190" s="154" t="s">
        <v>571</v>
      </c>
      <c r="H190" s="2">
        <v>7</v>
      </c>
      <c r="I190" s="2" t="s">
        <v>568</v>
      </c>
      <c r="J190" s="2" t="s">
        <v>569</v>
      </c>
      <c r="N190" s="1382" t="s">
        <v>9021</v>
      </c>
      <c r="O190" s="2" cm="1">
        <f t="array" aca="1" ref="O190" ca="1">INDIRECT("'SoP 2'!D11")</f>
        <v>0</v>
      </c>
    </row>
    <row r="191" spans="2:42">
      <c r="B191" s="2" t="s">
        <v>9013</v>
      </c>
      <c r="C191" s="2" t="s">
        <v>9012</v>
      </c>
      <c r="F191" s="2" t="s">
        <v>572</v>
      </c>
      <c r="G191" s="154" t="s">
        <v>573</v>
      </c>
      <c r="H191" s="2">
        <v>14</v>
      </c>
      <c r="I191" s="2" t="s">
        <v>568</v>
      </c>
      <c r="J191" s="2" t="s">
        <v>569</v>
      </c>
      <c r="N191" s="1382" t="s">
        <v>9022</v>
      </c>
      <c r="O191" s="2" cm="1">
        <f t="array" aca="1" ref="O191" ca="1">INDIRECT("'SoP 3'!D10")</f>
        <v>0</v>
      </c>
    </row>
    <row r="192" spans="2:42">
      <c r="F192" s="2" t="s">
        <v>574</v>
      </c>
      <c r="G192" s="154" t="s">
        <v>575</v>
      </c>
      <c r="H192" s="2">
        <v>6</v>
      </c>
      <c r="I192" s="2" t="s">
        <v>568</v>
      </c>
      <c r="J192" s="2" t="s">
        <v>569</v>
      </c>
      <c r="N192" s="1382" t="s">
        <v>9023</v>
      </c>
      <c r="O192" s="2" cm="1">
        <f t="array" aca="1" ref="O192" ca="1">INDIRECT("'SoP 3'!D11")</f>
        <v>0</v>
      </c>
    </row>
    <row r="193" spans="1:15">
      <c r="F193" s="2" t="s">
        <v>107</v>
      </c>
      <c r="G193" s="154" t="s">
        <v>107</v>
      </c>
      <c r="H193" s="2">
        <v>6</v>
      </c>
      <c r="I193" s="2" t="s">
        <v>568</v>
      </c>
      <c r="J193" s="2" t="s">
        <v>569</v>
      </c>
      <c r="N193" s="1382" t="s">
        <v>9024</v>
      </c>
      <c r="O193" s="2" cm="1">
        <f t="array" aca="1" ref="O193" ca="1">INDIRECT("'SoP 4'!D10")</f>
        <v>0</v>
      </c>
    </row>
    <row r="194" spans="1:15">
      <c r="F194" s="2" t="s">
        <v>234</v>
      </c>
      <c r="G194" s="155" t="s">
        <v>576</v>
      </c>
      <c r="I194" s="2" t="s">
        <v>562</v>
      </c>
      <c r="J194" s="2" t="s">
        <v>562</v>
      </c>
      <c r="N194" s="1382" t="s">
        <v>9025</v>
      </c>
      <c r="O194" s="2" cm="1">
        <f t="array" aca="1" ref="O194" ca="1">INDIRECT("'SoP 4'!D11")</f>
        <v>0</v>
      </c>
    </row>
    <row r="195" spans="1:15">
      <c r="F195" s="2" t="s">
        <v>109</v>
      </c>
      <c r="G195" s="2">
        <f>VLOOKUP(F195,G184:H193,2,FALSE)</f>
        <v>2</v>
      </c>
    </row>
    <row r="196" spans="1:15">
      <c r="E196" s="2" t="s">
        <v>577</v>
      </c>
      <c r="G196" s="2" t="s">
        <v>552</v>
      </c>
      <c r="H196" s="2" t="s">
        <v>578</v>
      </c>
      <c r="I196" s="2" t="s">
        <v>579</v>
      </c>
      <c r="K196" s="2" t="s">
        <v>260</v>
      </c>
      <c r="L196" s="2" t="s">
        <v>9017</v>
      </c>
    </row>
    <row r="197" spans="1:15">
      <c r="E197" s="156" t="s">
        <v>551</v>
      </c>
      <c r="F197" s="25" t="s">
        <v>8601</v>
      </c>
      <c r="G197" s="2" t="str">
        <f>IF(ISNA(VLOOKUP(F197,B184:C191,2,FALSE)),"Exp Breakdown",VLOOKUP(F197,B184:C191,2,FALSE))</f>
        <v>Securities</v>
      </c>
      <c r="H197" s="2" t="e">
        <f>VLOOKUP(F197,A615:G654,6,FALSE)</f>
        <v>#N/A</v>
      </c>
      <c r="I197" s="2" t="e">
        <f ca="1">IF(OR(F197="LMI",F197="ConLoan",F197="SS_CC_Prch_Costs"),VLOOKUP(F197,A615:G654,7,FALSE),
IF(OR(F197="InvProp",F197="SalCred",F197="BaseInc"),K197,
IF(F197="Mty_Ent",K197+IF(L197="",0,VLOOKUP(L197,'Configurable Items'!E4762:F4774,2,FALSE)),
MATCH(VLOOKUP(F197,A615:G654,3,FALSE),INDIRECT("'"&amp;E197&amp;"'!"&amp;VLOOKUP(F197,A615:G654,5,FALSE)&amp;":"&amp;VLOOKUP(F197,A615:G654,5,FALSE)),0))))</f>
        <v>#N/A</v>
      </c>
      <c r="K197" s="2">
        <v>26</v>
      </c>
      <c r="L197" s="2" t="s">
        <v>1442</v>
      </c>
    </row>
    <row r="199" spans="1:15">
      <c r="D199" s="2" t="s">
        <v>581</v>
      </c>
      <c r="F199" s="2" t="s">
        <v>582</v>
      </c>
      <c r="H199" s="2" t="s">
        <v>583</v>
      </c>
      <c r="J199" s="2" t="s">
        <v>584</v>
      </c>
    </row>
    <row r="200" spans="1:15" ht="18">
      <c r="D200" s="81"/>
    </row>
    <row r="201" spans="1:15" ht="18">
      <c r="D201" s="81" t="s">
        <v>86</v>
      </c>
      <c r="E201" s="2">
        <f>MATCH(D201,'SoP 4'!D:D,FALSE)</f>
        <v>56</v>
      </c>
      <c r="F201" s="32" t="s">
        <v>585</v>
      </c>
      <c r="G201" s="2">
        <f>MATCH(F201,'Fee Calculator'!D:D,FALSE)+1</f>
        <v>24</v>
      </c>
    </row>
    <row r="202" spans="1:15" ht="18">
      <c r="D202" s="81" t="s">
        <v>61</v>
      </c>
      <c r="E202" s="2">
        <f>MATCH(D202,'SoP 4'!D:D,FALSE)</f>
        <v>38</v>
      </c>
      <c r="J202" s="72" t="s">
        <v>586</v>
      </c>
      <c r="K202" s="2">
        <f>MATCH(J202,Repayment!D:D,FALSE)</f>
        <v>8</v>
      </c>
    </row>
    <row r="203" spans="1:15" ht="20">
      <c r="A203" s="2" t="s">
        <v>551</v>
      </c>
      <c r="B203" s="2">
        <f>MATCH(A203,$B$209:$E$209,0)</f>
        <v>3</v>
      </c>
      <c r="D203" s="68" t="s">
        <v>84</v>
      </c>
      <c r="E203" s="2">
        <f>MATCH(D203,'SoP 4'!D:D,FALSE)</f>
        <v>51</v>
      </c>
      <c r="H203" s="7" t="s">
        <v>168</v>
      </c>
      <c r="I203" s="2">
        <f>MATCH(H203,'LMI Qualifier'!D:D,FALSE)</f>
        <v>16</v>
      </c>
      <c r="J203" s="73" t="s">
        <v>160</v>
      </c>
      <c r="K203" s="2">
        <f>MATCH(J203,Repayment!C:C,FALSE)</f>
        <v>14</v>
      </c>
    </row>
    <row r="204" spans="1:15" ht="19">
      <c r="A204" s="2" t="s">
        <v>587</v>
      </c>
      <c r="B204" s="2">
        <f>MATCH(A204,$B$209:$E$209,0)</f>
        <v>2</v>
      </c>
      <c r="D204" s="159" t="s">
        <v>106</v>
      </c>
      <c r="E204" s="2">
        <f>MATCH(D204,'SoP 4'!D:D,FALSE)-1</f>
        <v>70</v>
      </c>
      <c r="H204" s="28" t="s">
        <v>181</v>
      </c>
      <c r="I204" s="2">
        <f>MATCH(H204,'LMI Qualifier'!C:C,FALSE)</f>
        <v>22</v>
      </c>
    </row>
    <row r="205" spans="1:15" ht="20">
      <c r="A205" s="2" t="s">
        <v>588</v>
      </c>
      <c r="B205" s="2">
        <f>MATCH(A205,$B$209:$E$209,0)</f>
        <v>4</v>
      </c>
      <c r="D205" s="68" t="s">
        <v>150</v>
      </c>
      <c r="E205" s="2">
        <f>MATCH(D205,'SoP 4'!D:D,FALSE)</f>
        <v>125</v>
      </c>
      <c r="H205" s="72" t="s">
        <v>182</v>
      </c>
      <c r="I205" s="2">
        <f>MATCH(H205,'LMI Qualifier'!D:D,FALSE)</f>
        <v>24</v>
      </c>
    </row>
    <row r="206" spans="1:15" ht="19">
      <c r="A206" s="2" t="s">
        <v>589</v>
      </c>
      <c r="B206" s="2">
        <f>MATCH(A206,$B$209:$E$209,0)</f>
        <v>1</v>
      </c>
      <c r="D206" s="157" t="s">
        <v>145</v>
      </c>
      <c r="E206" s="2">
        <f>MATCH(D206,'SoP 4'!D:D,FALSE)</f>
        <v>120</v>
      </c>
      <c r="H206" s="84" t="s">
        <v>154</v>
      </c>
      <c r="I206" s="2">
        <f>MATCH(H206,'LMI Qualifier'!C:C,FALSE)</f>
        <v>30</v>
      </c>
    </row>
    <row r="207" spans="1:15" ht="18">
      <c r="D207" s="71" t="s">
        <v>126</v>
      </c>
      <c r="E207" s="2">
        <f>MATCH(D207,'SoP 4'!D:D,FALSE)</f>
        <v>102</v>
      </c>
      <c r="H207" s="84" t="s">
        <v>195</v>
      </c>
      <c r="I207" s="2">
        <f>MATCH(H207,'LMI Qualifier'!C:C,FALSE)</f>
        <v>39</v>
      </c>
    </row>
    <row r="209" spans="1:42">
      <c r="A209" s="158" t="s">
        <v>581</v>
      </c>
      <c r="B209" s="158" t="str">
        <f>'SoP 4'!AB9</f>
        <v>SoP 4</v>
      </c>
      <c r="C209" s="158" t="str">
        <f>'SoP 2'!AB9</f>
        <v>SoP 2</v>
      </c>
      <c r="D209" s="158" t="str">
        <f>'SoP 1'!AB9</f>
        <v>SoP 1</v>
      </c>
      <c r="E209" s="158" t="str">
        <f>'SoP 3'!AB9</f>
        <v>SoP 3</v>
      </c>
      <c r="F209" s="158" t="s">
        <v>8794</v>
      </c>
    </row>
    <row r="210" spans="1:42" ht="15" customHeight="1">
      <c r="A210" s="159" t="s">
        <v>28</v>
      </c>
      <c r="B210" s="160">
        <f>MATCH(A210,'SoP 4'!C:C,FALSE)</f>
        <v>7</v>
      </c>
      <c r="C210" s="160">
        <f>MATCH(A210,'SoP 2'!C:C,FALSE)</f>
        <v>7</v>
      </c>
      <c r="D210" s="160">
        <f>MATCH(A210,'SoP 1'!C:C,FALSE)</f>
        <v>7</v>
      </c>
      <c r="E210" s="160">
        <f>MATCH(A210,'SoP 3'!C:C,FALSE)</f>
        <v>7</v>
      </c>
      <c r="F210" s="160" t="e">
        <f>MATCH($A210,#REF!,FALSE)</f>
        <v>#REF!</v>
      </c>
      <c r="G210" s="2">
        <f>COUNTIF(G212:G215,TRUE)</f>
        <v>1</v>
      </c>
    </row>
    <row r="211" spans="1:42" ht="15" customHeight="1">
      <c r="A211" s="159" t="s">
        <v>36</v>
      </c>
      <c r="B211" s="160">
        <f>MATCH(A211,'SoP 4'!C:C,FALSE)</f>
        <v>14</v>
      </c>
      <c r="C211" s="160">
        <f>MATCH($A211,'SoP 2'!C:C,FALSE)</f>
        <v>14</v>
      </c>
      <c r="D211" s="160">
        <f>MATCH(A211,'SoP 1'!C:C,FALSE)</f>
        <v>14</v>
      </c>
      <c r="E211" s="160">
        <f>MATCH(A211,'SoP 3'!C:C,FALSE)</f>
        <v>14</v>
      </c>
      <c r="F211" s="160" t="e">
        <f>MATCH($A211,#REF!,FALSE)</f>
        <v>#REF!</v>
      </c>
      <c r="G211" s="396"/>
      <c r="H211" s="397" t="s">
        <v>4798</v>
      </c>
      <c r="I211" s="396" t="s">
        <v>8306</v>
      </c>
      <c r="J211" s="396" t="s">
        <v>8301</v>
      </c>
      <c r="K211" s="396" t="s">
        <v>261</v>
      </c>
      <c r="L211" s="396" t="s">
        <v>8303</v>
      </c>
      <c r="M211" s="396" t="s">
        <v>8304</v>
      </c>
      <c r="N211" s="396" t="s">
        <v>8305</v>
      </c>
      <c r="O211" s="396" t="s">
        <v>8302</v>
      </c>
      <c r="P211" s="687" t="s">
        <v>8802</v>
      </c>
      <c r="Q211" s="687" t="s">
        <v>8755</v>
      </c>
      <c r="R211" s="396" t="s">
        <v>8301</v>
      </c>
      <c r="S211" s="396" t="s">
        <v>261</v>
      </c>
      <c r="T211" s="396" t="s">
        <v>8303</v>
      </c>
      <c r="V211" s="527" t="s">
        <v>159</v>
      </c>
      <c r="W211" s="527" t="s">
        <v>9043</v>
      </c>
      <c r="X211" s="527" t="s">
        <v>9042</v>
      </c>
      <c r="Y211" s="527" t="s">
        <v>6088</v>
      </c>
      <c r="Z211" s="527" t="s">
        <v>92</v>
      </c>
      <c r="AA211" s="527" t="s">
        <v>531</v>
      </c>
    </row>
    <row r="212" spans="1:42" ht="15" customHeight="1">
      <c r="A212" s="159" t="s">
        <v>40</v>
      </c>
      <c r="B212" s="160">
        <f>MATCH(A212,'SoP 4'!D:D,FALSE)</f>
        <v>16</v>
      </c>
      <c r="C212" s="160">
        <f>MATCH($A212,'SoP 2'!D:D,FALSE)</f>
        <v>16</v>
      </c>
      <c r="D212" s="160">
        <f>MATCH($A212,'SoP 1'!D:D,FALSE)</f>
        <v>16</v>
      </c>
      <c r="E212" s="160">
        <f>MATCH($A212,'SoP 3'!D:D,FALSE)</f>
        <v>16</v>
      </c>
      <c r="F212" s="160" t="e">
        <f>MATCH($A212,#REF!,FALSE)</f>
        <v>#REF!</v>
      </c>
      <c r="G212" s="2" t="b" cm="1">
        <f t="array" ref="G212">IsSheetVisible(H212)</f>
        <v>1</v>
      </c>
      <c r="H212" s="2" t="s">
        <v>551</v>
      </c>
      <c r="I212" s="2">
        <f>MATCH(H212,$B$209:$E$209,0)</f>
        <v>3</v>
      </c>
      <c r="J212" s="2">
        <f ca="1">OFFSET($A$209,7,$I212)</f>
        <v>92</v>
      </c>
      <c r="K212" s="2">
        <f ca="1">OFFSET($A$209,8,$I212)</f>
        <v>106</v>
      </c>
      <c r="L212" s="2" cm="1">
        <f t="array" aca="1" ref="L212" ca="1">IF(K212-J212-13=1,IF(INDIRECT("'"&amp;H212&amp;"'!D"&amp;J212+11)="",0,1),K212-J212-13)</f>
        <v>1</v>
      </c>
      <c r="M212" s="2">
        <v>0</v>
      </c>
      <c r="N212" s="2">
        <f ca="1">L212-1</f>
        <v>0</v>
      </c>
      <c r="O212" s="2">
        <f ca="1">K212-J212-13</f>
        <v>1</v>
      </c>
      <c r="P212" s="2" t="e">
        <f ca="1">S212-R212-13</f>
        <v>#REF!</v>
      </c>
      <c r="Q212" s="397" t="s">
        <v>4798</v>
      </c>
      <c r="R212" s="2" t="e">
        <f ca="1">OFFSET($A$209,7,5)</f>
        <v>#REF!</v>
      </c>
      <c r="S212" s="2" t="e">
        <f ca="1">OFFSET($A$209,8,5)</f>
        <v>#REF!</v>
      </c>
      <c r="T212" s="2" t="e" cm="1">
        <f t="array" aca="1" ref="T212" ca="1">IF(S212-R212-13=1,IF(INDIRECT("'CCPL SoP'!D"&amp;R212+11)="",0,1),S212-R212-13)</f>
        <v>#REF!</v>
      </c>
      <c r="U212" s="2" t="s">
        <v>551</v>
      </c>
      <c r="V212" s="531">
        <v>15825.66</v>
      </c>
      <c r="W212" s="531" t="b">
        <v>0</v>
      </c>
      <c r="X212" s="531">
        <v>7635499.9981616996</v>
      </c>
      <c r="Y212" s="531">
        <v>360</v>
      </c>
      <c r="Z212" s="531">
        <v>7.1833333333333298E-3</v>
      </c>
      <c r="AA212" s="531" t="s">
        <v>9571</v>
      </c>
    </row>
    <row r="213" spans="1:42" ht="15" customHeight="1">
      <c r="A213" s="159" t="s">
        <v>61</v>
      </c>
      <c r="B213" s="160">
        <f>MATCH(A213,'SoP 4'!D:D,FALSE)</f>
        <v>38</v>
      </c>
      <c r="C213" s="160">
        <f>MATCH($A213,'SoP 2'!D:D,FALSE)</f>
        <v>38</v>
      </c>
      <c r="D213" s="160">
        <f>MATCH($A213,'SoP 1'!D:D,FALSE)</f>
        <v>74</v>
      </c>
      <c r="E213" s="160">
        <f>MATCH($A213,'SoP 3'!D:D,FALSE)</f>
        <v>38</v>
      </c>
      <c r="F213" s="160" t="e">
        <f>MATCH($A213,#REF!,FALSE)</f>
        <v>#REF!</v>
      </c>
      <c r="G213" s="2" t="b" cm="1">
        <f t="array" ref="G213">IsSheetVisible(H213)</f>
        <v>0</v>
      </c>
      <c r="H213" s="2" t="s">
        <v>587</v>
      </c>
      <c r="I213" s="2">
        <f>MATCH(H213,$B$209:$E$209,0)</f>
        <v>2</v>
      </c>
      <c r="J213" s="2">
        <f ca="1">OFFSET($A$209,7,$I213)</f>
        <v>56</v>
      </c>
      <c r="K213" s="2">
        <f ca="1">OFFSET($A$209,8,$I213)</f>
        <v>70</v>
      </c>
      <c r="L213" s="2" cm="1">
        <f t="array" aca="1" ref="L213" ca="1">IF(K213-J213-13=1,IF(INDIRECT("'"&amp;H213&amp;"'!D"&amp;J213+11)="",0,1),K213-J213-13)</f>
        <v>0</v>
      </c>
      <c r="M213" s="2">
        <f ca="1">L212</f>
        <v>1</v>
      </c>
      <c r="N213" s="2">
        <f ca="1">N212+L213</f>
        <v>0</v>
      </c>
      <c r="O213" s="2">
        <f ca="1">K213-J213-13</f>
        <v>1</v>
      </c>
      <c r="Q213" s="397" t="s">
        <v>593</v>
      </c>
      <c r="R213" s="2" t="e">
        <f ca="1">OFFSET($A$209,3,5)</f>
        <v>#REF!</v>
      </c>
      <c r="S213" s="2" t="e">
        <f ca="1">OFFSET($A$209,4,5)</f>
        <v>#REF!</v>
      </c>
      <c r="T213" s="2" t="e" cm="1">
        <f t="array" aca="1" ref="T213" ca="1">IF(S213-R213-13=1,IF(INDIRECT("'CCPL SoP'!D"&amp;R213+11)="",0,1),S213-R213-13)</f>
        <v>#REF!</v>
      </c>
      <c r="U213" s="2" t="s">
        <v>587</v>
      </c>
      <c r="V213" s="531">
        <v>0</v>
      </c>
      <c r="W213" s="531" t="b">
        <v>0</v>
      </c>
      <c r="X213" s="531">
        <v>0</v>
      </c>
      <c r="Y213" s="531">
        <v>360</v>
      </c>
      <c r="Z213" s="531">
        <v>9.4916666666666708E-3</v>
      </c>
      <c r="AA213" s="531" t="s">
        <v>9185</v>
      </c>
    </row>
    <row r="214" spans="1:42" ht="15" customHeight="1">
      <c r="A214" s="159" t="s">
        <v>84</v>
      </c>
      <c r="B214" s="160">
        <f>MATCH(A214,'SoP 4'!D:D,FALSE)</f>
        <v>51</v>
      </c>
      <c r="C214" s="160">
        <f>MATCH($A214,'SoP 2'!D:D,FALSE)</f>
        <v>51</v>
      </c>
      <c r="D214" s="160">
        <f>MATCH($A214,'SoP 1'!D:D,FALSE)</f>
        <v>87</v>
      </c>
      <c r="E214" s="160">
        <f>MATCH($A214,'SoP 3'!D:D,FALSE)</f>
        <v>51</v>
      </c>
      <c r="F214" s="160" t="e">
        <f>MATCH($A214,#REF!,FALSE)</f>
        <v>#REF!</v>
      </c>
      <c r="G214" s="2" t="b" cm="1">
        <f t="array" ref="G214">IsSheetVisible(H214)</f>
        <v>0</v>
      </c>
      <c r="H214" s="2" t="s">
        <v>588</v>
      </c>
      <c r="I214" s="2">
        <f>MATCH(H214,$B$209:$E$209,0)</f>
        <v>4</v>
      </c>
      <c r="J214" s="2">
        <f ca="1">OFFSET($A$209,7,$I214)</f>
        <v>56</v>
      </c>
      <c r="K214" s="2">
        <f ca="1">OFFSET($A$209,8,$I214)</f>
        <v>70</v>
      </c>
      <c r="L214" s="2" cm="1">
        <f t="array" aca="1" ref="L214" ca="1">IF(K214-J214-13=1,IF(INDIRECT("'"&amp;H214&amp;"'!D"&amp;J214+11)="",0,1),K214-J214-13)</f>
        <v>0</v>
      </c>
      <c r="M214" s="2">
        <f ca="1">L212+L213</f>
        <v>1</v>
      </c>
      <c r="N214" s="2">
        <f ca="1">N213+L214</f>
        <v>0</v>
      </c>
      <c r="O214" s="2">
        <f ca="1">K214-J214-13</f>
        <v>1</v>
      </c>
      <c r="Q214" s="397" t="s">
        <v>36</v>
      </c>
      <c r="R214" s="2" t="e">
        <f ca="1">OFFSET($A$209,4,5)</f>
        <v>#REF!</v>
      </c>
      <c r="S214" s="2" t="e">
        <f ca="1">OFFSET($A$209,5,5)</f>
        <v>#REF!</v>
      </c>
      <c r="T214" s="2" t="e" cm="1">
        <f t="array" aca="1" ref="T214" ca="1">IF(S214-R214-12=1,IF(INDIRECT("'CCPL SoP'!D"&amp;R214+11)="",0,1),S214-R214-13)</f>
        <v>#REF!</v>
      </c>
      <c r="U214" s="2" t="s">
        <v>588</v>
      </c>
      <c r="V214" s="531">
        <v>0</v>
      </c>
      <c r="W214" s="531" t="b">
        <v>0</v>
      </c>
      <c r="X214" s="531">
        <v>0</v>
      </c>
      <c r="Y214" s="531">
        <v>360</v>
      </c>
      <c r="Z214" s="531">
        <v>9.4916666666666708E-3</v>
      </c>
      <c r="AA214" s="531" t="s">
        <v>9185</v>
      </c>
    </row>
    <row r="215" spans="1:42" ht="15" customHeight="1">
      <c r="A215" s="159" t="s">
        <v>85</v>
      </c>
      <c r="B215" s="160">
        <f>MATCH(A215,'SoP 4'!C:C,FALSE)</f>
        <v>54</v>
      </c>
      <c r="C215" s="160">
        <f>MATCH(A215,'SoP 2'!C:C,FALSE)</f>
        <v>54</v>
      </c>
      <c r="D215" s="160">
        <f>MATCH(A215,'SoP 1'!C:C,FALSE)</f>
        <v>90</v>
      </c>
      <c r="E215" s="160">
        <f>MATCH(A215,'SoP 3'!C:C,FALSE)</f>
        <v>54</v>
      </c>
      <c r="F215" s="160" t="e">
        <f>MATCH($A215,#REF!,FALSE)</f>
        <v>#REF!</v>
      </c>
      <c r="G215" s="2" t="b" cm="1">
        <f t="array" ref="G215">IsSheetVisible(H215)</f>
        <v>0</v>
      </c>
      <c r="H215" s="2" t="s">
        <v>589</v>
      </c>
      <c r="I215" s="2">
        <f>MATCH(H215,$B$209:$E$209,0)</f>
        <v>1</v>
      </c>
      <c r="J215" s="2">
        <f ca="1">OFFSET($A$209,7,$I215)</f>
        <v>56</v>
      </c>
      <c r="K215" s="2">
        <f ca="1">OFFSET($A$209,8,$I215)</f>
        <v>70</v>
      </c>
      <c r="L215" s="2" cm="1">
        <f t="array" aca="1" ref="L215" ca="1">IF(K215-J215-13=1,IF(INDIRECT("'"&amp;H215&amp;"'!D"&amp;J215+11)="",0,1),K215-J215-13)</f>
        <v>0</v>
      </c>
      <c r="M215" s="2">
        <f ca="1">L212+L213+L214</f>
        <v>1</v>
      </c>
      <c r="N215" s="2">
        <f ca="1">N214+L215</f>
        <v>0</v>
      </c>
      <c r="O215" s="2">
        <f ca="1">K215-J215-13</f>
        <v>1</v>
      </c>
      <c r="Q215" s="397" t="s">
        <v>8300</v>
      </c>
      <c r="R215" s="2" t="e">
        <f ca="1">OFFSET($A$209,11,5)</f>
        <v>#REF!</v>
      </c>
      <c r="S215" s="2" t="e">
        <f ca="1">OFFSET($A$209,14,5)</f>
        <v>#REF!</v>
      </c>
      <c r="T215" s="2" t="e" cm="1">
        <f t="array" aca="1" ref="T215" ca="1">IF(S215-R215-12=1,IF(INDIRECT("'CCPL SoP'!D"&amp;R215+10)="",0,1),S215-R215-12)</f>
        <v>#REF!</v>
      </c>
      <c r="U215" s="2" t="s">
        <v>589</v>
      </c>
      <c r="V215" s="531">
        <v>0</v>
      </c>
      <c r="W215" s="531" t="b">
        <v>0</v>
      </c>
      <c r="X215" s="531">
        <v>0</v>
      </c>
      <c r="Y215" s="531">
        <v>360</v>
      </c>
      <c r="Z215" s="531">
        <v>9.4916666666666708E-3</v>
      </c>
      <c r="AA215" s="531" t="s">
        <v>9185</v>
      </c>
    </row>
    <row r="216" spans="1:42" ht="15" customHeight="1">
      <c r="A216" s="159" t="s">
        <v>86</v>
      </c>
      <c r="B216" s="160">
        <f>MATCH(A216,'SoP 4'!D:D,FALSE)</f>
        <v>56</v>
      </c>
      <c r="C216" s="160">
        <f>MATCH($A216,'SoP 2'!D:D,FALSE)</f>
        <v>56</v>
      </c>
      <c r="D216" s="160">
        <f>MATCH($A216,'SoP 1'!D:D,FALSE)</f>
        <v>92</v>
      </c>
      <c r="E216" s="160">
        <f>MATCH($A216,'SoP 3'!D:D,FALSE)</f>
        <v>56</v>
      </c>
      <c r="F216" s="160" t="e">
        <f>MATCH($A216,#REF!,FALSE)</f>
        <v>#REF!</v>
      </c>
      <c r="G216" s="396"/>
      <c r="H216" s="397" t="s">
        <v>593</v>
      </c>
      <c r="I216" s="396" t="s">
        <v>8306</v>
      </c>
      <c r="J216" s="396" t="s">
        <v>8301</v>
      </c>
      <c r="K216" s="396" t="s">
        <v>261</v>
      </c>
      <c r="L216" s="396" t="s">
        <v>8303</v>
      </c>
      <c r="M216" s="396" t="s">
        <v>8304</v>
      </c>
      <c r="N216" s="396" t="s">
        <v>8305</v>
      </c>
      <c r="O216" s="396" t="s">
        <v>8302</v>
      </c>
    </row>
    <row r="217" spans="1:42" ht="15" customHeight="1">
      <c r="A217" s="159" t="s">
        <v>105</v>
      </c>
      <c r="B217" s="160">
        <f>B218-1</f>
        <v>70</v>
      </c>
      <c r="C217" s="160">
        <f>C218-1</f>
        <v>70</v>
      </c>
      <c r="D217" s="160">
        <f>D218-1</f>
        <v>106</v>
      </c>
      <c r="E217" s="160">
        <f>E218-1</f>
        <v>70</v>
      </c>
      <c r="F217" s="160" t="e">
        <f>F218-1</f>
        <v>#REF!</v>
      </c>
      <c r="G217" s="2" t="b">
        <f>G212</f>
        <v>1</v>
      </c>
      <c r="H217" s="2" t="s">
        <v>551</v>
      </c>
      <c r="I217" s="2">
        <f>MATCH(H217,$B$209:$E$209,0)</f>
        <v>3</v>
      </c>
      <c r="J217" s="2">
        <f ca="1">OFFSET($A$209,3,$I217)</f>
        <v>16</v>
      </c>
      <c r="K217" s="2">
        <f ca="1">OFFSET($A$209,4,$I217)</f>
        <v>74</v>
      </c>
      <c r="L217" s="2" cm="1">
        <f t="array" aca="1" ref="L217" ca="1">IF(K217-J217-13=1,IF(INDIRECT("'"&amp;H217&amp;"'!D"&amp;J217+11)="",0,1),K217-J217-13)</f>
        <v>45</v>
      </c>
      <c r="M217" s="2">
        <v>0</v>
      </c>
      <c r="N217" s="2">
        <f ca="1">L217-1</f>
        <v>44</v>
      </c>
      <c r="O217" s="1345">
        <f ca="1">(K217-J217-4)/18</f>
        <v>3</v>
      </c>
      <c r="P217" s="2" t="e">
        <f ca="1">(S213-R213-4)/18</f>
        <v>#REF!</v>
      </c>
    </row>
    <row r="218" spans="1:42" ht="15" customHeight="1">
      <c r="A218" s="159" t="s">
        <v>106</v>
      </c>
      <c r="B218" s="160">
        <f>MATCH(A218,'SoP 4'!D:D,FALSE)</f>
        <v>71</v>
      </c>
      <c r="C218" s="160">
        <f>MATCH($A218,'SoP 2'!D:D,FALSE)</f>
        <v>71</v>
      </c>
      <c r="D218" s="160">
        <f>MATCH($A218,'SoP 1'!D:D,FALSE)</f>
        <v>107</v>
      </c>
      <c r="E218" s="160">
        <f>MATCH($A218,'SoP 3'!D:D,FALSE)</f>
        <v>71</v>
      </c>
      <c r="F218" s="160" t="e">
        <f>MATCH($A218,#REF!,FALSE)</f>
        <v>#REF!</v>
      </c>
      <c r="G218" s="2" t="b">
        <f>G213</f>
        <v>0</v>
      </c>
      <c r="H218" s="2" t="s">
        <v>587</v>
      </c>
      <c r="I218" s="2">
        <f>MATCH(H218,$B$209:$E$209,0)</f>
        <v>2</v>
      </c>
      <c r="J218" s="2">
        <f ca="1">OFFSET($A$209,3,$I218)</f>
        <v>16</v>
      </c>
      <c r="K218" s="2">
        <f ca="1">OFFSET($A$209,4,$I218)</f>
        <v>38</v>
      </c>
      <c r="L218" s="2" cm="1">
        <f t="array" aca="1" ref="L218" ca="1">IF(K218-J218-13=1,IF(INDIRECT("'"&amp;H218&amp;"'!D"&amp;J218+11)="",0,1),K218-J218-13)</f>
        <v>9</v>
      </c>
      <c r="M218" s="2">
        <f ca="1">L217</f>
        <v>45</v>
      </c>
      <c r="N218" s="2">
        <f ca="1">N217+L218</f>
        <v>53</v>
      </c>
      <c r="O218" s="2">
        <f ca="1">(K218-J218-4)/18</f>
        <v>1</v>
      </c>
    </row>
    <row r="219" spans="1:42" ht="15" customHeight="1">
      <c r="A219" s="159" t="s">
        <v>118</v>
      </c>
      <c r="B219" s="160">
        <f>MATCH(A219,'SoP 4'!D:D,FALSE)</f>
        <v>87</v>
      </c>
      <c r="C219" s="160">
        <f>MATCH($A219,'SoP 2'!D:D,FALSE)</f>
        <v>87</v>
      </c>
      <c r="D219" s="160">
        <f>MATCH($A219,'SoP 1'!D:D,FALSE)</f>
        <v>123</v>
      </c>
      <c r="E219" s="160">
        <f>MATCH($A219,'SoP 3'!D:D,FALSE)</f>
        <v>87</v>
      </c>
      <c r="F219" s="160" t="e">
        <f>MATCH($A219,#REF!,FALSE)</f>
        <v>#REF!</v>
      </c>
      <c r="G219" s="2" t="b">
        <f>G214</f>
        <v>0</v>
      </c>
      <c r="H219" s="2" t="s">
        <v>588</v>
      </c>
      <c r="I219" s="2">
        <f>MATCH(H219,$B$209:$E$209,0)</f>
        <v>4</v>
      </c>
      <c r="J219" s="2">
        <f ca="1">OFFSET($A$209,3,$I219)</f>
        <v>16</v>
      </c>
      <c r="K219" s="2">
        <f ca="1">OFFSET($A$209,4,$I219)</f>
        <v>38</v>
      </c>
      <c r="L219" s="2" cm="1">
        <f t="array" aca="1" ref="L219" ca="1">IF(K219-J219-13=1,IF(INDIRECT("'"&amp;H219&amp;"'!D"&amp;J219+11)="",0,1),K219-J219-13)</f>
        <v>9</v>
      </c>
      <c r="M219" s="2">
        <f ca="1">L217+L218</f>
        <v>54</v>
      </c>
      <c r="N219" s="2">
        <f ca="1">N218+L219</f>
        <v>62</v>
      </c>
      <c r="O219" s="2">
        <f ca="1">(K219-J219-4)/18</f>
        <v>1</v>
      </c>
    </row>
    <row r="220" spans="1:42" ht="15" customHeight="1">
      <c r="A220" s="159" t="s">
        <v>126</v>
      </c>
      <c r="B220" s="160">
        <f>MATCH(A220,'SoP 4'!D:D,FALSE)</f>
        <v>102</v>
      </c>
      <c r="C220" s="160">
        <f>MATCH($A220,'SoP 2'!D:D,FALSE)</f>
        <v>102</v>
      </c>
      <c r="D220" s="160">
        <f>MATCH($A220,'SoP 1'!D:D,FALSE)</f>
        <v>138</v>
      </c>
      <c r="E220" s="160">
        <f>MATCH($A220,'SoP 3'!D:D,FALSE)</f>
        <v>102</v>
      </c>
      <c r="F220" s="160" t="e">
        <f>MATCH($A220,#REF!,FALSE)</f>
        <v>#REF!</v>
      </c>
      <c r="G220" s="2" t="b">
        <f>G215</f>
        <v>0</v>
      </c>
      <c r="H220" s="2" t="s">
        <v>589</v>
      </c>
      <c r="I220" s="2">
        <f>MATCH(H220,$B$209:$E$209,0)</f>
        <v>1</v>
      </c>
      <c r="J220" s="2">
        <f ca="1">OFFSET($A$209,3,$I220)</f>
        <v>16</v>
      </c>
      <c r="K220" s="2">
        <f ca="1">OFFSET($A$209,4,$I220)</f>
        <v>38</v>
      </c>
      <c r="L220" s="2" cm="1">
        <f t="array" aca="1" ref="L220" ca="1">IF(K220-J220-13=1,IF(INDIRECT("'"&amp;H220&amp;"'!D"&amp;J220+11)="",0,1),K220-J220-13)</f>
        <v>9</v>
      </c>
      <c r="M220" s="2">
        <f ca="1">L217+L218+L219</f>
        <v>63</v>
      </c>
      <c r="N220" s="2">
        <f ca="1">N219+L220</f>
        <v>71</v>
      </c>
      <c r="O220" s="2">
        <f ca="1">(K220-J220-4)/18</f>
        <v>1</v>
      </c>
    </row>
    <row r="221" spans="1:42" ht="15" customHeight="1">
      <c r="A221" s="159" t="s">
        <v>144</v>
      </c>
      <c r="B221" s="160">
        <f>MATCH(A221,'SoP 4'!D:D,FALSE)</f>
        <v>115</v>
      </c>
      <c r="C221" s="160">
        <f>MATCH($A221,'SoP 2'!D:D,FALSE)</f>
        <v>115</v>
      </c>
      <c r="D221" s="160">
        <f>MATCH($A221,'SoP 1'!D:D,FALSE)</f>
        <v>151</v>
      </c>
      <c r="E221" s="160">
        <f>MATCH($A221,'SoP 3'!D:D,FALSE)</f>
        <v>115</v>
      </c>
      <c r="F221" s="160" t="e">
        <f>F223-1</f>
        <v>#REF!</v>
      </c>
      <c r="G221" s="396"/>
      <c r="H221" s="397" t="s">
        <v>36</v>
      </c>
      <c r="I221" s="396" t="s">
        <v>8306</v>
      </c>
      <c r="J221" s="396" t="s">
        <v>8301</v>
      </c>
      <c r="K221" s="396" t="s">
        <v>261</v>
      </c>
      <c r="L221" s="396" t="s">
        <v>8303</v>
      </c>
      <c r="M221" s="396" t="s">
        <v>8304</v>
      </c>
      <c r="N221" s="396" t="s">
        <v>8305</v>
      </c>
      <c r="O221" s="396" t="s">
        <v>8302</v>
      </c>
    </row>
    <row r="222" spans="1:42" ht="15" customHeight="1">
      <c r="A222" s="159" t="s">
        <v>145</v>
      </c>
      <c r="B222" s="160">
        <f>MATCH(A222,'SoP 4'!D:D,FALSE)</f>
        <v>120</v>
      </c>
      <c r="C222" s="160">
        <f>MATCH($A222,'SoP 2'!D:D,FALSE)</f>
        <v>120</v>
      </c>
      <c r="D222" s="160">
        <f>MATCH($A222,'SoP 1'!D:D,FALSE)</f>
        <v>156</v>
      </c>
      <c r="E222" s="160">
        <f>MATCH($A222,'SoP 3'!D:D,FALSE)</f>
        <v>120</v>
      </c>
      <c r="F222" s="160"/>
      <c r="G222" s="2" t="b">
        <f>G217</f>
        <v>1</v>
      </c>
      <c r="H222" s="2" t="s">
        <v>551</v>
      </c>
      <c r="I222" s="2">
        <f>MATCH(H222,$B$209:$E$209,0)</f>
        <v>3</v>
      </c>
      <c r="J222" s="2">
        <f ca="1">OFFSET($A$209,4,$I222)</f>
        <v>74</v>
      </c>
      <c r="K222" s="2">
        <f ca="1">OFFSET($A$209,5,$I222)</f>
        <v>87</v>
      </c>
      <c r="L222" s="2" cm="1">
        <f t="array" aca="1" ref="L222" ca="1">IF(K222-J222-13=1,IF(INDIRECT("'"&amp;H222&amp;"'!D"&amp;J222+11)="",0,1),K222-J222-13)</f>
        <v>0</v>
      </c>
      <c r="M222" s="2">
        <v>0</v>
      </c>
      <c r="N222" s="2">
        <f ca="1">L222-1</f>
        <v>-1</v>
      </c>
      <c r="O222" s="2">
        <f ca="1">K222-J222-12</f>
        <v>1</v>
      </c>
      <c r="P222" s="2" t="e">
        <f ca="1">S214-R214-12</f>
        <v>#REF!</v>
      </c>
    </row>
    <row r="223" spans="1:42" ht="15" customHeight="1">
      <c r="A223" s="159" t="s">
        <v>150</v>
      </c>
      <c r="B223" s="160">
        <f>MATCH(A223,'SoP 4'!D:D,FALSE)</f>
        <v>125</v>
      </c>
      <c r="C223" s="160">
        <f>MATCH($A223,'SoP 2'!D:D,FALSE)</f>
        <v>125</v>
      </c>
      <c r="D223" s="160">
        <f>MATCH($A223,'SoP 1'!D:D,FALSE)</f>
        <v>161</v>
      </c>
      <c r="E223" s="160">
        <f>MATCH($A223,'SoP 3'!D:D,FALSE)</f>
        <v>125</v>
      </c>
      <c r="F223" s="160" t="e">
        <f>MATCH($A223,#REF!,FALSE)</f>
        <v>#REF!</v>
      </c>
      <c r="G223" s="2" t="b">
        <f>G218</f>
        <v>0</v>
      </c>
      <c r="H223" s="2" t="s">
        <v>587</v>
      </c>
      <c r="I223" s="2">
        <f>MATCH(H223,$B$209:$E$209,0)</f>
        <v>2</v>
      </c>
      <c r="J223" s="2">
        <f ca="1">OFFSET($A$209,4,$I223)</f>
        <v>38</v>
      </c>
      <c r="K223" s="2">
        <f ca="1">OFFSET($A$209,5,$I223)</f>
        <v>51</v>
      </c>
      <c r="L223" s="2" cm="1">
        <f t="array" aca="1" ref="L223" ca="1">IF(K223-J223-13=1,IF(INDIRECT("'"&amp;H223&amp;"'!D"&amp;J223+11)="",0,1),K223-J223-13)</f>
        <v>0</v>
      </c>
      <c r="M223" s="2">
        <f ca="1">L222</f>
        <v>0</v>
      </c>
      <c r="N223" s="2">
        <f ca="1">N222+L223</f>
        <v>-1</v>
      </c>
      <c r="O223" s="2">
        <f ca="1">K223-J223-12</f>
        <v>1</v>
      </c>
    </row>
    <row r="224" spans="1:42" ht="15" customHeight="1">
      <c r="A224" s="159" t="s">
        <v>151</v>
      </c>
      <c r="B224" s="160">
        <f>MATCH(A224,'SoP 4'!D:D,FALSE)</f>
        <v>129</v>
      </c>
      <c r="C224" s="160">
        <f>MATCH($A224,'SoP 2'!D:D,FALSE)</f>
        <v>129</v>
      </c>
      <c r="D224" s="160">
        <f>MATCH($A224,'SoP 1'!D:D,FALSE)</f>
        <v>165</v>
      </c>
      <c r="E224" s="160">
        <f>MATCH($A224,'SoP 3'!D:D,FALSE)</f>
        <v>129</v>
      </c>
      <c r="F224" s="160" t="e">
        <f>MATCH($A224,#REF!,FALSE)</f>
        <v>#REF!</v>
      </c>
      <c r="G224" s="2" t="b">
        <f>G219</f>
        <v>0</v>
      </c>
      <c r="H224" s="2" t="s">
        <v>588</v>
      </c>
      <c r="I224" s="2">
        <f>MATCH(H224,$B$209:$E$209,0)</f>
        <v>4</v>
      </c>
      <c r="J224" s="2">
        <f ca="1">OFFSET($A$209,4,$I224)</f>
        <v>38</v>
      </c>
      <c r="K224" s="2">
        <f ca="1">OFFSET($A$209,5,$I224)</f>
        <v>51</v>
      </c>
      <c r="L224" s="2" cm="1">
        <f t="array" aca="1" ref="L224" ca="1">IF(K224-J224-13=1,IF(INDIRECT("'"&amp;H224&amp;"'!D"&amp;J224+11)="",0,1),K224-J224-13)</f>
        <v>0</v>
      </c>
      <c r="M224" s="2">
        <f ca="1">L222+L223</f>
        <v>0</v>
      </c>
      <c r="N224" s="2">
        <f ca="1">N223+L224</f>
        <v>-1</v>
      </c>
      <c r="O224" s="2">
        <f ca="1">K224-J224-12</f>
        <v>1</v>
      </c>
      <c r="AN224" s="2">
        <v>7025170.7489288598</v>
      </c>
      <c r="AP224" s="2" t="b">
        <v>0</v>
      </c>
    </row>
    <row r="225" spans="1:16" ht="15" customHeight="1">
      <c r="A225" s="159" t="s">
        <v>152</v>
      </c>
      <c r="B225" s="160">
        <f>MATCH(A225,'SoP 4'!D:D,FALSE)</f>
        <v>131</v>
      </c>
      <c r="C225" s="160">
        <f>MATCH($A225,'SoP 2'!D:D,FALSE)</f>
        <v>131</v>
      </c>
      <c r="D225" s="160">
        <f>MATCH($A225,'SoP 1'!D:D,FALSE)</f>
        <v>167</v>
      </c>
      <c r="E225" s="160">
        <f>MATCH($A225,'SoP 3'!D:D,FALSE)</f>
        <v>131</v>
      </c>
      <c r="F225" s="160" t="e">
        <f>MATCH($A225,#REF!,FALSE)</f>
        <v>#REF!</v>
      </c>
      <c r="G225" s="2" t="b">
        <f>G220</f>
        <v>0</v>
      </c>
      <c r="H225" s="2" t="s">
        <v>589</v>
      </c>
      <c r="I225" s="2">
        <f>MATCH(H225,$B$209:$E$209,0)</f>
        <v>1</v>
      </c>
      <c r="J225" s="2">
        <f ca="1">OFFSET($A$209,4,$I225)</f>
        <v>38</v>
      </c>
      <c r="K225" s="2">
        <f ca="1">OFFSET($A$209,5,$I225)</f>
        <v>51</v>
      </c>
      <c r="L225" s="2" cm="1">
        <f t="array" aca="1" ref="L225" ca="1">IF(K225-J225-13=1,IF(INDIRECT("'"&amp;H225&amp;"'!D"&amp;J225+11)="",0,1),K225-J225-13)</f>
        <v>0</v>
      </c>
      <c r="M225" s="2">
        <f ca="1">L222+L223+L224</f>
        <v>0</v>
      </c>
      <c r="N225" s="2">
        <f ca="1">N224+L225</f>
        <v>-1</v>
      </c>
      <c r="O225" s="2">
        <f ca="1">K225-J225-12</f>
        <v>1</v>
      </c>
    </row>
    <row r="226" spans="1:16" ht="15" customHeight="1">
      <c r="A226" s="159" t="s">
        <v>153</v>
      </c>
      <c r="B226" s="160">
        <f>MATCH(A226,'SoP 4'!D:D,FALSE)</f>
        <v>132</v>
      </c>
      <c r="C226" s="160">
        <f>MATCH($A226,'SoP 2'!D:D,FALSE)</f>
        <v>132</v>
      </c>
      <c r="D226" s="160">
        <f>MATCH($A226,'SoP 1'!D:D,FALSE)</f>
        <v>168</v>
      </c>
      <c r="E226" s="160">
        <f>MATCH($A226,'SoP 3'!D:D,FALSE)</f>
        <v>132</v>
      </c>
      <c r="F226" s="160"/>
      <c r="G226" s="396"/>
      <c r="H226" s="397" t="s">
        <v>8300</v>
      </c>
      <c r="I226" s="396" t="s">
        <v>8306</v>
      </c>
      <c r="J226" s="396" t="s">
        <v>8301</v>
      </c>
      <c r="K226" s="396" t="s">
        <v>261</v>
      </c>
      <c r="L226" s="396" t="s">
        <v>8303</v>
      </c>
      <c r="M226" s="396" t="s">
        <v>8304</v>
      </c>
      <c r="N226" s="396" t="s">
        <v>8305</v>
      </c>
      <c r="O226" s="396" t="s">
        <v>8302</v>
      </c>
    </row>
    <row r="227" spans="1:16">
      <c r="A227" s="159" t="s">
        <v>154</v>
      </c>
      <c r="B227" s="160">
        <f>MATCH(A227,'SoP 4'!C:C,FALSE)</f>
        <v>135</v>
      </c>
      <c r="C227" s="160">
        <f>MATCH($A227,'SoP 2'!C:C,FALSE)</f>
        <v>135</v>
      </c>
      <c r="D227" s="160">
        <f>MATCH($A227,'SoP 1'!C:C,FALSE)</f>
        <v>171</v>
      </c>
      <c r="E227" s="160">
        <f>MATCH($A227,'SoP 3'!C:C,FALSE)</f>
        <v>135</v>
      </c>
      <c r="F227" s="160"/>
      <c r="G227" s="2" t="b">
        <f>G222</f>
        <v>1</v>
      </c>
      <c r="H227" s="2" t="s">
        <v>551</v>
      </c>
      <c r="I227" s="2">
        <f>MATCH(H227,$B$209:$E$209,0)</f>
        <v>3</v>
      </c>
      <c r="J227" s="2">
        <f ca="1">OFFSET($A$209,11,$I227)</f>
        <v>138</v>
      </c>
      <c r="K227" s="2">
        <f ca="1">OFFSET($A$209,12,$I227)</f>
        <v>151</v>
      </c>
      <c r="L227" s="2" cm="1">
        <f t="array" aca="1" ref="L227" ca="1">IF(K227-J227-13=1,IF(INDIRECT("'"&amp;H227&amp;"'!D"&amp;J227+11)="",0,1),K227-J227-13)</f>
        <v>0</v>
      </c>
      <c r="M227" s="2">
        <v>0</v>
      </c>
      <c r="N227" s="2">
        <f ca="1">L227-1</f>
        <v>-1</v>
      </c>
      <c r="O227" s="2">
        <f ca="1">K227-J227-12</f>
        <v>1</v>
      </c>
      <c r="P227" s="2" t="e">
        <f ca="1">S215-R215-12</f>
        <v>#REF!</v>
      </c>
    </row>
    <row r="228" spans="1:16">
      <c r="A228" s="159" t="s">
        <v>8803</v>
      </c>
      <c r="F228" s="160" t="e">
        <f>MATCH($A228,#REF!,FALSE)</f>
        <v>#REF!</v>
      </c>
      <c r="G228" s="2" t="b">
        <f>G223</f>
        <v>0</v>
      </c>
      <c r="H228" s="2" t="s">
        <v>587</v>
      </c>
      <c r="I228" s="2">
        <f>MATCH(H228,$B$209:$E$209,0)</f>
        <v>2</v>
      </c>
      <c r="J228" s="2">
        <f ca="1">OFFSET($A$209,11,$I228)</f>
        <v>102</v>
      </c>
      <c r="K228" s="2">
        <f ca="1">OFFSET($A$209,12,$I228)</f>
        <v>115</v>
      </c>
      <c r="L228" s="2" cm="1">
        <f t="array" aca="1" ref="L228" ca="1">IF(K228-J228-13=1,IF(INDIRECT("'"&amp;H228&amp;"'!D"&amp;J228+11)="",0,1),K228-J228-13)</f>
        <v>0</v>
      </c>
      <c r="M228" s="2">
        <f ca="1">L227</f>
        <v>0</v>
      </c>
      <c r="N228" s="2">
        <f ca="1">N227+L228</f>
        <v>-1</v>
      </c>
      <c r="O228" s="2">
        <f ca="1">K228-J228-12</f>
        <v>1</v>
      </c>
    </row>
    <row r="229" spans="1:16">
      <c r="G229" s="2" t="b">
        <f>G224</f>
        <v>0</v>
      </c>
      <c r="H229" s="2" t="s">
        <v>588</v>
      </c>
      <c r="I229" s="2">
        <f>MATCH(H229,$B$209:$E$209,0)</f>
        <v>4</v>
      </c>
      <c r="J229" s="2">
        <f ca="1">OFFSET($A$209,11,$I229)</f>
        <v>102</v>
      </c>
      <c r="K229" s="2">
        <f ca="1">OFFSET($A$209,12,$I229)</f>
        <v>115</v>
      </c>
      <c r="L229" s="2" cm="1">
        <f t="array" aca="1" ref="L229" ca="1">IF(K229-J229-13=1,IF(INDIRECT("'"&amp;H229&amp;"'!D"&amp;J229+11)="",0,1),K229-J229-13)</f>
        <v>0</v>
      </c>
      <c r="M229" s="2">
        <f ca="1">L227+L228</f>
        <v>0</v>
      </c>
      <c r="N229" s="2">
        <f ca="1">N228+L229</f>
        <v>-1</v>
      </c>
      <c r="O229" s="2">
        <f ca="1">K229-J229-12</f>
        <v>1</v>
      </c>
    </row>
    <row r="230" spans="1:16">
      <c r="G230" s="2" t="b">
        <f>G225</f>
        <v>0</v>
      </c>
      <c r="H230" s="2" t="s">
        <v>589</v>
      </c>
      <c r="I230" s="2">
        <f>MATCH(H230,$B$209:$E$209,0)</f>
        <v>1</v>
      </c>
      <c r="J230" s="2">
        <f ca="1">OFFSET($A$209,11,$I230)</f>
        <v>102</v>
      </c>
      <c r="K230" s="2">
        <f ca="1">OFFSET($A$209,12,$I230)</f>
        <v>115</v>
      </c>
      <c r="L230" s="2" cm="1">
        <f t="array" aca="1" ref="L230" ca="1">IF(K230-J230-13=1,IF(INDIRECT("'"&amp;H230&amp;"'!D"&amp;J230+11)="",0,1),K230-J230-13)</f>
        <v>0</v>
      </c>
      <c r="M230" s="2">
        <f ca="1">L227+L228+L229</f>
        <v>0</v>
      </c>
      <c r="N230" s="2">
        <f ca="1">N229+L230</f>
        <v>-1</v>
      </c>
      <c r="O230" s="2">
        <f ca="1">K230-J230-12</f>
        <v>1</v>
      </c>
    </row>
    <row r="232" spans="1:16">
      <c r="H232" s="525" t="s">
        <v>590</v>
      </c>
    </row>
    <row r="233" spans="1:16">
      <c r="A233" s="526"/>
      <c r="B233" s="527" t="s">
        <v>155</v>
      </c>
      <c r="C233" s="527" t="s">
        <v>156</v>
      </c>
      <c r="D233" s="527" t="s">
        <v>157</v>
      </c>
      <c r="E233" s="527" t="s">
        <v>126</v>
      </c>
      <c r="F233" s="527" t="s">
        <v>158</v>
      </c>
      <c r="G233" s="527" t="s">
        <v>159</v>
      </c>
      <c r="H233" s="527" t="s">
        <v>591</v>
      </c>
      <c r="I233" s="527" t="s">
        <v>592</v>
      </c>
      <c r="J233" s="527" t="s">
        <v>8444</v>
      </c>
      <c r="K233" s="527" t="s">
        <v>8445</v>
      </c>
      <c r="L233" s="527" t="s">
        <v>8446</v>
      </c>
      <c r="M233" s="527" t="s">
        <v>8522</v>
      </c>
      <c r="N233" s="527" t="s">
        <v>8523</v>
      </c>
    </row>
    <row r="234" spans="1:16">
      <c r="A234" s="531" t="str">
        <f>'SoP 4'!AB9</f>
        <v>SoP 4</v>
      </c>
      <c r="B234" s="528" t="str">
        <f>IF('SoP 4'!$D$10="","",IF('SoP 4'!$D$11="",'SoP 4'!$D$10,'SoP 4'!$D$10 &amp; " &amp; " &amp;'SoP 4'!$D$11))</f>
        <v/>
      </c>
      <c r="C234" s="529">
        <f>'SoP 4'!$S$51</f>
        <v>0</v>
      </c>
      <c r="D234" s="530">
        <f>'SoP 4'!$S$101</f>
        <v>0</v>
      </c>
      <c r="E234" s="530">
        <f>'SoP 4'!$S$114</f>
        <v>0</v>
      </c>
      <c r="F234" s="530">
        <f>SUM('SoP 4'!$S$122:$S$123)</f>
        <v>0</v>
      </c>
      <c r="G234" s="529">
        <f>'SoP 4'!$S$129</f>
        <v>0</v>
      </c>
      <c r="H234" s="531"/>
      <c r="I234" s="531"/>
      <c r="J234" s="531">
        <f>COUNTIFS('SoP 4'!E48:E49,"Rent*",'SoP 4'!G48:G49,"&gt; 0")+COUNTIFS('SoP 4'!F48:F49,"Rent*",'SoP 4'!G48:G49,"&gt; 0")</f>
        <v>0</v>
      </c>
      <c r="K234" s="531">
        <f>COUNTIF('SoP 4'!F113:F113,TRUE)</f>
        <v>0</v>
      </c>
      <c r="L234" s="531">
        <f>J234+K234</f>
        <v>0</v>
      </c>
      <c r="M234" s="531">
        <f>COUNTIFS('SoP 4'!F67:F68,TRUE,'SoP 4'!H67:H68,"&gt; 0")</f>
        <v>0</v>
      </c>
      <c r="N234" s="531">
        <f>M234+K234</f>
        <v>0</v>
      </c>
    </row>
    <row r="235" spans="1:16">
      <c r="A235" s="531" t="str">
        <f>'SoP 2'!AB9</f>
        <v>SoP 2</v>
      </c>
      <c r="B235" s="528" t="str">
        <f>IF('SoP 2'!$D$10="","",IF('SoP 2'!$D$11="",'SoP 2'!$D$10,'SoP 2'!$D$10 &amp; " &amp; " &amp;'SoP 2'!$D$11))</f>
        <v/>
      </c>
      <c r="C235" s="529">
        <f>'SoP 2'!$S$51</f>
        <v>0</v>
      </c>
      <c r="D235" s="530">
        <f>'SoP 2'!$S$101</f>
        <v>0</v>
      </c>
      <c r="E235" s="530">
        <f>'SoP 2'!$S$114</f>
        <v>0</v>
      </c>
      <c r="F235" s="530">
        <f>SUM('SoP 2'!$S$122:$S$123)</f>
        <v>0</v>
      </c>
      <c r="G235" s="529">
        <f>'SoP 2'!$S$129</f>
        <v>0</v>
      </c>
      <c r="H235" s="531"/>
      <c r="I235" s="531"/>
      <c r="J235" s="531">
        <f>COUNTIFS('SoP 2'!E48:E49,"Rent*",'SoP 2'!G48:G49,"&gt; 0")+COUNTIFS('SoP 2'!F48:F49,"Rent*",'SoP 2'!G48:G49,"&gt; 0")</f>
        <v>0</v>
      </c>
      <c r="K235" s="531">
        <f>COUNTIF('SoP 2'!F113:F113,TRUE)</f>
        <v>0</v>
      </c>
      <c r="L235" s="531">
        <f>J235+K235</f>
        <v>0</v>
      </c>
      <c r="M235" s="531">
        <f>COUNTIFS('SoP 2'!F67:F68,TRUE,'SoP 2'!H67:H68,"&gt; 0")</f>
        <v>0</v>
      </c>
      <c r="N235" s="531">
        <f>M235+K235</f>
        <v>0</v>
      </c>
    </row>
    <row r="236" spans="1:16">
      <c r="A236" s="531" t="str">
        <f>'SoP 1'!AB9</f>
        <v>SoP 1</v>
      </c>
      <c r="B236" s="528" t="str">
        <f>IF('SoP 1'!$D$10="","",IF('SoP 1'!$D$11="",'SoP 1'!$D$10,'SoP 1'!$D$10 &amp; " &amp; " &amp;'SoP 1'!$D$11))</f>
        <v>Fan Jiang &amp; Sifei Liu</v>
      </c>
      <c r="C236" s="529">
        <f>'SoP 1'!$S$87</f>
        <v>113559.08</v>
      </c>
      <c r="D236" s="530">
        <f>'SoP 1'!$S$137</f>
        <v>8972</v>
      </c>
      <c r="E236" s="530">
        <f>'SoP 1'!$S$150</f>
        <v>43536.31</v>
      </c>
      <c r="F236" s="530">
        <f>SUM('SoP 1'!$S$158:$S$159)</f>
        <v>45225.110160916665</v>
      </c>
      <c r="G236" s="529">
        <f>'SoP 1'!$S$165</f>
        <v>15825.660000000003</v>
      </c>
      <c r="H236" s="531" t="s">
        <v>9568</v>
      </c>
      <c r="I236" s="531" t="s">
        <v>9569</v>
      </c>
      <c r="J236" s="531">
        <f>COUNTIFS('SoP 1'!E84:E85,"Rent*",'SoP 1'!G84:G85,"&gt;0")+COUNTIFS('SoP 1'!F84:F85,"Rent*",'SoP 1'!G84:G85,"&gt;0")</f>
        <v>0</v>
      </c>
      <c r="K236" s="531">
        <f>COUNTIF('SoP 1'!F149:F149,TRUE)</f>
        <v>0</v>
      </c>
      <c r="L236" s="531">
        <f>J236+K236</f>
        <v>0</v>
      </c>
      <c r="M236" s="531">
        <f>COUNTIFS('SoP 1'!F103:F104,TRUE,'SoP 1'!H103:H104,"&gt; 0")</f>
        <v>0</v>
      </c>
      <c r="N236" s="531">
        <f>M236+K236</f>
        <v>0</v>
      </c>
    </row>
    <row r="237" spans="1:16">
      <c r="A237" s="531" t="str">
        <f>'SoP 3'!AB9</f>
        <v>SoP 3</v>
      </c>
      <c r="B237" s="528" t="str">
        <f>IF('SoP 3'!$D$10="","",IF('SoP 3'!$D$11="",'SoP 3'!$D$10,'SoP 3'!$D$10 &amp; " &amp; " &amp;'SoP 3'!$D$11))</f>
        <v/>
      </c>
      <c r="C237" s="529">
        <f>'SoP 3'!$S$51</f>
        <v>0</v>
      </c>
      <c r="D237" s="530">
        <f>'SoP 3'!$S$101</f>
        <v>0</v>
      </c>
      <c r="E237" s="530">
        <f>'SoP 3'!$S$114</f>
        <v>0</v>
      </c>
      <c r="F237" s="530">
        <f>SUM('SoP 3'!$S$122:$S$123)</f>
        <v>0</v>
      </c>
      <c r="G237" s="529">
        <f>'SoP 3'!$S$129</f>
        <v>0</v>
      </c>
      <c r="H237" s="531"/>
      <c r="I237" s="531"/>
      <c r="J237" s="531">
        <f>COUNTIFS('SoP 3'!E48:E49,"Rent*",'SoP 3'!G48:G49,"&gt; 0")+COUNTIFS('SoP 3'!F48:F49,"Rent*",'SoP 3'!G48:G49,"&gt; 0")</f>
        <v>0</v>
      </c>
      <c r="K237" s="531">
        <f>COUNTIF('SoP 3'!F113:F113,TRUE)</f>
        <v>0</v>
      </c>
      <c r="L237" s="531">
        <f>J237+K237</f>
        <v>0</v>
      </c>
      <c r="M237" s="531">
        <f>COUNTIFS('SoP 3'!F67:F68,TRUE,'SoP 3'!H67:H68,"&gt; 0")</f>
        <v>0</v>
      </c>
      <c r="N237" s="531">
        <f>M237+K237</f>
        <v>0</v>
      </c>
    </row>
    <row r="238" spans="1:16">
      <c r="A238" s="531" t="s">
        <v>8794</v>
      </c>
      <c r="B238" s="528" t="e">
        <f>IF(#REF!="","",IF(#REF!="",#REF!,#REF! &amp; " &amp; " &amp;#REF!))</f>
        <v>#REF!</v>
      </c>
      <c r="C238" s="529" t="e">
        <f>#REF!</f>
        <v>#REF!</v>
      </c>
      <c r="D238" s="530" t="e">
        <f>#REF!</f>
        <v>#REF!</v>
      </c>
      <c r="E238" s="530" t="e">
        <f>#REF!</f>
        <v>#REF!</v>
      </c>
      <c r="F238" s="530"/>
      <c r="G238" s="529" t="e">
        <f>#REF!</f>
        <v>#REF!</v>
      </c>
      <c r="H238" s="531"/>
      <c r="I238" s="531"/>
      <c r="J238" s="531"/>
      <c r="K238" s="531"/>
      <c r="L238" s="531">
        <f>SUM(L234:L237)</f>
        <v>0</v>
      </c>
      <c r="M238" s="531"/>
      <c r="N238" s="531"/>
    </row>
    <row r="241" spans="1:21">
      <c r="B241" s="527" t="s">
        <v>593</v>
      </c>
      <c r="C241" s="527" t="s">
        <v>594</v>
      </c>
      <c r="D241" s="527" t="s">
        <v>595</v>
      </c>
      <c r="E241" s="527" t="s">
        <v>596</v>
      </c>
      <c r="F241" s="527" t="s">
        <v>8617</v>
      </c>
      <c r="G241" s="527" t="s">
        <v>8618</v>
      </c>
      <c r="H241" s="527" t="s">
        <v>8615</v>
      </c>
      <c r="I241" s="527" t="s">
        <v>8613</v>
      </c>
      <c r="J241" s="527" t="s">
        <v>8619</v>
      </c>
      <c r="K241" s="527" t="s">
        <v>8620</v>
      </c>
      <c r="L241" s="527" t="s">
        <v>8621</v>
      </c>
      <c r="M241" s="527" t="s">
        <v>8626</v>
      </c>
      <c r="N241" s="527" t="s">
        <v>8630</v>
      </c>
    </row>
    <row r="242" spans="1:21">
      <c r="A242" s="531" t="str">
        <f>'SoP 4'!AB9</f>
        <v>SoP 4</v>
      </c>
      <c r="B242" s="531">
        <f>(HLOOKUP($A242,$A$209:$E$227,5,FALSE)-HLOOKUP($A242,$A$209:$E$227,4,FALSE)-4)/6</f>
        <v>3</v>
      </c>
      <c r="C242" s="531">
        <f>HLOOKUP($A242,$A$209:$E$227,6,FALSE)-HLOOKUP($A242,$A$209:$E$227,5,FALSE)-4</f>
        <v>9</v>
      </c>
      <c r="D242" s="531">
        <f>HLOOKUP($A242,$A$209:$E$227,9,FALSE)-HLOOKUP($A242,$A$209:$E$227,8,FALSE)-4</f>
        <v>10</v>
      </c>
      <c r="E242" s="531">
        <f>HLOOKUP($A242,$A$209:$E$227,13,FALSE)-HLOOKUP($A242,$A$209:$E$227,12,FALSE)-4</f>
        <v>9</v>
      </c>
      <c r="F242" s="531" t="str">
        <f>"'Internal Ref'!K279:K" &amp; 279+K277-1</f>
        <v>'Internal Ref'!K279:K279</v>
      </c>
      <c r="G242" s="531" t="str">
        <f>"'Internal Ref'!K279:N" &amp; 279+K277-1</f>
        <v>'Internal Ref'!K279:N279</v>
      </c>
      <c r="H242" s="531">
        <f>COUNTIF(M279:M318,1)</f>
        <v>0</v>
      </c>
      <c r="I242" s="531">
        <f>COUNTIF(M279:M318,2)</f>
        <v>0</v>
      </c>
      <c r="J242" s="531">
        <f>H242+I242</f>
        <v>0</v>
      </c>
      <c r="K242" s="531" t="s">
        <v>8634</v>
      </c>
      <c r="L242" s="531">
        <f>COUNTIF('SoP 4'!F67:F69,TRUE) + COUNTIF('SoP 4'!E112:E113,TRUE)</f>
        <v>0</v>
      </c>
      <c r="M242" s="531" t="str">
        <f>"'Internal Ref'!D461:J" &amp; 461+J242</f>
        <v>'Internal Ref'!D461:J461</v>
      </c>
      <c r="N242" s="531" t="s">
        <v>8639</v>
      </c>
    </row>
    <row r="243" spans="1:21">
      <c r="A243" s="531" t="str">
        <f>'SoP 2'!AB9</f>
        <v>SoP 2</v>
      </c>
      <c r="B243" s="531">
        <f>(HLOOKUP($A243,$A$209:$E$227,5,FALSE)-HLOOKUP($A243,$A$209:$E$227,4,FALSE)-4)/6</f>
        <v>3</v>
      </c>
      <c r="C243" s="531">
        <f>HLOOKUP($A243,$A$209:$E$227,6,FALSE)-HLOOKUP($A243,$A$209:$E$227,5,FALSE)-4</f>
        <v>9</v>
      </c>
      <c r="D243" s="531">
        <f>HLOOKUP($A243,$A$209:$E$227,9,FALSE)-HLOOKUP($A243,$A$209:$E$227,8,FALSE)-4</f>
        <v>10</v>
      </c>
      <c r="E243" s="531">
        <f>HLOOKUP($A243,$A$209:$E$227,13,FALSE)-HLOOKUP($A243,$A$209:$E$227,12,FALSE)-4</f>
        <v>9</v>
      </c>
      <c r="F243" s="531" t="str">
        <f>"'Internal Ref'!U279:U" &amp; 279+U277-1</f>
        <v>'Internal Ref'!U279:U279</v>
      </c>
      <c r="G243" s="531" t="str">
        <f>"'Internal Ref'!U279:X" &amp; 279+U277-1</f>
        <v>'Internal Ref'!U279:X279</v>
      </c>
      <c r="H243" s="531">
        <f>COUNTIF(W279:W318,1)</f>
        <v>0</v>
      </c>
      <c r="I243" s="531">
        <f>COUNTIF(W279:W318,2)</f>
        <v>0</v>
      </c>
      <c r="J243" s="531">
        <f>H243+I243</f>
        <v>0</v>
      </c>
      <c r="K243" s="531" t="s">
        <v>8636</v>
      </c>
      <c r="L243" s="531">
        <f>COUNTIF('SoP 2'!F67:F68,TRUE) + COUNTIF('SoP 2'!E112:E113,TRUE)</f>
        <v>0</v>
      </c>
      <c r="M243" s="531" t="str">
        <f>"'Internal Ref'!T461:Z" &amp; 461+J243</f>
        <v>'Internal Ref'!T461:Z461</v>
      </c>
      <c r="N243" s="531" t="s">
        <v>8640</v>
      </c>
    </row>
    <row r="244" spans="1:21">
      <c r="A244" s="531" t="str">
        <f>'SoP 1'!AB9</f>
        <v>SoP 1</v>
      </c>
      <c r="B244" s="531">
        <f>(HLOOKUP($A244,$A$209:$E$227,5,FALSE)-HLOOKUP($A244,$A$209:$E$227,4,FALSE)-4)/6</f>
        <v>9</v>
      </c>
      <c r="C244" s="531">
        <f>HLOOKUP($A244,$A$209:$E$227,6,FALSE)-HLOOKUP($A244,$A$209:$E$227,5,FALSE)-4</f>
        <v>9</v>
      </c>
      <c r="D244" s="531">
        <f>HLOOKUP($A244,$A$209:$E$227,9,FALSE)-HLOOKUP($A244,$A$209:$E$227,8,FALSE)-4</f>
        <v>10</v>
      </c>
      <c r="E244" s="531">
        <f>HLOOKUP($A244,$A$209:$E$227,13,FALSE)-HLOOKUP($A244,$A$209:$E$227,12,FALSE)-4</f>
        <v>9</v>
      </c>
      <c r="F244" s="531" t="str">
        <f>"'Internal Ref'!Z279:Z" &amp; 279+Z277-1</f>
        <v>'Internal Ref'!Z279:Z279</v>
      </c>
      <c r="G244" s="531" t="str">
        <f>"'Internal Ref'!Z279:AC" &amp; 279+Z277-1</f>
        <v>'Internal Ref'!Z279:AC279</v>
      </c>
      <c r="H244" s="531">
        <f>COUNTIF(AB279:AB318,1)</f>
        <v>0</v>
      </c>
      <c r="I244" s="531">
        <f>COUNTIF(AB279:AB318,2)</f>
        <v>0</v>
      </c>
      <c r="J244" s="531">
        <f>H244+I244</f>
        <v>0</v>
      </c>
      <c r="K244" s="531" t="s">
        <v>8637</v>
      </c>
      <c r="L244" s="531">
        <f>COUNTIF('SoP 1'!F103:F104,TRUE) + COUNTIF('SoP 1'!E148:E149,TRUE)</f>
        <v>0</v>
      </c>
      <c r="M244" s="531" t="str">
        <f>"'Internal Ref'!AJ461:AP" &amp; 461+J244</f>
        <v>'Internal Ref'!AJ461:AP461</v>
      </c>
      <c r="N244" s="531" t="s">
        <v>8641</v>
      </c>
    </row>
    <row r="245" spans="1:21">
      <c r="A245" s="531" t="str">
        <f>'SoP 3'!AB9</f>
        <v>SoP 3</v>
      </c>
      <c r="B245" s="531">
        <f>(HLOOKUP($A245,$A$209:$E$227,5,FALSE)-HLOOKUP($A245,$A$209:$E$227,4,FALSE)-4)/6</f>
        <v>3</v>
      </c>
      <c r="C245" s="531">
        <f>HLOOKUP($A245,$A$209:$E$227,6,FALSE)-HLOOKUP($A245,$A$209:$E$227,5,FALSE)-4</f>
        <v>9</v>
      </c>
      <c r="D245" s="531">
        <f>HLOOKUP($A245,$A$209:$E$227,9,FALSE)-HLOOKUP($A245,$A$209:$E$227,8,FALSE)-4</f>
        <v>10</v>
      </c>
      <c r="E245" s="531">
        <f>HLOOKUP($A245,$A$209:$E$227,13,FALSE)-HLOOKUP($A245,$A$209:$E$227,12,FALSE)-4</f>
        <v>9</v>
      </c>
      <c r="F245" s="531" t="str">
        <f>"'Internal Ref'!P279:P" &amp; 279+P277-1</f>
        <v>'Internal Ref'!P279:P279</v>
      </c>
      <c r="G245" s="531" t="str">
        <f>"'Internal Ref'!P279:S" &amp; 279+P277-1</f>
        <v>'Internal Ref'!P279:S279</v>
      </c>
      <c r="H245" s="531">
        <f>COUNTIF(R279:R318,1)</f>
        <v>0</v>
      </c>
      <c r="I245" s="531">
        <f>COUNTIF(R279:R318,2)</f>
        <v>0</v>
      </c>
      <c r="J245" s="531">
        <f>H245+I245</f>
        <v>0</v>
      </c>
      <c r="K245" s="531" t="s">
        <v>8638</v>
      </c>
      <c r="L245" s="531">
        <f>COUNTIF('SoP 3'!F67:F68,TRUE) + COUNTIF('SoP 3'!E112:E113,TRUE)</f>
        <v>0</v>
      </c>
      <c r="M245" s="531" t="str">
        <f>"'Internal Ref'!AZ461:BF" &amp; 461+J245</f>
        <v>'Internal Ref'!AZ461:BF461</v>
      </c>
      <c r="N245" s="531" t="s">
        <v>8642</v>
      </c>
    </row>
    <row r="246" spans="1:21">
      <c r="L246" s="524">
        <f>SUM(L242:L245)</f>
        <v>0</v>
      </c>
    </row>
    <row r="248" spans="1:21">
      <c r="A248" s="161" t="str">
        <f>G175</f>
        <v>Securities</v>
      </c>
      <c r="B248" s="69"/>
      <c r="C248" s="69"/>
      <c r="D248" s="69"/>
    </row>
    <row r="251" spans="1:21">
      <c r="A251" s="162" t="s">
        <v>597</v>
      </c>
      <c r="B251" s="162" t="str">
        <f>'SoP 4'!AB9</f>
        <v>SoP 4</v>
      </c>
      <c r="C251" s="163"/>
      <c r="D251" s="162" t="str">
        <f>'SoP 2'!AB9</f>
        <v>SoP 2</v>
      </c>
      <c r="E251" s="163"/>
      <c r="F251" s="162" t="str">
        <f>'SoP 1'!AB9</f>
        <v>SoP 1</v>
      </c>
      <c r="G251" s="163"/>
      <c r="H251" s="162" t="str">
        <f>'SoP 3'!AB9</f>
        <v>SoP 3</v>
      </c>
      <c r="I251" s="164"/>
      <c r="J251" s="162"/>
      <c r="R251" s="165" t="s">
        <v>601</v>
      </c>
      <c r="S251" s="2" t="str">
        <f>E197</f>
        <v>SoP 1</v>
      </c>
    </row>
    <row r="252" spans="1:21">
      <c r="A252" s="166" t="s">
        <v>109</v>
      </c>
      <c r="B252" s="167"/>
      <c r="C252" s="25" t="s">
        <v>3</v>
      </c>
      <c r="D252" s="100"/>
      <c r="E252" s="25" t="s">
        <v>3</v>
      </c>
      <c r="F252" s="100"/>
      <c r="G252" s="25" t="s">
        <v>3</v>
      </c>
      <c r="H252" s="100"/>
      <c r="I252" s="25" t="s">
        <v>3</v>
      </c>
      <c r="J252" s="166"/>
      <c r="R252" s="166" t="e">
        <f>VLOOKUP(F197,A615:G654,2,FALSE)</f>
        <v>#N/A</v>
      </c>
      <c r="S252" s="168" t="e">
        <f>IF(S251="CCPL SoP",MATCH(R252,A500:A613,FALSE)+499,MATCH(R252,A252:A453,FALSE)+251)</f>
        <v>#N/A</v>
      </c>
      <c r="U252" s="2" t="e">
        <f>VLOOKUP(F197,A615:G654,4,FALSE)</f>
        <v>#N/A</v>
      </c>
    </row>
    <row r="253" spans="1:21">
      <c r="A253" s="169" t="s">
        <v>109</v>
      </c>
      <c r="B253" s="16"/>
      <c r="C253" s="25" t="s">
        <v>3</v>
      </c>
      <c r="D253" s="16"/>
      <c r="E253" s="25" t="s">
        <v>3</v>
      </c>
      <c r="F253" s="16"/>
      <c r="G253" s="25" t="s">
        <v>3</v>
      </c>
      <c r="H253" s="16"/>
      <c r="I253" s="25" t="s">
        <v>3</v>
      </c>
      <c r="R253" s="169" t="e">
        <f ca="1">IF(S253&lt;&gt;"",INDIRECT("A" &amp; S253),"")</f>
        <v>#N/A</v>
      </c>
      <c r="S253" s="170" t="e">
        <f>IF(U253&gt;$U$252,"",$S$252+U253)</f>
        <v>#N/A</v>
      </c>
      <c r="U253" s="2">
        <v>1</v>
      </c>
    </row>
    <row r="254" spans="1:21">
      <c r="A254" s="169" t="s">
        <v>603</v>
      </c>
      <c r="B254" s="16"/>
      <c r="C254" s="25" t="s">
        <v>3</v>
      </c>
      <c r="D254" s="16"/>
      <c r="E254" s="25" t="s">
        <v>3</v>
      </c>
      <c r="F254" s="16"/>
      <c r="G254" s="25" t="s">
        <v>3</v>
      </c>
      <c r="H254" s="16"/>
      <c r="I254" s="25" t="s">
        <v>3</v>
      </c>
      <c r="R254" s="169" t="e">
        <f ca="1">IF(S254&lt;&gt;"",INDIRECT("A" &amp; S254),"")</f>
        <v>#N/A</v>
      </c>
      <c r="S254" s="170" t="e">
        <f t="shared" ref="S254:S263" si="1">IF(U254&gt;$U$252,"",$S$252+U254)</f>
        <v>#N/A</v>
      </c>
      <c r="U254" s="2">
        <v>2</v>
      </c>
    </row>
    <row r="255" spans="1:21">
      <c r="A255" s="169" t="s">
        <v>604</v>
      </c>
      <c r="B255" s="16"/>
      <c r="C255" s="25" t="s">
        <v>3</v>
      </c>
      <c r="D255" s="16"/>
      <c r="E255" s="25" t="s">
        <v>3</v>
      </c>
      <c r="F255" s="16"/>
      <c r="G255" s="25" t="s">
        <v>3</v>
      </c>
      <c r="H255" s="16"/>
      <c r="I255" s="25" t="s">
        <v>3</v>
      </c>
      <c r="R255" s="169" t="e">
        <f t="shared" ref="R255:R263" ca="1" si="2">IF(S255&lt;&gt;"",INDIRECT("A" &amp; S255),"")</f>
        <v>#N/A</v>
      </c>
      <c r="S255" s="170" t="e">
        <f t="shared" si="1"/>
        <v>#N/A</v>
      </c>
      <c r="U255" s="2">
        <v>3</v>
      </c>
    </row>
    <row r="256" spans="1:21">
      <c r="A256" s="169" t="s">
        <v>58</v>
      </c>
      <c r="B256" s="16"/>
      <c r="C256" s="25" t="s">
        <v>3</v>
      </c>
      <c r="D256" s="16"/>
      <c r="E256" s="25" t="s">
        <v>3</v>
      </c>
      <c r="F256" s="16"/>
      <c r="G256" s="25" t="s">
        <v>3</v>
      </c>
      <c r="H256" s="16"/>
      <c r="I256" s="25" t="s">
        <v>3</v>
      </c>
      <c r="R256" s="169" t="e">
        <f t="shared" ca="1" si="2"/>
        <v>#N/A</v>
      </c>
      <c r="S256" s="170" t="e">
        <f t="shared" si="1"/>
        <v>#N/A</v>
      </c>
      <c r="U256" s="2">
        <v>4</v>
      </c>
    </row>
    <row r="257" spans="1:21">
      <c r="A257" s="161" t="s">
        <v>605</v>
      </c>
      <c r="B257" s="16"/>
      <c r="C257" s="25" t="s">
        <v>3</v>
      </c>
      <c r="D257" s="16"/>
      <c r="E257" s="25" t="s">
        <v>3</v>
      </c>
      <c r="F257" s="16"/>
      <c r="G257" s="25" t="s">
        <v>3</v>
      </c>
      <c r="H257" s="16"/>
      <c r="I257" s="25" t="s">
        <v>3</v>
      </c>
      <c r="R257" s="169" t="e">
        <f t="shared" ca="1" si="2"/>
        <v>#N/A</v>
      </c>
      <c r="S257" s="170" t="e">
        <f t="shared" si="1"/>
        <v>#N/A</v>
      </c>
      <c r="U257" s="2">
        <v>5</v>
      </c>
    </row>
    <row r="258" spans="1:21">
      <c r="A258" s="169" t="s">
        <v>607</v>
      </c>
      <c r="B258" s="16"/>
      <c r="C258" s="25" t="s">
        <v>3</v>
      </c>
      <c r="D258" s="16"/>
      <c r="E258" s="25" t="s">
        <v>3</v>
      </c>
      <c r="F258" s="16"/>
      <c r="G258" s="25" t="s">
        <v>3</v>
      </c>
      <c r="H258" s="16"/>
      <c r="I258" s="25" t="s">
        <v>3</v>
      </c>
      <c r="R258" s="169" t="e">
        <f t="shared" ca="1" si="2"/>
        <v>#N/A</v>
      </c>
      <c r="S258" s="170" t="e">
        <f t="shared" si="1"/>
        <v>#N/A</v>
      </c>
      <c r="U258" s="2">
        <v>6</v>
      </c>
    </row>
    <row r="259" spans="1:21">
      <c r="A259" s="169" t="s">
        <v>608</v>
      </c>
      <c r="B259" s="16"/>
      <c r="C259" s="25" t="s">
        <v>3</v>
      </c>
      <c r="D259" s="16"/>
      <c r="E259" s="25" t="s">
        <v>3</v>
      </c>
      <c r="F259" s="16"/>
      <c r="G259" s="25" t="s">
        <v>3</v>
      </c>
      <c r="H259" s="16"/>
      <c r="I259" s="25" t="s">
        <v>3</v>
      </c>
      <c r="R259" s="169" t="e">
        <f t="shared" ca="1" si="2"/>
        <v>#N/A</v>
      </c>
      <c r="S259" s="170" t="e">
        <f t="shared" si="1"/>
        <v>#N/A</v>
      </c>
      <c r="U259" s="2">
        <v>7</v>
      </c>
    </row>
    <row r="260" spans="1:21">
      <c r="A260" s="169" t="s">
        <v>609</v>
      </c>
      <c r="B260" s="16"/>
      <c r="C260" s="25" t="s">
        <v>3</v>
      </c>
      <c r="D260" s="16"/>
      <c r="E260" s="25" t="s">
        <v>3</v>
      </c>
      <c r="F260" s="16"/>
      <c r="G260" s="25" t="s">
        <v>3</v>
      </c>
      <c r="H260" s="16"/>
      <c r="I260" s="25" t="s">
        <v>3</v>
      </c>
      <c r="R260" s="169" t="e">
        <f t="shared" ca="1" si="2"/>
        <v>#N/A</v>
      </c>
      <c r="S260" s="170" t="e">
        <f t="shared" si="1"/>
        <v>#N/A</v>
      </c>
      <c r="U260" s="2">
        <v>8</v>
      </c>
    </row>
    <row r="261" spans="1:21">
      <c r="A261" s="169" t="s">
        <v>610</v>
      </c>
      <c r="B261" s="16"/>
      <c r="C261" s="25" t="s">
        <v>3</v>
      </c>
      <c r="D261" s="16"/>
      <c r="E261" s="25" t="s">
        <v>3</v>
      </c>
      <c r="F261" s="16"/>
      <c r="G261" s="25" t="s">
        <v>3</v>
      </c>
      <c r="H261" s="16"/>
      <c r="I261" s="25" t="s">
        <v>3</v>
      </c>
      <c r="R261" s="169" t="e">
        <f t="shared" ca="1" si="2"/>
        <v>#N/A</v>
      </c>
      <c r="S261" s="170" t="e">
        <f t="shared" si="1"/>
        <v>#N/A</v>
      </c>
      <c r="U261" s="2">
        <v>9</v>
      </c>
    </row>
    <row r="262" spans="1:21">
      <c r="A262" s="169" t="s">
        <v>58</v>
      </c>
      <c r="B262" s="16"/>
      <c r="C262" s="25" t="s">
        <v>3</v>
      </c>
      <c r="D262" s="16"/>
      <c r="E262" s="25" t="s">
        <v>3</v>
      </c>
      <c r="F262" s="16"/>
      <c r="G262" s="25" t="s">
        <v>3</v>
      </c>
      <c r="H262" s="16"/>
      <c r="I262" s="25" t="s">
        <v>3</v>
      </c>
      <c r="R262" s="169" t="e">
        <f t="shared" ca="1" si="2"/>
        <v>#N/A</v>
      </c>
      <c r="S262" s="170" t="e">
        <f t="shared" si="1"/>
        <v>#N/A</v>
      </c>
      <c r="U262" s="2">
        <v>10</v>
      </c>
    </row>
    <row r="263" spans="1:21">
      <c r="A263" s="161" t="s">
        <v>111</v>
      </c>
      <c r="B263" s="16"/>
      <c r="C263" s="25" t="s">
        <v>3</v>
      </c>
      <c r="D263" s="16"/>
      <c r="E263" s="25" t="s">
        <v>3</v>
      </c>
      <c r="F263" s="16"/>
      <c r="G263" s="25" t="s">
        <v>3</v>
      </c>
      <c r="H263" s="16"/>
      <c r="I263" s="25" t="s">
        <v>3</v>
      </c>
      <c r="R263" s="169" t="e">
        <f t="shared" ca="1" si="2"/>
        <v>#N/A</v>
      </c>
      <c r="S263" s="170" t="e">
        <f t="shared" si="1"/>
        <v>#N/A</v>
      </c>
      <c r="U263" s="2">
        <v>11</v>
      </c>
    </row>
    <row r="264" spans="1:21">
      <c r="A264" s="169" t="s">
        <v>613</v>
      </c>
      <c r="B264" s="16"/>
      <c r="C264" s="25" t="s">
        <v>3</v>
      </c>
      <c r="D264" s="16"/>
      <c r="E264" s="25" t="s">
        <v>3</v>
      </c>
      <c r="F264" s="16"/>
      <c r="G264" s="25" t="s">
        <v>3</v>
      </c>
      <c r="H264" s="16"/>
      <c r="I264" s="25" t="s">
        <v>3</v>
      </c>
      <c r="R264" s="169" t="e">
        <f ca="1">IF(S264&lt;&gt;"",INDIRECT("A" &amp; S264),"")</f>
        <v>#N/A</v>
      </c>
      <c r="S264" s="170" t="e">
        <f>IF(U264&gt;$U$252,"",$S$252+U264)</f>
        <v>#N/A</v>
      </c>
      <c r="U264" s="2">
        <v>12</v>
      </c>
    </row>
    <row r="265" spans="1:21">
      <c r="A265" s="169" t="s">
        <v>615</v>
      </c>
      <c r="B265" s="16"/>
      <c r="C265" s="25" t="s">
        <v>3</v>
      </c>
      <c r="D265" s="16"/>
      <c r="E265" s="25" t="s">
        <v>3</v>
      </c>
      <c r="F265" s="16"/>
      <c r="G265" s="25" t="s">
        <v>3</v>
      </c>
      <c r="H265" s="16"/>
      <c r="I265" s="25" t="s">
        <v>3</v>
      </c>
      <c r="R265" s="169" t="e">
        <f ca="1">IF(S265&lt;&gt;"",INDIRECT("A" &amp; S265),"")</f>
        <v>#N/A</v>
      </c>
      <c r="S265" s="170" t="e">
        <f>IF(U265&gt;$U$252,"",$S$252+U265)</f>
        <v>#N/A</v>
      </c>
      <c r="U265" s="2">
        <v>13</v>
      </c>
    </row>
    <row r="266" spans="1:21">
      <c r="A266" s="169" t="s">
        <v>617</v>
      </c>
      <c r="B266" s="16"/>
      <c r="C266" s="25" t="s">
        <v>3</v>
      </c>
      <c r="D266" s="16"/>
      <c r="E266" s="25" t="s">
        <v>3</v>
      </c>
      <c r="F266" s="16"/>
      <c r="G266" s="25" t="s">
        <v>3</v>
      </c>
      <c r="H266" s="16"/>
      <c r="I266" s="25" t="s">
        <v>3</v>
      </c>
      <c r="R266" s="169" t="e">
        <f ca="1">IF(S266&lt;&gt;"",INDIRECT("A" &amp; S266),"")</f>
        <v>#N/A</v>
      </c>
      <c r="S266" s="170" t="e">
        <f>IF(U266&gt;$U$252,"",$S$252+U266)</f>
        <v>#N/A</v>
      </c>
      <c r="U266" s="2">
        <v>14</v>
      </c>
    </row>
    <row r="267" spans="1:21">
      <c r="A267" s="169" t="s">
        <v>619</v>
      </c>
      <c r="B267" s="16"/>
      <c r="C267" s="25" t="s">
        <v>3</v>
      </c>
      <c r="D267" s="16"/>
      <c r="E267" s="25" t="s">
        <v>3</v>
      </c>
      <c r="F267" s="16"/>
      <c r="G267" s="25" t="s">
        <v>3</v>
      </c>
      <c r="H267" s="16"/>
      <c r="I267" s="25" t="s">
        <v>3</v>
      </c>
    </row>
    <row r="268" spans="1:21">
      <c r="A268" s="169" t="s">
        <v>622</v>
      </c>
      <c r="B268" s="16"/>
      <c r="C268" s="25" t="s">
        <v>3</v>
      </c>
      <c r="D268" s="16"/>
      <c r="E268" s="25" t="s">
        <v>3</v>
      </c>
      <c r="F268" s="16"/>
      <c r="G268" s="25" t="s">
        <v>3</v>
      </c>
      <c r="H268" s="16"/>
      <c r="I268" s="25" t="s">
        <v>3</v>
      </c>
    </row>
    <row r="269" spans="1:21">
      <c r="A269" s="169" t="s">
        <v>624</v>
      </c>
      <c r="B269" s="16"/>
      <c r="C269" s="25" t="s">
        <v>3</v>
      </c>
      <c r="D269" s="16"/>
      <c r="E269" s="25" t="s">
        <v>3</v>
      </c>
      <c r="F269" s="16"/>
      <c r="G269" s="25" t="s">
        <v>3</v>
      </c>
      <c r="H269" s="16"/>
      <c r="I269" s="25" t="s">
        <v>3</v>
      </c>
    </row>
    <row r="270" spans="1:21">
      <c r="A270" s="161" t="s">
        <v>110</v>
      </c>
      <c r="B270" s="16"/>
      <c r="C270" s="25" t="s">
        <v>3</v>
      </c>
      <c r="D270" s="16"/>
      <c r="E270" s="25" t="s">
        <v>3</v>
      </c>
      <c r="F270" s="16"/>
      <c r="G270" s="25" t="s">
        <v>3</v>
      </c>
      <c r="H270" s="16"/>
      <c r="I270" s="25" t="s">
        <v>3</v>
      </c>
    </row>
    <row r="271" spans="1:21">
      <c r="A271" s="169" t="s">
        <v>629</v>
      </c>
      <c r="B271" s="16"/>
      <c r="C271" s="25" t="s">
        <v>3</v>
      </c>
      <c r="D271" s="16"/>
      <c r="E271" s="25" t="s">
        <v>3</v>
      </c>
      <c r="F271" s="16"/>
      <c r="G271" s="25" t="s">
        <v>3</v>
      </c>
      <c r="H271" s="16"/>
      <c r="I271" s="25" t="s">
        <v>3</v>
      </c>
    </row>
    <row r="272" spans="1:21">
      <c r="A272" s="169" t="s">
        <v>633</v>
      </c>
      <c r="B272" s="16"/>
      <c r="C272" s="25" t="s">
        <v>3</v>
      </c>
      <c r="D272" s="16"/>
      <c r="E272" s="25" t="s">
        <v>3</v>
      </c>
      <c r="F272" s="16"/>
      <c r="G272" s="25" t="s">
        <v>3</v>
      </c>
      <c r="H272" s="16"/>
      <c r="I272" s="25" t="s">
        <v>3</v>
      </c>
    </row>
    <row r="273" spans="1:29">
      <c r="A273" s="169" t="s">
        <v>634</v>
      </c>
      <c r="B273" s="16"/>
      <c r="C273" s="25" t="s">
        <v>3</v>
      </c>
      <c r="D273" s="16"/>
      <c r="E273" s="25" t="s">
        <v>3</v>
      </c>
      <c r="F273" s="16"/>
      <c r="G273" s="25" t="s">
        <v>3</v>
      </c>
      <c r="H273" s="16"/>
      <c r="I273" s="25" t="s">
        <v>3</v>
      </c>
    </row>
    <row r="274" spans="1:29">
      <c r="A274" s="169" t="s">
        <v>58</v>
      </c>
      <c r="B274" s="16"/>
      <c r="C274" s="25" t="s">
        <v>3</v>
      </c>
      <c r="D274" s="16"/>
      <c r="E274" s="25" t="s">
        <v>3</v>
      </c>
      <c r="F274" s="16"/>
      <c r="G274" s="25" t="s">
        <v>3</v>
      </c>
      <c r="H274" s="16"/>
      <c r="I274" s="25" t="s">
        <v>3</v>
      </c>
    </row>
    <row r="275" spans="1:29">
      <c r="A275" s="161" t="s">
        <v>567</v>
      </c>
      <c r="B275" s="16"/>
      <c r="C275" s="25" t="s">
        <v>3</v>
      </c>
      <c r="D275" s="16"/>
      <c r="E275" s="25" t="s">
        <v>3</v>
      </c>
      <c r="F275" s="16"/>
      <c r="G275" s="25" t="s">
        <v>3</v>
      </c>
      <c r="H275" s="16"/>
      <c r="I275" s="25" t="s">
        <v>3</v>
      </c>
      <c r="K275" s="2" t="str">
        <f>A242</f>
        <v>SoP 4</v>
      </c>
      <c r="P275" s="2" t="str">
        <f>A245</f>
        <v>SoP 3</v>
      </c>
      <c r="U275" s="2" t="str">
        <f>A243</f>
        <v>SoP 2</v>
      </c>
      <c r="Z275" s="2" t="str">
        <f>A244</f>
        <v>SoP 1</v>
      </c>
    </row>
    <row r="276" spans="1:29">
      <c r="A276" s="169" t="s">
        <v>635</v>
      </c>
      <c r="B276" s="16"/>
      <c r="C276" s="25" t="s">
        <v>3</v>
      </c>
      <c r="D276" s="16"/>
      <c r="E276" s="25" t="s">
        <v>3</v>
      </c>
      <c r="F276" s="16"/>
      <c r="G276" s="25" t="s">
        <v>3</v>
      </c>
      <c r="H276" s="16"/>
      <c r="I276" s="25" t="s">
        <v>3</v>
      </c>
      <c r="K276" s="2" t="s">
        <v>8614</v>
      </c>
      <c r="P276" s="2" t="s">
        <v>8614</v>
      </c>
      <c r="U276" s="2" t="s">
        <v>8614</v>
      </c>
      <c r="Z276" s="2" t="s">
        <v>8614</v>
      </c>
    </row>
    <row r="277" spans="1:29">
      <c r="A277" s="169" t="s">
        <v>636</v>
      </c>
      <c r="B277" s="16"/>
      <c r="C277" s="25" t="s">
        <v>3</v>
      </c>
      <c r="D277" s="16"/>
      <c r="E277" s="25" t="s">
        <v>3</v>
      </c>
      <c r="F277" s="16"/>
      <c r="G277" s="25" t="s">
        <v>3</v>
      </c>
      <c r="H277" s="16"/>
      <c r="I277" s="25" t="s">
        <v>3</v>
      </c>
      <c r="K277" s="515">
        <f>40-COUNTIF(K279:K318,"")</f>
        <v>1</v>
      </c>
      <c r="N277" s="515"/>
      <c r="P277" s="515">
        <f>40-COUNTIF(P279:P318,"")</f>
        <v>1</v>
      </c>
      <c r="S277" s="515"/>
      <c r="U277" s="515">
        <f>40-COUNTIF(U279:U318,"")</f>
        <v>1</v>
      </c>
      <c r="X277" s="515"/>
      <c r="Z277" s="515">
        <f>40-COUNTIF(Z279:Z318,"")</f>
        <v>1</v>
      </c>
      <c r="AC277" s="515"/>
    </row>
    <row r="278" spans="1:29">
      <c r="A278" s="169" t="s">
        <v>637</v>
      </c>
      <c r="B278" s="16"/>
      <c r="C278" s="25" t="s">
        <v>3</v>
      </c>
      <c r="D278" s="16"/>
      <c r="E278" s="25" t="s">
        <v>3</v>
      </c>
      <c r="F278" s="16"/>
      <c r="G278" s="25" t="s">
        <v>3</v>
      </c>
      <c r="H278" s="16"/>
      <c r="I278" s="25" t="s">
        <v>3</v>
      </c>
      <c r="K278" s="521" t="s">
        <v>8612</v>
      </c>
      <c r="L278" s="521" t="s">
        <v>8595</v>
      </c>
      <c r="M278" s="521" t="s">
        <v>8616</v>
      </c>
      <c r="N278" s="521" t="s">
        <v>8606</v>
      </c>
      <c r="P278" s="521" t="s">
        <v>8612</v>
      </c>
      <c r="Q278" s="521" t="s">
        <v>8595</v>
      </c>
      <c r="R278" s="521" t="s">
        <v>8616</v>
      </c>
      <c r="S278" s="521" t="s">
        <v>8606</v>
      </c>
      <c r="U278" s="521" t="s">
        <v>8612</v>
      </c>
      <c r="V278" s="521" t="s">
        <v>8595</v>
      </c>
      <c r="W278" s="521" t="s">
        <v>8616</v>
      </c>
      <c r="X278" s="521" t="s">
        <v>8606</v>
      </c>
      <c r="Z278" s="521" t="s">
        <v>8612</v>
      </c>
      <c r="AA278" s="521" t="s">
        <v>8595</v>
      </c>
      <c r="AB278" s="521" t="s">
        <v>8616</v>
      </c>
      <c r="AC278" s="521" t="s">
        <v>8606</v>
      </c>
    </row>
    <row r="279" spans="1:29">
      <c r="A279" s="169" t="s">
        <v>638</v>
      </c>
      <c r="B279" s="16"/>
      <c r="C279" s="25" t="s">
        <v>3</v>
      </c>
      <c r="D279" s="16"/>
      <c r="E279" s="25" t="s">
        <v>3</v>
      </c>
      <c r="F279" s="16"/>
      <c r="G279" s="25" t="s">
        <v>3</v>
      </c>
      <c r="H279" s="16"/>
      <c r="I279" s="25" t="s">
        <v>3</v>
      </c>
      <c r="J279" s="2">
        <v>1</v>
      </c>
      <c r="K279" s="517" t="str">
        <f t="shared" ref="K279:K293" si="3">IFERROR(VLOOKUP($J279,$B$460:$K$485,7,FALSE),"")</f>
        <v>Multiple/Other Securities</v>
      </c>
      <c r="L279" s="517">
        <f t="shared" ref="L279:L293" si="4">IFERROR(VLOOKUP($J279,$B$460:$K$485,8,FALSE),"")</f>
        <v>0</v>
      </c>
      <c r="M279" s="517">
        <f t="shared" ref="M279:M293" si="5">IFERROR(VLOOKUP($J279,$B$460:$K$485,9,FALSE),"")</f>
        <v>3</v>
      </c>
      <c r="N279" s="517">
        <f t="shared" ref="N279:N293" si="6">IFERROR(VLOOKUP($J279,$B$460:$K$485,3,FALSE),"")</f>
        <v>0</v>
      </c>
      <c r="P279" s="517" t="str">
        <f t="shared" ref="P279:P293" si="7">IFERROR(VLOOKUP($J279,$AX$460:$BI$487,7,FALSE),"")</f>
        <v>Multiple/Other Securities</v>
      </c>
      <c r="Q279" s="517">
        <f t="shared" ref="Q279:Q293" si="8">IFERROR(VLOOKUP($J279,$AX$460:$BI$487,8,FALSE),"")</f>
        <v>0</v>
      </c>
      <c r="R279" s="517">
        <f t="shared" ref="R279:R293" si="9">IFERROR(VLOOKUP($J279,$AX$460:$BI$487,9,FALSE),"")</f>
        <v>3</v>
      </c>
      <c r="S279" s="518">
        <f t="shared" ref="S279:S293" si="10">IFERROR(VLOOKUP($J279,$AX$460:$BI$487,3,FALSE),"")</f>
        <v>0</v>
      </c>
      <c r="U279" s="517" t="str">
        <f t="shared" ref="U279:U293" si="11">IFERROR(VLOOKUP($J279,$R$460:$AA$487,7,FALSE),"")</f>
        <v>Multiple/Other Securities</v>
      </c>
      <c r="V279" s="517">
        <f t="shared" ref="V279:V293" si="12">IFERROR(VLOOKUP($J279,$R$460:$AA$487,8,FALSE),"")</f>
        <v>0</v>
      </c>
      <c r="W279" s="517">
        <f t="shared" ref="W279:W293" si="13">IFERROR(VLOOKUP($J279,$R$460:$AA$487,9,FALSE),"")</f>
        <v>3</v>
      </c>
      <c r="X279" s="518">
        <f t="shared" ref="X279:X293" si="14">IFERROR(VLOOKUP($J279,$R$460:$AA$487,3,FALSE),"")</f>
        <v>0</v>
      </c>
      <c r="Z279" s="517" t="str">
        <f t="shared" ref="Z279:Z318" si="15">IFERROR(VLOOKUP($J279,$AH$460:$AQ$487,7,FALSE),"")</f>
        <v>Multiple/Other Securities</v>
      </c>
      <c r="AA279" s="517">
        <f t="shared" ref="AA279:AA318" si="16">IFERROR(VLOOKUP($J279,$AH$460:$AQ$487,8,FALSE),"")</f>
        <v>0</v>
      </c>
      <c r="AB279" s="517">
        <f t="shared" ref="AB279:AB318" si="17">IFERROR(VLOOKUP($J279,$AH$460:$AQ$487,9,FALSE),"")</f>
        <v>3</v>
      </c>
      <c r="AC279" s="518">
        <f t="shared" ref="AC279:AC318" si="18">IFERROR(VLOOKUP($J279,$AH$460:$AQ$487,3,FALSE),"")</f>
        <v>0</v>
      </c>
    </row>
    <row r="280" spans="1:29">
      <c r="A280" s="169" t="s">
        <v>639</v>
      </c>
      <c r="B280" s="16"/>
      <c r="C280" s="25" t="s">
        <v>3</v>
      </c>
      <c r="D280" s="16"/>
      <c r="E280" s="25" t="s">
        <v>3</v>
      </c>
      <c r="F280" s="16"/>
      <c r="G280" s="25" t="s">
        <v>3</v>
      </c>
      <c r="H280" s="16"/>
      <c r="I280" s="25" t="s">
        <v>3</v>
      </c>
      <c r="J280" s="2">
        <v>2</v>
      </c>
      <c r="K280" s="517" t="str">
        <f t="shared" si="3"/>
        <v/>
      </c>
      <c r="L280" s="517" t="str">
        <f t="shared" si="4"/>
        <v/>
      </c>
      <c r="M280" s="517" t="str">
        <f t="shared" si="5"/>
        <v/>
      </c>
      <c r="N280" s="517" t="str">
        <f t="shared" si="6"/>
        <v/>
      </c>
      <c r="P280" s="517" t="str">
        <f t="shared" si="7"/>
        <v/>
      </c>
      <c r="Q280" s="517" t="str">
        <f t="shared" si="8"/>
        <v/>
      </c>
      <c r="R280" s="517" t="str">
        <f t="shared" si="9"/>
        <v/>
      </c>
      <c r="S280" s="518" t="str">
        <f t="shared" si="10"/>
        <v/>
      </c>
      <c r="U280" s="517" t="str">
        <f t="shared" si="11"/>
        <v/>
      </c>
      <c r="V280" s="517" t="str">
        <f t="shared" si="12"/>
        <v/>
      </c>
      <c r="W280" s="517" t="str">
        <f t="shared" si="13"/>
        <v/>
      </c>
      <c r="X280" s="518" t="str">
        <f t="shared" si="14"/>
        <v/>
      </c>
      <c r="Z280" s="517" t="str">
        <f t="shared" si="15"/>
        <v/>
      </c>
      <c r="AA280" s="517" t="str">
        <f t="shared" si="16"/>
        <v/>
      </c>
      <c r="AB280" s="517" t="str">
        <f t="shared" si="17"/>
        <v/>
      </c>
      <c r="AC280" s="518" t="str">
        <f t="shared" si="18"/>
        <v/>
      </c>
    </row>
    <row r="281" spans="1:29">
      <c r="A281" s="169" t="s">
        <v>640</v>
      </c>
      <c r="B281" s="16"/>
      <c r="C281" s="25" t="s">
        <v>3</v>
      </c>
      <c r="D281" s="16"/>
      <c r="E281" s="25" t="s">
        <v>3</v>
      </c>
      <c r="F281" s="16"/>
      <c r="G281" s="25" t="s">
        <v>3</v>
      </c>
      <c r="H281" s="16"/>
      <c r="I281" s="25" t="s">
        <v>3</v>
      </c>
      <c r="J281" s="2">
        <v>3</v>
      </c>
      <c r="K281" s="517" t="str">
        <f t="shared" si="3"/>
        <v/>
      </c>
      <c r="L281" s="517" t="str">
        <f t="shared" si="4"/>
        <v/>
      </c>
      <c r="M281" s="517" t="str">
        <f t="shared" si="5"/>
        <v/>
      </c>
      <c r="N281" s="517" t="str">
        <f t="shared" si="6"/>
        <v/>
      </c>
      <c r="P281" s="517" t="str">
        <f t="shared" si="7"/>
        <v/>
      </c>
      <c r="Q281" s="517" t="str">
        <f t="shared" si="8"/>
        <v/>
      </c>
      <c r="R281" s="517" t="str">
        <f t="shared" si="9"/>
        <v/>
      </c>
      <c r="S281" s="518" t="str">
        <f t="shared" si="10"/>
        <v/>
      </c>
      <c r="U281" s="517" t="str">
        <f t="shared" si="11"/>
        <v/>
      </c>
      <c r="V281" s="517" t="str">
        <f t="shared" si="12"/>
        <v/>
      </c>
      <c r="W281" s="517" t="str">
        <f t="shared" si="13"/>
        <v/>
      </c>
      <c r="X281" s="518" t="str">
        <f t="shared" si="14"/>
        <v/>
      </c>
      <c r="Z281" s="517" t="str">
        <f t="shared" si="15"/>
        <v/>
      </c>
      <c r="AA281" s="517" t="str">
        <f t="shared" si="16"/>
        <v/>
      </c>
      <c r="AB281" s="517" t="str">
        <f t="shared" si="17"/>
        <v/>
      </c>
      <c r="AC281" s="518" t="str">
        <f t="shared" si="18"/>
        <v/>
      </c>
    </row>
    <row r="282" spans="1:29">
      <c r="A282" s="169" t="s">
        <v>58</v>
      </c>
      <c r="B282" s="16"/>
      <c r="C282" s="25" t="s">
        <v>3</v>
      </c>
      <c r="D282" s="16"/>
      <c r="E282" s="25" t="s">
        <v>3</v>
      </c>
      <c r="F282" s="16"/>
      <c r="G282" s="25" t="s">
        <v>3</v>
      </c>
      <c r="H282" s="95"/>
      <c r="I282" s="25" t="s">
        <v>3</v>
      </c>
      <c r="J282" s="2">
        <v>4</v>
      </c>
      <c r="K282" s="517" t="str">
        <f t="shared" si="3"/>
        <v/>
      </c>
      <c r="L282" s="517" t="str">
        <f t="shared" si="4"/>
        <v/>
      </c>
      <c r="M282" s="517" t="str">
        <f t="shared" si="5"/>
        <v/>
      </c>
      <c r="N282" s="517" t="str">
        <f t="shared" si="6"/>
        <v/>
      </c>
      <c r="P282" s="517" t="str">
        <f t="shared" si="7"/>
        <v/>
      </c>
      <c r="Q282" s="517" t="str">
        <f t="shared" si="8"/>
        <v/>
      </c>
      <c r="R282" s="517" t="str">
        <f t="shared" si="9"/>
        <v/>
      </c>
      <c r="S282" s="518" t="str">
        <f t="shared" si="10"/>
        <v/>
      </c>
      <c r="U282" s="517" t="str">
        <f t="shared" si="11"/>
        <v/>
      </c>
      <c r="V282" s="517" t="str">
        <f t="shared" si="12"/>
        <v/>
      </c>
      <c r="W282" s="517" t="str">
        <f t="shared" si="13"/>
        <v/>
      </c>
      <c r="X282" s="518" t="str">
        <f t="shared" si="14"/>
        <v/>
      </c>
      <c r="Z282" s="517" t="str">
        <f t="shared" si="15"/>
        <v/>
      </c>
      <c r="AA282" s="517" t="str">
        <f t="shared" si="16"/>
        <v/>
      </c>
      <c r="AB282" s="517" t="str">
        <f t="shared" si="17"/>
        <v/>
      </c>
      <c r="AC282" s="518" t="str">
        <f t="shared" si="18"/>
        <v/>
      </c>
    </row>
    <row r="283" spans="1:29">
      <c r="A283" s="161" t="s">
        <v>612</v>
      </c>
      <c r="B283" s="16"/>
      <c r="C283" s="25" t="s">
        <v>3</v>
      </c>
      <c r="D283" s="16"/>
      <c r="E283" s="25" t="s">
        <v>3</v>
      </c>
      <c r="F283" s="16"/>
      <c r="G283" s="25" t="s">
        <v>3</v>
      </c>
      <c r="H283" s="16"/>
      <c r="I283" s="25" t="s">
        <v>3</v>
      </c>
      <c r="J283" s="2">
        <v>5</v>
      </c>
      <c r="K283" s="517" t="str">
        <f t="shared" si="3"/>
        <v/>
      </c>
      <c r="L283" s="517" t="str">
        <f t="shared" si="4"/>
        <v/>
      </c>
      <c r="M283" s="517" t="str">
        <f t="shared" si="5"/>
        <v/>
      </c>
      <c r="N283" s="517" t="str">
        <f t="shared" si="6"/>
        <v/>
      </c>
      <c r="P283" s="517" t="str">
        <f t="shared" si="7"/>
        <v/>
      </c>
      <c r="Q283" s="517" t="str">
        <f t="shared" si="8"/>
        <v/>
      </c>
      <c r="R283" s="517" t="str">
        <f t="shared" si="9"/>
        <v/>
      </c>
      <c r="S283" s="518" t="str">
        <f t="shared" si="10"/>
        <v/>
      </c>
      <c r="U283" s="517" t="str">
        <f t="shared" si="11"/>
        <v/>
      </c>
      <c r="V283" s="517" t="str">
        <f t="shared" si="12"/>
        <v/>
      </c>
      <c r="W283" s="517" t="str">
        <f t="shared" si="13"/>
        <v/>
      </c>
      <c r="X283" s="518" t="str">
        <f t="shared" si="14"/>
        <v/>
      </c>
      <c r="Z283" s="517" t="str">
        <f t="shared" si="15"/>
        <v/>
      </c>
      <c r="AA283" s="517" t="str">
        <f t="shared" si="16"/>
        <v/>
      </c>
      <c r="AB283" s="517" t="str">
        <f t="shared" si="17"/>
        <v/>
      </c>
      <c r="AC283" s="518" t="str">
        <f t="shared" si="18"/>
        <v/>
      </c>
    </row>
    <row r="284" spans="1:29">
      <c r="A284" s="169" t="s">
        <v>641</v>
      </c>
      <c r="B284" s="16"/>
      <c r="C284" s="25" t="s">
        <v>3</v>
      </c>
      <c r="D284" s="16"/>
      <c r="E284" s="25" t="s">
        <v>3</v>
      </c>
      <c r="F284" s="16"/>
      <c r="G284" s="25" t="s">
        <v>3</v>
      </c>
      <c r="H284" s="16"/>
      <c r="I284" s="25" t="s">
        <v>3</v>
      </c>
      <c r="J284" s="2">
        <v>6</v>
      </c>
      <c r="K284" s="517" t="str">
        <f t="shared" si="3"/>
        <v/>
      </c>
      <c r="L284" s="517" t="str">
        <f t="shared" si="4"/>
        <v/>
      </c>
      <c r="M284" s="517" t="str">
        <f t="shared" si="5"/>
        <v/>
      </c>
      <c r="N284" s="517" t="str">
        <f t="shared" si="6"/>
        <v/>
      </c>
      <c r="P284" s="517" t="str">
        <f t="shared" si="7"/>
        <v/>
      </c>
      <c r="Q284" s="517" t="str">
        <f t="shared" si="8"/>
        <v/>
      </c>
      <c r="R284" s="517" t="str">
        <f t="shared" si="9"/>
        <v/>
      </c>
      <c r="S284" s="518" t="str">
        <f t="shared" si="10"/>
        <v/>
      </c>
      <c r="U284" s="517" t="str">
        <f t="shared" si="11"/>
        <v/>
      </c>
      <c r="V284" s="517" t="str">
        <f t="shared" si="12"/>
        <v/>
      </c>
      <c r="W284" s="517" t="str">
        <f t="shared" si="13"/>
        <v/>
      </c>
      <c r="X284" s="518" t="str">
        <f t="shared" si="14"/>
        <v/>
      </c>
      <c r="Z284" s="517" t="str">
        <f t="shared" si="15"/>
        <v/>
      </c>
      <c r="AA284" s="517" t="str">
        <f t="shared" si="16"/>
        <v/>
      </c>
      <c r="AB284" s="517" t="str">
        <f t="shared" si="17"/>
        <v/>
      </c>
      <c r="AC284" s="518" t="str">
        <f t="shared" si="18"/>
        <v/>
      </c>
    </row>
    <row r="285" spans="1:29">
      <c r="A285" s="169" t="s">
        <v>642</v>
      </c>
      <c r="B285" s="16"/>
      <c r="C285" s="25" t="s">
        <v>3</v>
      </c>
      <c r="D285" s="16"/>
      <c r="E285" s="25" t="s">
        <v>3</v>
      </c>
      <c r="F285" s="16"/>
      <c r="G285" s="25" t="s">
        <v>3</v>
      </c>
      <c r="H285" s="16"/>
      <c r="I285" s="25" t="s">
        <v>3</v>
      </c>
      <c r="J285" s="2">
        <v>7</v>
      </c>
      <c r="K285" s="517" t="str">
        <f t="shared" si="3"/>
        <v/>
      </c>
      <c r="L285" s="517" t="str">
        <f t="shared" si="4"/>
        <v/>
      </c>
      <c r="M285" s="517" t="str">
        <f t="shared" si="5"/>
        <v/>
      </c>
      <c r="N285" s="517" t="str">
        <f t="shared" si="6"/>
        <v/>
      </c>
      <c r="P285" s="517" t="str">
        <f t="shared" si="7"/>
        <v/>
      </c>
      <c r="Q285" s="517" t="str">
        <f t="shared" si="8"/>
        <v/>
      </c>
      <c r="R285" s="517" t="str">
        <f t="shared" si="9"/>
        <v/>
      </c>
      <c r="S285" s="518" t="str">
        <f t="shared" si="10"/>
        <v/>
      </c>
      <c r="U285" s="517" t="str">
        <f t="shared" si="11"/>
        <v/>
      </c>
      <c r="V285" s="517" t="str">
        <f t="shared" si="12"/>
        <v/>
      </c>
      <c r="W285" s="517" t="str">
        <f t="shared" si="13"/>
        <v/>
      </c>
      <c r="X285" s="518" t="str">
        <f t="shared" si="14"/>
        <v/>
      </c>
      <c r="Z285" s="517" t="str">
        <f t="shared" si="15"/>
        <v/>
      </c>
      <c r="AA285" s="517" t="str">
        <f t="shared" si="16"/>
        <v/>
      </c>
      <c r="AB285" s="517" t="str">
        <f t="shared" si="17"/>
        <v/>
      </c>
      <c r="AC285" s="518" t="str">
        <f t="shared" si="18"/>
        <v/>
      </c>
    </row>
    <row r="286" spans="1:29">
      <c r="A286" s="169" t="s">
        <v>643</v>
      </c>
      <c r="B286" s="16"/>
      <c r="C286" s="25" t="s">
        <v>3</v>
      </c>
      <c r="D286" s="16"/>
      <c r="E286" s="25" t="s">
        <v>3</v>
      </c>
      <c r="F286" s="16"/>
      <c r="G286" s="25" t="s">
        <v>3</v>
      </c>
      <c r="H286" s="16"/>
      <c r="I286" s="25" t="s">
        <v>3</v>
      </c>
      <c r="J286" s="2">
        <v>8</v>
      </c>
      <c r="K286" s="517" t="str">
        <f t="shared" si="3"/>
        <v/>
      </c>
      <c r="L286" s="517" t="str">
        <f t="shared" si="4"/>
        <v/>
      </c>
      <c r="M286" s="517" t="str">
        <f t="shared" si="5"/>
        <v/>
      </c>
      <c r="N286" s="517" t="str">
        <f t="shared" si="6"/>
        <v/>
      </c>
      <c r="P286" s="517" t="str">
        <f t="shared" si="7"/>
        <v/>
      </c>
      <c r="Q286" s="517" t="str">
        <f t="shared" si="8"/>
        <v/>
      </c>
      <c r="R286" s="517" t="str">
        <f t="shared" si="9"/>
        <v/>
      </c>
      <c r="S286" s="518" t="str">
        <f t="shared" si="10"/>
        <v/>
      </c>
      <c r="U286" s="517" t="str">
        <f t="shared" si="11"/>
        <v/>
      </c>
      <c r="V286" s="517" t="str">
        <f t="shared" si="12"/>
        <v/>
      </c>
      <c r="W286" s="517" t="str">
        <f t="shared" si="13"/>
        <v/>
      </c>
      <c r="X286" s="518" t="str">
        <f t="shared" si="14"/>
        <v/>
      </c>
      <c r="Z286" s="517" t="str">
        <f t="shared" si="15"/>
        <v/>
      </c>
      <c r="AA286" s="517" t="str">
        <f t="shared" si="16"/>
        <v/>
      </c>
      <c r="AB286" s="517" t="str">
        <f t="shared" si="17"/>
        <v/>
      </c>
      <c r="AC286" s="518" t="str">
        <f t="shared" si="18"/>
        <v/>
      </c>
    </row>
    <row r="287" spans="1:29">
      <c r="A287" s="169" t="s">
        <v>644</v>
      </c>
      <c r="B287" s="16"/>
      <c r="C287" s="25" t="s">
        <v>3</v>
      </c>
      <c r="D287" s="16"/>
      <c r="E287" s="25" t="s">
        <v>3</v>
      </c>
      <c r="F287" s="16"/>
      <c r="G287" s="25" t="s">
        <v>3</v>
      </c>
      <c r="H287" s="16"/>
      <c r="I287" s="25" t="s">
        <v>3</v>
      </c>
      <c r="J287" s="2">
        <v>9</v>
      </c>
      <c r="K287" s="517" t="str">
        <f t="shared" si="3"/>
        <v/>
      </c>
      <c r="L287" s="517" t="str">
        <f t="shared" si="4"/>
        <v/>
      </c>
      <c r="M287" s="517" t="str">
        <f t="shared" si="5"/>
        <v/>
      </c>
      <c r="N287" s="517" t="str">
        <f t="shared" si="6"/>
        <v/>
      </c>
      <c r="P287" s="517" t="str">
        <f t="shared" si="7"/>
        <v/>
      </c>
      <c r="Q287" s="517" t="str">
        <f t="shared" si="8"/>
        <v/>
      </c>
      <c r="R287" s="517" t="str">
        <f t="shared" si="9"/>
        <v/>
      </c>
      <c r="S287" s="518" t="str">
        <f t="shared" si="10"/>
        <v/>
      </c>
      <c r="U287" s="517" t="str">
        <f t="shared" si="11"/>
        <v/>
      </c>
      <c r="V287" s="517" t="str">
        <f t="shared" si="12"/>
        <v/>
      </c>
      <c r="W287" s="517" t="str">
        <f t="shared" si="13"/>
        <v/>
      </c>
      <c r="X287" s="518" t="str">
        <f t="shared" si="14"/>
        <v/>
      </c>
      <c r="Z287" s="517" t="str">
        <f t="shared" si="15"/>
        <v/>
      </c>
      <c r="AA287" s="517" t="str">
        <f t="shared" si="16"/>
        <v/>
      </c>
      <c r="AB287" s="517" t="str">
        <f t="shared" si="17"/>
        <v/>
      </c>
      <c r="AC287" s="518" t="str">
        <f t="shared" si="18"/>
        <v/>
      </c>
    </row>
    <row r="288" spans="1:29">
      <c r="A288" s="169" t="s">
        <v>58</v>
      </c>
      <c r="B288" s="16"/>
      <c r="C288" s="25" t="s">
        <v>3</v>
      </c>
      <c r="D288" s="16"/>
      <c r="E288" s="25" t="s">
        <v>3</v>
      </c>
      <c r="F288" s="16"/>
      <c r="G288" s="25" t="s">
        <v>3</v>
      </c>
      <c r="H288" s="16"/>
      <c r="I288" s="25" t="s">
        <v>3</v>
      </c>
      <c r="J288" s="2">
        <v>10</v>
      </c>
      <c r="K288" s="517" t="str">
        <f t="shared" si="3"/>
        <v/>
      </c>
      <c r="L288" s="517" t="str">
        <f t="shared" si="4"/>
        <v/>
      </c>
      <c r="M288" s="517" t="str">
        <f t="shared" si="5"/>
        <v/>
      </c>
      <c r="N288" s="517" t="str">
        <f t="shared" si="6"/>
        <v/>
      </c>
      <c r="P288" s="517" t="str">
        <f t="shared" si="7"/>
        <v/>
      </c>
      <c r="Q288" s="517" t="str">
        <f t="shared" si="8"/>
        <v/>
      </c>
      <c r="R288" s="517" t="str">
        <f t="shared" si="9"/>
        <v/>
      </c>
      <c r="S288" s="518" t="str">
        <f t="shared" si="10"/>
        <v/>
      </c>
      <c r="U288" s="517" t="str">
        <f t="shared" si="11"/>
        <v/>
      </c>
      <c r="V288" s="517" t="str">
        <f t="shared" si="12"/>
        <v/>
      </c>
      <c r="W288" s="517" t="str">
        <f t="shared" si="13"/>
        <v/>
      </c>
      <c r="X288" s="518" t="str">
        <f t="shared" si="14"/>
        <v/>
      </c>
      <c r="Z288" s="517" t="str">
        <f t="shared" si="15"/>
        <v/>
      </c>
      <c r="AA288" s="517" t="str">
        <f t="shared" si="16"/>
        <v/>
      </c>
      <c r="AB288" s="517" t="str">
        <f t="shared" si="17"/>
        <v/>
      </c>
      <c r="AC288" s="518" t="str">
        <f t="shared" si="18"/>
        <v/>
      </c>
    </row>
    <row r="289" spans="1:29">
      <c r="A289" s="161" t="s">
        <v>9088</v>
      </c>
      <c r="B289" s="16"/>
      <c r="C289" s="25" t="s">
        <v>3</v>
      </c>
      <c r="D289" s="16"/>
      <c r="E289" s="25" t="s">
        <v>3</v>
      </c>
      <c r="F289" s="16"/>
      <c r="G289" s="25" t="s">
        <v>3</v>
      </c>
      <c r="H289" s="16"/>
      <c r="I289" s="25" t="s">
        <v>3</v>
      </c>
      <c r="J289" s="2">
        <v>11</v>
      </c>
      <c r="K289" s="517" t="str">
        <f t="shared" si="3"/>
        <v/>
      </c>
      <c r="L289" s="517" t="str">
        <f t="shared" si="4"/>
        <v/>
      </c>
      <c r="M289" s="517" t="str">
        <f t="shared" si="5"/>
        <v/>
      </c>
      <c r="N289" s="517" t="str">
        <f t="shared" si="6"/>
        <v/>
      </c>
      <c r="P289" s="517" t="str">
        <f t="shared" si="7"/>
        <v/>
      </c>
      <c r="Q289" s="517" t="str">
        <f t="shared" si="8"/>
        <v/>
      </c>
      <c r="R289" s="517" t="str">
        <f t="shared" si="9"/>
        <v/>
      </c>
      <c r="S289" s="518" t="str">
        <f t="shared" si="10"/>
        <v/>
      </c>
      <c r="U289" s="517" t="str">
        <f t="shared" si="11"/>
        <v/>
      </c>
      <c r="V289" s="517" t="str">
        <f t="shared" si="12"/>
        <v/>
      </c>
      <c r="W289" s="517" t="str">
        <f t="shared" si="13"/>
        <v/>
      </c>
      <c r="X289" s="518" t="str">
        <f t="shared" si="14"/>
        <v/>
      </c>
      <c r="Z289" s="517" t="str">
        <f t="shared" si="15"/>
        <v/>
      </c>
      <c r="AA289" s="517" t="str">
        <f t="shared" si="16"/>
        <v/>
      </c>
      <c r="AB289" s="517" t="str">
        <f t="shared" si="17"/>
        <v/>
      </c>
      <c r="AC289" s="518" t="str">
        <f t="shared" si="18"/>
        <v/>
      </c>
    </row>
    <row r="290" spans="1:29">
      <c r="A290" s="169" t="s">
        <v>645</v>
      </c>
      <c r="B290" s="16"/>
      <c r="C290" s="25" t="s">
        <v>3</v>
      </c>
      <c r="D290" s="16"/>
      <c r="E290" s="25" t="s">
        <v>3</v>
      </c>
      <c r="F290" s="16"/>
      <c r="G290" s="25" t="s">
        <v>3</v>
      </c>
      <c r="H290" s="16"/>
      <c r="I290" s="25" t="s">
        <v>3</v>
      </c>
      <c r="J290" s="2">
        <v>12</v>
      </c>
      <c r="K290" s="517" t="str">
        <f t="shared" si="3"/>
        <v/>
      </c>
      <c r="L290" s="517" t="str">
        <f t="shared" si="4"/>
        <v/>
      </c>
      <c r="M290" s="517" t="str">
        <f t="shared" si="5"/>
        <v/>
      </c>
      <c r="N290" s="517" t="str">
        <f t="shared" si="6"/>
        <v/>
      </c>
      <c r="P290" s="517" t="str">
        <f t="shared" si="7"/>
        <v/>
      </c>
      <c r="Q290" s="517" t="str">
        <f t="shared" si="8"/>
        <v/>
      </c>
      <c r="R290" s="517" t="str">
        <f t="shared" si="9"/>
        <v/>
      </c>
      <c r="S290" s="518" t="str">
        <f t="shared" si="10"/>
        <v/>
      </c>
      <c r="U290" s="517" t="str">
        <f t="shared" si="11"/>
        <v/>
      </c>
      <c r="V290" s="517" t="str">
        <f t="shared" si="12"/>
        <v/>
      </c>
      <c r="W290" s="517" t="str">
        <f t="shared" si="13"/>
        <v/>
      </c>
      <c r="X290" s="518" t="str">
        <f t="shared" si="14"/>
        <v/>
      </c>
      <c r="Z290" s="517" t="str">
        <f t="shared" si="15"/>
        <v/>
      </c>
      <c r="AA290" s="517" t="str">
        <f t="shared" si="16"/>
        <v/>
      </c>
      <c r="AB290" s="517" t="str">
        <f t="shared" si="17"/>
        <v/>
      </c>
      <c r="AC290" s="518" t="str">
        <f t="shared" si="18"/>
        <v/>
      </c>
    </row>
    <row r="291" spans="1:29">
      <c r="A291" s="169" t="s">
        <v>646</v>
      </c>
      <c r="B291" s="16"/>
      <c r="C291" s="25" t="s">
        <v>3</v>
      </c>
      <c r="D291" s="16"/>
      <c r="E291" s="25" t="s">
        <v>3</v>
      </c>
      <c r="F291" s="16"/>
      <c r="G291" s="25" t="s">
        <v>3</v>
      </c>
      <c r="H291" s="16"/>
      <c r="I291" s="25" t="s">
        <v>3</v>
      </c>
      <c r="J291" s="2">
        <v>13</v>
      </c>
      <c r="K291" s="517" t="str">
        <f t="shared" si="3"/>
        <v/>
      </c>
      <c r="L291" s="517" t="str">
        <f t="shared" si="4"/>
        <v/>
      </c>
      <c r="M291" s="517" t="str">
        <f t="shared" si="5"/>
        <v/>
      </c>
      <c r="N291" s="517" t="str">
        <f t="shared" si="6"/>
        <v/>
      </c>
      <c r="P291" s="517" t="str">
        <f t="shared" si="7"/>
        <v/>
      </c>
      <c r="Q291" s="517" t="str">
        <f t="shared" si="8"/>
        <v/>
      </c>
      <c r="R291" s="517" t="str">
        <f t="shared" si="9"/>
        <v/>
      </c>
      <c r="S291" s="518" t="str">
        <f t="shared" si="10"/>
        <v/>
      </c>
      <c r="U291" s="517" t="str">
        <f t="shared" si="11"/>
        <v/>
      </c>
      <c r="V291" s="517" t="str">
        <f t="shared" si="12"/>
        <v/>
      </c>
      <c r="W291" s="517" t="str">
        <f t="shared" si="13"/>
        <v/>
      </c>
      <c r="X291" s="518" t="str">
        <f t="shared" si="14"/>
        <v/>
      </c>
      <c r="Z291" s="517" t="str">
        <f t="shared" si="15"/>
        <v/>
      </c>
      <c r="AA291" s="517" t="str">
        <f t="shared" si="16"/>
        <v/>
      </c>
      <c r="AB291" s="517" t="str">
        <f t="shared" si="17"/>
        <v/>
      </c>
      <c r="AC291" s="518" t="str">
        <f t="shared" si="18"/>
        <v/>
      </c>
    </row>
    <row r="292" spans="1:29">
      <c r="A292" s="169" t="s">
        <v>647</v>
      </c>
      <c r="B292" s="16"/>
      <c r="C292" s="25" t="s">
        <v>3</v>
      </c>
      <c r="D292" s="16"/>
      <c r="E292" s="25" t="s">
        <v>3</v>
      </c>
      <c r="F292" s="16"/>
      <c r="G292" s="25" t="s">
        <v>3</v>
      </c>
      <c r="H292" s="16"/>
      <c r="I292" s="25" t="s">
        <v>3</v>
      </c>
      <c r="J292" s="2">
        <v>14</v>
      </c>
      <c r="K292" s="517" t="str">
        <f t="shared" si="3"/>
        <v/>
      </c>
      <c r="L292" s="517" t="str">
        <f t="shared" si="4"/>
        <v/>
      </c>
      <c r="M292" s="517" t="str">
        <f t="shared" si="5"/>
        <v/>
      </c>
      <c r="N292" s="517" t="str">
        <f t="shared" si="6"/>
        <v/>
      </c>
      <c r="P292" s="517" t="str">
        <f t="shared" si="7"/>
        <v/>
      </c>
      <c r="Q292" s="517" t="str">
        <f t="shared" si="8"/>
        <v/>
      </c>
      <c r="R292" s="517" t="str">
        <f t="shared" si="9"/>
        <v/>
      </c>
      <c r="S292" s="518" t="str">
        <f t="shared" si="10"/>
        <v/>
      </c>
      <c r="U292" s="517" t="str">
        <f t="shared" si="11"/>
        <v/>
      </c>
      <c r="V292" s="517" t="str">
        <f t="shared" si="12"/>
        <v/>
      </c>
      <c r="W292" s="517" t="str">
        <f t="shared" si="13"/>
        <v/>
      </c>
      <c r="X292" s="518" t="str">
        <f t="shared" si="14"/>
        <v/>
      </c>
      <c r="Z292" s="517" t="str">
        <f t="shared" si="15"/>
        <v/>
      </c>
      <c r="AA292" s="517" t="str">
        <f t="shared" si="16"/>
        <v/>
      </c>
      <c r="AB292" s="517" t="str">
        <f t="shared" si="17"/>
        <v/>
      </c>
      <c r="AC292" s="518" t="str">
        <f t="shared" si="18"/>
        <v/>
      </c>
    </row>
    <row r="293" spans="1:29">
      <c r="A293" s="169" t="s">
        <v>648</v>
      </c>
      <c r="B293" s="16"/>
      <c r="C293" s="25" t="s">
        <v>3</v>
      </c>
      <c r="D293" s="16"/>
      <c r="E293" s="25" t="s">
        <v>3</v>
      </c>
      <c r="F293" s="16"/>
      <c r="G293" s="25" t="s">
        <v>3</v>
      </c>
      <c r="H293" s="16"/>
      <c r="I293" s="25" t="s">
        <v>3</v>
      </c>
      <c r="J293" s="2">
        <v>15</v>
      </c>
      <c r="K293" s="517" t="str">
        <f t="shared" si="3"/>
        <v/>
      </c>
      <c r="L293" s="517" t="str">
        <f t="shared" si="4"/>
        <v/>
      </c>
      <c r="M293" s="517" t="str">
        <f t="shared" si="5"/>
        <v/>
      </c>
      <c r="N293" s="517" t="str">
        <f t="shared" si="6"/>
        <v/>
      </c>
      <c r="P293" s="517" t="str">
        <f t="shared" si="7"/>
        <v/>
      </c>
      <c r="Q293" s="517" t="str">
        <f t="shared" si="8"/>
        <v/>
      </c>
      <c r="R293" s="517" t="str">
        <f t="shared" si="9"/>
        <v/>
      </c>
      <c r="S293" s="518" t="str">
        <f t="shared" si="10"/>
        <v/>
      </c>
      <c r="U293" s="517" t="str">
        <f t="shared" si="11"/>
        <v/>
      </c>
      <c r="V293" s="517" t="str">
        <f t="shared" si="12"/>
        <v/>
      </c>
      <c r="W293" s="517" t="str">
        <f t="shared" si="13"/>
        <v/>
      </c>
      <c r="X293" s="518" t="str">
        <f t="shared" si="14"/>
        <v/>
      </c>
      <c r="Z293" s="517" t="str">
        <f t="shared" si="15"/>
        <v/>
      </c>
      <c r="AA293" s="517" t="str">
        <f t="shared" si="16"/>
        <v/>
      </c>
      <c r="AB293" s="517" t="str">
        <f t="shared" si="17"/>
        <v/>
      </c>
      <c r="AC293" s="518" t="str">
        <f t="shared" si="18"/>
        <v/>
      </c>
    </row>
    <row r="294" spans="1:29">
      <c r="A294" s="169" t="s">
        <v>703</v>
      </c>
      <c r="B294" s="16"/>
      <c r="C294" s="25" t="s">
        <v>3</v>
      </c>
      <c r="D294" s="16"/>
      <c r="E294" s="25" t="s">
        <v>3</v>
      </c>
      <c r="F294" s="16"/>
      <c r="G294" s="25" t="s">
        <v>3</v>
      </c>
      <c r="H294" s="16"/>
      <c r="I294" s="25" t="s">
        <v>3</v>
      </c>
      <c r="J294" s="2">
        <v>16</v>
      </c>
      <c r="K294" s="517" t="str">
        <f t="shared" ref="K294:K318" si="19">IFERROR(VLOOKUP($J294,$B$460:$K$485,7,FALSE),"")</f>
        <v/>
      </c>
      <c r="L294" s="517" t="str">
        <f t="shared" ref="L294:L318" si="20">IFERROR(VLOOKUP($J294,$B$460:$K$485,8,FALSE),"")</f>
        <v/>
      </c>
      <c r="M294" s="517" t="str">
        <f t="shared" ref="M294:M318" si="21">IFERROR(VLOOKUP($J294,$B$460:$K$485,9,FALSE),"")</f>
        <v/>
      </c>
      <c r="N294" s="517" t="str">
        <f t="shared" ref="N294:N318" si="22">IFERROR(VLOOKUP($J294,$B$460:$K$485,3,FALSE),"")</f>
        <v/>
      </c>
      <c r="P294" s="517" t="str">
        <f t="shared" ref="P294:P318" si="23">IFERROR(VLOOKUP($J294,$AX$460:$BI$487,7,FALSE),"")</f>
        <v/>
      </c>
      <c r="Q294" s="517" t="str">
        <f t="shared" ref="Q294:Q318" si="24">IFERROR(VLOOKUP($J294,$AX$460:$BI$487,8,FALSE),"")</f>
        <v/>
      </c>
      <c r="R294" s="517" t="str">
        <f t="shared" ref="R294:R318" si="25">IFERROR(VLOOKUP($J294,$AX$460:$BI$487,9,FALSE),"")</f>
        <v/>
      </c>
      <c r="S294" s="518" t="str">
        <f t="shared" ref="S294:S318" si="26">IFERROR(VLOOKUP($J294,$AX$460:$BI$487,3,FALSE),"")</f>
        <v/>
      </c>
      <c r="U294" s="517" t="str">
        <f t="shared" ref="U294:U318" si="27">IFERROR(VLOOKUP($J294,$R$460:$AA$487,7,FALSE),"")</f>
        <v/>
      </c>
      <c r="V294" s="517" t="str">
        <f t="shared" ref="V294:V318" si="28">IFERROR(VLOOKUP($J294,$R$460:$AA$487,8,FALSE),"")</f>
        <v/>
      </c>
      <c r="W294" s="517" t="str">
        <f t="shared" ref="W294:W318" si="29">IFERROR(VLOOKUP($J294,$R$460:$AA$487,9,FALSE),"")</f>
        <v/>
      </c>
      <c r="X294" s="518" t="str">
        <f t="shared" ref="X294:X318" si="30">IFERROR(VLOOKUP($J294,$R$460:$AA$487,3,FALSE),"")</f>
        <v/>
      </c>
      <c r="Z294" s="517" t="str">
        <f t="shared" si="15"/>
        <v/>
      </c>
      <c r="AA294" s="517" t="str">
        <f t="shared" si="16"/>
        <v/>
      </c>
      <c r="AB294" s="517" t="str">
        <f t="shared" si="17"/>
        <v/>
      </c>
      <c r="AC294" s="518" t="str">
        <f t="shared" si="18"/>
        <v/>
      </c>
    </row>
    <row r="295" spans="1:29">
      <c r="A295" s="169" t="s">
        <v>704</v>
      </c>
      <c r="B295" s="16"/>
      <c r="C295" s="25" t="s">
        <v>3</v>
      </c>
      <c r="D295" s="16"/>
      <c r="E295" s="25" t="s">
        <v>3</v>
      </c>
      <c r="F295" s="16"/>
      <c r="G295" s="25" t="s">
        <v>3</v>
      </c>
      <c r="H295" s="16"/>
      <c r="I295" s="25" t="s">
        <v>3</v>
      </c>
      <c r="J295" s="2">
        <v>17</v>
      </c>
      <c r="K295" s="517" t="str">
        <f t="shared" si="19"/>
        <v/>
      </c>
      <c r="L295" s="517" t="str">
        <f t="shared" si="20"/>
        <v/>
      </c>
      <c r="M295" s="517" t="str">
        <f t="shared" si="21"/>
        <v/>
      </c>
      <c r="N295" s="517" t="str">
        <f t="shared" si="22"/>
        <v/>
      </c>
      <c r="P295" s="517" t="str">
        <f t="shared" si="23"/>
        <v/>
      </c>
      <c r="Q295" s="517" t="str">
        <f t="shared" si="24"/>
        <v/>
      </c>
      <c r="R295" s="517" t="str">
        <f t="shared" si="25"/>
        <v/>
      </c>
      <c r="S295" s="518" t="str">
        <f t="shared" si="26"/>
        <v/>
      </c>
      <c r="U295" s="517" t="str">
        <f t="shared" si="27"/>
        <v/>
      </c>
      <c r="V295" s="517" t="str">
        <f t="shared" si="28"/>
        <v/>
      </c>
      <c r="W295" s="517" t="str">
        <f t="shared" si="29"/>
        <v/>
      </c>
      <c r="X295" s="518" t="str">
        <f t="shared" si="30"/>
        <v/>
      </c>
      <c r="Z295" s="517" t="str">
        <f t="shared" si="15"/>
        <v/>
      </c>
      <c r="AA295" s="517" t="str">
        <f t="shared" si="16"/>
        <v/>
      </c>
      <c r="AB295" s="517" t="str">
        <f t="shared" si="17"/>
        <v/>
      </c>
      <c r="AC295" s="518" t="str">
        <f t="shared" si="18"/>
        <v/>
      </c>
    </row>
    <row r="296" spans="1:29">
      <c r="A296" s="169" t="s">
        <v>649</v>
      </c>
      <c r="B296" s="16"/>
      <c r="C296" s="25" t="s">
        <v>3</v>
      </c>
      <c r="D296" s="16"/>
      <c r="E296" s="25" t="s">
        <v>3</v>
      </c>
      <c r="F296" s="16"/>
      <c r="G296" s="25" t="s">
        <v>3</v>
      </c>
      <c r="H296" s="16"/>
      <c r="I296" s="25" t="s">
        <v>3</v>
      </c>
      <c r="J296" s="2">
        <v>18</v>
      </c>
      <c r="K296" s="517" t="str">
        <f t="shared" si="19"/>
        <v/>
      </c>
      <c r="L296" s="517" t="str">
        <f t="shared" si="20"/>
        <v/>
      </c>
      <c r="M296" s="517" t="str">
        <f t="shared" si="21"/>
        <v/>
      </c>
      <c r="N296" s="517" t="str">
        <f t="shared" si="22"/>
        <v/>
      </c>
      <c r="P296" s="517" t="str">
        <f t="shared" si="23"/>
        <v/>
      </c>
      <c r="Q296" s="517" t="str">
        <f t="shared" si="24"/>
        <v/>
      </c>
      <c r="R296" s="517" t="str">
        <f t="shared" si="25"/>
        <v/>
      </c>
      <c r="S296" s="518" t="str">
        <f t="shared" si="26"/>
        <v/>
      </c>
      <c r="U296" s="517" t="str">
        <f t="shared" si="27"/>
        <v/>
      </c>
      <c r="V296" s="517" t="str">
        <f t="shared" si="28"/>
        <v/>
      </c>
      <c r="W296" s="517" t="str">
        <f t="shared" si="29"/>
        <v/>
      </c>
      <c r="X296" s="518" t="str">
        <f t="shared" si="30"/>
        <v/>
      </c>
      <c r="Z296" s="517" t="str">
        <f t="shared" si="15"/>
        <v/>
      </c>
      <c r="AA296" s="517" t="str">
        <f t="shared" si="16"/>
        <v/>
      </c>
      <c r="AB296" s="517" t="str">
        <f t="shared" si="17"/>
        <v/>
      </c>
      <c r="AC296" s="518" t="str">
        <f t="shared" si="18"/>
        <v/>
      </c>
    </row>
    <row r="297" spans="1:29">
      <c r="A297" s="169" t="s">
        <v>650</v>
      </c>
      <c r="B297" s="16"/>
      <c r="C297" s="25" t="s">
        <v>3</v>
      </c>
      <c r="D297" s="16"/>
      <c r="E297" s="25" t="s">
        <v>3</v>
      </c>
      <c r="F297" s="16"/>
      <c r="G297" s="25" t="s">
        <v>3</v>
      </c>
      <c r="H297" s="16"/>
      <c r="I297" s="25" t="s">
        <v>3</v>
      </c>
      <c r="J297" s="2">
        <v>19</v>
      </c>
      <c r="K297" s="517" t="str">
        <f t="shared" si="19"/>
        <v/>
      </c>
      <c r="L297" s="517" t="str">
        <f t="shared" si="20"/>
        <v/>
      </c>
      <c r="M297" s="517" t="str">
        <f t="shared" si="21"/>
        <v/>
      </c>
      <c r="N297" s="517" t="str">
        <f t="shared" si="22"/>
        <v/>
      </c>
      <c r="P297" s="517" t="str">
        <f t="shared" si="23"/>
        <v/>
      </c>
      <c r="Q297" s="517" t="str">
        <f t="shared" si="24"/>
        <v/>
      </c>
      <c r="R297" s="517" t="str">
        <f t="shared" si="25"/>
        <v/>
      </c>
      <c r="S297" s="518" t="str">
        <f t="shared" si="26"/>
        <v/>
      </c>
      <c r="U297" s="517" t="str">
        <f t="shared" si="27"/>
        <v/>
      </c>
      <c r="V297" s="517" t="str">
        <f t="shared" si="28"/>
        <v/>
      </c>
      <c r="W297" s="517" t="str">
        <f t="shared" si="29"/>
        <v/>
      </c>
      <c r="X297" s="518" t="str">
        <f t="shared" si="30"/>
        <v/>
      </c>
      <c r="Z297" s="517" t="str">
        <f t="shared" si="15"/>
        <v/>
      </c>
      <c r="AA297" s="517" t="str">
        <f t="shared" si="16"/>
        <v/>
      </c>
      <c r="AB297" s="517" t="str">
        <f t="shared" si="17"/>
        <v/>
      </c>
      <c r="AC297" s="518" t="str">
        <f t="shared" si="18"/>
        <v/>
      </c>
    </row>
    <row r="298" spans="1:29">
      <c r="A298" s="169" t="s">
        <v>651</v>
      </c>
      <c r="B298" s="16"/>
      <c r="C298" s="25" t="s">
        <v>3</v>
      </c>
      <c r="D298" s="16"/>
      <c r="E298" s="25" t="s">
        <v>3</v>
      </c>
      <c r="F298" s="16"/>
      <c r="G298" s="25" t="s">
        <v>3</v>
      </c>
      <c r="H298" s="16"/>
      <c r="I298" s="25" t="s">
        <v>3</v>
      </c>
      <c r="J298" s="2">
        <v>20</v>
      </c>
      <c r="K298" s="517" t="str">
        <f t="shared" si="19"/>
        <v/>
      </c>
      <c r="L298" s="517" t="str">
        <f t="shared" si="20"/>
        <v/>
      </c>
      <c r="M298" s="517" t="str">
        <f t="shared" si="21"/>
        <v/>
      </c>
      <c r="N298" s="517" t="str">
        <f t="shared" si="22"/>
        <v/>
      </c>
      <c r="P298" s="517" t="str">
        <f t="shared" si="23"/>
        <v/>
      </c>
      <c r="Q298" s="517" t="str">
        <f t="shared" si="24"/>
        <v/>
      </c>
      <c r="R298" s="517" t="str">
        <f t="shared" si="25"/>
        <v/>
      </c>
      <c r="S298" s="518" t="str">
        <f t="shared" si="26"/>
        <v/>
      </c>
      <c r="U298" s="517" t="str">
        <f t="shared" si="27"/>
        <v/>
      </c>
      <c r="V298" s="517" t="str">
        <f t="shared" si="28"/>
        <v/>
      </c>
      <c r="W298" s="517" t="str">
        <f t="shared" si="29"/>
        <v/>
      </c>
      <c r="X298" s="518" t="str">
        <f t="shared" si="30"/>
        <v/>
      </c>
      <c r="Z298" s="517" t="str">
        <f t="shared" si="15"/>
        <v/>
      </c>
      <c r="AA298" s="517" t="str">
        <f t="shared" si="16"/>
        <v/>
      </c>
      <c r="AB298" s="517" t="str">
        <f t="shared" si="17"/>
        <v/>
      </c>
      <c r="AC298" s="518" t="str">
        <f t="shared" si="18"/>
        <v/>
      </c>
    </row>
    <row r="299" spans="1:29">
      <c r="A299" s="169" t="s">
        <v>58</v>
      </c>
      <c r="B299" s="16"/>
      <c r="C299" s="25" t="s">
        <v>3</v>
      </c>
      <c r="D299" s="16"/>
      <c r="E299" s="25" t="s">
        <v>3</v>
      </c>
      <c r="F299" s="16"/>
      <c r="G299" s="25" t="s">
        <v>3</v>
      </c>
      <c r="H299" s="16"/>
      <c r="I299" s="25" t="s">
        <v>3</v>
      </c>
      <c r="J299" s="2">
        <v>21</v>
      </c>
      <c r="K299" s="517" t="str">
        <f t="shared" si="19"/>
        <v/>
      </c>
      <c r="L299" s="517" t="str">
        <f t="shared" si="20"/>
        <v/>
      </c>
      <c r="M299" s="517" t="str">
        <f t="shared" si="21"/>
        <v/>
      </c>
      <c r="N299" s="517" t="str">
        <f t="shared" si="22"/>
        <v/>
      </c>
      <c r="P299" s="517" t="str">
        <f t="shared" si="23"/>
        <v/>
      </c>
      <c r="Q299" s="517" t="str">
        <f t="shared" si="24"/>
        <v/>
      </c>
      <c r="R299" s="517" t="str">
        <f t="shared" si="25"/>
        <v/>
      </c>
      <c r="S299" s="518" t="str">
        <f t="shared" si="26"/>
        <v/>
      </c>
      <c r="U299" s="517" t="str">
        <f t="shared" si="27"/>
        <v/>
      </c>
      <c r="V299" s="517" t="str">
        <f t="shared" si="28"/>
        <v/>
      </c>
      <c r="W299" s="517" t="str">
        <f t="shared" si="29"/>
        <v/>
      </c>
      <c r="X299" s="518" t="str">
        <f t="shared" si="30"/>
        <v/>
      </c>
      <c r="Z299" s="517" t="str">
        <f t="shared" si="15"/>
        <v/>
      </c>
      <c r="AA299" s="517" t="str">
        <f t="shared" si="16"/>
        <v/>
      </c>
      <c r="AB299" s="517" t="str">
        <f t="shared" si="17"/>
        <v/>
      </c>
      <c r="AC299" s="518" t="str">
        <f t="shared" si="18"/>
        <v/>
      </c>
    </row>
    <row r="300" spans="1:29">
      <c r="A300" s="161" t="s">
        <v>573</v>
      </c>
      <c r="B300" s="16"/>
      <c r="C300" s="25" t="s">
        <v>3</v>
      </c>
      <c r="D300" s="16"/>
      <c r="E300" s="25" t="s">
        <v>3</v>
      </c>
      <c r="F300" s="16"/>
      <c r="G300" s="25" t="s">
        <v>3</v>
      </c>
      <c r="H300" s="16"/>
      <c r="I300" s="25" t="s">
        <v>3</v>
      </c>
      <c r="J300" s="2">
        <v>22</v>
      </c>
      <c r="K300" s="517" t="str">
        <f t="shared" si="19"/>
        <v/>
      </c>
      <c r="L300" s="517" t="str">
        <f t="shared" si="20"/>
        <v/>
      </c>
      <c r="M300" s="517" t="str">
        <f t="shared" si="21"/>
        <v/>
      </c>
      <c r="N300" s="517" t="str">
        <f t="shared" si="22"/>
        <v/>
      </c>
      <c r="P300" s="517" t="str">
        <f t="shared" si="23"/>
        <v/>
      </c>
      <c r="Q300" s="517" t="str">
        <f t="shared" si="24"/>
        <v/>
      </c>
      <c r="R300" s="517" t="str">
        <f t="shared" si="25"/>
        <v/>
      </c>
      <c r="S300" s="518" t="str">
        <f t="shared" si="26"/>
        <v/>
      </c>
      <c r="U300" s="517" t="str">
        <f t="shared" si="27"/>
        <v/>
      </c>
      <c r="V300" s="517" t="str">
        <f t="shared" si="28"/>
        <v/>
      </c>
      <c r="W300" s="517" t="str">
        <f t="shared" si="29"/>
        <v/>
      </c>
      <c r="X300" s="518" t="str">
        <f t="shared" si="30"/>
        <v/>
      </c>
      <c r="Z300" s="517" t="str">
        <f t="shared" si="15"/>
        <v/>
      </c>
      <c r="AA300" s="517" t="str">
        <f t="shared" si="16"/>
        <v/>
      </c>
      <c r="AB300" s="517" t="str">
        <f t="shared" si="17"/>
        <v/>
      </c>
      <c r="AC300" s="518" t="str">
        <f t="shared" si="18"/>
        <v/>
      </c>
    </row>
    <row r="301" spans="1:29">
      <c r="A301" s="169" t="s">
        <v>652</v>
      </c>
      <c r="B301" s="16"/>
      <c r="C301" s="25" t="s">
        <v>3</v>
      </c>
      <c r="D301" s="16"/>
      <c r="E301" s="25" t="s">
        <v>3</v>
      </c>
      <c r="F301" s="16"/>
      <c r="G301" s="25" t="s">
        <v>3</v>
      </c>
      <c r="H301" s="16"/>
      <c r="I301" s="25" t="s">
        <v>3</v>
      </c>
      <c r="J301" s="2">
        <v>23</v>
      </c>
      <c r="K301" s="517" t="str">
        <f t="shared" si="19"/>
        <v/>
      </c>
      <c r="L301" s="517" t="str">
        <f t="shared" si="20"/>
        <v/>
      </c>
      <c r="M301" s="517" t="str">
        <f t="shared" si="21"/>
        <v/>
      </c>
      <c r="N301" s="517" t="str">
        <f t="shared" si="22"/>
        <v/>
      </c>
      <c r="P301" s="517" t="str">
        <f t="shared" si="23"/>
        <v/>
      </c>
      <c r="Q301" s="517" t="str">
        <f t="shared" si="24"/>
        <v/>
      </c>
      <c r="R301" s="517" t="str">
        <f t="shared" si="25"/>
        <v/>
      </c>
      <c r="S301" s="518" t="str">
        <f t="shared" si="26"/>
        <v/>
      </c>
      <c r="U301" s="517" t="str">
        <f t="shared" si="27"/>
        <v/>
      </c>
      <c r="V301" s="517" t="str">
        <f t="shared" si="28"/>
        <v/>
      </c>
      <c r="W301" s="517" t="str">
        <f t="shared" si="29"/>
        <v/>
      </c>
      <c r="X301" s="518" t="str">
        <f t="shared" si="30"/>
        <v/>
      </c>
      <c r="Z301" s="517" t="str">
        <f t="shared" si="15"/>
        <v/>
      </c>
      <c r="AA301" s="517" t="str">
        <f t="shared" si="16"/>
        <v/>
      </c>
      <c r="AB301" s="517" t="str">
        <f t="shared" si="17"/>
        <v/>
      </c>
      <c r="AC301" s="518" t="str">
        <f t="shared" si="18"/>
        <v/>
      </c>
    </row>
    <row r="302" spans="1:29">
      <c r="A302" s="169" t="s">
        <v>653</v>
      </c>
      <c r="B302" s="16"/>
      <c r="C302" s="25" t="s">
        <v>3</v>
      </c>
      <c r="D302" s="16"/>
      <c r="E302" s="25" t="s">
        <v>3</v>
      </c>
      <c r="F302" s="16"/>
      <c r="G302" s="25" t="s">
        <v>3</v>
      </c>
      <c r="H302" s="16"/>
      <c r="I302" s="25" t="s">
        <v>3</v>
      </c>
      <c r="J302" s="2">
        <v>24</v>
      </c>
      <c r="K302" s="517" t="str">
        <f t="shared" si="19"/>
        <v/>
      </c>
      <c r="L302" s="517" t="str">
        <f t="shared" si="20"/>
        <v/>
      </c>
      <c r="M302" s="517" t="str">
        <f t="shared" si="21"/>
        <v/>
      </c>
      <c r="N302" s="517" t="str">
        <f t="shared" si="22"/>
        <v/>
      </c>
      <c r="P302" s="517" t="str">
        <f t="shared" si="23"/>
        <v/>
      </c>
      <c r="Q302" s="517" t="str">
        <f t="shared" si="24"/>
        <v/>
      </c>
      <c r="R302" s="517" t="str">
        <f t="shared" si="25"/>
        <v/>
      </c>
      <c r="S302" s="518" t="str">
        <f t="shared" si="26"/>
        <v/>
      </c>
      <c r="U302" s="517" t="str">
        <f t="shared" si="27"/>
        <v/>
      </c>
      <c r="V302" s="517" t="str">
        <f t="shared" si="28"/>
        <v/>
      </c>
      <c r="W302" s="517" t="str">
        <f t="shared" si="29"/>
        <v/>
      </c>
      <c r="X302" s="518" t="str">
        <f t="shared" si="30"/>
        <v/>
      </c>
      <c r="Z302" s="517" t="str">
        <f t="shared" si="15"/>
        <v/>
      </c>
      <c r="AA302" s="517" t="str">
        <f t="shared" si="16"/>
        <v/>
      </c>
      <c r="AB302" s="517" t="str">
        <f t="shared" si="17"/>
        <v/>
      </c>
      <c r="AC302" s="518" t="str">
        <f t="shared" si="18"/>
        <v/>
      </c>
    </row>
    <row r="303" spans="1:29">
      <c r="A303" s="169" t="s">
        <v>654</v>
      </c>
      <c r="B303" s="16"/>
      <c r="C303" s="25" t="s">
        <v>3</v>
      </c>
      <c r="D303" s="16"/>
      <c r="E303" s="25" t="s">
        <v>3</v>
      </c>
      <c r="F303" s="16"/>
      <c r="G303" s="25" t="s">
        <v>3</v>
      </c>
      <c r="H303" s="16"/>
      <c r="I303" s="25" t="s">
        <v>3</v>
      </c>
      <c r="J303" s="2">
        <v>25</v>
      </c>
      <c r="K303" s="517" t="str">
        <f t="shared" si="19"/>
        <v/>
      </c>
      <c r="L303" s="517" t="str">
        <f t="shared" si="20"/>
        <v/>
      </c>
      <c r="M303" s="517" t="str">
        <f t="shared" si="21"/>
        <v/>
      </c>
      <c r="N303" s="517" t="str">
        <f t="shared" si="22"/>
        <v/>
      </c>
      <c r="P303" s="517" t="str">
        <f t="shared" si="23"/>
        <v/>
      </c>
      <c r="Q303" s="517" t="str">
        <f t="shared" si="24"/>
        <v/>
      </c>
      <c r="R303" s="517" t="str">
        <f t="shared" si="25"/>
        <v/>
      </c>
      <c r="S303" s="518" t="str">
        <f t="shared" si="26"/>
        <v/>
      </c>
      <c r="U303" s="517" t="str">
        <f t="shared" si="27"/>
        <v/>
      </c>
      <c r="V303" s="517" t="str">
        <f t="shared" si="28"/>
        <v/>
      </c>
      <c r="W303" s="517" t="str">
        <f t="shared" si="29"/>
        <v/>
      </c>
      <c r="X303" s="518" t="str">
        <f t="shared" si="30"/>
        <v/>
      </c>
      <c r="Z303" s="517" t="str">
        <f t="shared" si="15"/>
        <v/>
      </c>
      <c r="AA303" s="517" t="str">
        <f t="shared" si="16"/>
        <v/>
      </c>
      <c r="AB303" s="517" t="str">
        <f t="shared" si="17"/>
        <v/>
      </c>
      <c r="AC303" s="518" t="str">
        <f t="shared" si="18"/>
        <v/>
      </c>
    </row>
    <row r="304" spans="1:29">
      <c r="A304" s="169" t="s">
        <v>655</v>
      </c>
      <c r="B304" s="16"/>
      <c r="C304" s="25" t="s">
        <v>3</v>
      </c>
      <c r="D304" s="16"/>
      <c r="E304" s="25" t="s">
        <v>3</v>
      </c>
      <c r="F304" s="16"/>
      <c r="G304" s="25" t="s">
        <v>3</v>
      </c>
      <c r="H304" s="16"/>
      <c r="I304" s="25" t="s">
        <v>3</v>
      </c>
      <c r="J304" s="2">
        <v>26</v>
      </c>
      <c r="K304" s="517" t="str">
        <f t="shared" si="19"/>
        <v/>
      </c>
      <c r="L304" s="517" t="str">
        <f t="shared" si="20"/>
        <v/>
      </c>
      <c r="M304" s="517" t="str">
        <f t="shared" si="21"/>
        <v/>
      </c>
      <c r="N304" s="517" t="str">
        <f t="shared" si="22"/>
        <v/>
      </c>
      <c r="P304" s="517" t="str">
        <f t="shared" si="23"/>
        <v/>
      </c>
      <c r="Q304" s="517" t="str">
        <f t="shared" si="24"/>
        <v/>
      </c>
      <c r="R304" s="517" t="str">
        <f t="shared" si="25"/>
        <v/>
      </c>
      <c r="S304" s="518" t="str">
        <f t="shared" si="26"/>
        <v/>
      </c>
      <c r="U304" s="517" t="str">
        <f t="shared" si="27"/>
        <v/>
      </c>
      <c r="V304" s="517" t="str">
        <f t="shared" si="28"/>
        <v/>
      </c>
      <c r="W304" s="517" t="str">
        <f t="shared" si="29"/>
        <v/>
      </c>
      <c r="X304" s="518" t="str">
        <f t="shared" si="30"/>
        <v/>
      </c>
      <c r="Z304" s="517" t="str">
        <f t="shared" si="15"/>
        <v/>
      </c>
      <c r="AA304" s="517" t="str">
        <f t="shared" si="16"/>
        <v/>
      </c>
      <c r="AB304" s="517" t="str">
        <f t="shared" si="17"/>
        <v/>
      </c>
      <c r="AC304" s="518" t="str">
        <f t="shared" si="18"/>
        <v/>
      </c>
    </row>
    <row r="305" spans="1:34">
      <c r="A305" s="169" t="s">
        <v>656</v>
      </c>
      <c r="B305" s="16"/>
      <c r="C305" s="25" t="s">
        <v>3</v>
      </c>
      <c r="D305" s="16"/>
      <c r="E305" s="25" t="s">
        <v>3</v>
      </c>
      <c r="F305" s="16"/>
      <c r="G305" s="25" t="s">
        <v>3</v>
      </c>
      <c r="H305" s="16"/>
      <c r="I305" s="25" t="s">
        <v>3</v>
      </c>
      <c r="J305" s="2">
        <v>27</v>
      </c>
      <c r="K305" s="517" t="str">
        <f t="shared" si="19"/>
        <v/>
      </c>
      <c r="L305" s="517" t="str">
        <f t="shared" si="20"/>
        <v/>
      </c>
      <c r="M305" s="517" t="str">
        <f t="shared" si="21"/>
        <v/>
      </c>
      <c r="N305" s="517" t="str">
        <f t="shared" si="22"/>
        <v/>
      </c>
      <c r="P305" s="517" t="str">
        <f t="shared" si="23"/>
        <v/>
      </c>
      <c r="Q305" s="517" t="str">
        <f t="shared" si="24"/>
        <v/>
      </c>
      <c r="R305" s="517" t="str">
        <f t="shared" si="25"/>
        <v/>
      </c>
      <c r="S305" s="518" t="str">
        <f t="shared" si="26"/>
        <v/>
      </c>
      <c r="U305" s="517" t="str">
        <f t="shared" si="27"/>
        <v/>
      </c>
      <c r="V305" s="517" t="str">
        <f t="shared" si="28"/>
        <v/>
      </c>
      <c r="W305" s="517" t="str">
        <f t="shared" si="29"/>
        <v/>
      </c>
      <c r="X305" s="518" t="str">
        <f t="shared" si="30"/>
        <v/>
      </c>
      <c r="Z305" s="517" t="str">
        <f t="shared" si="15"/>
        <v/>
      </c>
      <c r="AA305" s="517" t="str">
        <f t="shared" si="16"/>
        <v/>
      </c>
      <c r="AB305" s="517" t="str">
        <f t="shared" si="17"/>
        <v/>
      </c>
      <c r="AC305" s="518" t="str">
        <f t="shared" si="18"/>
        <v/>
      </c>
    </row>
    <row r="306" spans="1:34">
      <c r="A306" s="169" t="s">
        <v>657</v>
      </c>
      <c r="B306" s="16"/>
      <c r="C306" s="25" t="s">
        <v>3</v>
      </c>
      <c r="D306" s="16"/>
      <c r="E306" s="25" t="s">
        <v>3</v>
      </c>
      <c r="F306" s="16"/>
      <c r="G306" s="25" t="s">
        <v>3</v>
      </c>
      <c r="H306" s="16"/>
      <c r="I306" s="25" t="s">
        <v>3</v>
      </c>
      <c r="J306" s="2">
        <v>28</v>
      </c>
      <c r="K306" s="517" t="str">
        <f t="shared" si="19"/>
        <v/>
      </c>
      <c r="L306" s="517" t="str">
        <f t="shared" si="20"/>
        <v/>
      </c>
      <c r="M306" s="517" t="str">
        <f t="shared" si="21"/>
        <v/>
      </c>
      <c r="N306" s="517" t="str">
        <f t="shared" si="22"/>
        <v/>
      </c>
      <c r="P306" s="517" t="str">
        <f t="shared" si="23"/>
        <v/>
      </c>
      <c r="Q306" s="517" t="str">
        <f t="shared" si="24"/>
        <v/>
      </c>
      <c r="R306" s="517" t="str">
        <f t="shared" si="25"/>
        <v/>
      </c>
      <c r="S306" s="518" t="str">
        <f t="shared" si="26"/>
        <v/>
      </c>
      <c r="U306" s="517" t="str">
        <f t="shared" si="27"/>
        <v/>
      </c>
      <c r="V306" s="517" t="str">
        <f t="shared" si="28"/>
        <v/>
      </c>
      <c r="W306" s="517" t="str">
        <f t="shared" si="29"/>
        <v/>
      </c>
      <c r="X306" s="518" t="str">
        <f t="shared" si="30"/>
        <v/>
      </c>
      <c r="Z306" s="517" t="str">
        <f t="shared" si="15"/>
        <v/>
      </c>
      <c r="AA306" s="517" t="str">
        <f t="shared" si="16"/>
        <v/>
      </c>
      <c r="AB306" s="517" t="str">
        <f t="shared" si="17"/>
        <v/>
      </c>
      <c r="AC306" s="518" t="str">
        <f t="shared" si="18"/>
        <v/>
      </c>
    </row>
    <row r="307" spans="1:34">
      <c r="A307" s="169" t="s">
        <v>658</v>
      </c>
      <c r="B307" s="16"/>
      <c r="C307" s="25" t="s">
        <v>3</v>
      </c>
      <c r="D307" s="16"/>
      <c r="E307" s="25" t="s">
        <v>3</v>
      </c>
      <c r="F307" s="16"/>
      <c r="G307" s="25" t="s">
        <v>3</v>
      </c>
      <c r="H307" s="16"/>
      <c r="I307" s="25" t="s">
        <v>3</v>
      </c>
      <c r="J307" s="2">
        <v>29</v>
      </c>
      <c r="K307" s="517" t="str">
        <f t="shared" si="19"/>
        <v/>
      </c>
      <c r="L307" s="517" t="str">
        <f t="shared" si="20"/>
        <v/>
      </c>
      <c r="M307" s="517" t="str">
        <f t="shared" si="21"/>
        <v/>
      </c>
      <c r="N307" s="517" t="str">
        <f t="shared" si="22"/>
        <v/>
      </c>
      <c r="P307" s="517" t="str">
        <f t="shared" si="23"/>
        <v/>
      </c>
      <c r="Q307" s="517" t="str">
        <f t="shared" si="24"/>
        <v/>
      </c>
      <c r="R307" s="517" t="str">
        <f t="shared" si="25"/>
        <v/>
      </c>
      <c r="S307" s="518" t="str">
        <f t="shared" si="26"/>
        <v/>
      </c>
      <c r="U307" s="517" t="str">
        <f t="shared" si="27"/>
        <v/>
      </c>
      <c r="V307" s="517" t="str">
        <f t="shared" si="28"/>
        <v/>
      </c>
      <c r="W307" s="517" t="str">
        <f t="shared" si="29"/>
        <v/>
      </c>
      <c r="X307" s="518" t="str">
        <f t="shared" si="30"/>
        <v/>
      </c>
      <c r="Z307" s="517" t="str">
        <f t="shared" si="15"/>
        <v/>
      </c>
      <c r="AA307" s="517" t="str">
        <f t="shared" si="16"/>
        <v/>
      </c>
      <c r="AB307" s="517" t="str">
        <f t="shared" si="17"/>
        <v/>
      </c>
      <c r="AC307" s="518" t="str">
        <f t="shared" si="18"/>
        <v/>
      </c>
    </row>
    <row r="308" spans="1:34">
      <c r="A308" s="169" t="s">
        <v>659</v>
      </c>
      <c r="B308" s="16"/>
      <c r="C308" s="25" t="s">
        <v>3</v>
      </c>
      <c r="D308" s="16"/>
      <c r="E308" s="25" t="s">
        <v>3</v>
      </c>
      <c r="F308" s="16"/>
      <c r="G308" s="25" t="s">
        <v>3</v>
      </c>
      <c r="H308" s="16"/>
      <c r="I308" s="25" t="s">
        <v>3</v>
      </c>
      <c r="J308" s="2">
        <v>30</v>
      </c>
      <c r="K308" s="517" t="str">
        <f t="shared" si="19"/>
        <v/>
      </c>
      <c r="L308" s="517" t="str">
        <f t="shared" si="20"/>
        <v/>
      </c>
      <c r="M308" s="517" t="str">
        <f t="shared" si="21"/>
        <v/>
      </c>
      <c r="N308" s="517" t="str">
        <f t="shared" si="22"/>
        <v/>
      </c>
      <c r="P308" s="517" t="str">
        <f t="shared" si="23"/>
        <v/>
      </c>
      <c r="Q308" s="517" t="str">
        <f t="shared" si="24"/>
        <v/>
      </c>
      <c r="R308" s="517" t="str">
        <f t="shared" si="25"/>
        <v/>
      </c>
      <c r="S308" s="518" t="str">
        <f t="shared" si="26"/>
        <v/>
      </c>
      <c r="U308" s="517" t="str">
        <f t="shared" si="27"/>
        <v/>
      </c>
      <c r="V308" s="517" t="str">
        <f t="shared" si="28"/>
        <v/>
      </c>
      <c r="W308" s="517" t="str">
        <f t="shared" si="29"/>
        <v/>
      </c>
      <c r="X308" s="518" t="str">
        <f t="shared" si="30"/>
        <v/>
      </c>
      <c r="Z308" s="517" t="str">
        <f t="shared" si="15"/>
        <v/>
      </c>
      <c r="AA308" s="517" t="str">
        <f t="shared" si="16"/>
        <v/>
      </c>
      <c r="AB308" s="517" t="str">
        <f t="shared" si="17"/>
        <v/>
      </c>
      <c r="AC308" s="518" t="str">
        <f t="shared" si="18"/>
        <v/>
      </c>
    </row>
    <row r="309" spans="1:34">
      <c r="A309" s="169" t="s">
        <v>660</v>
      </c>
      <c r="B309" s="16"/>
      <c r="C309" s="25" t="s">
        <v>3</v>
      </c>
      <c r="D309" s="16"/>
      <c r="E309" s="25" t="s">
        <v>3</v>
      </c>
      <c r="F309" s="16"/>
      <c r="G309" s="25" t="s">
        <v>3</v>
      </c>
      <c r="H309" s="16"/>
      <c r="I309" s="25" t="s">
        <v>3</v>
      </c>
      <c r="J309" s="2">
        <v>31</v>
      </c>
      <c r="K309" s="517" t="str">
        <f t="shared" si="19"/>
        <v/>
      </c>
      <c r="L309" s="517" t="str">
        <f t="shared" si="20"/>
        <v/>
      </c>
      <c r="M309" s="517" t="str">
        <f t="shared" si="21"/>
        <v/>
      </c>
      <c r="N309" s="517" t="str">
        <f t="shared" si="22"/>
        <v/>
      </c>
      <c r="P309" s="517" t="str">
        <f t="shared" si="23"/>
        <v/>
      </c>
      <c r="Q309" s="517" t="str">
        <f t="shared" si="24"/>
        <v/>
      </c>
      <c r="R309" s="517" t="str">
        <f t="shared" si="25"/>
        <v/>
      </c>
      <c r="S309" s="518" t="str">
        <f t="shared" si="26"/>
        <v/>
      </c>
      <c r="U309" s="517" t="str">
        <f t="shared" si="27"/>
        <v/>
      </c>
      <c r="V309" s="517" t="str">
        <f t="shared" si="28"/>
        <v/>
      </c>
      <c r="W309" s="517" t="str">
        <f t="shared" si="29"/>
        <v/>
      </c>
      <c r="X309" s="518" t="str">
        <f t="shared" si="30"/>
        <v/>
      </c>
      <c r="Z309" s="517" t="str">
        <f t="shared" si="15"/>
        <v/>
      </c>
      <c r="AA309" s="517" t="str">
        <f t="shared" si="16"/>
        <v/>
      </c>
      <c r="AB309" s="517" t="str">
        <f t="shared" si="17"/>
        <v/>
      </c>
      <c r="AC309" s="518" t="str">
        <f t="shared" si="18"/>
        <v/>
      </c>
    </row>
    <row r="310" spans="1:34">
      <c r="A310" s="169" t="s">
        <v>661</v>
      </c>
      <c r="B310" s="16"/>
      <c r="C310" s="25" t="s">
        <v>3</v>
      </c>
      <c r="D310" s="16"/>
      <c r="E310" s="25" t="s">
        <v>3</v>
      </c>
      <c r="F310" s="16"/>
      <c r="G310" s="25" t="s">
        <v>3</v>
      </c>
      <c r="H310" s="16"/>
      <c r="I310" s="25" t="s">
        <v>3</v>
      </c>
      <c r="J310" s="2">
        <v>32</v>
      </c>
      <c r="K310" s="517" t="str">
        <f t="shared" si="19"/>
        <v/>
      </c>
      <c r="L310" s="517" t="str">
        <f t="shared" si="20"/>
        <v/>
      </c>
      <c r="M310" s="517" t="str">
        <f t="shared" si="21"/>
        <v/>
      </c>
      <c r="N310" s="517" t="str">
        <f t="shared" si="22"/>
        <v/>
      </c>
      <c r="P310" s="517" t="str">
        <f t="shared" si="23"/>
        <v/>
      </c>
      <c r="Q310" s="517" t="str">
        <f t="shared" si="24"/>
        <v/>
      </c>
      <c r="R310" s="517" t="str">
        <f t="shared" si="25"/>
        <v/>
      </c>
      <c r="S310" s="518" t="str">
        <f t="shared" si="26"/>
        <v/>
      </c>
      <c r="U310" s="517" t="str">
        <f t="shared" si="27"/>
        <v/>
      </c>
      <c r="V310" s="517" t="str">
        <f t="shared" si="28"/>
        <v/>
      </c>
      <c r="W310" s="517" t="str">
        <f t="shared" si="29"/>
        <v/>
      </c>
      <c r="X310" s="518" t="str">
        <f t="shared" si="30"/>
        <v/>
      </c>
      <c r="Z310" s="517" t="str">
        <f t="shared" si="15"/>
        <v/>
      </c>
      <c r="AA310" s="517" t="str">
        <f t="shared" si="16"/>
        <v/>
      </c>
      <c r="AB310" s="517" t="str">
        <f t="shared" si="17"/>
        <v/>
      </c>
      <c r="AC310" s="518" t="str">
        <f t="shared" si="18"/>
        <v/>
      </c>
    </row>
    <row r="311" spans="1:34">
      <c r="A311" s="169" t="s">
        <v>662</v>
      </c>
      <c r="B311" s="16"/>
      <c r="C311" s="25" t="s">
        <v>3</v>
      </c>
      <c r="D311" s="16"/>
      <c r="E311" s="25" t="s">
        <v>3</v>
      </c>
      <c r="F311" s="16"/>
      <c r="G311" s="25" t="s">
        <v>3</v>
      </c>
      <c r="H311" s="16"/>
      <c r="I311" s="25" t="s">
        <v>3</v>
      </c>
      <c r="J311" s="2">
        <v>33</v>
      </c>
      <c r="K311" s="517" t="str">
        <f t="shared" si="19"/>
        <v/>
      </c>
      <c r="L311" s="517" t="str">
        <f t="shared" si="20"/>
        <v/>
      </c>
      <c r="M311" s="517" t="str">
        <f t="shared" si="21"/>
        <v/>
      </c>
      <c r="N311" s="517" t="str">
        <f t="shared" si="22"/>
        <v/>
      </c>
      <c r="P311" s="517" t="str">
        <f t="shared" si="23"/>
        <v/>
      </c>
      <c r="Q311" s="517" t="str">
        <f t="shared" si="24"/>
        <v/>
      </c>
      <c r="R311" s="517" t="str">
        <f t="shared" si="25"/>
        <v/>
      </c>
      <c r="S311" s="518" t="str">
        <f t="shared" si="26"/>
        <v/>
      </c>
      <c r="U311" s="517" t="str">
        <f t="shared" si="27"/>
        <v/>
      </c>
      <c r="V311" s="517" t="str">
        <f t="shared" si="28"/>
        <v/>
      </c>
      <c r="W311" s="517" t="str">
        <f t="shared" si="29"/>
        <v/>
      </c>
      <c r="X311" s="518" t="str">
        <f t="shared" si="30"/>
        <v/>
      </c>
      <c r="Z311" s="517" t="str">
        <f t="shared" si="15"/>
        <v/>
      </c>
      <c r="AA311" s="517" t="str">
        <f t="shared" si="16"/>
        <v/>
      </c>
      <c r="AB311" s="517" t="str">
        <f t="shared" si="17"/>
        <v/>
      </c>
      <c r="AC311" s="518" t="str">
        <f t="shared" si="18"/>
        <v/>
      </c>
    </row>
    <row r="312" spans="1:34">
      <c r="A312" s="169" t="s">
        <v>663</v>
      </c>
      <c r="B312" s="16"/>
      <c r="C312" s="25" t="s">
        <v>3</v>
      </c>
      <c r="D312" s="16"/>
      <c r="E312" s="25" t="s">
        <v>3</v>
      </c>
      <c r="F312" s="16"/>
      <c r="G312" s="25" t="s">
        <v>3</v>
      </c>
      <c r="H312" s="16"/>
      <c r="I312" s="25" t="s">
        <v>3</v>
      </c>
      <c r="J312" s="2">
        <v>34</v>
      </c>
      <c r="K312" s="517" t="str">
        <f t="shared" si="19"/>
        <v/>
      </c>
      <c r="L312" s="517" t="str">
        <f t="shared" si="20"/>
        <v/>
      </c>
      <c r="M312" s="517" t="str">
        <f t="shared" si="21"/>
        <v/>
      </c>
      <c r="N312" s="517" t="str">
        <f t="shared" si="22"/>
        <v/>
      </c>
      <c r="P312" s="517" t="str">
        <f t="shared" si="23"/>
        <v/>
      </c>
      <c r="Q312" s="517" t="str">
        <f t="shared" si="24"/>
        <v/>
      </c>
      <c r="R312" s="517" t="str">
        <f t="shared" si="25"/>
        <v/>
      </c>
      <c r="S312" s="518" t="str">
        <f t="shared" si="26"/>
        <v/>
      </c>
      <c r="U312" s="517" t="str">
        <f t="shared" si="27"/>
        <v/>
      </c>
      <c r="V312" s="517" t="str">
        <f t="shared" si="28"/>
        <v/>
      </c>
      <c r="W312" s="517" t="str">
        <f t="shared" si="29"/>
        <v/>
      </c>
      <c r="X312" s="518" t="str">
        <f t="shared" si="30"/>
        <v/>
      </c>
      <c r="Z312" s="517" t="str">
        <f t="shared" si="15"/>
        <v/>
      </c>
      <c r="AA312" s="517" t="str">
        <f t="shared" si="16"/>
        <v/>
      </c>
      <c r="AB312" s="517" t="str">
        <f t="shared" si="17"/>
        <v/>
      </c>
      <c r="AC312" s="518" t="str">
        <f t="shared" si="18"/>
        <v/>
      </c>
    </row>
    <row r="313" spans="1:34">
      <c r="A313" s="169" t="s">
        <v>664</v>
      </c>
      <c r="B313" s="16"/>
      <c r="C313" s="25" t="s">
        <v>3</v>
      </c>
      <c r="D313" s="16"/>
      <c r="E313" s="25" t="s">
        <v>3</v>
      </c>
      <c r="F313" s="16"/>
      <c r="G313" s="25" t="s">
        <v>3</v>
      </c>
      <c r="H313" s="16"/>
      <c r="I313" s="25" t="s">
        <v>3</v>
      </c>
      <c r="J313" s="2">
        <v>35</v>
      </c>
      <c r="K313" s="517" t="str">
        <f t="shared" si="19"/>
        <v/>
      </c>
      <c r="L313" s="517" t="str">
        <f t="shared" si="20"/>
        <v/>
      </c>
      <c r="M313" s="517" t="str">
        <f t="shared" si="21"/>
        <v/>
      </c>
      <c r="N313" s="517" t="str">
        <f t="shared" si="22"/>
        <v/>
      </c>
      <c r="P313" s="517" t="str">
        <f t="shared" si="23"/>
        <v/>
      </c>
      <c r="Q313" s="517" t="str">
        <f t="shared" si="24"/>
        <v/>
      </c>
      <c r="R313" s="517" t="str">
        <f t="shared" si="25"/>
        <v/>
      </c>
      <c r="S313" s="518" t="str">
        <f t="shared" si="26"/>
        <v/>
      </c>
      <c r="U313" s="517" t="str">
        <f t="shared" si="27"/>
        <v/>
      </c>
      <c r="V313" s="517" t="str">
        <f t="shared" si="28"/>
        <v/>
      </c>
      <c r="W313" s="517" t="str">
        <f t="shared" si="29"/>
        <v/>
      </c>
      <c r="X313" s="518" t="str">
        <f t="shared" si="30"/>
        <v/>
      </c>
      <c r="Z313" s="517" t="str">
        <f t="shared" si="15"/>
        <v/>
      </c>
      <c r="AA313" s="517" t="str">
        <f t="shared" si="16"/>
        <v/>
      </c>
      <c r="AB313" s="517" t="str">
        <f t="shared" si="17"/>
        <v/>
      </c>
      <c r="AC313" s="518" t="str">
        <f t="shared" si="18"/>
        <v/>
      </c>
    </row>
    <row r="314" spans="1:34" ht="16" thickBot="1">
      <c r="A314" s="169" t="s">
        <v>58</v>
      </c>
      <c r="B314" s="16"/>
      <c r="C314" s="25" t="s">
        <v>3</v>
      </c>
      <c r="D314" s="16"/>
      <c r="E314" s="25" t="s">
        <v>3</v>
      </c>
      <c r="F314" s="16"/>
      <c r="G314" s="25" t="s">
        <v>3</v>
      </c>
      <c r="H314" s="16"/>
      <c r="I314" s="25" t="s">
        <v>3</v>
      </c>
      <c r="J314" s="2">
        <v>36</v>
      </c>
      <c r="K314" s="517" t="str">
        <f t="shared" si="19"/>
        <v/>
      </c>
      <c r="L314" s="517" t="str">
        <f t="shared" si="20"/>
        <v/>
      </c>
      <c r="M314" s="517" t="str">
        <f t="shared" si="21"/>
        <v/>
      </c>
      <c r="N314" s="517" t="str">
        <f t="shared" si="22"/>
        <v/>
      </c>
      <c r="P314" s="517" t="str">
        <f t="shared" si="23"/>
        <v/>
      </c>
      <c r="Q314" s="517" t="str">
        <f t="shared" si="24"/>
        <v/>
      </c>
      <c r="R314" s="517" t="str">
        <f t="shared" si="25"/>
        <v/>
      </c>
      <c r="S314" s="518" t="str">
        <f t="shared" si="26"/>
        <v/>
      </c>
      <c r="U314" s="517" t="str">
        <f t="shared" si="27"/>
        <v/>
      </c>
      <c r="V314" s="517" t="str">
        <f t="shared" si="28"/>
        <v/>
      </c>
      <c r="W314" s="517" t="str">
        <f t="shared" si="29"/>
        <v/>
      </c>
      <c r="X314" s="518" t="str">
        <f t="shared" si="30"/>
        <v/>
      </c>
      <c r="Z314" s="517" t="str">
        <f t="shared" si="15"/>
        <v/>
      </c>
      <c r="AA314" s="517" t="str">
        <f t="shared" si="16"/>
        <v/>
      </c>
      <c r="AB314" s="517" t="str">
        <f t="shared" si="17"/>
        <v/>
      </c>
      <c r="AC314" s="518" t="str">
        <f t="shared" si="18"/>
        <v/>
      </c>
    </row>
    <row r="315" spans="1:34" ht="16" thickTop="1">
      <c r="A315" s="161" t="s">
        <v>602</v>
      </c>
      <c r="B315" s="16"/>
      <c r="C315" s="25" t="s">
        <v>3</v>
      </c>
      <c r="D315" s="16"/>
      <c r="E315" s="25" t="s">
        <v>3</v>
      </c>
      <c r="F315" s="16"/>
      <c r="G315" s="25" t="s">
        <v>3</v>
      </c>
      <c r="H315" s="16"/>
      <c r="I315" s="25" t="s">
        <v>3</v>
      </c>
      <c r="J315" s="2">
        <v>37</v>
      </c>
      <c r="K315" s="517" t="str">
        <f t="shared" si="19"/>
        <v/>
      </c>
      <c r="L315" s="517" t="str">
        <f t="shared" si="20"/>
        <v/>
      </c>
      <c r="M315" s="517" t="str">
        <f t="shared" si="21"/>
        <v/>
      </c>
      <c r="N315" s="517" t="str">
        <f t="shared" si="22"/>
        <v/>
      </c>
      <c r="P315" s="517" t="str">
        <f t="shared" si="23"/>
        <v/>
      </c>
      <c r="Q315" s="517" t="str">
        <f t="shared" si="24"/>
        <v/>
      </c>
      <c r="R315" s="517" t="str">
        <f t="shared" si="25"/>
        <v/>
      </c>
      <c r="S315" s="518" t="str">
        <f t="shared" si="26"/>
        <v/>
      </c>
      <c r="U315" s="517" t="str">
        <f t="shared" si="27"/>
        <v/>
      </c>
      <c r="V315" s="517" t="str">
        <f t="shared" si="28"/>
        <v/>
      </c>
      <c r="W315" s="517" t="str">
        <f t="shared" si="29"/>
        <v/>
      </c>
      <c r="X315" s="518" t="str">
        <f t="shared" si="30"/>
        <v/>
      </c>
      <c r="Z315" s="517" t="str">
        <f t="shared" si="15"/>
        <v/>
      </c>
      <c r="AA315" s="517" t="str">
        <f t="shared" si="16"/>
        <v/>
      </c>
      <c r="AB315" s="517" t="str">
        <f t="shared" si="17"/>
        <v/>
      </c>
      <c r="AC315" s="518" t="str">
        <f t="shared" si="18"/>
        <v/>
      </c>
      <c r="AH315" s="171"/>
    </row>
    <row r="316" spans="1:34">
      <c r="A316" s="169" t="s">
        <v>665</v>
      </c>
      <c r="B316" s="16"/>
      <c r="C316" s="25" t="s">
        <v>3</v>
      </c>
      <c r="D316" s="16"/>
      <c r="E316" s="25" t="s">
        <v>3</v>
      </c>
      <c r="F316" s="16"/>
      <c r="G316" s="25" t="s">
        <v>3</v>
      </c>
      <c r="H316" s="16"/>
      <c r="I316" s="25" t="s">
        <v>3</v>
      </c>
      <c r="J316" s="2">
        <v>38</v>
      </c>
      <c r="K316" s="517" t="str">
        <f t="shared" si="19"/>
        <v/>
      </c>
      <c r="L316" s="517" t="str">
        <f t="shared" si="20"/>
        <v/>
      </c>
      <c r="M316" s="517" t="str">
        <f t="shared" si="21"/>
        <v/>
      </c>
      <c r="N316" s="517" t="str">
        <f t="shared" si="22"/>
        <v/>
      </c>
      <c r="P316" s="517" t="str">
        <f t="shared" si="23"/>
        <v/>
      </c>
      <c r="Q316" s="517" t="str">
        <f t="shared" si="24"/>
        <v/>
      </c>
      <c r="R316" s="517" t="str">
        <f t="shared" si="25"/>
        <v/>
      </c>
      <c r="S316" s="518" t="str">
        <f t="shared" si="26"/>
        <v/>
      </c>
      <c r="U316" s="517" t="str">
        <f t="shared" si="27"/>
        <v/>
      </c>
      <c r="V316" s="517" t="str">
        <f t="shared" si="28"/>
        <v/>
      </c>
      <c r="W316" s="517" t="str">
        <f t="shared" si="29"/>
        <v/>
      </c>
      <c r="X316" s="518" t="str">
        <f t="shared" si="30"/>
        <v/>
      </c>
      <c r="Z316" s="517" t="str">
        <f t="shared" si="15"/>
        <v/>
      </c>
      <c r="AA316" s="517" t="str">
        <f t="shared" si="16"/>
        <v/>
      </c>
      <c r="AB316" s="517" t="str">
        <f t="shared" si="17"/>
        <v/>
      </c>
      <c r="AC316" s="518" t="str">
        <f t="shared" si="18"/>
        <v/>
      </c>
    </row>
    <row r="317" spans="1:34">
      <c r="A317" s="169" t="s">
        <v>666</v>
      </c>
      <c r="B317" s="16"/>
      <c r="C317" s="25" t="s">
        <v>3</v>
      </c>
      <c r="D317" s="16"/>
      <c r="E317" s="25" t="s">
        <v>3</v>
      </c>
      <c r="F317" s="16"/>
      <c r="G317" s="25" t="s">
        <v>3</v>
      </c>
      <c r="H317" s="16"/>
      <c r="I317" s="25" t="s">
        <v>3</v>
      </c>
      <c r="J317" s="2">
        <v>39</v>
      </c>
      <c r="K317" s="517" t="str">
        <f t="shared" si="19"/>
        <v/>
      </c>
      <c r="L317" s="517" t="str">
        <f t="shared" si="20"/>
        <v/>
      </c>
      <c r="M317" s="517" t="str">
        <f t="shared" si="21"/>
        <v/>
      </c>
      <c r="N317" s="517" t="str">
        <f t="shared" si="22"/>
        <v/>
      </c>
      <c r="P317" s="517" t="str">
        <f t="shared" si="23"/>
        <v/>
      </c>
      <c r="Q317" s="517" t="str">
        <f t="shared" si="24"/>
        <v/>
      </c>
      <c r="R317" s="517" t="str">
        <f t="shared" si="25"/>
        <v/>
      </c>
      <c r="S317" s="518" t="str">
        <f t="shared" si="26"/>
        <v/>
      </c>
      <c r="U317" s="517" t="str">
        <f t="shared" si="27"/>
        <v/>
      </c>
      <c r="V317" s="517" t="str">
        <f t="shared" si="28"/>
        <v/>
      </c>
      <c r="W317" s="517" t="str">
        <f t="shared" si="29"/>
        <v/>
      </c>
      <c r="X317" s="518" t="str">
        <f t="shared" si="30"/>
        <v/>
      </c>
      <c r="Z317" s="517" t="str">
        <f t="shared" si="15"/>
        <v/>
      </c>
      <c r="AA317" s="517" t="str">
        <f t="shared" si="16"/>
        <v/>
      </c>
      <c r="AB317" s="517" t="str">
        <f t="shared" si="17"/>
        <v/>
      </c>
      <c r="AC317" s="518" t="str">
        <f t="shared" si="18"/>
        <v/>
      </c>
    </row>
    <row r="318" spans="1:34">
      <c r="A318" s="169" t="s">
        <v>667</v>
      </c>
      <c r="B318" s="16"/>
      <c r="C318" s="25" t="s">
        <v>3</v>
      </c>
      <c r="D318" s="16"/>
      <c r="E318" s="25" t="s">
        <v>3</v>
      </c>
      <c r="F318" s="16"/>
      <c r="G318" s="25" t="s">
        <v>3</v>
      </c>
      <c r="H318" s="16"/>
      <c r="I318" s="25" t="s">
        <v>3</v>
      </c>
      <c r="J318" s="2">
        <v>40</v>
      </c>
      <c r="K318" s="517" t="str">
        <f t="shared" si="19"/>
        <v/>
      </c>
      <c r="L318" s="517" t="str">
        <f t="shared" si="20"/>
        <v/>
      </c>
      <c r="M318" s="517" t="str">
        <f t="shared" si="21"/>
        <v/>
      </c>
      <c r="N318" s="517" t="str">
        <f t="shared" si="22"/>
        <v/>
      </c>
      <c r="P318" s="517" t="str">
        <f t="shared" si="23"/>
        <v/>
      </c>
      <c r="Q318" s="517" t="str">
        <f t="shared" si="24"/>
        <v/>
      </c>
      <c r="R318" s="517" t="str">
        <f t="shared" si="25"/>
        <v/>
      </c>
      <c r="S318" s="518" t="str">
        <f t="shared" si="26"/>
        <v/>
      </c>
      <c r="U318" s="517" t="str">
        <f t="shared" si="27"/>
        <v/>
      </c>
      <c r="V318" s="517" t="str">
        <f t="shared" si="28"/>
        <v/>
      </c>
      <c r="W318" s="517" t="str">
        <f t="shared" si="29"/>
        <v/>
      </c>
      <c r="X318" s="518" t="str">
        <f t="shared" si="30"/>
        <v/>
      </c>
      <c r="Z318" s="517" t="str">
        <f t="shared" si="15"/>
        <v/>
      </c>
      <c r="AA318" s="517" t="str">
        <f t="shared" si="16"/>
        <v/>
      </c>
      <c r="AB318" s="517" t="str">
        <f t="shared" si="17"/>
        <v/>
      </c>
      <c r="AC318" s="518" t="str">
        <f t="shared" si="18"/>
        <v/>
      </c>
      <c r="AH318" s="9"/>
    </row>
    <row r="319" spans="1:34">
      <c r="A319" s="169" t="s">
        <v>668</v>
      </c>
      <c r="B319" s="16"/>
      <c r="C319" s="25" t="s">
        <v>3</v>
      </c>
      <c r="D319" s="16"/>
      <c r="E319" s="25" t="s">
        <v>3</v>
      </c>
      <c r="F319" s="16"/>
      <c r="G319" s="25" t="s">
        <v>3</v>
      </c>
      <c r="H319" s="16"/>
      <c r="I319" s="25" t="s">
        <v>3</v>
      </c>
      <c r="AH319" s="10"/>
    </row>
    <row r="320" spans="1:34">
      <c r="A320" s="169" t="s">
        <v>58</v>
      </c>
      <c r="B320" s="16"/>
      <c r="C320" s="25" t="s">
        <v>3</v>
      </c>
      <c r="D320" s="16"/>
      <c r="E320" s="25" t="s">
        <v>3</v>
      </c>
      <c r="F320" s="16"/>
      <c r="G320" s="25" t="s">
        <v>3</v>
      </c>
      <c r="H320" s="16"/>
      <c r="I320" s="25" t="s">
        <v>3</v>
      </c>
      <c r="AH320" s="10"/>
    </row>
    <row r="321" spans="1:34">
      <c r="A321" s="161" t="s">
        <v>107</v>
      </c>
      <c r="B321" s="16"/>
      <c r="C321" s="25" t="s">
        <v>3</v>
      </c>
      <c r="D321" s="16"/>
      <c r="E321" s="25" t="s">
        <v>3</v>
      </c>
      <c r="F321" s="16"/>
      <c r="G321" s="25" t="s">
        <v>3</v>
      </c>
      <c r="H321" s="16"/>
      <c r="I321" s="25" t="s">
        <v>3</v>
      </c>
      <c r="AH321" s="12"/>
    </row>
    <row r="322" spans="1:34">
      <c r="A322" s="169" t="s">
        <v>669</v>
      </c>
      <c r="B322" s="16"/>
      <c r="C322" s="25" t="s">
        <v>3</v>
      </c>
      <c r="D322" s="16"/>
      <c r="E322" s="25" t="s">
        <v>3</v>
      </c>
      <c r="F322" s="16"/>
      <c r="G322" s="25" t="s">
        <v>3</v>
      </c>
      <c r="H322" s="16"/>
      <c r="I322" s="25" t="s">
        <v>3</v>
      </c>
      <c r="AH322" s="8"/>
    </row>
    <row r="323" spans="1:34">
      <c r="A323" s="169" t="s">
        <v>670</v>
      </c>
      <c r="B323" s="16"/>
      <c r="C323" s="25" t="s">
        <v>3</v>
      </c>
      <c r="D323" s="16"/>
      <c r="E323" s="25" t="s">
        <v>3</v>
      </c>
      <c r="F323" s="16"/>
      <c r="G323" s="25" t="s">
        <v>3</v>
      </c>
      <c r="H323" s="16"/>
      <c r="I323" s="25" t="s">
        <v>3</v>
      </c>
      <c r="AH323" s="13"/>
    </row>
    <row r="324" spans="1:34">
      <c r="A324" s="169" t="s">
        <v>671</v>
      </c>
      <c r="B324" s="16"/>
      <c r="C324" s="25" t="s">
        <v>3</v>
      </c>
      <c r="D324" s="16"/>
      <c r="E324" s="25" t="s">
        <v>3</v>
      </c>
      <c r="F324" s="16"/>
      <c r="G324" s="25" t="s">
        <v>3</v>
      </c>
      <c r="H324" s="16"/>
      <c r="I324" s="25" t="s">
        <v>3</v>
      </c>
      <c r="AH324" s="14"/>
    </row>
    <row r="325" spans="1:34">
      <c r="A325" s="169" t="s">
        <v>672</v>
      </c>
      <c r="B325" s="16"/>
      <c r="C325" s="25" t="s">
        <v>3</v>
      </c>
      <c r="D325" s="16"/>
      <c r="E325" s="25" t="s">
        <v>3</v>
      </c>
      <c r="F325" s="16"/>
      <c r="G325" s="25" t="s">
        <v>3</v>
      </c>
      <c r="H325" s="16"/>
      <c r="I325" s="25" t="s">
        <v>3</v>
      </c>
      <c r="AH325" s="172"/>
    </row>
    <row r="326" spans="1:34">
      <c r="A326" s="169" t="s">
        <v>673</v>
      </c>
      <c r="B326" s="16"/>
      <c r="C326" s="25" t="s">
        <v>3</v>
      </c>
      <c r="D326" s="16"/>
      <c r="E326" s="25" t="s">
        <v>3</v>
      </c>
      <c r="F326" s="16"/>
      <c r="G326" s="25" t="s">
        <v>3</v>
      </c>
      <c r="H326" s="16"/>
      <c r="I326" s="25" t="s">
        <v>3</v>
      </c>
      <c r="AH326" s="172"/>
    </row>
    <row r="327" spans="1:34">
      <c r="A327" s="169" t="s">
        <v>649</v>
      </c>
      <c r="B327" s="16"/>
      <c r="C327" s="25" t="s">
        <v>3</v>
      </c>
      <c r="D327" s="16"/>
      <c r="E327" s="25" t="s">
        <v>3</v>
      </c>
      <c r="F327" s="16"/>
      <c r="G327" s="25" t="s">
        <v>3</v>
      </c>
      <c r="H327" s="16"/>
      <c r="I327" s="25" t="s">
        <v>3</v>
      </c>
      <c r="AH327" s="15"/>
    </row>
    <row r="328" spans="1:34">
      <c r="A328" s="169" t="s">
        <v>58</v>
      </c>
      <c r="B328" s="16"/>
      <c r="C328" s="25" t="s">
        <v>3</v>
      </c>
      <c r="D328" s="16"/>
      <c r="E328" s="25" t="s">
        <v>3</v>
      </c>
      <c r="F328" s="16"/>
      <c r="G328" s="25" t="s">
        <v>3</v>
      </c>
      <c r="H328" s="16"/>
      <c r="I328" s="25" t="s">
        <v>3</v>
      </c>
      <c r="AH328" s="16"/>
    </row>
    <row r="329" spans="1:34">
      <c r="A329" s="161" t="s">
        <v>116</v>
      </c>
      <c r="B329" s="16"/>
      <c r="C329" s="25" t="s">
        <v>3</v>
      </c>
      <c r="D329" s="16"/>
      <c r="E329" s="25" t="s">
        <v>3</v>
      </c>
      <c r="F329" s="16"/>
      <c r="G329" s="25" t="s">
        <v>3</v>
      </c>
      <c r="H329" s="16"/>
      <c r="I329" s="25" t="s">
        <v>3</v>
      </c>
      <c r="AH329" s="16"/>
    </row>
    <row r="330" spans="1:34">
      <c r="A330" s="169" t="s">
        <v>674</v>
      </c>
      <c r="B330" s="16"/>
      <c r="C330" s="25" t="s">
        <v>3</v>
      </c>
      <c r="D330" s="16"/>
      <c r="E330" s="25" t="s">
        <v>3</v>
      </c>
      <c r="F330" s="16"/>
      <c r="G330" s="25" t="s">
        <v>3</v>
      </c>
      <c r="H330" s="16"/>
      <c r="I330" s="25" t="s">
        <v>3</v>
      </c>
      <c r="AH330" s="173"/>
    </row>
    <row r="331" spans="1:34">
      <c r="A331" s="169" t="s">
        <v>675</v>
      </c>
      <c r="B331" s="16"/>
      <c r="C331" s="25" t="s">
        <v>3</v>
      </c>
      <c r="D331" s="16"/>
      <c r="E331" s="25" t="s">
        <v>3</v>
      </c>
      <c r="F331" s="16"/>
      <c r="G331" s="25" t="s">
        <v>3</v>
      </c>
      <c r="H331" s="16"/>
      <c r="I331" s="25" t="s">
        <v>3</v>
      </c>
      <c r="AH331" s="174"/>
    </row>
    <row r="332" spans="1:34">
      <c r="A332" s="169" t="s">
        <v>676</v>
      </c>
      <c r="B332" s="16"/>
      <c r="C332" s="25" t="s">
        <v>3</v>
      </c>
      <c r="D332" s="16"/>
      <c r="E332" s="25" t="s">
        <v>3</v>
      </c>
      <c r="F332" s="16"/>
      <c r="G332" s="25" t="s">
        <v>3</v>
      </c>
      <c r="H332" s="16"/>
      <c r="I332" s="25" t="s">
        <v>3</v>
      </c>
      <c r="AH332" s="16"/>
    </row>
    <row r="333" spans="1:34">
      <c r="A333" s="169" t="s">
        <v>677</v>
      </c>
      <c r="B333" s="16"/>
      <c r="C333" s="25" t="s">
        <v>3</v>
      </c>
      <c r="D333" s="16"/>
      <c r="E333" s="25" t="s">
        <v>3</v>
      </c>
      <c r="F333" s="16"/>
      <c r="G333" s="25" t="s">
        <v>3</v>
      </c>
      <c r="H333" s="16"/>
      <c r="I333" s="25" t="s">
        <v>3</v>
      </c>
      <c r="AH333" s="16"/>
    </row>
    <row r="334" spans="1:34">
      <c r="A334" s="169" t="s">
        <v>678</v>
      </c>
      <c r="B334" s="16"/>
      <c r="C334" s="25" t="s">
        <v>3</v>
      </c>
      <c r="D334" s="16"/>
      <c r="E334" s="25" t="s">
        <v>3</v>
      </c>
      <c r="F334" s="16"/>
      <c r="G334" s="25" t="s">
        <v>3</v>
      </c>
      <c r="H334" s="16"/>
      <c r="I334" s="25" t="s">
        <v>3</v>
      </c>
      <c r="AH334" s="16"/>
    </row>
    <row r="335" spans="1:34">
      <c r="A335" s="169" t="s">
        <v>58</v>
      </c>
      <c r="B335" s="16"/>
      <c r="C335" s="25" t="s">
        <v>3</v>
      </c>
      <c r="D335" s="16"/>
      <c r="E335" s="25" t="s">
        <v>3</v>
      </c>
      <c r="F335" s="16"/>
      <c r="G335" s="25" t="s">
        <v>3</v>
      </c>
      <c r="H335" s="16"/>
      <c r="I335" s="25" t="s">
        <v>3</v>
      </c>
      <c r="AH335" s="175"/>
    </row>
    <row r="336" spans="1:34" ht="16" thickBot="1">
      <c r="A336" s="161" t="s">
        <v>611</v>
      </c>
      <c r="B336" s="16"/>
      <c r="C336" s="25" t="s">
        <v>3</v>
      </c>
      <c r="D336" s="16"/>
      <c r="E336" s="25" t="s">
        <v>3</v>
      </c>
      <c r="F336" s="16"/>
      <c r="G336" s="25" t="s">
        <v>3</v>
      </c>
      <c r="H336" s="16"/>
      <c r="I336" s="25" t="s">
        <v>3</v>
      </c>
      <c r="AH336" s="176"/>
    </row>
    <row r="337" spans="1:9" ht="16" thickTop="1">
      <c r="A337" s="169" t="s">
        <v>679</v>
      </c>
      <c r="B337" s="16"/>
      <c r="C337" s="25" t="s">
        <v>3</v>
      </c>
      <c r="D337" s="16"/>
      <c r="E337" s="25" t="s">
        <v>3</v>
      </c>
      <c r="F337" s="16"/>
      <c r="G337" s="25" t="s">
        <v>3</v>
      </c>
      <c r="H337" s="16"/>
      <c r="I337" s="25" t="s">
        <v>3</v>
      </c>
    </row>
    <row r="338" spans="1:9">
      <c r="A338" s="169" t="s">
        <v>680</v>
      </c>
      <c r="B338" s="16"/>
      <c r="C338" s="25" t="s">
        <v>3</v>
      </c>
      <c r="D338" s="16"/>
      <c r="E338" s="25" t="s">
        <v>3</v>
      </c>
      <c r="F338" s="16"/>
      <c r="G338" s="25" t="s">
        <v>3</v>
      </c>
      <c r="H338" s="16"/>
      <c r="I338" s="25" t="s">
        <v>3</v>
      </c>
    </row>
    <row r="339" spans="1:9">
      <c r="A339" s="169" t="s">
        <v>681</v>
      </c>
      <c r="B339" s="16"/>
      <c r="C339" s="25" t="s">
        <v>3</v>
      </c>
      <c r="D339" s="16"/>
      <c r="E339" s="25" t="s">
        <v>3</v>
      </c>
      <c r="F339" s="16"/>
      <c r="G339" s="25" t="s">
        <v>3</v>
      </c>
      <c r="H339" s="16"/>
      <c r="I339" s="25" t="s">
        <v>3</v>
      </c>
    </row>
    <row r="340" spans="1:9">
      <c r="A340" s="169" t="s">
        <v>682</v>
      </c>
      <c r="B340" s="16"/>
      <c r="C340" s="25" t="s">
        <v>3</v>
      </c>
      <c r="D340" s="16"/>
      <c r="E340" s="25" t="s">
        <v>3</v>
      </c>
      <c r="F340" s="16"/>
      <c r="G340" s="25" t="s">
        <v>3</v>
      </c>
      <c r="H340" s="16"/>
      <c r="I340" s="25" t="s">
        <v>3</v>
      </c>
    </row>
    <row r="341" spans="1:9">
      <c r="A341" s="169" t="s">
        <v>683</v>
      </c>
      <c r="B341" s="16"/>
      <c r="C341" s="25" t="s">
        <v>3</v>
      </c>
      <c r="D341" s="16"/>
      <c r="E341" s="25" t="s">
        <v>3</v>
      </c>
      <c r="F341" s="16"/>
      <c r="G341" s="25" t="s">
        <v>3</v>
      </c>
      <c r="H341" s="16"/>
      <c r="I341" s="25" t="s">
        <v>3</v>
      </c>
    </row>
    <row r="342" spans="1:9">
      <c r="A342" s="169" t="s">
        <v>684</v>
      </c>
      <c r="B342" s="16"/>
      <c r="C342" s="25" t="s">
        <v>3</v>
      </c>
      <c r="D342" s="16"/>
      <c r="E342" s="25" t="s">
        <v>3</v>
      </c>
      <c r="F342" s="16"/>
      <c r="G342" s="25" t="s">
        <v>3</v>
      </c>
      <c r="H342" s="16"/>
      <c r="I342" s="25" t="s">
        <v>3</v>
      </c>
    </row>
    <row r="343" spans="1:9">
      <c r="A343" s="169" t="s">
        <v>685</v>
      </c>
      <c r="B343" s="16"/>
      <c r="C343" s="25" t="s">
        <v>3</v>
      </c>
      <c r="D343" s="16"/>
      <c r="E343" s="25" t="s">
        <v>3</v>
      </c>
      <c r="F343" s="16"/>
      <c r="G343" s="25" t="s">
        <v>3</v>
      </c>
      <c r="H343" s="16"/>
      <c r="I343" s="25" t="s">
        <v>3</v>
      </c>
    </row>
    <row r="344" spans="1:9">
      <c r="A344" s="169" t="s">
        <v>58</v>
      </c>
      <c r="B344" s="16"/>
      <c r="C344" s="25" t="s">
        <v>3</v>
      </c>
      <c r="D344" s="16"/>
      <c r="E344" s="25" t="s">
        <v>3</v>
      </c>
      <c r="F344" s="16"/>
      <c r="G344" s="25" t="s">
        <v>3</v>
      </c>
      <c r="H344" s="16"/>
      <c r="I344" s="25" t="s">
        <v>3</v>
      </c>
    </row>
    <row r="345" spans="1:9">
      <c r="A345" s="161" t="s">
        <v>122</v>
      </c>
      <c r="B345" s="16"/>
      <c r="C345" s="25" t="s">
        <v>3</v>
      </c>
      <c r="D345" s="16"/>
      <c r="E345" s="25" t="s">
        <v>3</v>
      </c>
      <c r="F345" s="16"/>
      <c r="G345" s="25" t="s">
        <v>3</v>
      </c>
      <c r="H345" s="16"/>
      <c r="I345" s="25" t="s">
        <v>3</v>
      </c>
    </row>
    <row r="346" spans="1:9">
      <c r="A346" s="169" t="s">
        <v>686</v>
      </c>
      <c r="B346" s="16"/>
      <c r="C346" s="25" t="s">
        <v>3</v>
      </c>
      <c r="D346" s="16"/>
      <c r="E346" s="25" t="s">
        <v>3</v>
      </c>
      <c r="F346" s="16"/>
      <c r="G346" s="25" t="s">
        <v>3</v>
      </c>
      <c r="H346" s="16"/>
      <c r="I346" s="25" t="s">
        <v>3</v>
      </c>
    </row>
    <row r="347" spans="1:9">
      <c r="A347" s="169" t="s">
        <v>687</v>
      </c>
      <c r="B347" s="16"/>
      <c r="C347" s="25" t="s">
        <v>3</v>
      </c>
      <c r="D347" s="16"/>
      <c r="E347" s="25" t="s">
        <v>3</v>
      </c>
      <c r="F347" s="16"/>
      <c r="G347" s="25" t="s">
        <v>3</v>
      </c>
      <c r="H347" s="16"/>
      <c r="I347" s="25" t="s">
        <v>3</v>
      </c>
    </row>
    <row r="348" spans="1:9">
      <c r="A348" s="169" t="s">
        <v>688</v>
      </c>
      <c r="B348" s="16"/>
      <c r="C348" s="25" t="s">
        <v>3</v>
      </c>
      <c r="D348" s="16"/>
      <c r="E348" s="25" t="s">
        <v>3</v>
      </c>
      <c r="F348" s="16"/>
      <c r="G348" s="25" t="s">
        <v>3</v>
      </c>
      <c r="H348" s="16"/>
      <c r="I348" s="25" t="s">
        <v>3</v>
      </c>
    </row>
    <row r="349" spans="1:9">
      <c r="A349" s="161" t="s">
        <v>123</v>
      </c>
      <c r="B349" s="16"/>
      <c r="C349" s="25" t="s">
        <v>3</v>
      </c>
      <c r="D349" s="16"/>
      <c r="E349" s="25" t="s">
        <v>3</v>
      </c>
      <c r="F349" s="16"/>
      <c r="G349" s="25" t="s">
        <v>3</v>
      </c>
      <c r="H349" s="16"/>
      <c r="I349" s="25" t="s">
        <v>3</v>
      </c>
    </row>
    <row r="350" spans="1:9">
      <c r="A350" s="169" t="s">
        <v>689</v>
      </c>
      <c r="B350" s="16"/>
      <c r="C350" s="25" t="s">
        <v>3</v>
      </c>
      <c r="D350" s="16"/>
      <c r="E350" s="25" t="s">
        <v>3</v>
      </c>
      <c r="F350" s="16"/>
      <c r="G350" s="25" t="s">
        <v>3</v>
      </c>
      <c r="H350" s="16"/>
      <c r="I350" s="25" t="s">
        <v>3</v>
      </c>
    </row>
    <row r="351" spans="1:9">
      <c r="A351" s="169" t="s">
        <v>690</v>
      </c>
      <c r="B351" s="16"/>
      <c r="C351" s="25" t="s">
        <v>3</v>
      </c>
      <c r="D351" s="16"/>
      <c r="E351" s="25" t="s">
        <v>3</v>
      </c>
      <c r="F351" s="16"/>
      <c r="G351" s="25" t="s">
        <v>3</v>
      </c>
      <c r="H351" s="16"/>
      <c r="I351" s="25" t="s">
        <v>3</v>
      </c>
    </row>
    <row r="352" spans="1:9">
      <c r="A352" s="161" t="s">
        <v>121</v>
      </c>
      <c r="B352" s="16"/>
      <c r="C352" s="25" t="s">
        <v>3</v>
      </c>
      <c r="D352" s="16"/>
      <c r="E352" s="25" t="s">
        <v>3</v>
      </c>
      <c r="F352" s="16"/>
      <c r="G352" s="25" t="s">
        <v>3</v>
      </c>
      <c r="H352" s="16"/>
      <c r="I352" s="25" t="s">
        <v>3</v>
      </c>
    </row>
    <row r="353" spans="1:9">
      <c r="A353" s="169" t="s">
        <v>691</v>
      </c>
      <c r="B353" s="16"/>
      <c r="C353" s="25" t="s">
        <v>3</v>
      </c>
      <c r="D353" s="16"/>
      <c r="E353" s="25" t="s">
        <v>3</v>
      </c>
      <c r="F353" s="16"/>
      <c r="G353" s="25" t="s">
        <v>3</v>
      </c>
      <c r="H353" s="16"/>
      <c r="I353" s="25" t="s">
        <v>3</v>
      </c>
    </row>
    <row r="354" spans="1:9">
      <c r="A354" s="169" t="s">
        <v>692</v>
      </c>
      <c r="B354" s="16"/>
      <c r="C354" s="25" t="s">
        <v>3</v>
      </c>
      <c r="D354" s="16"/>
      <c r="E354" s="25" t="s">
        <v>3</v>
      </c>
      <c r="F354" s="16"/>
      <c r="G354" s="25" t="s">
        <v>3</v>
      </c>
      <c r="H354" s="16"/>
      <c r="I354" s="25" t="s">
        <v>3</v>
      </c>
    </row>
    <row r="355" spans="1:9">
      <c r="A355" s="169" t="s">
        <v>693</v>
      </c>
      <c r="B355" s="16"/>
      <c r="C355" s="25" t="s">
        <v>3</v>
      </c>
      <c r="D355" s="16"/>
      <c r="E355" s="25" t="s">
        <v>3</v>
      </c>
      <c r="F355" s="16"/>
      <c r="G355" s="25" t="s">
        <v>3</v>
      </c>
      <c r="H355" s="16"/>
      <c r="I355" s="25" t="s">
        <v>3</v>
      </c>
    </row>
    <row r="356" spans="1:9">
      <c r="A356" s="169" t="s">
        <v>694</v>
      </c>
      <c r="B356" s="16"/>
      <c r="C356" s="25" t="s">
        <v>3</v>
      </c>
      <c r="D356" s="16"/>
      <c r="E356" s="25" t="s">
        <v>3</v>
      </c>
      <c r="F356" s="16"/>
      <c r="G356" s="25" t="s">
        <v>3</v>
      </c>
      <c r="H356" s="16"/>
      <c r="I356" s="25" t="s">
        <v>3</v>
      </c>
    </row>
    <row r="357" spans="1:9">
      <c r="A357" s="169" t="s">
        <v>619</v>
      </c>
      <c r="B357" s="16"/>
      <c r="C357" s="25" t="s">
        <v>3</v>
      </c>
      <c r="D357" s="16"/>
      <c r="E357" s="25" t="s">
        <v>3</v>
      </c>
      <c r="F357" s="16"/>
      <c r="G357" s="25" t="s">
        <v>3</v>
      </c>
      <c r="H357" s="16"/>
      <c r="I357" s="25" t="s">
        <v>3</v>
      </c>
    </row>
    <row r="358" spans="1:9">
      <c r="A358" s="169" t="s">
        <v>622</v>
      </c>
      <c r="B358" s="16"/>
      <c r="C358" s="25" t="s">
        <v>3</v>
      </c>
      <c r="D358" s="16"/>
      <c r="E358" s="25" t="s">
        <v>3</v>
      </c>
      <c r="F358" s="16"/>
      <c r="G358" s="25" t="s">
        <v>3</v>
      </c>
      <c r="H358" s="16"/>
      <c r="I358" s="25" t="s">
        <v>3</v>
      </c>
    </row>
    <row r="359" spans="1:9">
      <c r="A359" s="169" t="s">
        <v>624</v>
      </c>
      <c r="B359" s="16"/>
      <c r="C359" s="25" t="s">
        <v>3</v>
      </c>
      <c r="D359" s="16"/>
      <c r="E359" s="25" t="s">
        <v>3</v>
      </c>
      <c r="F359" s="16"/>
      <c r="G359" s="25" t="s">
        <v>3</v>
      </c>
      <c r="H359" s="16"/>
      <c r="I359" s="25" t="s">
        <v>3</v>
      </c>
    </row>
    <row r="360" spans="1:9">
      <c r="A360" s="161" t="s">
        <v>621</v>
      </c>
      <c r="B360" s="16"/>
      <c r="C360" s="25" t="s">
        <v>3</v>
      </c>
      <c r="D360" s="16"/>
      <c r="E360" s="25" t="s">
        <v>3</v>
      </c>
      <c r="F360" s="16"/>
      <c r="G360" s="25" t="s">
        <v>3</v>
      </c>
      <c r="H360" s="16"/>
      <c r="I360" s="25" t="s">
        <v>3</v>
      </c>
    </row>
    <row r="361" spans="1:9">
      <c r="A361" s="169" t="s">
        <v>695</v>
      </c>
      <c r="B361" s="16"/>
      <c r="C361" s="25" t="s">
        <v>3</v>
      </c>
      <c r="D361" s="16"/>
      <c r="E361" s="25" t="s">
        <v>3</v>
      </c>
      <c r="F361" s="16"/>
      <c r="G361" s="25" t="s">
        <v>3</v>
      </c>
      <c r="H361" s="16"/>
      <c r="I361" s="25" t="s">
        <v>3</v>
      </c>
    </row>
    <row r="362" spans="1:9">
      <c r="A362" s="169" t="s">
        <v>696</v>
      </c>
      <c r="B362" s="16"/>
      <c r="C362" s="25" t="s">
        <v>3</v>
      </c>
      <c r="D362" s="16"/>
      <c r="E362" s="25" t="s">
        <v>3</v>
      </c>
      <c r="F362" s="16"/>
      <c r="G362" s="25" t="s">
        <v>3</v>
      </c>
      <c r="H362" s="16"/>
      <c r="I362" s="25" t="s">
        <v>3</v>
      </c>
    </row>
    <row r="363" spans="1:9">
      <c r="A363" s="169" t="s">
        <v>58</v>
      </c>
      <c r="B363" s="16"/>
      <c r="C363" s="25" t="s">
        <v>3</v>
      </c>
      <c r="D363" s="16"/>
      <c r="E363" s="25" t="s">
        <v>3</v>
      </c>
      <c r="F363" s="16"/>
      <c r="G363" s="25" t="s">
        <v>3</v>
      </c>
      <c r="H363" s="16"/>
      <c r="I363" s="25" t="s">
        <v>3</v>
      </c>
    </row>
    <row r="364" spans="1:9">
      <c r="A364" s="161" t="s">
        <v>628</v>
      </c>
      <c r="B364" s="16"/>
      <c r="C364" s="25" t="s">
        <v>3</v>
      </c>
      <c r="D364" s="16"/>
      <c r="E364" s="25" t="s">
        <v>3</v>
      </c>
      <c r="F364" s="16"/>
      <c r="G364" s="25" t="s">
        <v>3</v>
      </c>
      <c r="H364" s="16"/>
      <c r="I364" s="25" t="s">
        <v>3</v>
      </c>
    </row>
    <row r="365" spans="1:9">
      <c r="A365" s="169" t="s">
        <v>697</v>
      </c>
      <c r="B365" s="16"/>
      <c r="C365" s="25" t="s">
        <v>3</v>
      </c>
      <c r="D365" s="16"/>
      <c r="E365" s="25" t="s">
        <v>3</v>
      </c>
      <c r="F365" s="16"/>
      <c r="G365" s="25" t="s">
        <v>3</v>
      </c>
      <c r="H365" s="16"/>
      <c r="I365" s="25" t="s">
        <v>3</v>
      </c>
    </row>
    <row r="366" spans="1:9">
      <c r="A366" s="169" t="s">
        <v>698</v>
      </c>
      <c r="B366" s="16"/>
      <c r="C366" s="25" t="s">
        <v>3</v>
      </c>
      <c r="D366" s="16"/>
      <c r="E366" s="25" t="s">
        <v>3</v>
      </c>
      <c r="F366" s="16"/>
      <c r="G366" s="25" t="s">
        <v>3</v>
      </c>
      <c r="H366" s="16"/>
      <c r="I366" s="25" t="s">
        <v>3</v>
      </c>
    </row>
    <row r="367" spans="1:9">
      <c r="A367" s="169" t="s">
        <v>699</v>
      </c>
      <c r="B367" s="16"/>
      <c r="C367" s="25" t="s">
        <v>3</v>
      </c>
      <c r="D367" s="16"/>
      <c r="E367" s="25" t="s">
        <v>3</v>
      </c>
      <c r="F367" s="16"/>
      <c r="G367" s="25" t="s">
        <v>3</v>
      </c>
      <c r="H367" s="16"/>
      <c r="I367" s="25" t="s">
        <v>3</v>
      </c>
    </row>
    <row r="368" spans="1:9">
      <c r="A368" s="169" t="s">
        <v>700</v>
      </c>
      <c r="B368" s="16"/>
      <c r="C368" s="25" t="s">
        <v>3</v>
      </c>
      <c r="D368" s="16"/>
      <c r="E368" s="25" t="s">
        <v>3</v>
      </c>
      <c r="F368" s="16"/>
      <c r="G368" s="25" t="s">
        <v>3</v>
      </c>
      <c r="H368" s="16"/>
      <c r="I368" s="25" t="s">
        <v>3</v>
      </c>
    </row>
    <row r="369" spans="1:9">
      <c r="A369" s="169" t="s">
        <v>701</v>
      </c>
      <c r="B369" s="16"/>
      <c r="C369" s="25" t="s">
        <v>3</v>
      </c>
      <c r="D369" s="16"/>
      <c r="E369" s="25" t="s">
        <v>3</v>
      </c>
      <c r="F369" s="16"/>
      <c r="G369" s="25" t="s">
        <v>3</v>
      </c>
      <c r="H369" s="16"/>
      <c r="I369" s="25" t="s">
        <v>3</v>
      </c>
    </row>
    <row r="370" spans="1:9">
      <c r="A370" s="169" t="s">
        <v>702</v>
      </c>
      <c r="B370" s="16"/>
      <c r="C370" s="25" t="s">
        <v>3</v>
      </c>
      <c r="D370" s="16"/>
      <c r="E370" s="25" t="s">
        <v>3</v>
      </c>
      <c r="F370" s="16"/>
      <c r="G370" s="25" t="s">
        <v>3</v>
      </c>
      <c r="H370" s="16"/>
      <c r="I370" s="25" t="s">
        <v>3</v>
      </c>
    </row>
    <row r="371" spans="1:9">
      <c r="A371" s="169" t="s">
        <v>58</v>
      </c>
      <c r="B371" s="16"/>
      <c r="C371" s="25" t="s">
        <v>3</v>
      </c>
      <c r="D371" s="16"/>
      <c r="E371" s="25" t="s">
        <v>3</v>
      </c>
      <c r="F371" s="16"/>
      <c r="G371" s="25" t="s">
        <v>3</v>
      </c>
      <c r="H371" s="16"/>
      <c r="I371" s="25" t="s">
        <v>3</v>
      </c>
    </row>
    <row r="372" spans="1:9">
      <c r="A372" s="161" t="s">
        <v>9086</v>
      </c>
      <c r="B372" s="16"/>
      <c r="C372" s="25" t="s">
        <v>3</v>
      </c>
      <c r="D372" s="16"/>
      <c r="E372" s="25" t="s">
        <v>3</v>
      </c>
      <c r="F372" s="16"/>
      <c r="G372" s="25" t="s">
        <v>3</v>
      </c>
      <c r="H372" s="16"/>
      <c r="I372" s="25" t="s">
        <v>3</v>
      </c>
    </row>
    <row r="373" spans="1:9">
      <c r="A373" s="169" t="s">
        <v>705</v>
      </c>
      <c r="B373" s="16"/>
      <c r="C373" s="25" t="s">
        <v>3</v>
      </c>
      <c r="D373" s="16"/>
      <c r="E373" s="25" t="s">
        <v>3</v>
      </c>
      <c r="F373" s="16"/>
      <c r="G373" s="25" t="s">
        <v>3</v>
      </c>
      <c r="H373" s="16"/>
      <c r="I373" s="25" t="s">
        <v>3</v>
      </c>
    </row>
    <row r="374" spans="1:9">
      <c r="A374" s="161" t="s">
        <v>626</v>
      </c>
      <c r="B374" s="16"/>
      <c r="C374" s="25" t="s">
        <v>3</v>
      </c>
      <c r="D374" s="16"/>
      <c r="E374" s="25" t="s">
        <v>3</v>
      </c>
      <c r="F374" s="16"/>
      <c r="G374" s="25" t="s">
        <v>3</v>
      </c>
      <c r="H374" s="16"/>
      <c r="I374" s="25" t="s">
        <v>3</v>
      </c>
    </row>
    <row r="375" spans="1:9">
      <c r="A375" s="169" t="s">
        <v>703</v>
      </c>
      <c r="B375" s="16"/>
      <c r="C375" s="25" t="s">
        <v>3</v>
      </c>
      <c r="D375" s="16"/>
      <c r="E375" s="25" t="s">
        <v>3</v>
      </c>
      <c r="F375" s="16"/>
      <c r="G375" s="25" t="s">
        <v>3</v>
      </c>
      <c r="H375" s="16"/>
      <c r="I375" s="25" t="s">
        <v>3</v>
      </c>
    </row>
    <row r="376" spans="1:9">
      <c r="A376" s="169" t="s">
        <v>704</v>
      </c>
      <c r="B376" s="16"/>
      <c r="C376" s="25" t="s">
        <v>3</v>
      </c>
      <c r="D376" s="16"/>
      <c r="E376" s="25" t="s">
        <v>3</v>
      </c>
      <c r="F376" s="16"/>
      <c r="G376" s="25" t="s">
        <v>3</v>
      </c>
      <c r="H376" s="16"/>
      <c r="I376" s="25" t="s">
        <v>3</v>
      </c>
    </row>
    <row r="377" spans="1:9">
      <c r="A377" s="169" t="s">
        <v>705</v>
      </c>
      <c r="B377" s="16"/>
      <c r="C377" s="25" t="s">
        <v>3</v>
      </c>
      <c r="D377" s="16"/>
      <c r="E377" s="25" t="s">
        <v>3</v>
      </c>
      <c r="F377" s="16"/>
      <c r="G377" s="25" t="s">
        <v>3</v>
      </c>
      <c r="H377" s="16"/>
      <c r="I377" s="25" t="s">
        <v>3</v>
      </c>
    </row>
    <row r="378" spans="1:9">
      <c r="A378" s="169" t="s">
        <v>645</v>
      </c>
      <c r="B378" s="16"/>
      <c r="C378" s="25" t="s">
        <v>3</v>
      </c>
      <c r="D378" s="16"/>
      <c r="E378" s="25" t="s">
        <v>3</v>
      </c>
      <c r="F378" s="16"/>
      <c r="G378" s="25" t="s">
        <v>3</v>
      </c>
      <c r="H378" s="16"/>
      <c r="I378" s="25" t="s">
        <v>3</v>
      </c>
    </row>
    <row r="379" spans="1:9">
      <c r="A379" s="169" t="s">
        <v>646</v>
      </c>
      <c r="B379" s="16"/>
      <c r="C379" s="25" t="s">
        <v>3</v>
      </c>
      <c r="D379" s="16"/>
      <c r="E379" s="25" t="s">
        <v>3</v>
      </c>
      <c r="F379" s="16"/>
      <c r="G379" s="25" t="s">
        <v>3</v>
      </c>
      <c r="H379" s="16"/>
      <c r="I379" s="25" t="s">
        <v>3</v>
      </c>
    </row>
    <row r="380" spans="1:9">
      <c r="A380" s="169" t="s">
        <v>647</v>
      </c>
      <c r="B380" s="16"/>
      <c r="C380" s="25" t="s">
        <v>3</v>
      </c>
      <c r="D380" s="16"/>
      <c r="E380" s="25" t="s">
        <v>3</v>
      </c>
      <c r="F380" s="16"/>
      <c r="G380" s="25" t="s">
        <v>3</v>
      </c>
      <c r="H380" s="16"/>
      <c r="I380" s="25" t="s">
        <v>3</v>
      </c>
    </row>
    <row r="381" spans="1:9">
      <c r="A381" s="169" t="s">
        <v>648</v>
      </c>
      <c r="B381" s="16"/>
      <c r="C381" s="25" t="s">
        <v>3</v>
      </c>
      <c r="D381" s="16"/>
      <c r="E381" s="25" t="s">
        <v>3</v>
      </c>
      <c r="F381" s="16"/>
      <c r="G381" s="25" t="s">
        <v>3</v>
      </c>
      <c r="H381" s="16"/>
      <c r="I381" s="25" t="s">
        <v>3</v>
      </c>
    </row>
    <row r="382" spans="1:9">
      <c r="A382" s="169" t="s">
        <v>649</v>
      </c>
      <c r="B382" s="16"/>
      <c r="C382" s="25" t="s">
        <v>3</v>
      </c>
      <c r="D382" s="16"/>
      <c r="E382" s="25" t="s">
        <v>3</v>
      </c>
      <c r="F382" s="16"/>
      <c r="G382" s="25" t="s">
        <v>3</v>
      </c>
      <c r="H382" s="16"/>
      <c r="I382" s="25" t="s">
        <v>3</v>
      </c>
    </row>
    <row r="383" spans="1:9">
      <c r="A383" s="169" t="s">
        <v>706</v>
      </c>
      <c r="B383" s="16"/>
      <c r="C383" s="25" t="s">
        <v>3</v>
      </c>
      <c r="D383" s="16"/>
      <c r="E383" s="25" t="s">
        <v>3</v>
      </c>
      <c r="F383" s="16"/>
      <c r="G383" s="25" t="s">
        <v>3</v>
      </c>
      <c r="H383" s="16"/>
      <c r="I383" s="25" t="s">
        <v>3</v>
      </c>
    </row>
    <row r="384" spans="1:9">
      <c r="A384" s="169" t="s">
        <v>651</v>
      </c>
      <c r="B384" s="16"/>
      <c r="C384" s="25" t="s">
        <v>3</v>
      </c>
      <c r="D384" s="16"/>
      <c r="E384" s="25" t="s">
        <v>3</v>
      </c>
      <c r="F384" s="16"/>
      <c r="G384" s="25" t="s">
        <v>3</v>
      </c>
      <c r="H384" s="16"/>
      <c r="I384" s="25" t="s">
        <v>3</v>
      </c>
    </row>
    <row r="385" spans="1:9">
      <c r="A385" s="169" t="s">
        <v>58</v>
      </c>
      <c r="B385" s="16"/>
      <c r="C385" s="25" t="s">
        <v>3</v>
      </c>
      <c r="D385" s="16"/>
      <c r="E385" s="25" t="s">
        <v>3</v>
      </c>
      <c r="F385" s="16"/>
      <c r="G385" s="25" t="s">
        <v>3</v>
      </c>
      <c r="H385" s="16"/>
      <c r="I385" s="25" t="s">
        <v>3</v>
      </c>
    </row>
    <row r="398" spans="1:9">
      <c r="B398" s="177"/>
    </row>
    <row r="399" spans="1:9">
      <c r="B399" s="177"/>
    </row>
    <row r="400" spans="1:9">
      <c r="B400" s="9"/>
    </row>
    <row r="401" spans="1:82">
      <c r="B401" s="10"/>
    </row>
    <row r="402" spans="1:82">
      <c r="B402" s="10"/>
    </row>
    <row r="403" spans="1:82">
      <c r="B403" s="11"/>
    </row>
    <row r="404" spans="1:82" ht="16" thickBot="1"/>
    <row r="405" spans="1:82" ht="16" thickTop="1">
      <c r="A405" s="178" t="s">
        <v>553</v>
      </c>
      <c r="B405" s="171"/>
      <c r="C405" s="171"/>
      <c r="D405" s="171"/>
      <c r="E405" s="171"/>
      <c r="F405" s="171"/>
      <c r="G405" s="171"/>
      <c r="H405" s="171"/>
      <c r="I405" s="171"/>
      <c r="J405" s="171"/>
      <c r="K405" s="171"/>
      <c r="L405" s="171"/>
      <c r="M405" s="171"/>
      <c r="N405" s="171"/>
      <c r="O405" s="171"/>
      <c r="P405" s="171"/>
      <c r="Q405" s="171"/>
      <c r="R405" s="171"/>
      <c r="S405" s="171"/>
      <c r="T405" s="171"/>
      <c r="U405" s="171"/>
      <c r="V405" s="171"/>
      <c r="W405" s="171"/>
      <c r="X405" s="171"/>
      <c r="Y405" s="171"/>
      <c r="Z405" s="171"/>
      <c r="AA405" s="171"/>
      <c r="AB405" s="171"/>
      <c r="AC405" s="171"/>
      <c r="AD405" s="171"/>
      <c r="AE405" s="171"/>
      <c r="AF405" s="171"/>
      <c r="AG405" s="171"/>
      <c r="AH405" s="171"/>
      <c r="AI405" s="171"/>
      <c r="AJ405" s="171"/>
      <c r="AK405" s="171"/>
      <c r="AL405" s="171"/>
      <c r="AM405" s="171"/>
      <c r="AN405" s="171"/>
      <c r="AO405" s="171"/>
      <c r="AP405" s="171"/>
      <c r="AQ405" s="171"/>
      <c r="AR405" s="171"/>
      <c r="AS405" s="171"/>
      <c r="AT405" s="171"/>
      <c r="AU405" s="171"/>
      <c r="AV405" s="171"/>
      <c r="AW405" s="171"/>
      <c r="AX405" s="171"/>
      <c r="AY405" s="171"/>
      <c r="AZ405" s="171"/>
      <c r="BA405" s="171"/>
      <c r="BB405" s="171"/>
      <c r="BC405" s="171"/>
      <c r="BD405" s="171"/>
      <c r="BE405" s="171"/>
      <c r="BF405" s="171"/>
      <c r="BG405" s="171"/>
      <c r="BH405" s="171"/>
      <c r="BI405" s="171"/>
      <c r="BJ405" s="171"/>
      <c r="BK405" s="171"/>
      <c r="BL405" s="171"/>
      <c r="BM405" s="171"/>
      <c r="BN405" s="171"/>
      <c r="BO405" s="171"/>
      <c r="BP405" s="171"/>
      <c r="BQ405" s="171"/>
      <c r="BR405" s="171"/>
      <c r="BS405" s="171"/>
      <c r="BT405" s="171"/>
      <c r="BU405" s="171"/>
      <c r="BV405" s="171"/>
      <c r="BW405" s="171"/>
      <c r="BX405" s="171"/>
      <c r="BY405" s="171"/>
      <c r="BZ405" s="171"/>
      <c r="CA405" s="171"/>
      <c r="CB405" s="171"/>
      <c r="CC405" s="171"/>
      <c r="CD405" s="171"/>
    </row>
    <row r="406" spans="1:82">
      <c r="A406" s="179" t="s">
        <v>707</v>
      </c>
    </row>
    <row r="407" spans="1:82">
      <c r="A407" s="179"/>
    </row>
    <row r="408" spans="1:82">
      <c r="A408" s="8" t="s">
        <v>0</v>
      </c>
      <c r="B408" s="9"/>
      <c r="C408" s="9"/>
      <c r="D408" s="9"/>
      <c r="E408" s="9"/>
      <c r="F408" s="9"/>
      <c r="G408" s="9"/>
      <c r="H408" s="9"/>
      <c r="I408" s="9"/>
      <c r="J408" s="9"/>
      <c r="K408" s="9"/>
      <c r="L408" s="9"/>
      <c r="M408" s="9"/>
      <c r="N408" s="9"/>
      <c r="O408" s="9"/>
      <c r="P408" s="9"/>
      <c r="Q408" s="9"/>
      <c r="R408" s="9"/>
      <c r="S408" s="9"/>
      <c r="T408" s="9"/>
      <c r="U408" s="9"/>
      <c r="V408" s="9"/>
      <c r="W408" s="9"/>
      <c r="X408" s="9"/>
      <c r="Y408" s="9"/>
      <c r="Z408" s="9"/>
      <c r="AA408" s="9"/>
      <c r="AB408" s="9"/>
      <c r="AC408" s="9"/>
      <c r="AD408" s="9"/>
      <c r="AE408" s="9"/>
      <c r="AF408" s="9"/>
      <c r="AG408" s="9"/>
      <c r="AH408" s="9"/>
      <c r="AI408" s="9"/>
      <c r="AJ408" s="9"/>
      <c r="AK408" s="9"/>
      <c r="AL408" s="9"/>
      <c r="AM408" s="9"/>
      <c r="AN408" s="9"/>
      <c r="AO408" s="9"/>
      <c r="AP408" s="9"/>
      <c r="AQ408" s="9"/>
      <c r="AR408" s="9"/>
      <c r="AS408" s="9"/>
      <c r="AT408" s="9"/>
      <c r="AU408" s="9"/>
      <c r="AV408" s="9"/>
      <c r="AW408" s="9"/>
      <c r="AX408" s="9"/>
      <c r="AY408" s="9"/>
      <c r="AZ408" s="9"/>
      <c r="BA408" s="9"/>
      <c r="BB408" s="9"/>
      <c r="BC408" s="9"/>
      <c r="BD408" s="9"/>
      <c r="BE408" s="9"/>
      <c r="BF408" s="9"/>
      <c r="BG408" s="9"/>
      <c r="BH408" s="9"/>
      <c r="BI408" s="9"/>
      <c r="BJ408" s="9"/>
      <c r="BK408" s="9"/>
      <c r="BL408" s="9"/>
      <c r="BM408" s="9"/>
      <c r="BN408" s="9"/>
      <c r="BO408" s="9"/>
      <c r="BP408" s="9"/>
      <c r="BQ408" s="9"/>
      <c r="BR408" s="9"/>
      <c r="BS408" s="9"/>
      <c r="BT408" s="9"/>
      <c r="BU408" s="9"/>
      <c r="BV408" s="9"/>
      <c r="BW408" s="9"/>
      <c r="BX408" s="9"/>
      <c r="BY408" s="9"/>
      <c r="BZ408" s="9"/>
      <c r="CA408" s="9"/>
      <c r="CB408" s="9"/>
      <c r="CC408" s="9"/>
      <c r="CD408" s="9"/>
    </row>
    <row r="409" spans="1:82">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c r="AN409" s="10"/>
      <c r="AO409" s="10"/>
      <c r="AP409" s="10"/>
      <c r="AQ409" s="10"/>
      <c r="AR409" s="10"/>
      <c r="AS409" s="10"/>
      <c r="AT409" s="10"/>
      <c r="AU409" s="10"/>
      <c r="AV409" s="10"/>
      <c r="AW409" s="10"/>
      <c r="AX409" s="10"/>
      <c r="AY409" s="10"/>
      <c r="AZ409" s="10"/>
      <c r="BA409" s="10"/>
      <c r="BB409" s="10"/>
      <c r="BC409" s="10"/>
      <c r="BD409" s="10"/>
      <c r="BE409" s="10"/>
      <c r="BF409" s="10"/>
      <c r="BG409" s="10"/>
      <c r="BH409" s="10"/>
      <c r="BI409" s="10"/>
      <c r="BJ409" s="10"/>
      <c r="BK409" s="10"/>
      <c r="BL409" s="10"/>
      <c r="BM409" s="10"/>
      <c r="BN409" s="10"/>
      <c r="BO409" s="10"/>
      <c r="BP409" s="10"/>
      <c r="BQ409" s="10"/>
      <c r="BR409" s="10"/>
      <c r="BS409" s="10"/>
      <c r="BT409" s="10"/>
      <c r="BU409" s="10"/>
      <c r="BV409" s="10"/>
      <c r="BW409" s="10"/>
      <c r="BX409" s="10"/>
      <c r="BY409" s="10"/>
      <c r="BZ409" s="10"/>
      <c r="CA409" s="10"/>
      <c r="CB409" s="10"/>
      <c r="CC409" s="10"/>
      <c r="CD409" s="10"/>
    </row>
    <row r="410" spans="1:82" ht="16">
      <c r="A410" s="7" t="s">
        <v>1</v>
      </c>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c r="AN410" s="10"/>
      <c r="AO410" s="10"/>
      <c r="AP410" s="10"/>
      <c r="AQ410" s="10"/>
      <c r="AR410" s="10"/>
      <c r="AS410" s="10"/>
      <c r="AT410" s="10"/>
      <c r="AU410" s="10"/>
      <c r="AV410" s="10"/>
      <c r="AW410" s="10"/>
      <c r="AX410" s="10"/>
      <c r="AY410" s="10"/>
      <c r="AZ410" s="10"/>
      <c r="BA410" s="10"/>
      <c r="BB410" s="10"/>
      <c r="BC410" s="10"/>
      <c r="BD410" s="10"/>
      <c r="BE410" s="10"/>
      <c r="BF410" s="10"/>
      <c r="BG410" s="10"/>
      <c r="BH410" s="10"/>
      <c r="BI410" s="10"/>
      <c r="BJ410" s="10"/>
      <c r="BK410" s="10"/>
      <c r="BL410" s="10"/>
      <c r="BM410" s="10"/>
      <c r="BN410" s="10"/>
      <c r="BO410" s="10"/>
      <c r="BP410" s="10"/>
      <c r="BQ410" s="10"/>
      <c r="BR410" s="10"/>
      <c r="BS410" s="10"/>
      <c r="BT410" s="10"/>
      <c r="BU410" s="10"/>
      <c r="BV410" s="10"/>
      <c r="BW410" s="10"/>
      <c r="BX410" s="10"/>
      <c r="BY410" s="10"/>
      <c r="BZ410" s="10"/>
      <c r="CA410" s="10"/>
      <c r="CB410" s="10"/>
      <c r="CC410" s="10"/>
      <c r="CD410" s="10"/>
    </row>
    <row r="411" spans="1:82">
      <c r="A411" s="8" t="s">
        <v>4</v>
      </c>
      <c r="B411" s="11"/>
      <c r="C411" s="11"/>
      <c r="D411" s="11"/>
      <c r="E411" s="11"/>
      <c r="F411" s="11"/>
      <c r="G411" s="11"/>
      <c r="H411" s="11"/>
      <c r="I411" s="11"/>
      <c r="J411" s="11"/>
      <c r="K411" s="11"/>
      <c r="L411" s="11"/>
      <c r="M411" s="11"/>
      <c r="N411" s="11"/>
      <c r="O411" s="11"/>
      <c r="P411" s="11"/>
      <c r="Q411" s="11"/>
      <c r="R411" s="11"/>
      <c r="S411" s="11"/>
      <c r="T411" s="11"/>
      <c r="U411" s="11"/>
      <c r="V411" s="11"/>
      <c r="W411" s="11"/>
      <c r="X411" s="11"/>
      <c r="Y411" s="11"/>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c r="BC411" s="11"/>
      <c r="BD411" s="11"/>
      <c r="BE411" s="11"/>
      <c r="BF411" s="11"/>
      <c r="BG411" s="11"/>
      <c r="BH411" s="11"/>
      <c r="BI411" s="11"/>
      <c r="BJ411" s="11"/>
      <c r="BK411" s="11"/>
      <c r="BL411" s="11"/>
      <c r="BM411" s="11"/>
      <c r="BN411" s="11"/>
      <c r="BO411" s="11"/>
      <c r="BP411" s="11"/>
      <c r="BQ411" s="11"/>
      <c r="BR411" s="11"/>
      <c r="BS411" s="11"/>
      <c r="BT411" s="11"/>
      <c r="BU411" s="11"/>
      <c r="BV411" s="11"/>
      <c r="BW411" s="11"/>
      <c r="BX411" s="11"/>
      <c r="BY411" s="11"/>
      <c r="BZ411" s="11"/>
      <c r="CA411" s="11"/>
      <c r="CB411" s="11"/>
      <c r="CC411" s="11"/>
      <c r="CD411" s="11"/>
    </row>
    <row r="412" spans="1:82">
      <c r="A412" s="8" t="s">
        <v>5</v>
      </c>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c r="BI412" s="12"/>
      <c r="BJ412" s="12"/>
      <c r="BK412" s="12"/>
      <c r="BL412" s="12"/>
      <c r="BM412" s="12"/>
      <c r="BN412" s="12"/>
      <c r="BO412" s="12"/>
      <c r="BP412" s="12"/>
      <c r="BQ412" s="12"/>
      <c r="BR412" s="12"/>
      <c r="BS412" s="12"/>
      <c r="BT412" s="12"/>
      <c r="BU412" s="12"/>
      <c r="BV412" s="12"/>
      <c r="BW412" s="12"/>
      <c r="BX412" s="12"/>
      <c r="BY412" s="12"/>
      <c r="BZ412" s="12"/>
      <c r="CA412" s="12"/>
      <c r="CB412" s="12"/>
      <c r="CC412" s="12"/>
      <c r="CD412" s="12"/>
    </row>
    <row r="413" spans="1:82" ht="16">
      <c r="A413" s="7" t="s">
        <v>6</v>
      </c>
      <c r="B413" s="8"/>
      <c r="C413" s="8"/>
      <c r="D413" s="8"/>
      <c r="E413" s="8"/>
      <c r="F413" s="8"/>
      <c r="G413" s="8"/>
      <c r="H413" s="8"/>
      <c r="I413" s="8"/>
      <c r="J413" s="8"/>
      <c r="K413" s="8"/>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8"/>
    </row>
    <row r="414" spans="1:82">
      <c r="A414" s="8" t="s">
        <v>7</v>
      </c>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row>
    <row r="415" spans="1:82">
      <c r="A415" s="8" t="s">
        <v>8</v>
      </c>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row>
    <row r="416" spans="1:82" ht="16">
      <c r="A416" s="7" t="s">
        <v>9</v>
      </c>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15"/>
      <c r="CB416" s="15"/>
      <c r="CC416" s="15"/>
      <c r="CD416" s="15"/>
    </row>
    <row r="417" spans="1:84">
      <c r="A417" s="180" t="s">
        <v>708</v>
      </c>
      <c r="B417" s="16"/>
      <c r="C417" s="16"/>
      <c r="D417" s="16"/>
      <c r="E417" s="16"/>
      <c r="F417" s="16"/>
      <c r="G417" s="16"/>
      <c r="H417" s="16"/>
      <c r="I417" s="16"/>
      <c r="J417" s="16"/>
      <c r="K417" s="16"/>
      <c r="L417" s="16"/>
      <c r="M417" s="16"/>
      <c r="N417" s="16"/>
      <c r="O417" s="16"/>
      <c r="P417" s="16"/>
      <c r="Q417" s="16"/>
      <c r="R417" s="16"/>
      <c r="S417" s="16"/>
      <c r="T417" s="16"/>
      <c r="U417" s="16"/>
      <c r="V417" s="16"/>
      <c r="W417" s="16"/>
      <c r="X417" s="16"/>
      <c r="Y417" s="16"/>
      <c r="Z417" s="16"/>
      <c r="AA417" s="16"/>
      <c r="AB417" s="16"/>
      <c r="AC417" s="16"/>
      <c r="AD417" s="16"/>
      <c r="AE417" s="16"/>
      <c r="AF417" s="16"/>
      <c r="AG417" s="16"/>
      <c r="AH417" s="16"/>
      <c r="AI417" s="16"/>
      <c r="AJ417" s="16"/>
      <c r="AK417" s="16"/>
      <c r="AL417" s="16"/>
      <c r="AM417" s="16"/>
      <c r="AN417" s="16"/>
      <c r="AO417" s="16"/>
      <c r="AP417" s="16"/>
      <c r="AQ417" s="16"/>
      <c r="AR417" s="16"/>
      <c r="AS417" s="16"/>
      <c r="AT417" s="16"/>
      <c r="AU417" s="16"/>
      <c r="AV417" s="16"/>
      <c r="AW417" s="16"/>
      <c r="AX417" s="16"/>
      <c r="AY417" s="16"/>
      <c r="AZ417" s="16"/>
      <c r="BA417" s="16"/>
      <c r="BB417" s="16"/>
      <c r="BC417" s="16"/>
      <c r="BD417" s="16"/>
      <c r="BE417" s="16"/>
      <c r="BF417" s="16"/>
      <c r="BG417" s="16"/>
      <c r="BH417" s="16"/>
      <c r="BI417" s="16"/>
      <c r="BJ417" s="16"/>
      <c r="BK417" s="16"/>
      <c r="BL417" s="16"/>
      <c r="BM417" s="16"/>
      <c r="BN417" s="16"/>
      <c r="BO417" s="16"/>
      <c r="BP417" s="16"/>
      <c r="BQ417" s="16"/>
      <c r="BR417" s="16"/>
      <c r="BS417" s="16"/>
      <c r="BT417" s="16"/>
      <c r="BU417" s="16"/>
      <c r="BV417" s="16"/>
      <c r="BW417" s="16"/>
      <c r="BX417" s="16"/>
      <c r="BY417" s="16"/>
      <c r="BZ417" s="16"/>
      <c r="CA417" s="16"/>
      <c r="CB417" s="16"/>
      <c r="CC417" s="16"/>
      <c r="CD417" s="16"/>
    </row>
    <row r="418" spans="1:84">
      <c r="A418" s="180" t="s">
        <v>709</v>
      </c>
      <c r="B418" s="16"/>
      <c r="C418" s="16"/>
      <c r="D418" s="16"/>
      <c r="E418" s="16"/>
      <c r="F418" s="16"/>
      <c r="G418" s="16"/>
      <c r="H418" s="16"/>
      <c r="I418" s="16"/>
      <c r="J418" s="16"/>
      <c r="K418" s="16"/>
      <c r="L418" s="16"/>
      <c r="M418" s="16"/>
      <c r="N418" s="16"/>
      <c r="O418" s="16"/>
      <c r="P418" s="16"/>
      <c r="Q418" s="16"/>
      <c r="R418" s="16"/>
      <c r="S418" s="16"/>
      <c r="T418" s="16"/>
      <c r="U418" s="16"/>
      <c r="V418" s="16"/>
      <c r="W418" s="16"/>
      <c r="X418" s="16"/>
      <c r="Y418" s="16"/>
      <c r="Z418" s="16"/>
      <c r="AA418" s="16"/>
      <c r="AB418" s="16"/>
      <c r="AC418" s="16"/>
      <c r="AD418" s="16"/>
      <c r="AE418" s="16"/>
      <c r="AF418" s="16"/>
      <c r="AG418" s="16"/>
      <c r="AH418" s="16"/>
      <c r="AI418" s="16"/>
      <c r="AJ418" s="16"/>
      <c r="AK418" s="16"/>
      <c r="AL418" s="16"/>
      <c r="AM418" s="16"/>
      <c r="AN418" s="16"/>
      <c r="AO418" s="16"/>
      <c r="AP418" s="16"/>
      <c r="AQ418" s="16"/>
      <c r="AR418" s="16"/>
      <c r="AS418" s="16"/>
      <c r="AT418" s="16"/>
      <c r="AU418" s="16"/>
      <c r="AV418" s="16"/>
      <c r="AW418" s="16"/>
      <c r="AX418" s="16"/>
      <c r="AY418" s="16"/>
      <c r="AZ418" s="16"/>
      <c r="BA418" s="16"/>
      <c r="BB418" s="16"/>
      <c r="BC418" s="16"/>
      <c r="BD418" s="16"/>
      <c r="BE418" s="16"/>
      <c r="BF418" s="16"/>
      <c r="BG418" s="16"/>
      <c r="BH418" s="16"/>
      <c r="BI418" s="16"/>
      <c r="BJ418" s="16"/>
      <c r="BK418" s="16"/>
      <c r="BL418" s="16"/>
      <c r="BM418" s="16"/>
      <c r="BN418" s="16"/>
      <c r="BO418" s="16"/>
      <c r="BP418" s="16"/>
      <c r="BQ418" s="16"/>
      <c r="BR418" s="16"/>
      <c r="BS418" s="16"/>
      <c r="BT418" s="16"/>
      <c r="BU418" s="16"/>
      <c r="BV418" s="16"/>
      <c r="BW418" s="16"/>
      <c r="BX418" s="16"/>
      <c r="BY418" s="16"/>
      <c r="BZ418" s="16"/>
      <c r="CA418" s="16"/>
      <c r="CB418" s="16"/>
      <c r="CC418" s="16"/>
      <c r="CD418" s="16"/>
    </row>
    <row r="419" spans="1:84">
      <c r="A419" s="180" t="s">
        <v>710</v>
      </c>
      <c r="B419" s="16"/>
      <c r="C419" s="16"/>
      <c r="D419" s="16"/>
      <c r="E419" s="16"/>
      <c r="F419" s="16"/>
      <c r="G419" s="16"/>
      <c r="H419" s="16"/>
      <c r="I419" s="16"/>
      <c r="J419" s="16"/>
      <c r="K419" s="16"/>
      <c r="L419" s="16"/>
      <c r="M419" s="16"/>
      <c r="N419" s="16"/>
      <c r="O419" s="16"/>
      <c r="P419" s="16"/>
      <c r="Q419" s="16"/>
      <c r="R419" s="16"/>
      <c r="S419" s="16"/>
      <c r="T419" s="16"/>
      <c r="U419" s="16"/>
      <c r="V419" s="16"/>
      <c r="W419" s="16"/>
      <c r="X419" s="16"/>
      <c r="Y419" s="16"/>
      <c r="Z419" s="16"/>
      <c r="AA419" s="16"/>
      <c r="AB419" s="16"/>
      <c r="AC419" s="16"/>
      <c r="AD419" s="16"/>
      <c r="AE419" s="16"/>
      <c r="AF419" s="16"/>
      <c r="AG419" s="16"/>
      <c r="AH419" s="16"/>
      <c r="AI419" s="16"/>
      <c r="AJ419" s="16"/>
      <c r="AK419" s="16"/>
      <c r="AL419" s="16"/>
      <c r="AM419" s="16"/>
      <c r="AN419" s="16"/>
      <c r="AO419" s="16"/>
      <c r="AP419" s="16"/>
      <c r="AQ419" s="16"/>
      <c r="AR419" s="16"/>
      <c r="AS419" s="16"/>
      <c r="AT419" s="16"/>
      <c r="AU419" s="16"/>
      <c r="AV419" s="16"/>
      <c r="AW419" s="16"/>
      <c r="AX419" s="16"/>
      <c r="AY419" s="16"/>
      <c r="AZ419" s="16"/>
      <c r="BA419" s="16"/>
      <c r="BB419" s="16"/>
      <c r="BC419" s="16"/>
      <c r="BD419" s="16"/>
      <c r="BE419" s="16"/>
      <c r="BF419" s="16"/>
      <c r="BG419" s="16"/>
      <c r="BH419" s="16"/>
      <c r="BI419" s="16"/>
      <c r="BJ419" s="16"/>
      <c r="BK419" s="16"/>
      <c r="BL419" s="16"/>
      <c r="BM419" s="16"/>
      <c r="BN419" s="16"/>
      <c r="BO419" s="16"/>
      <c r="BP419" s="16"/>
      <c r="BQ419" s="16"/>
      <c r="BR419" s="16"/>
      <c r="BS419" s="16"/>
      <c r="BT419" s="16"/>
      <c r="BU419" s="16"/>
      <c r="BV419" s="16"/>
      <c r="BW419" s="16"/>
      <c r="BX419" s="16"/>
      <c r="BY419" s="16"/>
      <c r="BZ419" s="16"/>
      <c r="CA419" s="16"/>
      <c r="CB419" s="16"/>
      <c r="CC419" s="16"/>
      <c r="CD419" s="16"/>
    </row>
    <row r="420" spans="1:84">
      <c r="A420" s="180" t="s">
        <v>711</v>
      </c>
      <c r="B420" s="16"/>
      <c r="C420" s="16"/>
      <c r="D420" s="16"/>
      <c r="E420" s="16"/>
      <c r="F420" s="16"/>
      <c r="G420" s="16"/>
      <c r="H420" s="16"/>
      <c r="I420" s="16"/>
      <c r="J420" s="16"/>
      <c r="K420" s="16"/>
      <c r="L420" s="16"/>
      <c r="M420" s="16"/>
      <c r="N420" s="16"/>
      <c r="O420" s="16"/>
      <c r="P420" s="16"/>
      <c r="Q420" s="16"/>
      <c r="R420" s="16"/>
      <c r="S420" s="16"/>
      <c r="T420" s="16"/>
      <c r="U420" s="16"/>
      <c r="V420" s="16"/>
      <c r="W420" s="16"/>
      <c r="X420" s="16"/>
      <c r="Y420" s="16"/>
      <c r="Z420" s="16"/>
      <c r="AA420" s="16"/>
      <c r="AB420" s="16"/>
      <c r="AC420" s="16"/>
      <c r="AD420" s="16"/>
      <c r="AE420" s="16"/>
      <c r="AF420" s="16"/>
      <c r="AG420" s="16"/>
      <c r="AH420" s="16"/>
      <c r="AI420" s="16"/>
      <c r="AJ420" s="16"/>
      <c r="AK420" s="16"/>
      <c r="AL420" s="16"/>
      <c r="AM420" s="16"/>
      <c r="AN420" s="16"/>
      <c r="AO420" s="16"/>
      <c r="AP420" s="16"/>
      <c r="AQ420" s="16"/>
      <c r="AR420" s="16"/>
      <c r="AS420" s="16"/>
      <c r="AT420" s="16"/>
      <c r="AU420" s="16"/>
      <c r="AV420" s="16"/>
      <c r="AW420" s="16"/>
      <c r="AX420" s="16"/>
      <c r="AY420" s="16"/>
      <c r="AZ420" s="16"/>
      <c r="BA420" s="16"/>
      <c r="BB420" s="16"/>
      <c r="BC420" s="16"/>
      <c r="BD420" s="16"/>
      <c r="BE420" s="16"/>
      <c r="BF420" s="16"/>
      <c r="BG420" s="16"/>
      <c r="BH420" s="16"/>
      <c r="BI420" s="16"/>
      <c r="BJ420" s="16"/>
      <c r="BK420" s="16"/>
      <c r="BL420" s="16"/>
      <c r="BM420" s="16"/>
      <c r="BN420" s="16"/>
      <c r="BO420" s="16"/>
      <c r="BP420" s="16"/>
      <c r="BQ420" s="16"/>
      <c r="BR420" s="16"/>
      <c r="BS420" s="16"/>
      <c r="BT420" s="16"/>
      <c r="BU420" s="16"/>
      <c r="BV420" s="16"/>
      <c r="BW420" s="16"/>
      <c r="BX420" s="16"/>
      <c r="BY420" s="16"/>
      <c r="BZ420" s="16"/>
      <c r="CA420" s="16"/>
      <c r="CB420" s="16"/>
      <c r="CC420" s="16"/>
      <c r="CD420" s="16"/>
    </row>
    <row r="421" spans="1:84">
      <c r="A421" s="180" t="s">
        <v>712</v>
      </c>
      <c r="B421" s="16"/>
      <c r="C421" s="16"/>
      <c r="D421" s="16"/>
      <c r="E421" s="16"/>
      <c r="F421" s="16"/>
      <c r="G421" s="16"/>
      <c r="H421" s="16"/>
      <c r="I421" s="16"/>
      <c r="J421" s="16"/>
      <c r="K421" s="16"/>
      <c r="L421" s="16"/>
      <c r="M421" s="16"/>
      <c r="N421" s="16"/>
      <c r="O421" s="16"/>
      <c r="P421" s="16"/>
      <c r="Q421" s="16"/>
      <c r="R421" s="16"/>
      <c r="S421" s="16"/>
      <c r="T421" s="16"/>
      <c r="U421" s="16"/>
      <c r="V421" s="16"/>
      <c r="W421" s="16"/>
      <c r="X421" s="16"/>
      <c r="Y421" s="16"/>
      <c r="Z421" s="16"/>
      <c r="AA421" s="16"/>
      <c r="AB421" s="16"/>
      <c r="AC421" s="16"/>
      <c r="AD421" s="16"/>
      <c r="AE421" s="16"/>
      <c r="AF421" s="16"/>
      <c r="AG421" s="16"/>
      <c r="AH421" s="16"/>
      <c r="AI421" s="16"/>
      <c r="AJ421" s="16"/>
      <c r="AK421" s="16"/>
      <c r="AL421" s="16"/>
      <c r="AM421" s="16"/>
      <c r="AN421" s="16"/>
      <c r="AO421" s="16"/>
      <c r="AP421" s="16"/>
      <c r="AQ421" s="16"/>
      <c r="AR421" s="16"/>
      <c r="AS421" s="16"/>
      <c r="AT421" s="16"/>
      <c r="AU421" s="16"/>
      <c r="AV421" s="16"/>
      <c r="AW421" s="16"/>
      <c r="AX421" s="16"/>
      <c r="AY421" s="16"/>
      <c r="AZ421" s="16"/>
      <c r="BA421" s="16"/>
      <c r="BB421" s="16"/>
      <c r="BC421" s="16"/>
      <c r="BD421" s="16"/>
      <c r="BE421" s="16"/>
      <c r="BF421" s="16"/>
      <c r="BG421" s="16"/>
      <c r="BH421" s="16"/>
      <c r="BI421" s="16"/>
      <c r="BJ421" s="16"/>
      <c r="BK421" s="16"/>
      <c r="BL421" s="16"/>
      <c r="BM421" s="16"/>
      <c r="BN421" s="16"/>
      <c r="BO421" s="16"/>
      <c r="BP421" s="16"/>
      <c r="BQ421" s="16"/>
      <c r="BR421" s="16"/>
      <c r="BS421" s="16"/>
      <c r="BT421" s="16"/>
      <c r="BU421" s="16"/>
      <c r="BV421" s="16"/>
      <c r="BW421" s="16"/>
      <c r="BX421" s="16"/>
      <c r="BY421" s="16"/>
      <c r="BZ421" s="16"/>
      <c r="CA421" s="16"/>
      <c r="CB421" s="16"/>
      <c r="CC421" s="16"/>
      <c r="CD421" s="16"/>
    </row>
    <row r="422" spans="1:84">
      <c r="A422" s="180" t="s">
        <v>713</v>
      </c>
      <c r="B422" s="16"/>
      <c r="C422" s="16"/>
      <c r="D422" s="16"/>
      <c r="E422" s="16"/>
      <c r="F422" s="16"/>
      <c r="G422" s="16"/>
      <c r="H422" s="16"/>
      <c r="I422" s="16"/>
      <c r="J422" s="16"/>
      <c r="K422" s="16"/>
      <c r="L422" s="16"/>
      <c r="M422" s="16"/>
      <c r="N422" s="16"/>
      <c r="O422" s="16"/>
      <c r="P422" s="16"/>
      <c r="Q422" s="16"/>
      <c r="R422" s="16"/>
      <c r="S422" s="16"/>
      <c r="T422" s="16"/>
      <c r="U422" s="16"/>
      <c r="V422" s="16"/>
      <c r="W422" s="16"/>
      <c r="X422" s="16"/>
      <c r="Y422" s="16"/>
      <c r="Z422" s="16"/>
      <c r="AA422" s="16"/>
      <c r="AB422" s="16"/>
      <c r="AC422" s="16"/>
      <c r="AD422" s="16"/>
      <c r="AE422" s="16"/>
      <c r="AF422" s="16"/>
      <c r="AG422" s="16"/>
      <c r="AH422" s="16"/>
      <c r="AI422" s="16"/>
      <c r="AJ422" s="16"/>
      <c r="AK422" s="16"/>
      <c r="AL422" s="16"/>
      <c r="AM422" s="16"/>
      <c r="AN422" s="16"/>
      <c r="AO422" s="16"/>
      <c r="AP422" s="16"/>
      <c r="AQ422" s="16"/>
      <c r="AR422" s="16"/>
      <c r="AS422" s="16"/>
      <c r="AT422" s="16"/>
      <c r="AU422" s="16"/>
      <c r="AV422" s="16"/>
      <c r="AW422" s="16"/>
      <c r="AX422" s="16"/>
      <c r="AY422" s="16"/>
      <c r="AZ422" s="16"/>
      <c r="BA422" s="16"/>
      <c r="BB422" s="16"/>
      <c r="BC422" s="16"/>
      <c r="BD422" s="16"/>
      <c r="BE422" s="16"/>
      <c r="BF422" s="16"/>
      <c r="BG422" s="16"/>
      <c r="BH422" s="16"/>
      <c r="BI422" s="16"/>
      <c r="BJ422" s="16"/>
      <c r="BK422" s="16"/>
      <c r="BL422" s="16"/>
      <c r="BM422" s="16"/>
      <c r="BN422" s="16"/>
      <c r="BO422" s="16"/>
      <c r="BP422" s="16"/>
      <c r="BQ422" s="16"/>
      <c r="BR422" s="16"/>
      <c r="BS422" s="16"/>
      <c r="BT422" s="16"/>
      <c r="BU422" s="16"/>
      <c r="BV422" s="16"/>
      <c r="BW422" s="16"/>
      <c r="BX422" s="16"/>
      <c r="BY422" s="16"/>
      <c r="BZ422" s="16"/>
      <c r="CA422" s="16"/>
      <c r="CB422" s="16"/>
      <c r="CC422" s="16"/>
      <c r="CD422" s="16"/>
    </row>
    <row r="423" spans="1:84">
      <c r="A423" s="180" t="s">
        <v>714</v>
      </c>
      <c r="B423" s="16"/>
      <c r="C423" s="16"/>
      <c r="D423" s="16"/>
      <c r="E423" s="16"/>
      <c r="F423" s="16"/>
      <c r="G423" s="16"/>
      <c r="H423" s="16"/>
      <c r="I423" s="16"/>
      <c r="J423" s="16"/>
      <c r="K423" s="16"/>
      <c r="L423" s="16"/>
      <c r="M423" s="16"/>
      <c r="N423" s="16"/>
      <c r="O423" s="16"/>
      <c r="P423" s="16"/>
      <c r="Q423" s="16"/>
      <c r="R423" s="16"/>
      <c r="S423" s="16"/>
      <c r="T423" s="16"/>
      <c r="U423" s="16"/>
      <c r="V423" s="16"/>
      <c r="W423" s="16"/>
      <c r="X423" s="16"/>
      <c r="Y423" s="16"/>
      <c r="Z423" s="16"/>
      <c r="AA423" s="16"/>
      <c r="AB423" s="16"/>
      <c r="AC423" s="16"/>
      <c r="AD423" s="16"/>
      <c r="AE423" s="16"/>
      <c r="AF423" s="16"/>
      <c r="AG423" s="16"/>
      <c r="AH423" s="16"/>
      <c r="AI423" s="16"/>
      <c r="AJ423" s="16"/>
      <c r="AK423" s="16"/>
      <c r="AL423" s="16"/>
      <c r="AM423" s="16"/>
      <c r="AN423" s="16"/>
      <c r="AO423" s="16"/>
      <c r="AP423" s="16"/>
      <c r="AQ423" s="16"/>
      <c r="AR423" s="16"/>
      <c r="AS423" s="16"/>
      <c r="AT423" s="16"/>
      <c r="AU423" s="16"/>
      <c r="AV423" s="16"/>
      <c r="AW423" s="16"/>
      <c r="AX423" s="16"/>
      <c r="AY423" s="16"/>
      <c r="AZ423" s="16"/>
      <c r="BA423" s="16"/>
      <c r="BB423" s="16"/>
      <c r="BC423" s="16"/>
      <c r="BD423" s="16"/>
      <c r="BE423" s="16"/>
      <c r="BF423" s="16"/>
      <c r="BG423" s="16"/>
      <c r="BH423" s="16"/>
      <c r="BI423" s="16"/>
      <c r="BJ423" s="16"/>
      <c r="BK423" s="16"/>
      <c r="BL423" s="16"/>
      <c r="BM423" s="16"/>
      <c r="BN423" s="16"/>
      <c r="BO423" s="16"/>
      <c r="BP423" s="16"/>
      <c r="BQ423" s="16"/>
      <c r="BR423" s="16"/>
      <c r="BS423" s="16"/>
      <c r="BT423" s="16"/>
      <c r="BU423" s="16"/>
      <c r="BV423" s="16"/>
      <c r="BW423" s="16"/>
      <c r="BX423" s="16"/>
      <c r="BY423" s="16"/>
      <c r="BZ423" s="16"/>
      <c r="CA423" s="16"/>
      <c r="CB423" s="16"/>
      <c r="CC423" s="16"/>
      <c r="CD423" s="16"/>
    </row>
    <row r="424" spans="1:84">
      <c r="A424" s="180" t="s">
        <v>715</v>
      </c>
      <c r="B424" s="16"/>
      <c r="C424" s="16"/>
      <c r="D424" s="16"/>
      <c r="E424" s="16"/>
      <c r="F424" s="16"/>
      <c r="G424" s="16"/>
      <c r="H424" s="16"/>
      <c r="I424" s="16"/>
      <c r="J424" s="16"/>
      <c r="K424" s="16"/>
      <c r="L424" s="16"/>
      <c r="M424" s="16"/>
      <c r="N424" s="16"/>
      <c r="O424" s="16"/>
      <c r="P424" s="16"/>
      <c r="Q424" s="16"/>
      <c r="R424" s="16"/>
      <c r="S424" s="16"/>
      <c r="T424" s="16"/>
      <c r="U424" s="16"/>
      <c r="V424" s="16"/>
      <c r="W424" s="16"/>
      <c r="X424" s="16"/>
      <c r="Y424" s="16"/>
      <c r="Z424" s="16"/>
      <c r="AA424" s="16"/>
      <c r="AB424" s="16"/>
      <c r="AC424" s="16"/>
      <c r="AD424" s="16"/>
      <c r="AE424" s="16"/>
      <c r="AF424" s="16"/>
      <c r="AG424" s="16"/>
      <c r="AH424" s="16"/>
      <c r="AI424" s="16"/>
      <c r="AJ424" s="16"/>
      <c r="AK424" s="16"/>
      <c r="AL424" s="16"/>
      <c r="AM424" s="16"/>
      <c r="AN424" s="16"/>
      <c r="AO424" s="16"/>
      <c r="AP424" s="16"/>
      <c r="AQ424" s="16"/>
      <c r="AR424" s="16"/>
      <c r="AS424" s="16"/>
      <c r="AT424" s="16"/>
      <c r="AU424" s="16"/>
      <c r="AV424" s="16"/>
      <c r="AW424" s="16"/>
      <c r="AX424" s="16"/>
      <c r="AY424" s="16"/>
      <c r="AZ424" s="16"/>
      <c r="BA424" s="16"/>
      <c r="BB424" s="16"/>
      <c r="BC424" s="16"/>
      <c r="BD424" s="16"/>
      <c r="BE424" s="16"/>
      <c r="BF424" s="16"/>
      <c r="BG424" s="16"/>
      <c r="BH424" s="16"/>
      <c r="BI424" s="16"/>
      <c r="BJ424" s="16"/>
      <c r="BK424" s="16"/>
      <c r="BL424" s="16"/>
      <c r="BM424" s="16"/>
      <c r="BN424" s="16"/>
      <c r="BO424" s="16"/>
      <c r="BP424" s="16"/>
      <c r="BQ424" s="16"/>
      <c r="BR424" s="16"/>
      <c r="BS424" s="16"/>
      <c r="BT424" s="16"/>
      <c r="BU424" s="16"/>
      <c r="BV424" s="16"/>
      <c r="BW424" s="16"/>
      <c r="BX424" s="16"/>
      <c r="BY424" s="16"/>
      <c r="BZ424" s="16"/>
      <c r="CA424" s="16"/>
      <c r="CB424" s="16"/>
      <c r="CC424" s="16"/>
      <c r="CD424" s="16"/>
    </row>
    <row r="425" spans="1:84">
      <c r="A425" s="180" t="s">
        <v>716</v>
      </c>
      <c r="B425" s="16"/>
      <c r="C425" s="16"/>
      <c r="D425" s="16"/>
      <c r="E425" s="16"/>
      <c r="F425" s="16"/>
      <c r="G425" s="16"/>
      <c r="H425" s="16"/>
      <c r="I425" s="16"/>
      <c r="J425" s="16"/>
      <c r="K425" s="16"/>
      <c r="L425" s="16"/>
      <c r="M425" s="16"/>
      <c r="N425" s="16"/>
      <c r="O425" s="16"/>
      <c r="P425" s="16"/>
      <c r="Q425" s="16"/>
      <c r="R425" s="16"/>
      <c r="S425" s="16"/>
      <c r="T425" s="16"/>
      <c r="U425" s="16"/>
      <c r="V425" s="16"/>
      <c r="W425" s="16"/>
      <c r="X425" s="16"/>
      <c r="Y425" s="16"/>
      <c r="Z425" s="16"/>
      <c r="AA425" s="16"/>
      <c r="AB425" s="16"/>
      <c r="AC425" s="16"/>
      <c r="AD425" s="16"/>
      <c r="AE425" s="16"/>
      <c r="AF425" s="16"/>
      <c r="AG425" s="16"/>
      <c r="AH425" s="16"/>
      <c r="AI425" s="16"/>
      <c r="AJ425" s="16"/>
      <c r="AK425" s="16"/>
      <c r="AL425" s="16"/>
      <c r="AM425" s="16"/>
      <c r="AN425" s="16"/>
      <c r="AO425" s="16"/>
      <c r="AP425" s="16"/>
      <c r="AQ425" s="16"/>
      <c r="AR425" s="16"/>
      <c r="AS425" s="16"/>
      <c r="AT425" s="16"/>
      <c r="AU425" s="16"/>
      <c r="AV425" s="16"/>
      <c r="AW425" s="16"/>
      <c r="AX425" s="16"/>
      <c r="AY425" s="16"/>
      <c r="AZ425" s="16"/>
      <c r="BA425" s="16"/>
      <c r="BB425" s="16"/>
      <c r="BC425" s="16"/>
      <c r="BD425" s="16"/>
      <c r="BE425" s="16"/>
      <c r="BF425" s="16"/>
      <c r="BG425" s="16"/>
      <c r="BH425" s="16"/>
      <c r="BI425" s="16"/>
      <c r="BJ425" s="16"/>
      <c r="BK425" s="16"/>
      <c r="BL425" s="16"/>
      <c r="BM425" s="16"/>
      <c r="BN425" s="16"/>
      <c r="BO425" s="16"/>
      <c r="BP425" s="16"/>
      <c r="BQ425" s="16"/>
      <c r="BR425" s="16"/>
      <c r="BS425" s="16"/>
      <c r="BT425" s="16"/>
      <c r="BU425" s="16"/>
      <c r="BV425" s="16"/>
      <c r="BW425" s="16"/>
      <c r="BX425" s="16"/>
      <c r="BY425" s="16"/>
      <c r="BZ425" s="16"/>
      <c r="CA425" s="16"/>
      <c r="CB425" s="16"/>
      <c r="CC425" s="16"/>
      <c r="CD425" s="16"/>
    </row>
    <row r="426" spans="1:84">
      <c r="A426" s="180" t="s">
        <v>717</v>
      </c>
      <c r="B426" s="16"/>
      <c r="C426" s="16"/>
      <c r="D426" s="16"/>
      <c r="E426" s="16"/>
      <c r="F426" s="16"/>
      <c r="G426" s="16"/>
      <c r="H426" s="16"/>
      <c r="I426" s="16"/>
      <c r="J426" s="16"/>
      <c r="K426" s="16"/>
      <c r="L426" s="16"/>
      <c r="M426" s="16"/>
      <c r="N426" s="16"/>
      <c r="O426" s="16"/>
      <c r="P426" s="16"/>
      <c r="Q426" s="16"/>
      <c r="R426" s="16"/>
      <c r="S426" s="16"/>
      <c r="T426" s="16"/>
      <c r="U426" s="16"/>
      <c r="V426" s="16"/>
      <c r="W426" s="16"/>
      <c r="X426" s="16"/>
      <c r="Y426" s="16"/>
      <c r="Z426" s="16"/>
      <c r="AA426" s="16"/>
      <c r="AB426" s="16"/>
      <c r="AC426" s="16"/>
      <c r="AD426" s="16"/>
      <c r="AE426" s="16"/>
      <c r="AF426" s="16"/>
      <c r="AG426" s="16"/>
      <c r="AH426" s="16"/>
      <c r="AI426" s="16"/>
      <c r="AJ426" s="16"/>
      <c r="AK426" s="16"/>
      <c r="AL426" s="16"/>
      <c r="AM426" s="16"/>
      <c r="AN426" s="16"/>
      <c r="AO426" s="16"/>
      <c r="AP426" s="16"/>
      <c r="AQ426" s="16"/>
      <c r="AR426" s="16"/>
      <c r="AS426" s="16"/>
      <c r="AT426" s="16"/>
      <c r="AU426" s="16"/>
      <c r="AV426" s="16"/>
      <c r="AW426" s="16"/>
      <c r="AX426" s="16"/>
      <c r="AY426" s="16"/>
      <c r="AZ426" s="16"/>
      <c r="BA426" s="16"/>
      <c r="BB426" s="16"/>
      <c r="BC426" s="16"/>
      <c r="BD426" s="16"/>
      <c r="BE426" s="16"/>
      <c r="BF426" s="16"/>
      <c r="BG426" s="16"/>
      <c r="BH426" s="16"/>
      <c r="BI426" s="16"/>
      <c r="BJ426" s="16"/>
      <c r="BK426" s="16"/>
      <c r="BL426" s="16"/>
      <c r="BM426" s="16"/>
      <c r="BN426" s="16"/>
      <c r="BO426" s="16"/>
      <c r="BP426" s="16"/>
      <c r="BQ426" s="16"/>
      <c r="BR426" s="16"/>
      <c r="BS426" s="16"/>
      <c r="BT426" s="16"/>
      <c r="BU426" s="16"/>
      <c r="BV426" s="16"/>
      <c r="BW426" s="16"/>
      <c r="BX426" s="16"/>
      <c r="BY426" s="16"/>
      <c r="BZ426" s="16"/>
      <c r="CA426" s="16"/>
      <c r="CB426" s="16"/>
      <c r="CC426" s="16"/>
      <c r="CD426" s="16"/>
    </row>
    <row r="427" spans="1:84">
      <c r="A427" s="180" t="s">
        <v>718</v>
      </c>
      <c r="B427" s="16"/>
      <c r="C427" s="16"/>
      <c r="D427" s="16"/>
      <c r="E427" s="16"/>
      <c r="F427" s="16"/>
      <c r="G427" s="16"/>
      <c r="H427" s="16"/>
      <c r="I427" s="16"/>
      <c r="J427" s="16"/>
      <c r="K427" s="16"/>
      <c r="L427" s="16"/>
      <c r="M427" s="16"/>
      <c r="N427" s="16"/>
      <c r="O427" s="16"/>
      <c r="P427" s="16"/>
      <c r="Q427" s="16"/>
      <c r="R427" s="16"/>
      <c r="S427" s="16"/>
      <c r="T427" s="16"/>
      <c r="U427" s="16"/>
      <c r="V427" s="16"/>
      <c r="W427" s="16"/>
      <c r="X427" s="16"/>
      <c r="Y427" s="16"/>
      <c r="Z427" s="16"/>
      <c r="AA427" s="16"/>
      <c r="AB427" s="16"/>
      <c r="AC427" s="16"/>
      <c r="AD427" s="16"/>
      <c r="AE427" s="16"/>
      <c r="AF427" s="16"/>
      <c r="AG427" s="16"/>
      <c r="AH427" s="16"/>
      <c r="AI427" s="16"/>
      <c r="AJ427" s="16"/>
      <c r="AK427" s="16"/>
      <c r="AL427" s="16"/>
      <c r="AM427" s="16"/>
      <c r="AN427" s="16"/>
      <c r="AO427" s="16"/>
      <c r="AP427" s="16"/>
      <c r="AQ427" s="16"/>
      <c r="AR427" s="16"/>
      <c r="AS427" s="16"/>
      <c r="AT427" s="16"/>
      <c r="AU427" s="16"/>
      <c r="AV427" s="16"/>
      <c r="AW427" s="16"/>
      <c r="AX427" s="16"/>
      <c r="AY427" s="16"/>
      <c r="AZ427" s="16"/>
      <c r="BA427" s="16"/>
      <c r="BB427" s="16"/>
      <c r="BC427" s="16"/>
      <c r="BD427" s="16"/>
      <c r="BE427" s="16"/>
      <c r="BF427" s="16"/>
      <c r="BG427" s="16"/>
      <c r="BH427" s="16"/>
      <c r="BI427" s="16"/>
      <c r="BJ427" s="16"/>
      <c r="BK427" s="16"/>
      <c r="BL427" s="16"/>
      <c r="BM427" s="16"/>
      <c r="BN427" s="16"/>
      <c r="BO427" s="16"/>
      <c r="BP427" s="16"/>
      <c r="BQ427" s="16"/>
      <c r="BR427" s="16"/>
      <c r="BS427" s="16"/>
      <c r="BT427" s="16"/>
      <c r="BU427" s="16"/>
      <c r="BV427" s="16"/>
      <c r="BW427" s="16"/>
      <c r="BX427" s="16"/>
      <c r="BY427" s="16"/>
      <c r="BZ427" s="16"/>
      <c r="CA427" s="16"/>
      <c r="CB427" s="16"/>
      <c r="CC427" s="16"/>
      <c r="CD427" s="16"/>
      <c r="CE427" s="16"/>
      <c r="CF427" s="16"/>
    </row>
    <row r="428" spans="1:84">
      <c r="A428" s="180" t="s">
        <v>719</v>
      </c>
      <c r="B428" s="16"/>
      <c r="C428" s="16"/>
      <c r="D428" s="16"/>
      <c r="E428" s="16"/>
      <c r="F428" s="16"/>
      <c r="G428" s="16"/>
      <c r="H428" s="16"/>
      <c r="I428" s="16"/>
      <c r="J428" s="16"/>
      <c r="K428" s="16"/>
      <c r="L428" s="16"/>
      <c r="M428" s="16"/>
      <c r="N428" s="16"/>
      <c r="O428" s="16"/>
      <c r="P428" s="16"/>
      <c r="Q428" s="16"/>
      <c r="R428" s="16"/>
      <c r="S428" s="16"/>
      <c r="T428" s="16"/>
      <c r="U428" s="16"/>
      <c r="V428" s="16"/>
      <c r="W428" s="16"/>
      <c r="X428" s="16"/>
      <c r="Y428" s="16"/>
      <c r="Z428" s="16"/>
      <c r="AA428" s="16"/>
      <c r="AB428" s="16"/>
      <c r="AC428" s="16"/>
      <c r="AD428" s="16"/>
      <c r="AE428" s="16"/>
      <c r="AF428" s="16"/>
      <c r="AG428" s="16"/>
      <c r="AH428" s="16"/>
      <c r="AI428" s="16"/>
      <c r="AJ428" s="16"/>
      <c r="AK428" s="16"/>
      <c r="AL428" s="16"/>
      <c r="AM428" s="16"/>
      <c r="AN428" s="16"/>
      <c r="AO428" s="16"/>
      <c r="AP428" s="16"/>
      <c r="AQ428" s="16"/>
      <c r="AR428" s="16"/>
      <c r="AS428" s="16"/>
      <c r="AT428" s="16"/>
      <c r="AU428" s="16"/>
      <c r="AV428" s="16"/>
      <c r="AW428" s="16"/>
      <c r="AX428" s="16"/>
      <c r="AY428" s="16"/>
      <c r="AZ428" s="16"/>
      <c r="BA428" s="16"/>
      <c r="BB428" s="16"/>
      <c r="BC428" s="16"/>
      <c r="BD428" s="16"/>
      <c r="BE428" s="16"/>
      <c r="BF428" s="16"/>
      <c r="BG428" s="16"/>
      <c r="BH428" s="16"/>
      <c r="BI428" s="16"/>
      <c r="BJ428" s="16"/>
      <c r="BK428" s="16"/>
      <c r="BL428" s="16"/>
      <c r="BM428" s="16"/>
      <c r="BN428" s="16"/>
      <c r="BO428" s="16"/>
      <c r="BP428" s="16"/>
      <c r="BQ428" s="16"/>
      <c r="BR428" s="16"/>
      <c r="BS428" s="16"/>
      <c r="BT428" s="16"/>
      <c r="BU428" s="16"/>
      <c r="BV428" s="16"/>
      <c r="BW428" s="16"/>
      <c r="BX428" s="16"/>
      <c r="BY428" s="16"/>
      <c r="BZ428" s="16"/>
      <c r="CA428" s="16"/>
      <c r="CB428" s="16"/>
      <c r="CC428" s="16"/>
      <c r="CD428" s="16"/>
      <c r="CE428" s="16"/>
      <c r="CF428" s="16"/>
    </row>
    <row r="429" spans="1:84">
      <c r="A429" s="17" t="s">
        <v>10</v>
      </c>
      <c r="B429" s="18">
        <f t="shared" ref="B429:BB429" si="31">SUM(B417:B428)</f>
        <v>0</v>
      </c>
      <c r="C429" s="18">
        <f t="shared" si="31"/>
        <v>0</v>
      </c>
      <c r="D429" s="18">
        <f t="shared" si="31"/>
        <v>0</v>
      </c>
      <c r="E429" s="18">
        <f t="shared" si="31"/>
        <v>0</v>
      </c>
      <c r="F429" s="18">
        <f t="shared" si="31"/>
        <v>0</v>
      </c>
      <c r="G429" s="18">
        <f t="shared" si="31"/>
        <v>0</v>
      </c>
      <c r="H429" s="18">
        <f t="shared" si="31"/>
        <v>0</v>
      </c>
      <c r="I429" s="18">
        <f t="shared" si="31"/>
        <v>0</v>
      </c>
      <c r="J429" s="18">
        <f t="shared" si="31"/>
        <v>0</v>
      </c>
      <c r="K429" s="18">
        <f t="shared" si="31"/>
        <v>0</v>
      </c>
      <c r="L429" s="18">
        <f t="shared" si="31"/>
        <v>0</v>
      </c>
      <c r="M429" s="18">
        <f t="shared" si="31"/>
        <v>0</v>
      </c>
      <c r="N429" s="18">
        <f t="shared" si="31"/>
        <v>0</v>
      </c>
      <c r="O429" s="18">
        <f t="shared" si="31"/>
        <v>0</v>
      </c>
      <c r="P429" s="18">
        <f t="shared" si="31"/>
        <v>0</v>
      </c>
      <c r="Q429" s="18">
        <f t="shared" si="31"/>
        <v>0</v>
      </c>
      <c r="R429" s="18">
        <f t="shared" si="31"/>
        <v>0</v>
      </c>
      <c r="S429" s="18">
        <f t="shared" si="31"/>
        <v>0</v>
      </c>
      <c r="T429" s="18">
        <f t="shared" si="31"/>
        <v>0</v>
      </c>
      <c r="U429" s="18">
        <f t="shared" si="31"/>
        <v>0</v>
      </c>
      <c r="V429" s="18">
        <f t="shared" si="31"/>
        <v>0</v>
      </c>
      <c r="W429" s="18">
        <f t="shared" si="31"/>
        <v>0</v>
      </c>
      <c r="X429" s="18">
        <f t="shared" si="31"/>
        <v>0</v>
      </c>
      <c r="Y429" s="18">
        <f t="shared" si="31"/>
        <v>0</v>
      </c>
      <c r="Z429" s="18">
        <f t="shared" si="31"/>
        <v>0</v>
      </c>
      <c r="AA429" s="18">
        <f t="shared" si="31"/>
        <v>0</v>
      </c>
      <c r="AB429" s="18">
        <f t="shared" si="31"/>
        <v>0</v>
      </c>
      <c r="AC429" s="18">
        <f t="shared" si="31"/>
        <v>0</v>
      </c>
      <c r="AD429" s="18">
        <f t="shared" si="31"/>
        <v>0</v>
      </c>
      <c r="AE429" s="18">
        <f t="shared" si="31"/>
        <v>0</v>
      </c>
      <c r="AF429" s="18">
        <f t="shared" si="31"/>
        <v>0</v>
      </c>
      <c r="AG429" s="18">
        <f t="shared" si="31"/>
        <v>0</v>
      </c>
      <c r="AH429" s="18">
        <f t="shared" si="31"/>
        <v>0</v>
      </c>
      <c r="AI429" s="18">
        <f t="shared" si="31"/>
        <v>0</v>
      </c>
      <c r="AJ429" s="18">
        <f t="shared" si="31"/>
        <v>0</v>
      </c>
      <c r="AK429" s="18">
        <f t="shared" si="31"/>
        <v>0</v>
      </c>
      <c r="AL429" s="18">
        <f t="shared" si="31"/>
        <v>0</v>
      </c>
      <c r="AM429" s="18">
        <f t="shared" si="31"/>
        <v>0</v>
      </c>
      <c r="AN429" s="18">
        <f t="shared" si="31"/>
        <v>0</v>
      </c>
      <c r="AO429" s="18">
        <f t="shared" si="31"/>
        <v>0</v>
      </c>
      <c r="AP429" s="18">
        <f t="shared" si="31"/>
        <v>0</v>
      </c>
      <c r="AQ429" s="18">
        <f t="shared" si="31"/>
        <v>0</v>
      </c>
      <c r="AR429" s="18">
        <f t="shared" si="31"/>
        <v>0</v>
      </c>
      <c r="AS429" s="18">
        <f t="shared" si="31"/>
        <v>0</v>
      </c>
      <c r="AT429" s="18">
        <f t="shared" si="31"/>
        <v>0</v>
      </c>
      <c r="AU429" s="18">
        <f t="shared" si="31"/>
        <v>0</v>
      </c>
      <c r="AV429" s="18">
        <f t="shared" si="31"/>
        <v>0</v>
      </c>
      <c r="AW429" s="18">
        <f t="shared" si="31"/>
        <v>0</v>
      </c>
      <c r="AX429" s="18">
        <f t="shared" si="31"/>
        <v>0</v>
      </c>
      <c r="AY429" s="18">
        <f t="shared" si="31"/>
        <v>0</v>
      </c>
      <c r="AZ429" s="18">
        <f t="shared" si="31"/>
        <v>0</v>
      </c>
      <c r="BA429" s="18">
        <f t="shared" si="31"/>
        <v>0</v>
      </c>
      <c r="BB429" s="18">
        <f t="shared" si="31"/>
        <v>0</v>
      </c>
      <c r="BC429" s="18">
        <f t="shared" ref="BC429:CF429" si="32">SUM(BC417:BC428)</f>
        <v>0</v>
      </c>
      <c r="BD429" s="18">
        <f t="shared" si="32"/>
        <v>0</v>
      </c>
      <c r="BE429" s="18">
        <f t="shared" si="32"/>
        <v>0</v>
      </c>
      <c r="BF429" s="18">
        <f t="shared" si="32"/>
        <v>0</v>
      </c>
      <c r="BG429" s="18">
        <f t="shared" si="32"/>
        <v>0</v>
      </c>
      <c r="BH429" s="18">
        <f t="shared" si="32"/>
        <v>0</v>
      </c>
      <c r="BI429" s="18">
        <f t="shared" si="32"/>
        <v>0</v>
      </c>
      <c r="BJ429" s="18">
        <f t="shared" si="32"/>
        <v>0</v>
      </c>
      <c r="BK429" s="18">
        <f t="shared" si="32"/>
        <v>0</v>
      </c>
      <c r="BL429" s="18">
        <f t="shared" si="32"/>
        <v>0</v>
      </c>
      <c r="BM429" s="18">
        <f t="shared" si="32"/>
        <v>0</v>
      </c>
      <c r="BN429" s="18">
        <f t="shared" si="32"/>
        <v>0</v>
      </c>
      <c r="BO429" s="18">
        <f t="shared" si="32"/>
        <v>0</v>
      </c>
      <c r="BP429" s="18">
        <f t="shared" si="32"/>
        <v>0</v>
      </c>
      <c r="BQ429" s="18">
        <f t="shared" si="32"/>
        <v>0</v>
      </c>
      <c r="BR429" s="18">
        <f t="shared" si="32"/>
        <v>0</v>
      </c>
      <c r="BS429" s="18">
        <f t="shared" si="32"/>
        <v>0</v>
      </c>
      <c r="BT429" s="18">
        <f t="shared" si="32"/>
        <v>0</v>
      </c>
      <c r="BU429" s="18">
        <f t="shared" si="32"/>
        <v>0</v>
      </c>
      <c r="BV429" s="18">
        <f t="shared" si="32"/>
        <v>0</v>
      </c>
      <c r="BW429" s="18">
        <f t="shared" si="32"/>
        <v>0</v>
      </c>
      <c r="BX429" s="18">
        <f t="shared" si="32"/>
        <v>0</v>
      </c>
      <c r="BY429" s="18">
        <f t="shared" si="32"/>
        <v>0</v>
      </c>
      <c r="BZ429" s="18">
        <f t="shared" si="32"/>
        <v>0</v>
      </c>
      <c r="CA429" s="18">
        <f t="shared" si="32"/>
        <v>0</v>
      </c>
      <c r="CB429" s="18">
        <f t="shared" si="32"/>
        <v>0</v>
      </c>
      <c r="CC429" s="18">
        <f t="shared" si="32"/>
        <v>0</v>
      </c>
      <c r="CD429" s="18">
        <f t="shared" si="32"/>
        <v>0</v>
      </c>
      <c r="CE429" s="18">
        <f t="shared" si="32"/>
        <v>0</v>
      </c>
      <c r="CF429" s="18">
        <f t="shared" si="32"/>
        <v>0</v>
      </c>
    </row>
    <row r="430" spans="1:84" ht="16">
      <c r="A430" s="7" t="s">
        <v>11</v>
      </c>
    </row>
    <row r="431" spans="1:84">
      <c r="A431" s="8" t="s">
        <v>12</v>
      </c>
      <c r="B431" s="16"/>
      <c r="C431" s="16"/>
      <c r="D431" s="16"/>
      <c r="E431" s="16"/>
      <c r="F431" s="16"/>
      <c r="G431" s="16"/>
      <c r="H431" s="16"/>
      <c r="I431" s="16"/>
      <c r="J431" s="16"/>
      <c r="K431" s="16"/>
      <c r="L431" s="16"/>
      <c r="M431" s="16"/>
      <c r="N431" s="16"/>
      <c r="O431" s="16"/>
      <c r="P431" s="16"/>
      <c r="Q431" s="16"/>
      <c r="R431" s="16"/>
      <c r="S431" s="16"/>
      <c r="T431" s="16"/>
      <c r="U431" s="16"/>
      <c r="V431" s="16"/>
      <c r="W431" s="16"/>
      <c r="X431" s="16"/>
      <c r="Y431" s="16"/>
      <c r="Z431" s="16"/>
      <c r="AA431" s="16"/>
      <c r="AB431" s="16"/>
      <c r="AC431" s="16"/>
      <c r="AD431" s="16"/>
      <c r="AE431" s="16"/>
      <c r="AF431" s="16"/>
      <c r="AG431" s="16"/>
      <c r="AH431" s="16"/>
      <c r="AI431" s="16"/>
      <c r="AJ431" s="16"/>
      <c r="AK431" s="16"/>
      <c r="AL431" s="16"/>
      <c r="AM431" s="16"/>
      <c r="AN431" s="16"/>
      <c r="AO431" s="16"/>
      <c r="AP431" s="16"/>
      <c r="AQ431" s="16"/>
      <c r="AR431" s="16"/>
      <c r="AS431" s="16"/>
      <c r="AT431" s="16"/>
      <c r="AU431" s="16"/>
      <c r="AV431" s="16"/>
      <c r="AW431" s="16"/>
      <c r="AX431" s="16"/>
      <c r="AY431" s="16"/>
      <c r="AZ431" s="16"/>
      <c r="BA431" s="16"/>
      <c r="BB431" s="16"/>
      <c r="BC431" s="16"/>
      <c r="BD431" s="16"/>
      <c r="BE431" s="16"/>
      <c r="BF431" s="16"/>
      <c r="BG431" s="16"/>
      <c r="BH431" s="16"/>
      <c r="BI431" s="16"/>
      <c r="BJ431" s="16"/>
      <c r="BK431" s="16"/>
      <c r="BL431" s="16"/>
      <c r="BM431" s="16"/>
      <c r="BN431" s="16"/>
      <c r="BO431" s="16"/>
      <c r="BP431" s="16"/>
      <c r="BQ431" s="16"/>
      <c r="BR431" s="16"/>
      <c r="BS431" s="16"/>
      <c r="BT431" s="16"/>
      <c r="BU431" s="16"/>
      <c r="BV431" s="16"/>
      <c r="BW431" s="16"/>
      <c r="BX431" s="16"/>
      <c r="BY431" s="16"/>
      <c r="BZ431" s="16"/>
      <c r="CA431" s="16"/>
      <c r="CB431" s="16"/>
      <c r="CC431" s="16"/>
      <c r="CD431" s="16"/>
      <c r="CE431" s="16"/>
      <c r="CF431" s="16"/>
    </row>
    <row r="432" spans="1:84">
      <c r="A432" s="19"/>
    </row>
    <row r="433" spans="1:97" ht="16" thickBot="1">
      <c r="A433" s="176"/>
      <c r="B433" s="176"/>
      <c r="C433" s="176"/>
      <c r="D433" s="176"/>
      <c r="E433" s="176"/>
      <c r="F433" s="176"/>
      <c r="G433" s="176"/>
      <c r="H433" s="176"/>
      <c r="I433" s="176"/>
      <c r="J433" s="176"/>
      <c r="K433" s="176"/>
      <c r="L433" s="176"/>
      <c r="M433" s="176"/>
      <c r="N433" s="176"/>
      <c r="O433" s="176"/>
      <c r="P433" s="176"/>
      <c r="Q433" s="176"/>
      <c r="R433" s="176"/>
      <c r="S433" s="176"/>
      <c r="T433" s="176"/>
      <c r="U433" s="176"/>
      <c r="V433" s="176"/>
      <c r="W433" s="176"/>
      <c r="X433" s="176"/>
      <c r="Y433" s="176"/>
      <c r="Z433" s="176"/>
      <c r="AA433" s="176"/>
      <c r="AB433" s="176"/>
      <c r="AC433" s="176"/>
      <c r="AD433" s="176"/>
      <c r="AE433" s="176"/>
      <c r="AF433" s="176"/>
      <c r="AG433" s="176"/>
      <c r="AI433" s="176"/>
      <c r="AJ433" s="176"/>
      <c r="AK433" s="176"/>
      <c r="AL433" s="176"/>
      <c r="AM433" s="176"/>
      <c r="AN433" s="176"/>
      <c r="AO433" s="176"/>
      <c r="AP433" s="176"/>
      <c r="AQ433" s="176"/>
      <c r="AR433" s="176"/>
      <c r="AS433" s="176"/>
      <c r="AT433" s="176"/>
      <c r="AU433" s="176"/>
      <c r="AV433" s="176"/>
      <c r="AW433" s="176"/>
      <c r="AX433" s="176"/>
      <c r="AY433" s="176"/>
      <c r="AZ433" s="176"/>
      <c r="BA433" s="176"/>
      <c r="BB433" s="176"/>
      <c r="BC433" s="176"/>
      <c r="BD433" s="176"/>
      <c r="BE433" s="176"/>
      <c r="BF433" s="176"/>
      <c r="BG433" s="176"/>
      <c r="BH433" s="176"/>
      <c r="BI433" s="176"/>
      <c r="BJ433" s="176"/>
      <c r="BK433" s="176"/>
      <c r="BL433" s="176"/>
      <c r="BM433" s="176"/>
      <c r="BN433" s="176"/>
      <c r="BO433" s="176"/>
      <c r="BP433" s="176"/>
      <c r="BQ433" s="176"/>
      <c r="BR433" s="176"/>
      <c r="BS433" s="176"/>
      <c r="BT433" s="176"/>
      <c r="BU433" s="176"/>
      <c r="BV433" s="176"/>
      <c r="BW433" s="176"/>
      <c r="BX433" s="176"/>
      <c r="BY433" s="176"/>
      <c r="BZ433" s="176"/>
      <c r="CA433" s="176"/>
      <c r="CB433" s="176"/>
      <c r="CC433" s="176"/>
      <c r="CD433" s="176"/>
      <c r="CE433" s="176"/>
      <c r="CF433" s="176"/>
      <c r="CG433" s="176"/>
      <c r="CH433" s="176"/>
      <c r="CI433" s="176"/>
      <c r="CJ433" s="176"/>
      <c r="CK433" s="176"/>
      <c r="CL433" s="176"/>
      <c r="CM433" s="176"/>
      <c r="CN433" s="176"/>
      <c r="CO433" s="176"/>
      <c r="CP433" s="176"/>
      <c r="CQ433" s="176"/>
      <c r="CR433" s="176"/>
      <c r="CS433" s="176"/>
    </row>
    <row r="434" spans="1:97" ht="16" thickTop="1">
      <c r="A434" s="19"/>
    </row>
    <row r="435" spans="1:97" ht="16" thickBot="1">
      <c r="A435" s="19"/>
      <c r="B435" s="19"/>
    </row>
    <row r="436" spans="1:97" ht="16" thickTop="1">
      <c r="A436" s="181" t="s">
        <v>553</v>
      </c>
      <c r="B436" s="182" t="s">
        <v>720</v>
      </c>
      <c r="C436" s="182" t="s">
        <v>720</v>
      </c>
      <c r="D436" s="182"/>
      <c r="E436" s="182"/>
      <c r="F436" s="182"/>
      <c r="G436" s="182"/>
      <c r="H436" s="182"/>
      <c r="I436" s="182"/>
      <c r="J436" s="182"/>
      <c r="K436" s="182"/>
      <c r="L436" s="182"/>
      <c r="M436" s="182"/>
      <c r="N436" s="182"/>
      <c r="O436" s="182"/>
      <c r="P436" s="182"/>
      <c r="Q436" s="182"/>
    </row>
    <row r="437" spans="1:97">
      <c r="A437" s="183" t="s">
        <v>707</v>
      </c>
      <c r="B437" s="184" t="s">
        <v>720</v>
      </c>
      <c r="C437" s="184" t="s">
        <v>720</v>
      </c>
      <c r="D437" s="184"/>
      <c r="E437" s="184"/>
      <c r="F437" s="184"/>
      <c r="G437" s="184"/>
      <c r="H437" s="184"/>
      <c r="I437" s="184"/>
      <c r="J437" s="184"/>
      <c r="K437" s="184"/>
      <c r="L437" s="184"/>
      <c r="M437" s="184"/>
      <c r="N437" s="184"/>
      <c r="O437" s="184"/>
      <c r="P437" s="184"/>
      <c r="Q437" s="184"/>
    </row>
    <row r="438" spans="1:97">
      <c r="A438" s="179"/>
      <c r="B438" s="100"/>
      <c r="C438" s="16"/>
      <c r="D438" s="100"/>
      <c r="F438" s="100"/>
      <c r="H438" s="100"/>
      <c r="J438" s="100"/>
      <c r="L438" s="100"/>
      <c r="N438" s="100"/>
      <c r="P438" s="100"/>
    </row>
    <row r="439" spans="1:97">
      <c r="A439" s="161" t="s">
        <v>631</v>
      </c>
      <c r="B439" s="9"/>
      <c r="C439" s="16"/>
      <c r="D439" s="9"/>
      <c r="E439" s="185"/>
      <c r="F439" s="9"/>
      <c r="G439" s="185"/>
      <c r="H439" s="9"/>
      <c r="I439" s="185"/>
      <c r="J439" s="9"/>
      <c r="K439" s="185"/>
      <c r="L439" s="9"/>
      <c r="M439" s="185"/>
      <c r="N439" s="9"/>
      <c r="O439" s="185"/>
      <c r="P439" s="9"/>
      <c r="Q439" s="185"/>
    </row>
    <row r="440" spans="1:97">
      <c r="A440" s="186" t="s">
        <v>703</v>
      </c>
      <c r="B440" s="16"/>
      <c r="C440" s="25" t="s">
        <v>3</v>
      </c>
      <c r="D440" s="16"/>
      <c r="E440" s="187"/>
      <c r="F440" s="16"/>
      <c r="G440" s="187"/>
      <c r="H440" s="16"/>
      <c r="I440" s="187"/>
      <c r="J440" s="16"/>
      <c r="K440" s="187"/>
      <c r="L440" s="16"/>
      <c r="M440" s="187"/>
      <c r="N440" s="16"/>
      <c r="O440" s="187"/>
      <c r="P440" s="16"/>
      <c r="Q440" s="187"/>
    </row>
    <row r="441" spans="1:97">
      <c r="A441" s="186" t="s">
        <v>704</v>
      </c>
      <c r="B441" s="16"/>
      <c r="C441" s="25" t="s">
        <v>3</v>
      </c>
      <c r="D441" s="16"/>
      <c r="E441" s="187"/>
      <c r="F441" s="16"/>
      <c r="G441" s="187"/>
      <c r="H441" s="16"/>
      <c r="I441" s="187"/>
      <c r="J441" s="16"/>
      <c r="K441" s="187"/>
      <c r="L441" s="16"/>
      <c r="M441" s="187"/>
      <c r="N441" s="16"/>
      <c r="O441" s="187"/>
      <c r="P441" s="16"/>
      <c r="Q441" s="187"/>
    </row>
    <row r="442" spans="1:97">
      <c r="A442" s="186" t="s">
        <v>705</v>
      </c>
      <c r="B442" s="16"/>
      <c r="C442" s="25" t="s">
        <v>3</v>
      </c>
      <c r="D442" s="16"/>
      <c r="E442" s="187"/>
      <c r="F442" s="16"/>
      <c r="G442" s="187"/>
      <c r="H442" s="16"/>
      <c r="I442" s="187"/>
      <c r="J442" s="16"/>
      <c r="K442" s="187"/>
      <c r="L442" s="16"/>
      <c r="M442" s="187"/>
      <c r="N442" s="16"/>
      <c r="O442" s="187"/>
      <c r="P442" s="16"/>
      <c r="Q442" s="187"/>
    </row>
    <row r="443" spans="1:97">
      <c r="A443" s="186" t="s">
        <v>721</v>
      </c>
      <c r="B443" s="16"/>
      <c r="C443" s="25" t="s">
        <v>3</v>
      </c>
      <c r="D443" s="16"/>
      <c r="E443" s="187"/>
      <c r="F443" s="16"/>
      <c r="G443" s="187"/>
      <c r="H443" s="16"/>
      <c r="I443" s="187"/>
      <c r="J443" s="16"/>
      <c r="K443" s="187"/>
      <c r="L443" s="16"/>
      <c r="M443" s="187"/>
      <c r="N443" s="16"/>
      <c r="O443" s="187"/>
      <c r="P443" s="16"/>
      <c r="Q443" s="187"/>
    </row>
    <row r="444" spans="1:97">
      <c r="A444" s="186" t="s">
        <v>645</v>
      </c>
      <c r="B444" s="16"/>
      <c r="C444" s="25" t="s">
        <v>3</v>
      </c>
      <c r="D444" s="16"/>
      <c r="E444" s="187"/>
      <c r="F444" s="16"/>
      <c r="G444" s="187"/>
      <c r="H444" s="16"/>
      <c r="I444" s="187"/>
      <c r="J444" s="16"/>
      <c r="K444" s="187"/>
      <c r="L444" s="16"/>
      <c r="M444" s="187"/>
      <c r="N444" s="16"/>
      <c r="O444" s="187"/>
      <c r="P444" s="16"/>
      <c r="Q444" s="187"/>
    </row>
    <row r="445" spans="1:97">
      <c r="A445" s="186" t="s">
        <v>646</v>
      </c>
      <c r="B445" s="16"/>
      <c r="C445" s="25" t="s">
        <v>3</v>
      </c>
      <c r="D445" s="16"/>
      <c r="E445" s="187"/>
      <c r="F445" s="16"/>
      <c r="G445" s="187"/>
      <c r="H445" s="16"/>
      <c r="I445" s="187"/>
      <c r="J445" s="16"/>
      <c r="K445" s="187"/>
      <c r="L445" s="16"/>
      <c r="M445" s="187"/>
      <c r="N445" s="16"/>
      <c r="O445" s="187"/>
      <c r="P445" s="16"/>
      <c r="Q445" s="187"/>
    </row>
    <row r="446" spans="1:97">
      <c r="A446" s="186" t="s">
        <v>647</v>
      </c>
      <c r="B446" s="16"/>
      <c r="C446" s="25" t="s">
        <v>3</v>
      </c>
      <c r="D446" s="16"/>
      <c r="E446" s="187"/>
      <c r="F446" s="16"/>
      <c r="G446" s="187"/>
      <c r="H446" s="16"/>
      <c r="I446" s="187"/>
      <c r="J446" s="16"/>
      <c r="K446" s="187"/>
      <c r="L446" s="16"/>
      <c r="M446" s="187"/>
      <c r="N446" s="16"/>
      <c r="O446" s="187"/>
      <c r="P446" s="16"/>
      <c r="Q446" s="187"/>
    </row>
    <row r="447" spans="1:97">
      <c r="A447" s="186" t="s">
        <v>648</v>
      </c>
      <c r="B447" s="16"/>
      <c r="C447" s="25" t="s">
        <v>3</v>
      </c>
      <c r="D447" s="16"/>
      <c r="E447" s="187"/>
      <c r="F447" s="16"/>
      <c r="G447" s="187"/>
      <c r="H447" s="16"/>
      <c r="I447" s="187"/>
      <c r="J447" s="16"/>
      <c r="K447" s="187"/>
      <c r="L447" s="16"/>
      <c r="M447" s="187"/>
      <c r="N447" s="16"/>
      <c r="O447" s="187"/>
      <c r="P447" s="16"/>
      <c r="Q447" s="187"/>
    </row>
    <row r="448" spans="1:97">
      <c r="A448" s="186" t="s">
        <v>649</v>
      </c>
      <c r="B448" s="16"/>
      <c r="C448" s="25" t="s">
        <v>3</v>
      </c>
      <c r="D448" s="16"/>
      <c r="E448" s="187"/>
      <c r="F448" s="16"/>
      <c r="G448" s="187"/>
      <c r="H448" s="16"/>
      <c r="I448" s="187"/>
      <c r="J448" s="16"/>
      <c r="K448" s="187"/>
      <c r="L448" s="16"/>
      <c r="M448" s="187"/>
      <c r="N448" s="16"/>
      <c r="O448" s="187"/>
      <c r="P448" s="16"/>
      <c r="Q448" s="187"/>
    </row>
    <row r="449" spans="1:62">
      <c r="A449" s="186" t="s">
        <v>706</v>
      </c>
      <c r="B449" s="16"/>
      <c r="C449" s="25" t="s">
        <v>3</v>
      </c>
      <c r="D449" s="16"/>
      <c r="E449" s="187"/>
      <c r="F449" s="16"/>
      <c r="G449" s="187"/>
      <c r="H449" s="16"/>
      <c r="I449" s="187"/>
      <c r="J449" s="16"/>
      <c r="K449" s="187"/>
      <c r="L449" s="16"/>
      <c r="M449" s="187"/>
      <c r="N449" s="16"/>
      <c r="O449" s="187"/>
      <c r="P449" s="16"/>
      <c r="Q449" s="187"/>
    </row>
    <row r="450" spans="1:62">
      <c r="A450" s="186" t="s">
        <v>651</v>
      </c>
      <c r="B450" s="16"/>
      <c r="C450" s="25" t="s">
        <v>3</v>
      </c>
      <c r="D450" s="16"/>
      <c r="E450" s="187"/>
      <c r="F450" s="16"/>
      <c r="G450" s="187"/>
      <c r="H450" s="16"/>
      <c r="I450" s="187"/>
      <c r="J450" s="16"/>
      <c r="K450" s="187"/>
      <c r="L450" s="16"/>
      <c r="M450" s="187"/>
      <c r="N450" s="16"/>
      <c r="O450" s="187"/>
      <c r="P450" s="16"/>
      <c r="Q450" s="187"/>
    </row>
    <row r="451" spans="1:62">
      <c r="A451" s="186" t="s">
        <v>722</v>
      </c>
      <c r="B451" s="16"/>
      <c r="C451" s="25" t="s">
        <v>3</v>
      </c>
      <c r="D451" s="16"/>
      <c r="E451" s="187"/>
      <c r="F451" s="16"/>
      <c r="G451" s="187"/>
      <c r="H451" s="16"/>
      <c r="I451" s="187"/>
      <c r="J451" s="16"/>
      <c r="K451" s="187"/>
      <c r="L451" s="16"/>
      <c r="M451" s="187"/>
      <c r="N451" s="16"/>
      <c r="O451" s="187"/>
      <c r="P451" s="16"/>
      <c r="Q451" s="187"/>
    </row>
    <row r="452" spans="1:62">
      <c r="A452" s="186" t="s">
        <v>58</v>
      </c>
      <c r="B452" s="16"/>
      <c r="C452" s="25" t="s">
        <v>3</v>
      </c>
      <c r="D452" s="16"/>
      <c r="E452" s="187"/>
      <c r="F452" s="16"/>
      <c r="G452" s="187"/>
      <c r="H452" s="16"/>
      <c r="I452" s="187"/>
      <c r="J452" s="16"/>
      <c r="K452" s="187"/>
      <c r="L452" s="16"/>
      <c r="M452" s="187"/>
      <c r="N452" s="16"/>
      <c r="O452" s="187"/>
      <c r="P452" s="16"/>
      <c r="Q452" s="187"/>
      <c r="R452" s="16"/>
      <c r="S452" s="187"/>
      <c r="T452" s="16"/>
      <c r="U452" s="187"/>
      <c r="V452" s="16"/>
      <c r="W452" s="187"/>
    </row>
    <row r="453" spans="1:62" ht="16" thickBot="1">
      <c r="A453" s="176"/>
      <c r="B453" s="188"/>
      <c r="C453" s="188"/>
      <c r="D453" s="188"/>
      <c r="E453" s="176"/>
      <c r="F453" s="188"/>
      <c r="G453" s="176"/>
      <c r="H453" s="188"/>
      <c r="I453" s="176"/>
      <c r="J453" s="188"/>
      <c r="K453" s="176"/>
      <c r="L453" s="188"/>
      <c r="M453" s="176"/>
      <c r="N453" s="188"/>
      <c r="O453" s="176"/>
      <c r="P453" s="188"/>
      <c r="Q453" s="176"/>
      <c r="R453" s="188"/>
      <c r="S453" s="176"/>
      <c r="T453" s="188"/>
      <c r="U453" s="176"/>
      <c r="V453" s="188"/>
      <c r="W453" s="176"/>
    </row>
    <row r="454" spans="1:62" ht="16" thickTop="1">
      <c r="A454" s="2" t="s">
        <v>8631</v>
      </c>
      <c r="B454" s="2" t="s">
        <v>75</v>
      </c>
      <c r="C454" s="2">
        <v>0</v>
      </c>
      <c r="D454" s="2">
        <v>3200</v>
      </c>
      <c r="E454" s="2" t="s">
        <v>3</v>
      </c>
      <c r="F454" s="2">
        <v>680000</v>
      </c>
      <c r="G454" s="2">
        <v>3000</v>
      </c>
      <c r="H454" s="2">
        <v>0</v>
      </c>
      <c r="I454" s="2" t="b">
        <v>1</v>
      </c>
      <c r="J454" s="2" t="s">
        <v>8632</v>
      </c>
      <c r="K454" s="2">
        <v>0</v>
      </c>
      <c r="L454" s="2">
        <v>5302023171617</v>
      </c>
    </row>
    <row r="457" spans="1:62" ht="21">
      <c r="A457" s="522" t="str">
        <f>A242</f>
        <v>SoP 4</v>
      </c>
      <c r="M457" s="515"/>
      <c r="N457" s="515"/>
      <c r="O457" s="515"/>
      <c r="P457" s="516"/>
      <c r="Q457" s="522" t="str">
        <f>A243</f>
        <v>SoP 2</v>
      </c>
      <c r="AG457" s="522" t="str">
        <f>A244</f>
        <v>SoP 1</v>
      </c>
      <c r="AW457" s="522" t="str">
        <f>A245</f>
        <v>SoP 3</v>
      </c>
    </row>
    <row r="458" spans="1:62">
      <c r="A458" s="507" t="str">
        <f>"PROPERTY ASSETS FOR " &amp; A242</f>
        <v>PROPERTY ASSETS FOR SoP 4</v>
      </c>
      <c r="B458" s="36"/>
      <c r="C458" s="36"/>
      <c r="D458" s="36"/>
      <c r="E458" s="36"/>
      <c r="F458" s="36"/>
      <c r="M458" s="507"/>
      <c r="N458" s="515"/>
      <c r="Q458" s="507" t="str">
        <f>"PROPERTY ASSETS FOR " &amp; A243</f>
        <v>PROPERTY ASSETS FOR SoP 2</v>
      </c>
      <c r="R458" s="36"/>
      <c r="S458" s="36"/>
      <c r="T458" s="36"/>
      <c r="U458" s="36"/>
      <c r="V458" s="36"/>
      <c r="AC458" s="507"/>
      <c r="AG458" s="507" t="str">
        <f>"PROPERTY ASSETS FOR " &amp; A244</f>
        <v>PROPERTY ASSETS FOR SoP 1</v>
      </c>
      <c r="AH458" s="36"/>
      <c r="AI458" s="36"/>
      <c r="AJ458" s="36"/>
      <c r="AK458" s="36"/>
      <c r="AL458" s="36"/>
      <c r="AS458" s="507"/>
      <c r="AT458" s="515"/>
      <c r="AW458" s="507" t="str">
        <f>"PROPERTY ASSETS FOR " &amp; A245</f>
        <v>PROPERTY ASSETS FOR SoP 3</v>
      </c>
      <c r="AX458" s="36"/>
      <c r="AY458" s="36"/>
      <c r="AZ458" s="36"/>
      <c r="BA458" s="36"/>
      <c r="BB458" s="36"/>
      <c r="BI458" s="507"/>
      <c r="BJ458" s="515"/>
    </row>
    <row r="459" spans="1:62">
      <c r="A459" s="520" t="s">
        <v>8595</v>
      </c>
      <c r="B459" s="520" t="s">
        <v>8633</v>
      </c>
      <c r="C459" s="520" t="s">
        <v>8635</v>
      </c>
      <c r="D459" s="520" t="s">
        <v>8606</v>
      </c>
      <c r="E459" s="520" t="s">
        <v>71</v>
      </c>
      <c r="F459" s="520" t="s">
        <v>13</v>
      </c>
      <c r="G459" s="520" t="s">
        <v>14</v>
      </c>
      <c r="H459" s="521" t="s">
        <v>8612</v>
      </c>
      <c r="I459" s="521" t="s">
        <v>8595</v>
      </c>
      <c r="J459" s="521" t="s">
        <v>8616</v>
      </c>
      <c r="K459" s="520" t="s">
        <v>8602</v>
      </c>
      <c r="L459" s="520" t="s">
        <v>15</v>
      </c>
      <c r="M459" s="520" t="s">
        <v>70</v>
      </c>
      <c r="N459" s="515"/>
      <c r="Q459" s="520" t="s">
        <v>8595</v>
      </c>
      <c r="R459" s="520" t="s">
        <v>8633</v>
      </c>
      <c r="S459" s="520" t="s">
        <v>8635</v>
      </c>
      <c r="T459" s="520" t="s">
        <v>8606</v>
      </c>
      <c r="U459" s="520" t="s">
        <v>71</v>
      </c>
      <c r="V459" s="520" t="s">
        <v>13</v>
      </c>
      <c r="W459" s="520" t="s">
        <v>14</v>
      </c>
      <c r="X459" s="521" t="s">
        <v>8612</v>
      </c>
      <c r="Y459" s="521" t="s">
        <v>8595</v>
      </c>
      <c r="Z459" s="521" t="s">
        <v>8616</v>
      </c>
      <c r="AA459" s="520" t="s">
        <v>8602</v>
      </c>
      <c r="AB459" s="520" t="s">
        <v>15</v>
      </c>
      <c r="AC459" s="520" t="s">
        <v>70</v>
      </c>
      <c r="AG459" s="520" t="s">
        <v>8595</v>
      </c>
      <c r="AH459" s="520" t="s">
        <v>8633</v>
      </c>
      <c r="AI459" s="520" t="s">
        <v>8635</v>
      </c>
      <c r="AJ459" s="520" t="s">
        <v>8606</v>
      </c>
      <c r="AK459" s="520" t="s">
        <v>71</v>
      </c>
      <c r="AL459" s="520" t="s">
        <v>13</v>
      </c>
      <c r="AM459" s="520" t="s">
        <v>14</v>
      </c>
      <c r="AN459" s="521" t="s">
        <v>8612</v>
      </c>
      <c r="AO459" s="521" t="s">
        <v>8595</v>
      </c>
      <c r="AP459" s="521" t="s">
        <v>8616</v>
      </c>
      <c r="AQ459" s="520" t="s">
        <v>8602</v>
      </c>
      <c r="AR459" s="520" t="s">
        <v>15</v>
      </c>
      <c r="AS459" s="520" t="s">
        <v>70</v>
      </c>
      <c r="AT459" s="515"/>
      <c r="AW459" s="520" t="s">
        <v>8595</v>
      </c>
      <c r="AX459" s="520" t="s">
        <v>8633</v>
      </c>
      <c r="AY459" s="520" t="s">
        <v>8635</v>
      </c>
      <c r="AZ459" s="520" t="s">
        <v>8606</v>
      </c>
      <c r="BA459" s="520" t="s">
        <v>71</v>
      </c>
      <c r="BB459" s="520" t="s">
        <v>13</v>
      </c>
      <c r="BC459" s="520" t="s">
        <v>14</v>
      </c>
      <c r="BD459" s="521" t="s">
        <v>8612</v>
      </c>
      <c r="BE459" s="521" t="s">
        <v>8595</v>
      </c>
      <c r="BF459" s="521" t="s">
        <v>8616</v>
      </c>
      <c r="BG459" s="520" t="s">
        <v>8602</v>
      </c>
      <c r="BH459" s="520" t="s">
        <v>15</v>
      </c>
      <c r="BI459" s="520" t="s">
        <v>70</v>
      </c>
      <c r="BJ459" s="515"/>
    </row>
    <row r="460" spans="1:62">
      <c r="A460" s="523"/>
      <c r="B460" s="2">
        <f>IF(J460=3,COUNT($J$460:$J$485),COUNTIF($J$460:$J$485,1)+ROW(B460)-ROW($B$460))</f>
        <v>1</v>
      </c>
      <c r="D460" s="523"/>
      <c r="E460" s="523"/>
      <c r="F460" s="523" t="s">
        <v>8599</v>
      </c>
      <c r="G460" s="523">
        <v>1</v>
      </c>
      <c r="H460" s="523" t="str">
        <f>IF(F460="Multiple/Other Securities",F460,
IF(D460="","",
IF(E460&lt;&gt;"",E460&amp;" ["&amp;DOLLAR(G460,0)&amp;"]",
IF(LEFT(F460,4)="Rent","Inv: ["&amp;DOLLAR(G460,0)&amp;"]",
"OO: ["&amp;DOLLAR(G460,0)&amp;"]"))))</f>
        <v>Multiple/Other Securities</v>
      </c>
      <c r="I460" s="523"/>
      <c r="J460" s="523">
        <v>3</v>
      </c>
      <c r="Q460" s="523"/>
      <c r="R460" s="2">
        <f>IF(Z460=3,COUNT($Z$460:$Z$485),COUNTIF($Z$460:$Z$485,1)+ROW(R460)-ROW($B$460))</f>
        <v>1</v>
      </c>
      <c r="T460" s="523"/>
      <c r="U460" s="523"/>
      <c r="V460" s="523" t="s">
        <v>8599</v>
      </c>
      <c r="W460" s="523">
        <v>1</v>
      </c>
      <c r="X460" s="523" t="str">
        <f>IF(V460="Multiple/Other Securities",V460,
IF(T460="","",
IF(U460&lt;&gt;"",U460&amp;" ["&amp;DOLLAR(W460,0)&amp;"]",
IF(LEFT(V460,4)="Rent","Inv: ["&amp;DOLLAR(W460,0)&amp;"]",
"OO: ["&amp;DOLLAR(W460,0)&amp;"]"))))</f>
        <v>Multiple/Other Securities</v>
      </c>
      <c r="Y460" s="523"/>
      <c r="Z460" s="523">
        <v>3</v>
      </c>
      <c r="AG460" s="523"/>
      <c r="AH460" s="2">
        <f>IF(AP460=3,COUNT($AP$460:$AP$485),COUNTIF($AP$460:$AP$485,1)+ROW(AH460)-ROW($B$460))</f>
        <v>1</v>
      </c>
      <c r="AJ460" s="523"/>
      <c r="AK460" s="523"/>
      <c r="AL460" s="523" t="s">
        <v>8599</v>
      </c>
      <c r="AM460" s="523">
        <v>1</v>
      </c>
      <c r="AN460" s="523" t="str">
        <f>IF(AL460="Multiple/Other Securities",AL460,
IF(AJ460="","",
IF(AK460&lt;&gt;"",AK460&amp;" ["&amp;DOLLAR(AM460,0)&amp;"]",
IF(LEFT(AL460,4)="Rent","Inv: ["&amp;DOLLAR(AM460,0)&amp;"]",
"OO: ["&amp;DOLLAR(AM460,0)&amp;"]"))))</f>
        <v>Multiple/Other Securities</v>
      </c>
      <c r="AO460" s="523"/>
      <c r="AP460" s="523">
        <v>3</v>
      </c>
      <c r="AT460" s="515"/>
      <c r="AW460" s="523"/>
      <c r="AX460" s="2">
        <f>IF(BF460=3,COUNT($BF$460:$BF$485),COUNTIF($BF$460:$BF$485,1)+ROW(AX460)-ROW($B$460))</f>
        <v>1</v>
      </c>
      <c r="AZ460" s="523"/>
      <c r="BA460" s="523"/>
      <c r="BB460" s="523" t="s">
        <v>8599</v>
      </c>
      <c r="BC460" s="523">
        <v>1</v>
      </c>
      <c r="BD460" s="523" t="str">
        <f>IF(BB460="Multiple/Other Securities",BB460,
IF(AZ460="","",
IF(BA460&lt;&gt;"",BA460&amp;" ["&amp;DOLLAR(BC460,0)&amp;"]",
IF(LEFT(BB460,4)="Rent","Inv: ["&amp;DOLLAR(BC460,0)&amp;"]",
"OO: ["&amp;DOLLAR(BC460,0)&amp;"]"))))</f>
        <v>Multiple/Other Securities</v>
      </c>
      <c r="BE460" s="523"/>
      <c r="BF460" s="523">
        <v>3</v>
      </c>
      <c r="BJ460" s="515"/>
    </row>
    <row r="461" spans="1:62">
      <c r="A461" s="519">
        <v>1</v>
      </c>
      <c r="B461" s="519" t="str">
        <f t="shared" ref="B461:B485" si="33">IF(J461=1,A461,"")</f>
        <v/>
      </c>
      <c r="C461" s="519" t="str" cm="1">
        <f t="array" ref="C461">IFERROR(SMALL(IF(LEFT('SoP 4'!$E$48:$E$49,4)="Rent",ROW('SoP 4'!$E$48:$E$49),""),A461)-(ROW('SoP 4'!$D$47)),"")</f>
        <v/>
      </c>
      <c r="D461" s="541" t="str" cm="1">
        <f t="array" ref="D461">IF($C461="","",INDEX('SoP 4'!$D$48:$P$49,'Internal Ref'!$C461,13))</f>
        <v/>
      </c>
      <c r="E461" s="519" t="str" cm="1">
        <f t="array" ref="E461">IF($C461="","",IF(INDEX('SoP 4'!$D$48:$P$49,'Internal Ref'!$C461,10)="","",INDEX('SoP 4'!$D$48:$P$49,'Internal Ref'!$C461,10)))</f>
        <v/>
      </c>
      <c r="F461" s="519" t="str" cm="1">
        <f t="array" ref="F461">IF($C461="","",INDEX('SoP 4'!$D$48:$P$49,'Internal Ref'!$C461,2))</f>
        <v/>
      </c>
      <c r="G461" s="519" t="str" cm="1">
        <f t="array" ref="G461">IF($C461="","",INDEX('SoP 4'!$D$48:$P$49,'Internal Ref'!$C461,6))</f>
        <v/>
      </c>
      <c r="H461" s="519" t="str">
        <f>IF(F461="Multiple/Other Securities",F461,
IF(D461="","",
IF(E461&lt;&gt;"",E461&amp;" ["&amp;DOLLAR(G461,0)&amp;"]",
IF(LEFT(F461,4)="Rent","Inv: ["&amp;DOLLAR(G461,0)&amp;"]",
"OO: ["&amp;DOLLAR(G461,0)&amp;"]"))))</f>
        <v/>
      </c>
      <c r="I461" s="519" t="str" cm="1">
        <f t="array" ref="I461">IF($C461="","",INDEX('SoP 4'!$D$48:$P$49,'Internal Ref'!$C461,1))</f>
        <v/>
      </c>
      <c r="J461" s="519" t="str">
        <f t="shared" ref="J461:J485" si="34">IF(H461="","",1)</f>
        <v/>
      </c>
      <c r="K461" s="519" t="str" cm="1">
        <f t="array" ref="K461">IF($C461="","",INDEX('SoP 4'!$D$48:$P$49,'Internal Ref'!$C461,4))</f>
        <v/>
      </c>
      <c r="L461" s="519" t="str" cm="1">
        <f t="array" ref="L461">IF($C461="","",INDEX('SoP 4'!$D$48:$P$49,'Internal Ref'!$C461,5))</f>
        <v/>
      </c>
      <c r="M461" s="519" t="str" cm="1">
        <f t="array" ref="M461">IF($C461="","",INDEX('SoP 4'!$D$48:$P$49,'Internal Ref'!$C461,7))</f>
        <v/>
      </c>
      <c r="Q461" s="519">
        <v>1</v>
      </c>
      <c r="R461" s="519" t="str">
        <f>IF(Z461=1,Q461,"")</f>
        <v/>
      </c>
      <c r="S461" s="519" t="str" cm="1">
        <f t="array" ref="S461">IFERROR(SMALL(IF(LEFT('SoP 2'!$E$48:$E$49,4)="Rent",ROW('SoP 2'!$E$48:$E$49),""),Q461)-(ROW('SoP 2'!$D$47)),"")</f>
        <v/>
      </c>
      <c r="T461" s="519" t="str" cm="1">
        <f t="array" ref="T461">IF($S461="","",INDEX('SoP 2'!$D$48:$P$49,'Internal Ref'!$S461,13))</f>
        <v/>
      </c>
      <c r="U461" s="519" t="str" cm="1">
        <f t="array" ref="U461">IF($S461="","",IF(INDEX('SoP 2'!$D$48:$P$49,'Internal Ref'!$S461,10)="","",INDEX('SoP 2'!$D$48:$P$49,'Internal Ref'!$S461,10)))</f>
        <v/>
      </c>
      <c r="V461" s="519" t="str" cm="1">
        <f t="array" ref="V461">IF($S461="","",INDEX('SoP 2'!$D$48:$P$49,'Internal Ref'!$S461,2))</f>
        <v/>
      </c>
      <c r="W461" s="519" t="str" cm="1">
        <f t="array" ref="W461">IF($S461="","",INDEX('SoP 2'!$D$48:$P$49,'Internal Ref'!$S461,6))</f>
        <v/>
      </c>
      <c r="X461" s="519" t="str">
        <f>IF(V461="Multiple/Other Securities",V461,
IF(T461="","",
IF(U461&lt;&gt;"",U461&amp;" ["&amp;DOLLAR(W461,0)&amp;"]",
IF(LEFT(V461,4)="Rent","Inv: ["&amp;DOLLAR(W461,0)&amp;"]",
"OO: ["&amp;DOLLAR(W461,0)&amp;"]"))))</f>
        <v/>
      </c>
      <c r="Y461" s="519" t="str" cm="1">
        <f t="array" ref="Y461">IF($S461="","",INDEX('SoP 2'!$D$48:$P$49,'Internal Ref'!$S461,1))</f>
        <v/>
      </c>
      <c r="Z461" s="519" t="str">
        <f>IF(X461="","",1)</f>
        <v/>
      </c>
      <c r="AA461" s="519" t="str" cm="1">
        <f t="array" ref="AA461">IF($S461="","",INDEX('SoP 2'!$D$48:$P$49,'Internal Ref'!$S461,4))</f>
        <v/>
      </c>
      <c r="AB461" s="519" t="str" cm="1">
        <f t="array" ref="AB461">IF($S461="","",INDEX('SoP 2'!$D$48:$P$49,'Internal Ref'!$S461,5))</f>
        <v/>
      </c>
      <c r="AC461" s="519" t="str" cm="1">
        <f t="array" ref="AC461">IF($S461="","",INDEX('SoP 2'!$D$48:$P$49,'Internal Ref'!$S461,7))</f>
        <v/>
      </c>
      <c r="AG461" s="519">
        <v>1</v>
      </c>
      <c r="AH461" s="519" t="str">
        <f>IF(AP461=1,AG461,"")</f>
        <v/>
      </c>
      <c r="AI461" s="519" t="str" cm="1">
        <f t="array" ref="AI461">IFERROR(SMALL(IF(LEFT('SoP 1'!$E$84:$E$85,4)="Rent",ROW('SoP 1'!$E$84:$E$85),""),AG461)-(ROW('SoP 1'!$D$83)),"")</f>
        <v/>
      </c>
      <c r="AJ461" s="519" t="str" cm="1">
        <f t="array" ref="AJ461">IF($AI461="","",INDEX('SoP 1'!$D$84:$P$85,'Internal Ref'!$AI461,13))</f>
        <v/>
      </c>
      <c r="AK461" s="519" t="str" cm="1">
        <f t="array" ref="AK461">IF($AI461="","",IF(INDEX('SoP 1'!$D$84:$P$85,'Internal Ref'!$AI461,10)="","",INDEX('SoP 1'!$D$84:$P$85,'Internal Ref'!$AI461,10)))</f>
        <v/>
      </c>
      <c r="AL461" s="519" t="str" cm="1">
        <f t="array" ref="AL461">IF($AI461="","",INDEX('SoP 1'!$D$84:$P$85,'Internal Ref'!$AI461,2))</f>
        <v/>
      </c>
      <c r="AM461" s="519" t="str" cm="1">
        <f t="array" ref="AM461">IF($AI461="","",INDEX('SoP 1'!$D$84:$P$85,'Internal Ref'!$AI461,6))</f>
        <v/>
      </c>
      <c r="AN461" s="519" t="str">
        <f>IF(AL461="Multiple/Other Securities",AL461,
IF(AJ461="","",
IF(AK461&lt;&gt;"",AK461&amp;" ["&amp;DOLLAR(AM461,0)&amp;"]",
IF(LEFT(AL461,4)="Rent","Inv: ["&amp;DOLLAR(AM461,0)&amp;"]",
"OO: ["&amp;DOLLAR(AM461,0)&amp;"]"))))</f>
        <v/>
      </c>
      <c r="AO461" s="519" t="str" cm="1">
        <f t="array" ref="AO461">IF($AI461="","",INDEX('SoP 1'!$D$84:$P$85,'Internal Ref'!$AI461,1))</f>
        <v/>
      </c>
      <c r="AP461" s="519" t="str">
        <f>IF(AN461="","",1)</f>
        <v/>
      </c>
      <c r="AQ461" s="519" t="str" cm="1">
        <f t="array" ref="AQ461">IF($AI461="","",INDEX('SoP 1'!$D$84:$P$85,'Internal Ref'!$AI461,4))</f>
        <v/>
      </c>
      <c r="AR461" s="519" t="str" cm="1">
        <f t="array" ref="AR461">IF($AI461="","",INDEX('SoP 1'!$D$84:$P$85,'Internal Ref'!$AI461,5))</f>
        <v/>
      </c>
      <c r="AS461" s="519" t="str" cm="1">
        <f t="array" ref="AS461">IF($AI461="","",INDEX('SoP 1'!$D$84:$P$85,'Internal Ref'!$AI461,7))</f>
        <v/>
      </c>
      <c r="AT461" s="515"/>
      <c r="AW461" s="519">
        <v>1</v>
      </c>
      <c r="AX461" s="519" t="str">
        <f>IF(BF461=1,AW461,"")</f>
        <v/>
      </c>
      <c r="AY461" s="519" t="str" cm="1">
        <f t="array" ref="AY461">IFERROR(SMALL(IF(LEFT('SoP 3'!$E$48:$E$49,4)="Rent",ROW('SoP 3'!$E$48:$E$49),""),AW461)-(ROW('SoP 3'!$D$47)),"")</f>
        <v/>
      </c>
      <c r="AZ461" s="519" t="str" cm="1">
        <f t="array" ref="AZ461">IF($AY461="","",INDEX('SoP 3'!$D$48:$P$49,$AY461,13))</f>
        <v/>
      </c>
      <c r="BA461" s="519" t="str" cm="1">
        <f t="array" ref="BA461">IF($AY461="","",IF(INDEX('SoP 3'!$D$48:$P$49,$AY461,10)="","",INDEX('SoP 3'!$D$48:$P$49,$AY461,10)))</f>
        <v/>
      </c>
      <c r="BB461" s="519" t="str" cm="1">
        <f t="array" ref="BB461">IF($AY461="","",INDEX('SoP 3'!$D$48:$P$49,$AY461,2))</f>
        <v/>
      </c>
      <c r="BC461" s="519" t="str" cm="1">
        <f t="array" ref="BC461">IF($AY461="","",INDEX('SoP 3'!$D$48:$P$49,$AY461,6))</f>
        <v/>
      </c>
      <c r="BD461" s="519" t="str">
        <f>IF(BB461="Multiple/Other Securities",BB461,
IF(AZ461="","",
IF(BA461&lt;&gt;"",BA461&amp;" ["&amp;DOLLAR(BC461,0)&amp;"]",
IF(LEFT(BB461,4)="Rent","Inv: ["&amp;DOLLAR(BC461,0)&amp;"]",
"OO: ["&amp;DOLLAR(BC461,0)&amp;"]"))))</f>
        <v/>
      </c>
      <c r="BE461" s="519" t="str" cm="1">
        <f t="array" ref="BE461">IF($AY461="","",INDEX('SoP 3'!$D$48:$P$49,$AY461,1))</f>
        <v/>
      </c>
      <c r="BF461" s="519" t="str">
        <f>IF(BD461="","",1)</f>
        <v/>
      </c>
      <c r="BG461" s="519" t="str" cm="1">
        <f t="array" ref="BG461">IF($AY461="","",INDEX('SoP 3'!$D$48:$P$49,$AY461,4))</f>
        <v/>
      </c>
      <c r="BH461" s="519" t="str" cm="1">
        <f t="array" ref="BH461">IF($AY461="","",INDEX('SoP 3'!$D$48:$P$49,$AY461,5))</f>
        <v/>
      </c>
      <c r="BI461" s="519" t="str" cm="1">
        <f t="array" ref="BI461">IF($AY461="","",INDEX('SoP 3'!$D$48:$P$49,$AY461,7))</f>
        <v/>
      </c>
      <c r="BJ461" s="515"/>
    </row>
    <row r="462" spans="1:62">
      <c r="A462" s="519">
        <v>2</v>
      </c>
      <c r="B462" s="519" t="str">
        <f t="shared" si="33"/>
        <v/>
      </c>
      <c r="C462" s="519" t="str" cm="1">
        <f t="array" ref="C462">IFERROR(SMALL(IF(LEFT('SoP 4'!$E$48:$E$49,4)="Rent",ROW('SoP 4'!$E$48:$E$49),""),A462)-(ROW('SoP 4'!$D$47)),"")</f>
        <v/>
      </c>
      <c r="D462" s="541" t="str" cm="1">
        <f t="array" ref="D462">IF($C462="","",INDEX('SoP 4'!$D$48:$P$49,'Internal Ref'!$C462,13))</f>
        <v/>
      </c>
      <c r="E462" s="519" t="str" cm="1">
        <f t="array" ref="E462">IF($C462="","",IF(INDEX('SoP 4'!$D$48:$P$49,'Internal Ref'!$C462,10)="","",INDEX('SoP 4'!$D$48:$P$49,'Internal Ref'!$C462,10)))</f>
        <v/>
      </c>
      <c r="F462" s="519" t="str" cm="1">
        <f t="array" ref="F462">IF($C462="","",INDEX('SoP 4'!$D$48:$P$49,'Internal Ref'!$C462,2))</f>
        <v/>
      </c>
      <c r="G462" s="519" t="str" cm="1">
        <f t="array" ref="G462">IF($C462="","",INDEX('SoP 4'!$D$48:$P$49,'Internal Ref'!$C462,6))</f>
        <v/>
      </c>
      <c r="H462" s="519" t="str">
        <f>IF(F462="Multiple/Other Securities",F462,
IF(D462="","",
IF(E462&lt;&gt;"",E462&amp;" ["&amp;DOLLAR(G462,0)&amp;"]",
IF(LEFT(F462,4)="Rent","Inv: ["&amp;DOLLAR(G462,0)&amp;"]",
"OO: ["&amp;DOLLAR(G462,0)&amp;"]"))))</f>
        <v/>
      </c>
      <c r="I462" s="519" t="str" cm="1">
        <f t="array" ref="I462">IF($C462="","",INDEX('SoP 4'!$D$48:$P$49,'Internal Ref'!$C462,1))</f>
        <v/>
      </c>
      <c r="J462" s="519" t="str">
        <f t="shared" si="34"/>
        <v/>
      </c>
      <c r="K462" s="519" t="str" cm="1">
        <f t="array" ref="K462">IF($C462="","",INDEX('SoP 4'!$D$48:$P$49,'Internal Ref'!$C462,4))</f>
        <v/>
      </c>
      <c r="L462" s="519" t="str" cm="1">
        <f t="array" ref="L462">IF($C462="","",INDEX('SoP 4'!$D$48:$P$49,'Internal Ref'!$C462,5))</f>
        <v/>
      </c>
      <c r="M462" s="519" t="str" cm="1">
        <f t="array" ref="M462">IF($C462="","",INDEX('SoP 4'!$D$48:$P$49,'Internal Ref'!$C462,7))</f>
        <v/>
      </c>
      <c r="Q462" s="519">
        <v>2</v>
      </c>
      <c r="R462" s="519" t="str">
        <f t="shared" ref="R462:R485" si="35">IF(Z462=1,Q462,"")</f>
        <v/>
      </c>
      <c r="S462" s="519" t="str" cm="1">
        <f t="array" ref="S462">IFERROR(SMALL(IF(LEFT('SoP 2'!$E$48:$E$49,4)="Rent",ROW('SoP 2'!$E$48:$E$49),""),Q462)-(ROW('SoP 2'!$D$47)),"")</f>
        <v/>
      </c>
      <c r="T462" s="519" t="str" cm="1">
        <f t="array" ref="T462">IF($S462="","",INDEX('SoP 2'!$D$48:$P$49,'Internal Ref'!$S462,13))</f>
        <v/>
      </c>
      <c r="U462" s="519" t="str" cm="1">
        <f t="array" ref="U462">IF($S462="","",IF(INDEX('SoP 2'!$D$48:$P$49,'Internal Ref'!$S462,10)="","",INDEX('SoP 2'!$D$48:$P$49,'Internal Ref'!$S462,10)))</f>
        <v/>
      </c>
      <c r="V462" s="519" t="str" cm="1">
        <f t="array" ref="V462">IF($S462="","",INDEX('SoP 2'!$D$48:$P$49,'Internal Ref'!$S462,2))</f>
        <v/>
      </c>
      <c r="W462" s="519" t="str" cm="1">
        <f t="array" ref="W462">IF($S462="","",INDEX('SoP 2'!$D$48:$P$49,'Internal Ref'!$S462,6))</f>
        <v/>
      </c>
      <c r="X462" s="519" t="str">
        <f t="shared" ref="X462:X485" si="36">IF(V462="Multiple/Other Securities",V462,
IF(T462="","",
IF(U462&lt;&gt;"",U462&amp;" ["&amp;DOLLAR(W462,0)&amp;"]",
IF(LEFT(V462,4)="Rent","Inv: ["&amp;DOLLAR(W462,0)&amp;"]",
"OO: ["&amp;DOLLAR(W462,0)&amp;"]"))))</f>
        <v/>
      </c>
      <c r="Y462" s="519" t="str" cm="1">
        <f t="array" ref="Y462">IF($S462="","",INDEX('SoP 2'!$D$48:$P$49,'Internal Ref'!$S462,1))</f>
        <v/>
      </c>
      <c r="Z462" s="519" t="str">
        <f t="shared" ref="Z462:Z485" si="37">IF(X462="","",1)</f>
        <v/>
      </c>
      <c r="AA462" s="519" t="str" cm="1">
        <f t="array" ref="AA462">IF($S462="","",INDEX('SoP 2'!$D$48:$P$49,'Internal Ref'!$S462,4))</f>
        <v/>
      </c>
      <c r="AB462" s="519" t="str" cm="1">
        <f t="array" ref="AB462">IF($S462="","",INDEX('SoP 2'!$D$48:$P$49,'Internal Ref'!$S462,5))</f>
        <v/>
      </c>
      <c r="AC462" s="519" t="str" cm="1">
        <f t="array" ref="AC462">IF($S462="","",INDEX('SoP 2'!$D$48:$P$49,'Internal Ref'!$S462,7))</f>
        <v/>
      </c>
      <c r="AG462" s="519">
        <v>2</v>
      </c>
      <c r="AH462" s="519" t="str">
        <f t="shared" ref="AH462:AH485" si="38">IF(AP462=1,AG462,"")</f>
        <v/>
      </c>
      <c r="AI462" s="519" t="str" cm="1">
        <f t="array" ref="AI462">IFERROR(SMALL(IF(LEFT('SoP 1'!$E$84:$E$85,4)="Rent",ROW('SoP 1'!$E$84:$E$85),""),AG462)-(ROW('SoP 1'!$D$83)),"")</f>
        <v/>
      </c>
      <c r="AJ462" s="519" t="str" cm="1">
        <f t="array" ref="AJ462">IF($AI462="","",INDEX('SoP 1'!$D$84:$P$85,'Internal Ref'!$AI462,13))</f>
        <v/>
      </c>
      <c r="AK462" s="519" t="str" cm="1">
        <f t="array" ref="AK462">IF($AI462="","",IF(INDEX('SoP 1'!$D$84:$P$85,'Internal Ref'!$AI462,10)="","",INDEX('SoP 1'!$D$84:$P$85,'Internal Ref'!$AI462,10)))</f>
        <v/>
      </c>
      <c r="AL462" s="519" t="str" cm="1">
        <f t="array" ref="AL462">IF($AI462="","",INDEX('SoP 1'!$D$84:$P$85,'Internal Ref'!$AI462,2))</f>
        <v/>
      </c>
      <c r="AM462" s="519" t="str" cm="1">
        <f t="array" ref="AM462">IF($AI462="","",INDEX('SoP 1'!$D$84:$P$85,'Internal Ref'!$AI462,6))</f>
        <v/>
      </c>
      <c r="AN462" s="519" t="str">
        <f t="shared" ref="AN462:AN485" si="39">IF(AL462="Multiple/Other Securities",AL462,
IF(AJ462="","",
IF(AK462&lt;&gt;"",AK462&amp;" ["&amp;DOLLAR(AM462,0)&amp;"]",
IF(LEFT(AL462,4)="Rent","Inv: ["&amp;DOLLAR(AM462,0)&amp;"]",
"OO: ["&amp;DOLLAR(AM462,0)&amp;"]"))))</f>
        <v/>
      </c>
      <c r="AO462" s="519" t="str" cm="1">
        <f t="array" ref="AO462">IF($AI462="","",INDEX('SoP 1'!$D$84:$P$85,'Internal Ref'!$AI462,1))</f>
        <v/>
      </c>
      <c r="AP462" s="519" t="str">
        <f t="shared" ref="AP462:AP485" si="40">IF(AN462="","",1)</f>
        <v/>
      </c>
      <c r="AQ462" s="519" t="str" cm="1">
        <f t="array" ref="AQ462">IF($AI462="","",INDEX('SoP 1'!$D$84:$P$85,'Internal Ref'!$AI462,4))</f>
        <v/>
      </c>
      <c r="AR462" s="519" t="str" cm="1">
        <f t="array" ref="AR462">IF($AI462="","",INDEX('SoP 1'!$D$84:$P$85,'Internal Ref'!$AI462,5))</f>
        <v/>
      </c>
      <c r="AS462" s="519" t="str" cm="1">
        <f t="array" ref="AS462">IF($AI462="","",INDEX('SoP 1'!$D$84:$P$85,'Internal Ref'!$AI462,7))</f>
        <v/>
      </c>
      <c r="AT462" s="515"/>
      <c r="AW462" s="519">
        <v>2</v>
      </c>
      <c r="AX462" s="519" t="str">
        <f t="shared" ref="AX462:AX485" si="41">IF(BF462=1,AW462,"")</f>
        <v/>
      </c>
      <c r="AY462" s="519" t="str" cm="1">
        <f t="array" ref="AY462">IFERROR(SMALL(IF(LEFT('SoP 3'!$E$48:$E$49,4)="Rent",ROW('SoP 3'!$E$48:$E$49),""),AW462)-(ROW('SoP 3'!$D$47)),"")</f>
        <v/>
      </c>
      <c r="AZ462" s="519" t="str" cm="1">
        <f t="array" ref="AZ462">IF($AY462="","",INDEX('SoP 3'!$D$48:$P$49,$AY462,13))</f>
        <v/>
      </c>
      <c r="BA462" s="519" t="str" cm="1">
        <f t="array" ref="BA462">IF($AY462="","",IF(INDEX('SoP 3'!$D$48:$P$49,$AY462,10)="","",INDEX('SoP 3'!$D$48:$P$49,$AY462,10)))</f>
        <v/>
      </c>
      <c r="BB462" s="519" t="str" cm="1">
        <f t="array" ref="BB462">IF($AY462="","",INDEX('SoP 3'!$D$48:$P$49,$AY462,2))</f>
        <v/>
      </c>
      <c r="BC462" s="519" t="str" cm="1">
        <f t="array" ref="BC462">IF($AY462="","",INDEX('SoP 3'!$D$48:$P$49,$AY462,6))</f>
        <v/>
      </c>
      <c r="BD462" s="519" t="str">
        <f t="shared" ref="BD462:BD485" si="42">IF(BB462="Multiple/Other Securities",BB462,
IF(AZ462="","",
IF(BA462&lt;&gt;"",BA462&amp;" ["&amp;DOLLAR(BC462,0)&amp;"]",
IF(LEFT(BB462,4)="Rent","Inv: ["&amp;DOLLAR(BC462,0)&amp;"]",
"OO: ["&amp;DOLLAR(BC462,0)&amp;"]"))))</f>
        <v/>
      </c>
      <c r="BE462" s="519" t="str" cm="1">
        <f t="array" ref="BE462">IF($AY462="","",INDEX('SoP 3'!$D$48:$P$49,$AY462,1))</f>
        <v/>
      </c>
      <c r="BF462" s="519" t="str">
        <f t="shared" ref="BF462:BF485" si="43">IF(BD462="","",1)</f>
        <v/>
      </c>
      <c r="BG462" s="519" t="str" cm="1">
        <f t="array" ref="BG462">IF($AY462="","",INDEX('SoP 3'!$D$48:$P$49,$AY462,4))</f>
        <v/>
      </c>
      <c r="BH462" s="519" t="str" cm="1">
        <f t="array" ref="BH462">IF($AY462="","",INDEX('SoP 3'!$D$48:$P$49,$AY462,5))</f>
        <v/>
      </c>
      <c r="BI462" s="519" t="str" cm="1">
        <f t="array" ref="BI462">IF($AY462="","",INDEX('SoP 3'!$D$48:$P$49,$AY462,7))</f>
        <v/>
      </c>
      <c r="BJ462" s="515"/>
    </row>
    <row r="463" spans="1:62">
      <c r="A463" s="519">
        <v>3</v>
      </c>
      <c r="B463" s="519" t="str">
        <f t="shared" si="33"/>
        <v/>
      </c>
      <c r="C463" s="519" t="str" cm="1">
        <f t="array" ref="C463">IFERROR(SMALL(IF(LEFT('SoP 4'!$E$48:$E$49,4)="Rent",ROW('SoP 4'!$E$48:$E$49),""),A463)-(ROW('SoP 4'!$D$47)),"")</f>
        <v/>
      </c>
      <c r="D463" s="519" t="str" cm="1">
        <f t="array" ref="D463">IF($C463="","",INDEX('SoP 4'!$D$48:$P$49,'Internal Ref'!$C463,13))</f>
        <v/>
      </c>
      <c r="E463" s="519" t="str" cm="1">
        <f t="array" ref="E463">IF($C463="","",IF(INDEX('SoP 4'!$D$48:$P$49,'Internal Ref'!$C463,10)="","",INDEX('SoP 4'!$D$48:$P$49,'Internal Ref'!$C463,10)))</f>
        <v/>
      </c>
      <c r="F463" s="519" t="str" cm="1">
        <f t="array" ref="F463">IF($C463="","",INDEX('SoP 4'!$D$48:$P$49,'Internal Ref'!$C463,2))</f>
        <v/>
      </c>
      <c r="G463" s="519" t="str" cm="1">
        <f t="array" ref="G463">IF($C463="","",INDEX('SoP 4'!$D$48:$P$49,'Internal Ref'!$C463,6))</f>
        <v/>
      </c>
      <c r="H463" s="519" t="str">
        <f t="shared" ref="H463:H485" si="44">IF(F463="Multiple/Other Securities",F463,
IF(D463="","",
IF(E463&lt;&gt;"",E463&amp;" ["&amp;DOLLAR(G463,0)&amp;"]",
IF(LEFT(F463,4)="Rent","Inv: ["&amp;DOLLAR(G463,0)&amp;"]",
"OO: ["&amp;DOLLAR(G463,0)&amp;"]"))))</f>
        <v/>
      </c>
      <c r="I463" s="519" t="str" cm="1">
        <f t="array" ref="I463">IF($C463="","",INDEX('SoP 4'!$D$48:$P$49,'Internal Ref'!$C463,1))</f>
        <v/>
      </c>
      <c r="J463" s="519" t="str">
        <f t="shared" si="34"/>
        <v/>
      </c>
      <c r="K463" s="519" t="str" cm="1">
        <f t="array" ref="K463">IF($C463="","",INDEX('SoP 4'!$D$48:$P$49,'Internal Ref'!$C463,4))</f>
        <v/>
      </c>
      <c r="L463" s="519" t="str" cm="1">
        <f t="array" ref="L463">IF($C463="","",INDEX('SoP 4'!$D$48:$P$49,'Internal Ref'!$C463,5))</f>
        <v/>
      </c>
      <c r="M463" s="519" t="str" cm="1">
        <f t="array" ref="M463">IF($C463="","",INDEX('SoP 4'!$D$48:$P$49,'Internal Ref'!$C463,7))</f>
        <v/>
      </c>
      <c r="Q463" s="519">
        <v>3</v>
      </c>
      <c r="R463" s="519" t="str">
        <f t="shared" si="35"/>
        <v/>
      </c>
      <c r="S463" s="519" t="str" cm="1">
        <f t="array" ref="S463">IFERROR(SMALL(IF(LEFT('SoP 2'!$E$48:$E$49,4)="Rent",ROW('SoP 2'!$E$48:$E$49),""),Q463)-(ROW('SoP 2'!$D$47)),"")</f>
        <v/>
      </c>
      <c r="T463" s="519" t="str" cm="1">
        <f t="array" ref="T463">IF($S463="","",INDEX('SoP 2'!$D$48:$P$49,'Internal Ref'!$S463,13))</f>
        <v/>
      </c>
      <c r="U463" s="519" t="str" cm="1">
        <f t="array" ref="U463">IF($S463="","",IF(INDEX('SoP 2'!$D$48:$P$49,'Internal Ref'!$S463,10)="","",INDEX('SoP 2'!$D$48:$P$49,'Internal Ref'!$S463,10)))</f>
        <v/>
      </c>
      <c r="V463" s="519" t="str" cm="1">
        <f t="array" ref="V463">IF($S463="","",INDEX('SoP 2'!$D$48:$P$49,'Internal Ref'!$S463,2))</f>
        <v/>
      </c>
      <c r="W463" s="519" t="str" cm="1">
        <f t="array" ref="W463">IF($S463="","",INDEX('SoP 2'!$D$48:$P$49,'Internal Ref'!$S463,6))</f>
        <v/>
      </c>
      <c r="X463" s="519" t="str">
        <f t="shared" si="36"/>
        <v/>
      </c>
      <c r="Y463" s="519" t="str" cm="1">
        <f t="array" ref="Y463">IF($S463="","",INDEX('SoP 2'!$D$48:$P$49,'Internal Ref'!$S463,1))</f>
        <v/>
      </c>
      <c r="Z463" s="519" t="str">
        <f t="shared" si="37"/>
        <v/>
      </c>
      <c r="AA463" s="519" t="str" cm="1">
        <f t="array" ref="AA463">IF($S463="","",INDEX('SoP 2'!$D$48:$P$49,'Internal Ref'!$S463,4))</f>
        <v/>
      </c>
      <c r="AB463" s="519" t="str" cm="1">
        <f t="array" ref="AB463">IF($S463="","",INDEX('SoP 2'!$D$48:$P$49,'Internal Ref'!$S463,5))</f>
        <v/>
      </c>
      <c r="AC463" s="519" t="str" cm="1">
        <f t="array" ref="AC463">IF($S463="","",INDEX('SoP 2'!$D$48:$P$49,'Internal Ref'!$S463,7))</f>
        <v/>
      </c>
      <c r="AG463" s="519">
        <v>3</v>
      </c>
      <c r="AH463" s="519" t="str">
        <f t="shared" si="38"/>
        <v/>
      </c>
      <c r="AI463" s="519" t="str" cm="1">
        <f t="array" ref="AI463">IFERROR(SMALL(IF(LEFT('SoP 1'!$E$84:$E$85,4)="Rent",ROW('SoP 1'!$E$84:$E$85),""),AG463)-(ROW('SoP 1'!$D$83)),"")</f>
        <v/>
      </c>
      <c r="AJ463" s="519" t="str" cm="1">
        <f t="array" ref="AJ463">IF($AI463="","",INDEX('SoP 1'!$D$84:$P$85,'Internal Ref'!$AI463,13))</f>
        <v/>
      </c>
      <c r="AK463" s="519" t="str" cm="1">
        <f t="array" ref="AK463">IF($AI463="","",IF(INDEX('SoP 1'!$D$84:$P$85,'Internal Ref'!$AI463,10)="","",INDEX('SoP 1'!$D$84:$P$85,'Internal Ref'!$AI463,10)))</f>
        <v/>
      </c>
      <c r="AL463" s="519" t="str" cm="1">
        <f t="array" ref="AL463">IF($AI463="","",INDEX('SoP 1'!$D$84:$P$85,'Internal Ref'!$AI463,2))</f>
        <v/>
      </c>
      <c r="AM463" s="519" t="str" cm="1">
        <f t="array" ref="AM463">IF($AI463="","",INDEX('SoP 1'!$D$84:$P$85,'Internal Ref'!$AI463,6))</f>
        <v/>
      </c>
      <c r="AN463" s="519" t="str">
        <f t="shared" si="39"/>
        <v/>
      </c>
      <c r="AO463" s="519" t="str" cm="1">
        <f t="array" ref="AO463">IF($AI463="","",INDEX('SoP 1'!$D$84:$P$85,'Internal Ref'!$AI463,1))</f>
        <v/>
      </c>
      <c r="AP463" s="519" t="str">
        <f t="shared" si="40"/>
        <v/>
      </c>
      <c r="AQ463" s="519" t="str" cm="1">
        <f t="array" ref="AQ463">IF($AI463="","",INDEX('SoP 1'!$D$84:$P$85,'Internal Ref'!$AI463,4))</f>
        <v/>
      </c>
      <c r="AR463" s="519" t="str" cm="1">
        <f t="array" ref="AR463">IF($AI463="","",INDEX('SoP 1'!$D$84:$P$85,'Internal Ref'!$AI463,5))</f>
        <v/>
      </c>
      <c r="AS463" s="519" t="str" cm="1">
        <f t="array" ref="AS463">IF($AI463="","",INDEX('SoP 1'!$D$84:$P$85,'Internal Ref'!$AI463,7))</f>
        <v/>
      </c>
      <c r="AT463" s="515"/>
      <c r="AW463" s="519">
        <v>3</v>
      </c>
      <c r="AX463" s="519" t="str">
        <f t="shared" si="41"/>
        <v/>
      </c>
      <c r="AY463" s="519" t="str" cm="1">
        <f t="array" ref="AY463">IFERROR(SMALL(IF(LEFT('SoP 3'!$E$48:$E$49,4)="Rent",ROW('SoP 3'!$E$48:$E$49),""),AW463)-(ROW('SoP 3'!$D$47)),"")</f>
        <v/>
      </c>
      <c r="AZ463" s="519" t="str" cm="1">
        <f t="array" ref="AZ463">IF($AY463="","",INDEX('SoP 3'!$D$48:$P$49,$AY463,13))</f>
        <v/>
      </c>
      <c r="BA463" s="519" t="str" cm="1">
        <f t="array" ref="BA463">IF($AY463="","",IF(INDEX('SoP 3'!$D$48:$P$49,$AY463,10)="","",INDEX('SoP 3'!$D$48:$P$49,$AY463,10)))</f>
        <v/>
      </c>
      <c r="BB463" s="519" t="str" cm="1">
        <f t="array" ref="BB463">IF($AY463="","",INDEX('SoP 3'!$D$48:$P$49,$AY463,2))</f>
        <v/>
      </c>
      <c r="BC463" s="519" t="str" cm="1">
        <f t="array" ref="BC463">IF($AY463="","",INDEX('SoP 3'!$D$48:$P$49,$AY463,6))</f>
        <v/>
      </c>
      <c r="BD463" s="519" t="str">
        <f t="shared" si="42"/>
        <v/>
      </c>
      <c r="BE463" s="519" t="str" cm="1">
        <f t="array" ref="BE463">IF($AY463="","",INDEX('SoP 3'!$D$48:$P$49,$AY463,1))</f>
        <v/>
      </c>
      <c r="BF463" s="519" t="str">
        <f t="shared" si="43"/>
        <v/>
      </c>
      <c r="BG463" s="519" t="str" cm="1">
        <f t="array" ref="BG463">IF($AY463="","",INDEX('SoP 3'!$D$48:$P$49,$AY463,4))</f>
        <v/>
      </c>
      <c r="BH463" s="519" t="str" cm="1">
        <f t="array" ref="BH463">IF($AY463="","",INDEX('SoP 3'!$D$48:$P$49,$AY463,5))</f>
        <v/>
      </c>
      <c r="BI463" s="519" t="str" cm="1">
        <f t="array" ref="BI463">IF($AY463="","",INDEX('SoP 3'!$D$48:$P$49,$AY463,7))</f>
        <v/>
      </c>
      <c r="BJ463" s="515"/>
    </row>
    <row r="464" spans="1:62">
      <c r="A464" s="519">
        <v>4</v>
      </c>
      <c r="B464" s="519" t="str">
        <f t="shared" si="33"/>
        <v/>
      </c>
      <c r="C464" s="519" t="str" cm="1">
        <f t="array" ref="C464">IFERROR(SMALL(IF(LEFT('SoP 4'!$E$48:$E$49,4)="Rent",ROW('SoP 4'!$E$48:$E$49),""),A464)-(ROW('SoP 4'!$D$47)),"")</f>
        <v/>
      </c>
      <c r="D464" s="519" t="str" cm="1">
        <f t="array" ref="D464">IF($C464="","",INDEX('SoP 4'!$D$48:$P$49,'Internal Ref'!$C464,13))</f>
        <v/>
      </c>
      <c r="E464" s="519" t="str" cm="1">
        <f t="array" ref="E464">IF($C464="","",IF(INDEX('SoP 4'!$D$48:$P$49,'Internal Ref'!$C464,10)="","",INDEX('SoP 4'!$D$48:$P$49,'Internal Ref'!$C464,10)))</f>
        <v/>
      </c>
      <c r="F464" s="519" t="str" cm="1">
        <f t="array" ref="F464">IF($C464="","",INDEX('SoP 4'!$D$48:$P$49,'Internal Ref'!$C464,2))</f>
        <v/>
      </c>
      <c r="G464" s="519" t="str" cm="1">
        <f t="array" ref="G464">IF($C464="","",INDEX('SoP 4'!$D$48:$P$49,'Internal Ref'!$C464,6))</f>
        <v/>
      </c>
      <c r="H464" s="519" t="str">
        <f t="shared" si="44"/>
        <v/>
      </c>
      <c r="I464" s="519" t="str" cm="1">
        <f t="array" ref="I464">IF($C464="","",INDEX('SoP 4'!$D$48:$P$49,'Internal Ref'!$C464,1))</f>
        <v/>
      </c>
      <c r="J464" s="519" t="str">
        <f t="shared" si="34"/>
        <v/>
      </c>
      <c r="K464" s="519" t="str" cm="1">
        <f t="array" ref="K464">IF($C464="","",INDEX('SoP 4'!$D$48:$P$49,'Internal Ref'!$C464,4))</f>
        <v/>
      </c>
      <c r="L464" s="519" t="str" cm="1">
        <f t="array" ref="L464">IF($C464="","",INDEX('SoP 4'!$D$48:$P$49,'Internal Ref'!$C464,5))</f>
        <v/>
      </c>
      <c r="M464" s="519" t="str" cm="1">
        <f t="array" ref="M464">IF($C464="","",INDEX('SoP 4'!$D$48:$P$49,'Internal Ref'!$C464,7))</f>
        <v/>
      </c>
      <c r="Q464" s="519">
        <v>4</v>
      </c>
      <c r="R464" s="519" t="str">
        <f t="shared" si="35"/>
        <v/>
      </c>
      <c r="S464" s="519" t="str" cm="1">
        <f t="array" ref="S464">IFERROR(SMALL(IF(LEFT('SoP 2'!$E$48:$E$49,4)="Rent",ROW('SoP 2'!$E$48:$E$49),""),Q464)-(ROW('SoP 2'!$D$47)),"")</f>
        <v/>
      </c>
      <c r="T464" s="519" t="str" cm="1">
        <f t="array" ref="T464">IF($S464="","",INDEX('SoP 2'!$D$48:$P$49,'Internal Ref'!$S464,13))</f>
        <v/>
      </c>
      <c r="U464" s="519" t="str" cm="1">
        <f t="array" ref="U464">IF($S464="","",IF(INDEX('SoP 2'!$D$48:$P$49,'Internal Ref'!$S464,10)="","",INDEX('SoP 2'!$D$48:$P$49,'Internal Ref'!$S464,10)))</f>
        <v/>
      </c>
      <c r="V464" s="519" t="str" cm="1">
        <f t="array" ref="V464">IF($S464="","",INDEX('SoP 2'!$D$48:$P$49,'Internal Ref'!$S464,2))</f>
        <v/>
      </c>
      <c r="W464" s="519" t="str" cm="1">
        <f t="array" ref="W464">IF($S464="","",INDEX('SoP 2'!$D$48:$P$49,'Internal Ref'!$S464,6))</f>
        <v/>
      </c>
      <c r="X464" s="519" t="str">
        <f t="shared" si="36"/>
        <v/>
      </c>
      <c r="Y464" s="519" t="str" cm="1">
        <f t="array" ref="Y464">IF($S464="","",INDEX('SoP 2'!$D$48:$P$49,'Internal Ref'!$S464,1))</f>
        <v/>
      </c>
      <c r="Z464" s="519" t="str">
        <f t="shared" si="37"/>
        <v/>
      </c>
      <c r="AA464" s="519" t="str" cm="1">
        <f t="array" ref="AA464">IF($S464="","",INDEX('SoP 2'!$D$48:$P$49,'Internal Ref'!$S464,4))</f>
        <v/>
      </c>
      <c r="AB464" s="519" t="str" cm="1">
        <f t="array" ref="AB464">IF($S464="","",INDEX('SoP 2'!$D$48:$P$49,'Internal Ref'!$S464,5))</f>
        <v/>
      </c>
      <c r="AC464" s="519" t="str" cm="1">
        <f t="array" ref="AC464">IF($S464="","",INDEX('SoP 2'!$D$48:$P$49,'Internal Ref'!$S464,7))</f>
        <v/>
      </c>
      <c r="AG464" s="519">
        <v>4</v>
      </c>
      <c r="AH464" s="519" t="str">
        <f t="shared" si="38"/>
        <v/>
      </c>
      <c r="AI464" s="519" t="str" cm="1">
        <f t="array" ref="AI464">IFERROR(SMALL(IF(LEFT('SoP 1'!$E$84:$E$85,4)="Rent",ROW('SoP 1'!$E$84:$E$85),""),AG464)-(ROW('SoP 1'!$D$83)),"")</f>
        <v/>
      </c>
      <c r="AJ464" s="519" t="str" cm="1">
        <f t="array" ref="AJ464">IF($AI464="","",INDEX('SoP 1'!$D$84:$P$85,'Internal Ref'!$AI464,13))</f>
        <v/>
      </c>
      <c r="AK464" s="519" t="str" cm="1">
        <f t="array" ref="AK464">IF($AI464="","",IF(INDEX('SoP 1'!$D$84:$P$85,'Internal Ref'!$AI464,10)="","",INDEX('SoP 1'!$D$84:$P$85,'Internal Ref'!$AI464,10)))</f>
        <v/>
      </c>
      <c r="AL464" s="519" t="str" cm="1">
        <f t="array" ref="AL464">IF($AI464="","",INDEX('SoP 1'!$D$84:$P$85,'Internal Ref'!$AI464,2))</f>
        <v/>
      </c>
      <c r="AM464" s="519" t="str" cm="1">
        <f t="array" ref="AM464">IF($AI464="","",INDEX('SoP 1'!$D$84:$P$85,'Internal Ref'!$AI464,6))</f>
        <v/>
      </c>
      <c r="AN464" s="519" t="str">
        <f t="shared" si="39"/>
        <v/>
      </c>
      <c r="AO464" s="519" t="str" cm="1">
        <f t="array" ref="AO464">IF($AI464="","",INDEX('SoP 1'!$D$84:$P$85,'Internal Ref'!$AI464,1))</f>
        <v/>
      </c>
      <c r="AP464" s="519" t="str">
        <f t="shared" si="40"/>
        <v/>
      </c>
      <c r="AQ464" s="519" t="str" cm="1">
        <f t="array" ref="AQ464">IF($AI464="","",INDEX('SoP 1'!$D$84:$P$85,'Internal Ref'!$AI464,4))</f>
        <v/>
      </c>
      <c r="AR464" s="519" t="str" cm="1">
        <f t="array" ref="AR464">IF($AI464="","",INDEX('SoP 1'!$D$84:$P$85,'Internal Ref'!$AI464,5))</f>
        <v/>
      </c>
      <c r="AS464" s="519" t="str" cm="1">
        <f t="array" ref="AS464">IF($AI464="","",INDEX('SoP 1'!$D$84:$P$85,'Internal Ref'!$AI464,7))</f>
        <v/>
      </c>
      <c r="AT464" s="515"/>
      <c r="AW464" s="519">
        <v>4</v>
      </c>
      <c r="AX464" s="519" t="str">
        <f t="shared" si="41"/>
        <v/>
      </c>
      <c r="AY464" s="519" t="str" cm="1">
        <f t="array" ref="AY464">IFERROR(SMALL(IF(LEFT('SoP 3'!$E$48:$E$49,4)="Rent",ROW('SoP 3'!$E$48:$E$49),""),AW464)-(ROW('SoP 3'!$D$47)),"")</f>
        <v/>
      </c>
      <c r="AZ464" s="519" t="str" cm="1">
        <f t="array" ref="AZ464">IF($AY464="","",INDEX('SoP 3'!$D$48:$P$49,$AY464,13))</f>
        <v/>
      </c>
      <c r="BA464" s="519" t="str" cm="1">
        <f t="array" ref="BA464">IF($AY464="","",IF(INDEX('SoP 3'!$D$48:$P$49,$AY464,10)="","",INDEX('SoP 3'!$D$48:$P$49,$AY464,10)))</f>
        <v/>
      </c>
      <c r="BB464" s="519" t="str" cm="1">
        <f t="array" ref="BB464">IF($AY464="","",INDEX('SoP 3'!$D$48:$P$49,$AY464,2))</f>
        <v/>
      </c>
      <c r="BC464" s="519" t="str" cm="1">
        <f t="array" ref="BC464">IF($AY464="","",INDEX('SoP 3'!$D$48:$P$49,$AY464,6))</f>
        <v/>
      </c>
      <c r="BD464" s="519" t="str">
        <f t="shared" si="42"/>
        <v/>
      </c>
      <c r="BE464" s="519" t="str" cm="1">
        <f t="array" ref="BE464">IF($AY464="","",INDEX('SoP 3'!$D$48:$P$49,$AY464,1))</f>
        <v/>
      </c>
      <c r="BF464" s="519" t="str">
        <f t="shared" si="43"/>
        <v/>
      </c>
      <c r="BG464" s="519" t="str" cm="1">
        <f t="array" ref="BG464">IF($AY464="","",INDEX('SoP 3'!$D$48:$P$49,$AY464,4))</f>
        <v/>
      </c>
      <c r="BH464" s="519" t="str" cm="1">
        <f t="array" ref="BH464">IF($AY464="","",INDEX('SoP 3'!$D$48:$P$49,$AY464,5))</f>
        <v/>
      </c>
      <c r="BI464" s="519" t="str" cm="1">
        <f t="array" ref="BI464">IF($AY464="","",INDEX('SoP 3'!$D$48:$P$49,$AY464,7))</f>
        <v/>
      </c>
      <c r="BJ464" s="515"/>
    </row>
    <row r="465" spans="1:62">
      <c r="A465" s="519">
        <v>5</v>
      </c>
      <c r="B465" s="519" t="str">
        <f t="shared" si="33"/>
        <v/>
      </c>
      <c r="C465" s="519" t="str" cm="1">
        <f t="array" ref="C465">IFERROR(SMALL(IF(LEFT('SoP 4'!$E$48:$E$49,4)="Rent",ROW('SoP 4'!$E$48:$E$49),""),A465)-(ROW('SoP 4'!$D$47)),"")</f>
        <v/>
      </c>
      <c r="D465" s="519" t="str" cm="1">
        <f t="array" ref="D465">IF($C465="","",INDEX('SoP 4'!$D$48:$P$49,'Internal Ref'!$C465,13))</f>
        <v/>
      </c>
      <c r="E465" s="519" t="str" cm="1">
        <f t="array" ref="E465">IF($C465="","",IF(INDEX('SoP 4'!$D$48:$P$49,'Internal Ref'!$C465,10)="","",INDEX('SoP 4'!$D$48:$P$49,'Internal Ref'!$C465,10)))</f>
        <v/>
      </c>
      <c r="F465" s="519" t="str" cm="1">
        <f t="array" ref="F465">IF($C465="","",INDEX('SoP 4'!$D$48:$P$49,'Internal Ref'!$C465,2))</f>
        <v/>
      </c>
      <c r="G465" s="519" t="str" cm="1">
        <f t="array" ref="G465">IF($C465="","",INDEX('SoP 4'!$D$48:$P$49,'Internal Ref'!$C465,6))</f>
        <v/>
      </c>
      <c r="H465" s="519" t="str">
        <f t="shared" si="44"/>
        <v/>
      </c>
      <c r="I465" s="519" t="str" cm="1">
        <f t="array" ref="I465">IF($C465="","",INDEX('SoP 4'!$D$48:$P$49,'Internal Ref'!$C465,1))</f>
        <v/>
      </c>
      <c r="J465" s="519" t="str">
        <f t="shared" si="34"/>
        <v/>
      </c>
      <c r="K465" s="519" t="str" cm="1">
        <f t="array" ref="K465">IF($C465="","",INDEX('SoP 4'!$D$48:$P$49,'Internal Ref'!$C465,4))</f>
        <v/>
      </c>
      <c r="L465" s="519" t="str" cm="1">
        <f t="array" ref="L465">IF($C465="","",INDEX('SoP 4'!$D$48:$P$49,'Internal Ref'!$C465,5))</f>
        <v/>
      </c>
      <c r="M465" s="519" t="str" cm="1">
        <f t="array" ref="M465">IF($C465="","",INDEX('SoP 4'!$D$48:$P$49,'Internal Ref'!$C465,7))</f>
        <v/>
      </c>
      <c r="Q465" s="519">
        <v>5</v>
      </c>
      <c r="R465" s="519" t="str">
        <f t="shared" si="35"/>
        <v/>
      </c>
      <c r="S465" s="519" t="str" cm="1">
        <f t="array" ref="S465">IFERROR(SMALL(IF(LEFT('SoP 2'!$E$48:$E$49,4)="Rent",ROW('SoP 2'!$E$48:$E$49),""),Q465)-(ROW('SoP 2'!$D$47)),"")</f>
        <v/>
      </c>
      <c r="T465" s="519" t="str" cm="1">
        <f t="array" ref="T465">IF($S465="","",INDEX('SoP 2'!$D$48:$P$49,'Internal Ref'!$S465,13))</f>
        <v/>
      </c>
      <c r="U465" s="519" t="str" cm="1">
        <f t="array" ref="U465">IF($S465="","",IF(INDEX('SoP 2'!$D$48:$P$49,'Internal Ref'!$S465,10)="","",INDEX('SoP 2'!$D$48:$P$49,'Internal Ref'!$S465,10)))</f>
        <v/>
      </c>
      <c r="V465" s="519" t="str" cm="1">
        <f t="array" ref="V465">IF($S465="","",INDEX('SoP 2'!$D$48:$P$49,'Internal Ref'!$S465,2))</f>
        <v/>
      </c>
      <c r="W465" s="519" t="str" cm="1">
        <f t="array" ref="W465">IF($S465="","",INDEX('SoP 2'!$D$48:$P$49,'Internal Ref'!$S465,6))</f>
        <v/>
      </c>
      <c r="X465" s="519" t="str">
        <f t="shared" si="36"/>
        <v/>
      </c>
      <c r="Y465" s="519" t="str" cm="1">
        <f t="array" ref="Y465">IF($S465="","",INDEX('SoP 2'!$D$48:$P$49,'Internal Ref'!$S465,1))</f>
        <v/>
      </c>
      <c r="Z465" s="519" t="str">
        <f t="shared" si="37"/>
        <v/>
      </c>
      <c r="AA465" s="519" t="str" cm="1">
        <f t="array" ref="AA465">IF($S465="","",INDEX('SoP 2'!$D$48:$P$49,'Internal Ref'!$S465,4))</f>
        <v/>
      </c>
      <c r="AB465" s="519" t="str" cm="1">
        <f t="array" ref="AB465">IF($S465="","",INDEX('SoP 2'!$D$48:$P$49,'Internal Ref'!$S465,5))</f>
        <v/>
      </c>
      <c r="AC465" s="519" t="str" cm="1">
        <f t="array" ref="AC465">IF($S465="","",INDEX('SoP 2'!$D$48:$P$49,'Internal Ref'!$S465,7))</f>
        <v/>
      </c>
      <c r="AG465" s="519">
        <v>5</v>
      </c>
      <c r="AH465" s="519" t="str">
        <f t="shared" si="38"/>
        <v/>
      </c>
      <c r="AI465" s="519" t="str" cm="1">
        <f t="array" ref="AI465">IFERROR(SMALL(IF(LEFT('SoP 1'!$E$84:$E$85,4)="Rent",ROW('SoP 1'!$E$84:$E$85),""),AG465)-(ROW('SoP 1'!$D$83)),"")</f>
        <v/>
      </c>
      <c r="AJ465" s="519" t="str" cm="1">
        <f t="array" ref="AJ465">IF($AI465="","",INDEX('SoP 1'!$D$84:$P$85,'Internal Ref'!$AI465,13))</f>
        <v/>
      </c>
      <c r="AK465" s="519" t="str" cm="1">
        <f t="array" ref="AK465">IF($AI465="","",IF(INDEX('SoP 1'!$D$84:$P$85,'Internal Ref'!$AI465,10)="","",INDEX('SoP 1'!$D$84:$P$85,'Internal Ref'!$AI465,10)))</f>
        <v/>
      </c>
      <c r="AL465" s="519" t="str" cm="1">
        <f t="array" ref="AL465">IF($AI465="","",INDEX('SoP 1'!$D$84:$P$85,'Internal Ref'!$AI465,2))</f>
        <v/>
      </c>
      <c r="AM465" s="519" t="str" cm="1">
        <f t="array" ref="AM465">IF($AI465="","",INDEX('SoP 1'!$D$84:$P$85,'Internal Ref'!$AI465,6))</f>
        <v/>
      </c>
      <c r="AN465" s="519" t="str">
        <f t="shared" si="39"/>
        <v/>
      </c>
      <c r="AO465" s="519" t="str" cm="1">
        <f t="array" ref="AO465">IF($AI465="","",INDEX('SoP 1'!$D$84:$P$85,'Internal Ref'!$AI465,1))</f>
        <v/>
      </c>
      <c r="AP465" s="519" t="str">
        <f t="shared" si="40"/>
        <v/>
      </c>
      <c r="AQ465" s="519" t="str" cm="1">
        <f t="array" ref="AQ465">IF($AI465="","",INDEX('SoP 1'!$D$84:$P$85,'Internal Ref'!$AI465,4))</f>
        <v/>
      </c>
      <c r="AR465" s="519" t="str" cm="1">
        <f t="array" ref="AR465">IF($AI465="","",INDEX('SoP 1'!$D$84:$P$85,'Internal Ref'!$AI465,5))</f>
        <v/>
      </c>
      <c r="AS465" s="519" t="str" cm="1">
        <f t="array" ref="AS465">IF($AI465="","",INDEX('SoP 1'!$D$84:$P$85,'Internal Ref'!$AI465,7))</f>
        <v/>
      </c>
      <c r="AT465" s="515"/>
      <c r="AW465" s="519">
        <v>5</v>
      </c>
      <c r="AX465" s="519" t="str">
        <f t="shared" si="41"/>
        <v/>
      </c>
      <c r="AY465" s="519" t="str" cm="1">
        <f t="array" ref="AY465">IFERROR(SMALL(IF(LEFT('SoP 3'!$E$48:$E$49,4)="Rent",ROW('SoP 3'!$E$48:$E$49),""),AW465)-(ROW('SoP 3'!$D$47)),"")</f>
        <v/>
      </c>
      <c r="AZ465" s="519" t="str" cm="1">
        <f t="array" ref="AZ465">IF($AY465="","",INDEX('SoP 3'!$D$48:$P$49,$AY465,13))</f>
        <v/>
      </c>
      <c r="BA465" s="519" t="str" cm="1">
        <f t="array" ref="BA465">IF($AY465="","",IF(INDEX('SoP 3'!$D$48:$P$49,$AY465,10)="","",INDEX('SoP 3'!$D$48:$P$49,$AY465,10)))</f>
        <v/>
      </c>
      <c r="BB465" s="519" t="str" cm="1">
        <f t="array" ref="BB465">IF($AY465="","",INDEX('SoP 3'!$D$48:$P$49,$AY465,2))</f>
        <v/>
      </c>
      <c r="BC465" s="519" t="str" cm="1">
        <f t="array" ref="BC465">IF($AY465="","",INDEX('SoP 3'!$D$48:$P$49,$AY465,6))</f>
        <v/>
      </c>
      <c r="BD465" s="519" t="str">
        <f t="shared" si="42"/>
        <v/>
      </c>
      <c r="BE465" s="519" t="str" cm="1">
        <f t="array" ref="BE465">IF($AY465="","",INDEX('SoP 3'!$D$48:$P$49,$AY465,1))</f>
        <v/>
      </c>
      <c r="BF465" s="519" t="str">
        <f t="shared" si="43"/>
        <v/>
      </c>
      <c r="BG465" s="519" t="str" cm="1">
        <f t="array" ref="BG465">IF($AY465="","",INDEX('SoP 3'!$D$48:$P$49,$AY465,4))</f>
        <v/>
      </c>
      <c r="BH465" s="519" t="str" cm="1">
        <f t="array" ref="BH465">IF($AY465="","",INDEX('SoP 3'!$D$48:$P$49,$AY465,5))</f>
        <v/>
      </c>
      <c r="BI465" s="519" t="str" cm="1">
        <f t="array" ref="BI465">IF($AY465="","",INDEX('SoP 3'!$D$48:$P$49,$AY465,7))</f>
        <v/>
      </c>
      <c r="BJ465" s="515"/>
    </row>
    <row r="466" spans="1:62">
      <c r="A466" s="519">
        <v>6</v>
      </c>
      <c r="B466" s="519" t="str">
        <f t="shared" si="33"/>
        <v/>
      </c>
      <c r="C466" s="519" t="str" cm="1">
        <f t="array" ref="C466">IFERROR(SMALL(IF(LEFT('SoP 4'!$E$48:$E$49,4)="Rent",ROW('SoP 4'!$E$48:$E$49),""),A466)-(ROW('SoP 4'!$D$47)),"")</f>
        <v/>
      </c>
      <c r="D466" s="519" t="str" cm="1">
        <f t="array" ref="D466">IF($C466="","",INDEX('SoP 4'!$D$48:$P$49,'Internal Ref'!$C466,13))</f>
        <v/>
      </c>
      <c r="E466" s="519" t="str" cm="1">
        <f t="array" ref="E466">IF($C466="","",IF(INDEX('SoP 4'!$D$48:$P$49,'Internal Ref'!$C466,10)="","",INDEX('SoP 4'!$D$48:$P$49,'Internal Ref'!$C466,10)))</f>
        <v/>
      </c>
      <c r="F466" s="519" t="str" cm="1">
        <f t="array" ref="F466">IF($C466="","",INDEX('SoP 4'!$D$48:$P$49,'Internal Ref'!$C466,2))</f>
        <v/>
      </c>
      <c r="G466" s="519" t="str" cm="1">
        <f t="array" ref="G466">IF($C466="","",INDEX('SoP 4'!$D$48:$P$49,'Internal Ref'!$C466,6))</f>
        <v/>
      </c>
      <c r="H466" s="519" t="str">
        <f t="shared" si="44"/>
        <v/>
      </c>
      <c r="I466" s="519" t="str" cm="1">
        <f t="array" ref="I466">IF($C466="","",INDEX('SoP 4'!$D$48:$P$49,'Internal Ref'!$C466,1))</f>
        <v/>
      </c>
      <c r="J466" s="519" t="str">
        <f t="shared" si="34"/>
        <v/>
      </c>
      <c r="K466" s="519" t="str" cm="1">
        <f t="array" ref="K466">IF($C466="","",INDEX('SoP 4'!$D$48:$P$49,'Internal Ref'!$C466,4))</f>
        <v/>
      </c>
      <c r="L466" s="519" t="str" cm="1">
        <f t="array" ref="L466">IF($C466="","",INDEX('SoP 4'!$D$48:$P$49,'Internal Ref'!$C466,5))</f>
        <v/>
      </c>
      <c r="M466" s="519" t="str" cm="1">
        <f t="array" ref="M466">IF($C466="","",INDEX('SoP 4'!$D$48:$P$49,'Internal Ref'!$C466,7))</f>
        <v/>
      </c>
      <c r="Q466" s="519">
        <v>6</v>
      </c>
      <c r="R466" s="519" t="str">
        <f t="shared" si="35"/>
        <v/>
      </c>
      <c r="S466" s="519" t="str" cm="1">
        <f t="array" ref="S466">IFERROR(SMALL(IF(LEFT('SoP 2'!$E$48:$E$49,4)="Rent",ROW('SoP 2'!$E$48:$E$49),""),Q466)-(ROW('SoP 2'!$D$47)),"")</f>
        <v/>
      </c>
      <c r="T466" s="519" t="str" cm="1">
        <f t="array" ref="T466">IF($S466="","",INDEX('SoP 2'!$D$48:$P$49,'Internal Ref'!$S466,13))</f>
        <v/>
      </c>
      <c r="U466" s="519" t="str" cm="1">
        <f t="array" ref="U466">IF($S466="","",IF(INDEX('SoP 2'!$D$48:$P$49,'Internal Ref'!$S466,10)="","",INDEX('SoP 2'!$D$48:$P$49,'Internal Ref'!$S466,10)))</f>
        <v/>
      </c>
      <c r="V466" s="519" t="str" cm="1">
        <f t="array" ref="V466">IF($S466="","",INDEX('SoP 2'!$D$48:$P$49,'Internal Ref'!$S466,2))</f>
        <v/>
      </c>
      <c r="W466" s="519" t="str" cm="1">
        <f t="array" ref="W466">IF($S466="","",INDEX('SoP 2'!$D$48:$P$49,'Internal Ref'!$S466,6))</f>
        <v/>
      </c>
      <c r="X466" s="519" t="str">
        <f t="shared" si="36"/>
        <v/>
      </c>
      <c r="Y466" s="519" t="str" cm="1">
        <f t="array" ref="Y466">IF($S466="","",INDEX('SoP 2'!$D$48:$P$49,'Internal Ref'!$S466,1))</f>
        <v/>
      </c>
      <c r="Z466" s="519" t="str">
        <f t="shared" si="37"/>
        <v/>
      </c>
      <c r="AA466" s="519" t="str" cm="1">
        <f t="array" ref="AA466">IF($S466="","",INDEX('SoP 2'!$D$48:$P$49,'Internal Ref'!$S466,4))</f>
        <v/>
      </c>
      <c r="AB466" s="519" t="str" cm="1">
        <f t="array" ref="AB466">IF($S466="","",INDEX('SoP 2'!$D$48:$P$49,'Internal Ref'!$S466,5))</f>
        <v/>
      </c>
      <c r="AC466" s="519" t="str" cm="1">
        <f t="array" ref="AC466">IF($S466="","",INDEX('SoP 2'!$D$48:$P$49,'Internal Ref'!$S466,7))</f>
        <v/>
      </c>
      <c r="AG466" s="519">
        <v>6</v>
      </c>
      <c r="AH466" s="519" t="str">
        <f t="shared" si="38"/>
        <v/>
      </c>
      <c r="AI466" s="519" t="str" cm="1">
        <f t="array" ref="AI466">IFERROR(SMALL(IF(LEFT('SoP 1'!$E$84:$E$85,4)="Rent",ROW('SoP 1'!$E$84:$E$85),""),AG466)-(ROW('SoP 1'!$D$83)),"")</f>
        <v/>
      </c>
      <c r="AJ466" s="519" t="str" cm="1">
        <f t="array" ref="AJ466">IF($AI466="","",INDEX('SoP 1'!$D$84:$P$85,'Internal Ref'!$AI466,13))</f>
        <v/>
      </c>
      <c r="AK466" s="519" t="str" cm="1">
        <f t="array" ref="AK466">IF($AI466="","",IF(INDEX('SoP 1'!$D$84:$P$85,'Internal Ref'!$AI466,10)="","",INDEX('SoP 1'!$D$84:$P$85,'Internal Ref'!$AI466,10)))</f>
        <v/>
      </c>
      <c r="AL466" s="519" t="str" cm="1">
        <f t="array" ref="AL466">IF($AI466="","",INDEX('SoP 1'!$D$84:$P$85,'Internal Ref'!$AI466,2))</f>
        <v/>
      </c>
      <c r="AM466" s="519" t="str" cm="1">
        <f t="array" ref="AM466">IF($AI466="","",INDEX('SoP 1'!$D$84:$P$85,'Internal Ref'!$AI466,6))</f>
        <v/>
      </c>
      <c r="AN466" s="519" t="str">
        <f t="shared" si="39"/>
        <v/>
      </c>
      <c r="AO466" s="519" t="str" cm="1">
        <f t="array" ref="AO466">IF($AI466="","",INDEX('SoP 1'!$D$84:$P$85,'Internal Ref'!$AI466,1))</f>
        <v/>
      </c>
      <c r="AP466" s="519" t="str">
        <f t="shared" si="40"/>
        <v/>
      </c>
      <c r="AQ466" s="519" t="str" cm="1">
        <f t="array" ref="AQ466">IF($AI466="","",INDEX('SoP 1'!$D$84:$P$85,'Internal Ref'!$AI466,4))</f>
        <v/>
      </c>
      <c r="AR466" s="519" t="str" cm="1">
        <f t="array" ref="AR466">IF($AI466="","",INDEX('SoP 1'!$D$84:$P$85,'Internal Ref'!$AI466,5))</f>
        <v/>
      </c>
      <c r="AS466" s="519" t="str" cm="1">
        <f t="array" ref="AS466">IF($AI466="","",INDEX('SoP 1'!$D$84:$P$85,'Internal Ref'!$AI466,7))</f>
        <v/>
      </c>
      <c r="AT466" s="515"/>
      <c r="AW466" s="519">
        <v>6</v>
      </c>
      <c r="AX466" s="519" t="str">
        <f t="shared" si="41"/>
        <v/>
      </c>
      <c r="AY466" s="519" t="str" cm="1">
        <f t="array" ref="AY466">IFERROR(SMALL(IF(LEFT('SoP 3'!$E$48:$E$49,4)="Rent",ROW('SoP 3'!$E$48:$E$49),""),AW466)-(ROW('SoP 3'!$D$47)),"")</f>
        <v/>
      </c>
      <c r="AZ466" s="519" t="str" cm="1">
        <f t="array" ref="AZ466">IF($AY466="","",INDEX('SoP 3'!$D$48:$P$49,$AY466,13))</f>
        <v/>
      </c>
      <c r="BA466" s="519" t="str" cm="1">
        <f t="array" ref="BA466">IF($AY466="","",IF(INDEX('SoP 3'!$D$48:$P$49,$AY466,10)="","",INDEX('SoP 3'!$D$48:$P$49,$AY466,10)))</f>
        <v/>
      </c>
      <c r="BB466" s="519" t="str" cm="1">
        <f t="array" ref="BB466">IF($AY466="","",INDEX('SoP 3'!$D$48:$P$49,$AY466,2))</f>
        <v/>
      </c>
      <c r="BC466" s="519" t="str" cm="1">
        <f t="array" ref="BC466">IF($AY466="","",INDEX('SoP 3'!$D$48:$P$49,$AY466,6))</f>
        <v/>
      </c>
      <c r="BD466" s="519" t="str">
        <f t="shared" si="42"/>
        <v/>
      </c>
      <c r="BE466" s="519" t="str" cm="1">
        <f t="array" ref="BE466">IF($AY466="","",INDEX('SoP 3'!$D$48:$P$49,$AY466,1))</f>
        <v/>
      </c>
      <c r="BF466" s="519" t="str">
        <f t="shared" si="43"/>
        <v/>
      </c>
      <c r="BG466" s="519" t="str" cm="1">
        <f t="array" ref="BG466">IF($AY466="","",INDEX('SoP 3'!$D$48:$P$49,$AY466,4))</f>
        <v/>
      </c>
      <c r="BH466" s="519" t="str" cm="1">
        <f t="array" ref="BH466">IF($AY466="","",INDEX('SoP 3'!$D$48:$P$49,$AY466,5))</f>
        <v/>
      </c>
      <c r="BI466" s="519" t="str" cm="1">
        <f t="array" ref="BI466">IF($AY466="","",INDEX('SoP 3'!$D$48:$P$49,$AY466,7))</f>
        <v/>
      </c>
      <c r="BJ466" s="515"/>
    </row>
    <row r="467" spans="1:62">
      <c r="A467" s="519">
        <v>7</v>
      </c>
      <c r="B467" s="519" t="str">
        <f t="shared" si="33"/>
        <v/>
      </c>
      <c r="C467" s="519" t="str" cm="1">
        <f t="array" ref="C467">IFERROR(SMALL(IF(LEFT('SoP 4'!$E$48:$E$49,4)="Rent",ROW('SoP 4'!$E$48:$E$49),""),A467)-(ROW('SoP 4'!$D$47)),"")</f>
        <v/>
      </c>
      <c r="D467" s="519" t="str" cm="1">
        <f t="array" ref="D467">IF($C467="","",INDEX('SoP 4'!$D$48:$P$49,'Internal Ref'!$C467,13))</f>
        <v/>
      </c>
      <c r="E467" s="519" t="str" cm="1">
        <f t="array" ref="E467">IF($C467="","",IF(INDEX('SoP 4'!$D$48:$P$49,'Internal Ref'!$C467,10)="","",INDEX('SoP 4'!$D$48:$P$49,'Internal Ref'!$C467,10)))</f>
        <v/>
      </c>
      <c r="F467" s="519" t="str" cm="1">
        <f t="array" ref="F467">IF($C467="","",INDEX('SoP 4'!$D$48:$P$49,'Internal Ref'!$C467,2))</f>
        <v/>
      </c>
      <c r="G467" s="519" t="str" cm="1">
        <f t="array" ref="G467">IF($C467="","",INDEX('SoP 4'!$D$48:$P$49,'Internal Ref'!$C467,6))</f>
        <v/>
      </c>
      <c r="H467" s="519" t="str">
        <f t="shared" si="44"/>
        <v/>
      </c>
      <c r="I467" s="519" t="str" cm="1">
        <f t="array" ref="I467">IF($C467="","",INDEX('SoP 4'!$D$48:$P$49,'Internal Ref'!$C467,1))</f>
        <v/>
      </c>
      <c r="J467" s="519" t="str">
        <f t="shared" si="34"/>
        <v/>
      </c>
      <c r="K467" s="519" t="str" cm="1">
        <f t="array" ref="K467">IF($C467="","",INDEX('SoP 4'!$D$48:$P$49,'Internal Ref'!$C467,4))</f>
        <v/>
      </c>
      <c r="L467" s="519" t="str" cm="1">
        <f t="array" ref="L467">IF($C467="","",INDEX('SoP 4'!$D$48:$P$49,'Internal Ref'!$C467,5))</f>
        <v/>
      </c>
      <c r="M467" s="519" t="str" cm="1">
        <f t="array" ref="M467">IF($C467="","",INDEX('SoP 4'!$D$48:$P$49,'Internal Ref'!$C467,7))</f>
        <v/>
      </c>
      <c r="Q467" s="519">
        <v>7</v>
      </c>
      <c r="R467" s="519" t="str">
        <f t="shared" si="35"/>
        <v/>
      </c>
      <c r="S467" s="519" t="str" cm="1">
        <f t="array" ref="S467">IFERROR(SMALL(IF(LEFT('SoP 2'!$E$48:$E$49,4)="Rent",ROW('SoP 2'!$E$48:$E$49),""),Q467)-(ROW('SoP 2'!$D$47)),"")</f>
        <v/>
      </c>
      <c r="T467" s="519" t="str" cm="1">
        <f t="array" ref="T467">IF($S467="","",INDEX('SoP 2'!$D$48:$P$49,'Internal Ref'!$S467,13))</f>
        <v/>
      </c>
      <c r="U467" s="519" t="str" cm="1">
        <f t="array" ref="U467">IF($S467="","",IF(INDEX('SoP 2'!$D$48:$P$49,'Internal Ref'!$S467,10)="","",INDEX('SoP 2'!$D$48:$P$49,'Internal Ref'!$S467,10)))</f>
        <v/>
      </c>
      <c r="V467" s="519" t="str" cm="1">
        <f t="array" ref="V467">IF($S467="","",INDEX('SoP 2'!$D$48:$P$49,'Internal Ref'!$S467,2))</f>
        <v/>
      </c>
      <c r="W467" s="519" t="str" cm="1">
        <f t="array" ref="W467">IF($S467="","",INDEX('SoP 2'!$D$48:$P$49,'Internal Ref'!$S467,6))</f>
        <v/>
      </c>
      <c r="X467" s="519" t="str">
        <f t="shared" si="36"/>
        <v/>
      </c>
      <c r="Y467" s="519" t="str" cm="1">
        <f t="array" ref="Y467">IF($S467="","",INDEX('SoP 2'!$D$48:$P$49,'Internal Ref'!$S467,1))</f>
        <v/>
      </c>
      <c r="Z467" s="519" t="str">
        <f t="shared" si="37"/>
        <v/>
      </c>
      <c r="AA467" s="519" t="str" cm="1">
        <f t="array" ref="AA467">IF($S467="","",INDEX('SoP 2'!$D$48:$P$49,'Internal Ref'!$S467,4))</f>
        <v/>
      </c>
      <c r="AB467" s="519" t="str" cm="1">
        <f t="array" ref="AB467">IF($S467="","",INDEX('SoP 2'!$D$48:$P$49,'Internal Ref'!$S467,5))</f>
        <v/>
      </c>
      <c r="AC467" s="519" t="str" cm="1">
        <f t="array" ref="AC467">IF($S467="","",INDEX('SoP 2'!$D$48:$P$49,'Internal Ref'!$S467,7))</f>
        <v/>
      </c>
      <c r="AG467" s="519">
        <v>7</v>
      </c>
      <c r="AH467" s="519" t="str">
        <f t="shared" si="38"/>
        <v/>
      </c>
      <c r="AI467" s="519" t="str" cm="1">
        <f t="array" ref="AI467">IFERROR(SMALL(IF(LEFT('SoP 1'!$E$84:$E$85,4)="Rent",ROW('SoP 1'!$E$84:$E$85),""),AG467)-(ROW('SoP 1'!$D$83)),"")</f>
        <v/>
      </c>
      <c r="AJ467" s="519" t="str" cm="1">
        <f t="array" ref="AJ467">IF($AI467="","",INDEX('SoP 1'!$D$84:$P$85,'Internal Ref'!$AI467,13))</f>
        <v/>
      </c>
      <c r="AK467" s="519" t="str" cm="1">
        <f t="array" ref="AK467">IF($AI467="","",IF(INDEX('SoP 1'!$D$84:$P$85,'Internal Ref'!$AI467,10)="","",INDEX('SoP 1'!$D$84:$P$85,'Internal Ref'!$AI467,10)))</f>
        <v/>
      </c>
      <c r="AL467" s="519" t="str" cm="1">
        <f t="array" ref="AL467">IF($AI467="","",INDEX('SoP 1'!$D$84:$P$85,'Internal Ref'!$AI467,2))</f>
        <v/>
      </c>
      <c r="AM467" s="519" t="str" cm="1">
        <f t="array" ref="AM467">IF($AI467="","",INDEX('SoP 1'!$D$84:$P$85,'Internal Ref'!$AI467,6))</f>
        <v/>
      </c>
      <c r="AN467" s="519" t="str">
        <f t="shared" si="39"/>
        <v/>
      </c>
      <c r="AO467" s="519" t="str" cm="1">
        <f t="array" ref="AO467">IF($AI467="","",INDEX('SoP 1'!$D$84:$P$85,'Internal Ref'!$AI467,1))</f>
        <v/>
      </c>
      <c r="AP467" s="519" t="str">
        <f t="shared" si="40"/>
        <v/>
      </c>
      <c r="AQ467" s="519" t="str" cm="1">
        <f t="array" ref="AQ467">IF($AI467="","",INDEX('SoP 1'!$D$84:$P$85,'Internal Ref'!$AI467,4))</f>
        <v/>
      </c>
      <c r="AR467" s="519" t="str" cm="1">
        <f t="array" ref="AR467">IF($AI467="","",INDEX('SoP 1'!$D$84:$P$85,'Internal Ref'!$AI467,5))</f>
        <v/>
      </c>
      <c r="AS467" s="519" t="str" cm="1">
        <f t="array" ref="AS467">IF($AI467="","",INDEX('SoP 1'!$D$84:$P$85,'Internal Ref'!$AI467,7))</f>
        <v/>
      </c>
      <c r="AT467" s="515"/>
      <c r="AW467" s="519">
        <v>7</v>
      </c>
      <c r="AX467" s="519" t="str">
        <f t="shared" si="41"/>
        <v/>
      </c>
      <c r="AY467" s="519" t="str" cm="1">
        <f t="array" ref="AY467">IFERROR(SMALL(IF(LEFT('SoP 3'!$E$48:$E$49,4)="Rent",ROW('SoP 3'!$E$48:$E$49),""),AW467)-(ROW('SoP 3'!$D$47)),"")</f>
        <v/>
      </c>
      <c r="AZ467" s="519" t="str" cm="1">
        <f t="array" ref="AZ467">IF($AY467="","",INDEX('SoP 3'!$D$48:$P$49,$AY467,13))</f>
        <v/>
      </c>
      <c r="BA467" s="519" t="str" cm="1">
        <f t="array" ref="BA467">IF($AY467="","",IF(INDEX('SoP 3'!$D$48:$P$49,$AY467,10)="","",INDEX('SoP 3'!$D$48:$P$49,$AY467,10)))</f>
        <v/>
      </c>
      <c r="BB467" s="519" t="str" cm="1">
        <f t="array" ref="BB467">IF($AY467="","",INDEX('SoP 3'!$D$48:$P$49,$AY467,2))</f>
        <v/>
      </c>
      <c r="BC467" s="519" t="str" cm="1">
        <f t="array" ref="BC467">IF($AY467="","",INDEX('SoP 3'!$D$48:$P$49,$AY467,6))</f>
        <v/>
      </c>
      <c r="BD467" s="519" t="str">
        <f t="shared" si="42"/>
        <v/>
      </c>
      <c r="BE467" s="519" t="str" cm="1">
        <f t="array" ref="BE467">IF($AY467="","",INDEX('SoP 3'!$D$48:$P$49,$AY467,1))</f>
        <v/>
      </c>
      <c r="BF467" s="519" t="str">
        <f t="shared" si="43"/>
        <v/>
      </c>
      <c r="BG467" s="519" t="str" cm="1">
        <f t="array" ref="BG467">IF($AY467="","",INDEX('SoP 3'!$D$48:$P$49,$AY467,4))</f>
        <v/>
      </c>
      <c r="BH467" s="519" t="str" cm="1">
        <f t="array" ref="BH467">IF($AY467="","",INDEX('SoP 3'!$D$48:$P$49,$AY467,5))</f>
        <v/>
      </c>
      <c r="BI467" s="519" t="str" cm="1">
        <f t="array" ref="BI467">IF($AY467="","",INDEX('SoP 3'!$D$48:$P$49,$AY467,7))</f>
        <v/>
      </c>
      <c r="BJ467" s="515"/>
    </row>
    <row r="468" spans="1:62">
      <c r="A468" s="519">
        <v>8</v>
      </c>
      <c r="B468" s="519" t="str">
        <f t="shared" si="33"/>
        <v/>
      </c>
      <c r="C468" s="519" t="str" cm="1">
        <f t="array" ref="C468">IFERROR(SMALL(IF(LEFT('SoP 4'!$E$48:$E$49,4)="Rent",ROW('SoP 4'!$E$48:$E$49),""),A468)-(ROW('SoP 4'!$D$47)),"")</f>
        <v/>
      </c>
      <c r="D468" s="519" t="str" cm="1">
        <f t="array" ref="D468">IF($C468="","",INDEX('SoP 4'!$D$48:$P$49,'Internal Ref'!$C468,13))</f>
        <v/>
      </c>
      <c r="E468" s="519" t="str" cm="1">
        <f t="array" ref="E468">IF($C468="","",IF(INDEX('SoP 4'!$D$48:$P$49,'Internal Ref'!$C468,10)="","",INDEX('SoP 4'!$D$48:$P$49,'Internal Ref'!$C468,10)))</f>
        <v/>
      </c>
      <c r="F468" s="519" t="str" cm="1">
        <f t="array" ref="F468">IF($C468="","",INDEX('SoP 4'!$D$48:$P$49,'Internal Ref'!$C468,2))</f>
        <v/>
      </c>
      <c r="G468" s="519" t="str" cm="1">
        <f t="array" ref="G468">IF($C468="","",INDEX('SoP 4'!$D$48:$P$49,'Internal Ref'!$C468,6))</f>
        <v/>
      </c>
      <c r="H468" s="519" t="str">
        <f t="shared" si="44"/>
        <v/>
      </c>
      <c r="I468" s="519" t="str" cm="1">
        <f t="array" ref="I468">IF($C468="","",INDEX('SoP 4'!$D$48:$P$49,'Internal Ref'!$C468,1))</f>
        <v/>
      </c>
      <c r="J468" s="519" t="str">
        <f t="shared" si="34"/>
        <v/>
      </c>
      <c r="K468" s="519" t="str" cm="1">
        <f t="array" ref="K468">IF($C468="","",INDEX('SoP 4'!$D$48:$P$49,'Internal Ref'!$C468,4))</f>
        <v/>
      </c>
      <c r="L468" s="519" t="str" cm="1">
        <f t="array" ref="L468">IF($C468="","",INDEX('SoP 4'!$D$48:$P$49,'Internal Ref'!$C468,5))</f>
        <v/>
      </c>
      <c r="M468" s="519" t="str" cm="1">
        <f t="array" ref="M468">IF($C468="","",INDEX('SoP 4'!$D$48:$P$49,'Internal Ref'!$C468,7))</f>
        <v/>
      </c>
      <c r="Q468" s="519">
        <v>8</v>
      </c>
      <c r="R468" s="519" t="str">
        <f t="shared" si="35"/>
        <v/>
      </c>
      <c r="S468" s="519" t="str" cm="1">
        <f t="array" ref="S468">IFERROR(SMALL(IF(LEFT('SoP 2'!$E$48:$E$49,4)="Rent",ROW('SoP 2'!$E$48:$E$49),""),Q468)-(ROW('SoP 2'!$D$47)),"")</f>
        <v/>
      </c>
      <c r="T468" s="519" t="str" cm="1">
        <f t="array" ref="T468">IF($S468="","",INDEX('SoP 2'!$D$48:$P$49,'Internal Ref'!$S468,13))</f>
        <v/>
      </c>
      <c r="U468" s="519" t="str" cm="1">
        <f t="array" ref="U468">IF($S468="","",IF(INDEX('SoP 2'!$D$48:$P$49,'Internal Ref'!$S468,10)="","",INDEX('SoP 2'!$D$48:$P$49,'Internal Ref'!$S468,10)))</f>
        <v/>
      </c>
      <c r="V468" s="519" t="str" cm="1">
        <f t="array" ref="V468">IF($S468="","",INDEX('SoP 2'!$D$48:$P$49,'Internal Ref'!$S468,2))</f>
        <v/>
      </c>
      <c r="W468" s="519" t="str" cm="1">
        <f t="array" ref="W468">IF($S468="","",INDEX('SoP 2'!$D$48:$P$49,'Internal Ref'!$S468,6))</f>
        <v/>
      </c>
      <c r="X468" s="519" t="str">
        <f t="shared" si="36"/>
        <v/>
      </c>
      <c r="Y468" s="519" t="str" cm="1">
        <f t="array" ref="Y468">IF($S468="","",INDEX('SoP 2'!$D$48:$P$49,'Internal Ref'!$S468,1))</f>
        <v/>
      </c>
      <c r="Z468" s="519" t="str">
        <f t="shared" si="37"/>
        <v/>
      </c>
      <c r="AA468" s="519" t="str" cm="1">
        <f t="array" ref="AA468">IF($S468="","",INDEX('SoP 2'!$D$48:$P$49,'Internal Ref'!$S468,4))</f>
        <v/>
      </c>
      <c r="AB468" s="519" t="str" cm="1">
        <f t="array" ref="AB468">IF($S468="","",INDEX('SoP 2'!$D$48:$P$49,'Internal Ref'!$S468,5))</f>
        <v/>
      </c>
      <c r="AC468" s="519" t="str" cm="1">
        <f t="array" ref="AC468">IF($S468="","",INDEX('SoP 2'!$D$48:$P$49,'Internal Ref'!$S468,7))</f>
        <v/>
      </c>
      <c r="AG468" s="519">
        <v>8</v>
      </c>
      <c r="AH468" s="519" t="str">
        <f t="shared" si="38"/>
        <v/>
      </c>
      <c r="AI468" s="519" t="str" cm="1">
        <f t="array" ref="AI468">IFERROR(SMALL(IF(LEFT('SoP 1'!$E$84:$E$85,4)="Rent",ROW('SoP 1'!$E$84:$E$85),""),AG468)-(ROW('SoP 1'!$D$83)),"")</f>
        <v/>
      </c>
      <c r="AJ468" s="519" t="str" cm="1">
        <f t="array" ref="AJ468">IF($AI468="","",INDEX('SoP 1'!$D$84:$P$85,'Internal Ref'!$AI468,13))</f>
        <v/>
      </c>
      <c r="AK468" s="519" t="str" cm="1">
        <f t="array" ref="AK468">IF($AI468="","",IF(INDEX('SoP 1'!$D$84:$P$85,'Internal Ref'!$AI468,10)="","",INDEX('SoP 1'!$D$84:$P$85,'Internal Ref'!$AI468,10)))</f>
        <v/>
      </c>
      <c r="AL468" s="519" t="str" cm="1">
        <f t="array" ref="AL468">IF($AI468="","",INDEX('SoP 1'!$D$84:$P$85,'Internal Ref'!$AI468,2))</f>
        <v/>
      </c>
      <c r="AM468" s="519" t="str" cm="1">
        <f t="array" ref="AM468">IF($AI468="","",INDEX('SoP 1'!$D$84:$P$85,'Internal Ref'!$AI468,6))</f>
        <v/>
      </c>
      <c r="AN468" s="519" t="str">
        <f t="shared" si="39"/>
        <v/>
      </c>
      <c r="AO468" s="519" t="str" cm="1">
        <f t="array" ref="AO468">IF($AI468="","",INDEX('SoP 1'!$D$84:$P$85,'Internal Ref'!$AI468,1))</f>
        <v/>
      </c>
      <c r="AP468" s="519" t="str">
        <f t="shared" si="40"/>
        <v/>
      </c>
      <c r="AQ468" s="519" t="str" cm="1">
        <f t="array" ref="AQ468">IF($AI468="","",INDEX('SoP 1'!$D$84:$P$85,'Internal Ref'!$AI468,4))</f>
        <v/>
      </c>
      <c r="AR468" s="519" t="str" cm="1">
        <f t="array" ref="AR468">IF($AI468="","",INDEX('SoP 1'!$D$84:$P$85,'Internal Ref'!$AI468,5))</f>
        <v/>
      </c>
      <c r="AS468" s="519" t="str" cm="1">
        <f t="array" ref="AS468">IF($AI468="","",INDEX('SoP 1'!$D$84:$P$85,'Internal Ref'!$AI468,7))</f>
        <v/>
      </c>
      <c r="AT468" s="515"/>
      <c r="AW468" s="519">
        <v>8</v>
      </c>
      <c r="AX468" s="519" t="str">
        <f t="shared" si="41"/>
        <v/>
      </c>
      <c r="AY468" s="519" t="str" cm="1">
        <f t="array" ref="AY468">IFERROR(SMALL(IF(LEFT('SoP 3'!$E$48:$E$49,4)="Rent",ROW('SoP 3'!$E$48:$E$49),""),AW468)-(ROW('SoP 3'!$D$47)),"")</f>
        <v/>
      </c>
      <c r="AZ468" s="519" t="str" cm="1">
        <f t="array" ref="AZ468">IF($AY468="","",INDEX('SoP 3'!$D$48:$P$49,$AY468,13))</f>
        <v/>
      </c>
      <c r="BA468" s="519" t="str" cm="1">
        <f t="array" ref="BA468">IF($AY468="","",IF(INDEX('SoP 3'!$D$48:$P$49,$AY468,10)="","",INDEX('SoP 3'!$D$48:$P$49,$AY468,10)))</f>
        <v/>
      </c>
      <c r="BB468" s="519" t="str" cm="1">
        <f t="array" ref="BB468">IF($AY468="","",INDEX('SoP 3'!$D$48:$P$49,$AY468,2))</f>
        <v/>
      </c>
      <c r="BC468" s="519" t="str" cm="1">
        <f t="array" ref="BC468">IF($AY468="","",INDEX('SoP 3'!$D$48:$P$49,$AY468,6))</f>
        <v/>
      </c>
      <c r="BD468" s="519" t="str">
        <f t="shared" si="42"/>
        <v/>
      </c>
      <c r="BE468" s="519" t="str" cm="1">
        <f t="array" ref="BE468">IF($AY468="","",INDEX('SoP 3'!$D$48:$P$49,$AY468,1))</f>
        <v/>
      </c>
      <c r="BF468" s="519" t="str">
        <f t="shared" si="43"/>
        <v/>
      </c>
      <c r="BG468" s="519" t="str" cm="1">
        <f t="array" ref="BG468">IF($AY468="","",INDEX('SoP 3'!$D$48:$P$49,$AY468,4))</f>
        <v/>
      </c>
      <c r="BH468" s="519" t="str" cm="1">
        <f t="array" ref="BH468">IF($AY468="","",INDEX('SoP 3'!$D$48:$P$49,$AY468,5))</f>
        <v/>
      </c>
      <c r="BI468" s="519" t="str" cm="1">
        <f t="array" ref="BI468">IF($AY468="","",INDEX('SoP 3'!$D$48:$P$49,$AY468,7))</f>
        <v/>
      </c>
      <c r="BJ468" s="515"/>
    </row>
    <row r="469" spans="1:62">
      <c r="A469" s="519">
        <v>9</v>
      </c>
      <c r="B469" s="519" t="str">
        <f t="shared" si="33"/>
        <v/>
      </c>
      <c r="C469" s="519" t="str" cm="1">
        <f t="array" ref="C469">IFERROR(SMALL(IF(LEFT('SoP 4'!$E$48:$E$49,4)="Rent",ROW('SoP 4'!$E$48:$E$49),""),A469)-(ROW('SoP 4'!$D$47)),"")</f>
        <v/>
      </c>
      <c r="D469" s="519" t="str" cm="1">
        <f t="array" ref="D469">IF($C469="","",INDEX('SoP 4'!$D$48:$P$49,'Internal Ref'!$C469,13))</f>
        <v/>
      </c>
      <c r="E469" s="519" t="str" cm="1">
        <f t="array" ref="E469">IF($C469="","",IF(INDEX('SoP 4'!$D$48:$P$49,'Internal Ref'!$C469,10)="","",INDEX('SoP 4'!$D$48:$P$49,'Internal Ref'!$C469,10)))</f>
        <v/>
      </c>
      <c r="F469" s="519" t="str" cm="1">
        <f t="array" ref="F469">IF($C469="","",INDEX('SoP 4'!$D$48:$P$49,'Internal Ref'!$C469,2))</f>
        <v/>
      </c>
      <c r="G469" s="519" t="str" cm="1">
        <f t="array" ref="G469">IF($C469="","",INDEX('SoP 4'!$D$48:$P$49,'Internal Ref'!$C469,6))</f>
        <v/>
      </c>
      <c r="H469" s="519" t="str">
        <f t="shared" si="44"/>
        <v/>
      </c>
      <c r="I469" s="519" t="str" cm="1">
        <f t="array" ref="I469">IF($C469="","",INDEX('SoP 4'!$D$48:$P$49,'Internal Ref'!$C469,1))</f>
        <v/>
      </c>
      <c r="J469" s="519" t="str">
        <f t="shared" si="34"/>
        <v/>
      </c>
      <c r="K469" s="519" t="str" cm="1">
        <f t="array" ref="K469">IF($C469="","",INDEX('SoP 4'!$D$48:$P$49,'Internal Ref'!$C469,4))</f>
        <v/>
      </c>
      <c r="L469" s="519" t="str" cm="1">
        <f t="array" ref="L469">IF($C469="","",INDEX('SoP 4'!$D$48:$P$49,'Internal Ref'!$C469,5))</f>
        <v/>
      </c>
      <c r="M469" s="519" t="str" cm="1">
        <f t="array" ref="M469">IF($C469="","",INDEX('SoP 4'!$D$48:$P$49,'Internal Ref'!$C469,7))</f>
        <v/>
      </c>
      <c r="Q469" s="519">
        <v>9</v>
      </c>
      <c r="R469" s="519" t="str">
        <f t="shared" si="35"/>
        <v/>
      </c>
      <c r="S469" s="519" t="str" cm="1">
        <f t="array" ref="S469">IFERROR(SMALL(IF(LEFT('SoP 2'!$E$48:$E$49,4)="Rent",ROW('SoP 2'!$E$48:$E$49),""),Q469)-(ROW('SoP 2'!$D$47)),"")</f>
        <v/>
      </c>
      <c r="T469" s="519" t="str" cm="1">
        <f t="array" ref="T469">IF($S469="","",INDEX('SoP 2'!$D$48:$P$49,'Internal Ref'!$S469,13))</f>
        <v/>
      </c>
      <c r="U469" s="519" t="str" cm="1">
        <f t="array" ref="U469">IF($S469="","",IF(INDEX('SoP 2'!$D$48:$P$49,'Internal Ref'!$S469,10)="","",INDEX('SoP 2'!$D$48:$P$49,'Internal Ref'!$S469,10)))</f>
        <v/>
      </c>
      <c r="V469" s="519" t="str" cm="1">
        <f t="array" ref="V469">IF($S469="","",INDEX('SoP 2'!$D$48:$P$49,'Internal Ref'!$S469,2))</f>
        <v/>
      </c>
      <c r="W469" s="519" t="str" cm="1">
        <f t="array" ref="W469">IF($S469="","",INDEX('SoP 2'!$D$48:$P$49,'Internal Ref'!$S469,6))</f>
        <v/>
      </c>
      <c r="X469" s="519" t="str">
        <f t="shared" si="36"/>
        <v/>
      </c>
      <c r="Y469" s="519" t="str" cm="1">
        <f t="array" ref="Y469">IF($S469="","",INDEX('SoP 2'!$D$48:$P$49,'Internal Ref'!$S469,1))</f>
        <v/>
      </c>
      <c r="Z469" s="519" t="str">
        <f t="shared" si="37"/>
        <v/>
      </c>
      <c r="AA469" s="519" t="str" cm="1">
        <f t="array" ref="AA469">IF($S469="","",INDEX('SoP 2'!$D$48:$P$49,'Internal Ref'!$S469,4))</f>
        <v/>
      </c>
      <c r="AB469" s="519" t="str" cm="1">
        <f t="array" ref="AB469">IF($S469="","",INDEX('SoP 2'!$D$48:$P$49,'Internal Ref'!$S469,5))</f>
        <v/>
      </c>
      <c r="AC469" s="519" t="str" cm="1">
        <f t="array" ref="AC469">IF($S469="","",INDEX('SoP 2'!$D$48:$P$49,'Internal Ref'!$S469,7))</f>
        <v/>
      </c>
      <c r="AG469" s="519">
        <v>9</v>
      </c>
      <c r="AH469" s="519" t="str">
        <f t="shared" si="38"/>
        <v/>
      </c>
      <c r="AI469" s="519" t="str" cm="1">
        <f t="array" ref="AI469">IFERROR(SMALL(IF(LEFT('SoP 1'!$E$84:$E$85,4)="Rent",ROW('SoP 1'!$E$84:$E$85),""),AG469)-(ROW('SoP 1'!$D$83)),"")</f>
        <v/>
      </c>
      <c r="AJ469" s="519" t="str" cm="1">
        <f t="array" ref="AJ469">IF($AI469="","",INDEX('SoP 1'!$D$84:$P$85,'Internal Ref'!$AI469,13))</f>
        <v/>
      </c>
      <c r="AK469" s="519" t="str" cm="1">
        <f t="array" ref="AK469">IF($AI469="","",IF(INDEX('SoP 1'!$D$84:$P$85,'Internal Ref'!$AI469,10)="","",INDEX('SoP 1'!$D$84:$P$85,'Internal Ref'!$AI469,10)))</f>
        <v/>
      </c>
      <c r="AL469" s="519" t="str" cm="1">
        <f t="array" ref="AL469">IF($AI469="","",INDEX('SoP 1'!$D$84:$P$85,'Internal Ref'!$AI469,2))</f>
        <v/>
      </c>
      <c r="AM469" s="519" t="str" cm="1">
        <f t="array" ref="AM469">IF($AI469="","",INDEX('SoP 1'!$D$84:$P$85,'Internal Ref'!$AI469,6))</f>
        <v/>
      </c>
      <c r="AN469" s="519" t="str">
        <f t="shared" si="39"/>
        <v/>
      </c>
      <c r="AO469" s="519" t="str" cm="1">
        <f t="array" ref="AO469">IF($AI469="","",INDEX('SoP 1'!$D$84:$P$85,'Internal Ref'!$AI469,1))</f>
        <v/>
      </c>
      <c r="AP469" s="519" t="str">
        <f t="shared" si="40"/>
        <v/>
      </c>
      <c r="AQ469" s="519" t="str" cm="1">
        <f t="array" ref="AQ469">IF($AI469="","",INDEX('SoP 1'!$D$84:$P$85,'Internal Ref'!$AI469,4))</f>
        <v/>
      </c>
      <c r="AR469" s="519" t="str" cm="1">
        <f t="array" ref="AR469">IF($AI469="","",INDEX('SoP 1'!$D$84:$P$85,'Internal Ref'!$AI469,5))</f>
        <v/>
      </c>
      <c r="AS469" s="519" t="str" cm="1">
        <f t="array" ref="AS469">IF($AI469="","",INDEX('SoP 1'!$D$84:$P$85,'Internal Ref'!$AI469,7))</f>
        <v/>
      </c>
      <c r="AT469" s="515"/>
      <c r="AW469" s="519">
        <v>9</v>
      </c>
      <c r="AX469" s="519" t="str">
        <f t="shared" si="41"/>
        <v/>
      </c>
      <c r="AY469" s="519" t="str" cm="1">
        <f t="array" ref="AY469">IFERROR(SMALL(IF(LEFT('SoP 3'!$E$48:$E$49,4)="Rent",ROW('SoP 3'!$E$48:$E$49),""),AW469)-(ROW('SoP 3'!$D$47)),"")</f>
        <v/>
      </c>
      <c r="AZ469" s="519" t="str" cm="1">
        <f t="array" ref="AZ469">IF($AY469="","",INDEX('SoP 3'!$D$48:$P$49,$AY469,13))</f>
        <v/>
      </c>
      <c r="BA469" s="519" t="str" cm="1">
        <f t="array" ref="BA469">IF($AY469="","",IF(INDEX('SoP 3'!$D$48:$P$49,$AY469,10)="","",INDEX('SoP 3'!$D$48:$P$49,$AY469,10)))</f>
        <v/>
      </c>
      <c r="BB469" s="519" t="str" cm="1">
        <f t="array" ref="BB469">IF($AY469="","",INDEX('SoP 3'!$D$48:$P$49,$AY469,2))</f>
        <v/>
      </c>
      <c r="BC469" s="519" t="str" cm="1">
        <f t="array" ref="BC469">IF($AY469="","",INDEX('SoP 3'!$D$48:$P$49,$AY469,6))</f>
        <v/>
      </c>
      <c r="BD469" s="519" t="str">
        <f t="shared" si="42"/>
        <v/>
      </c>
      <c r="BE469" s="519" t="str" cm="1">
        <f t="array" ref="BE469">IF($AY469="","",INDEX('SoP 3'!$D$48:$P$49,$AY469,1))</f>
        <v/>
      </c>
      <c r="BF469" s="519" t="str">
        <f t="shared" si="43"/>
        <v/>
      </c>
      <c r="BG469" s="519" t="str" cm="1">
        <f t="array" ref="BG469">IF($AY469="","",INDEX('SoP 3'!$D$48:$P$49,$AY469,4))</f>
        <v/>
      </c>
      <c r="BH469" s="519" t="str" cm="1">
        <f t="array" ref="BH469">IF($AY469="","",INDEX('SoP 3'!$D$48:$P$49,$AY469,5))</f>
        <v/>
      </c>
      <c r="BI469" s="519" t="str" cm="1">
        <f t="array" ref="BI469">IF($AY469="","",INDEX('SoP 3'!$D$48:$P$49,$AY469,7))</f>
        <v/>
      </c>
      <c r="BJ469" s="515"/>
    </row>
    <row r="470" spans="1:62">
      <c r="A470" s="519">
        <v>10</v>
      </c>
      <c r="B470" s="519" t="str">
        <f t="shared" si="33"/>
        <v/>
      </c>
      <c r="C470" s="519" t="str" cm="1">
        <f t="array" ref="C470">IFERROR(SMALL(IF(LEFT('SoP 4'!$E$48:$E$49,4)="Rent",ROW('SoP 4'!$E$48:$E$49),""),A470)-(ROW('SoP 4'!$D$47)),"")</f>
        <v/>
      </c>
      <c r="D470" s="519" t="str" cm="1">
        <f t="array" ref="D470">IF($C470="","",INDEX('SoP 4'!$D$48:$P$49,'Internal Ref'!$C470,13))</f>
        <v/>
      </c>
      <c r="E470" s="519" t="str" cm="1">
        <f t="array" ref="E470">IF($C470="","",IF(INDEX('SoP 4'!$D$48:$P$49,'Internal Ref'!$C470,10)="","",INDEX('SoP 4'!$D$48:$P$49,'Internal Ref'!$C470,10)))</f>
        <v/>
      </c>
      <c r="F470" s="519" t="str" cm="1">
        <f t="array" ref="F470">IF($C470="","",INDEX('SoP 4'!$D$48:$P$49,'Internal Ref'!$C470,2))</f>
        <v/>
      </c>
      <c r="G470" s="519" t="str" cm="1">
        <f t="array" ref="G470">IF($C470="","",INDEX('SoP 4'!$D$48:$P$49,'Internal Ref'!$C470,6))</f>
        <v/>
      </c>
      <c r="H470" s="519" t="str">
        <f t="shared" si="44"/>
        <v/>
      </c>
      <c r="I470" s="519" t="str" cm="1">
        <f t="array" ref="I470">IF($C470="","",INDEX('SoP 4'!$D$48:$P$49,'Internal Ref'!$C470,1))</f>
        <v/>
      </c>
      <c r="J470" s="519" t="str">
        <f t="shared" si="34"/>
        <v/>
      </c>
      <c r="K470" s="519" t="str" cm="1">
        <f t="array" ref="K470">IF($C470="","",INDEX('SoP 4'!$D$48:$P$49,'Internal Ref'!$C470,4))</f>
        <v/>
      </c>
      <c r="L470" s="519" t="str" cm="1">
        <f t="array" ref="L470">IF($C470="","",INDEX('SoP 4'!$D$48:$P$49,'Internal Ref'!$C470,5))</f>
        <v/>
      </c>
      <c r="M470" s="519" t="str" cm="1">
        <f t="array" ref="M470">IF($C470="","",INDEX('SoP 4'!$D$48:$P$49,'Internal Ref'!$C470,7))</f>
        <v/>
      </c>
      <c r="Q470" s="519">
        <v>10</v>
      </c>
      <c r="R470" s="519" t="str">
        <f t="shared" si="35"/>
        <v/>
      </c>
      <c r="S470" s="519" t="str" cm="1">
        <f t="array" ref="S470">IFERROR(SMALL(IF(LEFT('SoP 2'!$E$48:$E$49,4)="Rent",ROW('SoP 2'!$E$48:$E$49),""),Q470)-(ROW('SoP 2'!$D$47)),"")</f>
        <v/>
      </c>
      <c r="T470" s="519" t="str" cm="1">
        <f t="array" ref="T470">IF($S470="","",INDEX('SoP 2'!$D$48:$P$49,'Internal Ref'!$S470,13))</f>
        <v/>
      </c>
      <c r="U470" s="519" t="str" cm="1">
        <f t="array" ref="U470">IF($S470="","",IF(INDEX('SoP 2'!$D$48:$P$49,'Internal Ref'!$S470,10)="","",INDEX('SoP 2'!$D$48:$P$49,'Internal Ref'!$S470,10)))</f>
        <v/>
      </c>
      <c r="V470" s="519" t="str" cm="1">
        <f t="array" ref="V470">IF($S470="","",INDEX('SoP 2'!$D$48:$P$49,'Internal Ref'!$S470,2))</f>
        <v/>
      </c>
      <c r="W470" s="519" t="str" cm="1">
        <f t="array" ref="W470">IF($S470="","",INDEX('SoP 2'!$D$48:$P$49,'Internal Ref'!$S470,6))</f>
        <v/>
      </c>
      <c r="X470" s="519" t="str">
        <f t="shared" si="36"/>
        <v/>
      </c>
      <c r="Y470" s="519" t="str" cm="1">
        <f t="array" ref="Y470">IF($S470="","",INDEX('SoP 2'!$D$48:$P$49,'Internal Ref'!$S470,1))</f>
        <v/>
      </c>
      <c r="Z470" s="519" t="str">
        <f t="shared" si="37"/>
        <v/>
      </c>
      <c r="AA470" s="519" t="str" cm="1">
        <f t="array" ref="AA470">IF($S470="","",INDEX('SoP 2'!$D$48:$P$49,'Internal Ref'!$S470,4))</f>
        <v/>
      </c>
      <c r="AB470" s="519" t="str" cm="1">
        <f t="array" ref="AB470">IF($S470="","",INDEX('SoP 2'!$D$48:$P$49,'Internal Ref'!$S470,5))</f>
        <v/>
      </c>
      <c r="AC470" s="519" t="str" cm="1">
        <f t="array" ref="AC470">IF($S470="","",INDEX('SoP 2'!$D$48:$P$49,'Internal Ref'!$S470,7))</f>
        <v/>
      </c>
      <c r="AG470" s="519">
        <v>10</v>
      </c>
      <c r="AH470" s="519" t="str">
        <f t="shared" si="38"/>
        <v/>
      </c>
      <c r="AI470" s="519" t="str" cm="1">
        <f t="array" ref="AI470">IFERROR(SMALL(IF(LEFT('SoP 1'!$E$84:$E$85,4)="Rent",ROW('SoP 1'!$E$84:$E$85),""),AG470)-(ROW('SoP 1'!$D$83)),"")</f>
        <v/>
      </c>
      <c r="AJ470" s="519" t="str" cm="1">
        <f t="array" ref="AJ470">IF($AI470="","",INDEX('SoP 1'!$D$84:$P$85,'Internal Ref'!$AI470,13))</f>
        <v/>
      </c>
      <c r="AK470" s="519" t="str" cm="1">
        <f t="array" ref="AK470">IF($AI470="","",IF(INDEX('SoP 1'!$D$84:$P$85,'Internal Ref'!$AI470,10)="","",INDEX('SoP 1'!$D$84:$P$85,'Internal Ref'!$AI470,10)))</f>
        <v/>
      </c>
      <c r="AL470" s="519" t="str" cm="1">
        <f t="array" ref="AL470">IF($AI470="","",INDEX('SoP 1'!$D$84:$P$85,'Internal Ref'!$AI470,2))</f>
        <v/>
      </c>
      <c r="AM470" s="519" t="str" cm="1">
        <f t="array" ref="AM470">IF($AI470="","",INDEX('SoP 1'!$D$84:$P$85,'Internal Ref'!$AI470,6))</f>
        <v/>
      </c>
      <c r="AN470" s="519" t="str">
        <f t="shared" si="39"/>
        <v/>
      </c>
      <c r="AO470" s="519" t="str" cm="1">
        <f t="array" ref="AO470">IF($AI470="","",INDEX('SoP 1'!$D$84:$P$85,'Internal Ref'!$AI470,1))</f>
        <v/>
      </c>
      <c r="AP470" s="519" t="str">
        <f t="shared" si="40"/>
        <v/>
      </c>
      <c r="AQ470" s="519" t="str" cm="1">
        <f t="array" ref="AQ470">IF($AI470="","",INDEX('SoP 1'!$D$84:$P$85,'Internal Ref'!$AI470,4))</f>
        <v/>
      </c>
      <c r="AR470" s="519" t="str" cm="1">
        <f t="array" ref="AR470">IF($AI470="","",INDEX('SoP 1'!$D$84:$P$85,'Internal Ref'!$AI470,5))</f>
        <v/>
      </c>
      <c r="AS470" s="519" t="str" cm="1">
        <f t="array" ref="AS470">IF($AI470="","",INDEX('SoP 1'!$D$84:$P$85,'Internal Ref'!$AI470,7))</f>
        <v/>
      </c>
      <c r="AT470" s="515"/>
      <c r="AW470" s="519">
        <v>10</v>
      </c>
      <c r="AX470" s="519" t="str">
        <f t="shared" si="41"/>
        <v/>
      </c>
      <c r="AY470" s="519" t="str" cm="1">
        <f t="array" ref="AY470">IFERROR(SMALL(IF(LEFT('SoP 3'!$E$48:$E$49,4)="Rent",ROW('SoP 3'!$E$48:$E$49),""),AW470)-(ROW('SoP 3'!$D$47)),"")</f>
        <v/>
      </c>
      <c r="AZ470" s="519" t="str" cm="1">
        <f t="array" ref="AZ470">IF($AY470="","",INDEX('SoP 3'!$D$48:$P$49,$AY470,13))</f>
        <v/>
      </c>
      <c r="BA470" s="519" t="str" cm="1">
        <f t="array" ref="BA470">IF($AY470="","",IF(INDEX('SoP 3'!$D$48:$P$49,$AY470,10)="","",INDEX('SoP 3'!$D$48:$P$49,$AY470,10)))</f>
        <v/>
      </c>
      <c r="BB470" s="519" t="str" cm="1">
        <f t="array" ref="BB470">IF($AY470="","",INDEX('SoP 3'!$D$48:$P$49,$AY470,2))</f>
        <v/>
      </c>
      <c r="BC470" s="519" t="str" cm="1">
        <f t="array" ref="BC470">IF($AY470="","",INDEX('SoP 3'!$D$48:$P$49,$AY470,6))</f>
        <v/>
      </c>
      <c r="BD470" s="519" t="str">
        <f t="shared" si="42"/>
        <v/>
      </c>
      <c r="BE470" s="519" t="str" cm="1">
        <f t="array" ref="BE470">IF($AY470="","",INDEX('SoP 3'!$D$48:$P$49,$AY470,1))</f>
        <v/>
      </c>
      <c r="BF470" s="519" t="str">
        <f t="shared" si="43"/>
        <v/>
      </c>
      <c r="BG470" s="519" t="str" cm="1">
        <f t="array" ref="BG470">IF($AY470="","",INDEX('SoP 3'!$D$48:$P$49,$AY470,4))</f>
        <v/>
      </c>
      <c r="BH470" s="519" t="str" cm="1">
        <f t="array" ref="BH470">IF($AY470="","",INDEX('SoP 3'!$D$48:$P$49,$AY470,5))</f>
        <v/>
      </c>
      <c r="BI470" s="519" t="str" cm="1">
        <f t="array" ref="BI470">IF($AY470="","",INDEX('SoP 3'!$D$48:$P$49,$AY470,7))</f>
        <v/>
      </c>
      <c r="BJ470" s="515"/>
    </row>
    <row r="471" spans="1:62">
      <c r="A471" s="519">
        <v>11</v>
      </c>
      <c r="B471" s="519" t="str">
        <f t="shared" si="33"/>
        <v/>
      </c>
      <c r="C471" s="519" t="str" cm="1">
        <f t="array" ref="C471">IFERROR(SMALL(IF(LEFT('SoP 4'!$E$48:$E$49,4)="Rent",ROW('SoP 4'!$E$48:$E$49),""),A471)-(ROW('SoP 4'!$D$47)),"")</f>
        <v/>
      </c>
      <c r="D471" s="519" t="str" cm="1">
        <f t="array" ref="D471">IF($C471="","",INDEX('SoP 4'!$D$48:$P$49,'Internal Ref'!$C471,13))</f>
        <v/>
      </c>
      <c r="E471" s="519" t="str" cm="1">
        <f t="array" ref="E471">IF($C471="","",IF(INDEX('SoP 4'!$D$48:$P$49,'Internal Ref'!$C471,10)="","",INDEX('SoP 4'!$D$48:$P$49,'Internal Ref'!$C471,10)))</f>
        <v/>
      </c>
      <c r="F471" s="519" t="str" cm="1">
        <f t="array" ref="F471">IF($C471="","",INDEX('SoP 4'!$D$48:$P$49,'Internal Ref'!$C471,2))</f>
        <v/>
      </c>
      <c r="G471" s="519" t="str" cm="1">
        <f t="array" ref="G471">IF($C471="","",INDEX('SoP 4'!$D$48:$P$49,'Internal Ref'!$C471,6))</f>
        <v/>
      </c>
      <c r="H471" s="519" t="str">
        <f t="shared" si="44"/>
        <v/>
      </c>
      <c r="I471" s="519" t="str" cm="1">
        <f t="array" ref="I471">IF($C471="","",INDEX('SoP 4'!$D$48:$P$49,'Internal Ref'!$C471,1))</f>
        <v/>
      </c>
      <c r="J471" s="519" t="str">
        <f t="shared" si="34"/>
        <v/>
      </c>
      <c r="K471" s="519" t="str" cm="1">
        <f t="array" ref="K471">IF($C471="","",INDEX('SoP 4'!$D$48:$P$49,'Internal Ref'!$C471,4))</f>
        <v/>
      </c>
      <c r="L471" s="519" t="str" cm="1">
        <f t="array" ref="L471">IF($C471="","",INDEX('SoP 4'!$D$48:$P$49,'Internal Ref'!$C471,5))</f>
        <v/>
      </c>
      <c r="M471" s="519" t="str" cm="1">
        <f t="array" ref="M471">IF($C471="","",INDEX('SoP 4'!$D$48:$P$49,'Internal Ref'!$C471,7))</f>
        <v/>
      </c>
      <c r="Q471" s="519">
        <v>11</v>
      </c>
      <c r="R471" s="519" t="str">
        <f t="shared" si="35"/>
        <v/>
      </c>
      <c r="S471" s="519" t="str" cm="1">
        <f t="array" ref="S471">IFERROR(SMALL(IF(LEFT('SoP 2'!$E$48:$E$49,4)="Rent",ROW('SoP 2'!$E$48:$E$49),""),Q471)-(ROW('SoP 2'!$D$47)),"")</f>
        <v/>
      </c>
      <c r="T471" s="519" t="str" cm="1">
        <f t="array" ref="T471">IF($S471="","",INDEX('SoP 2'!$D$48:$P$49,'Internal Ref'!$S471,13))</f>
        <v/>
      </c>
      <c r="U471" s="519" t="str" cm="1">
        <f t="array" ref="U471">IF($S471="","",IF(INDEX('SoP 2'!$D$48:$P$49,'Internal Ref'!$S471,10)="","",INDEX('SoP 2'!$D$48:$P$49,'Internal Ref'!$S471,10)))</f>
        <v/>
      </c>
      <c r="V471" s="519" t="str" cm="1">
        <f t="array" ref="V471">IF($S471="","",INDEX('SoP 2'!$D$48:$P$49,'Internal Ref'!$S471,2))</f>
        <v/>
      </c>
      <c r="W471" s="519" t="str" cm="1">
        <f t="array" ref="W471">IF($S471="","",INDEX('SoP 2'!$D$48:$P$49,'Internal Ref'!$S471,6))</f>
        <v/>
      </c>
      <c r="X471" s="519" t="str">
        <f t="shared" si="36"/>
        <v/>
      </c>
      <c r="Y471" s="519" t="str" cm="1">
        <f t="array" ref="Y471">IF($S471="","",INDEX('SoP 2'!$D$48:$P$49,'Internal Ref'!$S471,1))</f>
        <v/>
      </c>
      <c r="Z471" s="519" t="str">
        <f t="shared" si="37"/>
        <v/>
      </c>
      <c r="AA471" s="519" t="str" cm="1">
        <f t="array" ref="AA471">IF($S471="","",INDEX('SoP 2'!$D$48:$P$49,'Internal Ref'!$S471,4))</f>
        <v/>
      </c>
      <c r="AB471" s="519" t="str" cm="1">
        <f t="array" ref="AB471">IF($S471="","",INDEX('SoP 2'!$D$48:$P$49,'Internal Ref'!$S471,5))</f>
        <v/>
      </c>
      <c r="AC471" s="519" t="str" cm="1">
        <f t="array" ref="AC471">IF($S471="","",INDEX('SoP 2'!$D$48:$P$49,'Internal Ref'!$S471,7))</f>
        <v/>
      </c>
      <c r="AG471" s="519">
        <v>11</v>
      </c>
      <c r="AH471" s="519" t="str">
        <f t="shared" si="38"/>
        <v/>
      </c>
      <c r="AI471" s="519" t="str" cm="1">
        <f t="array" ref="AI471">IFERROR(SMALL(IF(LEFT('SoP 1'!$E$84:$E$85,4)="Rent",ROW('SoP 1'!$E$84:$E$85),""),AG471)-(ROW('SoP 1'!$D$83)),"")</f>
        <v/>
      </c>
      <c r="AJ471" s="519" t="str" cm="1">
        <f t="array" ref="AJ471">IF($AI471="","",INDEX('SoP 1'!$D$84:$P$85,'Internal Ref'!$AI471,13))</f>
        <v/>
      </c>
      <c r="AK471" s="519" t="str" cm="1">
        <f t="array" ref="AK471">IF($AI471="","",IF(INDEX('SoP 1'!$D$84:$P$85,'Internal Ref'!$AI471,10)="","",INDEX('SoP 1'!$D$84:$P$85,'Internal Ref'!$AI471,10)))</f>
        <v/>
      </c>
      <c r="AL471" s="519" t="str" cm="1">
        <f t="array" ref="AL471">IF($AI471="","",INDEX('SoP 1'!$D$84:$P$85,'Internal Ref'!$AI471,2))</f>
        <v/>
      </c>
      <c r="AM471" s="519" t="str" cm="1">
        <f t="array" ref="AM471">IF($AI471="","",INDEX('SoP 1'!$D$84:$P$85,'Internal Ref'!$AI471,6))</f>
        <v/>
      </c>
      <c r="AN471" s="519" t="str">
        <f t="shared" si="39"/>
        <v/>
      </c>
      <c r="AO471" s="519" t="str" cm="1">
        <f t="array" ref="AO471">IF($AI471="","",INDEX('SoP 1'!$D$84:$P$85,'Internal Ref'!$AI471,1))</f>
        <v/>
      </c>
      <c r="AP471" s="519" t="str">
        <f t="shared" si="40"/>
        <v/>
      </c>
      <c r="AQ471" s="519" t="str" cm="1">
        <f t="array" ref="AQ471">IF($AI471="","",INDEX('SoP 1'!$D$84:$P$85,'Internal Ref'!$AI471,4))</f>
        <v/>
      </c>
      <c r="AR471" s="519" t="str" cm="1">
        <f t="array" ref="AR471">IF($AI471="","",INDEX('SoP 1'!$D$84:$P$85,'Internal Ref'!$AI471,5))</f>
        <v/>
      </c>
      <c r="AS471" s="519" t="str" cm="1">
        <f t="array" ref="AS471">IF($AI471="","",INDEX('SoP 1'!$D$84:$P$85,'Internal Ref'!$AI471,7))</f>
        <v/>
      </c>
      <c r="AT471" s="515"/>
      <c r="AW471" s="519">
        <v>11</v>
      </c>
      <c r="AX471" s="519" t="str">
        <f t="shared" si="41"/>
        <v/>
      </c>
      <c r="AY471" s="519" t="str" cm="1">
        <f t="array" ref="AY471">IFERROR(SMALL(IF(LEFT('SoP 3'!$E$48:$E$49,4)="Rent",ROW('SoP 3'!$E$48:$E$49),""),AW471)-(ROW('SoP 3'!$D$47)),"")</f>
        <v/>
      </c>
      <c r="AZ471" s="519" t="str" cm="1">
        <f t="array" ref="AZ471">IF($AY471="","",INDEX('SoP 3'!$D$48:$P$49,$AY471,13))</f>
        <v/>
      </c>
      <c r="BA471" s="519" t="str" cm="1">
        <f t="array" ref="BA471">IF($AY471="","",IF(INDEX('SoP 3'!$D$48:$P$49,$AY471,10)="","",INDEX('SoP 3'!$D$48:$P$49,$AY471,10)))</f>
        <v/>
      </c>
      <c r="BB471" s="519" t="str" cm="1">
        <f t="array" ref="BB471">IF($AY471="","",INDEX('SoP 3'!$D$48:$P$49,$AY471,2))</f>
        <v/>
      </c>
      <c r="BC471" s="519" t="str" cm="1">
        <f t="array" ref="BC471">IF($AY471="","",INDEX('SoP 3'!$D$48:$P$49,$AY471,6))</f>
        <v/>
      </c>
      <c r="BD471" s="519" t="str">
        <f t="shared" si="42"/>
        <v/>
      </c>
      <c r="BE471" s="519" t="str" cm="1">
        <f t="array" ref="BE471">IF($AY471="","",INDEX('SoP 3'!$D$48:$P$49,$AY471,1))</f>
        <v/>
      </c>
      <c r="BF471" s="519" t="str">
        <f t="shared" si="43"/>
        <v/>
      </c>
      <c r="BG471" s="519" t="str" cm="1">
        <f t="array" ref="BG471">IF($AY471="","",INDEX('SoP 3'!$D$48:$P$49,$AY471,4))</f>
        <v/>
      </c>
      <c r="BH471" s="519" t="str" cm="1">
        <f t="array" ref="BH471">IF($AY471="","",INDEX('SoP 3'!$D$48:$P$49,$AY471,5))</f>
        <v/>
      </c>
      <c r="BI471" s="519" t="str" cm="1">
        <f t="array" ref="BI471">IF($AY471="","",INDEX('SoP 3'!$D$48:$P$49,$AY471,7))</f>
        <v/>
      </c>
      <c r="BJ471" s="515"/>
    </row>
    <row r="472" spans="1:62">
      <c r="A472" s="519">
        <v>12</v>
      </c>
      <c r="B472" s="519" t="str">
        <f t="shared" si="33"/>
        <v/>
      </c>
      <c r="C472" s="519" t="str" cm="1">
        <f t="array" ref="C472">IFERROR(SMALL(IF(LEFT('SoP 4'!$E$48:$E$49,4)="Rent",ROW('SoP 4'!$E$48:$E$49),""),A472)-(ROW('SoP 4'!$D$47)),"")</f>
        <v/>
      </c>
      <c r="D472" s="519" t="str" cm="1">
        <f t="array" ref="D472">IF($C472="","",INDEX('SoP 4'!$D$48:$P$49,'Internal Ref'!$C472,13))</f>
        <v/>
      </c>
      <c r="E472" s="519" t="str" cm="1">
        <f t="array" ref="E472">IF($C472="","",IF(INDEX('SoP 4'!$D$48:$P$49,'Internal Ref'!$C472,10)="","",INDEX('SoP 4'!$D$48:$P$49,'Internal Ref'!$C472,10)))</f>
        <v/>
      </c>
      <c r="F472" s="519" t="str" cm="1">
        <f t="array" ref="F472">IF($C472="","",INDEX('SoP 4'!$D$48:$P$49,'Internal Ref'!$C472,2))</f>
        <v/>
      </c>
      <c r="G472" s="519" t="str" cm="1">
        <f t="array" ref="G472">IF($C472="","",INDEX('SoP 4'!$D$48:$P$49,'Internal Ref'!$C472,6))</f>
        <v/>
      </c>
      <c r="H472" s="519" t="str">
        <f t="shared" si="44"/>
        <v/>
      </c>
      <c r="I472" s="519" t="str" cm="1">
        <f t="array" ref="I472">IF($C472="","",INDEX('SoP 4'!$D$48:$P$49,'Internal Ref'!$C472,1))</f>
        <v/>
      </c>
      <c r="J472" s="519" t="str">
        <f t="shared" si="34"/>
        <v/>
      </c>
      <c r="K472" s="519" t="str" cm="1">
        <f t="array" ref="K472">IF($C472="","",INDEX('SoP 4'!$D$48:$P$49,'Internal Ref'!$C472,4))</f>
        <v/>
      </c>
      <c r="L472" s="519" t="str" cm="1">
        <f t="array" ref="L472">IF($C472="","",INDEX('SoP 4'!$D$48:$P$49,'Internal Ref'!$C472,5))</f>
        <v/>
      </c>
      <c r="M472" s="519" t="str" cm="1">
        <f t="array" ref="M472">IF($C472="","",INDEX('SoP 4'!$D$48:$P$49,'Internal Ref'!$C472,7))</f>
        <v/>
      </c>
      <c r="Q472" s="519">
        <v>12</v>
      </c>
      <c r="R472" s="519" t="str">
        <f t="shared" si="35"/>
        <v/>
      </c>
      <c r="S472" s="519" t="str" cm="1">
        <f t="array" ref="S472">IFERROR(SMALL(IF(LEFT('SoP 2'!$E$48:$E$49,4)="Rent",ROW('SoP 2'!$E$48:$E$49),""),Q472)-(ROW('SoP 2'!$D$47)),"")</f>
        <v/>
      </c>
      <c r="T472" s="519" t="str" cm="1">
        <f t="array" ref="T472">IF($S472="","",INDEX('SoP 2'!$D$48:$P$49,'Internal Ref'!$S472,13))</f>
        <v/>
      </c>
      <c r="U472" s="519" t="str" cm="1">
        <f t="array" ref="U472">IF($S472="","",IF(INDEX('SoP 2'!$D$48:$P$49,'Internal Ref'!$S472,10)="","",INDEX('SoP 2'!$D$48:$P$49,'Internal Ref'!$S472,10)))</f>
        <v/>
      </c>
      <c r="V472" s="519" t="str" cm="1">
        <f t="array" ref="V472">IF($S472="","",INDEX('SoP 2'!$D$48:$P$49,'Internal Ref'!$S472,2))</f>
        <v/>
      </c>
      <c r="W472" s="519" t="str" cm="1">
        <f t="array" ref="W472">IF($S472="","",INDEX('SoP 2'!$D$48:$P$49,'Internal Ref'!$S472,6))</f>
        <v/>
      </c>
      <c r="X472" s="519" t="str">
        <f t="shared" si="36"/>
        <v/>
      </c>
      <c r="Y472" s="519" t="str" cm="1">
        <f t="array" ref="Y472">IF($S472="","",INDEX('SoP 2'!$D$48:$P$49,'Internal Ref'!$S472,1))</f>
        <v/>
      </c>
      <c r="Z472" s="519" t="str">
        <f t="shared" si="37"/>
        <v/>
      </c>
      <c r="AA472" s="519" t="str" cm="1">
        <f t="array" ref="AA472">IF($S472="","",INDEX('SoP 2'!$D$48:$P$49,'Internal Ref'!$S472,4))</f>
        <v/>
      </c>
      <c r="AB472" s="519" t="str" cm="1">
        <f t="array" ref="AB472">IF($S472="","",INDEX('SoP 2'!$D$48:$P$49,'Internal Ref'!$S472,5))</f>
        <v/>
      </c>
      <c r="AC472" s="519" t="str" cm="1">
        <f t="array" ref="AC472">IF($S472="","",INDEX('SoP 2'!$D$48:$P$49,'Internal Ref'!$S472,7))</f>
        <v/>
      </c>
      <c r="AG472" s="519">
        <v>12</v>
      </c>
      <c r="AH472" s="519" t="str">
        <f t="shared" si="38"/>
        <v/>
      </c>
      <c r="AI472" s="519" t="str" cm="1">
        <f t="array" ref="AI472">IFERROR(SMALL(IF(LEFT('SoP 1'!$E$84:$E$85,4)="Rent",ROW('SoP 1'!$E$84:$E$85),""),AG472)-(ROW('SoP 1'!$D$83)),"")</f>
        <v/>
      </c>
      <c r="AJ472" s="519" t="str" cm="1">
        <f t="array" ref="AJ472">IF($AI472="","",INDEX('SoP 1'!$D$84:$P$85,'Internal Ref'!$AI472,13))</f>
        <v/>
      </c>
      <c r="AK472" s="519" t="str" cm="1">
        <f t="array" ref="AK472">IF($AI472="","",IF(INDEX('SoP 1'!$D$84:$P$85,'Internal Ref'!$AI472,10)="","",INDEX('SoP 1'!$D$84:$P$85,'Internal Ref'!$AI472,10)))</f>
        <v/>
      </c>
      <c r="AL472" s="519" t="str" cm="1">
        <f t="array" ref="AL472">IF($AI472="","",INDEX('SoP 1'!$D$84:$P$85,'Internal Ref'!$AI472,2))</f>
        <v/>
      </c>
      <c r="AM472" s="519" t="str" cm="1">
        <f t="array" ref="AM472">IF($AI472="","",INDEX('SoP 1'!$D$84:$P$85,'Internal Ref'!$AI472,6))</f>
        <v/>
      </c>
      <c r="AN472" s="519" t="str">
        <f t="shared" si="39"/>
        <v/>
      </c>
      <c r="AO472" s="519" t="str" cm="1">
        <f t="array" ref="AO472">IF($AI472="","",INDEX('SoP 1'!$D$84:$P$85,'Internal Ref'!$AI472,1))</f>
        <v/>
      </c>
      <c r="AP472" s="519" t="str">
        <f t="shared" si="40"/>
        <v/>
      </c>
      <c r="AQ472" s="519" t="str" cm="1">
        <f t="array" ref="AQ472">IF($AI472="","",INDEX('SoP 1'!$D$84:$P$85,'Internal Ref'!$AI472,4))</f>
        <v/>
      </c>
      <c r="AR472" s="519" t="str" cm="1">
        <f t="array" ref="AR472">IF($AI472="","",INDEX('SoP 1'!$D$84:$P$85,'Internal Ref'!$AI472,5))</f>
        <v/>
      </c>
      <c r="AS472" s="519" t="str" cm="1">
        <f t="array" ref="AS472">IF($AI472="","",INDEX('SoP 1'!$D$84:$P$85,'Internal Ref'!$AI472,7))</f>
        <v/>
      </c>
      <c r="AT472" s="515"/>
      <c r="AW472" s="519">
        <v>12</v>
      </c>
      <c r="AX472" s="519" t="str">
        <f t="shared" si="41"/>
        <v/>
      </c>
      <c r="AY472" s="519" t="str" cm="1">
        <f t="array" ref="AY472">IFERROR(SMALL(IF(LEFT('SoP 3'!$E$48:$E$49,4)="Rent",ROW('SoP 3'!$E$48:$E$49),""),AW472)-(ROW('SoP 3'!$D$47)),"")</f>
        <v/>
      </c>
      <c r="AZ472" s="519" t="str" cm="1">
        <f t="array" ref="AZ472">IF($AY472="","",INDEX('SoP 3'!$D$48:$P$49,$AY472,13))</f>
        <v/>
      </c>
      <c r="BA472" s="519" t="str" cm="1">
        <f t="array" ref="BA472">IF($AY472="","",IF(INDEX('SoP 3'!$D$48:$P$49,$AY472,10)="","",INDEX('SoP 3'!$D$48:$P$49,$AY472,10)))</f>
        <v/>
      </c>
      <c r="BB472" s="519" t="str" cm="1">
        <f t="array" ref="BB472">IF($AY472="","",INDEX('SoP 3'!$D$48:$P$49,$AY472,2))</f>
        <v/>
      </c>
      <c r="BC472" s="519" t="str" cm="1">
        <f t="array" ref="BC472">IF($AY472="","",INDEX('SoP 3'!$D$48:$P$49,$AY472,6))</f>
        <v/>
      </c>
      <c r="BD472" s="519" t="str">
        <f t="shared" si="42"/>
        <v/>
      </c>
      <c r="BE472" s="519" t="str" cm="1">
        <f t="array" ref="BE472">IF($AY472="","",INDEX('SoP 3'!$D$48:$P$49,$AY472,1))</f>
        <v/>
      </c>
      <c r="BF472" s="519" t="str">
        <f t="shared" si="43"/>
        <v/>
      </c>
      <c r="BG472" s="519" t="str" cm="1">
        <f t="array" ref="BG472">IF($AY472="","",INDEX('SoP 3'!$D$48:$P$49,$AY472,4))</f>
        <v/>
      </c>
      <c r="BH472" s="519" t="str" cm="1">
        <f t="array" ref="BH472">IF($AY472="","",INDEX('SoP 3'!$D$48:$P$49,$AY472,5))</f>
        <v/>
      </c>
      <c r="BI472" s="519" t="str" cm="1">
        <f t="array" ref="BI472">IF($AY472="","",INDEX('SoP 3'!$D$48:$P$49,$AY472,7))</f>
        <v/>
      </c>
      <c r="BJ472" s="515"/>
    </row>
    <row r="473" spans="1:62">
      <c r="A473" s="519">
        <v>13</v>
      </c>
      <c r="B473" s="519" t="str">
        <f t="shared" si="33"/>
        <v/>
      </c>
      <c r="C473" s="519" t="str" cm="1">
        <f t="array" ref="C473">IFERROR(SMALL(IF(LEFT('SoP 4'!$E$48:$E$49,4)="Rent",ROW('SoP 4'!$E$48:$E$49),""),A473)-(ROW('SoP 4'!$D$47)),"")</f>
        <v/>
      </c>
      <c r="D473" s="519" t="str" cm="1">
        <f t="array" ref="D473">IF($C473="","",INDEX('SoP 4'!$D$48:$P$49,'Internal Ref'!$C473,13))</f>
        <v/>
      </c>
      <c r="E473" s="519" t="str" cm="1">
        <f t="array" ref="E473">IF($C473="","",IF(INDEX('SoP 4'!$D$48:$P$49,'Internal Ref'!$C473,10)="","",INDEX('SoP 4'!$D$48:$P$49,'Internal Ref'!$C473,10)))</f>
        <v/>
      </c>
      <c r="F473" s="519" t="str" cm="1">
        <f t="array" ref="F473">IF($C473="","",INDEX('SoP 4'!$D$48:$P$49,'Internal Ref'!$C473,2))</f>
        <v/>
      </c>
      <c r="G473" s="519" t="str" cm="1">
        <f t="array" ref="G473">IF($C473="","",INDEX('SoP 4'!$D$48:$P$49,'Internal Ref'!$C473,6))</f>
        <v/>
      </c>
      <c r="H473" s="519" t="str">
        <f t="shared" si="44"/>
        <v/>
      </c>
      <c r="I473" s="519" t="str" cm="1">
        <f t="array" ref="I473">IF($C473="","",INDEX('SoP 4'!$D$48:$P$49,'Internal Ref'!$C473,1))</f>
        <v/>
      </c>
      <c r="J473" s="519" t="str">
        <f t="shared" si="34"/>
        <v/>
      </c>
      <c r="K473" s="519" t="str" cm="1">
        <f t="array" ref="K473">IF($C473="","",INDEX('SoP 4'!$D$48:$P$49,'Internal Ref'!$C473,4))</f>
        <v/>
      </c>
      <c r="L473" s="519" t="str" cm="1">
        <f t="array" ref="L473">IF($C473="","",INDEX('SoP 4'!$D$48:$P$49,'Internal Ref'!$C473,5))</f>
        <v/>
      </c>
      <c r="M473" s="519" t="str" cm="1">
        <f t="array" ref="M473">IF($C473="","",INDEX('SoP 4'!$D$48:$P$49,'Internal Ref'!$C473,7))</f>
        <v/>
      </c>
      <c r="Q473" s="519">
        <v>13</v>
      </c>
      <c r="R473" s="519" t="str">
        <f t="shared" si="35"/>
        <v/>
      </c>
      <c r="S473" s="519" t="str" cm="1">
        <f t="array" ref="S473">IFERROR(SMALL(IF(LEFT('SoP 2'!$E$48:$E$49,4)="Rent",ROW('SoP 2'!$E$48:$E$49),""),Q473)-(ROW('SoP 2'!$D$47)),"")</f>
        <v/>
      </c>
      <c r="T473" s="519" t="str" cm="1">
        <f t="array" ref="T473">IF($S473="","",INDEX('SoP 2'!$D$48:$P$49,'Internal Ref'!$S473,13))</f>
        <v/>
      </c>
      <c r="U473" s="519" t="str" cm="1">
        <f t="array" ref="U473">IF($S473="","",IF(INDEX('SoP 2'!$D$48:$P$49,'Internal Ref'!$S473,10)="","",INDEX('SoP 2'!$D$48:$P$49,'Internal Ref'!$S473,10)))</f>
        <v/>
      </c>
      <c r="V473" s="519" t="str" cm="1">
        <f t="array" ref="V473">IF($S473="","",INDEX('SoP 2'!$D$48:$P$49,'Internal Ref'!$S473,2))</f>
        <v/>
      </c>
      <c r="W473" s="519" t="str" cm="1">
        <f t="array" ref="W473">IF($S473="","",INDEX('SoP 2'!$D$48:$P$49,'Internal Ref'!$S473,6))</f>
        <v/>
      </c>
      <c r="X473" s="519" t="str">
        <f t="shared" si="36"/>
        <v/>
      </c>
      <c r="Y473" s="519" t="str" cm="1">
        <f t="array" ref="Y473">IF($S473="","",INDEX('SoP 2'!$D$48:$P$49,'Internal Ref'!$S473,1))</f>
        <v/>
      </c>
      <c r="Z473" s="519" t="str">
        <f t="shared" si="37"/>
        <v/>
      </c>
      <c r="AA473" s="519" t="str" cm="1">
        <f t="array" ref="AA473">IF($S473="","",INDEX('SoP 2'!$D$48:$P$49,'Internal Ref'!$S473,4))</f>
        <v/>
      </c>
      <c r="AB473" s="519" t="str" cm="1">
        <f t="array" ref="AB473">IF($S473="","",INDEX('SoP 2'!$D$48:$P$49,'Internal Ref'!$S473,5))</f>
        <v/>
      </c>
      <c r="AC473" s="519" t="str" cm="1">
        <f t="array" ref="AC473">IF($S473="","",INDEX('SoP 2'!$D$48:$P$49,'Internal Ref'!$S473,7))</f>
        <v/>
      </c>
      <c r="AG473" s="519">
        <v>13</v>
      </c>
      <c r="AH473" s="519" t="str">
        <f t="shared" si="38"/>
        <v/>
      </c>
      <c r="AI473" s="519" t="str" cm="1">
        <f t="array" ref="AI473">IFERROR(SMALL(IF(LEFT('SoP 1'!$E$84:$E$85,4)="Rent",ROW('SoP 1'!$E$84:$E$85),""),AG473)-(ROW('SoP 1'!$D$83)),"")</f>
        <v/>
      </c>
      <c r="AJ473" s="519" t="str" cm="1">
        <f t="array" ref="AJ473">IF($AI473="","",INDEX('SoP 1'!$D$84:$P$85,'Internal Ref'!$AI473,13))</f>
        <v/>
      </c>
      <c r="AK473" s="519" t="str" cm="1">
        <f t="array" ref="AK473">IF($AI473="","",IF(INDEX('SoP 1'!$D$84:$P$85,'Internal Ref'!$AI473,10)="","",INDEX('SoP 1'!$D$84:$P$85,'Internal Ref'!$AI473,10)))</f>
        <v/>
      </c>
      <c r="AL473" s="519" t="str" cm="1">
        <f t="array" ref="AL473">IF($AI473="","",INDEX('SoP 1'!$D$84:$P$85,'Internal Ref'!$AI473,2))</f>
        <v/>
      </c>
      <c r="AM473" s="519" t="str" cm="1">
        <f t="array" ref="AM473">IF($AI473="","",INDEX('SoP 1'!$D$84:$P$85,'Internal Ref'!$AI473,6))</f>
        <v/>
      </c>
      <c r="AN473" s="519" t="str">
        <f t="shared" si="39"/>
        <v/>
      </c>
      <c r="AO473" s="519" t="str" cm="1">
        <f t="array" ref="AO473">IF($AI473="","",INDEX('SoP 1'!$D$84:$P$85,'Internal Ref'!$AI473,1))</f>
        <v/>
      </c>
      <c r="AP473" s="519" t="str">
        <f t="shared" si="40"/>
        <v/>
      </c>
      <c r="AQ473" s="519" t="str" cm="1">
        <f t="array" ref="AQ473">IF($AI473="","",INDEX('SoP 1'!$D$84:$P$85,'Internal Ref'!$AI473,4))</f>
        <v/>
      </c>
      <c r="AR473" s="519" t="str" cm="1">
        <f t="array" ref="AR473">IF($AI473="","",INDEX('SoP 1'!$D$84:$P$85,'Internal Ref'!$AI473,5))</f>
        <v/>
      </c>
      <c r="AS473" s="519" t="str" cm="1">
        <f t="array" ref="AS473">IF($AI473="","",INDEX('SoP 1'!$D$84:$P$85,'Internal Ref'!$AI473,7))</f>
        <v/>
      </c>
      <c r="AT473" s="515"/>
      <c r="AW473" s="519">
        <v>13</v>
      </c>
      <c r="AX473" s="519" t="str">
        <f t="shared" si="41"/>
        <v/>
      </c>
      <c r="AY473" s="519" t="str" cm="1">
        <f t="array" ref="AY473">IFERROR(SMALL(IF(LEFT('SoP 3'!$E$48:$E$49,4)="Rent",ROW('SoP 3'!$E$48:$E$49),""),AW473)-(ROW('SoP 3'!$D$47)),"")</f>
        <v/>
      </c>
      <c r="AZ473" s="519" t="str" cm="1">
        <f t="array" ref="AZ473">IF($AY473="","",INDEX('SoP 3'!$D$48:$P$49,$AY473,13))</f>
        <v/>
      </c>
      <c r="BA473" s="519" t="str" cm="1">
        <f t="array" ref="BA473">IF($AY473="","",IF(INDEX('SoP 3'!$D$48:$P$49,$AY473,10)="","",INDEX('SoP 3'!$D$48:$P$49,$AY473,10)))</f>
        <v/>
      </c>
      <c r="BB473" s="519" t="str" cm="1">
        <f t="array" ref="BB473">IF($AY473="","",INDEX('SoP 3'!$D$48:$P$49,$AY473,2))</f>
        <v/>
      </c>
      <c r="BC473" s="519" t="str" cm="1">
        <f t="array" ref="BC473">IF($AY473="","",INDEX('SoP 3'!$D$48:$P$49,$AY473,6))</f>
        <v/>
      </c>
      <c r="BD473" s="519" t="str">
        <f t="shared" si="42"/>
        <v/>
      </c>
      <c r="BE473" s="519" t="str" cm="1">
        <f t="array" ref="BE473">IF($AY473="","",INDEX('SoP 3'!$D$48:$P$49,$AY473,1))</f>
        <v/>
      </c>
      <c r="BF473" s="519" t="str">
        <f t="shared" si="43"/>
        <v/>
      </c>
      <c r="BG473" s="519" t="str" cm="1">
        <f t="array" ref="BG473">IF($AY473="","",INDEX('SoP 3'!$D$48:$P$49,$AY473,4))</f>
        <v/>
      </c>
      <c r="BH473" s="519" t="str" cm="1">
        <f t="array" ref="BH473">IF($AY473="","",INDEX('SoP 3'!$D$48:$P$49,$AY473,5))</f>
        <v/>
      </c>
      <c r="BI473" s="519" t="str" cm="1">
        <f t="array" ref="BI473">IF($AY473="","",INDEX('SoP 3'!$D$48:$P$49,$AY473,7))</f>
        <v/>
      </c>
      <c r="BJ473" s="515"/>
    </row>
    <row r="474" spans="1:62">
      <c r="A474" s="519">
        <v>14</v>
      </c>
      <c r="B474" s="519" t="str">
        <f t="shared" si="33"/>
        <v/>
      </c>
      <c r="C474" s="519" t="str" cm="1">
        <f t="array" ref="C474">IFERROR(SMALL(IF(LEFT('SoP 4'!$E$48:$E$49,4)="Rent",ROW('SoP 4'!$E$48:$E$49),""),A474)-(ROW('SoP 4'!$D$47)),"")</f>
        <v/>
      </c>
      <c r="D474" s="519" t="str" cm="1">
        <f t="array" ref="D474">IF($C474="","",INDEX('SoP 4'!$D$48:$P$49,'Internal Ref'!$C474,13))</f>
        <v/>
      </c>
      <c r="E474" s="519" t="str" cm="1">
        <f t="array" ref="E474">IF($C474="","",IF(INDEX('SoP 4'!$D$48:$P$49,'Internal Ref'!$C474,10)="","",INDEX('SoP 4'!$D$48:$P$49,'Internal Ref'!$C474,10)))</f>
        <v/>
      </c>
      <c r="F474" s="519" t="str" cm="1">
        <f t="array" ref="F474">IF($C474="","",INDEX('SoP 4'!$D$48:$P$49,'Internal Ref'!$C474,2))</f>
        <v/>
      </c>
      <c r="G474" s="519" t="str" cm="1">
        <f t="array" ref="G474">IF($C474="","",INDEX('SoP 4'!$D$48:$P$49,'Internal Ref'!$C474,6))</f>
        <v/>
      </c>
      <c r="H474" s="519" t="str">
        <f t="shared" si="44"/>
        <v/>
      </c>
      <c r="I474" s="519" t="str" cm="1">
        <f t="array" ref="I474">IF($C474="","",INDEX('SoP 4'!$D$48:$P$49,'Internal Ref'!$C474,1))</f>
        <v/>
      </c>
      <c r="J474" s="519" t="str">
        <f t="shared" si="34"/>
        <v/>
      </c>
      <c r="K474" s="519" t="str" cm="1">
        <f t="array" ref="K474">IF($C474="","",INDEX('SoP 4'!$D$48:$P$49,'Internal Ref'!$C474,4))</f>
        <v/>
      </c>
      <c r="L474" s="519" t="str" cm="1">
        <f t="array" ref="L474">IF($C474="","",INDEX('SoP 4'!$D$48:$P$49,'Internal Ref'!$C474,5))</f>
        <v/>
      </c>
      <c r="M474" s="519" t="str" cm="1">
        <f t="array" ref="M474">IF($C474="","",INDEX('SoP 4'!$D$48:$P$49,'Internal Ref'!$C474,7))</f>
        <v/>
      </c>
      <c r="Q474" s="519">
        <v>14</v>
      </c>
      <c r="R474" s="519" t="str">
        <f t="shared" si="35"/>
        <v/>
      </c>
      <c r="S474" s="519" t="str" cm="1">
        <f t="array" ref="S474">IFERROR(SMALL(IF(LEFT('SoP 2'!$E$48:$E$49,4)="Rent",ROW('SoP 2'!$E$48:$E$49),""),Q474)-(ROW('SoP 2'!$D$47)),"")</f>
        <v/>
      </c>
      <c r="T474" s="519" t="str" cm="1">
        <f t="array" ref="T474">IF($S474="","",INDEX('SoP 2'!$D$48:$P$49,'Internal Ref'!$S474,13))</f>
        <v/>
      </c>
      <c r="U474" s="519" t="str" cm="1">
        <f t="array" ref="U474">IF($S474="","",IF(INDEX('SoP 2'!$D$48:$P$49,'Internal Ref'!$S474,10)="","",INDEX('SoP 2'!$D$48:$P$49,'Internal Ref'!$S474,10)))</f>
        <v/>
      </c>
      <c r="V474" s="519" t="str" cm="1">
        <f t="array" ref="V474">IF($S474="","",INDEX('SoP 2'!$D$48:$P$49,'Internal Ref'!$S474,2))</f>
        <v/>
      </c>
      <c r="W474" s="519" t="str" cm="1">
        <f t="array" ref="W474">IF($S474="","",INDEX('SoP 2'!$D$48:$P$49,'Internal Ref'!$S474,6))</f>
        <v/>
      </c>
      <c r="X474" s="519" t="str">
        <f t="shared" si="36"/>
        <v/>
      </c>
      <c r="Y474" s="519" t="str" cm="1">
        <f t="array" ref="Y474">IF($S474="","",INDEX('SoP 2'!$D$48:$P$49,'Internal Ref'!$S474,1))</f>
        <v/>
      </c>
      <c r="Z474" s="519" t="str">
        <f t="shared" si="37"/>
        <v/>
      </c>
      <c r="AA474" s="519" t="str" cm="1">
        <f t="array" ref="AA474">IF($S474="","",INDEX('SoP 2'!$D$48:$P$49,'Internal Ref'!$S474,4))</f>
        <v/>
      </c>
      <c r="AB474" s="519" t="str" cm="1">
        <f t="array" ref="AB474">IF($S474="","",INDEX('SoP 2'!$D$48:$P$49,'Internal Ref'!$S474,5))</f>
        <v/>
      </c>
      <c r="AC474" s="519" t="str" cm="1">
        <f t="array" ref="AC474">IF($S474="","",INDEX('SoP 2'!$D$48:$P$49,'Internal Ref'!$S474,7))</f>
        <v/>
      </c>
      <c r="AG474" s="519">
        <v>14</v>
      </c>
      <c r="AH474" s="519" t="str">
        <f t="shared" si="38"/>
        <v/>
      </c>
      <c r="AI474" s="519" t="str" cm="1">
        <f t="array" ref="AI474">IFERROR(SMALL(IF(LEFT('SoP 1'!$E$84:$E$85,4)="Rent",ROW('SoP 1'!$E$84:$E$85),""),AG474)-(ROW('SoP 1'!$D$83)),"")</f>
        <v/>
      </c>
      <c r="AJ474" s="519" t="str" cm="1">
        <f t="array" ref="AJ474">IF($AI474="","",INDEX('SoP 1'!$D$84:$P$85,'Internal Ref'!$AI474,13))</f>
        <v/>
      </c>
      <c r="AK474" s="519" t="str" cm="1">
        <f t="array" ref="AK474">IF($AI474="","",IF(INDEX('SoP 1'!$D$84:$P$85,'Internal Ref'!$AI474,10)="","",INDEX('SoP 1'!$D$84:$P$85,'Internal Ref'!$AI474,10)))</f>
        <v/>
      </c>
      <c r="AL474" s="519" t="str" cm="1">
        <f t="array" ref="AL474">IF($AI474="","",INDEX('SoP 1'!$D$84:$P$85,'Internal Ref'!$AI474,2))</f>
        <v/>
      </c>
      <c r="AM474" s="519" t="str" cm="1">
        <f t="array" ref="AM474">IF($AI474="","",INDEX('SoP 1'!$D$84:$P$85,'Internal Ref'!$AI474,6))</f>
        <v/>
      </c>
      <c r="AN474" s="519" t="str">
        <f t="shared" si="39"/>
        <v/>
      </c>
      <c r="AO474" s="519" t="str" cm="1">
        <f t="array" ref="AO474">IF($AI474="","",INDEX('SoP 1'!$D$84:$P$85,'Internal Ref'!$AI474,1))</f>
        <v/>
      </c>
      <c r="AP474" s="519" t="str">
        <f t="shared" si="40"/>
        <v/>
      </c>
      <c r="AQ474" s="519" t="str" cm="1">
        <f t="array" ref="AQ474">IF($AI474="","",INDEX('SoP 1'!$D$84:$P$85,'Internal Ref'!$AI474,4))</f>
        <v/>
      </c>
      <c r="AR474" s="519" t="str" cm="1">
        <f t="array" ref="AR474">IF($AI474="","",INDEX('SoP 1'!$D$84:$P$85,'Internal Ref'!$AI474,5))</f>
        <v/>
      </c>
      <c r="AS474" s="519" t="str" cm="1">
        <f t="array" ref="AS474">IF($AI474="","",INDEX('SoP 1'!$D$84:$P$85,'Internal Ref'!$AI474,7))</f>
        <v/>
      </c>
      <c r="AT474" s="515"/>
      <c r="AW474" s="519">
        <v>14</v>
      </c>
      <c r="AX474" s="519" t="str">
        <f t="shared" si="41"/>
        <v/>
      </c>
      <c r="AY474" s="519" t="str" cm="1">
        <f t="array" ref="AY474">IFERROR(SMALL(IF(LEFT('SoP 3'!$E$48:$E$49,4)="Rent",ROW('SoP 3'!$E$48:$E$49),""),AW474)-(ROW('SoP 3'!$D$47)),"")</f>
        <v/>
      </c>
      <c r="AZ474" s="519" t="str" cm="1">
        <f t="array" ref="AZ474">IF($AY474="","",INDEX('SoP 3'!$D$48:$P$49,$AY474,13))</f>
        <v/>
      </c>
      <c r="BA474" s="519" t="str" cm="1">
        <f t="array" ref="BA474">IF($AY474="","",IF(INDEX('SoP 3'!$D$48:$P$49,$AY474,10)="","",INDEX('SoP 3'!$D$48:$P$49,$AY474,10)))</f>
        <v/>
      </c>
      <c r="BB474" s="519" t="str" cm="1">
        <f t="array" ref="BB474">IF($AY474="","",INDEX('SoP 3'!$D$48:$P$49,$AY474,2))</f>
        <v/>
      </c>
      <c r="BC474" s="519" t="str" cm="1">
        <f t="array" ref="BC474">IF($AY474="","",INDEX('SoP 3'!$D$48:$P$49,$AY474,6))</f>
        <v/>
      </c>
      <c r="BD474" s="519" t="str">
        <f t="shared" si="42"/>
        <v/>
      </c>
      <c r="BE474" s="519" t="str" cm="1">
        <f t="array" ref="BE474">IF($AY474="","",INDEX('SoP 3'!$D$48:$P$49,$AY474,1))</f>
        <v/>
      </c>
      <c r="BF474" s="519" t="str">
        <f t="shared" si="43"/>
        <v/>
      </c>
      <c r="BG474" s="519" t="str" cm="1">
        <f t="array" ref="BG474">IF($AY474="","",INDEX('SoP 3'!$D$48:$P$49,$AY474,4))</f>
        <v/>
      </c>
      <c r="BH474" s="519" t="str" cm="1">
        <f t="array" ref="BH474">IF($AY474="","",INDEX('SoP 3'!$D$48:$P$49,$AY474,5))</f>
        <v/>
      </c>
      <c r="BI474" s="519" t="str" cm="1">
        <f t="array" ref="BI474">IF($AY474="","",INDEX('SoP 3'!$D$48:$P$49,$AY474,7))</f>
        <v/>
      </c>
      <c r="BJ474" s="515"/>
    </row>
    <row r="475" spans="1:62">
      <c r="A475" s="519">
        <v>15</v>
      </c>
      <c r="B475" s="519" t="str">
        <f t="shared" si="33"/>
        <v/>
      </c>
      <c r="C475" s="519" t="str" cm="1">
        <f t="array" ref="C475">IFERROR(SMALL(IF(LEFT('SoP 4'!$E$48:$E$49,4)="Rent",ROW('SoP 4'!$E$48:$E$49),""),A475)-(ROW('SoP 4'!$D$47)),"")</f>
        <v/>
      </c>
      <c r="D475" s="519" t="str" cm="1">
        <f t="array" ref="D475">IF($C475="","",INDEX('SoP 4'!$D$48:$P$49,'Internal Ref'!$C475,13))</f>
        <v/>
      </c>
      <c r="E475" s="519" t="str" cm="1">
        <f t="array" ref="E475">IF($C475="","",IF(INDEX('SoP 4'!$D$48:$P$49,'Internal Ref'!$C475,10)="","",INDEX('SoP 4'!$D$48:$P$49,'Internal Ref'!$C475,10)))</f>
        <v/>
      </c>
      <c r="F475" s="519" t="str" cm="1">
        <f t="array" ref="F475">IF($C475="","",INDEX('SoP 4'!$D$48:$P$49,'Internal Ref'!$C475,2))</f>
        <v/>
      </c>
      <c r="G475" s="519" t="str" cm="1">
        <f t="array" ref="G475">IF($C475="","",INDEX('SoP 4'!$D$48:$P$49,'Internal Ref'!$C475,6))</f>
        <v/>
      </c>
      <c r="H475" s="519" t="str">
        <f t="shared" si="44"/>
        <v/>
      </c>
      <c r="I475" s="519" t="str" cm="1">
        <f t="array" ref="I475">IF($C475="","",INDEX('SoP 4'!$D$48:$P$49,'Internal Ref'!$C475,1))</f>
        <v/>
      </c>
      <c r="J475" s="519" t="str">
        <f t="shared" si="34"/>
        <v/>
      </c>
      <c r="K475" s="519" t="str" cm="1">
        <f t="array" ref="K475">IF($C475="","",INDEX('SoP 4'!$D$48:$P$49,'Internal Ref'!$C475,4))</f>
        <v/>
      </c>
      <c r="L475" s="519" t="str" cm="1">
        <f t="array" ref="L475">IF($C475="","",INDEX('SoP 4'!$D$48:$P$49,'Internal Ref'!$C475,5))</f>
        <v/>
      </c>
      <c r="M475" s="519" t="str" cm="1">
        <f t="array" ref="M475">IF($C475="","",INDEX('SoP 4'!$D$48:$P$49,'Internal Ref'!$C475,7))</f>
        <v/>
      </c>
      <c r="Q475" s="519">
        <v>15</v>
      </c>
      <c r="R475" s="519" t="str">
        <f t="shared" si="35"/>
        <v/>
      </c>
      <c r="S475" s="519" t="str" cm="1">
        <f t="array" ref="S475">IFERROR(SMALL(IF(LEFT('SoP 2'!$E$48:$E$49,4)="Rent",ROW('SoP 2'!$E$48:$E$49),""),Q475)-(ROW('SoP 2'!$D$47)),"")</f>
        <v/>
      </c>
      <c r="T475" s="519" t="str" cm="1">
        <f t="array" ref="T475">IF($S475="","",INDEX('SoP 2'!$D$48:$P$49,'Internal Ref'!$S475,13))</f>
        <v/>
      </c>
      <c r="U475" s="519" t="str" cm="1">
        <f t="array" ref="U475">IF($S475="","",IF(INDEX('SoP 2'!$D$48:$P$49,'Internal Ref'!$S475,10)="","",INDEX('SoP 2'!$D$48:$P$49,'Internal Ref'!$S475,10)))</f>
        <v/>
      </c>
      <c r="V475" s="519" t="str" cm="1">
        <f t="array" ref="V475">IF($S475="","",INDEX('SoP 2'!$D$48:$P$49,'Internal Ref'!$S475,2))</f>
        <v/>
      </c>
      <c r="W475" s="519" t="str" cm="1">
        <f t="array" ref="W475">IF($S475="","",INDEX('SoP 2'!$D$48:$P$49,'Internal Ref'!$S475,6))</f>
        <v/>
      </c>
      <c r="X475" s="519" t="str">
        <f t="shared" si="36"/>
        <v/>
      </c>
      <c r="Y475" s="519" t="str" cm="1">
        <f t="array" ref="Y475">IF($S475="","",INDEX('SoP 2'!$D$48:$P$49,'Internal Ref'!$S475,1))</f>
        <v/>
      </c>
      <c r="Z475" s="519" t="str">
        <f t="shared" si="37"/>
        <v/>
      </c>
      <c r="AA475" s="519" t="str" cm="1">
        <f t="array" ref="AA475">IF($S475="","",INDEX('SoP 2'!$D$48:$P$49,'Internal Ref'!$S475,4))</f>
        <v/>
      </c>
      <c r="AB475" s="519" t="str" cm="1">
        <f t="array" ref="AB475">IF($S475="","",INDEX('SoP 2'!$D$48:$P$49,'Internal Ref'!$S475,5))</f>
        <v/>
      </c>
      <c r="AC475" s="519" t="str" cm="1">
        <f t="array" ref="AC475">IF($S475="","",INDEX('SoP 2'!$D$48:$P$49,'Internal Ref'!$S475,7))</f>
        <v/>
      </c>
      <c r="AG475" s="519">
        <v>15</v>
      </c>
      <c r="AH475" s="519" t="str">
        <f t="shared" si="38"/>
        <v/>
      </c>
      <c r="AI475" s="519" t="str" cm="1">
        <f t="array" ref="AI475">IFERROR(SMALL(IF(LEFT('SoP 1'!$E$84:$E$85,4)="Rent",ROW('SoP 1'!$E$84:$E$85),""),AG475)-(ROW('SoP 1'!$D$83)),"")</f>
        <v/>
      </c>
      <c r="AJ475" s="519" t="str" cm="1">
        <f t="array" ref="AJ475">IF($AI475="","",INDEX('SoP 1'!$D$84:$P$85,'Internal Ref'!$AI475,13))</f>
        <v/>
      </c>
      <c r="AK475" s="519" t="str" cm="1">
        <f t="array" ref="AK475">IF($AI475="","",IF(INDEX('SoP 1'!$D$84:$P$85,'Internal Ref'!$AI475,10)="","",INDEX('SoP 1'!$D$84:$P$85,'Internal Ref'!$AI475,10)))</f>
        <v/>
      </c>
      <c r="AL475" s="519" t="str" cm="1">
        <f t="array" ref="AL475">IF($AI475="","",INDEX('SoP 1'!$D$84:$P$85,'Internal Ref'!$AI475,2))</f>
        <v/>
      </c>
      <c r="AM475" s="519" t="str" cm="1">
        <f t="array" ref="AM475">IF($AI475="","",INDEX('SoP 1'!$D$84:$P$85,'Internal Ref'!$AI475,6))</f>
        <v/>
      </c>
      <c r="AN475" s="519" t="str">
        <f t="shared" si="39"/>
        <v/>
      </c>
      <c r="AO475" s="519" t="str" cm="1">
        <f t="array" ref="AO475">IF($AI475="","",INDEX('SoP 1'!$D$84:$P$85,'Internal Ref'!$AI475,1))</f>
        <v/>
      </c>
      <c r="AP475" s="519" t="str">
        <f t="shared" si="40"/>
        <v/>
      </c>
      <c r="AQ475" s="519" t="str" cm="1">
        <f t="array" ref="AQ475">IF($AI475="","",INDEX('SoP 1'!$D$84:$P$85,'Internal Ref'!$AI475,4))</f>
        <v/>
      </c>
      <c r="AR475" s="519" t="str" cm="1">
        <f t="array" ref="AR475">IF($AI475="","",INDEX('SoP 1'!$D$84:$P$85,'Internal Ref'!$AI475,5))</f>
        <v/>
      </c>
      <c r="AS475" s="519" t="str" cm="1">
        <f t="array" ref="AS475">IF($AI475="","",INDEX('SoP 1'!$D$84:$P$85,'Internal Ref'!$AI475,7))</f>
        <v/>
      </c>
      <c r="AT475" s="515"/>
      <c r="AW475" s="519">
        <v>15</v>
      </c>
      <c r="AX475" s="519" t="str">
        <f t="shared" si="41"/>
        <v/>
      </c>
      <c r="AY475" s="519" t="str" cm="1">
        <f t="array" ref="AY475">IFERROR(SMALL(IF(LEFT('SoP 3'!$E$48:$E$49,4)="Rent",ROW('SoP 3'!$E$48:$E$49),""),AW475)-(ROW('SoP 3'!$D$47)),"")</f>
        <v/>
      </c>
      <c r="AZ475" s="519" t="str" cm="1">
        <f t="array" ref="AZ475">IF($AY475="","",INDEX('SoP 3'!$D$48:$P$49,$AY475,13))</f>
        <v/>
      </c>
      <c r="BA475" s="519" t="str" cm="1">
        <f t="array" ref="BA475">IF($AY475="","",IF(INDEX('SoP 3'!$D$48:$P$49,$AY475,10)="","",INDEX('SoP 3'!$D$48:$P$49,$AY475,10)))</f>
        <v/>
      </c>
      <c r="BB475" s="519" t="str" cm="1">
        <f t="array" ref="BB475">IF($AY475="","",INDEX('SoP 3'!$D$48:$P$49,$AY475,2))</f>
        <v/>
      </c>
      <c r="BC475" s="519" t="str" cm="1">
        <f t="array" ref="BC475">IF($AY475="","",INDEX('SoP 3'!$D$48:$P$49,$AY475,6))</f>
        <v/>
      </c>
      <c r="BD475" s="519" t="str">
        <f t="shared" si="42"/>
        <v/>
      </c>
      <c r="BE475" s="519" t="str" cm="1">
        <f t="array" ref="BE475">IF($AY475="","",INDEX('SoP 3'!$D$48:$P$49,$AY475,1))</f>
        <v/>
      </c>
      <c r="BF475" s="519" t="str">
        <f t="shared" si="43"/>
        <v/>
      </c>
      <c r="BG475" s="519" t="str" cm="1">
        <f t="array" ref="BG475">IF($AY475="","",INDEX('SoP 3'!$D$48:$P$49,$AY475,4))</f>
        <v/>
      </c>
      <c r="BH475" s="519" t="str" cm="1">
        <f t="array" ref="BH475">IF($AY475="","",INDEX('SoP 3'!$D$48:$P$49,$AY475,5))</f>
        <v/>
      </c>
      <c r="BI475" s="519" t="str" cm="1">
        <f t="array" ref="BI475">IF($AY475="","",INDEX('SoP 3'!$D$48:$P$49,$AY475,7))</f>
        <v/>
      </c>
      <c r="BJ475" s="515"/>
    </row>
    <row r="476" spans="1:62">
      <c r="A476" s="519">
        <v>16</v>
      </c>
      <c r="B476" s="519" t="str">
        <f t="shared" si="33"/>
        <v/>
      </c>
      <c r="C476" s="519" t="str" cm="1">
        <f t="array" ref="C476">IFERROR(SMALL(IF(LEFT('SoP 4'!$E$48:$E$49,4)="Rent",ROW('SoP 4'!$E$48:$E$49),""),A476)-(ROW('SoP 4'!$D$47)),"")</f>
        <v/>
      </c>
      <c r="D476" s="519" t="str" cm="1">
        <f t="array" ref="D476">IF($C476="","",INDEX('SoP 4'!$D$48:$P$49,'Internal Ref'!$C476,13))</f>
        <v/>
      </c>
      <c r="E476" s="519" t="str" cm="1">
        <f t="array" ref="E476">IF($C476="","",IF(INDEX('SoP 4'!$D$48:$P$49,'Internal Ref'!$C476,10)="","",INDEX('SoP 4'!$D$48:$P$49,'Internal Ref'!$C476,10)))</f>
        <v/>
      </c>
      <c r="F476" s="519" t="str" cm="1">
        <f t="array" ref="F476">IF($C476="","",INDEX('SoP 4'!$D$48:$P$49,'Internal Ref'!$C476,2))</f>
        <v/>
      </c>
      <c r="G476" s="519" t="str" cm="1">
        <f t="array" ref="G476">IF($C476="","",INDEX('SoP 4'!$D$48:$P$49,'Internal Ref'!$C476,6))</f>
        <v/>
      </c>
      <c r="H476" s="519" t="str">
        <f t="shared" si="44"/>
        <v/>
      </c>
      <c r="I476" s="519" t="str" cm="1">
        <f t="array" ref="I476">IF($C476="","",INDEX('SoP 4'!$D$48:$P$49,'Internal Ref'!$C476,1))</f>
        <v/>
      </c>
      <c r="J476" s="519" t="str">
        <f t="shared" si="34"/>
        <v/>
      </c>
      <c r="K476" s="519" t="str" cm="1">
        <f t="array" ref="K476">IF($C476="","",INDEX('SoP 4'!$D$48:$P$49,'Internal Ref'!$C476,4))</f>
        <v/>
      </c>
      <c r="L476" s="519" t="str" cm="1">
        <f t="array" ref="L476">IF($C476="","",INDEX('SoP 4'!$D$48:$P$49,'Internal Ref'!$C476,5))</f>
        <v/>
      </c>
      <c r="M476" s="519" t="str" cm="1">
        <f t="array" ref="M476">IF($C476="","",INDEX('SoP 4'!$D$48:$P$49,'Internal Ref'!$C476,7))</f>
        <v/>
      </c>
      <c r="Q476" s="519">
        <v>16</v>
      </c>
      <c r="R476" s="519" t="str">
        <f t="shared" si="35"/>
        <v/>
      </c>
      <c r="S476" s="519" t="str" cm="1">
        <f t="array" ref="S476">IFERROR(SMALL(IF(LEFT('SoP 2'!$E$48:$E$49,4)="Rent",ROW('SoP 2'!$E$48:$E$49),""),Q476)-(ROW('SoP 2'!$D$47)),"")</f>
        <v/>
      </c>
      <c r="T476" s="519" t="str" cm="1">
        <f t="array" ref="T476">IF($S476="","",INDEX('SoP 2'!$D$48:$P$49,'Internal Ref'!$S476,13))</f>
        <v/>
      </c>
      <c r="U476" s="519" t="str" cm="1">
        <f t="array" ref="U476">IF($S476="","",IF(INDEX('SoP 2'!$D$48:$P$49,'Internal Ref'!$S476,10)="","",INDEX('SoP 2'!$D$48:$P$49,'Internal Ref'!$S476,10)))</f>
        <v/>
      </c>
      <c r="V476" s="519" t="str" cm="1">
        <f t="array" ref="V476">IF($S476="","",INDEX('SoP 2'!$D$48:$P$49,'Internal Ref'!$S476,2))</f>
        <v/>
      </c>
      <c r="W476" s="519" t="str" cm="1">
        <f t="array" ref="W476">IF($S476="","",INDEX('SoP 2'!$D$48:$P$49,'Internal Ref'!$S476,6))</f>
        <v/>
      </c>
      <c r="X476" s="519" t="str">
        <f t="shared" si="36"/>
        <v/>
      </c>
      <c r="Y476" s="519" t="str" cm="1">
        <f t="array" ref="Y476">IF($S476="","",INDEX('SoP 2'!$D$48:$P$49,'Internal Ref'!$S476,1))</f>
        <v/>
      </c>
      <c r="Z476" s="519" t="str">
        <f t="shared" si="37"/>
        <v/>
      </c>
      <c r="AA476" s="519" t="str" cm="1">
        <f t="array" ref="AA476">IF($S476="","",INDEX('SoP 2'!$D$48:$P$49,'Internal Ref'!$S476,4))</f>
        <v/>
      </c>
      <c r="AB476" s="519" t="str" cm="1">
        <f t="array" ref="AB476">IF($S476="","",INDEX('SoP 2'!$D$48:$P$49,'Internal Ref'!$S476,5))</f>
        <v/>
      </c>
      <c r="AC476" s="519" t="str" cm="1">
        <f t="array" ref="AC476">IF($S476="","",INDEX('SoP 2'!$D$48:$P$49,'Internal Ref'!$S476,7))</f>
        <v/>
      </c>
      <c r="AG476" s="519">
        <v>16</v>
      </c>
      <c r="AH476" s="519" t="str">
        <f t="shared" si="38"/>
        <v/>
      </c>
      <c r="AI476" s="519" t="str" cm="1">
        <f t="array" ref="AI476">IFERROR(SMALL(IF(LEFT('SoP 1'!$E$84:$E$85,4)="Rent",ROW('SoP 1'!$E$84:$E$85),""),AG476)-(ROW('SoP 1'!$D$83)),"")</f>
        <v/>
      </c>
      <c r="AJ476" s="519" t="str" cm="1">
        <f t="array" ref="AJ476">IF($AI476="","",INDEX('SoP 1'!$D$84:$P$85,'Internal Ref'!$AI476,13))</f>
        <v/>
      </c>
      <c r="AK476" s="519" t="str" cm="1">
        <f t="array" ref="AK476">IF($AI476="","",IF(INDEX('SoP 1'!$D$84:$P$85,'Internal Ref'!$AI476,10)="","",INDEX('SoP 1'!$D$84:$P$85,'Internal Ref'!$AI476,10)))</f>
        <v/>
      </c>
      <c r="AL476" s="519" t="str" cm="1">
        <f t="array" ref="AL476">IF($AI476="","",INDEX('SoP 1'!$D$84:$P$85,'Internal Ref'!$AI476,2))</f>
        <v/>
      </c>
      <c r="AM476" s="519" t="str" cm="1">
        <f t="array" ref="AM476">IF($AI476="","",INDEX('SoP 1'!$D$84:$P$85,'Internal Ref'!$AI476,6))</f>
        <v/>
      </c>
      <c r="AN476" s="519" t="str">
        <f t="shared" si="39"/>
        <v/>
      </c>
      <c r="AO476" s="519" t="str" cm="1">
        <f t="array" ref="AO476">IF($AI476="","",INDEX('SoP 1'!$D$84:$P$85,'Internal Ref'!$AI476,1))</f>
        <v/>
      </c>
      <c r="AP476" s="519" t="str">
        <f t="shared" si="40"/>
        <v/>
      </c>
      <c r="AQ476" s="519" t="str" cm="1">
        <f t="array" ref="AQ476">IF($AI476="","",INDEX('SoP 1'!$D$84:$P$85,'Internal Ref'!$AI476,4))</f>
        <v/>
      </c>
      <c r="AR476" s="519" t="str" cm="1">
        <f t="array" ref="AR476">IF($AI476="","",INDEX('SoP 1'!$D$84:$P$85,'Internal Ref'!$AI476,5))</f>
        <v/>
      </c>
      <c r="AS476" s="519" t="str" cm="1">
        <f t="array" ref="AS476">IF($AI476="","",INDEX('SoP 1'!$D$84:$P$85,'Internal Ref'!$AI476,7))</f>
        <v/>
      </c>
      <c r="AT476" s="515"/>
      <c r="AW476" s="519">
        <v>16</v>
      </c>
      <c r="AX476" s="519" t="str">
        <f t="shared" si="41"/>
        <v/>
      </c>
      <c r="AY476" s="519" t="str" cm="1">
        <f t="array" ref="AY476">IFERROR(SMALL(IF(LEFT('SoP 3'!$E$48:$E$49,4)="Rent",ROW('SoP 3'!$E$48:$E$49),""),AW476)-(ROW('SoP 3'!$D$47)),"")</f>
        <v/>
      </c>
      <c r="AZ476" s="519" t="str" cm="1">
        <f t="array" ref="AZ476">IF($AY476="","",INDEX('SoP 3'!$D$48:$P$49,$AY476,13))</f>
        <v/>
      </c>
      <c r="BA476" s="519" t="str" cm="1">
        <f t="array" ref="BA476">IF($AY476="","",IF(INDEX('SoP 3'!$D$48:$P$49,$AY476,10)="","",INDEX('SoP 3'!$D$48:$P$49,$AY476,10)))</f>
        <v/>
      </c>
      <c r="BB476" s="519" t="str" cm="1">
        <f t="array" ref="BB476">IF($AY476="","",INDEX('SoP 3'!$D$48:$P$49,$AY476,2))</f>
        <v/>
      </c>
      <c r="BC476" s="519" t="str" cm="1">
        <f t="array" ref="BC476">IF($AY476="","",INDEX('SoP 3'!$D$48:$P$49,$AY476,6))</f>
        <v/>
      </c>
      <c r="BD476" s="519" t="str">
        <f t="shared" si="42"/>
        <v/>
      </c>
      <c r="BE476" s="519" t="str" cm="1">
        <f t="array" ref="BE476">IF($AY476="","",INDEX('SoP 3'!$D$48:$P$49,$AY476,1))</f>
        <v/>
      </c>
      <c r="BF476" s="519" t="str">
        <f t="shared" si="43"/>
        <v/>
      </c>
      <c r="BG476" s="519" t="str" cm="1">
        <f t="array" ref="BG476">IF($AY476="","",INDEX('SoP 3'!$D$48:$P$49,$AY476,4))</f>
        <v/>
      </c>
      <c r="BH476" s="519" t="str" cm="1">
        <f t="array" ref="BH476">IF($AY476="","",INDEX('SoP 3'!$D$48:$P$49,$AY476,5))</f>
        <v/>
      </c>
      <c r="BI476" s="519" t="str" cm="1">
        <f t="array" ref="BI476">IF($AY476="","",INDEX('SoP 3'!$D$48:$P$49,$AY476,7))</f>
        <v/>
      </c>
      <c r="BJ476" s="515"/>
    </row>
    <row r="477" spans="1:62">
      <c r="A477" s="519">
        <v>17</v>
      </c>
      <c r="B477" s="519" t="str">
        <f t="shared" si="33"/>
        <v/>
      </c>
      <c r="C477" s="519" t="str" cm="1">
        <f t="array" ref="C477">IFERROR(SMALL(IF(LEFT('SoP 4'!$E$48:$E$49,4)="Rent",ROW('SoP 4'!$E$48:$E$49),""),A477)-(ROW('SoP 4'!$D$47)),"")</f>
        <v/>
      </c>
      <c r="D477" s="519" t="str" cm="1">
        <f t="array" ref="D477">IF($C477="","",INDEX('SoP 4'!$D$48:$P$49,'Internal Ref'!$C477,13))</f>
        <v/>
      </c>
      <c r="E477" s="519" t="str" cm="1">
        <f t="array" ref="E477">IF($C477="","",IF(INDEX('SoP 4'!$D$48:$P$49,'Internal Ref'!$C477,10)="","",INDEX('SoP 4'!$D$48:$P$49,'Internal Ref'!$C477,10)))</f>
        <v/>
      </c>
      <c r="F477" s="519" t="str" cm="1">
        <f t="array" ref="F477">IF($C477="","",INDEX('SoP 4'!$D$48:$P$49,'Internal Ref'!$C477,2))</f>
        <v/>
      </c>
      <c r="G477" s="519" t="str" cm="1">
        <f t="array" ref="G477">IF($C477="","",INDEX('SoP 4'!$D$48:$P$49,'Internal Ref'!$C477,6))</f>
        <v/>
      </c>
      <c r="H477" s="519" t="str">
        <f t="shared" si="44"/>
        <v/>
      </c>
      <c r="I477" s="519" t="str" cm="1">
        <f t="array" ref="I477">IF($C477="","",INDEX('SoP 4'!$D$48:$P$49,'Internal Ref'!$C477,1))</f>
        <v/>
      </c>
      <c r="J477" s="519" t="str">
        <f t="shared" si="34"/>
        <v/>
      </c>
      <c r="K477" s="519" t="str" cm="1">
        <f t="array" ref="K477">IF($C477="","",INDEX('SoP 4'!$D$48:$P$49,'Internal Ref'!$C477,4))</f>
        <v/>
      </c>
      <c r="L477" s="519" t="str" cm="1">
        <f t="array" ref="L477">IF($C477="","",INDEX('SoP 4'!$D$48:$P$49,'Internal Ref'!$C477,5))</f>
        <v/>
      </c>
      <c r="M477" s="519" t="str" cm="1">
        <f t="array" ref="M477">IF($C477="","",INDEX('SoP 4'!$D$48:$P$49,'Internal Ref'!$C477,7))</f>
        <v/>
      </c>
      <c r="Q477" s="519">
        <v>17</v>
      </c>
      <c r="R477" s="519" t="str">
        <f t="shared" si="35"/>
        <v/>
      </c>
      <c r="S477" s="519" t="str" cm="1">
        <f t="array" ref="S477">IFERROR(SMALL(IF(LEFT('SoP 2'!$E$48:$E$49,4)="Rent",ROW('SoP 2'!$E$48:$E$49),""),Q477)-(ROW('SoP 2'!$D$47)),"")</f>
        <v/>
      </c>
      <c r="T477" s="519" t="str" cm="1">
        <f t="array" ref="T477">IF($S477="","",INDEX('SoP 2'!$D$48:$P$49,'Internal Ref'!$S477,13))</f>
        <v/>
      </c>
      <c r="U477" s="519" t="str" cm="1">
        <f t="array" ref="U477">IF($S477="","",IF(INDEX('SoP 2'!$D$48:$P$49,'Internal Ref'!$S477,10)="","",INDEX('SoP 2'!$D$48:$P$49,'Internal Ref'!$S477,10)))</f>
        <v/>
      </c>
      <c r="V477" s="519" t="str" cm="1">
        <f t="array" ref="V477">IF($S477="","",INDEX('SoP 2'!$D$48:$P$49,'Internal Ref'!$S477,2))</f>
        <v/>
      </c>
      <c r="W477" s="519" t="str" cm="1">
        <f t="array" ref="W477">IF($S477="","",INDEX('SoP 2'!$D$48:$P$49,'Internal Ref'!$S477,6))</f>
        <v/>
      </c>
      <c r="X477" s="519" t="str">
        <f t="shared" si="36"/>
        <v/>
      </c>
      <c r="Y477" s="519" t="str" cm="1">
        <f t="array" ref="Y477">IF($S477="","",INDEX('SoP 2'!$D$48:$P$49,'Internal Ref'!$S477,1))</f>
        <v/>
      </c>
      <c r="Z477" s="519" t="str">
        <f t="shared" si="37"/>
        <v/>
      </c>
      <c r="AA477" s="519" t="str" cm="1">
        <f t="array" ref="AA477">IF($S477="","",INDEX('SoP 2'!$D$48:$P$49,'Internal Ref'!$S477,4))</f>
        <v/>
      </c>
      <c r="AB477" s="519" t="str" cm="1">
        <f t="array" ref="AB477">IF($S477="","",INDEX('SoP 2'!$D$48:$P$49,'Internal Ref'!$S477,5))</f>
        <v/>
      </c>
      <c r="AC477" s="519" t="str" cm="1">
        <f t="array" ref="AC477">IF($S477="","",INDEX('SoP 2'!$D$48:$P$49,'Internal Ref'!$S477,7))</f>
        <v/>
      </c>
      <c r="AG477" s="519">
        <v>17</v>
      </c>
      <c r="AH477" s="519" t="str">
        <f t="shared" si="38"/>
        <v/>
      </c>
      <c r="AI477" s="519" t="str" cm="1">
        <f t="array" ref="AI477">IFERROR(SMALL(IF(LEFT('SoP 1'!$E$84:$E$85,4)="Rent",ROW('SoP 1'!$E$84:$E$85),""),AG477)-(ROW('SoP 1'!$D$83)),"")</f>
        <v/>
      </c>
      <c r="AJ477" s="519" t="str" cm="1">
        <f t="array" ref="AJ477">IF($AI477="","",INDEX('SoP 1'!$D$84:$P$85,'Internal Ref'!$AI477,13))</f>
        <v/>
      </c>
      <c r="AK477" s="519" t="str" cm="1">
        <f t="array" ref="AK477">IF($AI477="","",IF(INDEX('SoP 1'!$D$84:$P$85,'Internal Ref'!$AI477,10)="","",INDEX('SoP 1'!$D$84:$P$85,'Internal Ref'!$AI477,10)))</f>
        <v/>
      </c>
      <c r="AL477" s="519" t="str" cm="1">
        <f t="array" ref="AL477">IF($AI477="","",INDEX('SoP 1'!$D$84:$P$85,'Internal Ref'!$AI477,2))</f>
        <v/>
      </c>
      <c r="AM477" s="519" t="str" cm="1">
        <f t="array" ref="AM477">IF($AI477="","",INDEX('SoP 1'!$D$84:$P$85,'Internal Ref'!$AI477,6))</f>
        <v/>
      </c>
      <c r="AN477" s="519" t="str">
        <f t="shared" si="39"/>
        <v/>
      </c>
      <c r="AO477" s="519" t="str" cm="1">
        <f t="array" ref="AO477">IF($AI477="","",INDEX('SoP 1'!$D$84:$P$85,'Internal Ref'!$AI477,1))</f>
        <v/>
      </c>
      <c r="AP477" s="519" t="str">
        <f t="shared" si="40"/>
        <v/>
      </c>
      <c r="AQ477" s="519" t="str" cm="1">
        <f t="array" ref="AQ477">IF($AI477="","",INDEX('SoP 1'!$D$84:$P$85,'Internal Ref'!$AI477,4))</f>
        <v/>
      </c>
      <c r="AR477" s="519" t="str" cm="1">
        <f t="array" ref="AR477">IF($AI477="","",INDEX('SoP 1'!$D$84:$P$85,'Internal Ref'!$AI477,5))</f>
        <v/>
      </c>
      <c r="AS477" s="519" t="str" cm="1">
        <f t="array" ref="AS477">IF($AI477="","",INDEX('SoP 1'!$D$84:$P$85,'Internal Ref'!$AI477,7))</f>
        <v/>
      </c>
      <c r="AT477" s="515"/>
      <c r="AW477" s="519">
        <v>17</v>
      </c>
      <c r="AX477" s="519" t="str">
        <f t="shared" si="41"/>
        <v/>
      </c>
      <c r="AY477" s="519" t="str" cm="1">
        <f t="array" ref="AY477">IFERROR(SMALL(IF(LEFT('SoP 3'!$E$48:$E$49,4)="Rent",ROW('SoP 3'!$E$48:$E$49),""),AW477)-(ROW('SoP 3'!$D$47)),"")</f>
        <v/>
      </c>
      <c r="AZ477" s="519" t="str" cm="1">
        <f t="array" ref="AZ477">IF($AY477="","",INDEX('SoP 3'!$D$48:$P$49,$AY477,13))</f>
        <v/>
      </c>
      <c r="BA477" s="519" t="str" cm="1">
        <f t="array" ref="BA477">IF($AY477="","",IF(INDEX('SoP 3'!$D$48:$P$49,$AY477,10)="","",INDEX('SoP 3'!$D$48:$P$49,$AY477,10)))</f>
        <v/>
      </c>
      <c r="BB477" s="519" t="str" cm="1">
        <f t="array" ref="BB477">IF($AY477="","",INDEX('SoP 3'!$D$48:$P$49,$AY477,2))</f>
        <v/>
      </c>
      <c r="BC477" s="519" t="str" cm="1">
        <f t="array" ref="BC477">IF($AY477="","",INDEX('SoP 3'!$D$48:$P$49,$AY477,6))</f>
        <v/>
      </c>
      <c r="BD477" s="519" t="str">
        <f t="shared" si="42"/>
        <v/>
      </c>
      <c r="BE477" s="519" t="str" cm="1">
        <f t="array" ref="BE477">IF($AY477="","",INDEX('SoP 3'!$D$48:$P$49,$AY477,1))</f>
        <v/>
      </c>
      <c r="BF477" s="519" t="str">
        <f t="shared" si="43"/>
        <v/>
      </c>
      <c r="BG477" s="519" t="str" cm="1">
        <f t="array" ref="BG477">IF($AY477="","",INDEX('SoP 3'!$D$48:$P$49,$AY477,4))</f>
        <v/>
      </c>
      <c r="BH477" s="519" t="str" cm="1">
        <f t="array" ref="BH477">IF($AY477="","",INDEX('SoP 3'!$D$48:$P$49,$AY477,5))</f>
        <v/>
      </c>
      <c r="BI477" s="519" t="str" cm="1">
        <f t="array" ref="BI477">IF($AY477="","",INDEX('SoP 3'!$D$48:$P$49,$AY477,7))</f>
        <v/>
      </c>
      <c r="BJ477" s="515"/>
    </row>
    <row r="478" spans="1:62">
      <c r="A478" s="519">
        <v>18</v>
      </c>
      <c r="B478" s="519" t="str">
        <f t="shared" si="33"/>
        <v/>
      </c>
      <c r="C478" s="519" t="str" cm="1">
        <f t="array" ref="C478">IFERROR(SMALL(IF(LEFT('SoP 4'!$E$48:$E$49,4)="Rent",ROW('SoP 4'!$E$48:$E$49),""),A478)-(ROW('SoP 4'!$D$47)),"")</f>
        <v/>
      </c>
      <c r="D478" s="519" t="str" cm="1">
        <f t="array" ref="D478">IF($C478="","",INDEX('SoP 4'!$D$48:$P$49,'Internal Ref'!$C478,13))</f>
        <v/>
      </c>
      <c r="E478" s="519" t="str" cm="1">
        <f t="array" ref="E478">IF($C478="","",IF(INDEX('SoP 4'!$D$48:$P$49,'Internal Ref'!$C478,10)="","",INDEX('SoP 4'!$D$48:$P$49,'Internal Ref'!$C478,10)))</f>
        <v/>
      </c>
      <c r="F478" s="519" t="str" cm="1">
        <f t="array" ref="F478">IF($C478="","",INDEX('SoP 4'!$D$48:$P$49,'Internal Ref'!$C478,2))</f>
        <v/>
      </c>
      <c r="G478" s="519" t="str" cm="1">
        <f t="array" ref="G478">IF($C478="","",INDEX('SoP 4'!$D$48:$P$49,'Internal Ref'!$C478,6))</f>
        <v/>
      </c>
      <c r="H478" s="519" t="str">
        <f t="shared" si="44"/>
        <v/>
      </c>
      <c r="I478" s="519" t="str" cm="1">
        <f t="array" ref="I478">IF($C478="","",INDEX('SoP 4'!$D$48:$P$49,'Internal Ref'!$C478,1))</f>
        <v/>
      </c>
      <c r="J478" s="519" t="str">
        <f t="shared" si="34"/>
        <v/>
      </c>
      <c r="K478" s="519" t="str" cm="1">
        <f t="array" ref="K478">IF($C478="","",INDEX('SoP 4'!$D$48:$P$49,'Internal Ref'!$C478,4))</f>
        <v/>
      </c>
      <c r="L478" s="519" t="str" cm="1">
        <f t="array" ref="L478">IF($C478="","",INDEX('SoP 4'!$D$48:$P$49,'Internal Ref'!$C478,5))</f>
        <v/>
      </c>
      <c r="M478" s="519" t="str" cm="1">
        <f t="array" ref="M478">IF($C478="","",INDEX('SoP 4'!$D$48:$P$49,'Internal Ref'!$C478,7))</f>
        <v/>
      </c>
      <c r="Q478" s="519">
        <v>18</v>
      </c>
      <c r="R478" s="519" t="str">
        <f t="shared" si="35"/>
        <v/>
      </c>
      <c r="S478" s="519" t="str" cm="1">
        <f t="array" ref="S478">IFERROR(SMALL(IF(LEFT('SoP 2'!$E$48:$E$49,4)="Rent",ROW('SoP 2'!$E$48:$E$49),""),Q478)-(ROW('SoP 2'!$D$47)),"")</f>
        <v/>
      </c>
      <c r="T478" s="519" t="str" cm="1">
        <f t="array" ref="T478">IF($S478="","",INDEX('SoP 2'!$D$48:$P$49,'Internal Ref'!$S478,13))</f>
        <v/>
      </c>
      <c r="U478" s="519" t="str" cm="1">
        <f t="array" ref="U478">IF($S478="","",IF(INDEX('SoP 2'!$D$48:$P$49,'Internal Ref'!$S478,10)="","",INDEX('SoP 2'!$D$48:$P$49,'Internal Ref'!$S478,10)))</f>
        <v/>
      </c>
      <c r="V478" s="519" t="str" cm="1">
        <f t="array" ref="V478">IF($S478="","",INDEX('SoP 2'!$D$48:$P$49,'Internal Ref'!$S478,2))</f>
        <v/>
      </c>
      <c r="W478" s="519" t="str" cm="1">
        <f t="array" ref="W478">IF($S478="","",INDEX('SoP 2'!$D$48:$P$49,'Internal Ref'!$S478,6))</f>
        <v/>
      </c>
      <c r="X478" s="519" t="str">
        <f t="shared" si="36"/>
        <v/>
      </c>
      <c r="Y478" s="519" t="str" cm="1">
        <f t="array" ref="Y478">IF($S478="","",INDEX('SoP 2'!$D$48:$P$49,'Internal Ref'!$S478,1))</f>
        <v/>
      </c>
      <c r="Z478" s="519" t="str">
        <f t="shared" si="37"/>
        <v/>
      </c>
      <c r="AA478" s="519" t="str" cm="1">
        <f t="array" ref="AA478">IF($S478="","",INDEX('SoP 2'!$D$48:$P$49,'Internal Ref'!$S478,4))</f>
        <v/>
      </c>
      <c r="AB478" s="519" t="str" cm="1">
        <f t="array" ref="AB478">IF($S478="","",INDEX('SoP 2'!$D$48:$P$49,'Internal Ref'!$S478,5))</f>
        <v/>
      </c>
      <c r="AC478" s="519" t="str" cm="1">
        <f t="array" ref="AC478">IF($S478="","",INDEX('SoP 2'!$D$48:$P$49,'Internal Ref'!$S478,7))</f>
        <v/>
      </c>
      <c r="AG478" s="519">
        <v>18</v>
      </c>
      <c r="AH478" s="519" t="str">
        <f t="shared" si="38"/>
        <v/>
      </c>
      <c r="AI478" s="519" t="str" cm="1">
        <f t="array" ref="AI478">IFERROR(SMALL(IF(LEFT('SoP 1'!$E$84:$E$85,4)="Rent",ROW('SoP 1'!$E$84:$E$85),""),AG478)-(ROW('SoP 1'!$D$83)),"")</f>
        <v/>
      </c>
      <c r="AJ478" s="519" t="str" cm="1">
        <f t="array" ref="AJ478">IF($AI478="","",INDEX('SoP 1'!$D$84:$P$85,'Internal Ref'!$AI478,13))</f>
        <v/>
      </c>
      <c r="AK478" s="519" t="str" cm="1">
        <f t="array" ref="AK478">IF($AI478="","",IF(INDEX('SoP 1'!$D$84:$P$85,'Internal Ref'!$AI478,10)="","",INDEX('SoP 1'!$D$84:$P$85,'Internal Ref'!$AI478,10)))</f>
        <v/>
      </c>
      <c r="AL478" s="519" t="str" cm="1">
        <f t="array" ref="AL478">IF($AI478="","",INDEX('SoP 1'!$D$84:$P$85,'Internal Ref'!$AI478,2))</f>
        <v/>
      </c>
      <c r="AM478" s="519" t="str" cm="1">
        <f t="array" ref="AM478">IF($AI478="","",INDEX('SoP 1'!$D$84:$P$85,'Internal Ref'!$AI478,6))</f>
        <v/>
      </c>
      <c r="AN478" s="519" t="str">
        <f t="shared" si="39"/>
        <v/>
      </c>
      <c r="AO478" s="519" t="str" cm="1">
        <f t="array" ref="AO478">IF($AI478="","",INDEX('SoP 1'!$D$84:$P$85,'Internal Ref'!$AI478,1))</f>
        <v/>
      </c>
      <c r="AP478" s="519" t="str">
        <f t="shared" si="40"/>
        <v/>
      </c>
      <c r="AQ478" s="519" t="str" cm="1">
        <f t="array" ref="AQ478">IF($AI478="","",INDEX('SoP 1'!$D$84:$P$85,'Internal Ref'!$AI478,4))</f>
        <v/>
      </c>
      <c r="AR478" s="519" t="str" cm="1">
        <f t="array" ref="AR478">IF($AI478="","",INDEX('SoP 1'!$D$84:$P$85,'Internal Ref'!$AI478,5))</f>
        <v/>
      </c>
      <c r="AS478" s="519" t="str" cm="1">
        <f t="array" ref="AS478">IF($AI478="","",INDEX('SoP 1'!$D$84:$P$85,'Internal Ref'!$AI478,7))</f>
        <v/>
      </c>
      <c r="AT478" s="515"/>
      <c r="AW478" s="519">
        <v>18</v>
      </c>
      <c r="AX478" s="519" t="str">
        <f t="shared" si="41"/>
        <v/>
      </c>
      <c r="AY478" s="519" t="str" cm="1">
        <f t="array" ref="AY478">IFERROR(SMALL(IF(LEFT('SoP 3'!$E$48:$E$49,4)="Rent",ROW('SoP 3'!$E$48:$E$49),""),AW478)-(ROW('SoP 3'!$D$47)),"")</f>
        <v/>
      </c>
      <c r="AZ478" s="519" t="str" cm="1">
        <f t="array" ref="AZ478">IF($AY478="","",INDEX('SoP 3'!$D$48:$P$49,$AY478,13))</f>
        <v/>
      </c>
      <c r="BA478" s="519" t="str" cm="1">
        <f t="array" ref="BA478">IF($AY478="","",IF(INDEX('SoP 3'!$D$48:$P$49,$AY478,10)="","",INDEX('SoP 3'!$D$48:$P$49,$AY478,10)))</f>
        <v/>
      </c>
      <c r="BB478" s="519" t="str" cm="1">
        <f t="array" ref="BB478">IF($AY478="","",INDEX('SoP 3'!$D$48:$P$49,$AY478,2))</f>
        <v/>
      </c>
      <c r="BC478" s="519" t="str" cm="1">
        <f t="array" ref="BC478">IF($AY478="","",INDEX('SoP 3'!$D$48:$P$49,$AY478,6))</f>
        <v/>
      </c>
      <c r="BD478" s="519" t="str">
        <f t="shared" si="42"/>
        <v/>
      </c>
      <c r="BE478" s="519" t="str" cm="1">
        <f t="array" ref="BE478">IF($AY478="","",INDEX('SoP 3'!$D$48:$P$49,$AY478,1))</f>
        <v/>
      </c>
      <c r="BF478" s="519" t="str">
        <f t="shared" si="43"/>
        <v/>
      </c>
      <c r="BG478" s="519" t="str" cm="1">
        <f t="array" ref="BG478">IF($AY478="","",INDEX('SoP 3'!$D$48:$P$49,$AY478,4))</f>
        <v/>
      </c>
      <c r="BH478" s="519" t="str" cm="1">
        <f t="array" ref="BH478">IF($AY478="","",INDEX('SoP 3'!$D$48:$P$49,$AY478,5))</f>
        <v/>
      </c>
      <c r="BI478" s="519" t="str" cm="1">
        <f t="array" ref="BI478">IF($AY478="","",INDEX('SoP 3'!$D$48:$P$49,$AY478,7))</f>
        <v/>
      </c>
      <c r="BJ478" s="515"/>
    </row>
    <row r="479" spans="1:62">
      <c r="A479" s="519">
        <v>19</v>
      </c>
      <c r="B479" s="519" t="str">
        <f t="shared" si="33"/>
        <v/>
      </c>
      <c r="C479" s="519" t="str" cm="1">
        <f t="array" ref="C479">IFERROR(SMALL(IF(LEFT('SoP 4'!$E$48:$E$49,4)="Rent",ROW('SoP 4'!$E$48:$E$49),""),A479)-(ROW('SoP 4'!$D$47)),"")</f>
        <v/>
      </c>
      <c r="D479" s="519" t="str" cm="1">
        <f t="array" ref="D479">IF($C479="","",INDEX('SoP 4'!$D$48:$P$49,'Internal Ref'!$C479,13))</f>
        <v/>
      </c>
      <c r="E479" s="519" t="str" cm="1">
        <f t="array" ref="E479">IF($C479="","",IF(INDEX('SoP 4'!$D$48:$P$49,'Internal Ref'!$C479,10)="","",INDEX('SoP 4'!$D$48:$P$49,'Internal Ref'!$C479,10)))</f>
        <v/>
      </c>
      <c r="F479" s="519" t="str" cm="1">
        <f t="array" ref="F479">IF($C479="","",INDEX('SoP 4'!$D$48:$P$49,'Internal Ref'!$C479,2))</f>
        <v/>
      </c>
      <c r="G479" s="519" t="str" cm="1">
        <f t="array" ref="G479">IF($C479="","",INDEX('SoP 4'!$D$48:$P$49,'Internal Ref'!$C479,6))</f>
        <v/>
      </c>
      <c r="H479" s="519" t="str">
        <f t="shared" si="44"/>
        <v/>
      </c>
      <c r="I479" s="519" t="str" cm="1">
        <f t="array" ref="I479">IF($C479="","",INDEX('SoP 4'!$D$48:$P$49,'Internal Ref'!$C479,1))</f>
        <v/>
      </c>
      <c r="J479" s="519" t="str">
        <f t="shared" si="34"/>
        <v/>
      </c>
      <c r="K479" s="519" t="str" cm="1">
        <f t="array" ref="K479">IF($C479="","",INDEX('SoP 4'!$D$48:$P$49,'Internal Ref'!$C479,4))</f>
        <v/>
      </c>
      <c r="L479" s="519" t="str" cm="1">
        <f t="array" ref="L479">IF($C479="","",INDEX('SoP 4'!$D$48:$P$49,'Internal Ref'!$C479,5))</f>
        <v/>
      </c>
      <c r="M479" s="519" t="str" cm="1">
        <f t="array" ref="M479">IF($C479="","",INDEX('SoP 4'!$D$48:$P$49,'Internal Ref'!$C479,7))</f>
        <v/>
      </c>
      <c r="Q479" s="519">
        <v>19</v>
      </c>
      <c r="R479" s="519" t="str">
        <f t="shared" si="35"/>
        <v/>
      </c>
      <c r="S479" s="519" t="str" cm="1">
        <f t="array" ref="S479">IFERROR(SMALL(IF(LEFT('SoP 2'!$E$48:$E$49,4)="Rent",ROW('SoP 2'!$E$48:$E$49),""),Q479)-(ROW('SoP 2'!$D$47)),"")</f>
        <v/>
      </c>
      <c r="T479" s="519" t="str" cm="1">
        <f t="array" ref="T479">IF($S479="","",INDEX('SoP 2'!$D$48:$P$49,'Internal Ref'!$S479,13))</f>
        <v/>
      </c>
      <c r="U479" s="519" t="str" cm="1">
        <f t="array" ref="U479">IF($S479="","",IF(INDEX('SoP 2'!$D$48:$P$49,'Internal Ref'!$S479,10)="","",INDEX('SoP 2'!$D$48:$P$49,'Internal Ref'!$S479,10)))</f>
        <v/>
      </c>
      <c r="V479" s="519" t="str" cm="1">
        <f t="array" ref="V479">IF($S479="","",INDEX('SoP 2'!$D$48:$P$49,'Internal Ref'!$S479,2))</f>
        <v/>
      </c>
      <c r="W479" s="519" t="str" cm="1">
        <f t="array" ref="W479">IF($S479="","",INDEX('SoP 2'!$D$48:$P$49,'Internal Ref'!$S479,6))</f>
        <v/>
      </c>
      <c r="X479" s="519" t="str">
        <f t="shared" si="36"/>
        <v/>
      </c>
      <c r="Y479" s="519" t="str" cm="1">
        <f t="array" ref="Y479">IF($S479="","",INDEX('SoP 2'!$D$48:$P$49,'Internal Ref'!$S479,1))</f>
        <v/>
      </c>
      <c r="Z479" s="519" t="str">
        <f t="shared" si="37"/>
        <v/>
      </c>
      <c r="AA479" s="519" t="str" cm="1">
        <f t="array" ref="AA479">IF($S479="","",INDEX('SoP 2'!$D$48:$P$49,'Internal Ref'!$S479,4))</f>
        <v/>
      </c>
      <c r="AB479" s="519" t="str" cm="1">
        <f t="array" ref="AB479">IF($S479="","",INDEX('SoP 2'!$D$48:$P$49,'Internal Ref'!$S479,5))</f>
        <v/>
      </c>
      <c r="AC479" s="519" t="str" cm="1">
        <f t="array" ref="AC479">IF($S479="","",INDEX('SoP 2'!$D$48:$P$49,'Internal Ref'!$S479,7))</f>
        <v/>
      </c>
      <c r="AG479" s="519">
        <v>19</v>
      </c>
      <c r="AH479" s="519" t="str">
        <f t="shared" si="38"/>
        <v/>
      </c>
      <c r="AI479" s="519" t="str" cm="1">
        <f t="array" ref="AI479">IFERROR(SMALL(IF(LEFT('SoP 1'!$E$84:$E$85,4)="Rent",ROW('SoP 1'!$E$84:$E$85),""),AG479)-(ROW('SoP 1'!$D$83)),"")</f>
        <v/>
      </c>
      <c r="AJ479" s="519" t="str" cm="1">
        <f t="array" ref="AJ479">IF($AI479="","",INDEX('SoP 1'!$D$84:$P$85,'Internal Ref'!$AI479,13))</f>
        <v/>
      </c>
      <c r="AK479" s="519" t="str" cm="1">
        <f t="array" ref="AK479">IF($AI479="","",IF(INDEX('SoP 1'!$D$84:$P$85,'Internal Ref'!$AI479,10)="","",INDEX('SoP 1'!$D$84:$P$85,'Internal Ref'!$AI479,10)))</f>
        <v/>
      </c>
      <c r="AL479" s="519" t="str" cm="1">
        <f t="array" ref="AL479">IF($AI479="","",INDEX('SoP 1'!$D$84:$P$85,'Internal Ref'!$AI479,2))</f>
        <v/>
      </c>
      <c r="AM479" s="519" t="str" cm="1">
        <f t="array" ref="AM479">IF($AI479="","",INDEX('SoP 1'!$D$84:$P$85,'Internal Ref'!$AI479,6))</f>
        <v/>
      </c>
      <c r="AN479" s="519" t="str">
        <f t="shared" si="39"/>
        <v/>
      </c>
      <c r="AO479" s="519" t="str" cm="1">
        <f t="array" ref="AO479">IF($AI479="","",INDEX('SoP 1'!$D$84:$P$85,'Internal Ref'!$AI479,1))</f>
        <v/>
      </c>
      <c r="AP479" s="519" t="str">
        <f t="shared" si="40"/>
        <v/>
      </c>
      <c r="AQ479" s="519" t="str" cm="1">
        <f t="array" ref="AQ479">IF($AI479="","",INDEX('SoP 1'!$D$84:$P$85,'Internal Ref'!$AI479,4))</f>
        <v/>
      </c>
      <c r="AR479" s="519" t="str" cm="1">
        <f t="array" ref="AR479">IF($AI479="","",INDEX('SoP 1'!$D$84:$P$85,'Internal Ref'!$AI479,5))</f>
        <v/>
      </c>
      <c r="AS479" s="519" t="str" cm="1">
        <f t="array" ref="AS479">IF($AI479="","",INDEX('SoP 1'!$D$84:$P$85,'Internal Ref'!$AI479,7))</f>
        <v/>
      </c>
      <c r="AT479" s="515"/>
      <c r="AW479" s="519">
        <v>19</v>
      </c>
      <c r="AX479" s="519" t="str">
        <f t="shared" si="41"/>
        <v/>
      </c>
      <c r="AY479" s="519" t="str" cm="1">
        <f t="array" ref="AY479">IFERROR(SMALL(IF(LEFT('SoP 3'!$E$48:$E$49,4)="Rent",ROW('SoP 3'!$E$48:$E$49),""),AW479)-(ROW('SoP 3'!$D$47)),"")</f>
        <v/>
      </c>
      <c r="AZ479" s="519" t="str" cm="1">
        <f t="array" ref="AZ479">IF($AY479="","",INDEX('SoP 3'!$D$48:$P$49,$AY479,13))</f>
        <v/>
      </c>
      <c r="BA479" s="519" t="str" cm="1">
        <f t="array" ref="BA479">IF($AY479="","",IF(INDEX('SoP 3'!$D$48:$P$49,$AY479,10)="","",INDEX('SoP 3'!$D$48:$P$49,$AY479,10)))</f>
        <v/>
      </c>
      <c r="BB479" s="519" t="str" cm="1">
        <f t="array" ref="BB479">IF($AY479="","",INDEX('SoP 3'!$D$48:$P$49,$AY479,2))</f>
        <v/>
      </c>
      <c r="BC479" s="519" t="str" cm="1">
        <f t="array" ref="BC479">IF($AY479="","",INDEX('SoP 3'!$D$48:$P$49,$AY479,6))</f>
        <v/>
      </c>
      <c r="BD479" s="519" t="str">
        <f t="shared" si="42"/>
        <v/>
      </c>
      <c r="BE479" s="519" t="str" cm="1">
        <f t="array" ref="BE479">IF($AY479="","",INDEX('SoP 3'!$D$48:$P$49,$AY479,1))</f>
        <v/>
      </c>
      <c r="BF479" s="519" t="str">
        <f t="shared" si="43"/>
        <v/>
      </c>
      <c r="BG479" s="519" t="str" cm="1">
        <f t="array" ref="BG479">IF($AY479="","",INDEX('SoP 3'!$D$48:$P$49,$AY479,4))</f>
        <v/>
      </c>
      <c r="BH479" s="519" t="str" cm="1">
        <f t="array" ref="BH479">IF($AY479="","",INDEX('SoP 3'!$D$48:$P$49,$AY479,5))</f>
        <v/>
      </c>
      <c r="BI479" s="519" t="str" cm="1">
        <f t="array" ref="BI479">IF($AY479="","",INDEX('SoP 3'!$D$48:$P$49,$AY479,7))</f>
        <v/>
      </c>
      <c r="BJ479" s="515"/>
    </row>
    <row r="480" spans="1:62">
      <c r="A480" s="519">
        <v>20</v>
      </c>
      <c r="B480" s="519" t="str">
        <f t="shared" si="33"/>
        <v/>
      </c>
      <c r="C480" s="519" t="str" cm="1">
        <f t="array" ref="C480">IFERROR(SMALL(IF(LEFT('SoP 4'!$E$48:$E$49,4)="Rent",ROW('SoP 4'!$E$48:$E$49),""),A480)-(ROW('SoP 4'!$D$47)),"")</f>
        <v/>
      </c>
      <c r="D480" s="519" t="str" cm="1">
        <f t="array" ref="D480">IF($C480="","",INDEX('SoP 4'!$D$48:$P$49,'Internal Ref'!$C480,13))</f>
        <v/>
      </c>
      <c r="E480" s="519" t="str" cm="1">
        <f t="array" ref="E480">IF($C480="","",IF(INDEX('SoP 4'!$D$48:$P$49,'Internal Ref'!$C480,10)="","",INDEX('SoP 4'!$D$48:$P$49,'Internal Ref'!$C480,10)))</f>
        <v/>
      </c>
      <c r="F480" s="519" t="str" cm="1">
        <f t="array" ref="F480">IF($C480="","",INDEX('SoP 4'!$D$48:$P$49,'Internal Ref'!$C480,2))</f>
        <v/>
      </c>
      <c r="G480" s="519" t="str" cm="1">
        <f t="array" ref="G480">IF($C480="","",INDEX('SoP 4'!$D$48:$P$49,'Internal Ref'!$C480,6))</f>
        <v/>
      </c>
      <c r="H480" s="519" t="str">
        <f t="shared" si="44"/>
        <v/>
      </c>
      <c r="I480" s="519" t="str" cm="1">
        <f t="array" ref="I480">IF($C480="","",INDEX('SoP 4'!$D$48:$P$49,'Internal Ref'!$C480,1))</f>
        <v/>
      </c>
      <c r="J480" s="519" t="str">
        <f t="shared" si="34"/>
        <v/>
      </c>
      <c r="K480" s="519" t="str" cm="1">
        <f t="array" ref="K480">IF($C480="","",INDEX('SoP 4'!$D$48:$P$49,'Internal Ref'!$C480,4))</f>
        <v/>
      </c>
      <c r="L480" s="519" t="str" cm="1">
        <f t="array" ref="L480">IF($C480="","",INDEX('SoP 4'!$D$48:$P$49,'Internal Ref'!$C480,5))</f>
        <v/>
      </c>
      <c r="M480" s="519" t="str" cm="1">
        <f t="array" ref="M480">IF($C480="","",INDEX('SoP 4'!$D$48:$P$49,'Internal Ref'!$C480,7))</f>
        <v/>
      </c>
      <c r="Q480" s="519">
        <v>20</v>
      </c>
      <c r="R480" s="519" t="str">
        <f t="shared" si="35"/>
        <v/>
      </c>
      <c r="S480" s="519" t="str" cm="1">
        <f t="array" ref="S480">IFERROR(SMALL(IF(LEFT('SoP 2'!$E$48:$E$49,4)="Rent",ROW('SoP 2'!$E$48:$E$49),""),Q480)-(ROW('SoP 2'!$D$47)),"")</f>
        <v/>
      </c>
      <c r="T480" s="519" t="str" cm="1">
        <f t="array" ref="T480">IF($S480="","",INDEX('SoP 2'!$D$48:$P$49,'Internal Ref'!$S480,13))</f>
        <v/>
      </c>
      <c r="U480" s="519" t="str" cm="1">
        <f t="array" ref="U480">IF($S480="","",IF(INDEX('SoP 2'!$D$48:$P$49,'Internal Ref'!$S480,10)="","",INDEX('SoP 2'!$D$48:$P$49,'Internal Ref'!$S480,10)))</f>
        <v/>
      </c>
      <c r="V480" s="519" t="str" cm="1">
        <f t="array" ref="V480">IF($S480="","",INDEX('SoP 2'!$D$48:$P$49,'Internal Ref'!$S480,2))</f>
        <v/>
      </c>
      <c r="W480" s="519" t="str" cm="1">
        <f t="array" ref="W480">IF($S480="","",INDEX('SoP 2'!$D$48:$P$49,'Internal Ref'!$S480,6))</f>
        <v/>
      </c>
      <c r="X480" s="519" t="str">
        <f t="shared" si="36"/>
        <v/>
      </c>
      <c r="Y480" s="519" t="str" cm="1">
        <f t="array" ref="Y480">IF($S480="","",INDEX('SoP 2'!$D$48:$P$49,'Internal Ref'!$S480,1))</f>
        <v/>
      </c>
      <c r="Z480" s="519" t="str">
        <f t="shared" si="37"/>
        <v/>
      </c>
      <c r="AA480" s="519" t="str" cm="1">
        <f t="array" ref="AA480">IF($S480="","",INDEX('SoP 2'!$D$48:$P$49,'Internal Ref'!$S480,4))</f>
        <v/>
      </c>
      <c r="AB480" s="519" t="str" cm="1">
        <f t="array" ref="AB480">IF($S480="","",INDEX('SoP 2'!$D$48:$P$49,'Internal Ref'!$S480,5))</f>
        <v/>
      </c>
      <c r="AC480" s="519" t="str" cm="1">
        <f t="array" ref="AC480">IF($S480="","",INDEX('SoP 2'!$D$48:$P$49,'Internal Ref'!$S480,7))</f>
        <v/>
      </c>
      <c r="AG480" s="519">
        <v>20</v>
      </c>
      <c r="AH480" s="519" t="str">
        <f t="shared" si="38"/>
        <v/>
      </c>
      <c r="AI480" s="519" t="str" cm="1">
        <f t="array" ref="AI480">IFERROR(SMALL(IF(LEFT('SoP 1'!$E$84:$E$85,4)="Rent",ROW('SoP 1'!$E$84:$E$85),""),AG480)-(ROW('SoP 1'!$D$83)),"")</f>
        <v/>
      </c>
      <c r="AJ480" s="519" t="str" cm="1">
        <f t="array" ref="AJ480">IF($AI480="","",INDEX('SoP 1'!$D$84:$P$85,'Internal Ref'!$AI480,13))</f>
        <v/>
      </c>
      <c r="AK480" s="519" t="str" cm="1">
        <f t="array" ref="AK480">IF($AI480="","",IF(INDEX('SoP 1'!$D$84:$P$85,'Internal Ref'!$AI480,10)="","",INDEX('SoP 1'!$D$84:$P$85,'Internal Ref'!$AI480,10)))</f>
        <v/>
      </c>
      <c r="AL480" s="519" t="str" cm="1">
        <f t="array" ref="AL480">IF($AI480="","",INDEX('SoP 1'!$D$84:$P$85,'Internal Ref'!$AI480,2))</f>
        <v/>
      </c>
      <c r="AM480" s="519" t="str" cm="1">
        <f t="array" ref="AM480">IF($AI480="","",INDEX('SoP 1'!$D$84:$P$85,'Internal Ref'!$AI480,6))</f>
        <v/>
      </c>
      <c r="AN480" s="519" t="str">
        <f t="shared" si="39"/>
        <v/>
      </c>
      <c r="AO480" s="519" t="str" cm="1">
        <f t="array" ref="AO480">IF($AI480="","",INDEX('SoP 1'!$D$84:$P$85,'Internal Ref'!$AI480,1))</f>
        <v/>
      </c>
      <c r="AP480" s="519" t="str">
        <f t="shared" si="40"/>
        <v/>
      </c>
      <c r="AQ480" s="519" t="str" cm="1">
        <f t="array" ref="AQ480">IF($AI480="","",INDEX('SoP 1'!$D$84:$P$85,'Internal Ref'!$AI480,4))</f>
        <v/>
      </c>
      <c r="AR480" s="519" t="str" cm="1">
        <f t="array" ref="AR480">IF($AI480="","",INDEX('SoP 1'!$D$84:$P$85,'Internal Ref'!$AI480,5))</f>
        <v/>
      </c>
      <c r="AS480" s="519" t="str" cm="1">
        <f t="array" ref="AS480">IF($AI480="","",INDEX('SoP 1'!$D$84:$P$85,'Internal Ref'!$AI480,7))</f>
        <v/>
      </c>
      <c r="AT480" s="515"/>
      <c r="AW480" s="519">
        <v>20</v>
      </c>
      <c r="AX480" s="519" t="str">
        <f t="shared" si="41"/>
        <v/>
      </c>
      <c r="AY480" s="519" t="str" cm="1">
        <f t="array" ref="AY480">IFERROR(SMALL(IF(LEFT('SoP 3'!$E$48:$E$49,4)="Rent",ROW('SoP 3'!$E$48:$E$49),""),AW480)-(ROW('SoP 3'!$D$47)),"")</f>
        <v/>
      </c>
      <c r="AZ480" s="519" t="str" cm="1">
        <f t="array" ref="AZ480">IF($AY480="","",INDEX('SoP 3'!$D$48:$P$49,$AY480,13))</f>
        <v/>
      </c>
      <c r="BA480" s="519" t="str" cm="1">
        <f t="array" ref="BA480">IF($AY480="","",IF(INDEX('SoP 3'!$D$48:$P$49,$AY480,10)="","",INDEX('SoP 3'!$D$48:$P$49,$AY480,10)))</f>
        <v/>
      </c>
      <c r="BB480" s="519" t="str" cm="1">
        <f t="array" ref="BB480">IF($AY480="","",INDEX('SoP 3'!$D$48:$P$49,$AY480,2))</f>
        <v/>
      </c>
      <c r="BC480" s="519" t="str" cm="1">
        <f t="array" ref="BC480">IF($AY480="","",INDEX('SoP 3'!$D$48:$P$49,$AY480,6))</f>
        <v/>
      </c>
      <c r="BD480" s="519" t="str">
        <f t="shared" si="42"/>
        <v/>
      </c>
      <c r="BE480" s="519" t="str" cm="1">
        <f t="array" ref="BE480">IF($AY480="","",INDEX('SoP 3'!$D$48:$P$49,$AY480,1))</f>
        <v/>
      </c>
      <c r="BF480" s="519" t="str">
        <f t="shared" si="43"/>
        <v/>
      </c>
      <c r="BG480" s="519" t="str" cm="1">
        <f t="array" ref="BG480">IF($AY480="","",INDEX('SoP 3'!$D$48:$P$49,$AY480,4))</f>
        <v/>
      </c>
      <c r="BH480" s="519" t="str" cm="1">
        <f t="array" ref="BH480">IF($AY480="","",INDEX('SoP 3'!$D$48:$P$49,$AY480,5))</f>
        <v/>
      </c>
      <c r="BI480" s="519" t="str" cm="1">
        <f t="array" ref="BI480">IF($AY480="","",INDEX('SoP 3'!$D$48:$P$49,$AY480,7))</f>
        <v/>
      </c>
      <c r="BJ480" s="515"/>
    </row>
    <row r="481" spans="1:62">
      <c r="A481" s="519">
        <v>21</v>
      </c>
      <c r="B481" s="519" t="str">
        <f t="shared" si="33"/>
        <v/>
      </c>
      <c r="C481" s="519" t="str" cm="1">
        <f t="array" ref="C481">IFERROR(SMALL(IF(LEFT('SoP 4'!$E$48:$E$49,4)="Rent",ROW('SoP 4'!$E$48:$E$49),""),A481)-(ROW('SoP 4'!$D$47)),"")</f>
        <v/>
      </c>
      <c r="D481" s="519" t="str" cm="1">
        <f t="array" ref="D481">IF($C481="","",INDEX('SoP 4'!$D$48:$P$49,'Internal Ref'!$C481,13))</f>
        <v/>
      </c>
      <c r="E481" s="519" t="str" cm="1">
        <f t="array" ref="E481">IF($C481="","",IF(INDEX('SoP 4'!$D$48:$P$49,'Internal Ref'!$C481,10)="","",INDEX('SoP 4'!$D$48:$P$49,'Internal Ref'!$C481,10)))</f>
        <v/>
      </c>
      <c r="F481" s="519" t="str" cm="1">
        <f t="array" ref="F481">IF($C481="","",INDEX('SoP 4'!$D$48:$P$49,'Internal Ref'!$C481,2))</f>
        <v/>
      </c>
      <c r="G481" s="519" t="str" cm="1">
        <f t="array" ref="G481">IF($C481="","",INDEX('SoP 4'!$D$48:$P$49,'Internal Ref'!$C481,6))</f>
        <v/>
      </c>
      <c r="H481" s="519" t="str">
        <f t="shared" si="44"/>
        <v/>
      </c>
      <c r="I481" s="519" t="str" cm="1">
        <f t="array" ref="I481">IF($C481="","",INDEX('SoP 4'!$D$48:$P$49,'Internal Ref'!$C481,1))</f>
        <v/>
      </c>
      <c r="J481" s="519" t="str">
        <f t="shared" si="34"/>
        <v/>
      </c>
      <c r="K481" s="519" t="str" cm="1">
        <f t="array" ref="K481">IF($C481="","",INDEX('SoP 4'!$D$48:$P$49,'Internal Ref'!$C481,4))</f>
        <v/>
      </c>
      <c r="L481" s="519" t="str" cm="1">
        <f t="array" ref="L481">IF($C481="","",INDEX('SoP 4'!$D$48:$P$49,'Internal Ref'!$C481,5))</f>
        <v/>
      </c>
      <c r="M481" s="519" t="str" cm="1">
        <f t="array" ref="M481">IF($C481="","",INDEX('SoP 4'!$D$48:$P$49,'Internal Ref'!$C481,7))</f>
        <v/>
      </c>
      <c r="Q481" s="519">
        <v>21</v>
      </c>
      <c r="R481" s="519" t="str">
        <f t="shared" si="35"/>
        <v/>
      </c>
      <c r="S481" s="519" t="str" cm="1">
        <f t="array" ref="S481">IFERROR(SMALL(IF(LEFT('SoP 2'!$E$48:$E$49,4)="Rent",ROW('SoP 2'!$E$48:$E$49),""),Q481)-(ROW('SoP 2'!$D$47)),"")</f>
        <v/>
      </c>
      <c r="T481" s="519" t="str" cm="1">
        <f t="array" ref="T481">IF($S481="","",INDEX('SoP 2'!$D$48:$P$49,'Internal Ref'!$S481,13))</f>
        <v/>
      </c>
      <c r="U481" s="519" t="str" cm="1">
        <f t="array" ref="U481">IF($S481="","",IF(INDEX('SoP 2'!$D$48:$P$49,'Internal Ref'!$S481,10)="","",INDEX('SoP 2'!$D$48:$P$49,'Internal Ref'!$S481,10)))</f>
        <v/>
      </c>
      <c r="V481" s="519" t="str" cm="1">
        <f t="array" ref="V481">IF($S481="","",INDEX('SoP 2'!$D$48:$P$49,'Internal Ref'!$S481,2))</f>
        <v/>
      </c>
      <c r="W481" s="519" t="str" cm="1">
        <f t="array" ref="W481">IF($S481="","",INDEX('SoP 2'!$D$48:$P$49,'Internal Ref'!$S481,6))</f>
        <v/>
      </c>
      <c r="X481" s="519" t="str">
        <f t="shared" si="36"/>
        <v/>
      </c>
      <c r="Y481" s="519" t="str" cm="1">
        <f t="array" ref="Y481">IF($S481="","",INDEX('SoP 2'!$D$48:$P$49,'Internal Ref'!$S481,1))</f>
        <v/>
      </c>
      <c r="Z481" s="519" t="str">
        <f t="shared" si="37"/>
        <v/>
      </c>
      <c r="AA481" s="519" t="str" cm="1">
        <f t="array" ref="AA481">IF($S481="","",INDEX('SoP 2'!$D$48:$P$49,'Internal Ref'!$S481,4))</f>
        <v/>
      </c>
      <c r="AB481" s="519" t="str" cm="1">
        <f t="array" ref="AB481">IF($S481="","",INDEX('SoP 2'!$D$48:$P$49,'Internal Ref'!$S481,5))</f>
        <v/>
      </c>
      <c r="AC481" s="519" t="str" cm="1">
        <f t="array" ref="AC481">IF($S481="","",INDEX('SoP 2'!$D$48:$P$49,'Internal Ref'!$S481,7))</f>
        <v/>
      </c>
      <c r="AG481" s="519">
        <v>21</v>
      </c>
      <c r="AH481" s="519" t="str">
        <f t="shared" si="38"/>
        <v/>
      </c>
      <c r="AI481" s="519" t="str" cm="1">
        <f t="array" ref="AI481">IFERROR(SMALL(IF(LEFT('SoP 1'!$E$84:$E$85,4)="Rent",ROW('SoP 1'!$E$84:$E$85),""),AG481)-(ROW('SoP 1'!$D$83)),"")</f>
        <v/>
      </c>
      <c r="AJ481" s="519" t="str" cm="1">
        <f t="array" ref="AJ481">IF($AI481="","",INDEX('SoP 1'!$D$84:$P$85,'Internal Ref'!$AI481,13))</f>
        <v/>
      </c>
      <c r="AK481" s="519" t="str" cm="1">
        <f t="array" ref="AK481">IF($AI481="","",IF(INDEX('SoP 1'!$D$84:$P$85,'Internal Ref'!$AI481,10)="","",INDEX('SoP 1'!$D$84:$P$85,'Internal Ref'!$AI481,10)))</f>
        <v/>
      </c>
      <c r="AL481" s="519" t="str" cm="1">
        <f t="array" ref="AL481">IF($AI481="","",INDEX('SoP 1'!$D$84:$P$85,'Internal Ref'!$AI481,2))</f>
        <v/>
      </c>
      <c r="AM481" s="519" t="str" cm="1">
        <f t="array" ref="AM481">IF($AI481="","",INDEX('SoP 1'!$D$84:$P$85,'Internal Ref'!$AI481,6))</f>
        <v/>
      </c>
      <c r="AN481" s="519" t="str">
        <f t="shared" si="39"/>
        <v/>
      </c>
      <c r="AO481" s="519" t="str" cm="1">
        <f t="array" ref="AO481">IF($AI481="","",INDEX('SoP 1'!$D$84:$P$85,'Internal Ref'!$AI481,1))</f>
        <v/>
      </c>
      <c r="AP481" s="519" t="str">
        <f t="shared" si="40"/>
        <v/>
      </c>
      <c r="AQ481" s="519" t="str" cm="1">
        <f t="array" ref="AQ481">IF($AI481="","",INDEX('SoP 1'!$D$84:$P$85,'Internal Ref'!$AI481,4))</f>
        <v/>
      </c>
      <c r="AR481" s="519" t="str" cm="1">
        <f t="array" ref="AR481">IF($AI481="","",INDEX('SoP 1'!$D$84:$P$85,'Internal Ref'!$AI481,5))</f>
        <v/>
      </c>
      <c r="AS481" s="519" t="str" cm="1">
        <f t="array" ref="AS481">IF($AI481="","",INDEX('SoP 1'!$D$84:$P$85,'Internal Ref'!$AI481,7))</f>
        <v/>
      </c>
      <c r="AT481" s="515"/>
      <c r="AW481" s="519">
        <v>21</v>
      </c>
      <c r="AX481" s="519" t="str">
        <f t="shared" si="41"/>
        <v/>
      </c>
      <c r="AY481" s="519" t="str" cm="1">
        <f t="array" ref="AY481">IFERROR(SMALL(IF(LEFT('SoP 3'!$E$48:$E$49,4)="Rent",ROW('SoP 3'!$E$48:$E$49),""),AW481)-(ROW('SoP 3'!$D$47)),"")</f>
        <v/>
      </c>
      <c r="AZ481" s="519" t="str" cm="1">
        <f t="array" ref="AZ481">IF($AY481="","",INDEX('SoP 3'!$D$48:$P$49,$AY481,13))</f>
        <v/>
      </c>
      <c r="BA481" s="519" t="str" cm="1">
        <f t="array" ref="BA481">IF($AY481="","",IF(INDEX('SoP 3'!$D$48:$P$49,$AY481,10)="","",INDEX('SoP 3'!$D$48:$P$49,$AY481,10)))</f>
        <v/>
      </c>
      <c r="BB481" s="519" t="str" cm="1">
        <f t="array" ref="BB481">IF($AY481="","",INDEX('SoP 3'!$D$48:$P$49,$AY481,2))</f>
        <v/>
      </c>
      <c r="BC481" s="519" t="str" cm="1">
        <f t="array" ref="BC481">IF($AY481="","",INDEX('SoP 3'!$D$48:$P$49,$AY481,6))</f>
        <v/>
      </c>
      <c r="BD481" s="519" t="str">
        <f t="shared" si="42"/>
        <v/>
      </c>
      <c r="BE481" s="519" t="str" cm="1">
        <f t="array" ref="BE481">IF($AY481="","",INDEX('SoP 3'!$D$48:$P$49,$AY481,1))</f>
        <v/>
      </c>
      <c r="BF481" s="519" t="str">
        <f t="shared" si="43"/>
        <v/>
      </c>
      <c r="BG481" s="519" t="str" cm="1">
        <f t="array" ref="BG481">IF($AY481="","",INDEX('SoP 3'!$D$48:$P$49,$AY481,4))</f>
        <v/>
      </c>
      <c r="BH481" s="519" t="str" cm="1">
        <f t="array" ref="BH481">IF($AY481="","",INDEX('SoP 3'!$D$48:$P$49,$AY481,5))</f>
        <v/>
      </c>
      <c r="BI481" s="519" t="str" cm="1">
        <f t="array" ref="BI481">IF($AY481="","",INDEX('SoP 3'!$D$48:$P$49,$AY481,7))</f>
        <v/>
      </c>
      <c r="BJ481" s="515"/>
    </row>
    <row r="482" spans="1:62">
      <c r="A482" s="519">
        <v>22</v>
      </c>
      <c r="B482" s="519" t="str">
        <f t="shared" si="33"/>
        <v/>
      </c>
      <c r="C482" s="519" t="str" cm="1">
        <f t="array" ref="C482">IFERROR(SMALL(IF(LEFT('SoP 4'!$E$48:$E$49,4)="Rent",ROW('SoP 4'!$E$48:$E$49),""),A482)-(ROW('SoP 4'!$D$47)),"")</f>
        <v/>
      </c>
      <c r="D482" s="519" t="str" cm="1">
        <f t="array" ref="D482">IF($C482="","",INDEX('SoP 4'!$D$48:$P$49,'Internal Ref'!$C482,13))</f>
        <v/>
      </c>
      <c r="E482" s="519" t="str" cm="1">
        <f t="array" ref="E482">IF($C482="","",IF(INDEX('SoP 4'!$D$48:$P$49,'Internal Ref'!$C482,10)="","",INDEX('SoP 4'!$D$48:$P$49,'Internal Ref'!$C482,10)))</f>
        <v/>
      </c>
      <c r="F482" s="519" t="str" cm="1">
        <f t="array" ref="F482">IF($C482="","",INDEX('SoP 4'!$D$48:$P$49,'Internal Ref'!$C482,2))</f>
        <v/>
      </c>
      <c r="G482" s="519" t="str" cm="1">
        <f t="array" ref="G482">IF($C482="","",INDEX('SoP 4'!$D$48:$P$49,'Internal Ref'!$C482,6))</f>
        <v/>
      </c>
      <c r="H482" s="519" t="str">
        <f t="shared" si="44"/>
        <v/>
      </c>
      <c r="I482" s="519" t="str" cm="1">
        <f t="array" ref="I482">IF($C482="","",INDEX('SoP 4'!$D$48:$P$49,'Internal Ref'!$C482,1))</f>
        <v/>
      </c>
      <c r="J482" s="519" t="str">
        <f t="shared" si="34"/>
        <v/>
      </c>
      <c r="K482" s="519" t="str" cm="1">
        <f t="array" ref="K482">IF($C482="","",INDEX('SoP 4'!$D$48:$P$49,'Internal Ref'!$C482,4))</f>
        <v/>
      </c>
      <c r="L482" s="519" t="str" cm="1">
        <f t="array" ref="L482">IF($C482="","",INDEX('SoP 4'!$D$48:$P$49,'Internal Ref'!$C482,5))</f>
        <v/>
      </c>
      <c r="M482" s="519" t="str" cm="1">
        <f t="array" ref="M482">IF($C482="","",INDEX('SoP 4'!$D$48:$P$49,'Internal Ref'!$C482,7))</f>
        <v/>
      </c>
      <c r="Q482" s="519">
        <v>22</v>
      </c>
      <c r="R482" s="519" t="str">
        <f t="shared" si="35"/>
        <v/>
      </c>
      <c r="S482" s="519" t="str" cm="1">
        <f t="array" ref="S482">IFERROR(SMALL(IF(LEFT('SoP 2'!$E$48:$E$49,4)="Rent",ROW('SoP 2'!$E$48:$E$49),""),Q482)-(ROW('SoP 2'!$D$47)),"")</f>
        <v/>
      </c>
      <c r="T482" s="519" t="str" cm="1">
        <f t="array" ref="T482">IF($S482="","",INDEX('SoP 2'!$D$48:$P$49,'Internal Ref'!$S482,13))</f>
        <v/>
      </c>
      <c r="U482" s="519" t="str" cm="1">
        <f t="array" ref="U482">IF($S482="","",IF(INDEX('SoP 2'!$D$48:$P$49,'Internal Ref'!$S482,10)="","",INDEX('SoP 2'!$D$48:$P$49,'Internal Ref'!$S482,10)))</f>
        <v/>
      </c>
      <c r="V482" s="519" t="str" cm="1">
        <f t="array" ref="V482">IF($S482="","",INDEX('SoP 2'!$D$48:$P$49,'Internal Ref'!$S482,2))</f>
        <v/>
      </c>
      <c r="W482" s="519" t="str" cm="1">
        <f t="array" ref="W482">IF($S482="","",INDEX('SoP 2'!$D$48:$P$49,'Internal Ref'!$S482,6))</f>
        <v/>
      </c>
      <c r="X482" s="519" t="str">
        <f t="shared" si="36"/>
        <v/>
      </c>
      <c r="Y482" s="519" t="str" cm="1">
        <f t="array" ref="Y482">IF($S482="","",INDEX('SoP 2'!$D$48:$P$49,'Internal Ref'!$S482,1))</f>
        <v/>
      </c>
      <c r="Z482" s="519" t="str">
        <f t="shared" si="37"/>
        <v/>
      </c>
      <c r="AA482" s="519" t="str" cm="1">
        <f t="array" ref="AA482">IF($S482="","",INDEX('SoP 2'!$D$48:$P$49,'Internal Ref'!$S482,4))</f>
        <v/>
      </c>
      <c r="AB482" s="519" t="str" cm="1">
        <f t="array" ref="AB482">IF($S482="","",INDEX('SoP 2'!$D$48:$P$49,'Internal Ref'!$S482,5))</f>
        <v/>
      </c>
      <c r="AC482" s="519" t="str" cm="1">
        <f t="array" ref="AC482">IF($S482="","",INDEX('SoP 2'!$D$48:$P$49,'Internal Ref'!$S482,7))</f>
        <v/>
      </c>
      <c r="AG482" s="519">
        <v>22</v>
      </c>
      <c r="AH482" s="519" t="str">
        <f t="shared" si="38"/>
        <v/>
      </c>
      <c r="AI482" s="519" t="str" cm="1">
        <f t="array" ref="AI482">IFERROR(SMALL(IF(LEFT('SoP 1'!$E$84:$E$85,4)="Rent",ROW('SoP 1'!$E$84:$E$85),""),AG482)-(ROW('SoP 1'!$D$83)),"")</f>
        <v/>
      </c>
      <c r="AJ482" s="519" t="str" cm="1">
        <f t="array" ref="AJ482">IF($AI482="","",INDEX('SoP 1'!$D$84:$P$85,'Internal Ref'!$AI482,13))</f>
        <v/>
      </c>
      <c r="AK482" s="519" t="str" cm="1">
        <f t="array" ref="AK482">IF($AI482="","",IF(INDEX('SoP 1'!$D$84:$P$85,'Internal Ref'!$AI482,10)="","",INDEX('SoP 1'!$D$84:$P$85,'Internal Ref'!$AI482,10)))</f>
        <v/>
      </c>
      <c r="AL482" s="519" t="str" cm="1">
        <f t="array" ref="AL482">IF($AI482="","",INDEX('SoP 1'!$D$84:$P$85,'Internal Ref'!$AI482,2))</f>
        <v/>
      </c>
      <c r="AM482" s="519" t="str" cm="1">
        <f t="array" ref="AM482">IF($AI482="","",INDEX('SoP 1'!$D$84:$P$85,'Internal Ref'!$AI482,6))</f>
        <v/>
      </c>
      <c r="AN482" s="519" t="str">
        <f t="shared" si="39"/>
        <v/>
      </c>
      <c r="AO482" s="519" t="str" cm="1">
        <f t="array" ref="AO482">IF($AI482="","",INDEX('SoP 1'!$D$84:$P$85,'Internal Ref'!$AI482,1))</f>
        <v/>
      </c>
      <c r="AP482" s="519" t="str">
        <f t="shared" si="40"/>
        <v/>
      </c>
      <c r="AQ482" s="519" t="str" cm="1">
        <f t="array" ref="AQ482">IF($AI482="","",INDEX('SoP 1'!$D$84:$P$85,'Internal Ref'!$AI482,4))</f>
        <v/>
      </c>
      <c r="AR482" s="519" t="str" cm="1">
        <f t="array" ref="AR482">IF($AI482="","",INDEX('SoP 1'!$D$84:$P$85,'Internal Ref'!$AI482,5))</f>
        <v/>
      </c>
      <c r="AS482" s="519" t="str" cm="1">
        <f t="array" ref="AS482">IF($AI482="","",INDEX('SoP 1'!$D$84:$P$85,'Internal Ref'!$AI482,7))</f>
        <v/>
      </c>
      <c r="AT482" s="515"/>
      <c r="AW482" s="519">
        <v>22</v>
      </c>
      <c r="AX482" s="519" t="str">
        <f t="shared" si="41"/>
        <v/>
      </c>
      <c r="AY482" s="519" t="str" cm="1">
        <f t="array" ref="AY482">IFERROR(SMALL(IF(LEFT('SoP 3'!$E$48:$E$49,4)="Rent",ROW('SoP 3'!$E$48:$E$49),""),AW482)-(ROW('SoP 3'!$D$47)),"")</f>
        <v/>
      </c>
      <c r="AZ482" s="519" t="str" cm="1">
        <f t="array" ref="AZ482">IF($AY482="","",INDEX('SoP 3'!$D$48:$P$49,$AY482,13))</f>
        <v/>
      </c>
      <c r="BA482" s="519" t="str" cm="1">
        <f t="array" ref="BA482">IF($AY482="","",IF(INDEX('SoP 3'!$D$48:$P$49,$AY482,10)="","",INDEX('SoP 3'!$D$48:$P$49,$AY482,10)))</f>
        <v/>
      </c>
      <c r="BB482" s="519" t="str" cm="1">
        <f t="array" ref="BB482">IF($AY482="","",INDEX('SoP 3'!$D$48:$P$49,$AY482,2))</f>
        <v/>
      </c>
      <c r="BC482" s="519" t="str" cm="1">
        <f t="array" ref="BC482">IF($AY482="","",INDEX('SoP 3'!$D$48:$P$49,$AY482,6))</f>
        <v/>
      </c>
      <c r="BD482" s="519" t="str">
        <f t="shared" si="42"/>
        <v/>
      </c>
      <c r="BE482" s="519" t="str" cm="1">
        <f t="array" ref="BE482">IF($AY482="","",INDEX('SoP 3'!$D$48:$P$49,$AY482,1))</f>
        <v/>
      </c>
      <c r="BF482" s="519" t="str">
        <f t="shared" si="43"/>
        <v/>
      </c>
      <c r="BG482" s="519" t="str" cm="1">
        <f t="array" ref="BG482">IF($AY482="","",INDEX('SoP 3'!$D$48:$P$49,$AY482,4))</f>
        <v/>
      </c>
      <c r="BH482" s="519" t="str" cm="1">
        <f t="array" ref="BH482">IF($AY482="","",INDEX('SoP 3'!$D$48:$P$49,$AY482,5))</f>
        <v/>
      </c>
      <c r="BI482" s="519" t="str" cm="1">
        <f t="array" ref="BI482">IF($AY482="","",INDEX('SoP 3'!$D$48:$P$49,$AY482,7))</f>
        <v/>
      </c>
      <c r="BJ482" s="515"/>
    </row>
    <row r="483" spans="1:62">
      <c r="A483" s="519">
        <v>23</v>
      </c>
      <c r="B483" s="519" t="str">
        <f t="shared" si="33"/>
        <v/>
      </c>
      <c r="C483" s="519" t="str" cm="1">
        <f t="array" ref="C483">IFERROR(SMALL(IF(LEFT('SoP 4'!$E$48:$E$49,4)="Rent",ROW('SoP 4'!$E$48:$E$49),""),A483)-(ROW('SoP 4'!$D$47)),"")</f>
        <v/>
      </c>
      <c r="D483" s="519" t="str" cm="1">
        <f t="array" ref="D483">IF($C483="","",INDEX('SoP 4'!$D$48:$P$49,'Internal Ref'!$C483,13))</f>
        <v/>
      </c>
      <c r="E483" s="519" t="str" cm="1">
        <f t="array" ref="E483">IF($C483="","",IF(INDEX('SoP 4'!$D$48:$P$49,'Internal Ref'!$C483,10)="","",INDEX('SoP 4'!$D$48:$P$49,'Internal Ref'!$C483,10)))</f>
        <v/>
      </c>
      <c r="F483" s="519" t="str" cm="1">
        <f t="array" ref="F483">IF($C483="","",INDEX('SoP 4'!$D$48:$P$49,'Internal Ref'!$C483,2))</f>
        <v/>
      </c>
      <c r="G483" s="519" t="str" cm="1">
        <f t="array" ref="G483">IF($C483="","",INDEX('SoP 4'!$D$48:$P$49,'Internal Ref'!$C483,6))</f>
        <v/>
      </c>
      <c r="H483" s="519" t="str">
        <f t="shared" si="44"/>
        <v/>
      </c>
      <c r="I483" s="519" t="str" cm="1">
        <f t="array" ref="I483">IF($C483="","",INDEX('SoP 4'!$D$48:$P$49,'Internal Ref'!$C483,1))</f>
        <v/>
      </c>
      <c r="J483" s="519" t="str">
        <f t="shared" si="34"/>
        <v/>
      </c>
      <c r="K483" s="519" t="str" cm="1">
        <f t="array" ref="K483">IF($C483="","",INDEX('SoP 4'!$D$48:$P$49,'Internal Ref'!$C483,4))</f>
        <v/>
      </c>
      <c r="L483" s="519" t="str" cm="1">
        <f t="array" ref="L483">IF($C483="","",INDEX('SoP 4'!$D$48:$P$49,'Internal Ref'!$C483,5))</f>
        <v/>
      </c>
      <c r="M483" s="519" t="str" cm="1">
        <f t="array" ref="M483">IF($C483="","",INDEX('SoP 4'!$D$48:$P$49,'Internal Ref'!$C483,7))</f>
        <v/>
      </c>
      <c r="Q483" s="519">
        <v>23</v>
      </c>
      <c r="R483" s="519" t="str">
        <f t="shared" si="35"/>
        <v/>
      </c>
      <c r="S483" s="519" t="str" cm="1">
        <f t="array" ref="S483">IFERROR(SMALL(IF(LEFT('SoP 2'!$E$48:$E$49,4)="Rent",ROW('SoP 2'!$E$48:$E$49),""),Q483)-(ROW('SoP 2'!$D$47)),"")</f>
        <v/>
      </c>
      <c r="T483" s="519" t="str" cm="1">
        <f t="array" ref="T483">IF($S483="","",INDEX('SoP 2'!$D$48:$P$49,'Internal Ref'!$S483,13))</f>
        <v/>
      </c>
      <c r="U483" s="519" t="str" cm="1">
        <f t="array" ref="U483">IF($S483="","",IF(INDEX('SoP 2'!$D$48:$P$49,'Internal Ref'!$S483,10)="","",INDEX('SoP 2'!$D$48:$P$49,'Internal Ref'!$S483,10)))</f>
        <v/>
      </c>
      <c r="V483" s="519" t="str" cm="1">
        <f t="array" ref="V483">IF($S483="","",INDEX('SoP 2'!$D$48:$P$49,'Internal Ref'!$S483,2))</f>
        <v/>
      </c>
      <c r="W483" s="519" t="str" cm="1">
        <f t="array" ref="W483">IF($S483="","",INDEX('SoP 2'!$D$48:$P$49,'Internal Ref'!$S483,6))</f>
        <v/>
      </c>
      <c r="X483" s="519" t="str">
        <f t="shared" si="36"/>
        <v/>
      </c>
      <c r="Y483" s="519" t="str" cm="1">
        <f t="array" ref="Y483">IF($S483="","",INDEX('SoP 2'!$D$48:$P$49,'Internal Ref'!$S483,1))</f>
        <v/>
      </c>
      <c r="Z483" s="519" t="str">
        <f t="shared" si="37"/>
        <v/>
      </c>
      <c r="AA483" s="519" t="str" cm="1">
        <f t="array" ref="AA483">IF($S483="","",INDEX('SoP 2'!$D$48:$P$49,'Internal Ref'!$S483,4))</f>
        <v/>
      </c>
      <c r="AB483" s="519" t="str" cm="1">
        <f t="array" ref="AB483">IF($S483="","",INDEX('SoP 2'!$D$48:$P$49,'Internal Ref'!$S483,5))</f>
        <v/>
      </c>
      <c r="AC483" s="519" t="str" cm="1">
        <f t="array" ref="AC483">IF($S483="","",INDEX('SoP 2'!$D$48:$P$49,'Internal Ref'!$S483,7))</f>
        <v/>
      </c>
      <c r="AG483" s="519">
        <v>23</v>
      </c>
      <c r="AH483" s="519" t="str">
        <f t="shared" si="38"/>
        <v/>
      </c>
      <c r="AI483" s="519" t="str" cm="1">
        <f t="array" ref="AI483">IFERROR(SMALL(IF(LEFT('SoP 1'!$E$84:$E$85,4)="Rent",ROW('SoP 1'!$E$84:$E$85),""),AG483)-(ROW('SoP 1'!$D$83)),"")</f>
        <v/>
      </c>
      <c r="AJ483" s="519" t="str" cm="1">
        <f t="array" ref="AJ483">IF($AI483="","",INDEX('SoP 1'!$D$84:$P$85,'Internal Ref'!$AI483,13))</f>
        <v/>
      </c>
      <c r="AK483" s="519" t="str" cm="1">
        <f t="array" ref="AK483">IF($AI483="","",IF(INDEX('SoP 1'!$D$84:$P$85,'Internal Ref'!$AI483,10)="","",INDEX('SoP 1'!$D$84:$P$85,'Internal Ref'!$AI483,10)))</f>
        <v/>
      </c>
      <c r="AL483" s="519" t="str" cm="1">
        <f t="array" ref="AL483">IF($AI483="","",INDEX('SoP 1'!$D$84:$P$85,'Internal Ref'!$AI483,2))</f>
        <v/>
      </c>
      <c r="AM483" s="519" t="str" cm="1">
        <f t="array" ref="AM483">IF($AI483="","",INDEX('SoP 1'!$D$84:$P$85,'Internal Ref'!$AI483,6))</f>
        <v/>
      </c>
      <c r="AN483" s="519" t="str">
        <f t="shared" si="39"/>
        <v/>
      </c>
      <c r="AO483" s="519" t="str" cm="1">
        <f t="array" ref="AO483">IF($AI483="","",INDEX('SoP 1'!$D$84:$P$85,'Internal Ref'!$AI483,1))</f>
        <v/>
      </c>
      <c r="AP483" s="519" t="str">
        <f t="shared" si="40"/>
        <v/>
      </c>
      <c r="AQ483" s="519" t="str" cm="1">
        <f t="array" ref="AQ483">IF($AI483="","",INDEX('SoP 1'!$D$84:$P$85,'Internal Ref'!$AI483,4))</f>
        <v/>
      </c>
      <c r="AR483" s="519" t="str" cm="1">
        <f t="array" ref="AR483">IF($AI483="","",INDEX('SoP 1'!$D$84:$P$85,'Internal Ref'!$AI483,5))</f>
        <v/>
      </c>
      <c r="AS483" s="519" t="str" cm="1">
        <f t="array" ref="AS483">IF($AI483="","",INDEX('SoP 1'!$D$84:$P$85,'Internal Ref'!$AI483,7))</f>
        <v/>
      </c>
      <c r="AT483" s="515"/>
      <c r="AW483" s="519">
        <v>23</v>
      </c>
      <c r="AX483" s="519" t="str">
        <f t="shared" si="41"/>
        <v/>
      </c>
      <c r="AY483" s="519" t="str" cm="1">
        <f t="array" ref="AY483">IFERROR(SMALL(IF(LEFT('SoP 3'!$E$48:$E$49,4)="Rent",ROW('SoP 3'!$E$48:$E$49),""),AW483)-(ROW('SoP 3'!$D$47)),"")</f>
        <v/>
      </c>
      <c r="AZ483" s="519" t="str" cm="1">
        <f t="array" ref="AZ483">IF($AY483="","",INDEX('SoP 3'!$D$48:$P$49,$AY483,13))</f>
        <v/>
      </c>
      <c r="BA483" s="519" t="str" cm="1">
        <f t="array" ref="BA483">IF($AY483="","",IF(INDEX('SoP 3'!$D$48:$P$49,$AY483,10)="","",INDEX('SoP 3'!$D$48:$P$49,$AY483,10)))</f>
        <v/>
      </c>
      <c r="BB483" s="519" t="str" cm="1">
        <f t="array" ref="BB483">IF($AY483="","",INDEX('SoP 3'!$D$48:$P$49,$AY483,2))</f>
        <v/>
      </c>
      <c r="BC483" s="519" t="str" cm="1">
        <f t="array" ref="BC483">IF($AY483="","",INDEX('SoP 3'!$D$48:$P$49,$AY483,6))</f>
        <v/>
      </c>
      <c r="BD483" s="519" t="str">
        <f t="shared" si="42"/>
        <v/>
      </c>
      <c r="BE483" s="519" t="str" cm="1">
        <f t="array" ref="BE483">IF($AY483="","",INDEX('SoP 3'!$D$48:$P$49,$AY483,1))</f>
        <v/>
      </c>
      <c r="BF483" s="519" t="str">
        <f t="shared" si="43"/>
        <v/>
      </c>
      <c r="BG483" s="519" t="str" cm="1">
        <f t="array" ref="BG483">IF($AY483="","",INDEX('SoP 3'!$D$48:$P$49,$AY483,4))</f>
        <v/>
      </c>
      <c r="BH483" s="519" t="str" cm="1">
        <f t="array" ref="BH483">IF($AY483="","",INDEX('SoP 3'!$D$48:$P$49,$AY483,5))</f>
        <v/>
      </c>
      <c r="BI483" s="519" t="str" cm="1">
        <f t="array" ref="BI483">IF($AY483="","",INDEX('SoP 3'!$D$48:$P$49,$AY483,7))</f>
        <v/>
      </c>
      <c r="BJ483" s="515"/>
    </row>
    <row r="484" spans="1:62">
      <c r="A484" s="519">
        <v>24</v>
      </c>
      <c r="B484" s="519" t="str">
        <f t="shared" si="33"/>
        <v/>
      </c>
      <c r="C484" s="519" t="str" cm="1">
        <f t="array" ref="C484">IFERROR(SMALL(IF(LEFT('SoP 4'!$E$48:$E$49,4)="Rent",ROW('SoP 4'!$E$48:$E$49),""),A484)-(ROW('SoP 4'!$D$47)),"")</f>
        <v/>
      </c>
      <c r="D484" s="519" t="str" cm="1">
        <f t="array" ref="D484">IF($C484="","",INDEX('SoP 4'!$D$48:$P$49,'Internal Ref'!$C484,13))</f>
        <v/>
      </c>
      <c r="E484" s="519" t="str" cm="1">
        <f t="array" ref="E484">IF($C484="","",IF(INDEX('SoP 4'!$D$48:$P$49,'Internal Ref'!$C484,10)="","",INDEX('SoP 4'!$D$48:$P$49,'Internal Ref'!$C484,10)))</f>
        <v/>
      </c>
      <c r="F484" s="519" t="str" cm="1">
        <f t="array" ref="F484">IF($C484="","",INDEX('SoP 4'!$D$48:$P$49,'Internal Ref'!$C484,2))</f>
        <v/>
      </c>
      <c r="G484" s="519" t="str" cm="1">
        <f t="array" ref="G484">IF($C484="","",INDEX('SoP 4'!$D$48:$P$49,'Internal Ref'!$C484,6))</f>
        <v/>
      </c>
      <c r="H484" s="519" t="str">
        <f t="shared" si="44"/>
        <v/>
      </c>
      <c r="I484" s="519" t="str" cm="1">
        <f t="array" ref="I484">IF($C484="","",INDEX('SoP 4'!$D$48:$P$49,'Internal Ref'!$C484,1))</f>
        <v/>
      </c>
      <c r="J484" s="519" t="str">
        <f t="shared" si="34"/>
        <v/>
      </c>
      <c r="K484" s="519" t="str" cm="1">
        <f t="array" ref="K484">IF($C484="","",INDEX('SoP 4'!$D$48:$P$49,'Internal Ref'!$C484,4))</f>
        <v/>
      </c>
      <c r="L484" s="519" t="str" cm="1">
        <f t="array" ref="L484">IF($C484="","",INDEX('SoP 4'!$D$48:$P$49,'Internal Ref'!$C484,5))</f>
        <v/>
      </c>
      <c r="M484" s="519" t="str" cm="1">
        <f t="array" ref="M484">IF($C484="","",INDEX('SoP 4'!$D$48:$P$49,'Internal Ref'!$C484,7))</f>
        <v/>
      </c>
      <c r="Q484" s="519">
        <v>24</v>
      </c>
      <c r="R484" s="519" t="str">
        <f t="shared" si="35"/>
        <v/>
      </c>
      <c r="S484" s="519" t="str" cm="1">
        <f t="array" ref="S484">IFERROR(SMALL(IF(LEFT('SoP 2'!$E$48:$E$49,4)="Rent",ROW('SoP 2'!$E$48:$E$49),""),Q484)-(ROW('SoP 2'!$D$47)),"")</f>
        <v/>
      </c>
      <c r="T484" s="519" t="str" cm="1">
        <f t="array" ref="T484">IF($S484="","",INDEX('SoP 2'!$D$48:$P$49,'Internal Ref'!$S484,13))</f>
        <v/>
      </c>
      <c r="U484" s="519" t="str" cm="1">
        <f t="array" ref="U484">IF($S484="","",IF(INDEX('SoP 2'!$D$48:$P$49,'Internal Ref'!$S484,10)="","",INDEX('SoP 2'!$D$48:$P$49,'Internal Ref'!$S484,10)))</f>
        <v/>
      </c>
      <c r="V484" s="519" t="str" cm="1">
        <f t="array" ref="V484">IF($S484="","",INDEX('SoP 2'!$D$48:$P$49,'Internal Ref'!$S484,2))</f>
        <v/>
      </c>
      <c r="W484" s="519" t="str" cm="1">
        <f t="array" ref="W484">IF($S484="","",INDEX('SoP 2'!$D$48:$P$49,'Internal Ref'!$S484,6))</f>
        <v/>
      </c>
      <c r="X484" s="519" t="str">
        <f t="shared" si="36"/>
        <v/>
      </c>
      <c r="Y484" s="519" t="str" cm="1">
        <f t="array" ref="Y484">IF($S484="","",INDEX('SoP 2'!$D$48:$P$49,'Internal Ref'!$S484,1))</f>
        <v/>
      </c>
      <c r="Z484" s="519" t="str">
        <f t="shared" si="37"/>
        <v/>
      </c>
      <c r="AA484" s="519" t="str" cm="1">
        <f t="array" ref="AA484">IF($S484="","",INDEX('SoP 2'!$D$48:$P$49,'Internal Ref'!$S484,4))</f>
        <v/>
      </c>
      <c r="AB484" s="519" t="str" cm="1">
        <f t="array" ref="AB484">IF($S484="","",INDEX('SoP 2'!$D$48:$P$49,'Internal Ref'!$S484,5))</f>
        <v/>
      </c>
      <c r="AC484" s="519" t="str" cm="1">
        <f t="array" ref="AC484">IF($S484="","",INDEX('SoP 2'!$D$48:$P$49,'Internal Ref'!$S484,7))</f>
        <v/>
      </c>
      <c r="AG484" s="519">
        <v>24</v>
      </c>
      <c r="AH484" s="519" t="str">
        <f t="shared" si="38"/>
        <v/>
      </c>
      <c r="AI484" s="519" t="str" cm="1">
        <f t="array" ref="AI484">IFERROR(SMALL(IF(LEFT('SoP 1'!$E$84:$E$85,4)="Rent",ROW('SoP 1'!$E$84:$E$85),""),AG484)-(ROW('SoP 1'!$D$83)),"")</f>
        <v/>
      </c>
      <c r="AJ484" s="519" t="str" cm="1">
        <f t="array" ref="AJ484">IF($AI484="","",INDEX('SoP 1'!$D$84:$P$85,'Internal Ref'!$AI484,13))</f>
        <v/>
      </c>
      <c r="AK484" s="519" t="str" cm="1">
        <f t="array" ref="AK484">IF($AI484="","",IF(INDEX('SoP 1'!$D$84:$P$85,'Internal Ref'!$AI484,10)="","",INDEX('SoP 1'!$D$84:$P$85,'Internal Ref'!$AI484,10)))</f>
        <v/>
      </c>
      <c r="AL484" s="519" t="str" cm="1">
        <f t="array" ref="AL484">IF($AI484="","",INDEX('SoP 1'!$D$84:$P$85,'Internal Ref'!$AI484,2))</f>
        <v/>
      </c>
      <c r="AM484" s="519" t="str" cm="1">
        <f t="array" ref="AM484">IF($AI484="","",INDEX('SoP 1'!$D$84:$P$85,'Internal Ref'!$AI484,6))</f>
        <v/>
      </c>
      <c r="AN484" s="519" t="str">
        <f t="shared" si="39"/>
        <v/>
      </c>
      <c r="AO484" s="519" t="str" cm="1">
        <f t="array" ref="AO484">IF($AI484="","",INDEX('SoP 1'!$D$84:$P$85,'Internal Ref'!$AI484,1))</f>
        <v/>
      </c>
      <c r="AP484" s="519" t="str">
        <f t="shared" si="40"/>
        <v/>
      </c>
      <c r="AQ484" s="519" t="str" cm="1">
        <f t="array" ref="AQ484">IF($AI484="","",INDEX('SoP 1'!$D$84:$P$85,'Internal Ref'!$AI484,4))</f>
        <v/>
      </c>
      <c r="AR484" s="519" t="str" cm="1">
        <f t="array" ref="AR484">IF($AI484="","",INDEX('SoP 1'!$D$84:$P$85,'Internal Ref'!$AI484,5))</f>
        <v/>
      </c>
      <c r="AS484" s="519" t="str" cm="1">
        <f t="array" ref="AS484">IF($AI484="","",INDEX('SoP 1'!$D$84:$P$85,'Internal Ref'!$AI484,7))</f>
        <v/>
      </c>
      <c r="AW484" s="519">
        <v>24</v>
      </c>
      <c r="AX484" s="519" t="str">
        <f t="shared" si="41"/>
        <v/>
      </c>
      <c r="AY484" s="519" t="str" cm="1">
        <f t="array" ref="AY484">IFERROR(SMALL(IF(LEFT('SoP 3'!$E$48:$E$49,4)="Rent",ROW('SoP 3'!$E$48:$E$49),""),AW484)-(ROW('SoP 3'!$D$47)),"")</f>
        <v/>
      </c>
      <c r="AZ484" s="519" t="str" cm="1">
        <f t="array" ref="AZ484">IF($AY484="","",INDEX('SoP 3'!$D$48:$P$49,$AY484,13))</f>
        <v/>
      </c>
      <c r="BA484" s="519" t="str" cm="1">
        <f t="array" ref="BA484">IF($AY484="","",IF(INDEX('SoP 3'!$D$48:$P$49,$AY484,10)="","",INDEX('SoP 3'!$D$48:$P$49,$AY484,10)))</f>
        <v/>
      </c>
      <c r="BB484" s="519" t="str" cm="1">
        <f t="array" ref="BB484">IF($AY484="","",INDEX('SoP 3'!$D$48:$P$49,$AY484,2))</f>
        <v/>
      </c>
      <c r="BC484" s="519" t="str" cm="1">
        <f t="array" ref="BC484">IF($AY484="","",INDEX('SoP 3'!$D$48:$P$49,$AY484,6))</f>
        <v/>
      </c>
      <c r="BD484" s="519" t="str">
        <f t="shared" si="42"/>
        <v/>
      </c>
      <c r="BE484" s="519" t="str" cm="1">
        <f t="array" ref="BE484">IF($AY484="","",INDEX('SoP 3'!$D$48:$P$49,$AY484,1))</f>
        <v/>
      </c>
      <c r="BF484" s="519" t="str">
        <f t="shared" si="43"/>
        <v/>
      </c>
      <c r="BG484" s="519" t="str" cm="1">
        <f t="array" ref="BG484">IF($AY484="","",INDEX('SoP 3'!$D$48:$P$49,$AY484,4))</f>
        <v/>
      </c>
      <c r="BH484" s="519" t="str" cm="1">
        <f t="array" ref="BH484">IF($AY484="","",INDEX('SoP 3'!$D$48:$P$49,$AY484,5))</f>
        <v/>
      </c>
      <c r="BI484" s="519" t="str" cm="1">
        <f t="array" ref="BI484">IF($AY484="","",INDEX('SoP 3'!$D$48:$P$49,$AY484,7))</f>
        <v/>
      </c>
      <c r="BJ484" s="515"/>
    </row>
    <row r="485" spans="1:62">
      <c r="A485" s="519">
        <v>25</v>
      </c>
      <c r="B485" s="519" t="str">
        <f t="shared" si="33"/>
        <v/>
      </c>
      <c r="C485" s="519" t="str" cm="1">
        <f t="array" ref="C485">IFERROR(SMALL(IF(LEFT('SoP 4'!$E$48:$E$49,4)="Rent",ROW('SoP 4'!$E$48:$E$49),""),A485)-(ROW('SoP 4'!$D$47)),"")</f>
        <v/>
      </c>
      <c r="D485" s="519" t="str" cm="1">
        <f t="array" ref="D485">IF($C485="","",INDEX('SoP 4'!$D$48:$P$49,'Internal Ref'!$C485,13))</f>
        <v/>
      </c>
      <c r="E485" s="519" t="str" cm="1">
        <f t="array" ref="E485">IF($C485="","",IF(INDEX('SoP 4'!$D$48:$P$49,'Internal Ref'!$C485,10)="","",INDEX('SoP 4'!$D$48:$P$49,'Internal Ref'!$C485,10)))</f>
        <v/>
      </c>
      <c r="F485" s="519" t="str" cm="1">
        <f t="array" ref="F485">IF($C485="","",INDEX('SoP 4'!$D$48:$P$49,'Internal Ref'!$C485,2))</f>
        <v/>
      </c>
      <c r="G485" s="519" t="str" cm="1">
        <f t="array" ref="G485">IF($C485="","",INDEX('SoP 4'!$D$48:$P$49,'Internal Ref'!$C485,6))</f>
        <v/>
      </c>
      <c r="H485" s="519" t="str">
        <f t="shared" si="44"/>
        <v/>
      </c>
      <c r="I485" s="519" t="str" cm="1">
        <f t="array" ref="I485">IF($C485="","",INDEX('SoP 4'!$D$48:$P$49,'Internal Ref'!$C485,1))</f>
        <v/>
      </c>
      <c r="J485" s="519" t="str">
        <f t="shared" si="34"/>
        <v/>
      </c>
      <c r="K485" s="519" t="str" cm="1">
        <f t="array" ref="K485">IF($C485="","",INDEX('SoP 4'!$D$48:$P$49,'Internal Ref'!$C485,4))</f>
        <v/>
      </c>
      <c r="L485" s="519" t="str" cm="1">
        <f t="array" ref="L485">IF($C485="","",INDEX('SoP 4'!$D$48:$P$49,'Internal Ref'!$C485,5))</f>
        <v/>
      </c>
      <c r="M485" s="519" t="str" cm="1">
        <f t="array" ref="M485">IF($C485="","",INDEX('SoP 4'!$D$48:$P$49,'Internal Ref'!$C485,7))</f>
        <v/>
      </c>
      <c r="Q485" s="519">
        <v>25</v>
      </c>
      <c r="R485" s="519" t="str">
        <f t="shared" si="35"/>
        <v/>
      </c>
      <c r="S485" s="519" t="str" cm="1">
        <f t="array" ref="S485">IFERROR(SMALL(IF(LEFT('SoP 2'!$E$48:$E$49,4)="Rent",ROW('SoP 2'!$E$48:$E$49),""),Q485)-(ROW('SoP 2'!$D$47)),"")</f>
        <v/>
      </c>
      <c r="T485" s="519" t="str" cm="1">
        <f t="array" ref="T485">IF($S485="","",INDEX('SoP 2'!$D$48:$P$49,'Internal Ref'!$S485,13))</f>
        <v/>
      </c>
      <c r="U485" s="519" t="str" cm="1">
        <f t="array" ref="U485">IF($S485="","",IF(INDEX('SoP 2'!$D$48:$P$49,'Internal Ref'!$S485,10)="","",INDEX('SoP 2'!$D$48:$P$49,'Internal Ref'!$S485,10)))</f>
        <v/>
      </c>
      <c r="V485" s="519" t="str" cm="1">
        <f t="array" ref="V485">IF($S485="","",INDEX('SoP 2'!$D$48:$P$49,'Internal Ref'!$S485,2))</f>
        <v/>
      </c>
      <c r="W485" s="519" t="str" cm="1">
        <f t="array" ref="W485">IF($S485="","",INDEX('SoP 2'!$D$48:$P$49,'Internal Ref'!$S485,6))</f>
        <v/>
      </c>
      <c r="X485" s="519" t="str">
        <f t="shared" si="36"/>
        <v/>
      </c>
      <c r="Y485" s="519" t="str" cm="1">
        <f t="array" ref="Y485">IF($S485="","",INDEX('SoP 2'!$D$48:$P$49,'Internal Ref'!$S485,1))</f>
        <v/>
      </c>
      <c r="Z485" s="519" t="str">
        <f t="shared" si="37"/>
        <v/>
      </c>
      <c r="AA485" s="519" t="str" cm="1">
        <f t="array" ref="AA485">IF($S485="","",INDEX('SoP 2'!$D$48:$P$49,'Internal Ref'!$S485,4))</f>
        <v/>
      </c>
      <c r="AB485" s="519" t="str" cm="1">
        <f t="array" ref="AB485">IF($S485="","",INDEX('SoP 2'!$D$48:$P$49,'Internal Ref'!$S485,5))</f>
        <v/>
      </c>
      <c r="AC485" s="519" t="str" cm="1">
        <f t="array" ref="AC485">IF($S485="","",INDEX('SoP 2'!$D$48:$P$49,'Internal Ref'!$S485,7))</f>
        <v/>
      </c>
      <c r="AG485" s="519">
        <v>25</v>
      </c>
      <c r="AH485" s="519" t="str">
        <f t="shared" si="38"/>
        <v/>
      </c>
      <c r="AI485" s="519" t="str" cm="1">
        <f t="array" ref="AI485">IFERROR(SMALL(IF(LEFT('SoP 1'!$E$84:$E$85,4)="Rent",ROW('SoP 1'!$E$84:$E$85),""),AG485)-(ROW('SoP 1'!$D$83)),"")</f>
        <v/>
      </c>
      <c r="AJ485" s="519" t="str" cm="1">
        <f t="array" ref="AJ485">IF($AI485="","",INDEX('SoP 1'!$D$84:$P$85,'Internal Ref'!$AI485,13))</f>
        <v/>
      </c>
      <c r="AK485" s="519" t="str" cm="1">
        <f t="array" ref="AK485">IF($AI485="","",IF(INDEX('SoP 1'!$D$84:$P$85,'Internal Ref'!$AI485,10)="","",INDEX('SoP 1'!$D$84:$P$85,'Internal Ref'!$AI485,10)))</f>
        <v/>
      </c>
      <c r="AL485" s="519" t="str" cm="1">
        <f t="array" ref="AL485">IF($AI485="","",INDEX('SoP 1'!$D$84:$P$85,'Internal Ref'!$AI485,2))</f>
        <v/>
      </c>
      <c r="AM485" s="519" t="str" cm="1">
        <f t="array" ref="AM485">IF($AI485="","",INDEX('SoP 1'!$D$84:$P$85,'Internal Ref'!$AI485,6))</f>
        <v/>
      </c>
      <c r="AN485" s="519" t="str">
        <f t="shared" si="39"/>
        <v/>
      </c>
      <c r="AO485" s="519" t="str" cm="1">
        <f t="array" ref="AO485">IF($AI485="","",INDEX('SoP 1'!$D$84:$P$85,'Internal Ref'!$AI485,1))</f>
        <v/>
      </c>
      <c r="AP485" s="519" t="str">
        <f t="shared" si="40"/>
        <v/>
      </c>
      <c r="AQ485" s="519" t="str" cm="1">
        <f t="array" ref="AQ485">IF($AI485="","",INDEX('SoP 1'!$D$84:$P$85,'Internal Ref'!$AI485,4))</f>
        <v/>
      </c>
      <c r="AR485" s="519" t="str" cm="1">
        <f t="array" ref="AR485">IF($AI485="","",INDEX('SoP 1'!$D$84:$P$85,'Internal Ref'!$AI485,5))</f>
        <v/>
      </c>
      <c r="AS485" s="519" t="str" cm="1">
        <f t="array" ref="AS485">IF($AI485="","",INDEX('SoP 1'!$D$84:$P$85,'Internal Ref'!$AI485,7))</f>
        <v/>
      </c>
      <c r="AW485" s="519">
        <v>25</v>
      </c>
      <c r="AX485" s="519" t="str">
        <f t="shared" si="41"/>
        <v/>
      </c>
      <c r="AY485" s="519" t="str" cm="1">
        <f t="array" ref="AY485">IFERROR(SMALL(IF(LEFT('SoP 3'!$E$48:$E$49,4)="Rent",ROW('SoP 3'!$E$48:$E$49),""),AW485)-(ROW('SoP 3'!$D$47)),"")</f>
        <v/>
      </c>
      <c r="AZ485" s="519" t="str" cm="1">
        <f t="array" ref="AZ485">IF($AY485="","",INDEX('SoP 3'!$D$48:$P$49,$AY485,13))</f>
        <v/>
      </c>
      <c r="BA485" s="519" t="str" cm="1">
        <f t="array" ref="BA485">IF($AY485="","",IF(INDEX('SoP 3'!$D$48:$P$49,$AY485,10)="","",INDEX('SoP 3'!$D$48:$P$49,$AY485,10)))</f>
        <v/>
      </c>
      <c r="BB485" s="519" t="str" cm="1">
        <f t="array" ref="BB485">IF($AY485="","",INDEX('SoP 3'!$D$48:$P$49,$AY485,2))</f>
        <v/>
      </c>
      <c r="BC485" s="519" t="str" cm="1">
        <f t="array" ref="BC485">IF($AY485="","",INDEX('SoP 3'!$D$48:$P$49,$AY485,6))</f>
        <v/>
      </c>
      <c r="BD485" s="519" t="str">
        <f t="shared" si="42"/>
        <v/>
      </c>
      <c r="BE485" s="519" t="str" cm="1">
        <f t="array" ref="BE485">IF($AY485="","",INDEX('SoP 3'!$D$48:$P$49,$AY485,1))</f>
        <v/>
      </c>
      <c r="BF485" s="519" t="str">
        <f t="shared" si="43"/>
        <v/>
      </c>
      <c r="BG485" s="519" t="str" cm="1">
        <f t="array" ref="BG485">IF($AY485="","",INDEX('SoP 3'!$D$48:$P$49,$AY485,4))</f>
        <v/>
      </c>
      <c r="BH485" s="519" t="str" cm="1">
        <f t="array" ref="BH485">IF($AY485="","",INDEX('SoP 3'!$D$48:$P$49,$AY485,5))</f>
        <v/>
      </c>
      <c r="BI485" s="519" t="str" cm="1">
        <f t="array" ref="BI485">IF($AY485="","",INDEX('SoP 3'!$D$48:$P$49,$AY485,7))</f>
        <v/>
      </c>
      <c r="BJ485" s="515"/>
    </row>
    <row r="486" spans="1:62">
      <c r="BJ486" s="515"/>
    </row>
    <row r="487" spans="1:62">
      <c r="BJ487" s="515"/>
    </row>
    <row r="488" spans="1:62">
      <c r="BJ488" s="515"/>
    </row>
    <row r="500" spans="1:3">
      <c r="A500" s="162" t="s">
        <v>597</v>
      </c>
      <c r="B500" s="162" t="s">
        <v>8794</v>
      </c>
      <c r="C500" s="163"/>
    </row>
    <row r="501" spans="1:3">
      <c r="A501" s="507" t="s">
        <v>8768</v>
      </c>
      <c r="B501" s="16"/>
      <c r="C501" s="25" t="s">
        <v>3</v>
      </c>
    </row>
    <row r="502" spans="1:3">
      <c r="A502" s="169" t="s">
        <v>607</v>
      </c>
      <c r="B502" s="16"/>
      <c r="C502" s="25" t="s">
        <v>3</v>
      </c>
    </row>
    <row r="503" spans="1:3">
      <c r="A503" s="169" t="s">
        <v>608</v>
      </c>
      <c r="B503" s="16"/>
      <c r="C503" s="25" t="s">
        <v>3</v>
      </c>
    </row>
    <row r="504" spans="1:3">
      <c r="A504" s="169" t="s">
        <v>609</v>
      </c>
      <c r="B504" s="16"/>
      <c r="C504" s="25" t="s">
        <v>3</v>
      </c>
    </row>
    <row r="505" spans="1:3">
      <c r="A505" s="169" t="s">
        <v>610</v>
      </c>
      <c r="B505" s="16"/>
      <c r="C505" s="25" t="s">
        <v>3</v>
      </c>
    </row>
    <row r="506" spans="1:3">
      <c r="A506" s="169" t="s">
        <v>58</v>
      </c>
      <c r="B506" s="16"/>
      <c r="C506" s="25" t="s">
        <v>3</v>
      </c>
    </row>
    <row r="507" spans="1:3">
      <c r="A507" s="507" t="s">
        <v>8769</v>
      </c>
      <c r="B507" s="16"/>
      <c r="C507" s="25" t="s">
        <v>3</v>
      </c>
    </row>
    <row r="508" spans="1:3">
      <c r="A508" s="169" t="s">
        <v>603</v>
      </c>
      <c r="B508" s="16"/>
      <c r="C508" s="25" t="s">
        <v>3</v>
      </c>
    </row>
    <row r="509" spans="1:3">
      <c r="A509" s="169" t="s">
        <v>109</v>
      </c>
      <c r="B509" s="16"/>
      <c r="C509" s="25" t="s">
        <v>3</v>
      </c>
    </row>
    <row r="510" spans="1:3">
      <c r="A510" s="169" t="s">
        <v>613</v>
      </c>
      <c r="B510" s="16"/>
      <c r="C510" s="25" t="s">
        <v>3</v>
      </c>
    </row>
    <row r="511" spans="1:3">
      <c r="A511" s="169" t="s">
        <v>615</v>
      </c>
      <c r="B511" s="16"/>
      <c r="C511" s="25" t="s">
        <v>3</v>
      </c>
    </row>
    <row r="512" spans="1:3">
      <c r="A512" s="169" t="s">
        <v>617</v>
      </c>
      <c r="B512" s="16"/>
      <c r="C512" s="25" t="s">
        <v>3</v>
      </c>
    </row>
    <row r="513" spans="1:3">
      <c r="A513" s="169" t="s">
        <v>679</v>
      </c>
      <c r="B513" s="16"/>
      <c r="C513" s="25" t="s">
        <v>3</v>
      </c>
    </row>
    <row r="514" spans="1:3">
      <c r="A514" s="169" t="s">
        <v>619</v>
      </c>
      <c r="B514" s="16"/>
      <c r="C514" s="25" t="s">
        <v>3</v>
      </c>
    </row>
    <row r="515" spans="1:3">
      <c r="A515" s="169" t="s">
        <v>622</v>
      </c>
      <c r="B515" s="16"/>
      <c r="C515" s="25" t="s">
        <v>3</v>
      </c>
    </row>
    <row r="516" spans="1:3">
      <c r="A516" s="169" t="s">
        <v>58</v>
      </c>
      <c r="B516" s="16"/>
      <c r="C516" s="25" t="s">
        <v>3</v>
      </c>
    </row>
    <row r="517" spans="1:3">
      <c r="A517" s="507" t="s">
        <v>110</v>
      </c>
      <c r="B517" s="16"/>
      <c r="C517" s="25" t="s">
        <v>3</v>
      </c>
    </row>
    <row r="518" spans="1:3">
      <c r="A518" s="169" t="s">
        <v>629</v>
      </c>
      <c r="B518" s="16"/>
      <c r="C518" s="25" t="s">
        <v>3</v>
      </c>
    </row>
    <row r="519" spans="1:3">
      <c r="A519" s="169" t="s">
        <v>633</v>
      </c>
      <c r="B519" s="16"/>
      <c r="C519" s="25" t="s">
        <v>3</v>
      </c>
    </row>
    <row r="520" spans="1:3">
      <c r="A520" s="169" t="s">
        <v>634</v>
      </c>
      <c r="B520" s="16"/>
      <c r="C520" s="25" t="s">
        <v>3</v>
      </c>
    </row>
    <row r="521" spans="1:3">
      <c r="A521" s="169" t="s">
        <v>58</v>
      </c>
      <c r="B521" s="16"/>
      <c r="C521" s="25" t="s">
        <v>3</v>
      </c>
    </row>
    <row r="522" spans="1:3">
      <c r="A522" s="507" t="s">
        <v>8770</v>
      </c>
      <c r="B522" s="16"/>
      <c r="C522" s="25" t="s">
        <v>3</v>
      </c>
    </row>
    <row r="523" spans="1:3">
      <c r="A523" s="169" t="s">
        <v>635</v>
      </c>
      <c r="B523" s="16"/>
      <c r="C523" s="25" t="s">
        <v>3</v>
      </c>
    </row>
    <row r="524" spans="1:3">
      <c r="A524" s="169" t="s">
        <v>636</v>
      </c>
      <c r="B524" s="16"/>
      <c r="C524" s="25" t="s">
        <v>3</v>
      </c>
    </row>
    <row r="525" spans="1:3">
      <c r="A525" s="169" t="s">
        <v>637</v>
      </c>
      <c r="B525" s="16"/>
      <c r="C525" s="25" t="s">
        <v>3</v>
      </c>
    </row>
    <row r="526" spans="1:3">
      <c r="A526" s="169" t="s">
        <v>638</v>
      </c>
      <c r="B526" s="16"/>
      <c r="C526" s="25" t="s">
        <v>3</v>
      </c>
    </row>
    <row r="527" spans="1:3">
      <c r="A527" s="169" t="s">
        <v>639</v>
      </c>
      <c r="B527" s="16"/>
      <c r="C527" s="25" t="s">
        <v>3</v>
      </c>
    </row>
    <row r="528" spans="1:3">
      <c r="A528" s="169" t="s">
        <v>640</v>
      </c>
      <c r="B528" s="16"/>
      <c r="C528" s="25" t="s">
        <v>3</v>
      </c>
    </row>
    <row r="529" spans="1:3">
      <c r="A529" s="169" t="s">
        <v>58</v>
      </c>
      <c r="B529" s="16"/>
      <c r="C529" s="25" t="s">
        <v>3</v>
      </c>
    </row>
    <row r="530" spans="1:3">
      <c r="A530" s="507" t="s">
        <v>8765</v>
      </c>
      <c r="B530" s="16"/>
      <c r="C530" s="25" t="s">
        <v>3</v>
      </c>
    </row>
    <row r="531" spans="1:3">
      <c r="A531" s="169" t="s">
        <v>646</v>
      </c>
      <c r="B531" s="16"/>
      <c r="C531" s="25" t="s">
        <v>3</v>
      </c>
    </row>
    <row r="532" spans="1:3">
      <c r="A532" s="169" t="s">
        <v>647</v>
      </c>
      <c r="B532" s="16"/>
      <c r="C532" s="25" t="s">
        <v>3</v>
      </c>
    </row>
    <row r="533" spans="1:3">
      <c r="A533" s="169" t="s">
        <v>648</v>
      </c>
      <c r="B533" s="16"/>
      <c r="C533" s="25" t="s">
        <v>3</v>
      </c>
    </row>
    <row r="534" spans="1:3">
      <c r="A534" s="507" t="s">
        <v>9104</v>
      </c>
      <c r="B534" s="16"/>
      <c r="C534" s="25" t="s">
        <v>3</v>
      </c>
    </row>
    <row r="535" spans="1:3">
      <c r="A535" s="169" t="s">
        <v>645</v>
      </c>
      <c r="B535" s="16"/>
      <c r="C535" s="25" t="s">
        <v>3</v>
      </c>
    </row>
    <row r="536" spans="1:3">
      <c r="A536" s="169" t="s">
        <v>703</v>
      </c>
      <c r="B536" s="16"/>
      <c r="C536" s="25" t="s">
        <v>3</v>
      </c>
    </row>
    <row r="537" spans="1:3">
      <c r="A537" s="169" t="s">
        <v>704</v>
      </c>
      <c r="B537" s="16"/>
      <c r="C537" s="25" t="s">
        <v>3</v>
      </c>
    </row>
    <row r="538" spans="1:3">
      <c r="A538" s="169" t="s">
        <v>649</v>
      </c>
      <c r="B538" s="16"/>
      <c r="C538" s="25" t="s">
        <v>3</v>
      </c>
    </row>
    <row r="539" spans="1:3">
      <c r="A539" s="169" t="s">
        <v>706</v>
      </c>
      <c r="B539" s="16"/>
      <c r="C539" s="25" t="s">
        <v>3</v>
      </c>
    </row>
    <row r="540" spans="1:3">
      <c r="A540" s="169" t="s">
        <v>651</v>
      </c>
      <c r="B540" s="16"/>
      <c r="C540" s="25" t="s">
        <v>3</v>
      </c>
    </row>
    <row r="541" spans="1:3">
      <c r="A541" s="169" t="s">
        <v>8766</v>
      </c>
      <c r="B541" s="16"/>
      <c r="C541" s="25" t="s">
        <v>3</v>
      </c>
    </row>
    <row r="542" spans="1:3">
      <c r="A542" s="169" t="s">
        <v>58</v>
      </c>
      <c r="B542" s="16"/>
      <c r="C542" s="25" t="s">
        <v>3</v>
      </c>
    </row>
    <row r="543" spans="1:3">
      <c r="A543" s="507" t="s">
        <v>8767</v>
      </c>
      <c r="B543" s="16"/>
      <c r="C543" s="25" t="s">
        <v>3</v>
      </c>
    </row>
    <row r="544" spans="1:3">
      <c r="A544" s="169" t="s">
        <v>652</v>
      </c>
      <c r="B544" s="16"/>
      <c r="C544" s="25" t="s">
        <v>3</v>
      </c>
    </row>
    <row r="545" spans="1:12">
      <c r="A545" s="169" t="s">
        <v>653</v>
      </c>
      <c r="B545" s="16"/>
      <c r="C545" s="25" t="s">
        <v>3</v>
      </c>
    </row>
    <row r="546" spans="1:12">
      <c r="A546" s="169" t="s">
        <v>654</v>
      </c>
      <c r="B546" s="16"/>
      <c r="C546" s="25" t="s">
        <v>3</v>
      </c>
    </row>
    <row r="547" spans="1:12">
      <c r="A547" s="169" t="s">
        <v>655</v>
      </c>
      <c r="B547" s="16"/>
      <c r="C547" s="25" t="s">
        <v>3</v>
      </c>
    </row>
    <row r="548" spans="1:12">
      <c r="A548" s="169" t="s">
        <v>656</v>
      </c>
      <c r="B548" s="16"/>
      <c r="C548" s="25" t="s">
        <v>3</v>
      </c>
    </row>
    <row r="549" spans="1:12">
      <c r="A549" s="169" t="s">
        <v>657</v>
      </c>
      <c r="B549" s="16"/>
      <c r="C549" s="25" t="s">
        <v>3</v>
      </c>
    </row>
    <row r="550" spans="1:12">
      <c r="A550" s="169" t="s">
        <v>658</v>
      </c>
      <c r="B550" s="16"/>
      <c r="C550" s="25" t="s">
        <v>3</v>
      </c>
    </row>
    <row r="551" spans="1:12">
      <c r="A551" s="169" t="s">
        <v>659</v>
      </c>
      <c r="B551" s="16"/>
      <c r="C551" s="25" t="s">
        <v>3</v>
      </c>
    </row>
    <row r="552" spans="1:12">
      <c r="A552" s="169" t="s">
        <v>660</v>
      </c>
      <c r="B552" s="16"/>
      <c r="C552" s="25" t="s">
        <v>3</v>
      </c>
    </row>
    <row r="553" spans="1:12">
      <c r="A553" s="169" t="s">
        <v>661</v>
      </c>
      <c r="B553" s="16"/>
      <c r="C553" s="25" t="s">
        <v>3</v>
      </c>
    </row>
    <row r="554" spans="1:12">
      <c r="A554" s="169" t="s">
        <v>8793</v>
      </c>
      <c r="B554" s="16"/>
      <c r="C554" s="25" t="s">
        <v>3</v>
      </c>
    </row>
    <row r="555" spans="1:12">
      <c r="A555" s="169" t="s">
        <v>664</v>
      </c>
      <c r="B555" s="16"/>
      <c r="C555" s="25" t="s">
        <v>3</v>
      </c>
      <c r="L555" s="2">
        <v>0</v>
      </c>
    </row>
    <row r="556" spans="1:12">
      <c r="A556" s="169" t="s">
        <v>8792</v>
      </c>
      <c r="B556" s="16"/>
      <c r="C556" s="25" t="s">
        <v>3</v>
      </c>
    </row>
    <row r="557" spans="1:12">
      <c r="A557" s="169" t="s">
        <v>58</v>
      </c>
      <c r="B557" s="16"/>
      <c r="C557" s="25" t="s">
        <v>3</v>
      </c>
    </row>
    <row r="558" spans="1:12">
      <c r="A558" s="507" t="s">
        <v>8762</v>
      </c>
      <c r="B558" s="16"/>
      <c r="C558" s="25" t="s">
        <v>3</v>
      </c>
    </row>
    <row r="559" spans="1:12">
      <c r="A559" s="169" t="s">
        <v>665</v>
      </c>
      <c r="B559" s="16"/>
      <c r="C559" s="25" t="s">
        <v>3</v>
      </c>
    </row>
    <row r="560" spans="1:12">
      <c r="A560" s="169" t="s">
        <v>666</v>
      </c>
      <c r="B560" s="16"/>
      <c r="C560" s="25" t="s">
        <v>3</v>
      </c>
    </row>
    <row r="561" spans="1:3">
      <c r="A561" s="169" t="s">
        <v>667</v>
      </c>
      <c r="B561" s="16"/>
      <c r="C561" s="25" t="s">
        <v>3</v>
      </c>
    </row>
    <row r="562" spans="1:3">
      <c r="A562" s="169" t="s">
        <v>668</v>
      </c>
      <c r="B562" s="16"/>
      <c r="C562" s="25" t="s">
        <v>3</v>
      </c>
    </row>
    <row r="563" spans="1:3">
      <c r="A563" s="169" t="s">
        <v>58</v>
      </c>
      <c r="B563" s="16"/>
      <c r="C563" s="25" t="s">
        <v>3</v>
      </c>
    </row>
    <row r="564" spans="1:3">
      <c r="A564" s="507" t="s">
        <v>8763</v>
      </c>
      <c r="B564" s="16"/>
      <c r="C564" s="25" t="s">
        <v>3</v>
      </c>
    </row>
    <row r="565" spans="1:3">
      <c r="A565" s="169" t="s">
        <v>669</v>
      </c>
      <c r="B565" s="16"/>
      <c r="C565" s="25" t="s">
        <v>3</v>
      </c>
    </row>
    <row r="566" spans="1:3">
      <c r="A566" s="169" t="s">
        <v>670</v>
      </c>
      <c r="B566" s="16"/>
      <c r="C566" s="25" t="s">
        <v>3</v>
      </c>
    </row>
    <row r="567" spans="1:3">
      <c r="A567" s="169" t="s">
        <v>8764</v>
      </c>
      <c r="B567" s="16"/>
      <c r="C567" s="25" t="s">
        <v>3</v>
      </c>
    </row>
    <row r="568" spans="1:3">
      <c r="A568" s="169" t="s">
        <v>671</v>
      </c>
      <c r="B568" s="16"/>
      <c r="C568" s="25" t="s">
        <v>3</v>
      </c>
    </row>
    <row r="569" spans="1:3">
      <c r="A569" s="169" t="s">
        <v>672</v>
      </c>
      <c r="B569" s="16"/>
      <c r="C569" s="25" t="s">
        <v>3</v>
      </c>
    </row>
    <row r="570" spans="1:3">
      <c r="A570" s="169" t="s">
        <v>673</v>
      </c>
      <c r="B570" s="16"/>
      <c r="C570" s="25" t="s">
        <v>3</v>
      </c>
    </row>
    <row r="571" spans="1:3">
      <c r="A571" s="169" t="s">
        <v>649</v>
      </c>
      <c r="B571" s="16"/>
      <c r="C571" s="25" t="s">
        <v>3</v>
      </c>
    </row>
    <row r="572" spans="1:3">
      <c r="A572" s="169" t="s">
        <v>58</v>
      </c>
      <c r="B572" s="16"/>
      <c r="C572" s="25" t="s">
        <v>3</v>
      </c>
    </row>
    <row r="573" spans="1:3">
      <c r="A573" s="507" t="s">
        <v>8771</v>
      </c>
      <c r="B573" s="16"/>
      <c r="C573" s="25" t="s">
        <v>3</v>
      </c>
    </row>
    <row r="574" spans="1:3">
      <c r="A574" s="169" t="s">
        <v>681</v>
      </c>
      <c r="B574" s="16"/>
      <c r="C574" s="25" t="s">
        <v>3</v>
      </c>
    </row>
    <row r="575" spans="1:3">
      <c r="A575" s="169" t="s">
        <v>682</v>
      </c>
      <c r="B575" s="16"/>
      <c r="C575" s="25" t="s">
        <v>3</v>
      </c>
    </row>
    <row r="576" spans="1:3">
      <c r="A576" s="169" t="s">
        <v>683</v>
      </c>
      <c r="B576" s="16"/>
      <c r="C576" s="25" t="s">
        <v>3</v>
      </c>
    </row>
    <row r="577" spans="1:13">
      <c r="A577" s="169" t="s">
        <v>684</v>
      </c>
      <c r="B577" s="16"/>
      <c r="C577" s="25" t="s">
        <v>3</v>
      </c>
    </row>
    <row r="578" spans="1:13">
      <c r="A578" s="169" t="s">
        <v>685</v>
      </c>
      <c r="B578" s="16"/>
      <c r="C578" s="25" t="s">
        <v>3</v>
      </c>
    </row>
    <row r="579" spans="1:13">
      <c r="A579" s="169" t="s">
        <v>58</v>
      </c>
      <c r="B579" s="16"/>
      <c r="C579" s="25" t="s">
        <v>3</v>
      </c>
    </row>
    <row r="580" spans="1:13">
      <c r="A580" s="507" t="s">
        <v>8757</v>
      </c>
      <c r="B580" s="16"/>
      <c r="C580" s="25" t="s">
        <v>3</v>
      </c>
    </row>
    <row r="581" spans="1:13">
      <c r="A581" s="169" t="s">
        <v>686</v>
      </c>
      <c r="B581" s="16"/>
      <c r="C581" s="25" t="s">
        <v>3</v>
      </c>
      <c r="M581" s="2">
        <v>1</v>
      </c>
    </row>
    <row r="582" spans="1:13">
      <c r="A582" s="169" t="s">
        <v>687</v>
      </c>
      <c r="B582" s="16"/>
      <c r="C582" s="25" t="s">
        <v>3</v>
      </c>
      <c r="L582" s="2">
        <v>0</v>
      </c>
    </row>
    <row r="583" spans="1:13">
      <c r="A583" s="169" t="s">
        <v>688</v>
      </c>
      <c r="B583" s="16"/>
      <c r="C583" s="25" t="s">
        <v>3</v>
      </c>
      <c r="L583" s="2">
        <v>0</v>
      </c>
    </row>
    <row r="584" spans="1:13">
      <c r="A584" s="169" t="s">
        <v>689</v>
      </c>
      <c r="B584" s="16"/>
      <c r="C584" s="25" t="s">
        <v>3</v>
      </c>
    </row>
    <row r="585" spans="1:13">
      <c r="A585" s="169" t="s">
        <v>690</v>
      </c>
      <c r="B585" s="16"/>
      <c r="C585" s="25" t="s">
        <v>3</v>
      </c>
    </row>
    <row r="586" spans="1:13">
      <c r="A586" s="507" t="s">
        <v>121</v>
      </c>
      <c r="B586" s="16"/>
      <c r="C586" s="25" t="s">
        <v>3</v>
      </c>
    </row>
    <row r="587" spans="1:13">
      <c r="A587" s="169" t="s">
        <v>691</v>
      </c>
      <c r="B587" s="16"/>
      <c r="C587" s="25" t="s">
        <v>3</v>
      </c>
    </row>
    <row r="588" spans="1:13">
      <c r="A588" s="169" t="s">
        <v>692</v>
      </c>
      <c r="B588" s="16"/>
      <c r="C588" s="25" t="s">
        <v>3</v>
      </c>
    </row>
    <row r="589" spans="1:13">
      <c r="A589" s="169" t="s">
        <v>693</v>
      </c>
      <c r="B589" s="16"/>
      <c r="C589" s="25" t="s">
        <v>3</v>
      </c>
    </row>
    <row r="590" spans="1:13">
      <c r="A590" s="169" t="s">
        <v>694</v>
      </c>
      <c r="B590" s="16"/>
      <c r="C590" s="25" t="s">
        <v>3</v>
      </c>
    </row>
    <row r="591" spans="1:13">
      <c r="A591" s="169" t="s">
        <v>619</v>
      </c>
      <c r="B591" s="16"/>
      <c r="C591" s="25" t="s">
        <v>3</v>
      </c>
    </row>
    <row r="592" spans="1:13">
      <c r="A592" s="169" t="s">
        <v>622</v>
      </c>
      <c r="B592" s="16"/>
      <c r="C592" s="25" t="s">
        <v>3</v>
      </c>
    </row>
    <row r="593" spans="1:3">
      <c r="A593" s="169" t="s">
        <v>624</v>
      </c>
      <c r="B593" s="16"/>
      <c r="C593" s="25" t="s">
        <v>3</v>
      </c>
    </row>
    <row r="594" spans="1:3">
      <c r="A594" s="507" t="s">
        <v>8790</v>
      </c>
      <c r="B594" s="16"/>
      <c r="C594" s="25" t="s">
        <v>3</v>
      </c>
    </row>
    <row r="595" spans="1:3">
      <c r="A595" s="169" t="s">
        <v>695</v>
      </c>
      <c r="B595" s="16"/>
      <c r="C595" s="25" t="s">
        <v>3</v>
      </c>
    </row>
    <row r="596" spans="1:3">
      <c r="A596" s="169" t="s">
        <v>696</v>
      </c>
      <c r="B596" s="16"/>
      <c r="C596" s="25" t="s">
        <v>3</v>
      </c>
    </row>
    <row r="597" spans="1:3">
      <c r="A597" s="169" t="s">
        <v>58</v>
      </c>
      <c r="B597" s="16"/>
      <c r="C597" s="25" t="s">
        <v>3</v>
      </c>
    </row>
    <row r="598" spans="1:3">
      <c r="A598" s="507" t="s">
        <v>628</v>
      </c>
      <c r="B598" s="16"/>
      <c r="C598" s="25" t="s">
        <v>3</v>
      </c>
    </row>
    <row r="599" spans="1:3">
      <c r="A599" s="169" t="s">
        <v>8761</v>
      </c>
      <c r="B599" s="685"/>
      <c r="C599" s="25" t="s">
        <v>3</v>
      </c>
    </row>
    <row r="600" spans="1:3">
      <c r="A600" s="169" t="s">
        <v>697</v>
      </c>
      <c r="B600" s="16"/>
      <c r="C600" s="25" t="s">
        <v>3</v>
      </c>
    </row>
    <row r="601" spans="1:3">
      <c r="A601" s="169" t="s">
        <v>8760</v>
      </c>
      <c r="B601" s="16"/>
      <c r="C601" s="25" t="s">
        <v>3</v>
      </c>
    </row>
    <row r="602" spans="1:3">
      <c r="A602" s="169" t="s">
        <v>698</v>
      </c>
      <c r="B602" s="16"/>
      <c r="C602" s="25" t="s">
        <v>3</v>
      </c>
    </row>
    <row r="603" spans="1:3">
      <c r="A603" s="169" t="s">
        <v>699</v>
      </c>
      <c r="B603" s="16"/>
      <c r="C603" s="25" t="s">
        <v>3</v>
      </c>
    </row>
    <row r="604" spans="1:3">
      <c r="A604" s="169" t="s">
        <v>8758</v>
      </c>
      <c r="B604" s="16"/>
      <c r="C604" s="25" t="s">
        <v>3</v>
      </c>
    </row>
    <row r="605" spans="1:3">
      <c r="A605" s="169" t="s">
        <v>701</v>
      </c>
      <c r="B605" s="16"/>
      <c r="C605" s="25" t="s">
        <v>3</v>
      </c>
    </row>
    <row r="606" spans="1:3">
      <c r="A606" s="169" t="s">
        <v>702</v>
      </c>
      <c r="B606" s="16"/>
      <c r="C606" s="25" t="s">
        <v>3</v>
      </c>
    </row>
    <row r="607" spans="1:3">
      <c r="A607" s="169" t="s">
        <v>705</v>
      </c>
      <c r="B607" s="16"/>
      <c r="C607" s="25" t="s">
        <v>3</v>
      </c>
    </row>
    <row r="608" spans="1:3">
      <c r="A608" s="169" t="s">
        <v>8759</v>
      </c>
      <c r="B608" s="16"/>
      <c r="C608" s="25" t="s">
        <v>3</v>
      </c>
    </row>
    <row r="609" spans="1:7">
      <c r="A609" s="169" t="s">
        <v>626</v>
      </c>
      <c r="B609" s="16"/>
      <c r="C609" s="25" t="s">
        <v>3</v>
      </c>
    </row>
    <row r="610" spans="1:7">
      <c r="A610" s="169" t="s">
        <v>58</v>
      </c>
      <c r="B610" s="16"/>
      <c r="C610" s="25" t="s">
        <v>3</v>
      </c>
    </row>
    <row r="614" spans="1:7" ht="45">
      <c r="A614" s="165" t="s">
        <v>557</v>
      </c>
      <c r="B614" s="165" t="s">
        <v>558</v>
      </c>
      <c r="C614" s="165" t="s">
        <v>598</v>
      </c>
      <c r="D614" s="165" t="s">
        <v>559</v>
      </c>
      <c r="E614" s="165" t="s">
        <v>599</v>
      </c>
      <c r="F614" s="165" t="s">
        <v>600</v>
      </c>
      <c r="G614" s="165" t="s">
        <v>8165</v>
      </c>
    </row>
    <row r="615" spans="1:7">
      <c r="A615" s="25" t="s">
        <v>570</v>
      </c>
      <c r="B615" s="154" t="s">
        <v>9088</v>
      </c>
      <c r="C615" s="53" t="s">
        <v>9087</v>
      </c>
      <c r="D615" s="80">
        <v>10</v>
      </c>
      <c r="E615" s="25" t="s">
        <v>562</v>
      </c>
      <c r="F615" s="25" t="s">
        <v>563</v>
      </c>
      <c r="G615" s="25"/>
    </row>
    <row r="616" spans="1:7">
      <c r="A616" s="25" t="s">
        <v>574</v>
      </c>
      <c r="B616" s="154" t="s">
        <v>602</v>
      </c>
      <c r="C616" s="53" t="s">
        <v>108</v>
      </c>
      <c r="D616" s="80">
        <v>5</v>
      </c>
      <c r="E616" s="25" t="s">
        <v>562</v>
      </c>
      <c r="F616" s="25" t="s">
        <v>563</v>
      </c>
      <c r="G616" s="25"/>
    </row>
    <row r="617" spans="1:7">
      <c r="A617" s="25" t="s">
        <v>110</v>
      </c>
      <c r="B617" s="154" t="s">
        <v>110</v>
      </c>
      <c r="C617" s="53" t="s">
        <v>110</v>
      </c>
      <c r="D617" s="80">
        <v>4</v>
      </c>
      <c r="E617" s="25" t="s">
        <v>562</v>
      </c>
      <c r="F617" s="25" t="s">
        <v>563</v>
      </c>
      <c r="G617" s="25"/>
    </row>
    <row r="618" spans="1:7">
      <c r="A618" s="25" t="s">
        <v>564</v>
      </c>
      <c r="B618" s="154" t="s">
        <v>605</v>
      </c>
      <c r="C618" s="53" t="s">
        <v>112</v>
      </c>
      <c r="D618" s="80">
        <v>5</v>
      </c>
      <c r="E618" s="25" t="s">
        <v>562</v>
      </c>
      <c r="F618" s="25" t="s">
        <v>563</v>
      </c>
      <c r="G618" s="25"/>
    </row>
    <row r="619" spans="1:7">
      <c r="A619" s="25" t="s">
        <v>572</v>
      </c>
      <c r="B619" s="154" t="s">
        <v>573</v>
      </c>
      <c r="C619" s="53" t="s">
        <v>114</v>
      </c>
      <c r="D619" s="80">
        <v>14</v>
      </c>
      <c r="E619" s="25" t="s">
        <v>562</v>
      </c>
      <c r="F619" s="25" t="s">
        <v>563</v>
      </c>
      <c r="G619" s="25"/>
    </row>
    <row r="620" spans="1:7">
      <c r="A620" s="25" t="s">
        <v>606</v>
      </c>
      <c r="B620" s="154" t="s">
        <v>116</v>
      </c>
      <c r="C620" s="53" t="s">
        <v>116</v>
      </c>
      <c r="D620" s="80">
        <v>6</v>
      </c>
      <c r="E620" s="25" t="s">
        <v>562</v>
      </c>
      <c r="F620" s="25" t="s">
        <v>563</v>
      </c>
      <c r="G620" s="25"/>
    </row>
    <row r="621" spans="1:7">
      <c r="A621" s="25" t="s">
        <v>107</v>
      </c>
      <c r="B621" s="154" t="s">
        <v>107</v>
      </c>
      <c r="C621" s="53" t="s">
        <v>107</v>
      </c>
      <c r="D621" s="80">
        <v>7</v>
      </c>
      <c r="E621" s="25" t="s">
        <v>568</v>
      </c>
      <c r="F621" s="25" t="s">
        <v>569</v>
      </c>
      <c r="G621" s="25"/>
    </row>
    <row r="622" spans="1:7">
      <c r="A622" s="25" t="s">
        <v>109</v>
      </c>
      <c r="B622" s="154" t="s">
        <v>109</v>
      </c>
      <c r="C622" s="53" t="s">
        <v>109</v>
      </c>
      <c r="D622" s="80">
        <v>4</v>
      </c>
      <c r="E622" s="25" t="s">
        <v>568</v>
      </c>
      <c r="F622" s="25" t="s">
        <v>569</v>
      </c>
      <c r="G622" s="25"/>
    </row>
    <row r="623" spans="1:7">
      <c r="A623" s="25" t="s">
        <v>565</v>
      </c>
      <c r="B623" s="154" t="s">
        <v>111</v>
      </c>
      <c r="C623" s="53" t="s">
        <v>111</v>
      </c>
      <c r="D623" s="80">
        <v>6</v>
      </c>
      <c r="E623" s="25" t="s">
        <v>568</v>
      </c>
      <c r="F623" s="25" t="s">
        <v>569</v>
      </c>
      <c r="G623" s="25"/>
    </row>
    <row r="624" spans="1:7">
      <c r="A624" s="25" t="s">
        <v>580</v>
      </c>
      <c r="B624" s="154" t="s">
        <v>611</v>
      </c>
      <c r="C624" s="53" t="s">
        <v>113</v>
      </c>
      <c r="D624" s="80">
        <v>8</v>
      </c>
      <c r="E624" s="25" t="s">
        <v>568</v>
      </c>
      <c r="F624" s="25" t="s">
        <v>569</v>
      </c>
      <c r="G624" s="25"/>
    </row>
    <row r="625" spans="1:7">
      <c r="A625" s="25" t="s">
        <v>566</v>
      </c>
      <c r="B625" s="154" t="s">
        <v>567</v>
      </c>
      <c r="C625" s="53" t="s">
        <v>115</v>
      </c>
      <c r="D625" s="80">
        <v>7</v>
      </c>
      <c r="E625" s="25" t="s">
        <v>568</v>
      </c>
      <c r="F625" s="25" t="s">
        <v>569</v>
      </c>
      <c r="G625" s="25"/>
    </row>
    <row r="626" spans="1:7">
      <c r="A626" s="25" t="s">
        <v>22</v>
      </c>
      <c r="B626" s="154" t="s">
        <v>612</v>
      </c>
      <c r="C626" s="53" t="s">
        <v>117</v>
      </c>
      <c r="D626" s="80">
        <v>5</v>
      </c>
      <c r="E626" s="25" t="s">
        <v>568</v>
      </c>
      <c r="F626" s="25" t="s">
        <v>569</v>
      </c>
      <c r="G626" s="25"/>
    </row>
    <row r="627" spans="1:7">
      <c r="A627" s="25" t="s">
        <v>614</v>
      </c>
      <c r="B627" s="154" t="s">
        <v>121</v>
      </c>
      <c r="C627" s="53" t="s">
        <v>121</v>
      </c>
      <c r="D627" s="80">
        <v>7</v>
      </c>
      <c r="E627" s="25" t="s">
        <v>562</v>
      </c>
      <c r="F627" s="25" t="s">
        <v>563</v>
      </c>
      <c r="G627" s="25"/>
    </row>
    <row r="628" spans="1:7">
      <c r="A628" s="25" t="s">
        <v>616</v>
      </c>
      <c r="B628" s="154" t="s">
        <v>123</v>
      </c>
      <c r="C628" s="53" t="s">
        <v>123</v>
      </c>
      <c r="D628" s="80">
        <v>2</v>
      </c>
      <c r="E628" s="25" t="s">
        <v>562</v>
      </c>
      <c r="F628" s="25" t="s">
        <v>563</v>
      </c>
      <c r="G628" s="25"/>
    </row>
    <row r="629" spans="1:7">
      <c r="A629" s="25" t="s">
        <v>618</v>
      </c>
      <c r="B629" s="154" t="s">
        <v>9086</v>
      </c>
      <c r="C629" s="53" t="s">
        <v>9086</v>
      </c>
      <c r="D629" s="80">
        <v>1</v>
      </c>
      <c r="E629" s="25" t="s">
        <v>562</v>
      </c>
      <c r="F629" s="25" t="s">
        <v>563</v>
      </c>
      <c r="G629" s="25"/>
    </row>
    <row r="630" spans="1:7">
      <c r="A630" s="25" t="s">
        <v>620</v>
      </c>
      <c r="B630" s="154" t="s">
        <v>621</v>
      </c>
      <c r="C630" s="53" t="s">
        <v>120</v>
      </c>
      <c r="D630" s="80">
        <v>3</v>
      </c>
      <c r="E630" s="25" t="s">
        <v>568</v>
      </c>
      <c r="F630" s="25" t="s">
        <v>569</v>
      </c>
      <c r="G630" s="25"/>
    </row>
    <row r="631" spans="1:7">
      <c r="A631" s="25" t="s">
        <v>623</v>
      </c>
      <c r="B631" s="154" t="s">
        <v>122</v>
      </c>
      <c r="C631" s="53" t="s">
        <v>122</v>
      </c>
      <c r="D631" s="80">
        <v>3</v>
      </c>
      <c r="E631" s="25" t="s">
        <v>568</v>
      </c>
      <c r="F631" s="25" t="s">
        <v>569</v>
      </c>
      <c r="G631" s="25"/>
    </row>
    <row r="632" spans="1:7">
      <c r="A632" s="25" t="s">
        <v>625</v>
      </c>
      <c r="B632" s="154" t="s">
        <v>626</v>
      </c>
      <c r="C632" s="53" t="s">
        <v>124</v>
      </c>
      <c r="D632" s="80">
        <v>11</v>
      </c>
      <c r="E632" s="25" t="s">
        <v>568</v>
      </c>
      <c r="F632" s="25" t="s">
        <v>569</v>
      </c>
      <c r="G632" s="25"/>
    </row>
    <row r="633" spans="1:7">
      <c r="A633" s="25" t="s">
        <v>627</v>
      </c>
      <c r="B633" s="154" t="s">
        <v>628</v>
      </c>
      <c r="C633" s="53" t="s">
        <v>58</v>
      </c>
      <c r="D633" s="80">
        <v>7</v>
      </c>
      <c r="E633" s="25" t="s">
        <v>568</v>
      </c>
      <c r="F633" s="25" t="s">
        <v>569</v>
      </c>
      <c r="G633" s="25"/>
    </row>
    <row r="634" spans="1:7">
      <c r="A634" s="25" t="s">
        <v>630</v>
      </c>
      <c r="B634" s="154" t="s">
        <v>631</v>
      </c>
      <c r="C634" s="53" t="s">
        <v>125</v>
      </c>
      <c r="D634" s="80">
        <v>13</v>
      </c>
      <c r="E634" s="25"/>
      <c r="F634" s="25" t="s">
        <v>632</v>
      </c>
      <c r="G634" s="25"/>
    </row>
    <row r="635" spans="1:7">
      <c r="A635" s="25" t="s">
        <v>234</v>
      </c>
      <c r="B635" s="154" t="s">
        <v>576</v>
      </c>
      <c r="C635" s="53" t="s">
        <v>576</v>
      </c>
      <c r="D635" s="25"/>
      <c r="E635" s="25" t="s">
        <v>562</v>
      </c>
      <c r="F635" s="25" t="s">
        <v>562</v>
      </c>
      <c r="G635" s="80">
        <v>24</v>
      </c>
    </row>
    <row r="636" spans="1:7">
      <c r="A636" s="25" t="s">
        <v>8166</v>
      </c>
      <c r="B636" s="154" t="s">
        <v>576</v>
      </c>
      <c r="C636" s="53" t="s">
        <v>576</v>
      </c>
      <c r="D636" s="25"/>
      <c r="E636" s="25" t="s">
        <v>563</v>
      </c>
      <c r="F636" s="25" t="s">
        <v>8167</v>
      </c>
      <c r="G636" s="80">
        <v>12</v>
      </c>
    </row>
    <row r="637" spans="1:7">
      <c r="A637" s="25" t="s">
        <v>8417</v>
      </c>
      <c r="B637" s="154" t="s">
        <v>8418</v>
      </c>
      <c r="C637" s="53" t="s">
        <v>8418</v>
      </c>
      <c r="F637" s="25" t="s">
        <v>8419</v>
      </c>
      <c r="G637" s="80">
        <v>16</v>
      </c>
    </row>
    <row r="638" spans="1:7">
      <c r="A638" s="25" t="s">
        <v>9013</v>
      </c>
      <c r="B638" s="154" t="s">
        <v>9012</v>
      </c>
      <c r="C638" s="154" t="s">
        <v>9012</v>
      </c>
      <c r="F638" s="25" t="s">
        <v>9015</v>
      </c>
      <c r="G638" s="80"/>
    </row>
    <row r="639" spans="1:7">
      <c r="A639" s="25" t="s">
        <v>9032</v>
      </c>
      <c r="B639" s="154" t="s">
        <v>8819</v>
      </c>
      <c r="C639" s="154" t="s">
        <v>8819</v>
      </c>
      <c r="F639" s="25" t="s">
        <v>9015</v>
      </c>
    </row>
    <row r="640" spans="1:7">
      <c r="A640" s="25" t="s">
        <v>9041</v>
      </c>
      <c r="B640" s="154" t="s">
        <v>8835</v>
      </c>
      <c r="C640" s="154" t="s">
        <v>8835</v>
      </c>
      <c r="F640" s="25" t="s">
        <v>9015</v>
      </c>
      <c r="G640" s="25"/>
    </row>
    <row r="641" spans="1:7">
      <c r="A641" s="25" t="s">
        <v>9057</v>
      </c>
      <c r="B641" s="683" t="s">
        <v>8765</v>
      </c>
      <c r="C641" s="683" t="s">
        <v>8765</v>
      </c>
      <c r="D641" s="80">
        <v>3</v>
      </c>
      <c r="E641" s="25" t="s">
        <v>562</v>
      </c>
      <c r="F641" s="25" t="s">
        <v>563</v>
      </c>
      <c r="G641" s="25"/>
    </row>
    <row r="642" spans="1:7">
      <c r="A642" s="25" t="s">
        <v>8778</v>
      </c>
      <c r="B642" s="683" t="s">
        <v>9104</v>
      </c>
      <c r="C642" s="683" t="s">
        <v>8772</v>
      </c>
      <c r="D642" s="80">
        <v>8</v>
      </c>
      <c r="E642" s="25" t="s">
        <v>562</v>
      </c>
      <c r="F642" s="25" t="s">
        <v>563</v>
      </c>
      <c r="G642" s="25"/>
    </row>
    <row r="643" spans="1:7">
      <c r="A643" s="25" t="s">
        <v>8779</v>
      </c>
      <c r="B643" s="683" t="s">
        <v>8762</v>
      </c>
      <c r="C643" s="683" t="s">
        <v>8762</v>
      </c>
      <c r="D643" s="80">
        <v>5</v>
      </c>
      <c r="E643" s="25" t="s">
        <v>562</v>
      </c>
      <c r="F643" s="25" t="s">
        <v>563</v>
      </c>
      <c r="G643" s="25"/>
    </row>
    <row r="644" spans="1:7">
      <c r="A644" s="25" t="s">
        <v>8780</v>
      </c>
      <c r="B644" s="683" t="s">
        <v>110</v>
      </c>
      <c r="C644" s="683" t="s">
        <v>110</v>
      </c>
      <c r="D644" s="80">
        <v>4</v>
      </c>
      <c r="E644" s="25" t="s">
        <v>562</v>
      </c>
      <c r="F644" s="25" t="s">
        <v>563</v>
      </c>
      <c r="G644" s="25"/>
    </row>
    <row r="645" spans="1:7">
      <c r="A645" s="25" t="s">
        <v>8781</v>
      </c>
      <c r="B645" s="683" t="s">
        <v>8768</v>
      </c>
      <c r="C645" s="683" t="s">
        <v>8768</v>
      </c>
      <c r="D645" s="80">
        <v>5</v>
      </c>
      <c r="E645" s="25" t="s">
        <v>562</v>
      </c>
      <c r="F645" s="25" t="s">
        <v>563</v>
      </c>
      <c r="G645" s="25"/>
    </row>
    <row r="646" spans="1:7">
      <c r="A646" s="25" t="s">
        <v>8782</v>
      </c>
      <c r="B646" s="683" t="s">
        <v>8767</v>
      </c>
      <c r="C646" s="683" t="s">
        <v>8767</v>
      </c>
      <c r="D646" s="80">
        <v>14</v>
      </c>
      <c r="E646" s="25" t="s">
        <v>568</v>
      </c>
      <c r="F646" s="25" t="s">
        <v>569</v>
      </c>
      <c r="G646" s="25"/>
    </row>
    <row r="647" spans="1:7">
      <c r="A647" s="25" t="s">
        <v>8783</v>
      </c>
      <c r="B647" s="683" t="s">
        <v>8763</v>
      </c>
      <c r="C647" s="683" t="s">
        <v>107</v>
      </c>
      <c r="D647" s="80">
        <v>8</v>
      </c>
      <c r="E647" s="25" t="s">
        <v>568</v>
      </c>
      <c r="F647" s="25" t="s">
        <v>569</v>
      </c>
      <c r="G647" s="25"/>
    </row>
    <row r="648" spans="1:7">
      <c r="A648" s="25" t="s">
        <v>8784</v>
      </c>
      <c r="B648" s="683" t="s">
        <v>8769</v>
      </c>
      <c r="C648" s="683" t="s">
        <v>8773</v>
      </c>
      <c r="D648" s="80">
        <v>9</v>
      </c>
      <c r="E648" s="25" t="s">
        <v>568</v>
      </c>
      <c r="F648" s="25" t="s">
        <v>569</v>
      </c>
      <c r="G648" s="25"/>
    </row>
    <row r="649" spans="1:7">
      <c r="A649" s="25" t="s">
        <v>8785</v>
      </c>
      <c r="B649" s="683" t="s">
        <v>8770</v>
      </c>
      <c r="C649" s="683" t="s">
        <v>8770</v>
      </c>
      <c r="D649" s="80">
        <v>7</v>
      </c>
      <c r="E649" s="25" t="s">
        <v>568</v>
      </c>
      <c r="F649" s="25" t="s">
        <v>569</v>
      </c>
      <c r="G649" s="25"/>
    </row>
    <row r="650" spans="1:7">
      <c r="A650" s="25" t="s">
        <v>8786</v>
      </c>
      <c r="B650" s="683" t="s">
        <v>8771</v>
      </c>
      <c r="C650" s="683" t="s">
        <v>8774</v>
      </c>
      <c r="D650" s="80">
        <v>6</v>
      </c>
      <c r="E650" s="25" t="s">
        <v>568</v>
      </c>
      <c r="F650" s="25" t="s">
        <v>569</v>
      </c>
      <c r="G650" s="25"/>
    </row>
    <row r="651" spans="1:7">
      <c r="A651" s="25" t="s">
        <v>8787</v>
      </c>
      <c r="B651" s="684" t="s">
        <v>121</v>
      </c>
      <c r="C651" s="684" t="s">
        <v>121</v>
      </c>
      <c r="D651" s="80">
        <v>7</v>
      </c>
      <c r="E651" s="25" t="s">
        <v>562</v>
      </c>
      <c r="F651" s="25" t="s">
        <v>563</v>
      </c>
      <c r="G651" s="25"/>
    </row>
    <row r="652" spans="1:7">
      <c r="A652" s="25" t="s">
        <v>8791</v>
      </c>
      <c r="B652" s="684" t="s">
        <v>8757</v>
      </c>
      <c r="C652" s="684" t="s">
        <v>8757</v>
      </c>
      <c r="D652" s="80">
        <v>5</v>
      </c>
      <c r="E652" s="25" t="s">
        <v>562</v>
      </c>
      <c r="F652" s="25" t="s">
        <v>563</v>
      </c>
      <c r="G652" s="25"/>
    </row>
    <row r="653" spans="1:7">
      <c r="A653" s="25" t="s">
        <v>8788</v>
      </c>
      <c r="B653" s="684" t="s">
        <v>8790</v>
      </c>
      <c r="C653" s="684" t="s">
        <v>120</v>
      </c>
      <c r="D653" s="80">
        <v>3</v>
      </c>
      <c r="E653" s="25" t="s">
        <v>568</v>
      </c>
      <c r="F653" s="25" t="s">
        <v>569</v>
      </c>
      <c r="G653" s="25"/>
    </row>
    <row r="654" spans="1:7">
      <c r="A654" s="25" t="s">
        <v>8789</v>
      </c>
      <c r="B654" s="684" t="s">
        <v>628</v>
      </c>
      <c r="C654" s="684" t="s">
        <v>58</v>
      </c>
      <c r="D654" s="80">
        <v>12</v>
      </c>
      <c r="E654" s="25" t="s">
        <v>568</v>
      </c>
      <c r="F654" s="25" t="s">
        <v>569</v>
      </c>
    </row>
    <row r="658" spans="1:5" ht="16" thickBot="1">
      <c r="A658" s="161" t="s">
        <v>8819</v>
      </c>
      <c r="B658" s="158"/>
    </row>
    <row r="659" spans="1:5" ht="16" thickTop="1">
      <c r="A659" s="1432" t="s">
        <v>551</v>
      </c>
    </row>
    <row r="660" spans="1:5">
      <c r="A660" s="1433">
        <v>26</v>
      </c>
    </row>
    <row r="661" spans="1:5">
      <c r="A661" s="689" t="b">
        <v>1</v>
      </c>
    </row>
    <row r="662" spans="1:5">
      <c r="A662" s="689" t="s">
        <v>3</v>
      </c>
    </row>
    <row r="663" spans="1:5">
      <c r="A663" s="689"/>
      <c r="C663" s="1431"/>
    </row>
    <row r="664" spans="1:5">
      <c r="A664" s="186">
        <v>1000</v>
      </c>
      <c r="B664" s="685"/>
      <c r="D664" s="685"/>
      <c r="E664" s="685"/>
    </row>
    <row r="665" spans="1:5">
      <c r="A665" s="186">
        <v>1200</v>
      </c>
      <c r="B665" s="685"/>
      <c r="D665" s="685"/>
      <c r="E665" s="685"/>
    </row>
    <row r="666" spans="1:5">
      <c r="A666" s="186">
        <v>1600</v>
      </c>
      <c r="B666" s="685"/>
      <c r="D666" s="685"/>
      <c r="E666" s="685"/>
    </row>
    <row r="667" spans="1:5">
      <c r="A667" s="186"/>
    </row>
    <row r="668" spans="1:5">
      <c r="A668" s="186"/>
    </row>
    <row r="669" spans="1:5">
      <c r="A669" s="186"/>
    </row>
    <row r="670" spans="1:5">
      <c r="A670" s="186"/>
    </row>
    <row r="671" spans="1:5">
      <c r="A671" s="186"/>
    </row>
    <row r="672" spans="1:5">
      <c r="A672" s="186"/>
    </row>
    <row r="673" spans="1:1">
      <c r="A673" s="186"/>
    </row>
    <row r="674" spans="1:1">
      <c r="A674" s="186"/>
    </row>
    <row r="675" spans="1:1">
      <c r="A675" s="186"/>
    </row>
    <row r="676" spans="1:1">
      <c r="A676" s="186"/>
    </row>
    <row r="677" spans="1:1">
      <c r="A677" s="186"/>
    </row>
    <row r="678" spans="1:1">
      <c r="A678" s="186"/>
    </row>
    <row r="679" spans="1:1">
      <c r="A679" s="186"/>
    </row>
    <row r="680" spans="1:1">
      <c r="A680" s="186"/>
    </row>
    <row r="681" spans="1:1">
      <c r="A681" s="186"/>
    </row>
    <row r="682" spans="1:1">
      <c r="A682" s="186"/>
    </row>
    <row r="683" spans="1:1">
      <c r="A683" s="186"/>
    </row>
    <row r="684" spans="1:1">
      <c r="A684" s="186"/>
    </row>
    <row r="685" spans="1:1">
      <c r="A685" s="186"/>
    </row>
    <row r="686" spans="1:1">
      <c r="A686" s="186"/>
    </row>
    <row r="687" spans="1:1">
      <c r="A687" s="186"/>
    </row>
    <row r="689" spans="1:12">
      <c r="A689" s="1350"/>
    </row>
    <row r="690" spans="1:12">
      <c r="A690" s="1350"/>
    </row>
    <row r="691" spans="1:12">
      <c r="A691" s="1350"/>
      <c r="L691" s="2">
        <v>1</v>
      </c>
    </row>
    <row r="692" spans="1:12">
      <c r="A692" s="1350"/>
    </row>
    <row r="693" spans="1:12" ht="16" thickBot="1">
      <c r="A693" s="161" t="s">
        <v>8834</v>
      </c>
    </row>
    <row r="694" spans="1:12" ht="16" thickTop="1">
      <c r="A694" s="181" t="s">
        <v>8972</v>
      </c>
    </row>
    <row r="695" spans="1:12">
      <c r="A695" s="183" t="s">
        <v>707</v>
      </c>
    </row>
    <row r="696" spans="1:12">
      <c r="A696" s="689" t="s">
        <v>8835</v>
      </c>
    </row>
    <row r="697" spans="1:12">
      <c r="A697" s="689" t="s">
        <v>43</v>
      </c>
    </row>
    <row r="698" spans="1:12">
      <c r="A698" s="186" t="s">
        <v>15</v>
      </c>
      <c r="B698" s="685"/>
    </row>
    <row r="699" spans="1:12">
      <c r="A699" s="689"/>
    </row>
    <row r="700" spans="1:12">
      <c r="A700" s="186"/>
    </row>
    <row r="708" spans="1:12" ht="16" thickBot="1">
      <c r="A708" s="161" t="s">
        <v>9026</v>
      </c>
      <c r="L708" s="2">
        <v>1</v>
      </c>
    </row>
    <row r="709" spans="1:12" ht="16" thickTop="1">
      <c r="A709" s="181" t="s">
        <v>8972</v>
      </c>
      <c r="B709" s="160"/>
    </row>
    <row r="710" spans="1:12">
      <c r="A710" s="183" t="s">
        <v>707</v>
      </c>
    </row>
    <row r="711" spans="1:12">
      <c r="A711" s="1402" t="s">
        <v>9099</v>
      </c>
      <c r="B711" s="1408" t="s">
        <v>9014</v>
      </c>
    </row>
    <row r="712" spans="1:12">
      <c r="A712" s="1403"/>
      <c r="B712" s="1409" t="s">
        <v>9100</v>
      </c>
    </row>
    <row r="713" spans="1:12">
      <c r="A713" s="1404"/>
      <c r="B713" s="1410" t="s">
        <v>9101</v>
      </c>
    </row>
    <row r="714" spans="1:12">
      <c r="A714" s="1402" t="s">
        <v>8995</v>
      </c>
      <c r="B714" s="1408" t="s">
        <v>9014</v>
      </c>
    </row>
    <row r="715" spans="1:12">
      <c r="A715" s="1403"/>
      <c r="B715" s="1409" t="s">
        <v>9100</v>
      </c>
    </row>
    <row r="716" spans="1:12">
      <c r="A716" s="1404"/>
      <c r="B716" s="1410" t="s">
        <v>9101</v>
      </c>
    </row>
    <row r="717" spans="1:12">
      <c r="A717" s="1402" t="s">
        <v>8996</v>
      </c>
      <c r="B717" s="1408" t="s">
        <v>9014</v>
      </c>
    </row>
    <row r="718" spans="1:12">
      <c r="A718" s="1403"/>
      <c r="B718" s="1409" t="s">
        <v>9100</v>
      </c>
    </row>
    <row r="719" spans="1:12">
      <c r="A719" s="1404"/>
      <c r="B719" s="1410" t="s">
        <v>9101</v>
      </c>
    </row>
    <row r="720" spans="1:12">
      <c r="A720" s="1402" t="s">
        <v>8997</v>
      </c>
      <c r="B720" s="1408" t="s">
        <v>9014</v>
      </c>
    </row>
    <row r="721" spans="1:2">
      <c r="A721" s="1403"/>
      <c r="B721" s="1409" t="s">
        <v>9100</v>
      </c>
    </row>
    <row r="722" spans="1:2">
      <c r="A722" s="1404"/>
      <c r="B722" s="1410" t="s">
        <v>9101</v>
      </c>
    </row>
    <row r="723" spans="1:2">
      <c r="A723" s="1402" t="s">
        <v>9102</v>
      </c>
      <c r="B723" s="1405"/>
    </row>
    <row r="724" spans="1:2">
      <c r="A724" s="1403"/>
      <c r="B724" s="1406"/>
    </row>
    <row r="725" spans="1:2">
      <c r="A725" s="1403"/>
      <c r="B725" s="1406"/>
    </row>
    <row r="726" spans="1:2">
      <c r="A726" s="1403"/>
      <c r="B726" s="1406"/>
    </row>
    <row r="727" spans="1:2">
      <c r="A727" s="1403"/>
      <c r="B727" s="1406"/>
    </row>
    <row r="728" spans="1:2">
      <c r="A728" s="1403"/>
      <c r="B728" s="1406"/>
    </row>
    <row r="729" spans="1:2">
      <c r="A729" s="1403"/>
      <c r="B729" s="1406"/>
    </row>
    <row r="730" spans="1:2">
      <c r="A730" s="1404"/>
      <c r="B730" s="1407"/>
    </row>
    <row r="731" spans="1:2">
      <c r="A731" s="1402" t="s">
        <v>9103</v>
      </c>
      <c r="B731" s="1402" t="s">
        <v>9099</v>
      </c>
    </row>
    <row r="732" spans="1:2">
      <c r="A732" s="1403"/>
      <c r="B732" s="1403"/>
    </row>
    <row r="733" spans="1:2">
      <c r="A733" s="1403"/>
      <c r="B733" s="1403"/>
    </row>
    <row r="734" spans="1:2">
      <c r="A734" s="1403"/>
      <c r="B734" s="1403"/>
    </row>
    <row r="735" spans="1:2">
      <c r="A735" s="1403"/>
      <c r="B735" s="1403"/>
    </row>
    <row r="736" spans="1:2">
      <c r="A736" s="1403"/>
      <c r="B736" s="1403"/>
    </row>
    <row r="737" spans="1:2">
      <c r="A737" s="1403"/>
      <c r="B737" s="1403"/>
    </row>
    <row r="738" spans="1:2">
      <c r="A738" s="1403"/>
      <c r="B738" s="1404"/>
    </row>
    <row r="739" spans="1:2">
      <c r="A739" s="1403"/>
      <c r="B739" s="1402" t="s">
        <v>8995</v>
      </c>
    </row>
    <row r="740" spans="1:2">
      <c r="A740" s="1403"/>
      <c r="B740" s="1403"/>
    </row>
    <row r="741" spans="1:2">
      <c r="A741" s="1403"/>
      <c r="B741" s="1403"/>
    </row>
    <row r="742" spans="1:2">
      <c r="A742" s="1403"/>
      <c r="B742" s="1403"/>
    </row>
    <row r="743" spans="1:2">
      <c r="A743" s="1403"/>
      <c r="B743" s="1403"/>
    </row>
    <row r="744" spans="1:2">
      <c r="A744" s="1403"/>
      <c r="B744" s="1403"/>
    </row>
    <row r="745" spans="1:2">
      <c r="A745" s="1403"/>
      <c r="B745" s="1403"/>
    </row>
    <row r="746" spans="1:2">
      <c r="A746" s="1403"/>
      <c r="B746" s="1404"/>
    </row>
    <row r="747" spans="1:2">
      <c r="A747" s="1403"/>
      <c r="B747" s="1402" t="s">
        <v>8996</v>
      </c>
    </row>
    <row r="748" spans="1:2">
      <c r="A748" s="1403"/>
      <c r="B748" s="1403"/>
    </row>
    <row r="749" spans="1:2">
      <c r="A749" s="1403"/>
      <c r="B749" s="1403"/>
    </row>
    <row r="750" spans="1:2">
      <c r="A750" s="1403"/>
      <c r="B750" s="1403"/>
    </row>
    <row r="751" spans="1:2">
      <c r="A751" s="1403"/>
      <c r="B751" s="1403"/>
    </row>
    <row r="752" spans="1:2">
      <c r="A752" s="1403"/>
      <c r="B752" s="1403"/>
    </row>
    <row r="753" spans="1:2">
      <c r="A753" s="1403"/>
      <c r="B753" s="1403"/>
    </row>
    <row r="754" spans="1:2">
      <c r="A754" s="1403"/>
      <c r="B754" s="1404"/>
    </row>
    <row r="755" spans="1:2">
      <c r="A755" s="1403"/>
      <c r="B755" s="1402" t="s">
        <v>8997</v>
      </c>
    </row>
    <row r="756" spans="1:2">
      <c r="A756" s="1403"/>
      <c r="B756" s="1403"/>
    </row>
    <row r="757" spans="1:2">
      <c r="A757" s="1403"/>
      <c r="B757" s="1403"/>
    </row>
    <row r="758" spans="1:2">
      <c r="A758" s="1403"/>
      <c r="B758" s="1403"/>
    </row>
    <row r="759" spans="1:2">
      <c r="A759" s="1403"/>
      <c r="B759" s="1403"/>
    </row>
    <row r="760" spans="1:2">
      <c r="A760" s="1403"/>
      <c r="B760" s="1403"/>
    </row>
    <row r="761" spans="1:2">
      <c r="A761" s="1403"/>
      <c r="B761" s="1403"/>
    </row>
    <row r="762" spans="1:2">
      <c r="A762" s="1404"/>
      <c r="B762" s="1404"/>
    </row>
  </sheetData>
  <sortState xmlns:xlrd2="http://schemas.microsoft.com/office/spreadsheetml/2017/richdata2" ref="A75:A100">
    <sortCondition ref="A75:A100"/>
  </sortState>
  <dataConsolidate/>
  <phoneticPr fontId="91" type="noConversion"/>
  <dataValidations count="8">
    <dataValidation type="list" allowBlank="1" showInputMessage="1" showErrorMessage="1" sqref="AH326" xr:uid="{570E3D65-EA3C-489D-AACD-489B51B032F9}">
      <formula1>IF(AH324="Quarterly",$K$9:$K$10,$L$9:$L$10)</formula1>
    </dataValidation>
    <dataValidation type="list" allowBlank="1" showInputMessage="1" showErrorMessage="1" sqref="C440:C452 I253:I385 C253:C385 E253:E385 G253:G385 C501:C610" xr:uid="{6812FE9E-124A-4BDD-BFFD-64F707018A44}">
      <formula1>"Weekly, Fortnightly, Four Weekly, Monthly, Quarterly, Bi Annually, Annually"</formula1>
    </dataValidation>
    <dataValidation type="list" allowBlank="1" showInputMessage="1" showErrorMessage="1" sqref="AH24:AH29" xr:uid="{A3B0E073-0789-44DB-A212-3167FAE32693}">
      <formula1>$Y$44:$Y$50</formula1>
    </dataValidation>
    <dataValidation type="list" allowBlank="1" showInputMessage="1" showErrorMessage="1" sqref="AH323 B414:CD414" xr:uid="{8960279F-CFFE-4156-936B-D19718A05A2B}">
      <formula1>"Monthly, Quarterly"</formula1>
    </dataValidation>
    <dataValidation type="list" allowBlank="1" showInputMessage="1" showErrorMessage="1" sqref="AH324:AH325 B415:CD415" xr:uid="{41016CF5-02F6-490D-8F80-8B23951E817B}">
      <formula1>IF(B323="Quarterly",$K$9:$K$10,$L$9:$L$10)</formula1>
    </dataValidation>
    <dataValidation type="list" allowBlank="1" showInputMessage="1" showErrorMessage="1" sqref="D131:D132 D134" xr:uid="{636460FB-9876-4816-9F49-819A901FC894}">
      <formula1>"Established home, Land to construct, New home (never been lived in)"</formula1>
    </dataValidation>
    <dataValidation type="list" allowBlank="1" showInputMessage="1" showErrorMessage="1" sqref="E131:E132" xr:uid="{7D43A996-AF2A-4FC1-97E0-A2D0D549365A}">
      <formula1>"Buy established, Buy new build, Buy off the plan, Buy land only, Buy land and construct, Construct on existing land"</formula1>
    </dataValidation>
    <dataValidation type="list" allowBlank="1" showInputMessage="1" showErrorMessage="1" sqref="F134:F136" xr:uid="{1B1703AA-4F40-4A50-816A-BD52A026EC41}">
      <formula1>$C$3828:$C$3832</formula1>
    </dataValidation>
  </dataValidations>
  <hyperlinks>
    <hyperlink ref="B65" r:id="rId3" xr:uid="{BF6AE074-AC9B-4ECF-BAE5-C84B3525635D}"/>
    <hyperlink ref="B66" r:id="rId4" xr:uid="{27C873AE-70DF-4F6C-83B4-83E804759978}"/>
    <hyperlink ref="B64" r:id="rId5" xr:uid="{8203EE4C-B00E-426F-8FEF-C0A7E3DA3373}"/>
  </hyperlinks>
  <pageMargins left="0.7" right="0.7" top="0.75" bottom="0.75" header="0.3" footer="0.3"/>
  <pageSetup paperSize="9" orientation="portrait" r:id="rId6"/>
  <drawing r:id="rId7"/>
  <legacyDrawing r:id="rId8"/>
  <extLst>
    <ext xmlns:x14="http://schemas.microsoft.com/office/spreadsheetml/2009/9/main" uri="{CCE6A557-97BC-4b89-ADB6-D9C93CAAB3DF}">
      <x14:dataValidations xmlns:xm="http://schemas.microsoft.com/office/excel/2006/main" count="1">
        <x14:dataValidation type="list" allowBlank="1" showInputMessage="1" showErrorMessage="1" xr:uid="{7FB8D102-B56D-449C-98E6-03713F118A60}">
          <x14:formula1>
            <xm:f>'Configurable Items'!#REF!</xm:f>
          </x14:formula1>
          <xm:sqref>F131:F132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28F77-16F4-4B2A-A820-5D4E4FC42379}">
  <sheetPr codeName="Sheet4">
    <tabColor theme="0" tint="-0.499984740745262"/>
    <outlinePr summaryBelow="0"/>
  </sheetPr>
  <dimension ref="A1:BQ5932"/>
  <sheetViews>
    <sheetView zoomScale="70" zoomScaleNormal="70" workbookViewId="0">
      <selection activeCell="E417" sqref="E417"/>
    </sheetView>
  </sheetViews>
  <sheetFormatPr baseColWidth="10" defaultColWidth="9" defaultRowHeight="15" outlineLevelRow="2"/>
  <cols>
    <col min="1" max="2" width="5.33203125" style="2" customWidth="1"/>
    <col min="3" max="3" width="40.33203125" style="2" customWidth="1"/>
    <col min="4" max="12" width="22.1640625" style="2" customWidth="1"/>
    <col min="13" max="13" width="43.5" style="2" customWidth="1"/>
    <col min="14" max="14" width="22.1640625" style="2" customWidth="1"/>
    <col min="15" max="15" width="23.5" style="2" customWidth="1"/>
    <col min="16" max="34" width="11.6640625" style="2" customWidth="1"/>
    <col min="35" max="35" width="10.5" style="2" customWidth="1"/>
    <col min="36" max="36" width="9" style="2"/>
    <col min="37" max="37" width="15.1640625" style="2" customWidth="1"/>
    <col min="38" max="38" width="9" style="2"/>
    <col min="39" max="39" width="33.1640625" style="2" customWidth="1"/>
    <col min="40" max="40" width="30.33203125" style="2" bestFit="1" customWidth="1"/>
    <col min="41" max="41" width="12.83203125" style="2" bestFit="1" customWidth="1"/>
    <col min="42" max="42" width="9" style="2"/>
    <col min="43" max="43" width="9.5" style="2" customWidth="1"/>
    <col min="44" max="44" width="9" style="2"/>
    <col min="45" max="45" width="8.6640625" style="2" bestFit="1" customWidth="1"/>
    <col min="46" max="46" width="9" style="2"/>
    <col min="47" max="47" width="13.83203125" style="2" customWidth="1"/>
    <col min="48" max="48" width="29.6640625" style="2" bestFit="1" customWidth="1"/>
    <col min="49" max="59" width="9" style="2"/>
    <col min="60" max="60" width="13.1640625" style="2" bestFit="1" customWidth="1"/>
    <col min="61" max="62" width="9" style="2"/>
    <col min="63" max="63" width="20.6640625" style="2" customWidth="1"/>
    <col min="64" max="16384" width="9" style="2"/>
  </cols>
  <sheetData>
    <row r="1" spans="2:19">
      <c r="C1" s="206"/>
      <c r="O1" s="2" t="s">
        <v>9547</v>
      </c>
    </row>
    <row r="2" spans="2:19">
      <c r="C2" s="206"/>
      <c r="D2" s="206"/>
      <c r="O2" s="2" t="s">
        <v>9191</v>
      </c>
    </row>
    <row r="3" spans="2:19">
      <c r="C3" s="206"/>
      <c r="D3" s="206"/>
    </row>
    <row r="4" spans="2:19">
      <c r="B4" s="2" t="s">
        <v>832</v>
      </c>
      <c r="C4" s="206"/>
      <c r="D4" s="206"/>
    </row>
    <row r="5" spans="2:19">
      <c r="B5" s="2" t="s">
        <v>833</v>
      </c>
      <c r="C5" s="145" t="s">
        <v>834</v>
      </c>
      <c r="D5" s="145" t="s">
        <v>835</v>
      </c>
      <c r="E5" s="207" t="s">
        <v>836</v>
      </c>
    </row>
    <row r="6" spans="2:19">
      <c r="B6" s="2" t="s">
        <v>837</v>
      </c>
      <c r="C6" s="138" t="s">
        <v>838</v>
      </c>
      <c r="D6" s="112" t="s">
        <v>839</v>
      </c>
      <c r="E6" s="112">
        <v>141</v>
      </c>
    </row>
    <row r="7" spans="2:19">
      <c r="B7" s="2" t="s">
        <v>837</v>
      </c>
      <c r="C7" s="138" t="s">
        <v>840</v>
      </c>
      <c r="D7" s="265" t="s">
        <v>841</v>
      </c>
      <c r="E7" s="265" t="s">
        <v>9187</v>
      </c>
    </row>
    <row r="8" spans="2:19">
      <c r="B8" s="2" t="s">
        <v>837</v>
      </c>
      <c r="C8" s="138" t="s">
        <v>8935</v>
      </c>
      <c r="D8" s="264" t="s">
        <v>8932</v>
      </c>
      <c r="E8" s="264" t="s">
        <v>9124</v>
      </c>
      <c r="G8" s="390" t="s">
        <v>843</v>
      </c>
      <c r="H8" s="390" t="s">
        <v>844</v>
      </c>
      <c r="I8" s="390" t="s">
        <v>845</v>
      </c>
      <c r="J8" s="390" t="s">
        <v>846</v>
      </c>
      <c r="K8" s="390" t="s">
        <v>847</v>
      </c>
      <c r="L8" s="390" t="s">
        <v>848</v>
      </c>
      <c r="M8" s="209" t="s">
        <v>849</v>
      </c>
      <c r="N8" s="210" t="s">
        <v>850</v>
      </c>
      <c r="O8" s="210" t="s">
        <v>8055</v>
      </c>
      <c r="P8" s="210" t="s">
        <v>8168</v>
      </c>
      <c r="Q8" s="210" t="s">
        <v>8571</v>
      </c>
      <c r="R8" s="210" t="s">
        <v>8755</v>
      </c>
      <c r="S8" s="210" t="s">
        <v>8892</v>
      </c>
    </row>
    <row r="9" spans="2:19">
      <c r="B9" s="2" t="s">
        <v>837</v>
      </c>
      <c r="C9" s="138" t="s">
        <v>8934</v>
      </c>
      <c r="D9" s="265" t="s">
        <v>8933</v>
      </c>
      <c r="E9" s="114" t="s">
        <v>9122</v>
      </c>
      <c r="G9" s="390" t="s">
        <v>843</v>
      </c>
      <c r="H9" s="390" t="s">
        <v>844</v>
      </c>
      <c r="I9" s="390" t="s">
        <v>845</v>
      </c>
      <c r="J9" s="390" t="s">
        <v>846</v>
      </c>
      <c r="K9" s="390" t="s">
        <v>847</v>
      </c>
      <c r="L9" s="390" t="s">
        <v>848</v>
      </c>
      <c r="M9" s="390" t="s">
        <v>849</v>
      </c>
      <c r="N9" s="210" t="s">
        <v>850</v>
      </c>
      <c r="O9" s="210" t="s">
        <v>8055</v>
      </c>
      <c r="P9" s="210" t="s">
        <v>8168</v>
      </c>
      <c r="Q9" s="210" t="s">
        <v>8571</v>
      </c>
      <c r="R9" s="209" t="s">
        <v>8755</v>
      </c>
      <c r="S9" s="210" t="s">
        <v>8892</v>
      </c>
    </row>
    <row r="10" spans="2:19">
      <c r="B10" s="2" t="s">
        <v>833</v>
      </c>
      <c r="C10" s="206"/>
    </row>
    <row r="11" spans="2:19" collapsed="1">
      <c r="B11" s="2" t="s">
        <v>833</v>
      </c>
      <c r="C11" s="208" t="s">
        <v>842</v>
      </c>
      <c r="D11" s="209" t="s">
        <v>843</v>
      </c>
      <c r="E11" s="210" t="s">
        <v>844</v>
      </c>
      <c r="F11" s="210" t="s">
        <v>845</v>
      </c>
      <c r="G11" s="210" t="s">
        <v>846</v>
      </c>
      <c r="H11" s="210" t="s">
        <v>847</v>
      </c>
      <c r="I11" s="210" t="s">
        <v>848</v>
      </c>
      <c r="J11" s="210" t="s">
        <v>849</v>
      </c>
      <c r="K11" s="210" t="s">
        <v>850</v>
      </c>
      <c r="L11" s="210" t="s">
        <v>8055</v>
      </c>
      <c r="M11" s="210" t="s">
        <v>8168</v>
      </c>
      <c r="N11" s="210" t="s">
        <v>8571</v>
      </c>
      <c r="O11" s="210" t="s">
        <v>8755</v>
      </c>
      <c r="P11" s="210" t="s">
        <v>8892</v>
      </c>
    </row>
    <row r="12" spans="2:19" hidden="1" outlineLevel="1">
      <c r="B12" s="2" t="s">
        <v>833</v>
      </c>
      <c r="C12" s="206"/>
    </row>
    <row r="13" spans="2:19" hidden="1" outlineLevel="1">
      <c r="B13" s="2" t="s">
        <v>851</v>
      </c>
      <c r="C13" s="206"/>
      <c r="D13" s="102" t="s">
        <v>852</v>
      </c>
      <c r="E13" s="104"/>
    </row>
    <row r="14" spans="2:19" hidden="1" outlineLevel="1">
      <c r="B14" s="2" t="s">
        <v>833</v>
      </c>
      <c r="C14" s="145" t="s">
        <v>834</v>
      </c>
      <c r="D14" s="145" t="s">
        <v>835</v>
      </c>
      <c r="E14" s="211" t="s">
        <v>836</v>
      </c>
    </row>
    <row r="15" spans="2:19" hidden="1" outlineLevel="1">
      <c r="B15" s="2" t="s">
        <v>853</v>
      </c>
      <c r="C15" s="138" t="s">
        <v>854</v>
      </c>
      <c r="D15" s="112" t="s">
        <v>839</v>
      </c>
      <c r="E15" s="212" t="str">
        <f>"1"&amp;".0"</f>
        <v>1.0</v>
      </c>
    </row>
    <row r="16" spans="2:19" hidden="1" outlineLevel="1">
      <c r="B16" s="2" t="s">
        <v>853</v>
      </c>
      <c r="C16" s="138" t="s">
        <v>855</v>
      </c>
      <c r="D16" s="114" t="s">
        <v>856</v>
      </c>
      <c r="E16" s="114" t="s">
        <v>857</v>
      </c>
    </row>
    <row r="17" spans="2:16" hidden="1" outlineLevel="1">
      <c r="B17" s="2" t="s">
        <v>853</v>
      </c>
      <c r="C17" s="138" t="s">
        <v>858</v>
      </c>
      <c r="D17" s="112" t="s">
        <v>859</v>
      </c>
      <c r="E17" s="213">
        <v>42184</v>
      </c>
    </row>
    <row r="18" spans="2:16" hidden="1" outlineLevel="1">
      <c r="B18" s="2" t="s">
        <v>860</v>
      </c>
      <c r="C18" s="206"/>
      <c r="D18" s="214"/>
    </row>
    <row r="19" spans="2:16" collapsed="1">
      <c r="B19" s="2" t="s">
        <v>833</v>
      </c>
      <c r="C19" s="208" t="s">
        <v>861</v>
      </c>
      <c r="D19" s="209" t="s">
        <v>843</v>
      </c>
      <c r="E19" s="210" t="s">
        <v>844</v>
      </c>
      <c r="F19" s="210" t="s">
        <v>845</v>
      </c>
      <c r="G19" s="210" t="s">
        <v>846</v>
      </c>
      <c r="H19" s="210" t="s">
        <v>847</v>
      </c>
      <c r="I19" s="210" t="s">
        <v>848</v>
      </c>
      <c r="J19" s="210" t="s">
        <v>849</v>
      </c>
      <c r="K19" s="210" t="s">
        <v>850</v>
      </c>
      <c r="L19" s="210" t="s">
        <v>8055</v>
      </c>
      <c r="M19" s="210" t="s">
        <v>8168</v>
      </c>
      <c r="N19" s="210" t="s">
        <v>8571</v>
      </c>
      <c r="O19" s="210" t="s">
        <v>8755</v>
      </c>
      <c r="P19" s="210" t="s">
        <v>8892</v>
      </c>
    </row>
    <row r="20" spans="2:16" hidden="1" outlineLevel="1">
      <c r="B20" s="2" t="s">
        <v>833</v>
      </c>
      <c r="C20" s="206"/>
    </row>
    <row r="21" spans="2:16" hidden="1" outlineLevel="1">
      <c r="B21" s="2" t="s">
        <v>851</v>
      </c>
      <c r="C21" s="206"/>
      <c r="D21" s="102" t="s">
        <v>862</v>
      </c>
      <c r="E21" s="104"/>
    </row>
    <row r="22" spans="2:16" hidden="1" outlineLevel="1">
      <c r="B22" s="2" t="s">
        <v>833</v>
      </c>
      <c r="C22" s="145" t="s">
        <v>834</v>
      </c>
      <c r="D22" s="145" t="s">
        <v>835</v>
      </c>
      <c r="E22" s="211" t="s">
        <v>836</v>
      </c>
    </row>
    <row r="23" spans="2:16" hidden="1" outlineLevel="1">
      <c r="B23" s="2" t="s">
        <v>853</v>
      </c>
      <c r="C23" s="138" t="s">
        <v>863</v>
      </c>
      <c r="D23" s="112" t="s">
        <v>864</v>
      </c>
      <c r="E23" s="112">
        <v>60</v>
      </c>
    </row>
    <row r="24" spans="2:16" hidden="1" outlineLevel="1">
      <c r="B24" s="2" t="s">
        <v>853</v>
      </c>
      <c r="C24" s="138" t="s">
        <v>865</v>
      </c>
      <c r="D24" s="114" t="s">
        <v>866</v>
      </c>
      <c r="E24" s="215">
        <v>18</v>
      </c>
    </row>
    <row r="25" spans="2:16" hidden="1" outlineLevel="1">
      <c r="B25" s="2" t="s">
        <v>853</v>
      </c>
      <c r="C25" s="138"/>
      <c r="D25" s="112" t="s">
        <v>867</v>
      </c>
      <c r="E25" s="216" t="s">
        <v>7904</v>
      </c>
    </row>
    <row r="26" spans="2:16" hidden="1" outlineLevel="1">
      <c r="B26" s="2" t="s">
        <v>853</v>
      </c>
      <c r="C26" s="138"/>
      <c r="D26" s="114" t="s">
        <v>868</v>
      </c>
      <c r="E26" s="217" t="s">
        <v>7903</v>
      </c>
    </row>
    <row r="27" spans="2:16" hidden="1" outlineLevel="1">
      <c r="B27" s="2" t="s">
        <v>860</v>
      </c>
      <c r="C27" s="206"/>
      <c r="D27" s="214"/>
    </row>
    <row r="28" spans="2:16" collapsed="1">
      <c r="B28" s="2" t="s">
        <v>833</v>
      </c>
      <c r="C28" s="208" t="s">
        <v>869</v>
      </c>
      <c r="D28" s="209" t="s">
        <v>843</v>
      </c>
      <c r="E28" s="210" t="s">
        <v>844</v>
      </c>
      <c r="F28" s="210" t="s">
        <v>845</v>
      </c>
      <c r="G28" s="210" t="s">
        <v>846</v>
      </c>
      <c r="H28" s="210" t="s">
        <v>847</v>
      </c>
      <c r="I28" s="210" t="s">
        <v>848</v>
      </c>
      <c r="J28" s="210" t="s">
        <v>849</v>
      </c>
      <c r="K28" s="210" t="s">
        <v>850</v>
      </c>
      <c r="L28" s="210" t="s">
        <v>8055</v>
      </c>
      <c r="M28" s="210" t="s">
        <v>8168</v>
      </c>
      <c r="N28" s="210" t="s">
        <v>8571</v>
      </c>
      <c r="O28" s="210" t="s">
        <v>8755</v>
      </c>
      <c r="P28" s="210" t="s">
        <v>8892</v>
      </c>
    </row>
    <row r="29" spans="2:16" hidden="1" outlineLevel="1">
      <c r="B29" s="2" t="s">
        <v>833</v>
      </c>
      <c r="C29" s="137"/>
    </row>
    <row r="30" spans="2:16" hidden="1" outlineLevel="1" collapsed="1">
      <c r="B30" s="2" t="s">
        <v>870</v>
      </c>
      <c r="D30" s="102" t="s">
        <v>871</v>
      </c>
      <c r="E30" s="104"/>
    </row>
    <row r="31" spans="2:16" hidden="1" outlineLevel="2">
      <c r="B31" s="2" t="s">
        <v>833</v>
      </c>
      <c r="C31" s="124"/>
      <c r="D31" s="145" t="s">
        <v>872</v>
      </c>
      <c r="E31" s="207" t="s">
        <v>873</v>
      </c>
    </row>
    <row r="32" spans="2:16" ht="16" hidden="1" outlineLevel="2">
      <c r="B32" s="2" t="s">
        <v>874</v>
      </c>
      <c r="C32" s="124"/>
      <c r="D32" s="138" t="s">
        <v>875</v>
      </c>
      <c r="E32" s="218" t="s">
        <v>856</v>
      </c>
    </row>
    <row r="33" spans="2:19" hidden="1" outlineLevel="2">
      <c r="B33" s="2" t="s">
        <v>876</v>
      </c>
      <c r="D33" s="112" t="s">
        <v>877</v>
      </c>
      <c r="E33" s="219" t="s">
        <v>878</v>
      </c>
    </row>
    <row r="34" spans="2:19" hidden="1" outlineLevel="2">
      <c r="B34" s="2" t="s">
        <v>876</v>
      </c>
      <c r="D34" s="114" t="s">
        <v>879</v>
      </c>
      <c r="E34" s="220" t="s">
        <v>880</v>
      </c>
    </row>
    <row r="35" spans="2:19" hidden="1" outlineLevel="2">
      <c r="B35" s="2" t="s">
        <v>876</v>
      </c>
      <c r="D35" s="112" t="s">
        <v>881</v>
      </c>
      <c r="E35" s="219" t="s">
        <v>882</v>
      </c>
    </row>
    <row r="36" spans="2:19" hidden="1" outlineLevel="2">
      <c r="B36" s="2" t="s">
        <v>876</v>
      </c>
      <c r="D36" s="114" t="s">
        <v>883</v>
      </c>
      <c r="E36" s="220" t="s">
        <v>884</v>
      </c>
    </row>
    <row r="37" spans="2:19" hidden="1" outlineLevel="2">
      <c r="B37" s="2" t="s">
        <v>876</v>
      </c>
      <c r="D37" s="112" t="s">
        <v>885</v>
      </c>
      <c r="E37" s="219" t="s">
        <v>886</v>
      </c>
    </row>
    <row r="38" spans="2:19" hidden="1" outlineLevel="2">
      <c r="B38" s="2" t="s">
        <v>876</v>
      </c>
      <c r="D38" s="114" t="s">
        <v>887</v>
      </c>
      <c r="E38" s="220" t="s">
        <v>888</v>
      </c>
    </row>
    <row r="39" spans="2:19" hidden="1" outlineLevel="2">
      <c r="B39" s="2" t="s">
        <v>889</v>
      </c>
    </row>
    <row r="40" spans="2:19" collapsed="1">
      <c r="B40" s="2" t="s">
        <v>833</v>
      </c>
      <c r="C40" s="208" t="s">
        <v>890</v>
      </c>
      <c r="D40" s="209" t="s">
        <v>843</v>
      </c>
      <c r="E40" s="209" t="s">
        <v>844</v>
      </c>
      <c r="F40" s="209" t="s">
        <v>845</v>
      </c>
      <c r="G40" s="210" t="s">
        <v>846</v>
      </c>
      <c r="H40" s="209" t="s">
        <v>847</v>
      </c>
      <c r="I40" s="210" t="s">
        <v>848</v>
      </c>
      <c r="J40" s="209" t="s">
        <v>849</v>
      </c>
      <c r="K40" s="210" t="s">
        <v>850</v>
      </c>
      <c r="L40" s="209" t="s">
        <v>8055</v>
      </c>
      <c r="M40" s="209" t="s">
        <v>8168</v>
      </c>
      <c r="N40" s="210" t="s">
        <v>8571</v>
      </c>
      <c r="O40" s="210" t="s">
        <v>8755</v>
      </c>
      <c r="P40" s="210" t="s">
        <v>8892</v>
      </c>
    </row>
    <row r="41" spans="2:19" hidden="1" outlineLevel="1">
      <c r="B41" s="2" t="s">
        <v>833</v>
      </c>
      <c r="C41" s="206"/>
      <c r="D41" s="214"/>
    </row>
    <row r="42" spans="2:19" hidden="1" outlineLevel="1">
      <c r="B42" s="2" t="s">
        <v>851</v>
      </c>
      <c r="D42" s="102" t="s">
        <v>891</v>
      </c>
      <c r="E42" s="104"/>
    </row>
    <row r="43" spans="2:19" hidden="1" outlineLevel="1">
      <c r="B43" s="2" t="s">
        <v>833</v>
      </c>
      <c r="C43" s="145" t="s">
        <v>834</v>
      </c>
      <c r="D43" s="145" t="s">
        <v>835</v>
      </c>
      <c r="E43" s="211" t="s">
        <v>836</v>
      </c>
    </row>
    <row r="44" spans="2:19" hidden="1" outlineLevel="1">
      <c r="B44" s="2" t="s">
        <v>853</v>
      </c>
      <c r="C44" s="138" t="s">
        <v>440</v>
      </c>
      <c r="D44" s="112" t="s">
        <v>892</v>
      </c>
      <c r="E44" s="112">
        <v>0.03</v>
      </c>
      <c r="G44" s="209" t="s">
        <v>843</v>
      </c>
      <c r="H44" s="209" t="s">
        <v>844</v>
      </c>
      <c r="I44" s="210" t="s">
        <v>845</v>
      </c>
      <c r="J44" s="210" t="s">
        <v>846</v>
      </c>
      <c r="K44" s="210" t="s">
        <v>847</v>
      </c>
      <c r="L44" s="210" t="s">
        <v>848</v>
      </c>
      <c r="M44" s="209" t="s">
        <v>849</v>
      </c>
      <c r="N44" s="210" t="s">
        <v>850</v>
      </c>
      <c r="O44" s="210" t="s">
        <v>8055</v>
      </c>
      <c r="P44" s="210" t="s">
        <v>8168</v>
      </c>
      <c r="Q44" s="210" t="s">
        <v>8571</v>
      </c>
      <c r="R44" s="210" t="s">
        <v>8755</v>
      </c>
      <c r="S44" s="210" t="s">
        <v>8892</v>
      </c>
    </row>
    <row r="45" spans="2:19" hidden="1" outlineLevel="1">
      <c r="B45" s="2" t="s">
        <v>853</v>
      </c>
      <c r="C45" s="138" t="s">
        <v>439</v>
      </c>
      <c r="D45" s="114" t="s">
        <v>893</v>
      </c>
      <c r="E45" s="114">
        <v>0.03</v>
      </c>
      <c r="G45" s="209" t="s">
        <v>843</v>
      </c>
      <c r="H45" s="209" t="s">
        <v>844</v>
      </c>
      <c r="I45" s="210" t="s">
        <v>845</v>
      </c>
      <c r="J45" s="210" t="s">
        <v>846</v>
      </c>
      <c r="K45" s="210" t="s">
        <v>847</v>
      </c>
      <c r="L45" s="210" t="s">
        <v>848</v>
      </c>
      <c r="M45" s="209" t="s">
        <v>849</v>
      </c>
      <c r="N45" s="210" t="s">
        <v>850</v>
      </c>
      <c r="O45" s="210" t="s">
        <v>8055</v>
      </c>
      <c r="P45" s="210" t="s">
        <v>8168</v>
      </c>
      <c r="Q45" s="210" t="s">
        <v>8571</v>
      </c>
      <c r="R45" s="210" t="s">
        <v>8755</v>
      </c>
      <c r="S45" s="210" t="s">
        <v>8892</v>
      </c>
    </row>
    <row r="46" spans="2:19" hidden="1" outlineLevel="1">
      <c r="B46" s="2" t="s">
        <v>853</v>
      </c>
      <c r="C46" s="138" t="s">
        <v>8884</v>
      </c>
      <c r="D46" s="112" t="s">
        <v>8886</v>
      </c>
      <c r="E46" s="112">
        <v>2.2499999999999999E-2</v>
      </c>
      <c r="G46" s="210" t="s">
        <v>843</v>
      </c>
      <c r="H46" s="210" t="s">
        <v>844</v>
      </c>
      <c r="I46" s="210" t="s">
        <v>845</v>
      </c>
      <c r="J46" s="210" t="s">
        <v>846</v>
      </c>
      <c r="K46" s="210" t="s">
        <v>847</v>
      </c>
      <c r="L46" s="210" t="s">
        <v>848</v>
      </c>
      <c r="M46" s="209" t="s">
        <v>849</v>
      </c>
      <c r="N46" s="210" t="s">
        <v>850</v>
      </c>
      <c r="O46" s="210" t="s">
        <v>8055</v>
      </c>
      <c r="P46" s="210" t="s">
        <v>8168</v>
      </c>
      <c r="Q46" s="210" t="s">
        <v>8571</v>
      </c>
      <c r="R46" s="209" t="s">
        <v>8755</v>
      </c>
      <c r="S46" s="210" t="s">
        <v>8892</v>
      </c>
    </row>
    <row r="47" spans="2:19" hidden="1" outlineLevel="1">
      <c r="B47" s="2" t="s">
        <v>853</v>
      </c>
      <c r="C47" s="138" t="s">
        <v>8885</v>
      </c>
      <c r="D47" s="114" t="s">
        <v>8887</v>
      </c>
      <c r="E47" s="114">
        <v>1.4999999999999999E-2</v>
      </c>
      <c r="G47" s="210" t="s">
        <v>843</v>
      </c>
      <c r="H47" s="210" t="s">
        <v>844</v>
      </c>
      <c r="I47" s="210" t="s">
        <v>845</v>
      </c>
      <c r="J47" s="210" t="s">
        <v>846</v>
      </c>
      <c r="K47" s="210" t="s">
        <v>847</v>
      </c>
      <c r="L47" s="210" t="s">
        <v>848</v>
      </c>
      <c r="M47" s="209" t="s">
        <v>849</v>
      </c>
      <c r="N47" s="210" t="s">
        <v>850</v>
      </c>
      <c r="O47" s="210" t="s">
        <v>8055</v>
      </c>
      <c r="P47" s="210" t="s">
        <v>8168</v>
      </c>
      <c r="Q47" s="210" t="s">
        <v>8571</v>
      </c>
      <c r="R47" s="209" t="s">
        <v>8755</v>
      </c>
      <c r="S47" s="210" t="s">
        <v>8892</v>
      </c>
    </row>
    <row r="48" spans="2:19" hidden="1" outlineLevel="1">
      <c r="B48" s="2" t="s">
        <v>853</v>
      </c>
      <c r="C48" s="138" t="s">
        <v>8888</v>
      </c>
      <c r="D48" s="112" t="s">
        <v>8890</v>
      </c>
      <c r="E48" s="112">
        <v>0.03</v>
      </c>
      <c r="G48" s="210" t="s">
        <v>843</v>
      </c>
      <c r="H48" s="210" t="s">
        <v>844</v>
      </c>
      <c r="I48" s="210" t="s">
        <v>845</v>
      </c>
      <c r="J48" s="210" t="s">
        <v>846</v>
      </c>
      <c r="K48" s="210" t="s">
        <v>847</v>
      </c>
      <c r="L48" s="210" t="s">
        <v>848</v>
      </c>
      <c r="M48" s="209" t="s">
        <v>849</v>
      </c>
      <c r="N48" s="210" t="s">
        <v>850</v>
      </c>
      <c r="O48" s="210" t="s">
        <v>8055</v>
      </c>
      <c r="P48" s="210" t="s">
        <v>8168</v>
      </c>
      <c r="Q48" s="210" t="s">
        <v>8571</v>
      </c>
      <c r="R48" s="210" t="s">
        <v>8755</v>
      </c>
      <c r="S48" s="209" t="s">
        <v>8892</v>
      </c>
    </row>
    <row r="49" spans="2:19" hidden="1" outlineLevel="1">
      <c r="B49" s="2" t="s">
        <v>853</v>
      </c>
      <c r="C49" s="138" t="s">
        <v>8889</v>
      </c>
      <c r="D49" s="114" t="s">
        <v>8891</v>
      </c>
      <c r="E49" s="114">
        <v>0.03</v>
      </c>
      <c r="G49" s="210" t="s">
        <v>843</v>
      </c>
      <c r="H49" s="210" t="s">
        <v>844</v>
      </c>
      <c r="I49" s="210" t="s">
        <v>845</v>
      </c>
      <c r="J49" s="210" t="s">
        <v>846</v>
      </c>
      <c r="K49" s="210" t="s">
        <v>847</v>
      </c>
      <c r="L49" s="210" t="s">
        <v>848</v>
      </c>
      <c r="M49" s="209" t="s">
        <v>849</v>
      </c>
      <c r="N49" s="210" t="s">
        <v>850</v>
      </c>
      <c r="O49" s="210" t="s">
        <v>8055</v>
      </c>
      <c r="P49" s="210" t="s">
        <v>8168</v>
      </c>
      <c r="Q49" s="210" t="s">
        <v>8571</v>
      </c>
      <c r="R49" s="210" t="s">
        <v>8755</v>
      </c>
      <c r="S49" s="209" t="s">
        <v>8892</v>
      </c>
    </row>
    <row r="50" spans="2:19" hidden="1" outlineLevel="1">
      <c r="B50" s="2" t="s">
        <v>853</v>
      </c>
      <c r="C50" s="138" t="s">
        <v>894</v>
      </c>
      <c r="D50" s="112" t="s">
        <v>895</v>
      </c>
      <c r="E50" s="221">
        <v>0</v>
      </c>
      <c r="G50" s="209" t="s">
        <v>843</v>
      </c>
      <c r="H50" s="209" t="s">
        <v>844</v>
      </c>
      <c r="I50" s="210" t="s">
        <v>845</v>
      </c>
      <c r="J50" s="210" t="s">
        <v>846</v>
      </c>
      <c r="K50" s="209" t="s">
        <v>847</v>
      </c>
      <c r="L50" s="210" t="s">
        <v>848</v>
      </c>
      <c r="M50" s="209" t="s">
        <v>849</v>
      </c>
      <c r="N50" s="210" t="s">
        <v>850</v>
      </c>
      <c r="O50" s="210" t="s">
        <v>8055</v>
      </c>
      <c r="P50" s="209" t="s">
        <v>8168</v>
      </c>
      <c r="Q50" s="210" t="s">
        <v>8571</v>
      </c>
      <c r="R50" s="210" t="s">
        <v>8755</v>
      </c>
      <c r="S50" s="210" t="s">
        <v>8892</v>
      </c>
    </row>
    <row r="51" spans="2:19" hidden="1" outlineLevel="1">
      <c r="B51" s="2" t="s">
        <v>853</v>
      </c>
      <c r="C51" s="138" t="s">
        <v>339</v>
      </c>
      <c r="D51" s="114" t="s">
        <v>896</v>
      </c>
      <c r="E51" s="114">
        <v>0.8</v>
      </c>
      <c r="G51" s="209" t="s">
        <v>843</v>
      </c>
      <c r="H51" s="209" t="s">
        <v>844</v>
      </c>
      <c r="I51" s="210" t="s">
        <v>845</v>
      </c>
      <c r="J51" s="210" t="s">
        <v>846</v>
      </c>
      <c r="K51" s="210" t="s">
        <v>847</v>
      </c>
      <c r="L51" s="210" t="s">
        <v>848</v>
      </c>
      <c r="M51" s="209" t="s">
        <v>849</v>
      </c>
      <c r="N51" s="210" t="s">
        <v>850</v>
      </c>
      <c r="O51" s="210" t="s">
        <v>8055</v>
      </c>
      <c r="P51" s="210" t="s">
        <v>8168</v>
      </c>
      <c r="Q51" s="210" t="s">
        <v>8571</v>
      </c>
      <c r="R51" s="210" t="s">
        <v>8755</v>
      </c>
      <c r="S51" s="210" t="s">
        <v>8892</v>
      </c>
    </row>
    <row r="52" spans="2:19" hidden="1" outlineLevel="1">
      <c r="B52" s="2" t="s">
        <v>853</v>
      </c>
      <c r="C52" s="138" t="s">
        <v>522</v>
      </c>
      <c r="D52" s="112" t="s">
        <v>897</v>
      </c>
      <c r="E52" s="112">
        <v>1000</v>
      </c>
      <c r="G52" s="209" t="s">
        <v>843</v>
      </c>
      <c r="H52" s="209" t="s">
        <v>844</v>
      </c>
      <c r="I52" s="210" t="s">
        <v>845</v>
      </c>
      <c r="J52" s="210" t="s">
        <v>846</v>
      </c>
      <c r="K52" s="209" t="s">
        <v>847</v>
      </c>
      <c r="L52" s="210" t="s">
        <v>848</v>
      </c>
      <c r="M52" s="209" t="s">
        <v>849</v>
      </c>
      <c r="N52" s="210" t="s">
        <v>850</v>
      </c>
      <c r="O52" s="210" t="s">
        <v>8055</v>
      </c>
      <c r="P52" s="209" t="s">
        <v>8168</v>
      </c>
      <c r="Q52" s="210" t="s">
        <v>8571</v>
      </c>
      <c r="R52" s="210" t="s">
        <v>8755</v>
      </c>
      <c r="S52" s="210" t="s">
        <v>8892</v>
      </c>
    </row>
    <row r="53" spans="2:19" hidden="1" outlineLevel="1">
      <c r="B53" s="2" t="s">
        <v>853</v>
      </c>
      <c r="C53" s="138" t="s">
        <v>438</v>
      </c>
      <c r="D53" s="114" t="s">
        <v>898</v>
      </c>
      <c r="E53" s="114">
        <v>3.7999999999999999E-2</v>
      </c>
      <c r="G53" s="209" t="s">
        <v>843</v>
      </c>
      <c r="H53" s="209" t="s">
        <v>844</v>
      </c>
      <c r="I53" s="210" t="s">
        <v>845</v>
      </c>
      <c r="J53" s="209" t="s">
        <v>846</v>
      </c>
      <c r="K53" s="210" t="s">
        <v>847</v>
      </c>
      <c r="L53" s="210" t="s">
        <v>848</v>
      </c>
      <c r="M53" s="209" t="s">
        <v>849</v>
      </c>
      <c r="N53" s="210" t="s">
        <v>850</v>
      </c>
      <c r="O53" s="210" t="s">
        <v>8055</v>
      </c>
      <c r="P53" s="210" t="s">
        <v>8168</v>
      </c>
      <c r="Q53" s="210" t="s">
        <v>8571</v>
      </c>
      <c r="R53" s="210" t="s">
        <v>8755</v>
      </c>
      <c r="S53" s="693" t="s">
        <v>8892</v>
      </c>
    </row>
    <row r="54" spans="2:19" hidden="1" outlineLevel="1">
      <c r="B54" s="2" t="s">
        <v>853</v>
      </c>
      <c r="C54" s="138" t="s">
        <v>447</v>
      </c>
      <c r="D54" s="112" t="s">
        <v>899</v>
      </c>
      <c r="E54" s="112">
        <v>0.06</v>
      </c>
      <c r="G54" s="209" t="s">
        <v>843</v>
      </c>
      <c r="H54" s="209" t="s">
        <v>844</v>
      </c>
      <c r="I54" s="210" t="s">
        <v>845</v>
      </c>
      <c r="J54" s="210" t="s">
        <v>846</v>
      </c>
      <c r="K54" s="210" t="s">
        <v>847</v>
      </c>
      <c r="L54" s="210" t="s">
        <v>848</v>
      </c>
      <c r="M54" s="209" t="s">
        <v>849</v>
      </c>
      <c r="N54" s="210" t="s">
        <v>850</v>
      </c>
      <c r="O54" s="210" t="s">
        <v>8055</v>
      </c>
      <c r="P54" s="210" t="s">
        <v>8168</v>
      </c>
      <c r="Q54" s="210" t="s">
        <v>8571</v>
      </c>
      <c r="R54" s="210" t="s">
        <v>8755</v>
      </c>
      <c r="S54" s="210" t="s">
        <v>8892</v>
      </c>
    </row>
    <row r="55" spans="2:19" hidden="1" outlineLevel="1">
      <c r="B55" s="2" t="s">
        <v>853</v>
      </c>
      <c r="C55" s="138" t="s">
        <v>445</v>
      </c>
      <c r="D55" s="114" t="s">
        <v>900</v>
      </c>
      <c r="E55" s="114">
        <v>0.03</v>
      </c>
      <c r="G55" s="209" t="s">
        <v>843</v>
      </c>
      <c r="H55" s="209" t="s">
        <v>844</v>
      </c>
      <c r="I55" s="210" t="s">
        <v>845</v>
      </c>
      <c r="J55" s="210" t="s">
        <v>846</v>
      </c>
      <c r="K55" s="210" t="s">
        <v>847</v>
      </c>
      <c r="L55" s="210" t="s">
        <v>848</v>
      </c>
      <c r="M55" s="209" t="s">
        <v>849</v>
      </c>
      <c r="N55" s="210" t="s">
        <v>850</v>
      </c>
      <c r="O55" s="210" t="s">
        <v>8055</v>
      </c>
      <c r="P55" s="210" t="s">
        <v>8168</v>
      </c>
      <c r="Q55" s="210" t="s">
        <v>8571</v>
      </c>
      <c r="R55" s="210" t="s">
        <v>8755</v>
      </c>
      <c r="S55" s="210" t="s">
        <v>8892</v>
      </c>
    </row>
    <row r="56" spans="2:19" hidden="1" outlineLevel="1">
      <c r="B56" s="2" t="s">
        <v>853</v>
      </c>
      <c r="C56" s="138" t="s">
        <v>411</v>
      </c>
      <c r="D56" s="112" t="s">
        <v>901</v>
      </c>
      <c r="E56" s="112">
        <v>30</v>
      </c>
      <c r="G56" s="209" t="s">
        <v>843</v>
      </c>
      <c r="H56" s="209" t="s">
        <v>844</v>
      </c>
      <c r="I56" s="210" t="s">
        <v>845</v>
      </c>
      <c r="J56" s="210" t="s">
        <v>846</v>
      </c>
      <c r="K56" s="210" t="s">
        <v>847</v>
      </c>
      <c r="L56" s="210" t="s">
        <v>848</v>
      </c>
      <c r="M56" s="209" t="s">
        <v>849</v>
      </c>
      <c r="N56" s="210" t="s">
        <v>850</v>
      </c>
      <c r="O56" s="210" t="s">
        <v>8055</v>
      </c>
      <c r="P56" s="210" t="s">
        <v>8168</v>
      </c>
      <c r="Q56" s="210" t="s">
        <v>8571</v>
      </c>
      <c r="R56" s="210" t="s">
        <v>8755</v>
      </c>
      <c r="S56" s="210" t="s">
        <v>8892</v>
      </c>
    </row>
    <row r="57" spans="2:19" hidden="1" outlineLevel="1">
      <c r="B57" s="2" t="s">
        <v>853</v>
      </c>
      <c r="C57" s="138" t="s">
        <v>479</v>
      </c>
      <c r="D57" s="114" t="s">
        <v>902</v>
      </c>
      <c r="E57" s="114">
        <v>30</v>
      </c>
      <c r="G57" s="209" t="s">
        <v>843</v>
      </c>
      <c r="H57" s="210" t="s">
        <v>844</v>
      </c>
      <c r="I57" s="210" t="s">
        <v>845</v>
      </c>
      <c r="J57" s="210" t="s">
        <v>846</v>
      </c>
      <c r="K57" s="210" t="s">
        <v>847</v>
      </c>
      <c r="L57" s="210" t="s">
        <v>848</v>
      </c>
      <c r="M57" s="209" t="s">
        <v>849</v>
      </c>
      <c r="N57" s="210" t="s">
        <v>850</v>
      </c>
      <c r="O57" s="210" t="s">
        <v>8055</v>
      </c>
      <c r="P57" s="210" t="s">
        <v>8168</v>
      </c>
      <c r="Q57" s="210" t="s">
        <v>8571</v>
      </c>
      <c r="R57" s="210" t="s">
        <v>8755</v>
      </c>
      <c r="S57" s="210" t="s">
        <v>8892</v>
      </c>
    </row>
    <row r="58" spans="2:19" hidden="1" outlineLevel="1">
      <c r="B58" s="2" t="s">
        <v>853</v>
      </c>
      <c r="C58" s="138" t="s">
        <v>480</v>
      </c>
      <c r="D58" s="112" t="s">
        <v>903</v>
      </c>
      <c r="E58" s="112">
        <v>25</v>
      </c>
      <c r="G58" s="209" t="s">
        <v>843</v>
      </c>
      <c r="H58" s="209" t="s">
        <v>844</v>
      </c>
      <c r="I58" s="210" t="s">
        <v>845</v>
      </c>
      <c r="J58" s="210" t="s">
        <v>846</v>
      </c>
      <c r="K58" s="210" t="s">
        <v>847</v>
      </c>
      <c r="L58" s="210" t="s">
        <v>848</v>
      </c>
      <c r="M58" s="209" t="s">
        <v>849</v>
      </c>
      <c r="N58" s="210" t="s">
        <v>850</v>
      </c>
      <c r="O58" s="210" t="s">
        <v>8055</v>
      </c>
      <c r="P58" s="210" t="s">
        <v>8168</v>
      </c>
      <c r="Q58" s="210" t="s">
        <v>8571</v>
      </c>
      <c r="R58" s="210" t="s">
        <v>8755</v>
      </c>
      <c r="S58" s="210" t="s">
        <v>8892</v>
      </c>
    </row>
    <row r="59" spans="2:19" hidden="1" outlineLevel="1">
      <c r="B59" s="2" t="s">
        <v>853</v>
      </c>
      <c r="C59" s="138" t="s">
        <v>509</v>
      </c>
      <c r="D59" s="114" t="s">
        <v>904</v>
      </c>
      <c r="E59" s="114">
        <v>7</v>
      </c>
      <c r="G59" s="210" t="s">
        <v>843</v>
      </c>
      <c r="H59" s="210" t="s">
        <v>844</v>
      </c>
      <c r="I59" s="210" t="s">
        <v>845</v>
      </c>
      <c r="J59" s="210" t="s">
        <v>846</v>
      </c>
      <c r="K59" s="210" t="s">
        <v>847</v>
      </c>
      <c r="L59" s="210" t="s">
        <v>848</v>
      </c>
      <c r="M59" s="209" t="s">
        <v>849</v>
      </c>
      <c r="N59" s="210" t="s">
        <v>850</v>
      </c>
      <c r="O59" s="210" t="s">
        <v>8055</v>
      </c>
      <c r="P59" s="210" t="s">
        <v>8168</v>
      </c>
      <c r="Q59" s="210" t="s">
        <v>8571</v>
      </c>
      <c r="R59" s="210" t="s">
        <v>8755</v>
      </c>
      <c r="S59" s="210" t="s">
        <v>8892</v>
      </c>
    </row>
    <row r="60" spans="2:19" hidden="1" outlineLevel="1">
      <c r="B60" s="2" t="s">
        <v>853</v>
      </c>
      <c r="C60" s="138" t="s">
        <v>511</v>
      </c>
      <c r="D60" s="112" t="s">
        <v>905</v>
      </c>
      <c r="E60" s="112">
        <v>10</v>
      </c>
      <c r="G60" s="210" t="s">
        <v>843</v>
      </c>
      <c r="H60" s="210" t="s">
        <v>844</v>
      </c>
      <c r="I60" s="210" t="s">
        <v>845</v>
      </c>
      <c r="J60" s="210" t="s">
        <v>846</v>
      </c>
      <c r="K60" s="210" t="s">
        <v>847</v>
      </c>
      <c r="L60" s="210" t="s">
        <v>848</v>
      </c>
      <c r="M60" s="209" t="s">
        <v>849</v>
      </c>
      <c r="N60" s="210" t="s">
        <v>850</v>
      </c>
      <c r="O60" s="210" t="s">
        <v>8055</v>
      </c>
      <c r="P60" s="210" t="s">
        <v>8168</v>
      </c>
      <c r="Q60" s="210" t="s">
        <v>8571</v>
      </c>
      <c r="R60" s="210" t="s">
        <v>8755</v>
      </c>
      <c r="S60" s="210" t="s">
        <v>8892</v>
      </c>
    </row>
    <row r="61" spans="2:19" hidden="1" outlineLevel="1">
      <c r="B61" s="2" t="s">
        <v>853</v>
      </c>
      <c r="C61" s="138" t="s">
        <v>443</v>
      </c>
      <c r="D61" s="114" t="s">
        <v>906</v>
      </c>
      <c r="E61" s="114">
        <v>7</v>
      </c>
      <c r="G61" s="209" t="s">
        <v>843</v>
      </c>
      <c r="H61" s="209" t="s">
        <v>844</v>
      </c>
      <c r="I61" s="210" t="s">
        <v>845</v>
      </c>
      <c r="J61" s="210" t="s">
        <v>846</v>
      </c>
      <c r="K61" s="210" t="s">
        <v>847</v>
      </c>
      <c r="L61" s="210" t="s">
        <v>848</v>
      </c>
      <c r="M61" s="209" t="s">
        <v>849</v>
      </c>
      <c r="N61" s="210" t="s">
        <v>850</v>
      </c>
      <c r="O61" s="210" t="s">
        <v>8055</v>
      </c>
      <c r="P61" s="210" t="s">
        <v>8168</v>
      </c>
      <c r="Q61" s="210" t="s">
        <v>8571</v>
      </c>
      <c r="R61" s="210" t="s">
        <v>8755</v>
      </c>
      <c r="S61" s="210" t="s">
        <v>8892</v>
      </c>
    </row>
    <row r="62" spans="2:19" hidden="1" outlineLevel="1">
      <c r="B62" s="2" t="s">
        <v>853</v>
      </c>
      <c r="C62" s="138" t="s">
        <v>453</v>
      </c>
      <c r="D62" s="112" t="s">
        <v>907</v>
      </c>
      <c r="E62" s="112">
        <v>0.39</v>
      </c>
      <c r="G62" s="209" t="s">
        <v>843</v>
      </c>
      <c r="H62" s="209" t="s">
        <v>844</v>
      </c>
      <c r="I62" s="210" t="s">
        <v>845</v>
      </c>
      <c r="J62" s="210" t="s">
        <v>846</v>
      </c>
      <c r="K62" s="210" t="s">
        <v>847</v>
      </c>
      <c r="L62" s="210" t="s">
        <v>848</v>
      </c>
      <c r="M62" s="210" t="s">
        <v>849</v>
      </c>
      <c r="N62" s="210" t="s">
        <v>850</v>
      </c>
      <c r="O62" s="210" t="s">
        <v>8055</v>
      </c>
      <c r="P62" s="210" t="s">
        <v>8168</v>
      </c>
      <c r="Q62" s="210" t="s">
        <v>8571</v>
      </c>
      <c r="R62" s="210" t="s">
        <v>8755</v>
      </c>
      <c r="S62" s="210" t="s">
        <v>8892</v>
      </c>
    </row>
    <row r="63" spans="2:19" hidden="1" outlineLevel="1">
      <c r="B63" s="2" t="s">
        <v>853</v>
      </c>
      <c r="C63" s="138" t="s">
        <v>458</v>
      </c>
      <c r="D63" s="114" t="s">
        <v>908</v>
      </c>
      <c r="E63" s="114">
        <v>0.8</v>
      </c>
      <c r="G63" s="209" t="s">
        <v>843</v>
      </c>
      <c r="H63" s="209" t="s">
        <v>844</v>
      </c>
      <c r="I63" s="210" t="s">
        <v>845</v>
      </c>
      <c r="J63" s="210" t="s">
        <v>846</v>
      </c>
      <c r="K63" s="210" t="s">
        <v>847</v>
      </c>
      <c r="L63" s="210" t="s">
        <v>848</v>
      </c>
      <c r="M63" s="209" t="s">
        <v>849</v>
      </c>
      <c r="N63" s="210" t="s">
        <v>850</v>
      </c>
      <c r="O63" s="210" t="s">
        <v>8055</v>
      </c>
      <c r="P63" s="210" t="s">
        <v>8168</v>
      </c>
      <c r="Q63" s="210" t="s">
        <v>8571</v>
      </c>
      <c r="R63" s="210" t="s">
        <v>8755</v>
      </c>
      <c r="S63" s="210" t="s">
        <v>8892</v>
      </c>
    </row>
    <row r="64" spans="2:19" hidden="1" outlineLevel="1">
      <c r="B64" s="2" t="s">
        <v>853</v>
      </c>
      <c r="C64" s="138" t="s">
        <v>444</v>
      </c>
      <c r="D64" s="112" t="s">
        <v>909</v>
      </c>
      <c r="E64" s="112">
        <v>0.8</v>
      </c>
      <c r="G64" s="209" t="s">
        <v>843</v>
      </c>
      <c r="H64" s="210" t="s">
        <v>844</v>
      </c>
      <c r="I64" s="210" t="s">
        <v>845</v>
      </c>
      <c r="J64" s="210" t="s">
        <v>846</v>
      </c>
      <c r="K64" s="210" t="s">
        <v>847</v>
      </c>
      <c r="L64" s="210" t="s">
        <v>848</v>
      </c>
      <c r="M64" s="209" t="s">
        <v>849</v>
      </c>
      <c r="N64" s="210" t="s">
        <v>850</v>
      </c>
      <c r="O64" s="210" t="s">
        <v>8055</v>
      </c>
      <c r="P64" s="210" t="s">
        <v>8168</v>
      </c>
      <c r="Q64" s="210" t="s">
        <v>8571</v>
      </c>
      <c r="R64" s="210" t="s">
        <v>8755</v>
      </c>
      <c r="S64" s="210" t="s">
        <v>8892</v>
      </c>
    </row>
    <row r="65" spans="2:19" hidden="1" outlineLevel="1">
      <c r="B65" s="2" t="s">
        <v>853</v>
      </c>
      <c r="C65" s="138" t="s">
        <v>457</v>
      </c>
      <c r="D65" s="114" t="s">
        <v>910</v>
      </c>
      <c r="E65" s="114">
        <v>0.8</v>
      </c>
      <c r="G65" s="209" t="s">
        <v>843</v>
      </c>
      <c r="H65" s="209" t="s">
        <v>844</v>
      </c>
      <c r="I65" s="210" t="s">
        <v>845</v>
      </c>
      <c r="J65" s="210" t="s">
        <v>846</v>
      </c>
      <c r="K65" s="210" t="s">
        <v>847</v>
      </c>
      <c r="L65" s="210" t="s">
        <v>848</v>
      </c>
      <c r="M65" s="209" t="s">
        <v>849</v>
      </c>
      <c r="N65" s="210" t="s">
        <v>850</v>
      </c>
      <c r="O65" s="210" t="s">
        <v>8055</v>
      </c>
      <c r="P65" s="210" t="s">
        <v>8168</v>
      </c>
      <c r="Q65" s="210" t="s">
        <v>8571</v>
      </c>
      <c r="R65" s="210" t="s">
        <v>8755</v>
      </c>
      <c r="S65" s="210" t="s">
        <v>8892</v>
      </c>
    </row>
    <row r="66" spans="2:19" hidden="1" outlineLevel="1">
      <c r="B66" s="2" t="s">
        <v>853</v>
      </c>
      <c r="C66" s="138" t="s">
        <v>449</v>
      </c>
      <c r="D66" s="112" t="s">
        <v>911</v>
      </c>
      <c r="E66" s="112">
        <v>0.39</v>
      </c>
      <c r="G66" s="209" t="s">
        <v>843</v>
      </c>
      <c r="H66" s="209" t="s">
        <v>844</v>
      </c>
      <c r="I66" s="210" t="s">
        <v>845</v>
      </c>
      <c r="J66" s="210" t="s">
        <v>846</v>
      </c>
      <c r="K66" s="210" t="s">
        <v>847</v>
      </c>
      <c r="L66" s="210" t="s">
        <v>848</v>
      </c>
      <c r="M66" s="209" t="s">
        <v>849</v>
      </c>
      <c r="N66" s="210" t="s">
        <v>850</v>
      </c>
      <c r="O66" s="210" t="s">
        <v>8055</v>
      </c>
      <c r="P66" s="210" t="s">
        <v>8168</v>
      </c>
      <c r="Q66" s="210" t="s">
        <v>8571</v>
      </c>
      <c r="R66" s="210" t="s">
        <v>8755</v>
      </c>
      <c r="S66" s="210" t="s">
        <v>8892</v>
      </c>
    </row>
    <row r="67" spans="2:19" hidden="1" outlineLevel="1">
      <c r="B67" s="2" t="s">
        <v>853</v>
      </c>
      <c r="C67" s="138" t="s">
        <v>413</v>
      </c>
      <c r="D67" s="114" t="s">
        <v>912</v>
      </c>
      <c r="E67" s="114">
        <v>7.3169999999999999E-2</v>
      </c>
      <c r="G67" s="209" t="s">
        <v>843</v>
      </c>
      <c r="H67" s="209" t="s">
        <v>844</v>
      </c>
      <c r="I67" s="209" t="s">
        <v>845</v>
      </c>
      <c r="J67" s="210" t="s">
        <v>846</v>
      </c>
      <c r="K67" s="209" t="s">
        <v>847</v>
      </c>
      <c r="L67" s="210" t="s">
        <v>848</v>
      </c>
      <c r="M67" s="209" t="s">
        <v>849</v>
      </c>
      <c r="N67" s="210" t="s">
        <v>850</v>
      </c>
      <c r="O67" s="210" t="s">
        <v>8055</v>
      </c>
      <c r="P67" s="209" t="s">
        <v>8168</v>
      </c>
      <c r="Q67" s="210" t="s">
        <v>8571</v>
      </c>
      <c r="R67" s="210" t="s">
        <v>8755</v>
      </c>
      <c r="S67" s="210" t="s">
        <v>8892</v>
      </c>
    </row>
    <row r="68" spans="2:19" hidden="1" outlineLevel="1">
      <c r="B68" s="2" t="s">
        <v>853</v>
      </c>
      <c r="C68" s="138" t="s">
        <v>913</v>
      </c>
      <c r="D68" s="112" t="s">
        <v>914</v>
      </c>
      <c r="E68" s="112">
        <v>1500</v>
      </c>
      <c r="G68" s="209" t="s">
        <v>843</v>
      </c>
      <c r="H68" s="209" t="s">
        <v>844</v>
      </c>
      <c r="I68" s="210" t="s">
        <v>845</v>
      </c>
      <c r="J68" s="210" t="s">
        <v>846</v>
      </c>
      <c r="K68" s="210" t="s">
        <v>847</v>
      </c>
      <c r="L68" s="210" t="s">
        <v>848</v>
      </c>
      <c r="M68" s="210" t="s">
        <v>849</v>
      </c>
      <c r="N68" s="210" t="s">
        <v>850</v>
      </c>
      <c r="O68" s="210" t="s">
        <v>8055</v>
      </c>
      <c r="P68" s="210" t="s">
        <v>8168</v>
      </c>
      <c r="Q68" s="210" t="s">
        <v>8571</v>
      </c>
      <c r="R68" s="210" t="s">
        <v>8755</v>
      </c>
      <c r="S68" s="210" t="s">
        <v>8892</v>
      </c>
    </row>
    <row r="69" spans="2:19" hidden="1" outlineLevel="1">
      <c r="B69" s="2" t="s">
        <v>853</v>
      </c>
      <c r="C69" s="138" t="s">
        <v>915</v>
      </c>
      <c r="D69" s="114" t="s">
        <v>916</v>
      </c>
      <c r="E69" s="114">
        <v>1</v>
      </c>
      <c r="G69" s="209" t="s">
        <v>843</v>
      </c>
      <c r="H69" s="209" t="s">
        <v>844</v>
      </c>
      <c r="I69" s="210" t="s">
        <v>845</v>
      </c>
      <c r="J69" s="210" t="s">
        <v>846</v>
      </c>
      <c r="K69" s="210" t="s">
        <v>847</v>
      </c>
      <c r="L69" s="210" t="s">
        <v>848</v>
      </c>
      <c r="M69" s="210" t="s">
        <v>849</v>
      </c>
      <c r="N69" s="210" t="s">
        <v>850</v>
      </c>
      <c r="O69" s="210" t="s">
        <v>8055</v>
      </c>
      <c r="P69" s="210" t="s">
        <v>8168</v>
      </c>
      <c r="Q69" s="210" t="s">
        <v>8571</v>
      </c>
      <c r="R69" s="210" t="s">
        <v>8755</v>
      </c>
      <c r="S69" s="210" t="s">
        <v>8892</v>
      </c>
    </row>
    <row r="70" spans="2:19" hidden="1" outlineLevel="1">
      <c r="B70" s="2" t="s">
        <v>853</v>
      </c>
      <c r="C70" s="138" t="s">
        <v>8804</v>
      </c>
      <c r="D70" s="112" t="s">
        <v>917</v>
      </c>
      <c r="E70" s="112">
        <v>0.8</v>
      </c>
      <c r="G70" s="209" t="s">
        <v>843</v>
      </c>
      <c r="H70" s="209" t="s">
        <v>844</v>
      </c>
      <c r="I70" s="210" t="s">
        <v>845</v>
      </c>
      <c r="J70" s="210" t="s">
        <v>846</v>
      </c>
      <c r="K70" s="210" t="s">
        <v>847</v>
      </c>
      <c r="L70" s="210" t="s">
        <v>848</v>
      </c>
      <c r="M70" s="209" t="s">
        <v>849</v>
      </c>
      <c r="N70" s="210" t="s">
        <v>850</v>
      </c>
      <c r="O70" s="210" t="s">
        <v>8055</v>
      </c>
      <c r="P70" s="210" t="s">
        <v>8168</v>
      </c>
      <c r="Q70" s="210" t="s">
        <v>8571</v>
      </c>
      <c r="R70" s="210" t="s">
        <v>8755</v>
      </c>
      <c r="S70" s="210" t="s">
        <v>8892</v>
      </c>
    </row>
    <row r="71" spans="2:19" hidden="1" outlineLevel="1">
      <c r="B71" s="2" t="s">
        <v>853</v>
      </c>
      <c r="C71" s="138" t="s">
        <v>460</v>
      </c>
      <c r="D71" s="114" t="s">
        <v>918</v>
      </c>
      <c r="E71" s="114">
        <v>0.9</v>
      </c>
      <c r="G71" s="210" t="s">
        <v>843</v>
      </c>
      <c r="H71" s="210" t="s">
        <v>844</v>
      </c>
      <c r="I71" s="210" t="s">
        <v>845</v>
      </c>
      <c r="J71" s="210" t="s">
        <v>846</v>
      </c>
      <c r="K71" s="210" t="s">
        <v>847</v>
      </c>
      <c r="L71" s="210" t="s">
        <v>848</v>
      </c>
      <c r="M71" s="209" t="s">
        <v>849</v>
      </c>
      <c r="N71" s="210" t="s">
        <v>850</v>
      </c>
      <c r="O71" s="210" t="s">
        <v>8055</v>
      </c>
      <c r="P71" s="210" t="s">
        <v>8168</v>
      </c>
      <c r="Q71" s="210" t="s">
        <v>8571</v>
      </c>
      <c r="R71" s="210" t="s">
        <v>8755</v>
      </c>
      <c r="S71" s="210" t="s">
        <v>8892</v>
      </c>
    </row>
    <row r="72" spans="2:19" hidden="1" outlineLevel="1">
      <c r="B72" s="2" t="s">
        <v>853</v>
      </c>
      <c r="C72" s="138" t="s">
        <v>507</v>
      </c>
      <c r="D72" s="112" t="s">
        <v>919</v>
      </c>
      <c r="E72" s="112">
        <v>0.8</v>
      </c>
      <c r="G72" s="210" t="s">
        <v>843</v>
      </c>
      <c r="H72" s="210" t="s">
        <v>844</v>
      </c>
      <c r="I72" s="210" t="s">
        <v>845</v>
      </c>
      <c r="J72" s="210" t="s">
        <v>846</v>
      </c>
      <c r="K72" s="210" t="s">
        <v>847</v>
      </c>
      <c r="L72" s="210" t="s">
        <v>848</v>
      </c>
      <c r="M72" s="209" t="s">
        <v>849</v>
      </c>
      <c r="N72" s="210" t="s">
        <v>850</v>
      </c>
      <c r="O72" s="210" t="s">
        <v>8055</v>
      </c>
      <c r="P72" s="210" t="s">
        <v>8168</v>
      </c>
      <c r="Q72" s="210" t="s">
        <v>8571</v>
      </c>
      <c r="R72" s="210" t="s">
        <v>8755</v>
      </c>
      <c r="S72" s="210" t="s">
        <v>8892</v>
      </c>
    </row>
    <row r="73" spans="2:19" hidden="1" outlineLevel="1">
      <c r="B73" s="2" t="s">
        <v>853</v>
      </c>
      <c r="C73" s="138" t="s">
        <v>920</v>
      </c>
      <c r="D73" s="114" t="s">
        <v>921</v>
      </c>
      <c r="E73" s="114">
        <v>0.1</v>
      </c>
      <c r="G73" s="210" t="s">
        <v>843</v>
      </c>
      <c r="H73" s="210" t="s">
        <v>844</v>
      </c>
      <c r="I73" s="210" t="s">
        <v>845</v>
      </c>
      <c r="J73" s="210" t="s">
        <v>846</v>
      </c>
      <c r="K73" s="210" t="s">
        <v>847</v>
      </c>
      <c r="L73" s="210" t="s">
        <v>848</v>
      </c>
      <c r="M73" s="209" t="s">
        <v>849</v>
      </c>
      <c r="N73" s="210" t="s">
        <v>850</v>
      </c>
      <c r="O73" s="210" t="s">
        <v>8055</v>
      </c>
      <c r="P73" s="210" t="s">
        <v>8168</v>
      </c>
      <c r="Q73" s="210" t="s">
        <v>8571</v>
      </c>
      <c r="R73" s="210" t="s">
        <v>8755</v>
      </c>
      <c r="S73" s="210" t="s">
        <v>8892</v>
      </c>
    </row>
    <row r="74" spans="2:19" hidden="1" outlineLevel="1">
      <c r="B74" s="2" t="s">
        <v>853</v>
      </c>
      <c r="C74" s="138" t="s">
        <v>922</v>
      </c>
      <c r="D74" s="112" t="s">
        <v>923</v>
      </c>
      <c r="E74" s="112" t="s">
        <v>924</v>
      </c>
      <c r="G74" s="209" t="s">
        <v>843</v>
      </c>
      <c r="H74" s="210" t="s">
        <v>844</v>
      </c>
      <c r="I74" s="210" t="s">
        <v>845</v>
      </c>
      <c r="J74" s="210" t="s">
        <v>846</v>
      </c>
      <c r="K74" s="210" t="s">
        <v>847</v>
      </c>
      <c r="L74" s="210" t="s">
        <v>848</v>
      </c>
      <c r="M74" s="210" t="s">
        <v>849</v>
      </c>
      <c r="N74" s="210" t="s">
        <v>850</v>
      </c>
      <c r="O74" s="210" t="s">
        <v>8055</v>
      </c>
      <c r="P74" s="210" t="s">
        <v>8168</v>
      </c>
      <c r="Q74" s="210" t="s">
        <v>8571</v>
      </c>
      <c r="R74" s="210" t="s">
        <v>8755</v>
      </c>
      <c r="S74" s="210" t="s">
        <v>8892</v>
      </c>
    </row>
    <row r="75" spans="2:19" hidden="1" outlineLevel="1">
      <c r="B75" s="2" t="s">
        <v>853</v>
      </c>
      <c r="C75" s="138" t="s">
        <v>925</v>
      </c>
      <c r="D75" s="114" t="s">
        <v>926</v>
      </c>
      <c r="E75" s="114" t="s">
        <v>927</v>
      </c>
      <c r="G75" s="209" t="s">
        <v>843</v>
      </c>
      <c r="H75" s="210" t="s">
        <v>844</v>
      </c>
      <c r="I75" s="210" t="s">
        <v>845</v>
      </c>
      <c r="J75" s="210" t="s">
        <v>846</v>
      </c>
      <c r="K75" s="210" t="s">
        <v>847</v>
      </c>
      <c r="L75" s="210" t="s">
        <v>848</v>
      </c>
      <c r="M75" s="210" t="s">
        <v>849</v>
      </c>
      <c r="N75" s="210" t="s">
        <v>850</v>
      </c>
      <c r="O75" s="210" t="s">
        <v>8055</v>
      </c>
      <c r="P75" s="210" t="s">
        <v>8168</v>
      </c>
      <c r="Q75" s="210" t="s">
        <v>8571</v>
      </c>
      <c r="R75" s="210" t="s">
        <v>8755</v>
      </c>
      <c r="S75" s="210" t="s">
        <v>8892</v>
      </c>
    </row>
    <row r="76" spans="2:19" hidden="1" outlineLevel="1">
      <c r="B76" s="2" t="s">
        <v>853</v>
      </c>
      <c r="C76" s="138" t="s">
        <v>928</v>
      </c>
      <c r="D76" s="112" t="s">
        <v>929</v>
      </c>
      <c r="E76" s="112" t="b">
        <v>1</v>
      </c>
      <c r="G76" s="209" t="s">
        <v>843</v>
      </c>
      <c r="H76" s="210" t="s">
        <v>844</v>
      </c>
      <c r="I76" s="210" t="s">
        <v>845</v>
      </c>
      <c r="J76" s="210" t="s">
        <v>846</v>
      </c>
      <c r="K76" s="210" t="s">
        <v>847</v>
      </c>
      <c r="L76" s="210" t="s">
        <v>848</v>
      </c>
      <c r="M76" s="210" t="s">
        <v>849</v>
      </c>
      <c r="N76" s="210" t="s">
        <v>850</v>
      </c>
      <c r="O76" s="210" t="s">
        <v>8055</v>
      </c>
      <c r="P76" s="210" t="s">
        <v>8168</v>
      </c>
      <c r="Q76" s="210" t="s">
        <v>8571</v>
      </c>
      <c r="R76" s="210" t="s">
        <v>8755</v>
      </c>
      <c r="S76" s="210" t="s">
        <v>8892</v>
      </c>
    </row>
    <row r="77" spans="2:19" hidden="1" outlineLevel="1">
      <c r="B77" s="2" t="s">
        <v>853</v>
      </c>
      <c r="C77" s="138" t="s">
        <v>930</v>
      </c>
      <c r="D77" s="114" t="s">
        <v>931</v>
      </c>
      <c r="E77" s="114" t="s">
        <v>932</v>
      </c>
      <c r="G77" s="209" t="s">
        <v>843</v>
      </c>
      <c r="H77" s="210" t="s">
        <v>844</v>
      </c>
      <c r="I77" s="210" t="s">
        <v>845</v>
      </c>
      <c r="J77" s="210" t="s">
        <v>846</v>
      </c>
      <c r="K77" s="210" t="s">
        <v>847</v>
      </c>
      <c r="L77" s="210" t="s">
        <v>848</v>
      </c>
      <c r="M77" s="210" t="s">
        <v>849</v>
      </c>
      <c r="N77" s="210" t="s">
        <v>850</v>
      </c>
      <c r="O77" s="210" t="s">
        <v>8055</v>
      </c>
      <c r="P77" s="210" t="s">
        <v>8168</v>
      </c>
      <c r="Q77" s="210" t="s">
        <v>8571</v>
      </c>
      <c r="R77" s="210" t="s">
        <v>8755</v>
      </c>
      <c r="S77" s="210" t="s">
        <v>8892</v>
      </c>
    </row>
    <row r="78" spans="2:19" hidden="1" outlineLevel="1">
      <c r="B78" s="2" t="s">
        <v>853</v>
      </c>
      <c r="C78" s="138" t="s">
        <v>933</v>
      </c>
      <c r="D78" s="112" t="s">
        <v>934</v>
      </c>
      <c r="E78" s="112">
        <v>0.115</v>
      </c>
      <c r="G78" s="210" t="s">
        <v>843</v>
      </c>
      <c r="H78" s="209" t="s">
        <v>844</v>
      </c>
      <c r="I78" s="210" t="s">
        <v>845</v>
      </c>
      <c r="J78" s="210" t="s">
        <v>846</v>
      </c>
      <c r="K78" s="210" t="s">
        <v>847</v>
      </c>
      <c r="L78" s="210" t="s">
        <v>848</v>
      </c>
      <c r="M78" s="209" t="s">
        <v>849</v>
      </c>
      <c r="N78" s="210" t="s">
        <v>850</v>
      </c>
      <c r="O78" s="210" t="s">
        <v>8055</v>
      </c>
      <c r="P78" s="210" t="s">
        <v>8168</v>
      </c>
      <c r="Q78" s="210" t="s">
        <v>8571</v>
      </c>
      <c r="R78" s="210" t="s">
        <v>8755</v>
      </c>
      <c r="S78" s="210" t="s">
        <v>8892</v>
      </c>
    </row>
    <row r="79" spans="2:19" hidden="1" outlineLevel="1">
      <c r="B79" s="2" t="s">
        <v>853</v>
      </c>
      <c r="C79" s="138" t="s">
        <v>393</v>
      </c>
      <c r="D79" s="114" t="s">
        <v>935</v>
      </c>
      <c r="E79" s="114">
        <v>80</v>
      </c>
      <c r="G79" s="210" t="s">
        <v>843</v>
      </c>
      <c r="H79" s="222" t="s">
        <v>844</v>
      </c>
      <c r="I79" s="210" t="s">
        <v>845</v>
      </c>
      <c r="J79" s="210" t="s">
        <v>846</v>
      </c>
      <c r="K79" s="210" t="s">
        <v>847</v>
      </c>
      <c r="L79" s="210" t="s">
        <v>848</v>
      </c>
      <c r="M79" s="210" t="s">
        <v>849</v>
      </c>
      <c r="N79" s="210" t="s">
        <v>850</v>
      </c>
      <c r="O79" s="210" t="s">
        <v>8055</v>
      </c>
      <c r="P79" s="210" t="s">
        <v>8168</v>
      </c>
      <c r="Q79" s="210" t="s">
        <v>8571</v>
      </c>
      <c r="R79" s="210" t="s">
        <v>8755</v>
      </c>
      <c r="S79" s="210" t="s">
        <v>8892</v>
      </c>
    </row>
    <row r="80" spans="2:19" hidden="1" outlineLevel="1">
      <c r="B80" s="2" t="s">
        <v>853</v>
      </c>
      <c r="C80" s="138" t="s">
        <v>936</v>
      </c>
      <c r="D80" s="112" t="s">
        <v>937</v>
      </c>
      <c r="E80" s="112">
        <v>90</v>
      </c>
      <c r="G80" s="210" t="s">
        <v>843</v>
      </c>
      <c r="H80" s="222" t="s">
        <v>844</v>
      </c>
      <c r="I80" s="210" t="s">
        <v>845</v>
      </c>
      <c r="J80" s="210" t="s">
        <v>846</v>
      </c>
      <c r="K80" s="210" t="s">
        <v>847</v>
      </c>
      <c r="L80" s="210" t="s">
        <v>848</v>
      </c>
      <c r="M80" s="210" t="s">
        <v>849</v>
      </c>
      <c r="N80" s="210" t="s">
        <v>850</v>
      </c>
      <c r="O80" s="210" t="s">
        <v>8055</v>
      </c>
      <c r="P80" s="210" t="s">
        <v>8168</v>
      </c>
      <c r="Q80" s="210" t="s">
        <v>8571</v>
      </c>
      <c r="R80" s="210" t="s">
        <v>8755</v>
      </c>
      <c r="S80" s="210" t="s">
        <v>8892</v>
      </c>
    </row>
    <row r="81" spans="2:19" hidden="1" outlineLevel="1">
      <c r="B81" s="2" t="s">
        <v>853</v>
      </c>
      <c r="C81" s="138" t="s">
        <v>938</v>
      </c>
      <c r="D81" s="114" t="s">
        <v>939</v>
      </c>
      <c r="E81" s="114">
        <v>92</v>
      </c>
      <c r="G81" s="210" t="s">
        <v>843</v>
      </c>
      <c r="H81" s="222" t="s">
        <v>844</v>
      </c>
      <c r="I81" s="210" t="s">
        <v>845</v>
      </c>
      <c r="J81" s="210" t="s">
        <v>846</v>
      </c>
      <c r="K81" s="210" t="s">
        <v>847</v>
      </c>
      <c r="L81" s="210" t="s">
        <v>848</v>
      </c>
      <c r="M81" s="210" t="s">
        <v>849</v>
      </c>
      <c r="N81" s="210" t="s">
        <v>850</v>
      </c>
      <c r="O81" s="210" t="s">
        <v>8055</v>
      </c>
      <c r="P81" s="210" t="s">
        <v>8168</v>
      </c>
      <c r="Q81" s="210" t="s">
        <v>8571</v>
      </c>
      <c r="R81" s="210" t="s">
        <v>8755</v>
      </c>
      <c r="S81" s="210" t="s">
        <v>8892</v>
      </c>
    </row>
    <row r="82" spans="2:19" hidden="1" outlineLevel="1">
      <c r="B82" s="2" t="s">
        <v>853</v>
      </c>
      <c r="C82" s="138" t="s">
        <v>940</v>
      </c>
      <c r="D82" s="112" t="s">
        <v>941</v>
      </c>
      <c r="E82" s="112">
        <v>95</v>
      </c>
      <c r="G82" s="210" t="s">
        <v>843</v>
      </c>
      <c r="H82" s="222" t="s">
        <v>844</v>
      </c>
      <c r="I82" s="210" t="s">
        <v>845</v>
      </c>
      <c r="J82" s="210" t="s">
        <v>846</v>
      </c>
      <c r="K82" s="210" t="s">
        <v>847</v>
      </c>
      <c r="L82" s="210" t="s">
        <v>848</v>
      </c>
      <c r="M82" s="210" t="s">
        <v>849</v>
      </c>
      <c r="N82" s="210" t="s">
        <v>850</v>
      </c>
      <c r="O82" s="210" t="s">
        <v>8055</v>
      </c>
      <c r="P82" s="210" t="s">
        <v>8168</v>
      </c>
      <c r="Q82" s="210" t="s">
        <v>8571</v>
      </c>
      <c r="R82" s="210" t="s">
        <v>8755</v>
      </c>
      <c r="S82" s="210" t="s">
        <v>8892</v>
      </c>
    </row>
    <row r="83" spans="2:19" hidden="1" outlineLevel="1">
      <c r="B83" s="2" t="s">
        <v>853</v>
      </c>
      <c r="C83" s="138" t="s">
        <v>942</v>
      </c>
      <c r="D83" s="114" t="s">
        <v>943</v>
      </c>
      <c r="E83" s="114">
        <v>97</v>
      </c>
      <c r="G83" s="210" t="s">
        <v>843</v>
      </c>
      <c r="H83" s="222" t="s">
        <v>844</v>
      </c>
      <c r="I83" s="210" t="s">
        <v>845</v>
      </c>
      <c r="J83" s="210" t="s">
        <v>846</v>
      </c>
      <c r="K83" s="210" t="s">
        <v>847</v>
      </c>
      <c r="L83" s="210" t="s">
        <v>848</v>
      </c>
      <c r="M83" s="210" t="s">
        <v>849</v>
      </c>
      <c r="N83" s="210" t="s">
        <v>850</v>
      </c>
      <c r="O83" s="210" t="s">
        <v>8055</v>
      </c>
      <c r="P83" s="210" t="s">
        <v>8168</v>
      </c>
      <c r="Q83" s="210" t="s">
        <v>8571</v>
      </c>
      <c r="R83" s="210" t="s">
        <v>8755</v>
      </c>
      <c r="S83" s="210" t="s">
        <v>8892</v>
      </c>
    </row>
    <row r="84" spans="2:19" hidden="1" outlineLevel="1">
      <c r="B84" s="2" t="s">
        <v>853</v>
      </c>
      <c r="C84" s="138" t="s">
        <v>944</v>
      </c>
      <c r="D84" s="112" t="s">
        <v>945</v>
      </c>
      <c r="E84" s="221">
        <v>0</v>
      </c>
      <c r="G84" s="209" t="s">
        <v>843</v>
      </c>
      <c r="H84" s="209" t="s">
        <v>844</v>
      </c>
      <c r="I84" s="210" t="s">
        <v>845</v>
      </c>
      <c r="J84" s="210" t="s">
        <v>846</v>
      </c>
      <c r="K84" s="210" t="s">
        <v>847</v>
      </c>
      <c r="L84" s="210" t="s">
        <v>848</v>
      </c>
      <c r="M84" s="209" t="s">
        <v>849</v>
      </c>
      <c r="N84" s="210" t="s">
        <v>850</v>
      </c>
      <c r="O84" s="210" t="s">
        <v>8055</v>
      </c>
      <c r="P84" s="210" t="s">
        <v>8168</v>
      </c>
      <c r="Q84" s="210" t="s">
        <v>8571</v>
      </c>
      <c r="R84" s="210" t="s">
        <v>8755</v>
      </c>
      <c r="S84" s="210" t="s">
        <v>8892</v>
      </c>
    </row>
    <row r="85" spans="2:19" hidden="1" outlineLevel="1">
      <c r="B85" s="2" t="s">
        <v>853</v>
      </c>
      <c r="C85" s="138" t="s">
        <v>437</v>
      </c>
      <c r="D85" s="114" t="s">
        <v>946</v>
      </c>
      <c r="E85" s="114">
        <v>5.0999999999999997E-2</v>
      </c>
      <c r="G85" s="209" t="s">
        <v>843</v>
      </c>
      <c r="H85" s="209" t="s">
        <v>844</v>
      </c>
      <c r="I85" s="210" t="s">
        <v>845</v>
      </c>
      <c r="J85" s="210" t="s">
        <v>846</v>
      </c>
      <c r="K85" s="210" t="s">
        <v>847</v>
      </c>
      <c r="L85" s="210" t="s">
        <v>848</v>
      </c>
      <c r="M85" s="209" t="s">
        <v>849</v>
      </c>
      <c r="N85" s="210" t="s">
        <v>850</v>
      </c>
      <c r="O85" s="210" t="s">
        <v>8055</v>
      </c>
      <c r="P85" s="210" t="s">
        <v>8168</v>
      </c>
      <c r="Q85" s="210" t="s">
        <v>8571</v>
      </c>
      <c r="R85" s="210" t="s">
        <v>8755</v>
      </c>
      <c r="S85" s="210" t="s">
        <v>8892</v>
      </c>
    </row>
    <row r="86" spans="2:19" hidden="1" outlineLevel="1">
      <c r="B86" s="2" t="s">
        <v>853</v>
      </c>
      <c r="C86" s="138" t="s">
        <v>947</v>
      </c>
      <c r="D86" s="112" t="s">
        <v>948</v>
      </c>
      <c r="E86" s="112">
        <v>1000</v>
      </c>
      <c r="G86" s="209" t="s">
        <v>843</v>
      </c>
      <c r="H86" s="210" t="s">
        <v>844</v>
      </c>
      <c r="I86" s="210" t="s">
        <v>845</v>
      </c>
      <c r="J86" s="210" t="s">
        <v>846</v>
      </c>
      <c r="K86" s="210" t="s">
        <v>847</v>
      </c>
      <c r="L86" s="210" t="s">
        <v>848</v>
      </c>
      <c r="M86" s="210" t="s">
        <v>849</v>
      </c>
      <c r="N86" s="210" t="s">
        <v>850</v>
      </c>
      <c r="O86" s="210" t="s">
        <v>8055</v>
      </c>
      <c r="P86" s="210" t="s">
        <v>8168</v>
      </c>
      <c r="Q86" s="210" t="s">
        <v>8571</v>
      </c>
      <c r="R86" s="210" t="s">
        <v>8755</v>
      </c>
      <c r="S86" s="210" t="s">
        <v>8892</v>
      </c>
    </row>
    <row r="87" spans="2:19" hidden="1" outlineLevel="1">
      <c r="B87" s="2" t="s">
        <v>853</v>
      </c>
      <c r="C87" s="138" t="s">
        <v>949</v>
      </c>
      <c r="D87" s="114" t="s">
        <v>950</v>
      </c>
      <c r="E87" s="114">
        <v>1000</v>
      </c>
      <c r="G87" s="210" t="s">
        <v>843</v>
      </c>
      <c r="H87" s="209" t="s">
        <v>844</v>
      </c>
      <c r="I87" s="210" t="s">
        <v>845</v>
      </c>
      <c r="J87" s="210" t="s">
        <v>846</v>
      </c>
      <c r="K87" s="210" t="s">
        <v>847</v>
      </c>
      <c r="L87" s="210" t="s">
        <v>848</v>
      </c>
      <c r="M87" s="210" t="s">
        <v>849</v>
      </c>
      <c r="N87" s="210" t="s">
        <v>850</v>
      </c>
      <c r="O87" s="210" t="s">
        <v>8055</v>
      </c>
      <c r="P87" s="210" t="s">
        <v>8168</v>
      </c>
      <c r="Q87" s="210" t="s">
        <v>8571</v>
      </c>
      <c r="R87" s="210" t="s">
        <v>8755</v>
      </c>
      <c r="S87" s="210" t="s">
        <v>8892</v>
      </c>
    </row>
    <row r="88" spans="2:19" hidden="1" outlineLevel="1">
      <c r="B88" s="2" t="s">
        <v>853</v>
      </c>
      <c r="C88" s="138"/>
      <c r="D88" s="112" t="s">
        <v>951</v>
      </c>
      <c r="E88" s="112" t="s">
        <v>935</v>
      </c>
      <c r="G88" s="210" t="s">
        <v>843</v>
      </c>
      <c r="H88" s="222" t="s">
        <v>844</v>
      </c>
      <c r="I88" s="210" t="s">
        <v>845</v>
      </c>
      <c r="J88" s="210" t="s">
        <v>846</v>
      </c>
      <c r="K88" s="210" t="s">
        <v>847</v>
      </c>
      <c r="L88" s="210" t="s">
        <v>848</v>
      </c>
      <c r="M88" s="210" t="s">
        <v>849</v>
      </c>
      <c r="N88" s="210" t="s">
        <v>850</v>
      </c>
      <c r="O88" s="210" t="s">
        <v>8055</v>
      </c>
      <c r="P88" s="210" t="s">
        <v>8168</v>
      </c>
      <c r="Q88" s="210" t="s">
        <v>8571</v>
      </c>
      <c r="R88" s="210" t="s">
        <v>8755</v>
      </c>
      <c r="S88" s="210" t="s">
        <v>8892</v>
      </c>
    </row>
    <row r="89" spans="2:19" hidden="1" outlineLevel="1">
      <c r="B89" s="2" t="s">
        <v>853</v>
      </c>
      <c r="C89" s="138"/>
      <c r="D89" s="114" t="s">
        <v>952</v>
      </c>
      <c r="E89" s="114" t="s">
        <v>935</v>
      </c>
      <c r="G89" s="210" t="s">
        <v>843</v>
      </c>
      <c r="H89" s="222" t="s">
        <v>844</v>
      </c>
      <c r="I89" s="210" t="s">
        <v>845</v>
      </c>
      <c r="J89" s="210" t="s">
        <v>846</v>
      </c>
      <c r="K89" s="210" t="s">
        <v>847</v>
      </c>
      <c r="L89" s="210" t="s">
        <v>848</v>
      </c>
      <c r="M89" s="210" t="s">
        <v>849</v>
      </c>
      <c r="N89" s="210" t="s">
        <v>850</v>
      </c>
      <c r="O89" s="210" t="s">
        <v>8055</v>
      </c>
      <c r="P89" s="210" t="s">
        <v>8168</v>
      </c>
      <c r="Q89" s="210" t="s">
        <v>8571</v>
      </c>
      <c r="R89" s="210" t="s">
        <v>8755</v>
      </c>
      <c r="S89" s="210" t="s">
        <v>8892</v>
      </c>
    </row>
    <row r="90" spans="2:19" hidden="1" outlineLevel="1">
      <c r="B90" s="2" t="s">
        <v>853</v>
      </c>
      <c r="C90" s="138" t="s">
        <v>953</v>
      </c>
      <c r="D90" s="112" t="s">
        <v>954</v>
      </c>
      <c r="E90" s="112">
        <v>0.04</v>
      </c>
      <c r="G90" s="210" t="s">
        <v>843</v>
      </c>
      <c r="H90" s="222" t="s">
        <v>844</v>
      </c>
      <c r="I90" s="210" t="s">
        <v>845</v>
      </c>
      <c r="J90" s="210" t="s">
        <v>846</v>
      </c>
      <c r="K90" s="210" t="s">
        <v>847</v>
      </c>
      <c r="L90" s="210" t="s">
        <v>848</v>
      </c>
      <c r="M90" s="210" t="s">
        <v>849</v>
      </c>
      <c r="N90" s="210" t="s">
        <v>850</v>
      </c>
      <c r="O90" s="210" t="s">
        <v>8055</v>
      </c>
      <c r="P90" s="210" t="s">
        <v>8168</v>
      </c>
      <c r="Q90" s="210" t="s">
        <v>8571</v>
      </c>
      <c r="R90" s="210" t="s">
        <v>8755</v>
      </c>
      <c r="S90" s="210" t="s">
        <v>8892</v>
      </c>
    </row>
    <row r="91" spans="2:19" hidden="1" outlineLevel="1">
      <c r="B91" s="2" t="s">
        <v>853</v>
      </c>
      <c r="C91" s="138" t="s">
        <v>524</v>
      </c>
      <c r="D91" s="114" t="s">
        <v>955</v>
      </c>
      <c r="E91" s="114">
        <v>7.0000000000000007E-2</v>
      </c>
      <c r="G91" s="210" t="s">
        <v>843</v>
      </c>
      <c r="H91" s="210" t="s">
        <v>844</v>
      </c>
      <c r="I91" s="210" t="s">
        <v>845</v>
      </c>
      <c r="J91" s="210" t="s">
        <v>846</v>
      </c>
      <c r="K91" s="210" t="s">
        <v>847</v>
      </c>
      <c r="L91" s="210" t="s">
        <v>848</v>
      </c>
      <c r="M91" s="209" t="s">
        <v>849</v>
      </c>
      <c r="N91" s="210" t="s">
        <v>850</v>
      </c>
      <c r="O91" s="210" t="s">
        <v>8055</v>
      </c>
      <c r="P91" s="210" t="s">
        <v>8168</v>
      </c>
      <c r="Q91" s="210" t="s">
        <v>8571</v>
      </c>
      <c r="R91" s="210" t="s">
        <v>8755</v>
      </c>
      <c r="S91" s="210" t="s">
        <v>8892</v>
      </c>
    </row>
    <row r="92" spans="2:19" hidden="1" outlineLevel="1">
      <c r="B92" s="2" t="s">
        <v>853</v>
      </c>
      <c r="C92" s="138" t="s">
        <v>956</v>
      </c>
      <c r="D92" s="112" t="s">
        <v>957</v>
      </c>
      <c r="E92" s="112">
        <v>1</v>
      </c>
      <c r="G92" s="210" t="s">
        <v>843</v>
      </c>
      <c r="H92" s="222" t="s">
        <v>844</v>
      </c>
      <c r="I92" s="210" t="s">
        <v>845</v>
      </c>
      <c r="J92" s="210" t="s">
        <v>846</v>
      </c>
      <c r="K92" s="210" t="s">
        <v>847</v>
      </c>
      <c r="L92" s="210" t="s">
        <v>848</v>
      </c>
      <c r="M92" s="210" t="s">
        <v>849</v>
      </c>
      <c r="N92" s="210" t="s">
        <v>850</v>
      </c>
      <c r="O92" s="210" t="s">
        <v>8055</v>
      </c>
      <c r="P92" s="210" t="s">
        <v>8168</v>
      </c>
      <c r="Q92" s="210" t="s">
        <v>8571</v>
      </c>
      <c r="R92" s="210" t="s">
        <v>8755</v>
      </c>
      <c r="S92" s="210" t="s">
        <v>8892</v>
      </c>
    </row>
    <row r="93" spans="2:19" hidden="1" outlineLevel="1">
      <c r="B93" s="2" t="s">
        <v>853</v>
      </c>
      <c r="C93" s="138" t="s">
        <v>958</v>
      </c>
      <c r="D93" s="114" t="s">
        <v>959</v>
      </c>
      <c r="E93" s="114">
        <v>6000</v>
      </c>
      <c r="G93" s="209" t="s">
        <v>843</v>
      </c>
      <c r="H93" s="209" t="s">
        <v>844</v>
      </c>
      <c r="I93" s="210" t="s">
        <v>845</v>
      </c>
      <c r="J93" s="210" t="s">
        <v>846</v>
      </c>
      <c r="K93" s="210" t="s">
        <v>847</v>
      </c>
      <c r="L93" s="210" t="s">
        <v>848</v>
      </c>
      <c r="M93" s="210" t="s">
        <v>849</v>
      </c>
      <c r="N93" s="210" t="s">
        <v>850</v>
      </c>
      <c r="O93" s="210" t="s">
        <v>8055</v>
      </c>
      <c r="P93" s="210" t="s">
        <v>8168</v>
      </c>
      <c r="Q93" s="210" t="s">
        <v>8571</v>
      </c>
      <c r="R93" s="210" t="s">
        <v>8755</v>
      </c>
      <c r="S93" s="210" t="s">
        <v>8892</v>
      </c>
    </row>
    <row r="94" spans="2:19" hidden="1" outlineLevel="1">
      <c r="B94" s="2" t="s">
        <v>853</v>
      </c>
      <c r="C94" s="138"/>
      <c r="D94" s="112" t="s">
        <v>960</v>
      </c>
      <c r="E94" s="112" t="s">
        <v>937</v>
      </c>
      <c r="G94" s="210" t="s">
        <v>843</v>
      </c>
      <c r="H94" s="222" t="s">
        <v>844</v>
      </c>
      <c r="I94" s="210" t="s">
        <v>845</v>
      </c>
      <c r="J94" s="210" t="s">
        <v>846</v>
      </c>
      <c r="K94" s="210" t="s">
        <v>847</v>
      </c>
      <c r="L94" s="210" t="s">
        <v>848</v>
      </c>
      <c r="M94" s="210" t="s">
        <v>849</v>
      </c>
      <c r="N94" s="210" t="s">
        <v>850</v>
      </c>
      <c r="O94" s="210" t="s">
        <v>8055</v>
      </c>
      <c r="P94" s="210" t="s">
        <v>8168</v>
      </c>
      <c r="Q94" s="210" t="s">
        <v>8571</v>
      </c>
      <c r="R94" s="210" t="s">
        <v>8755</v>
      </c>
      <c r="S94" s="210" t="s">
        <v>8892</v>
      </c>
    </row>
    <row r="95" spans="2:19" hidden="1" outlineLevel="1">
      <c r="B95" s="2" t="s">
        <v>853</v>
      </c>
      <c r="C95" s="138"/>
      <c r="D95" s="114" t="s">
        <v>961</v>
      </c>
      <c r="E95" s="114" t="s">
        <v>941</v>
      </c>
      <c r="G95" s="210" t="s">
        <v>843</v>
      </c>
      <c r="H95" s="222" t="s">
        <v>844</v>
      </c>
      <c r="I95" s="210" t="s">
        <v>845</v>
      </c>
      <c r="J95" s="210" t="s">
        <v>846</v>
      </c>
      <c r="K95" s="210" t="s">
        <v>847</v>
      </c>
      <c r="L95" s="210" t="s">
        <v>848</v>
      </c>
      <c r="M95" s="210" t="s">
        <v>849</v>
      </c>
      <c r="N95" s="210" t="s">
        <v>850</v>
      </c>
      <c r="O95" s="210" t="s">
        <v>8055</v>
      </c>
      <c r="P95" s="210" t="s">
        <v>8168</v>
      </c>
      <c r="Q95" s="210" t="s">
        <v>8571</v>
      </c>
      <c r="R95" s="210" t="s">
        <v>8755</v>
      </c>
      <c r="S95" s="210" t="s">
        <v>8892</v>
      </c>
    </row>
    <row r="96" spans="2:19" hidden="1" outlineLevel="1">
      <c r="B96" s="2" t="s">
        <v>853</v>
      </c>
      <c r="C96" s="138" t="s">
        <v>962</v>
      </c>
      <c r="D96" s="112" t="s">
        <v>963</v>
      </c>
      <c r="E96" s="221">
        <v>0</v>
      </c>
      <c r="G96" s="209" t="s">
        <v>843</v>
      </c>
      <c r="H96" s="209" t="s">
        <v>844</v>
      </c>
      <c r="I96" s="210" t="s">
        <v>845</v>
      </c>
      <c r="J96" s="210" t="s">
        <v>846</v>
      </c>
      <c r="K96" s="210" t="s">
        <v>847</v>
      </c>
      <c r="L96" s="210" t="s">
        <v>848</v>
      </c>
      <c r="M96" s="210" t="s">
        <v>849</v>
      </c>
      <c r="N96" s="210" t="s">
        <v>850</v>
      </c>
      <c r="O96" s="210" t="s">
        <v>8055</v>
      </c>
      <c r="P96" s="210" t="s">
        <v>8168</v>
      </c>
      <c r="Q96" s="210" t="s">
        <v>8571</v>
      </c>
      <c r="R96" s="210" t="s">
        <v>8755</v>
      </c>
      <c r="S96" s="210" t="s">
        <v>8892</v>
      </c>
    </row>
    <row r="97" spans="2:19" hidden="1" outlineLevel="1">
      <c r="B97" s="2" t="s">
        <v>853</v>
      </c>
      <c r="C97" s="138" t="s">
        <v>964</v>
      </c>
      <c r="D97" s="114" t="s">
        <v>965</v>
      </c>
      <c r="E97" s="221">
        <v>0</v>
      </c>
      <c r="G97" s="209" t="s">
        <v>843</v>
      </c>
      <c r="H97" s="209" t="s">
        <v>844</v>
      </c>
      <c r="I97" s="210" t="s">
        <v>845</v>
      </c>
      <c r="J97" s="210" t="s">
        <v>846</v>
      </c>
      <c r="K97" s="210" t="s">
        <v>847</v>
      </c>
      <c r="L97" s="210" t="s">
        <v>848</v>
      </c>
      <c r="M97" s="210" t="s">
        <v>849</v>
      </c>
      <c r="N97" s="210" t="s">
        <v>850</v>
      </c>
      <c r="O97" s="210" t="s">
        <v>8055</v>
      </c>
      <c r="P97" s="210" t="s">
        <v>8168</v>
      </c>
      <c r="Q97" s="210" t="s">
        <v>8571</v>
      </c>
      <c r="R97" s="210" t="s">
        <v>8755</v>
      </c>
      <c r="S97" s="210" t="s">
        <v>8892</v>
      </c>
    </row>
    <row r="98" spans="2:19" hidden="1" outlineLevel="1">
      <c r="B98" s="2" t="s">
        <v>853</v>
      </c>
      <c r="C98" s="138" t="s">
        <v>966</v>
      </c>
      <c r="D98" s="112" t="s">
        <v>967</v>
      </c>
      <c r="E98" s="112">
        <v>2</v>
      </c>
      <c r="G98" s="209" t="s">
        <v>843</v>
      </c>
      <c r="H98" s="210" t="s">
        <v>844</v>
      </c>
      <c r="I98" s="210" t="s">
        <v>845</v>
      </c>
      <c r="J98" s="210" t="s">
        <v>846</v>
      </c>
      <c r="K98" s="210" t="s">
        <v>847</v>
      </c>
      <c r="L98" s="210" t="s">
        <v>848</v>
      </c>
      <c r="M98" s="210" t="s">
        <v>849</v>
      </c>
      <c r="N98" s="210" t="s">
        <v>850</v>
      </c>
      <c r="O98" s="210" t="s">
        <v>8055</v>
      </c>
      <c r="P98" s="210" t="s">
        <v>8168</v>
      </c>
      <c r="Q98" s="210" t="s">
        <v>8571</v>
      </c>
      <c r="R98" s="210" t="s">
        <v>8755</v>
      </c>
      <c r="S98" s="210" t="s">
        <v>8892</v>
      </c>
    </row>
    <row r="99" spans="2:19" hidden="1" outlineLevel="1">
      <c r="B99" s="2" t="s">
        <v>853</v>
      </c>
      <c r="C99" s="138" t="s">
        <v>370</v>
      </c>
      <c r="D99" s="114" t="s">
        <v>968</v>
      </c>
      <c r="E99" s="114">
        <v>0.8</v>
      </c>
      <c r="G99" s="209" t="s">
        <v>843</v>
      </c>
      <c r="H99" s="209" t="s">
        <v>844</v>
      </c>
      <c r="I99" s="210" t="s">
        <v>845</v>
      </c>
      <c r="J99" s="210" t="s">
        <v>846</v>
      </c>
      <c r="K99" s="210" t="s">
        <v>847</v>
      </c>
      <c r="L99" s="210" t="s">
        <v>848</v>
      </c>
      <c r="M99" s="209" t="s">
        <v>849</v>
      </c>
      <c r="N99" s="210" t="s">
        <v>850</v>
      </c>
      <c r="O99" s="210" t="s">
        <v>8055</v>
      </c>
      <c r="P99" s="210" t="s">
        <v>8168</v>
      </c>
      <c r="Q99" s="210" t="s">
        <v>8571</v>
      </c>
      <c r="R99" s="210" t="s">
        <v>8755</v>
      </c>
      <c r="S99" s="210" t="s">
        <v>8892</v>
      </c>
    </row>
    <row r="100" spans="2:19" hidden="1" outlineLevel="1">
      <c r="B100" s="2" t="s">
        <v>853</v>
      </c>
      <c r="C100" s="138" t="s">
        <v>376</v>
      </c>
      <c r="D100" s="112" t="s">
        <v>969</v>
      </c>
      <c r="E100" s="112">
        <v>0.8</v>
      </c>
      <c r="G100" s="209" t="s">
        <v>843</v>
      </c>
      <c r="H100" s="209" t="s">
        <v>844</v>
      </c>
      <c r="I100" s="210" t="s">
        <v>845</v>
      </c>
      <c r="J100" s="210" t="s">
        <v>846</v>
      </c>
      <c r="K100" s="210" t="s">
        <v>847</v>
      </c>
      <c r="L100" s="210" t="s">
        <v>848</v>
      </c>
      <c r="M100" s="209" t="s">
        <v>849</v>
      </c>
      <c r="N100" s="210" t="s">
        <v>850</v>
      </c>
      <c r="O100" s="210" t="s">
        <v>8055</v>
      </c>
      <c r="P100" s="210" t="s">
        <v>8168</v>
      </c>
      <c r="Q100" s="210" t="s">
        <v>8571</v>
      </c>
      <c r="R100" s="210" t="s">
        <v>8755</v>
      </c>
      <c r="S100" s="210" t="s">
        <v>8892</v>
      </c>
    </row>
    <row r="101" spans="2:19" hidden="1" outlineLevel="1">
      <c r="B101" s="2" t="s">
        <v>853</v>
      </c>
      <c r="C101" s="138" t="s">
        <v>412</v>
      </c>
      <c r="D101" s="114" t="s">
        <v>970</v>
      </c>
      <c r="E101" s="114">
        <v>600</v>
      </c>
      <c r="G101" s="209" t="s">
        <v>843</v>
      </c>
      <c r="H101" s="209" t="s">
        <v>844</v>
      </c>
      <c r="I101" s="209" t="s">
        <v>845</v>
      </c>
      <c r="J101" s="210" t="s">
        <v>846</v>
      </c>
      <c r="K101" s="209" t="s">
        <v>847</v>
      </c>
      <c r="L101" s="210" t="s">
        <v>848</v>
      </c>
      <c r="M101" s="209" t="s">
        <v>849</v>
      </c>
      <c r="N101" s="210" t="s">
        <v>850</v>
      </c>
      <c r="O101" s="210" t="s">
        <v>8055</v>
      </c>
      <c r="P101" s="209" t="s">
        <v>8168</v>
      </c>
      <c r="Q101" s="210" t="s">
        <v>8571</v>
      </c>
      <c r="R101" s="210" t="s">
        <v>8755</v>
      </c>
      <c r="S101" s="210" t="s">
        <v>8892</v>
      </c>
    </row>
    <row r="102" spans="2:19" hidden="1" outlineLevel="1">
      <c r="B102" s="2" t="s">
        <v>853</v>
      </c>
      <c r="C102" s="138" t="s">
        <v>971</v>
      </c>
      <c r="D102" s="112" t="s">
        <v>972</v>
      </c>
      <c r="E102" s="112">
        <v>1</v>
      </c>
      <c r="G102" s="209" t="s">
        <v>843</v>
      </c>
      <c r="H102" s="210" t="s">
        <v>844</v>
      </c>
      <c r="I102" s="210" t="s">
        <v>845</v>
      </c>
      <c r="J102" s="210" t="s">
        <v>846</v>
      </c>
      <c r="K102" s="210" t="s">
        <v>847</v>
      </c>
      <c r="L102" s="210" t="s">
        <v>848</v>
      </c>
      <c r="M102" s="210" t="s">
        <v>849</v>
      </c>
      <c r="N102" s="210" t="s">
        <v>850</v>
      </c>
      <c r="O102" s="210" t="s">
        <v>8055</v>
      </c>
      <c r="P102" s="210" t="s">
        <v>8168</v>
      </c>
      <c r="Q102" s="210" t="s">
        <v>8571</v>
      </c>
      <c r="R102" s="210" t="s">
        <v>8755</v>
      </c>
      <c r="S102" s="210" t="s">
        <v>8892</v>
      </c>
    </row>
    <row r="103" spans="2:19" hidden="1" outlineLevel="1">
      <c r="B103" s="2" t="s">
        <v>853</v>
      </c>
      <c r="C103" s="138" t="s">
        <v>973</v>
      </c>
      <c r="D103" s="114" t="s">
        <v>974</v>
      </c>
      <c r="E103" s="114">
        <v>0.2</v>
      </c>
      <c r="G103" s="209" t="s">
        <v>843</v>
      </c>
      <c r="H103" s="209" t="s">
        <v>844</v>
      </c>
      <c r="I103" s="210" t="s">
        <v>845</v>
      </c>
      <c r="J103" s="210" t="s">
        <v>846</v>
      </c>
      <c r="K103" s="210" t="s">
        <v>847</v>
      </c>
      <c r="L103" s="210" t="s">
        <v>848</v>
      </c>
      <c r="M103" s="210" t="s">
        <v>849</v>
      </c>
      <c r="N103" s="210" t="s">
        <v>850</v>
      </c>
      <c r="O103" s="210" t="s">
        <v>8055</v>
      </c>
      <c r="P103" s="210" t="s">
        <v>8168</v>
      </c>
      <c r="Q103" s="210" t="s">
        <v>8571</v>
      </c>
      <c r="R103" s="210" t="s">
        <v>8755</v>
      </c>
      <c r="S103" s="210" t="s">
        <v>8892</v>
      </c>
    </row>
    <row r="104" spans="2:19" hidden="1" outlineLevel="1">
      <c r="B104" s="2" t="s">
        <v>853</v>
      </c>
      <c r="C104" s="138" t="s">
        <v>975</v>
      </c>
      <c r="D104" s="112" t="s">
        <v>976</v>
      </c>
      <c r="E104" s="112">
        <v>-0.2</v>
      </c>
      <c r="G104" s="209" t="s">
        <v>843</v>
      </c>
      <c r="H104" s="209" t="s">
        <v>844</v>
      </c>
      <c r="I104" s="210" t="s">
        <v>845</v>
      </c>
      <c r="J104" s="210" t="s">
        <v>846</v>
      </c>
      <c r="K104" s="210" t="s">
        <v>847</v>
      </c>
      <c r="L104" s="210" t="s">
        <v>848</v>
      </c>
      <c r="M104" s="210" t="s">
        <v>849</v>
      </c>
      <c r="N104" s="210" t="s">
        <v>850</v>
      </c>
      <c r="O104" s="210" t="s">
        <v>8055</v>
      </c>
      <c r="P104" s="210" t="s">
        <v>8168</v>
      </c>
      <c r="Q104" s="210" t="s">
        <v>8571</v>
      </c>
      <c r="R104" s="210" t="s">
        <v>8755</v>
      </c>
      <c r="S104" s="210" t="s">
        <v>8892</v>
      </c>
    </row>
    <row r="105" spans="2:19" hidden="1" outlineLevel="1">
      <c r="B105" s="2" t="s">
        <v>853</v>
      </c>
      <c r="C105" s="138" t="s">
        <v>977</v>
      </c>
      <c r="D105" s="114" t="s">
        <v>978</v>
      </c>
      <c r="E105" s="114" t="b">
        <v>0</v>
      </c>
      <c r="G105" s="209" t="s">
        <v>843</v>
      </c>
      <c r="H105" s="210" t="s">
        <v>844</v>
      </c>
      <c r="I105" s="210" t="s">
        <v>845</v>
      </c>
      <c r="J105" s="210" t="s">
        <v>846</v>
      </c>
      <c r="K105" s="210" t="s">
        <v>847</v>
      </c>
      <c r="L105" s="210" t="s">
        <v>848</v>
      </c>
      <c r="M105" s="210" t="s">
        <v>849</v>
      </c>
      <c r="N105" s="210" t="s">
        <v>850</v>
      </c>
      <c r="O105" s="210" t="s">
        <v>8055</v>
      </c>
      <c r="P105" s="210" t="s">
        <v>8168</v>
      </c>
      <c r="Q105" s="210" t="s">
        <v>8571</v>
      </c>
      <c r="R105" s="210" t="s">
        <v>8755</v>
      </c>
      <c r="S105" s="210" t="s">
        <v>8892</v>
      </c>
    </row>
    <row r="106" spans="2:19" hidden="1" outlineLevel="1">
      <c r="B106" s="2" t="s">
        <v>853</v>
      </c>
      <c r="C106" s="138" t="s">
        <v>979</v>
      </c>
      <c r="D106" s="112" t="s">
        <v>980</v>
      </c>
      <c r="E106" s="112" t="b">
        <v>1</v>
      </c>
      <c r="G106" s="209" t="s">
        <v>843</v>
      </c>
      <c r="H106" s="210" t="s">
        <v>844</v>
      </c>
      <c r="I106" s="210" t="s">
        <v>845</v>
      </c>
      <c r="J106" s="210" t="s">
        <v>846</v>
      </c>
      <c r="K106" s="210" t="s">
        <v>847</v>
      </c>
      <c r="L106" s="210" t="s">
        <v>848</v>
      </c>
      <c r="M106" s="210" t="s">
        <v>849</v>
      </c>
      <c r="N106" s="210" t="s">
        <v>850</v>
      </c>
      <c r="O106" s="210" t="s">
        <v>8055</v>
      </c>
      <c r="P106" s="210" t="s">
        <v>8168</v>
      </c>
      <c r="Q106" s="210" t="s">
        <v>8571</v>
      </c>
      <c r="R106" s="210" t="s">
        <v>8755</v>
      </c>
      <c r="S106" s="210" t="s">
        <v>8892</v>
      </c>
    </row>
    <row r="107" spans="2:19" hidden="1" outlineLevel="1">
      <c r="B107" s="2" t="s">
        <v>853</v>
      </c>
      <c r="C107" s="138" t="s">
        <v>981</v>
      </c>
      <c r="D107" s="114" t="s">
        <v>982</v>
      </c>
      <c r="E107" s="114" t="s">
        <v>983</v>
      </c>
      <c r="G107" s="209" t="s">
        <v>843</v>
      </c>
      <c r="H107" s="210" t="s">
        <v>844</v>
      </c>
      <c r="I107" s="210" t="s">
        <v>845</v>
      </c>
      <c r="J107" s="210" t="s">
        <v>846</v>
      </c>
      <c r="K107" s="210" t="s">
        <v>847</v>
      </c>
      <c r="L107" s="210" t="s">
        <v>848</v>
      </c>
      <c r="M107" s="210" t="s">
        <v>849</v>
      </c>
      <c r="N107" s="210" t="s">
        <v>850</v>
      </c>
      <c r="O107" s="210" t="s">
        <v>8055</v>
      </c>
      <c r="P107" s="210" t="s">
        <v>8168</v>
      </c>
      <c r="Q107" s="210" t="s">
        <v>8571</v>
      </c>
      <c r="R107" s="210" t="s">
        <v>8755</v>
      </c>
      <c r="S107" s="210" t="s">
        <v>8892</v>
      </c>
    </row>
    <row r="108" spans="2:19" hidden="1" outlineLevel="1">
      <c r="B108" s="2" t="s">
        <v>853</v>
      </c>
      <c r="C108" s="138" t="s">
        <v>441</v>
      </c>
      <c r="D108" s="112" t="s">
        <v>984</v>
      </c>
      <c r="E108" s="112">
        <v>0.4</v>
      </c>
      <c r="G108" s="209" t="s">
        <v>843</v>
      </c>
      <c r="H108" s="210" t="s">
        <v>844</v>
      </c>
      <c r="I108" s="210" t="s">
        <v>845</v>
      </c>
      <c r="J108" s="210" t="s">
        <v>846</v>
      </c>
      <c r="K108" s="210" t="s">
        <v>847</v>
      </c>
      <c r="L108" s="210" t="s">
        <v>848</v>
      </c>
      <c r="M108" s="210" t="s">
        <v>849</v>
      </c>
      <c r="N108" s="210" t="s">
        <v>850</v>
      </c>
      <c r="O108" s="210" t="s">
        <v>8055</v>
      </c>
      <c r="P108" s="210" t="s">
        <v>8168</v>
      </c>
      <c r="Q108" s="210" t="s">
        <v>8571</v>
      </c>
      <c r="R108" s="210" t="s">
        <v>8755</v>
      </c>
      <c r="S108" s="210" t="s">
        <v>8892</v>
      </c>
    </row>
    <row r="109" spans="2:19" hidden="1" outlineLevel="1">
      <c r="B109" s="2" t="s">
        <v>853</v>
      </c>
      <c r="C109" s="138" t="s">
        <v>442</v>
      </c>
      <c r="D109" s="114" t="s">
        <v>985</v>
      </c>
      <c r="E109" s="114">
        <v>0.03</v>
      </c>
      <c r="G109" s="209" t="s">
        <v>843</v>
      </c>
      <c r="H109" s="210" t="s">
        <v>844</v>
      </c>
      <c r="I109" s="210" t="s">
        <v>845</v>
      </c>
      <c r="J109" s="210" t="s">
        <v>846</v>
      </c>
      <c r="K109" s="210" t="s">
        <v>847</v>
      </c>
      <c r="L109" s="210" t="s">
        <v>848</v>
      </c>
      <c r="M109" s="210" t="s">
        <v>849</v>
      </c>
      <c r="N109" s="210" t="s">
        <v>850</v>
      </c>
      <c r="O109" s="210" t="s">
        <v>8055</v>
      </c>
      <c r="P109" s="210" t="s">
        <v>8168</v>
      </c>
      <c r="Q109" s="210" t="s">
        <v>8571</v>
      </c>
      <c r="R109" s="210" t="s">
        <v>8755</v>
      </c>
      <c r="S109" s="210" t="s">
        <v>8892</v>
      </c>
    </row>
    <row r="110" spans="2:19" hidden="1" outlineLevel="1">
      <c r="B110" s="2" t="s">
        <v>853</v>
      </c>
      <c r="C110" s="138" t="s">
        <v>986</v>
      </c>
      <c r="D110" s="112" t="s">
        <v>987</v>
      </c>
      <c r="E110" s="505">
        <v>1.4</v>
      </c>
      <c r="G110" s="210" t="s">
        <v>843</v>
      </c>
      <c r="H110" s="210" t="s">
        <v>844</v>
      </c>
      <c r="I110" s="210" t="s">
        <v>845</v>
      </c>
      <c r="J110" s="209" t="s">
        <v>846</v>
      </c>
      <c r="K110" s="210" t="s">
        <v>847</v>
      </c>
      <c r="L110" s="210" t="s">
        <v>848</v>
      </c>
      <c r="M110" s="210" t="s">
        <v>849</v>
      </c>
      <c r="N110" s="210" t="s">
        <v>850</v>
      </c>
      <c r="O110" s="210" t="s">
        <v>8055</v>
      </c>
      <c r="P110" s="210" t="s">
        <v>8168</v>
      </c>
      <c r="Q110" s="210" t="s">
        <v>8571</v>
      </c>
      <c r="R110" s="209" t="s">
        <v>8755</v>
      </c>
      <c r="S110" s="693" t="s">
        <v>8892</v>
      </c>
    </row>
    <row r="111" spans="2:19" hidden="1" outlineLevel="1">
      <c r="B111" s="2" t="s">
        <v>853</v>
      </c>
      <c r="C111" s="138" t="s">
        <v>988</v>
      </c>
      <c r="D111" s="114" t="s">
        <v>989</v>
      </c>
      <c r="E111" s="505">
        <v>1.1000000000000001</v>
      </c>
      <c r="G111" s="210" t="s">
        <v>843</v>
      </c>
      <c r="H111" s="210" t="s">
        <v>844</v>
      </c>
      <c r="I111" s="210" t="s">
        <v>845</v>
      </c>
      <c r="J111" s="209" t="s">
        <v>846</v>
      </c>
      <c r="K111" s="210" t="s">
        <v>847</v>
      </c>
      <c r="L111" s="210" t="s">
        <v>848</v>
      </c>
      <c r="M111" s="210" t="s">
        <v>849</v>
      </c>
      <c r="N111" s="210" t="s">
        <v>850</v>
      </c>
      <c r="O111" s="210" t="s">
        <v>8055</v>
      </c>
      <c r="P111" s="210" t="s">
        <v>8168</v>
      </c>
      <c r="Q111" s="210" t="s">
        <v>8571</v>
      </c>
      <c r="R111" s="210" t="s">
        <v>8755</v>
      </c>
      <c r="S111" s="210" t="s">
        <v>8892</v>
      </c>
    </row>
    <row r="112" spans="2:19" hidden="1" outlineLevel="1">
      <c r="B112" s="2" t="s">
        <v>853</v>
      </c>
      <c r="C112" s="138" t="s">
        <v>990</v>
      </c>
      <c r="D112" s="112" t="s">
        <v>991</v>
      </c>
      <c r="E112" s="505">
        <v>1</v>
      </c>
      <c r="G112" s="210" t="s">
        <v>843</v>
      </c>
      <c r="H112" s="210" t="s">
        <v>844</v>
      </c>
      <c r="I112" s="210" t="s">
        <v>845</v>
      </c>
      <c r="J112" s="210" t="s">
        <v>846</v>
      </c>
      <c r="K112" s="210" t="s">
        <v>847</v>
      </c>
      <c r="L112" s="210" t="s">
        <v>848</v>
      </c>
      <c r="M112" s="210" t="s">
        <v>849</v>
      </c>
      <c r="N112" s="210" t="s">
        <v>850</v>
      </c>
      <c r="O112" s="210" t="s">
        <v>8055</v>
      </c>
      <c r="P112" s="210" t="s">
        <v>8168</v>
      </c>
      <c r="Q112" s="210" t="s">
        <v>8571</v>
      </c>
      <c r="R112" s="209" t="s">
        <v>8755</v>
      </c>
      <c r="S112" s="210" t="s">
        <v>8892</v>
      </c>
    </row>
    <row r="113" spans="2:42" hidden="1" outlineLevel="1">
      <c r="B113" s="2" t="s">
        <v>853</v>
      </c>
      <c r="C113" s="138" t="s">
        <v>992</v>
      </c>
      <c r="D113" s="114" t="s">
        <v>993</v>
      </c>
      <c r="E113" s="505">
        <v>0.8</v>
      </c>
      <c r="G113" s="210" t="s">
        <v>843</v>
      </c>
      <c r="H113" s="210" t="s">
        <v>844</v>
      </c>
      <c r="I113" s="210" t="s">
        <v>845</v>
      </c>
      <c r="J113" s="209" t="s">
        <v>846</v>
      </c>
      <c r="K113" s="210" t="s">
        <v>847</v>
      </c>
      <c r="L113" s="210" t="s">
        <v>848</v>
      </c>
      <c r="M113" s="210" t="s">
        <v>849</v>
      </c>
      <c r="N113" s="210" t="s">
        <v>850</v>
      </c>
      <c r="O113" s="210" t="s">
        <v>8055</v>
      </c>
      <c r="P113" s="210" t="s">
        <v>8168</v>
      </c>
      <c r="Q113" s="210" t="s">
        <v>8571</v>
      </c>
      <c r="R113" s="210" t="s">
        <v>8755</v>
      </c>
      <c r="S113" s="210" t="s">
        <v>8892</v>
      </c>
    </row>
    <row r="114" spans="2:42" hidden="1" outlineLevel="1">
      <c r="B114" s="2" t="s">
        <v>853</v>
      </c>
      <c r="C114" s="138" t="s">
        <v>8164</v>
      </c>
      <c r="D114" s="114" t="s">
        <v>8088</v>
      </c>
      <c r="E114" s="505">
        <v>0.75</v>
      </c>
      <c r="G114" s="210" t="s">
        <v>843</v>
      </c>
      <c r="H114" s="210" t="s">
        <v>844</v>
      </c>
      <c r="I114" s="210" t="s">
        <v>845</v>
      </c>
      <c r="J114" s="209" t="s">
        <v>846</v>
      </c>
      <c r="K114" s="210" t="s">
        <v>847</v>
      </c>
      <c r="L114" s="210" t="s">
        <v>848</v>
      </c>
      <c r="M114" s="210" t="s">
        <v>849</v>
      </c>
      <c r="N114" s="210" t="s">
        <v>850</v>
      </c>
      <c r="O114" s="210" t="s">
        <v>8055</v>
      </c>
      <c r="P114" s="210" t="s">
        <v>8168</v>
      </c>
      <c r="Q114" s="210" t="s">
        <v>8571</v>
      </c>
      <c r="R114" s="210" t="s">
        <v>8755</v>
      </c>
      <c r="S114" s="210" t="s">
        <v>8892</v>
      </c>
    </row>
    <row r="115" spans="2:42" hidden="1" outlineLevel="1">
      <c r="B115" s="2" t="s">
        <v>853</v>
      </c>
      <c r="C115" s="138" t="s">
        <v>994</v>
      </c>
      <c r="D115" s="112" t="s">
        <v>995</v>
      </c>
      <c r="E115" s="112">
        <v>0.15</v>
      </c>
      <c r="G115" s="209" t="s">
        <v>843</v>
      </c>
      <c r="H115" s="210" t="s">
        <v>844</v>
      </c>
      <c r="I115" s="210" t="s">
        <v>845</v>
      </c>
      <c r="J115" s="210" t="s">
        <v>846</v>
      </c>
      <c r="K115" s="210" t="s">
        <v>847</v>
      </c>
      <c r="L115" s="210" t="s">
        <v>848</v>
      </c>
      <c r="M115" s="210" t="s">
        <v>849</v>
      </c>
      <c r="N115" s="210" t="s">
        <v>850</v>
      </c>
      <c r="O115" s="210" t="s">
        <v>8055</v>
      </c>
      <c r="P115" s="210" t="s">
        <v>8168</v>
      </c>
      <c r="Q115" s="210" t="s">
        <v>8571</v>
      </c>
      <c r="R115" s="210" t="s">
        <v>8755</v>
      </c>
      <c r="S115" s="210" t="s">
        <v>8892</v>
      </c>
    </row>
    <row r="116" spans="2:42" hidden="1" outlineLevel="1">
      <c r="B116" s="2" t="s">
        <v>853</v>
      </c>
      <c r="C116" s="138" t="s">
        <v>996</v>
      </c>
      <c r="D116" s="114" t="s">
        <v>997</v>
      </c>
      <c r="E116" s="114">
        <v>0.2</v>
      </c>
      <c r="G116" s="209" t="s">
        <v>843</v>
      </c>
      <c r="H116" s="210" t="s">
        <v>844</v>
      </c>
      <c r="I116" s="210" t="s">
        <v>845</v>
      </c>
      <c r="J116" s="210" t="s">
        <v>846</v>
      </c>
      <c r="K116" s="210" t="s">
        <v>847</v>
      </c>
      <c r="L116" s="210" t="s">
        <v>848</v>
      </c>
      <c r="M116" s="210" t="s">
        <v>849</v>
      </c>
      <c r="N116" s="210" t="s">
        <v>850</v>
      </c>
      <c r="O116" s="210" t="s">
        <v>8055</v>
      </c>
      <c r="P116" s="210" t="s">
        <v>8168</v>
      </c>
      <c r="Q116" s="210" t="s">
        <v>8571</v>
      </c>
      <c r="R116" s="210" t="s">
        <v>8755</v>
      </c>
      <c r="S116" s="210" t="s">
        <v>8892</v>
      </c>
    </row>
    <row r="117" spans="2:42" hidden="1" outlineLevel="1">
      <c r="B117" s="2" t="s">
        <v>853</v>
      </c>
      <c r="C117" s="138" t="s">
        <v>998</v>
      </c>
      <c r="D117" s="112" t="s">
        <v>999</v>
      </c>
      <c r="E117" s="112" t="b">
        <v>0</v>
      </c>
      <c r="G117" s="209" t="s">
        <v>843</v>
      </c>
      <c r="H117" s="210" t="s">
        <v>844</v>
      </c>
      <c r="I117" s="210" t="s">
        <v>845</v>
      </c>
      <c r="J117" s="210" t="s">
        <v>846</v>
      </c>
      <c r="K117" s="210" t="s">
        <v>847</v>
      </c>
      <c r="L117" s="210" t="s">
        <v>848</v>
      </c>
      <c r="M117" s="210" t="s">
        <v>849</v>
      </c>
      <c r="N117" s="210" t="s">
        <v>850</v>
      </c>
      <c r="O117" s="210" t="s">
        <v>8055</v>
      </c>
      <c r="P117" s="210" t="s">
        <v>8168</v>
      </c>
      <c r="Q117" s="210" t="s">
        <v>8571</v>
      </c>
      <c r="R117" s="210" t="s">
        <v>8755</v>
      </c>
      <c r="S117" s="210" t="s">
        <v>8892</v>
      </c>
    </row>
    <row r="118" spans="2:42" hidden="1" outlineLevel="1">
      <c r="B118" s="2" t="s">
        <v>853</v>
      </c>
      <c r="C118" s="138" t="s">
        <v>1000</v>
      </c>
      <c r="D118" s="114" t="s">
        <v>1001</v>
      </c>
      <c r="E118" s="114">
        <v>3</v>
      </c>
      <c r="G118" s="209" t="s">
        <v>843</v>
      </c>
      <c r="H118" s="210" t="s">
        <v>844</v>
      </c>
      <c r="I118" s="210" t="s">
        <v>845</v>
      </c>
      <c r="J118" s="210" t="s">
        <v>846</v>
      </c>
      <c r="K118" s="210" t="s">
        <v>847</v>
      </c>
      <c r="L118" s="210" t="s">
        <v>848</v>
      </c>
      <c r="M118" s="210" t="s">
        <v>849</v>
      </c>
      <c r="N118" s="210" t="s">
        <v>850</v>
      </c>
      <c r="O118" s="210" t="s">
        <v>8055</v>
      </c>
      <c r="P118" s="210" t="s">
        <v>8168</v>
      </c>
      <c r="Q118" s="210" t="s">
        <v>8571</v>
      </c>
      <c r="R118" s="210" t="s">
        <v>8755</v>
      </c>
      <c r="S118" s="210" t="s">
        <v>8892</v>
      </c>
    </row>
    <row r="119" spans="2:42" hidden="1" outlineLevel="1">
      <c r="B119" s="2" t="s">
        <v>853</v>
      </c>
      <c r="C119" s="138" t="s">
        <v>1002</v>
      </c>
      <c r="D119" s="112" t="s">
        <v>1003</v>
      </c>
      <c r="E119" s="112">
        <v>3</v>
      </c>
      <c r="G119" s="209" t="s">
        <v>843</v>
      </c>
      <c r="H119" s="210" t="s">
        <v>844</v>
      </c>
      <c r="I119" s="210" t="s">
        <v>845</v>
      </c>
      <c r="J119" s="210" t="s">
        <v>846</v>
      </c>
      <c r="K119" s="210" t="s">
        <v>847</v>
      </c>
      <c r="L119" s="210" t="s">
        <v>848</v>
      </c>
      <c r="M119" s="210" t="s">
        <v>849</v>
      </c>
      <c r="N119" s="210" t="s">
        <v>850</v>
      </c>
      <c r="O119" s="210" t="s">
        <v>8055</v>
      </c>
      <c r="P119" s="210" t="s">
        <v>8168</v>
      </c>
      <c r="Q119" s="210" t="s">
        <v>8571</v>
      </c>
      <c r="R119" s="210" t="s">
        <v>8755</v>
      </c>
      <c r="S119" s="210" t="s">
        <v>8892</v>
      </c>
    </row>
    <row r="120" spans="2:42" hidden="1" outlineLevel="1">
      <c r="B120" s="2" t="s">
        <v>853</v>
      </c>
      <c r="C120" s="138" t="s">
        <v>1004</v>
      </c>
      <c r="D120" s="114" t="s">
        <v>1005</v>
      </c>
      <c r="E120" s="114">
        <v>0.85</v>
      </c>
      <c r="G120" s="209" t="s">
        <v>843</v>
      </c>
      <c r="H120" s="210" t="s">
        <v>844</v>
      </c>
      <c r="I120" s="210" t="s">
        <v>845</v>
      </c>
      <c r="J120" s="210" t="s">
        <v>846</v>
      </c>
      <c r="K120" s="210" t="s">
        <v>847</v>
      </c>
      <c r="L120" s="210" t="s">
        <v>848</v>
      </c>
      <c r="M120" s="209" t="s">
        <v>849</v>
      </c>
      <c r="N120" s="210" t="s">
        <v>850</v>
      </c>
      <c r="O120" s="210" t="s">
        <v>8055</v>
      </c>
      <c r="P120" s="210" t="s">
        <v>8168</v>
      </c>
      <c r="Q120" s="210" t="s">
        <v>8571</v>
      </c>
      <c r="R120" s="210" t="s">
        <v>8755</v>
      </c>
      <c r="S120" s="210" t="s">
        <v>8892</v>
      </c>
      <c r="AN120" s="2">
        <v>0</v>
      </c>
      <c r="AP120" s="2" t="b">
        <v>0</v>
      </c>
    </row>
    <row r="121" spans="2:42" hidden="1" outlineLevel="1">
      <c r="B121" s="2" t="s">
        <v>853</v>
      </c>
      <c r="C121" s="138" t="s">
        <v>547</v>
      </c>
      <c r="D121" s="112" t="s">
        <v>1006</v>
      </c>
      <c r="E121" s="112">
        <v>0.9</v>
      </c>
      <c r="G121" s="209" t="s">
        <v>843</v>
      </c>
      <c r="H121" s="210" t="s">
        <v>844</v>
      </c>
      <c r="I121" s="210" t="s">
        <v>845</v>
      </c>
      <c r="J121" s="210" t="s">
        <v>846</v>
      </c>
      <c r="K121" s="210" t="s">
        <v>847</v>
      </c>
      <c r="L121" s="210" t="s">
        <v>848</v>
      </c>
      <c r="M121" s="209" t="s">
        <v>849</v>
      </c>
      <c r="N121" s="210" t="s">
        <v>850</v>
      </c>
      <c r="O121" s="210" t="s">
        <v>8055</v>
      </c>
      <c r="P121" s="210" t="s">
        <v>8168</v>
      </c>
      <c r="Q121" s="210" t="s">
        <v>8571</v>
      </c>
      <c r="R121" s="210" t="s">
        <v>8755</v>
      </c>
      <c r="S121" s="210" t="s">
        <v>8892</v>
      </c>
      <c r="AN121" s="2">
        <v>0</v>
      </c>
      <c r="AP121" s="2" t="b">
        <v>0</v>
      </c>
    </row>
    <row r="122" spans="2:42" hidden="1" outlineLevel="1">
      <c r="B122" s="2" t="s">
        <v>853</v>
      </c>
      <c r="C122" s="138" t="s">
        <v>546</v>
      </c>
      <c r="D122" s="114" t="s">
        <v>1007</v>
      </c>
      <c r="E122" s="114">
        <v>0.95</v>
      </c>
      <c r="G122" s="210" t="s">
        <v>843</v>
      </c>
      <c r="H122" s="210" t="s">
        <v>844</v>
      </c>
      <c r="I122" s="210" t="s">
        <v>845</v>
      </c>
      <c r="J122" s="210" t="s">
        <v>846</v>
      </c>
      <c r="K122" s="210" t="s">
        <v>847</v>
      </c>
      <c r="L122" s="210" t="s">
        <v>848</v>
      </c>
      <c r="M122" s="209" t="s">
        <v>849</v>
      </c>
      <c r="N122" s="210" t="s">
        <v>850</v>
      </c>
      <c r="O122" s="210" t="s">
        <v>8055</v>
      </c>
      <c r="P122" s="210" t="s">
        <v>8168</v>
      </c>
      <c r="Q122" s="210" t="s">
        <v>8571</v>
      </c>
      <c r="R122" s="210" t="s">
        <v>8755</v>
      </c>
      <c r="S122" s="210" t="s">
        <v>8892</v>
      </c>
      <c r="AN122" s="2">
        <v>0</v>
      </c>
      <c r="AP122" s="2" t="b">
        <v>0</v>
      </c>
    </row>
    <row r="123" spans="2:42" hidden="1" outlineLevel="1">
      <c r="B123" s="2" t="s">
        <v>853</v>
      </c>
      <c r="C123" s="138" t="s">
        <v>1008</v>
      </c>
      <c r="D123" s="112" t="s">
        <v>1009</v>
      </c>
      <c r="E123" s="112">
        <v>1</v>
      </c>
      <c r="G123" s="210" t="s">
        <v>843</v>
      </c>
      <c r="H123" s="210" t="s">
        <v>844</v>
      </c>
      <c r="I123" s="210" t="s">
        <v>845</v>
      </c>
      <c r="J123" s="210" t="s">
        <v>846</v>
      </c>
      <c r="K123" s="210" t="s">
        <v>847</v>
      </c>
      <c r="L123" s="210" t="s">
        <v>848</v>
      </c>
      <c r="M123" s="209" t="s">
        <v>849</v>
      </c>
      <c r="N123" s="210" t="s">
        <v>850</v>
      </c>
      <c r="O123" s="210" t="s">
        <v>8055</v>
      </c>
      <c r="P123" s="210" t="s">
        <v>8168</v>
      </c>
      <c r="Q123" s="210" t="s">
        <v>8571</v>
      </c>
      <c r="R123" s="210" t="s">
        <v>8755</v>
      </c>
      <c r="S123" s="210" t="s">
        <v>8892</v>
      </c>
    </row>
    <row r="124" spans="2:42" hidden="1" outlineLevel="1">
      <c r="B124" s="2" t="s">
        <v>853</v>
      </c>
      <c r="C124" s="138" t="s">
        <v>500</v>
      </c>
      <c r="D124" s="114" t="s">
        <v>1010</v>
      </c>
      <c r="E124" s="114">
        <v>0.65</v>
      </c>
      <c r="G124" s="210" t="s">
        <v>843</v>
      </c>
      <c r="H124" s="210" t="s">
        <v>844</v>
      </c>
      <c r="I124" s="210" t="s">
        <v>845</v>
      </c>
      <c r="J124" s="210" t="s">
        <v>846</v>
      </c>
      <c r="K124" s="210" t="s">
        <v>847</v>
      </c>
      <c r="L124" s="210" t="s">
        <v>848</v>
      </c>
      <c r="M124" s="209" t="s">
        <v>849</v>
      </c>
      <c r="N124" s="210" t="s">
        <v>850</v>
      </c>
      <c r="O124" s="210" t="s">
        <v>8055</v>
      </c>
      <c r="P124" s="210" t="s">
        <v>8168</v>
      </c>
      <c r="Q124" s="210" t="s">
        <v>8571</v>
      </c>
      <c r="R124" s="210" t="s">
        <v>8755</v>
      </c>
      <c r="S124" s="210" t="s">
        <v>8892</v>
      </c>
      <c r="AN124" s="2">
        <v>0</v>
      </c>
      <c r="AP124" s="2" t="b">
        <v>0</v>
      </c>
    </row>
    <row r="125" spans="2:42" hidden="1" outlineLevel="1">
      <c r="B125" s="2" t="s">
        <v>853</v>
      </c>
      <c r="C125" s="138" t="s">
        <v>8799</v>
      </c>
      <c r="D125" s="114" t="s">
        <v>8798</v>
      </c>
      <c r="E125" s="114">
        <v>0.7</v>
      </c>
      <c r="G125" s="210" t="s">
        <v>843</v>
      </c>
      <c r="H125" s="210" t="s">
        <v>844</v>
      </c>
      <c r="I125" s="210" t="s">
        <v>845</v>
      </c>
      <c r="J125" s="210" t="s">
        <v>846</v>
      </c>
      <c r="K125" s="210" t="s">
        <v>847</v>
      </c>
      <c r="L125" s="210" t="s">
        <v>848</v>
      </c>
      <c r="M125" s="210" t="s">
        <v>849</v>
      </c>
      <c r="N125" s="210" t="s">
        <v>850</v>
      </c>
      <c r="O125" s="210" t="s">
        <v>8055</v>
      </c>
      <c r="P125" s="210" t="s">
        <v>8168</v>
      </c>
      <c r="Q125" s="210" t="s">
        <v>8571</v>
      </c>
      <c r="R125" s="209" t="s">
        <v>8755</v>
      </c>
      <c r="S125" s="210" t="s">
        <v>8892</v>
      </c>
    </row>
    <row r="126" spans="2:42" hidden="1" outlineLevel="1">
      <c r="B126" s="2" t="s">
        <v>853</v>
      </c>
      <c r="C126" s="138" t="s">
        <v>1011</v>
      </c>
      <c r="D126" s="112" t="s">
        <v>1012</v>
      </c>
      <c r="E126" s="112">
        <v>0.2</v>
      </c>
      <c r="G126" s="210" t="s">
        <v>843</v>
      </c>
      <c r="H126" s="210" t="s">
        <v>844</v>
      </c>
      <c r="I126" s="210" t="s">
        <v>845</v>
      </c>
      <c r="J126" s="210" t="s">
        <v>846</v>
      </c>
      <c r="K126" s="210" t="s">
        <v>847</v>
      </c>
      <c r="L126" s="210" t="s">
        <v>848</v>
      </c>
      <c r="M126" s="209" t="s">
        <v>849</v>
      </c>
      <c r="N126" s="210" t="s">
        <v>850</v>
      </c>
      <c r="O126" s="210" t="s">
        <v>8055</v>
      </c>
      <c r="P126" s="210" t="s">
        <v>8168</v>
      </c>
      <c r="Q126" s="210" t="s">
        <v>8571</v>
      </c>
      <c r="R126" s="210" t="s">
        <v>8755</v>
      </c>
      <c r="S126" s="210" t="s">
        <v>8892</v>
      </c>
      <c r="AN126" s="2">
        <v>0</v>
      </c>
      <c r="AP126" s="2" t="b">
        <v>0</v>
      </c>
    </row>
    <row r="127" spans="2:42" hidden="1" outlineLevel="1">
      <c r="B127" s="2" t="s">
        <v>853</v>
      </c>
      <c r="C127" s="138" t="s">
        <v>8089</v>
      </c>
      <c r="D127" s="114" t="s">
        <v>8047</v>
      </c>
      <c r="E127" s="114">
        <v>750</v>
      </c>
      <c r="G127" s="210" t="s">
        <v>843</v>
      </c>
      <c r="H127" s="210" t="s">
        <v>844</v>
      </c>
      <c r="I127" s="210" t="s">
        <v>845</v>
      </c>
      <c r="J127" s="210" t="s">
        <v>846</v>
      </c>
      <c r="K127" s="210" t="s">
        <v>847</v>
      </c>
      <c r="L127" s="210" t="s">
        <v>848</v>
      </c>
      <c r="M127" s="210" t="s">
        <v>849</v>
      </c>
      <c r="N127" s="210" t="s">
        <v>850</v>
      </c>
      <c r="O127" s="209" t="s">
        <v>8055</v>
      </c>
      <c r="P127" s="210" t="s">
        <v>8168</v>
      </c>
      <c r="Q127" s="210" t="s">
        <v>8571</v>
      </c>
      <c r="R127" s="210" t="s">
        <v>8755</v>
      </c>
      <c r="S127" s="210" t="s">
        <v>8892</v>
      </c>
      <c r="AM127" s="2">
        <v>0</v>
      </c>
      <c r="AN127" s="2">
        <v>0</v>
      </c>
      <c r="AO127" s="2" t="b">
        <v>0</v>
      </c>
      <c r="AP127" s="2" t="b">
        <v>0</v>
      </c>
    </row>
    <row r="128" spans="2:42" hidden="1" outlineLevel="1">
      <c r="B128" s="2" t="s">
        <v>853</v>
      </c>
      <c r="C128" s="138" t="s">
        <v>8813</v>
      </c>
      <c r="D128" s="114" t="s">
        <v>8815</v>
      </c>
      <c r="E128" s="114">
        <v>75000</v>
      </c>
      <c r="G128" s="210" t="s">
        <v>843</v>
      </c>
      <c r="H128" s="210" t="s">
        <v>844</v>
      </c>
      <c r="I128" s="210" t="s">
        <v>845</v>
      </c>
      <c r="J128" s="210" t="s">
        <v>846</v>
      </c>
      <c r="K128" s="210" t="s">
        <v>847</v>
      </c>
      <c r="L128" s="210" t="s">
        <v>848</v>
      </c>
      <c r="M128" s="210" t="s">
        <v>849</v>
      </c>
      <c r="N128" s="210" t="s">
        <v>850</v>
      </c>
      <c r="O128" s="210" t="s">
        <v>8055</v>
      </c>
      <c r="P128" s="210" t="s">
        <v>8168</v>
      </c>
      <c r="Q128" s="210" t="s">
        <v>8571</v>
      </c>
      <c r="R128" s="209" t="s">
        <v>8755</v>
      </c>
      <c r="S128" s="210" t="s">
        <v>8892</v>
      </c>
      <c r="AM128" s="2">
        <v>0</v>
      </c>
      <c r="AN128" s="2">
        <v>0</v>
      </c>
      <c r="AO128" s="2" t="b">
        <v>0</v>
      </c>
      <c r="AP128" s="2" t="b">
        <v>0</v>
      </c>
    </row>
    <row r="129" spans="2:42" hidden="1" outlineLevel="1">
      <c r="B129" s="2" t="s">
        <v>853</v>
      </c>
      <c r="C129" s="138" t="s">
        <v>8814</v>
      </c>
      <c r="D129" s="114" t="s">
        <v>8816</v>
      </c>
      <c r="E129" s="114">
        <v>75000</v>
      </c>
      <c r="G129" s="210" t="s">
        <v>843</v>
      </c>
      <c r="H129" s="210" t="s">
        <v>844</v>
      </c>
      <c r="I129" s="210" t="s">
        <v>845</v>
      </c>
      <c r="J129" s="210" t="s">
        <v>846</v>
      </c>
      <c r="K129" s="210" t="s">
        <v>847</v>
      </c>
      <c r="L129" s="210" t="s">
        <v>848</v>
      </c>
      <c r="M129" s="210" t="s">
        <v>849</v>
      </c>
      <c r="N129" s="210" t="s">
        <v>850</v>
      </c>
      <c r="O129" s="210" t="s">
        <v>8055</v>
      </c>
      <c r="P129" s="210" t="s">
        <v>8168</v>
      </c>
      <c r="Q129" s="210" t="s">
        <v>8571</v>
      </c>
      <c r="R129" s="209" t="s">
        <v>8755</v>
      </c>
      <c r="S129" s="210" t="s">
        <v>8892</v>
      </c>
      <c r="AM129" s="2">
        <v>0</v>
      </c>
      <c r="AN129" s="2">
        <v>0</v>
      </c>
      <c r="AO129" s="2" t="b">
        <v>0</v>
      </c>
      <c r="AP129" s="2" t="b">
        <v>0</v>
      </c>
    </row>
    <row r="130" spans="2:42" hidden="1" outlineLevel="1">
      <c r="B130" s="2" t="s">
        <v>853</v>
      </c>
      <c r="C130" s="138" t="s">
        <v>8895</v>
      </c>
      <c r="D130" s="114" t="s">
        <v>8896</v>
      </c>
      <c r="E130" s="114">
        <v>1.05</v>
      </c>
      <c r="G130" s="210" t="s">
        <v>843</v>
      </c>
      <c r="H130" s="210" t="s">
        <v>844</v>
      </c>
      <c r="I130" s="210" t="s">
        <v>845</v>
      </c>
      <c r="J130" s="210" t="s">
        <v>846</v>
      </c>
      <c r="K130" s="210" t="s">
        <v>847</v>
      </c>
      <c r="L130" s="210" t="s">
        <v>848</v>
      </c>
      <c r="M130" s="210" t="s">
        <v>849</v>
      </c>
      <c r="N130" s="210" t="s">
        <v>850</v>
      </c>
      <c r="O130" s="210" t="s">
        <v>8055</v>
      </c>
      <c r="P130" s="210" t="s">
        <v>8168</v>
      </c>
      <c r="Q130" s="210" t="s">
        <v>8571</v>
      </c>
      <c r="R130" s="209" t="s">
        <v>8755</v>
      </c>
      <c r="S130" s="210" t="s">
        <v>8892</v>
      </c>
      <c r="AM130" s="2">
        <v>0</v>
      </c>
      <c r="AN130" s="2">
        <v>0</v>
      </c>
      <c r="AO130" s="2" t="b">
        <v>0</v>
      </c>
      <c r="AP130" s="2" t="b">
        <v>0</v>
      </c>
    </row>
    <row r="131" spans="2:42" hidden="1" outlineLevel="1">
      <c r="B131" s="2" t="s">
        <v>853</v>
      </c>
      <c r="C131" s="138" t="s">
        <v>8897</v>
      </c>
      <c r="D131" s="114" t="s">
        <v>8898</v>
      </c>
      <c r="E131" s="114">
        <v>15</v>
      </c>
      <c r="G131" s="210" t="s">
        <v>843</v>
      </c>
      <c r="H131" s="210" t="s">
        <v>844</v>
      </c>
      <c r="I131" s="210" t="s">
        <v>845</v>
      </c>
      <c r="J131" s="210" t="s">
        <v>846</v>
      </c>
      <c r="K131" s="210" t="s">
        <v>847</v>
      </c>
      <c r="L131" s="210" t="s">
        <v>848</v>
      </c>
      <c r="M131" s="210" t="s">
        <v>849</v>
      </c>
      <c r="N131" s="210" t="s">
        <v>850</v>
      </c>
      <c r="O131" s="210" t="s">
        <v>8055</v>
      </c>
      <c r="P131" s="210" t="s">
        <v>8168</v>
      </c>
      <c r="Q131" s="210" t="s">
        <v>8571</v>
      </c>
      <c r="R131" s="209" t="s">
        <v>8755</v>
      </c>
      <c r="S131" s="210" t="s">
        <v>8892</v>
      </c>
      <c r="AM131" s="2">
        <v>0</v>
      </c>
      <c r="AN131" s="2">
        <v>0</v>
      </c>
      <c r="AO131" s="2">
        <v>0</v>
      </c>
      <c r="AP131" s="2" t="b">
        <v>0</v>
      </c>
    </row>
    <row r="132" spans="2:42" hidden="1" outlineLevel="1">
      <c r="B132" s="2" t="s">
        <v>853</v>
      </c>
      <c r="C132" s="138" t="s">
        <v>8955</v>
      </c>
      <c r="D132" s="114" t="s">
        <v>8954</v>
      </c>
      <c r="E132" s="114">
        <v>1.1499999999999999</v>
      </c>
      <c r="G132" s="210" t="s">
        <v>843</v>
      </c>
      <c r="H132" s="210" t="s">
        <v>844</v>
      </c>
      <c r="I132" s="210" t="s">
        <v>845</v>
      </c>
      <c r="J132" s="210" t="s">
        <v>846</v>
      </c>
      <c r="K132" s="210" t="s">
        <v>847</v>
      </c>
      <c r="L132" s="210" t="s">
        <v>848</v>
      </c>
      <c r="M132" s="209" t="s">
        <v>849</v>
      </c>
      <c r="N132" s="210" t="s">
        <v>850</v>
      </c>
      <c r="O132" s="210" t="s">
        <v>8055</v>
      </c>
      <c r="P132" s="210" t="s">
        <v>8168</v>
      </c>
      <c r="Q132" s="210" t="s">
        <v>8571</v>
      </c>
      <c r="R132" s="210" t="s">
        <v>8755</v>
      </c>
      <c r="S132" s="210" t="s">
        <v>8892</v>
      </c>
      <c r="AM132" s="2">
        <v>0</v>
      </c>
      <c r="AN132" s="2">
        <v>0</v>
      </c>
      <c r="AO132" s="2" t="b">
        <v>0</v>
      </c>
      <c r="AP132" s="2" t="b">
        <v>0</v>
      </c>
    </row>
    <row r="133" spans="2:42" hidden="1" outlineLevel="1">
      <c r="B133" s="2" t="s">
        <v>853</v>
      </c>
      <c r="C133" s="138" t="s">
        <v>8956</v>
      </c>
      <c r="D133" s="114" t="s">
        <v>8953</v>
      </c>
      <c r="E133" s="114">
        <v>15</v>
      </c>
      <c r="G133" s="210" t="s">
        <v>843</v>
      </c>
      <c r="H133" s="210" t="s">
        <v>844</v>
      </c>
      <c r="I133" s="210" t="s">
        <v>845</v>
      </c>
      <c r="J133" s="210" t="s">
        <v>846</v>
      </c>
      <c r="K133" s="210" t="s">
        <v>847</v>
      </c>
      <c r="L133" s="210" t="s">
        <v>848</v>
      </c>
      <c r="M133" s="209" t="s">
        <v>849</v>
      </c>
      <c r="N133" s="210" t="s">
        <v>850</v>
      </c>
      <c r="O133" s="210" t="s">
        <v>8055</v>
      </c>
      <c r="P133" s="210" t="s">
        <v>8168</v>
      </c>
      <c r="Q133" s="210" t="s">
        <v>8571</v>
      </c>
      <c r="R133" s="210" t="s">
        <v>8755</v>
      </c>
      <c r="S133" s="210" t="s">
        <v>8892</v>
      </c>
      <c r="AM133" s="2">
        <v>0</v>
      </c>
      <c r="AN133" s="2">
        <v>0</v>
      </c>
      <c r="AO133" s="2" t="b">
        <v>0</v>
      </c>
      <c r="AP133" s="2" t="b">
        <v>0</v>
      </c>
    </row>
    <row r="134" spans="2:42" hidden="1" outlineLevel="1">
      <c r="B134" s="2" t="s">
        <v>853</v>
      </c>
      <c r="C134" s="138" t="s">
        <v>8987</v>
      </c>
      <c r="D134" s="114" t="s">
        <v>8986</v>
      </c>
      <c r="E134" s="114">
        <v>1.2</v>
      </c>
      <c r="G134" s="210" t="s">
        <v>843</v>
      </c>
      <c r="H134" s="210" t="s">
        <v>844</v>
      </c>
      <c r="I134" s="210" t="s">
        <v>845</v>
      </c>
      <c r="J134" s="210" t="s">
        <v>846</v>
      </c>
      <c r="K134" s="210" t="s">
        <v>847</v>
      </c>
      <c r="L134" s="210" t="s">
        <v>848</v>
      </c>
      <c r="M134" s="209" t="s">
        <v>849</v>
      </c>
      <c r="N134" s="210" t="s">
        <v>850</v>
      </c>
      <c r="O134" s="210" t="s">
        <v>8055</v>
      </c>
      <c r="P134" s="210" t="s">
        <v>8168</v>
      </c>
      <c r="Q134" s="210" t="s">
        <v>8571</v>
      </c>
      <c r="R134" s="210" t="s">
        <v>8755</v>
      </c>
      <c r="S134" s="210" t="s">
        <v>8892</v>
      </c>
      <c r="AM134" s="2">
        <v>0</v>
      </c>
      <c r="AN134" s="2">
        <v>0</v>
      </c>
      <c r="AO134" s="2" t="b">
        <v>0</v>
      </c>
      <c r="AP134" s="2" t="b">
        <v>0</v>
      </c>
    </row>
    <row r="135" spans="2:42" hidden="1" outlineLevel="1">
      <c r="B135" s="2" t="s">
        <v>853</v>
      </c>
      <c r="C135" s="138" t="s">
        <v>8988</v>
      </c>
      <c r="D135" s="114" t="s">
        <v>8989</v>
      </c>
      <c r="E135" s="114">
        <v>0.8</v>
      </c>
      <c r="G135" s="210" t="s">
        <v>843</v>
      </c>
      <c r="H135" s="210" t="s">
        <v>844</v>
      </c>
      <c r="I135" s="210" t="s">
        <v>845</v>
      </c>
      <c r="J135" s="210" t="s">
        <v>846</v>
      </c>
      <c r="K135" s="210" t="s">
        <v>847</v>
      </c>
      <c r="L135" s="210" t="s">
        <v>848</v>
      </c>
      <c r="M135" s="209" t="s">
        <v>849</v>
      </c>
      <c r="N135" s="210" t="s">
        <v>850</v>
      </c>
      <c r="O135" s="210" t="s">
        <v>8055</v>
      </c>
      <c r="P135" s="210" t="s">
        <v>8168</v>
      </c>
      <c r="Q135" s="210" t="s">
        <v>8571</v>
      </c>
      <c r="R135" s="210" t="s">
        <v>8755</v>
      </c>
      <c r="S135" s="210" t="s">
        <v>8892</v>
      </c>
      <c r="AM135" s="2">
        <v>0</v>
      </c>
      <c r="AN135" s="2">
        <v>0</v>
      </c>
      <c r="AO135" s="2" t="b">
        <v>0</v>
      </c>
      <c r="AP135" s="2" t="b">
        <v>0</v>
      </c>
    </row>
    <row r="136" spans="2:42" hidden="1" outlineLevel="1">
      <c r="B136" s="2" t="s">
        <v>860</v>
      </c>
      <c r="I136" s="2">
        <v>8425.56</v>
      </c>
      <c r="J136" s="2">
        <v>1280466.5796829299</v>
      </c>
      <c r="AN136" s="2">
        <v>0</v>
      </c>
      <c r="AP136" s="2" t="b">
        <v>0</v>
      </c>
    </row>
    <row r="137" spans="2:42" collapsed="1">
      <c r="B137" s="2" t="s">
        <v>833</v>
      </c>
      <c r="C137" s="208" t="s">
        <v>1013</v>
      </c>
      <c r="D137" s="209" t="s">
        <v>843</v>
      </c>
      <c r="E137" s="209" t="s">
        <v>844</v>
      </c>
      <c r="F137" s="209" t="s">
        <v>845</v>
      </c>
      <c r="G137" s="210" t="s">
        <v>846</v>
      </c>
      <c r="H137" s="209" t="s">
        <v>847</v>
      </c>
      <c r="I137" s="210" t="s">
        <v>848</v>
      </c>
      <c r="J137" s="209" t="s">
        <v>849</v>
      </c>
      <c r="K137" s="209" t="s">
        <v>850</v>
      </c>
      <c r="L137" s="210" t="s">
        <v>8055</v>
      </c>
      <c r="M137" s="209" t="s">
        <v>8168</v>
      </c>
      <c r="N137" s="210" t="s">
        <v>8571</v>
      </c>
      <c r="O137" s="210" t="s">
        <v>8755</v>
      </c>
      <c r="P137" s="210" t="s">
        <v>8892</v>
      </c>
      <c r="AM137" s="2">
        <v>858.16</v>
      </c>
      <c r="AN137" s="2">
        <v>745134.63808796799</v>
      </c>
      <c r="AO137" s="2" t="b">
        <v>1</v>
      </c>
      <c r="AP137" s="2" t="b">
        <v>1</v>
      </c>
    </row>
    <row r="138" spans="2:42" hidden="1" outlineLevel="1">
      <c r="B138" s="2" t="s">
        <v>833</v>
      </c>
      <c r="C138" s="145" t="s">
        <v>834</v>
      </c>
      <c r="D138" s="145" t="s">
        <v>835</v>
      </c>
      <c r="E138" s="207" t="s">
        <v>836</v>
      </c>
    </row>
    <row r="139" spans="2:42" hidden="1" outlineLevel="1">
      <c r="B139" s="2" t="s">
        <v>837</v>
      </c>
      <c r="C139" s="138" t="s">
        <v>1014</v>
      </c>
      <c r="D139" s="114" t="s">
        <v>1015</v>
      </c>
      <c r="E139" s="265" t="s">
        <v>8991</v>
      </c>
      <c r="H139" s="223"/>
      <c r="AC139" s="2">
        <f t="shared" ref="AC139:AH139" si="0">AC142-3</f>
        <v>22</v>
      </c>
      <c r="AD139" s="2">
        <f t="shared" si="0"/>
        <v>23</v>
      </c>
      <c r="AE139" s="2">
        <f t="shared" si="0"/>
        <v>24</v>
      </c>
      <c r="AF139" s="2">
        <f t="shared" si="0"/>
        <v>25</v>
      </c>
      <c r="AG139" s="2">
        <f t="shared" si="0"/>
        <v>26</v>
      </c>
      <c r="AH139" s="2">
        <f t="shared" si="0"/>
        <v>27</v>
      </c>
    </row>
    <row r="140" spans="2:42" hidden="1" outlineLevel="1">
      <c r="B140" s="2" t="s">
        <v>837</v>
      </c>
      <c r="C140" s="138" t="s">
        <v>8699</v>
      </c>
      <c r="D140" s="112" t="s">
        <v>8697</v>
      </c>
      <c r="E140" s="112">
        <v>3000000</v>
      </c>
      <c r="G140" s="210" t="s">
        <v>843</v>
      </c>
      <c r="H140" s="210" t="s">
        <v>844</v>
      </c>
      <c r="I140" s="210" t="s">
        <v>845</v>
      </c>
      <c r="J140" s="210" t="s">
        <v>846</v>
      </c>
      <c r="K140" s="210" t="s">
        <v>847</v>
      </c>
      <c r="L140" s="210" t="s">
        <v>848</v>
      </c>
      <c r="M140" s="209" t="s">
        <v>849</v>
      </c>
      <c r="N140" s="210" t="s">
        <v>850</v>
      </c>
      <c r="O140" s="210" t="s">
        <v>8055</v>
      </c>
      <c r="P140" s="210" t="s">
        <v>8168</v>
      </c>
      <c r="Q140" s="210" t="s">
        <v>8571</v>
      </c>
      <c r="R140" s="210" t="s">
        <v>8755</v>
      </c>
      <c r="AM140" s="2">
        <v>0</v>
      </c>
      <c r="AN140" s="2">
        <v>0</v>
      </c>
      <c r="AO140" s="2" t="b">
        <v>0</v>
      </c>
      <c r="AP140" s="2" t="b">
        <v>0</v>
      </c>
    </row>
    <row r="141" spans="2:42" hidden="1" outlineLevel="1">
      <c r="B141" s="2" t="s">
        <v>837</v>
      </c>
      <c r="C141" s="138" t="s">
        <v>8700</v>
      </c>
      <c r="D141" s="114" t="s">
        <v>8698</v>
      </c>
      <c r="E141" s="114">
        <v>750000</v>
      </c>
      <c r="G141" s="210" t="s">
        <v>843</v>
      </c>
      <c r="H141" s="210" t="s">
        <v>844</v>
      </c>
      <c r="I141" s="210" t="s">
        <v>845</v>
      </c>
      <c r="J141" s="210" t="s">
        <v>846</v>
      </c>
      <c r="K141" s="210" t="s">
        <v>847</v>
      </c>
      <c r="L141" s="210" t="s">
        <v>848</v>
      </c>
      <c r="M141" s="209" t="s">
        <v>849</v>
      </c>
      <c r="N141" s="210" t="s">
        <v>850</v>
      </c>
      <c r="O141" s="210" t="s">
        <v>8055</v>
      </c>
      <c r="P141" s="210" t="s">
        <v>8168</v>
      </c>
      <c r="Q141" s="210" t="s">
        <v>8571</v>
      </c>
      <c r="R141" s="210" t="s">
        <v>8755</v>
      </c>
      <c r="AM141" s="2">
        <v>0</v>
      </c>
      <c r="AN141" s="2">
        <v>0</v>
      </c>
      <c r="AO141" s="2" t="b">
        <v>0</v>
      </c>
      <c r="AP141" s="2" t="b">
        <v>1</v>
      </c>
    </row>
    <row r="142" spans="2:42" hidden="1" outlineLevel="1">
      <c r="B142" s="2" t="s">
        <v>833</v>
      </c>
      <c r="C142" s="206"/>
      <c r="D142" s="206"/>
      <c r="E142" s="206">
        <v>1</v>
      </c>
      <c r="F142" s="206">
        <v>2</v>
      </c>
      <c r="G142" s="206">
        <v>3</v>
      </c>
      <c r="H142" s="206">
        <v>4</v>
      </c>
      <c r="I142" s="206">
        <v>5</v>
      </c>
      <c r="J142" s="206">
        <v>6</v>
      </c>
      <c r="K142" s="206">
        <v>7</v>
      </c>
      <c r="L142" s="206">
        <v>8</v>
      </c>
      <c r="M142" s="206">
        <v>9</v>
      </c>
      <c r="N142" s="206">
        <v>10</v>
      </c>
      <c r="O142" s="206">
        <v>11</v>
      </c>
      <c r="P142" s="206">
        <v>12</v>
      </c>
      <c r="Q142" s="206">
        <v>13</v>
      </c>
      <c r="R142" s="206">
        <v>14</v>
      </c>
      <c r="S142" s="206">
        <v>15</v>
      </c>
      <c r="T142" s="206">
        <v>16</v>
      </c>
      <c r="U142" s="206">
        <v>17</v>
      </c>
      <c r="V142" s="206">
        <v>18</v>
      </c>
      <c r="W142" s="206">
        <v>19</v>
      </c>
      <c r="X142" s="206">
        <v>20</v>
      </c>
      <c r="Y142" s="206">
        <v>21</v>
      </c>
      <c r="Z142" s="206">
        <v>22</v>
      </c>
      <c r="AA142" s="206">
        <v>23</v>
      </c>
      <c r="AB142" s="206">
        <v>24</v>
      </c>
      <c r="AC142" s="206">
        <v>25</v>
      </c>
      <c r="AD142" s="206">
        <v>26</v>
      </c>
      <c r="AE142" s="206">
        <v>27</v>
      </c>
      <c r="AF142" s="206">
        <v>28</v>
      </c>
      <c r="AG142" s="206">
        <v>29</v>
      </c>
      <c r="AH142" s="206">
        <v>30</v>
      </c>
      <c r="AN142" s="2">
        <v>1022513.2238757299</v>
      </c>
      <c r="AP142" s="2" t="b">
        <v>1</v>
      </c>
    </row>
    <row r="143" spans="2:42" ht="15" hidden="1" customHeight="1" outlineLevel="1" collapsed="1">
      <c r="B143" s="2" t="s">
        <v>870</v>
      </c>
      <c r="D143" s="102" t="s">
        <v>1016</v>
      </c>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4"/>
      <c r="AH143" s="104"/>
    </row>
    <row r="144" spans="2:42" ht="15" hidden="1" customHeight="1" outlineLevel="2">
      <c r="B144" s="2" t="s">
        <v>833</v>
      </c>
      <c r="C144" s="206"/>
      <c r="D144" s="209" t="s">
        <v>843</v>
      </c>
      <c r="E144" s="210" t="s">
        <v>844</v>
      </c>
      <c r="F144" s="209" t="s">
        <v>845</v>
      </c>
      <c r="G144" s="210" t="s">
        <v>846</v>
      </c>
      <c r="H144" s="209" t="s">
        <v>847</v>
      </c>
      <c r="I144" s="210" t="s">
        <v>848</v>
      </c>
      <c r="J144" s="209" t="s">
        <v>849</v>
      </c>
      <c r="K144" s="209" t="s">
        <v>850</v>
      </c>
      <c r="L144" s="210" t="s">
        <v>8055</v>
      </c>
      <c r="M144" s="209" t="s">
        <v>8168</v>
      </c>
      <c r="N144" s="210" t="s">
        <v>8571</v>
      </c>
      <c r="O144" s="210" t="s">
        <v>8755</v>
      </c>
      <c r="P144" s="210" t="s">
        <v>8892</v>
      </c>
      <c r="Q144" s="210"/>
      <c r="R144" s="210"/>
      <c r="S144" s="210"/>
      <c r="T144" s="210"/>
      <c r="U144" s="210"/>
      <c r="V144" s="210"/>
      <c r="W144" s="210"/>
      <c r="X144" s="210"/>
      <c r="Y144" s="210"/>
      <c r="Z144" s="210"/>
      <c r="AA144" s="210"/>
      <c r="AB144" s="210"/>
      <c r="AC144" s="210"/>
      <c r="AD144" s="210"/>
      <c r="AE144" s="210"/>
      <c r="AF144" s="210"/>
      <c r="AG144" s="210"/>
      <c r="AH144" s="210"/>
    </row>
    <row r="145" spans="2:42" ht="15" hidden="1" customHeight="1" outlineLevel="2">
      <c r="B145" s="2" t="s">
        <v>833</v>
      </c>
      <c r="C145" s="124"/>
      <c r="D145" s="145" t="s">
        <v>1017</v>
      </c>
      <c r="E145" s="145" t="s">
        <v>254</v>
      </c>
      <c r="F145" s="145" t="s">
        <v>1018</v>
      </c>
      <c r="G145" s="145" t="s">
        <v>1019</v>
      </c>
      <c r="H145" s="145" t="s">
        <v>1020</v>
      </c>
      <c r="I145" s="145" t="s">
        <v>819</v>
      </c>
      <c r="J145" s="145" t="s">
        <v>1021</v>
      </c>
      <c r="K145" s="145" t="s">
        <v>1022</v>
      </c>
      <c r="L145" s="145" t="s">
        <v>1023</v>
      </c>
      <c r="M145" s="224" t="s">
        <v>1024</v>
      </c>
      <c r="N145" s="145" t="s">
        <v>7948</v>
      </c>
      <c r="O145" s="145" t="s">
        <v>8825</v>
      </c>
      <c r="P145" s="145" t="s">
        <v>1025</v>
      </c>
      <c r="Q145" s="225" t="s">
        <v>492</v>
      </c>
      <c r="R145" s="224" t="s">
        <v>1026</v>
      </c>
      <c r="S145" s="145" t="s">
        <v>1027</v>
      </c>
      <c r="T145" s="226" t="s">
        <v>1028</v>
      </c>
      <c r="U145" s="227" t="s">
        <v>1029</v>
      </c>
      <c r="V145" s="227" t="s">
        <v>1030</v>
      </c>
      <c r="W145" s="227" t="s">
        <v>1031</v>
      </c>
      <c r="X145" s="227" t="s">
        <v>1032</v>
      </c>
      <c r="Y145" s="227" t="s">
        <v>1033</v>
      </c>
      <c r="Z145" s="227" t="s">
        <v>8696</v>
      </c>
      <c r="AA145" s="227" t="s">
        <v>8415</v>
      </c>
      <c r="AB145" s="227" t="s">
        <v>8416</v>
      </c>
      <c r="AC145" s="227" t="s">
        <v>1034</v>
      </c>
      <c r="AD145" s="227" t="s">
        <v>7947</v>
      </c>
      <c r="AE145" s="227" t="s">
        <v>7947</v>
      </c>
      <c r="AF145" s="227" t="s">
        <v>7946</v>
      </c>
      <c r="AG145" s="227" t="s">
        <v>1035</v>
      </c>
      <c r="AH145" s="227" t="s">
        <v>1036</v>
      </c>
    </row>
    <row r="146" spans="2:42" ht="15" hidden="1" customHeight="1" outlineLevel="2">
      <c r="B146" s="2" t="s">
        <v>874</v>
      </c>
      <c r="C146" s="124" t="s">
        <v>305</v>
      </c>
      <c r="D146" s="138" t="s">
        <v>1037</v>
      </c>
      <c r="E146" s="138" t="s">
        <v>1038</v>
      </c>
      <c r="F146" s="138" t="s">
        <v>831</v>
      </c>
      <c r="G146" s="138" t="s">
        <v>1039</v>
      </c>
      <c r="H146" s="138" t="s">
        <v>1040</v>
      </c>
      <c r="I146" s="138" t="s">
        <v>1041</v>
      </c>
      <c r="J146" s="138" t="s">
        <v>1042</v>
      </c>
      <c r="K146" s="138" t="s">
        <v>1043</v>
      </c>
      <c r="L146" s="138" t="s">
        <v>1044</v>
      </c>
      <c r="M146" s="228" t="s">
        <v>1045</v>
      </c>
      <c r="N146" s="138" t="s">
        <v>831</v>
      </c>
      <c r="O146" s="138" t="s">
        <v>8826</v>
      </c>
      <c r="P146" s="138" t="s">
        <v>1046</v>
      </c>
      <c r="Q146" s="218" t="s">
        <v>1047</v>
      </c>
      <c r="R146" s="228" t="s">
        <v>1048</v>
      </c>
      <c r="S146" s="138" t="s">
        <v>1049</v>
      </c>
      <c r="T146" s="138" t="s">
        <v>1050</v>
      </c>
      <c r="U146" s="138" t="s">
        <v>1051</v>
      </c>
      <c r="V146" s="138" t="s">
        <v>1052</v>
      </c>
      <c r="W146" s="138" t="s">
        <v>1053</v>
      </c>
      <c r="X146" s="138" t="s">
        <v>1054</v>
      </c>
      <c r="Y146" s="138" t="s">
        <v>1055</v>
      </c>
      <c r="Z146" s="138" t="s">
        <v>8241</v>
      </c>
      <c r="AA146" s="138" t="s">
        <v>8410</v>
      </c>
      <c r="AB146" s="138" t="s">
        <v>8411</v>
      </c>
      <c r="AC146" s="138" t="s">
        <v>1056</v>
      </c>
      <c r="AD146" s="138" t="s">
        <v>7928</v>
      </c>
      <c r="AE146" s="138" t="s">
        <v>7945</v>
      </c>
      <c r="AF146" s="138" t="s">
        <v>1057</v>
      </c>
      <c r="AG146" s="138" t="s">
        <v>1058</v>
      </c>
      <c r="AH146" s="138" t="s">
        <v>293</v>
      </c>
    </row>
    <row r="147" spans="2:42" ht="15" hidden="1" customHeight="1" outlineLevel="2">
      <c r="B147" s="2" t="s">
        <v>876</v>
      </c>
      <c r="C147" s="2">
        <v>1</v>
      </c>
      <c r="D147" s="112"/>
      <c r="E147" s="147"/>
      <c r="F147" s="147"/>
      <c r="G147" s="147"/>
      <c r="H147" s="112"/>
      <c r="I147" s="112"/>
      <c r="J147" s="112"/>
      <c r="K147" s="112" t="b">
        <v>1</v>
      </c>
      <c r="L147" s="112"/>
      <c r="M147" s="112"/>
      <c r="N147" s="112"/>
      <c r="O147" s="112"/>
      <c r="P147" s="112"/>
      <c r="Q147" s="114" t="s">
        <v>1062</v>
      </c>
      <c r="R147" s="114" t="s">
        <v>490</v>
      </c>
      <c r="S147" s="112"/>
      <c r="T147" s="112"/>
      <c r="U147" s="147">
        <v>0</v>
      </c>
      <c r="V147" s="147"/>
      <c r="W147" s="112">
        <v>0</v>
      </c>
      <c r="X147" s="229">
        <v>0</v>
      </c>
      <c r="Y147" s="229" t="b">
        <v>0</v>
      </c>
      <c r="Z147" s="147"/>
      <c r="AA147" s="112">
        <v>0</v>
      </c>
      <c r="AB147" s="229">
        <v>0</v>
      </c>
      <c r="AC147" s="229"/>
      <c r="AD147" s="229"/>
      <c r="AE147" s="229"/>
      <c r="AF147" s="229"/>
      <c r="AG147" s="229"/>
      <c r="AH147" s="229"/>
    </row>
    <row r="148" spans="2:42" ht="15" hidden="1" customHeight="1" outlineLevel="2" thickBot="1">
      <c r="B148" s="2" t="s">
        <v>876</v>
      </c>
      <c r="C148" s="2">
        <v>2</v>
      </c>
      <c r="D148" s="119" t="s">
        <v>8677</v>
      </c>
      <c r="E148" s="451"/>
      <c r="F148" s="451"/>
      <c r="G148" s="451"/>
      <c r="H148" s="119"/>
      <c r="I148" s="119" t="b">
        <v>1</v>
      </c>
      <c r="J148" s="119"/>
      <c r="K148" s="119"/>
      <c r="L148" s="119"/>
      <c r="M148" s="119"/>
      <c r="N148" s="119"/>
      <c r="O148" s="119" t="b">
        <v>0</v>
      </c>
      <c r="P148" s="119"/>
      <c r="Q148" s="452"/>
      <c r="R148" s="452"/>
      <c r="S148" s="119"/>
      <c r="T148" s="119"/>
      <c r="U148" s="451">
        <v>70</v>
      </c>
      <c r="V148" s="451"/>
      <c r="W148" s="119">
        <v>70</v>
      </c>
      <c r="X148" s="452">
        <v>70</v>
      </c>
      <c r="Y148" s="452" t="b">
        <v>0</v>
      </c>
      <c r="Z148" s="451"/>
      <c r="AA148" s="119">
        <v>70</v>
      </c>
      <c r="AB148" s="452">
        <v>70</v>
      </c>
      <c r="AC148" s="452"/>
      <c r="AD148" s="452"/>
      <c r="AE148" s="452"/>
      <c r="AF148" s="452"/>
      <c r="AG148" s="452"/>
      <c r="AH148" s="452" t="s">
        <v>1059</v>
      </c>
    </row>
    <row r="149" spans="2:42" ht="15" hidden="1" customHeight="1" outlineLevel="2">
      <c r="B149" s="2" t="s">
        <v>876</v>
      </c>
      <c r="C149" s="2">
        <v>3</v>
      </c>
      <c r="D149" s="121" t="s">
        <v>8678</v>
      </c>
      <c r="E149" s="121"/>
      <c r="F149" s="121"/>
      <c r="G149" s="121"/>
      <c r="H149" s="121" t="s">
        <v>1060</v>
      </c>
      <c r="I149" s="121"/>
      <c r="J149" s="121"/>
      <c r="K149" s="121"/>
      <c r="L149" s="121"/>
      <c r="M149" s="121"/>
      <c r="N149" s="121"/>
      <c r="O149" s="121" t="b">
        <v>0</v>
      </c>
      <c r="P149" s="121"/>
      <c r="Q149" s="121"/>
      <c r="R149" s="121"/>
      <c r="S149" s="121"/>
      <c r="T149" s="121"/>
      <c r="U149" s="121">
        <v>70</v>
      </c>
      <c r="V149" s="121"/>
      <c r="W149" s="121">
        <v>70</v>
      </c>
      <c r="X149" s="121">
        <v>70</v>
      </c>
      <c r="Y149" s="121" t="b">
        <v>0</v>
      </c>
      <c r="Z149" s="121"/>
      <c r="AA149" s="121">
        <v>70</v>
      </c>
      <c r="AB149" s="121">
        <v>70</v>
      </c>
      <c r="AC149" s="121"/>
      <c r="AD149" s="121"/>
      <c r="AE149" s="121"/>
      <c r="AF149" s="121"/>
      <c r="AG149" s="121"/>
      <c r="AH149" s="121"/>
    </row>
    <row r="150" spans="2:42" ht="15" hidden="1" customHeight="1" outlineLevel="2">
      <c r="B150" s="2" t="s">
        <v>876</v>
      </c>
      <c r="C150" s="2">
        <v>4</v>
      </c>
      <c r="D150" s="112" t="s">
        <v>1061</v>
      </c>
      <c r="E150" s="147"/>
      <c r="F150" s="147"/>
      <c r="G150" s="147">
        <v>4000000</v>
      </c>
      <c r="H150" s="112" t="s">
        <v>1060</v>
      </c>
      <c r="I150" s="112"/>
      <c r="J150" s="112"/>
      <c r="K150" s="112"/>
      <c r="L150" s="112"/>
      <c r="M150" s="112"/>
      <c r="N150" s="112"/>
      <c r="O150" s="112" t="b">
        <v>0</v>
      </c>
      <c r="P150" s="112"/>
      <c r="Q150" s="229"/>
      <c r="R150" s="229"/>
      <c r="S150" s="112"/>
      <c r="T150" s="112"/>
      <c r="U150" s="147">
        <v>80</v>
      </c>
      <c r="V150" s="147"/>
      <c r="W150" s="112">
        <v>80</v>
      </c>
      <c r="X150" s="229">
        <v>80</v>
      </c>
      <c r="Y150" s="229" t="b">
        <v>0</v>
      </c>
      <c r="Z150" s="147"/>
      <c r="AA150" s="112">
        <v>80</v>
      </c>
      <c r="AB150" s="229">
        <v>80</v>
      </c>
      <c r="AC150" s="229"/>
      <c r="AD150" s="229"/>
      <c r="AE150" s="229"/>
      <c r="AF150" s="229"/>
      <c r="AG150" s="229"/>
      <c r="AH150" s="229"/>
    </row>
    <row r="151" spans="2:42" ht="15" hidden="1" customHeight="1" outlineLevel="2" thickBot="1">
      <c r="B151" s="2" t="s">
        <v>876</v>
      </c>
      <c r="C151" s="2">
        <v>5</v>
      </c>
      <c r="D151" s="128" t="s">
        <v>1084</v>
      </c>
      <c r="E151" s="495" t="s">
        <v>1085</v>
      </c>
      <c r="F151" s="495"/>
      <c r="G151" s="495">
        <v>4000000</v>
      </c>
      <c r="H151" s="128" t="s">
        <v>1060</v>
      </c>
      <c r="I151" s="128"/>
      <c r="J151" s="128"/>
      <c r="K151" s="128"/>
      <c r="L151" s="128"/>
      <c r="M151" s="128"/>
      <c r="N151" s="128"/>
      <c r="O151" s="128" t="b">
        <v>0</v>
      </c>
      <c r="P151" s="128"/>
      <c r="Q151" s="496"/>
      <c r="R151" s="496"/>
      <c r="S151" s="128"/>
      <c r="T151" s="128"/>
      <c r="U151" s="495">
        <v>80</v>
      </c>
      <c r="V151" s="495"/>
      <c r="W151" s="128">
        <v>80</v>
      </c>
      <c r="X151" s="496">
        <v>80</v>
      </c>
      <c r="Y151" s="496" t="b">
        <v>0</v>
      </c>
      <c r="Z151" s="495"/>
      <c r="AA151" s="128">
        <v>80</v>
      </c>
      <c r="AB151" s="496">
        <v>80</v>
      </c>
      <c r="AC151" s="496"/>
      <c r="AD151" s="496"/>
      <c r="AE151" s="496"/>
      <c r="AF151" s="496"/>
      <c r="AG151" s="496"/>
      <c r="AH151" s="496"/>
    </row>
    <row r="152" spans="2:42" ht="15" hidden="1" customHeight="1" outlineLevel="2">
      <c r="B152" s="2" t="s">
        <v>876</v>
      </c>
      <c r="C152" s="2">
        <v>6</v>
      </c>
      <c r="D152" s="574" t="s">
        <v>8678</v>
      </c>
      <c r="E152" s="575"/>
      <c r="F152" s="575"/>
      <c r="G152" s="575"/>
      <c r="H152" s="576"/>
      <c r="I152" s="576"/>
      <c r="J152" s="576"/>
      <c r="K152" s="576"/>
      <c r="L152" s="576"/>
      <c r="M152" s="576"/>
      <c r="N152" s="576"/>
      <c r="O152" s="576" t="b">
        <v>0</v>
      </c>
      <c r="P152" s="576"/>
      <c r="Q152" s="577" t="s">
        <v>1062</v>
      </c>
      <c r="R152" s="577" t="s">
        <v>490</v>
      </c>
      <c r="S152" s="576"/>
      <c r="T152" s="576"/>
      <c r="U152" s="575">
        <v>70</v>
      </c>
      <c r="V152" s="575"/>
      <c r="W152" s="576">
        <v>70</v>
      </c>
      <c r="X152" s="577">
        <v>70</v>
      </c>
      <c r="Y152" s="577" t="b">
        <v>0</v>
      </c>
      <c r="Z152" s="575"/>
      <c r="AA152" s="576">
        <v>70</v>
      </c>
      <c r="AB152" s="577">
        <v>70</v>
      </c>
      <c r="AC152" s="577"/>
      <c r="AD152" s="577"/>
      <c r="AE152" s="577"/>
      <c r="AF152" s="577"/>
      <c r="AG152" s="577"/>
      <c r="AH152" s="578"/>
      <c r="AM152" s="2">
        <v>2301.25</v>
      </c>
      <c r="AN152" s="2">
        <v>1017027.18954611</v>
      </c>
      <c r="AO152" s="2" t="b">
        <v>0</v>
      </c>
    </row>
    <row r="153" spans="2:42" ht="15" hidden="1" customHeight="1" outlineLevel="2">
      <c r="B153" s="2" t="s">
        <v>876</v>
      </c>
      <c r="C153" s="2">
        <v>7</v>
      </c>
      <c r="D153" s="114" t="s">
        <v>1061</v>
      </c>
      <c r="E153" s="114"/>
      <c r="F153" s="114"/>
      <c r="G153" s="114">
        <v>4000000</v>
      </c>
      <c r="H153" s="114"/>
      <c r="I153" s="114"/>
      <c r="J153" s="114"/>
      <c r="K153" s="114"/>
      <c r="L153" s="114"/>
      <c r="M153" s="114"/>
      <c r="N153" s="114"/>
      <c r="O153" s="114" t="b">
        <v>0</v>
      </c>
      <c r="P153" s="114"/>
      <c r="Q153" s="114" t="s">
        <v>1062</v>
      </c>
      <c r="R153" s="114" t="s">
        <v>490</v>
      </c>
      <c r="S153" s="114"/>
      <c r="T153" s="114"/>
      <c r="U153" s="114">
        <v>80</v>
      </c>
      <c r="V153" s="114"/>
      <c r="W153" s="114">
        <v>80</v>
      </c>
      <c r="X153" s="114">
        <v>80</v>
      </c>
      <c r="Y153" s="114" t="b">
        <v>0</v>
      </c>
      <c r="Z153" s="114"/>
      <c r="AA153" s="114">
        <v>80</v>
      </c>
      <c r="AB153" s="114">
        <v>80</v>
      </c>
      <c r="AC153" s="114"/>
      <c r="AD153" s="114"/>
      <c r="AE153" s="114"/>
      <c r="AF153" s="114"/>
      <c r="AG153" s="114"/>
      <c r="AH153" s="114"/>
      <c r="AM153" s="2">
        <v>2301.25</v>
      </c>
      <c r="AN153" s="2">
        <v>1017027.18954611</v>
      </c>
      <c r="AO153" s="2" t="b">
        <v>0</v>
      </c>
    </row>
    <row r="154" spans="2:42" ht="15" hidden="1" customHeight="1" outlineLevel="2" thickBot="1">
      <c r="B154" s="2" t="s">
        <v>876</v>
      </c>
      <c r="C154" s="2">
        <v>8</v>
      </c>
      <c r="D154" s="455" t="s">
        <v>1084</v>
      </c>
      <c r="E154" s="454" t="s">
        <v>1085</v>
      </c>
      <c r="F154" s="466"/>
      <c r="G154" s="466">
        <v>4000000</v>
      </c>
      <c r="H154" s="466"/>
      <c r="I154" s="466"/>
      <c r="J154" s="466"/>
      <c r="K154" s="466"/>
      <c r="L154" s="466"/>
      <c r="M154" s="466"/>
      <c r="N154" s="466"/>
      <c r="O154" s="466" t="b">
        <v>0</v>
      </c>
      <c r="P154" s="466"/>
      <c r="Q154" s="466" t="s">
        <v>1062</v>
      </c>
      <c r="R154" s="466" t="s">
        <v>490</v>
      </c>
      <c r="S154" s="466"/>
      <c r="T154" s="466"/>
      <c r="U154" s="466">
        <v>80</v>
      </c>
      <c r="V154" s="466"/>
      <c r="W154" s="466">
        <v>80</v>
      </c>
      <c r="X154" s="466">
        <v>80</v>
      </c>
      <c r="Y154" s="466" t="b">
        <v>0</v>
      </c>
      <c r="Z154" s="466"/>
      <c r="AA154" s="466">
        <v>80</v>
      </c>
      <c r="AB154" s="466">
        <v>80</v>
      </c>
      <c r="AC154" s="466"/>
      <c r="AD154" s="466"/>
      <c r="AE154" s="466"/>
      <c r="AF154" s="466"/>
      <c r="AG154" s="466"/>
      <c r="AH154" s="466"/>
      <c r="AM154" s="2">
        <v>2301.25</v>
      </c>
      <c r="AN154" s="2">
        <v>1017027.18954611</v>
      </c>
      <c r="AO154" s="2" t="b">
        <v>0</v>
      </c>
    </row>
    <row r="155" spans="2:42" ht="15" hidden="1" customHeight="1" outlineLevel="2">
      <c r="B155" s="2" t="s">
        <v>876</v>
      </c>
      <c r="C155" s="2">
        <v>9</v>
      </c>
      <c r="D155" s="579" t="s">
        <v>8678</v>
      </c>
      <c r="E155" s="580"/>
      <c r="F155" s="580"/>
      <c r="G155" s="580"/>
      <c r="H155" s="580"/>
      <c r="I155" s="580"/>
      <c r="J155" s="580"/>
      <c r="K155" s="580"/>
      <c r="L155" s="580"/>
      <c r="M155" s="580"/>
      <c r="N155" s="580"/>
      <c r="O155" s="580" t="b">
        <v>0</v>
      </c>
      <c r="P155" s="580" t="b">
        <v>0</v>
      </c>
      <c r="Q155" s="580" t="s">
        <v>1063</v>
      </c>
      <c r="R155" s="580" t="s">
        <v>493</v>
      </c>
      <c r="S155" s="580"/>
      <c r="T155" s="580"/>
      <c r="U155" s="580">
        <v>70</v>
      </c>
      <c r="V155" s="580"/>
      <c r="W155" s="580">
        <v>70</v>
      </c>
      <c r="X155" s="580">
        <v>70</v>
      </c>
      <c r="Y155" s="580" t="b">
        <v>0</v>
      </c>
      <c r="Z155" s="580"/>
      <c r="AA155" s="580">
        <v>70</v>
      </c>
      <c r="AB155" s="580">
        <v>70</v>
      </c>
      <c r="AC155" s="580"/>
      <c r="AD155" s="580"/>
      <c r="AE155" s="580"/>
      <c r="AF155" s="580"/>
      <c r="AG155" s="580"/>
      <c r="AH155" s="581"/>
      <c r="AN155" s="2">
        <v>0</v>
      </c>
      <c r="AP155" s="2" t="b">
        <v>1</v>
      </c>
    </row>
    <row r="156" spans="2:42" ht="15" hidden="1" customHeight="1" outlineLevel="2">
      <c r="B156" s="2" t="s">
        <v>876</v>
      </c>
      <c r="C156" s="2">
        <v>10</v>
      </c>
      <c r="D156" s="546" t="s">
        <v>1061</v>
      </c>
      <c r="E156" s="549"/>
      <c r="F156" s="549"/>
      <c r="G156" s="549">
        <v>4000000</v>
      </c>
      <c r="H156" s="546"/>
      <c r="I156" s="546"/>
      <c r="J156" s="546"/>
      <c r="K156" s="546"/>
      <c r="L156" s="546"/>
      <c r="M156" s="546"/>
      <c r="N156" s="546"/>
      <c r="O156" s="546" t="b">
        <v>0</v>
      </c>
      <c r="P156" s="546" t="b">
        <v>0</v>
      </c>
      <c r="Q156" s="550" t="s">
        <v>1063</v>
      </c>
      <c r="R156" s="550" t="s">
        <v>493</v>
      </c>
      <c r="S156" s="546"/>
      <c r="T156" s="546"/>
      <c r="U156" s="549">
        <v>80</v>
      </c>
      <c r="V156" s="549"/>
      <c r="W156" s="546">
        <v>80</v>
      </c>
      <c r="X156" s="550">
        <v>80</v>
      </c>
      <c r="Y156" s="550" t="b">
        <v>0</v>
      </c>
      <c r="Z156" s="549"/>
      <c r="AA156" s="546">
        <v>80</v>
      </c>
      <c r="AB156" s="550">
        <v>80</v>
      </c>
      <c r="AC156" s="550"/>
      <c r="AD156" s="550"/>
      <c r="AE156" s="550"/>
      <c r="AF156" s="550"/>
      <c r="AG156" s="550"/>
      <c r="AH156" s="550"/>
      <c r="AM156" s="2">
        <v>2301.25</v>
      </c>
      <c r="AN156" s="2">
        <v>1017027.18954611</v>
      </c>
      <c r="AO156" s="2" t="b">
        <v>0</v>
      </c>
    </row>
    <row r="157" spans="2:42" ht="15" hidden="1" customHeight="1" outlineLevel="2" thickBot="1">
      <c r="B157" s="2" t="s">
        <v>876</v>
      </c>
      <c r="C157" s="2">
        <v>11</v>
      </c>
      <c r="D157" s="555" t="s">
        <v>1084</v>
      </c>
      <c r="E157" s="562" t="s">
        <v>1085</v>
      </c>
      <c r="F157" s="562"/>
      <c r="G157" s="562">
        <v>4000000</v>
      </c>
      <c r="H157" s="555"/>
      <c r="I157" s="555"/>
      <c r="J157" s="555"/>
      <c r="K157" s="555"/>
      <c r="L157" s="555"/>
      <c r="M157" s="555"/>
      <c r="N157" s="555"/>
      <c r="O157" s="555" t="b">
        <v>0</v>
      </c>
      <c r="P157" s="555" t="b">
        <v>0</v>
      </c>
      <c r="Q157" s="563" t="s">
        <v>1063</v>
      </c>
      <c r="R157" s="563" t="s">
        <v>493</v>
      </c>
      <c r="S157" s="555"/>
      <c r="T157" s="555"/>
      <c r="U157" s="562">
        <v>80</v>
      </c>
      <c r="V157" s="562"/>
      <c r="W157" s="555">
        <v>80</v>
      </c>
      <c r="X157" s="563">
        <v>80</v>
      </c>
      <c r="Y157" s="563" t="b">
        <v>0</v>
      </c>
      <c r="Z157" s="562"/>
      <c r="AA157" s="555">
        <v>80</v>
      </c>
      <c r="AB157" s="563">
        <v>80</v>
      </c>
      <c r="AC157" s="563"/>
      <c r="AD157" s="563"/>
      <c r="AE157" s="563"/>
      <c r="AF157" s="563"/>
      <c r="AG157" s="563"/>
      <c r="AH157" s="563"/>
      <c r="AM157" s="2">
        <v>2301.25</v>
      </c>
      <c r="AN157" s="2">
        <v>27790.48</v>
      </c>
      <c r="AO157" s="2" t="b">
        <v>0</v>
      </c>
      <c r="AP157" s="2">
        <v>20000</v>
      </c>
    </row>
    <row r="158" spans="2:42" ht="15" hidden="1" customHeight="1" outlineLevel="2">
      <c r="B158" s="2" t="s">
        <v>876</v>
      </c>
      <c r="C158" s="2">
        <v>12</v>
      </c>
      <c r="D158" s="643" t="s">
        <v>8678</v>
      </c>
      <c r="E158" s="644"/>
      <c r="F158" s="644"/>
      <c r="G158" s="644"/>
      <c r="H158" s="644" t="s">
        <v>1075</v>
      </c>
      <c r="I158" s="644"/>
      <c r="J158" s="644"/>
      <c r="K158" s="644"/>
      <c r="L158" s="644"/>
      <c r="M158" s="644"/>
      <c r="N158" s="644"/>
      <c r="O158" s="644" t="b">
        <v>0</v>
      </c>
      <c r="P158" s="644" t="b">
        <v>1</v>
      </c>
      <c r="Q158" s="644"/>
      <c r="R158" s="644"/>
      <c r="S158" s="644"/>
      <c r="T158" s="644"/>
      <c r="U158" s="644">
        <v>70</v>
      </c>
      <c r="V158" s="644"/>
      <c r="W158" s="644">
        <v>70</v>
      </c>
      <c r="X158" s="644">
        <v>70</v>
      </c>
      <c r="Y158" s="644" t="b">
        <v>0</v>
      </c>
      <c r="Z158" s="644"/>
      <c r="AA158" s="644">
        <v>70</v>
      </c>
      <c r="AB158" s="644">
        <v>70</v>
      </c>
      <c r="AC158" s="644"/>
      <c r="AD158" s="644"/>
      <c r="AE158" s="644"/>
      <c r="AF158" s="644"/>
      <c r="AG158" s="644"/>
      <c r="AH158" s="645"/>
      <c r="AN158" s="2">
        <v>27699.55</v>
      </c>
      <c r="AP158" s="2">
        <v>20000</v>
      </c>
    </row>
    <row r="159" spans="2:42" ht="15" hidden="1" customHeight="1" outlineLevel="2">
      <c r="B159" s="2" t="s">
        <v>876</v>
      </c>
      <c r="C159" s="2">
        <v>13</v>
      </c>
      <c r="D159" s="637" t="s">
        <v>8678</v>
      </c>
      <c r="E159" s="638"/>
      <c r="F159" s="638"/>
      <c r="G159" s="638">
        <v>4000000</v>
      </c>
      <c r="H159" s="637" t="s">
        <v>1075</v>
      </c>
      <c r="I159" s="637"/>
      <c r="J159" s="637"/>
      <c r="K159" s="637"/>
      <c r="L159" s="637"/>
      <c r="M159" s="637"/>
      <c r="N159" s="637"/>
      <c r="O159" s="637" t="b">
        <v>0</v>
      </c>
      <c r="P159" s="637"/>
      <c r="Q159" s="639"/>
      <c r="R159" s="639"/>
      <c r="S159" s="637"/>
      <c r="T159" s="637" t="s">
        <v>8701</v>
      </c>
      <c r="U159" s="638">
        <v>80</v>
      </c>
      <c r="V159" s="638"/>
      <c r="W159" s="637">
        <v>80</v>
      </c>
      <c r="X159" s="639">
        <v>80</v>
      </c>
      <c r="Y159" s="639" t="b">
        <v>0</v>
      </c>
      <c r="Z159" s="638"/>
      <c r="AA159" s="637">
        <v>80</v>
      </c>
      <c r="AB159" s="639">
        <v>80</v>
      </c>
      <c r="AC159" s="639"/>
      <c r="AD159" s="639"/>
      <c r="AE159" s="639"/>
      <c r="AF159" s="639"/>
      <c r="AG159" s="639"/>
      <c r="AH159" s="639"/>
      <c r="AM159" s="2">
        <v>2301.25</v>
      </c>
      <c r="AN159" s="2">
        <v>1017027.18954611</v>
      </c>
      <c r="AO159" s="2" t="b">
        <v>0</v>
      </c>
    </row>
    <row r="160" spans="2:42" ht="15" hidden="1" customHeight="1" outlineLevel="2">
      <c r="B160" s="2" t="s">
        <v>876</v>
      </c>
      <c r="C160" s="2">
        <v>14</v>
      </c>
      <c r="D160" s="634" t="s">
        <v>1077</v>
      </c>
      <c r="E160" s="635"/>
      <c r="F160" s="635"/>
      <c r="G160" s="635">
        <v>4000000</v>
      </c>
      <c r="H160" s="635" t="s">
        <v>1075</v>
      </c>
      <c r="I160" s="635"/>
      <c r="J160" s="635"/>
      <c r="K160" s="635"/>
      <c r="L160" s="635"/>
      <c r="M160" s="635"/>
      <c r="N160" s="635"/>
      <c r="O160" s="635" t="b">
        <v>0</v>
      </c>
      <c r="P160" s="635"/>
      <c r="Q160" s="635"/>
      <c r="R160" s="635"/>
      <c r="S160" s="635"/>
      <c r="T160" s="635"/>
      <c r="U160" s="635">
        <v>80</v>
      </c>
      <c r="V160" s="635"/>
      <c r="W160" s="635">
        <v>80</v>
      </c>
      <c r="X160" s="635">
        <v>80</v>
      </c>
      <c r="Y160" s="635" t="b">
        <v>0</v>
      </c>
      <c r="Z160" s="635"/>
      <c r="AA160" s="635">
        <v>70</v>
      </c>
      <c r="AB160" s="635">
        <v>70</v>
      </c>
      <c r="AC160" s="635"/>
      <c r="AD160" s="635"/>
      <c r="AE160" s="635"/>
      <c r="AF160" s="635"/>
      <c r="AG160" s="635"/>
      <c r="AH160" s="636"/>
    </row>
    <row r="161" spans="2:42" ht="15" hidden="1" customHeight="1" outlineLevel="2">
      <c r="B161" s="2" t="s">
        <v>876</v>
      </c>
      <c r="C161" s="2">
        <v>15</v>
      </c>
      <c r="D161" s="637" t="s">
        <v>1064</v>
      </c>
      <c r="E161" s="638"/>
      <c r="F161" s="638"/>
      <c r="G161" s="638">
        <v>4000000</v>
      </c>
      <c r="H161" s="637" t="s">
        <v>1075</v>
      </c>
      <c r="I161" s="637"/>
      <c r="J161" s="637"/>
      <c r="K161" s="637"/>
      <c r="L161" s="637"/>
      <c r="M161" s="637"/>
      <c r="N161" s="637"/>
      <c r="O161" s="637" t="b">
        <v>0</v>
      </c>
      <c r="P161" s="637" t="b">
        <v>1</v>
      </c>
      <c r="Q161" s="639"/>
      <c r="R161" s="639"/>
      <c r="S161" s="637"/>
      <c r="T161" s="637"/>
      <c r="U161" s="638">
        <v>80</v>
      </c>
      <c r="V161" s="638"/>
      <c r="W161" s="637">
        <v>80</v>
      </c>
      <c r="X161" s="639">
        <v>80</v>
      </c>
      <c r="Y161" s="639" t="b">
        <v>0</v>
      </c>
      <c r="Z161" s="638"/>
      <c r="AA161" s="637">
        <v>80</v>
      </c>
      <c r="AB161" s="639">
        <v>80</v>
      </c>
      <c r="AC161" s="639"/>
      <c r="AD161" s="639"/>
      <c r="AE161" s="639"/>
      <c r="AF161" s="639"/>
      <c r="AG161" s="639"/>
      <c r="AH161" s="639"/>
      <c r="AM161" s="2">
        <v>2301.25</v>
      </c>
      <c r="AN161" s="2">
        <v>1017027.18954611</v>
      </c>
      <c r="AO161" s="2" t="b">
        <v>0</v>
      </c>
    </row>
    <row r="162" spans="2:42" ht="15" hidden="1" customHeight="1" outlineLevel="2">
      <c r="B162" s="2" t="s">
        <v>876</v>
      </c>
      <c r="C162" s="2">
        <v>16</v>
      </c>
      <c r="D162" s="637" t="s">
        <v>1064</v>
      </c>
      <c r="E162" s="638"/>
      <c r="F162" s="638"/>
      <c r="G162" s="638">
        <v>4000000</v>
      </c>
      <c r="H162" s="637" t="s">
        <v>1075</v>
      </c>
      <c r="I162" s="637"/>
      <c r="J162" s="637"/>
      <c r="K162" s="637"/>
      <c r="L162" s="637"/>
      <c r="M162" s="637"/>
      <c r="N162" s="637"/>
      <c r="O162" s="637" t="b">
        <v>0</v>
      </c>
      <c r="P162" s="637"/>
      <c r="Q162" s="639"/>
      <c r="R162" s="639"/>
      <c r="S162" s="637"/>
      <c r="T162" s="637" t="s">
        <v>8701</v>
      </c>
      <c r="U162" s="638">
        <v>80</v>
      </c>
      <c r="V162" s="638"/>
      <c r="W162" s="637">
        <v>80</v>
      </c>
      <c r="X162" s="639">
        <v>80</v>
      </c>
      <c r="Y162" s="639" t="b">
        <v>0</v>
      </c>
      <c r="Z162" s="638"/>
      <c r="AA162" s="637">
        <v>80</v>
      </c>
      <c r="AB162" s="639">
        <v>80</v>
      </c>
      <c r="AC162" s="639"/>
      <c r="AD162" s="639"/>
      <c r="AE162" s="639"/>
      <c r="AF162" s="639"/>
      <c r="AG162" s="639"/>
      <c r="AH162" s="639"/>
      <c r="AM162" s="2">
        <v>2301.25</v>
      </c>
      <c r="AN162" s="2">
        <v>1017027.18954611</v>
      </c>
      <c r="AO162" s="2" t="b">
        <v>0</v>
      </c>
    </row>
    <row r="163" spans="2:42" ht="15" hidden="1" customHeight="1" outlineLevel="2">
      <c r="B163" s="2" t="s">
        <v>876</v>
      </c>
      <c r="C163" s="2">
        <v>17</v>
      </c>
      <c r="D163" s="637" t="s">
        <v>1084</v>
      </c>
      <c r="E163" s="638" t="s">
        <v>1085</v>
      </c>
      <c r="F163" s="638"/>
      <c r="G163" s="638">
        <v>4000000</v>
      </c>
      <c r="H163" s="637" t="s">
        <v>1075</v>
      </c>
      <c r="I163" s="637"/>
      <c r="J163" s="637"/>
      <c r="K163" s="637"/>
      <c r="L163" s="637"/>
      <c r="M163" s="637"/>
      <c r="N163" s="637"/>
      <c r="O163" s="637" t="b">
        <v>0</v>
      </c>
      <c r="P163" s="637" t="b">
        <v>1</v>
      </c>
      <c r="Q163" s="639"/>
      <c r="R163" s="639"/>
      <c r="S163" s="637"/>
      <c r="T163" s="637"/>
      <c r="U163" s="638">
        <v>80</v>
      </c>
      <c r="V163" s="638"/>
      <c r="W163" s="637">
        <v>80</v>
      </c>
      <c r="X163" s="639">
        <v>80</v>
      </c>
      <c r="Y163" s="639" t="b">
        <v>0</v>
      </c>
      <c r="Z163" s="638"/>
      <c r="AA163" s="637">
        <v>80</v>
      </c>
      <c r="AB163" s="639">
        <v>80</v>
      </c>
      <c r="AC163" s="639"/>
      <c r="AD163" s="639"/>
      <c r="AE163" s="639"/>
      <c r="AF163" s="639"/>
      <c r="AG163" s="639"/>
      <c r="AH163" s="639"/>
      <c r="AM163" s="2">
        <v>2301.25</v>
      </c>
      <c r="AN163" s="2">
        <v>1017027.18954611</v>
      </c>
      <c r="AO163" s="2" t="b">
        <v>0</v>
      </c>
    </row>
    <row r="164" spans="2:42" ht="15" hidden="1" customHeight="1" outlineLevel="2" thickBot="1">
      <c r="B164" s="2" t="s">
        <v>876</v>
      </c>
      <c r="C164" s="2">
        <v>18</v>
      </c>
      <c r="D164" s="640" t="s">
        <v>1084</v>
      </c>
      <c r="E164" s="641" t="s">
        <v>1085</v>
      </c>
      <c r="F164" s="641"/>
      <c r="G164" s="641">
        <v>4000000</v>
      </c>
      <c r="H164" s="640" t="s">
        <v>1075</v>
      </c>
      <c r="I164" s="640"/>
      <c r="J164" s="640"/>
      <c r="K164" s="640"/>
      <c r="L164" s="640"/>
      <c r="M164" s="640"/>
      <c r="N164" s="640"/>
      <c r="O164" s="640" t="b">
        <v>0</v>
      </c>
      <c r="P164" s="640"/>
      <c r="Q164" s="642"/>
      <c r="R164" s="642"/>
      <c r="S164" s="640"/>
      <c r="T164" s="640" t="s">
        <v>8701</v>
      </c>
      <c r="U164" s="641">
        <v>80</v>
      </c>
      <c r="V164" s="641"/>
      <c r="W164" s="640">
        <v>80</v>
      </c>
      <c r="X164" s="642">
        <v>80</v>
      </c>
      <c r="Y164" s="642" t="b">
        <v>0</v>
      </c>
      <c r="Z164" s="641"/>
      <c r="AA164" s="640">
        <v>80</v>
      </c>
      <c r="AB164" s="642">
        <v>80</v>
      </c>
      <c r="AC164" s="642"/>
      <c r="AD164" s="642"/>
      <c r="AE164" s="642"/>
      <c r="AF164" s="642"/>
      <c r="AG164" s="642"/>
      <c r="AH164" s="642"/>
      <c r="AM164" s="2">
        <v>2301.25</v>
      </c>
      <c r="AN164" s="2">
        <v>1017027.18954611</v>
      </c>
      <c r="AO164" s="2" t="b">
        <v>0</v>
      </c>
    </row>
    <row r="165" spans="2:42" ht="15" hidden="1" customHeight="1" outlineLevel="2">
      <c r="B165" s="2" t="s">
        <v>876</v>
      </c>
      <c r="C165" s="2">
        <v>19</v>
      </c>
      <c r="D165" s="458" t="s">
        <v>1064</v>
      </c>
      <c r="E165" s="134"/>
      <c r="F165" s="134"/>
      <c r="G165" s="134">
        <f>ROUNDUP(2500000/0.95,0)</f>
        <v>2631579</v>
      </c>
      <c r="H165" s="134" t="s">
        <v>1065</v>
      </c>
      <c r="I165" s="134"/>
      <c r="J165" s="134"/>
      <c r="K165" s="134"/>
      <c r="L165" s="134"/>
      <c r="M165" s="134"/>
      <c r="N165" s="134">
        <v>6</v>
      </c>
      <c r="O165" s="134" t="b">
        <v>0</v>
      </c>
      <c r="P165" s="134" t="b">
        <v>1</v>
      </c>
      <c r="Q165" s="134"/>
      <c r="R165" s="134"/>
      <c r="S165" s="134"/>
      <c r="T165" s="134"/>
      <c r="U165" s="134">
        <v>80</v>
      </c>
      <c r="V165" s="134"/>
      <c r="W165" s="134">
        <v>95</v>
      </c>
      <c r="X165" s="134">
        <v>97</v>
      </c>
      <c r="Y165" s="134" t="b">
        <v>1</v>
      </c>
      <c r="Z165" s="134">
        <v>2500000</v>
      </c>
      <c r="AA165" s="134">
        <v>95</v>
      </c>
      <c r="AB165" s="134">
        <v>97</v>
      </c>
      <c r="AC165" s="134" t="s">
        <v>1066</v>
      </c>
      <c r="AD165" s="134">
        <v>90</v>
      </c>
      <c r="AE165" s="134" t="s">
        <v>1067</v>
      </c>
      <c r="AF165" s="134" t="s">
        <v>1067</v>
      </c>
      <c r="AG165" s="134" t="s">
        <v>1068</v>
      </c>
      <c r="AH165" s="459"/>
    </row>
    <row r="166" spans="2:42" ht="15" hidden="1" customHeight="1" outlineLevel="2">
      <c r="B166" s="2" t="s">
        <v>876</v>
      </c>
      <c r="C166" s="2">
        <v>20</v>
      </c>
      <c r="D166" s="447" t="s">
        <v>1064</v>
      </c>
      <c r="E166" s="147"/>
      <c r="F166" s="147"/>
      <c r="G166" s="147">
        <f>2500000/0.8</f>
        <v>3125000</v>
      </c>
      <c r="H166" s="112" t="s">
        <v>1065</v>
      </c>
      <c r="I166" s="112"/>
      <c r="J166" s="112"/>
      <c r="K166" s="112"/>
      <c r="L166" s="112"/>
      <c r="M166" s="112"/>
      <c r="N166" s="112">
        <v>6</v>
      </c>
      <c r="O166" s="112" t="b">
        <v>0</v>
      </c>
      <c r="P166" s="112" t="b">
        <v>1</v>
      </c>
      <c r="Q166" s="229"/>
      <c r="R166" s="229"/>
      <c r="S166" s="112"/>
      <c r="T166" s="112"/>
      <c r="U166" s="147">
        <v>80</v>
      </c>
      <c r="V166" s="147">
        <v>2500000</v>
      </c>
      <c r="W166" s="112"/>
      <c r="X166" s="229">
        <v>97</v>
      </c>
      <c r="Y166" s="229" t="b">
        <v>1</v>
      </c>
      <c r="Z166" s="147">
        <v>2500000</v>
      </c>
      <c r="AA166" s="112"/>
      <c r="AB166" s="229">
        <v>97</v>
      </c>
      <c r="AC166" s="229" t="s">
        <v>1066</v>
      </c>
      <c r="AD166" s="229">
        <v>90</v>
      </c>
      <c r="AE166" s="232" t="s">
        <v>1067</v>
      </c>
      <c r="AF166" s="232" t="s">
        <v>1067</v>
      </c>
      <c r="AG166" s="112" t="s">
        <v>1068</v>
      </c>
      <c r="AH166" s="448"/>
    </row>
    <row r="167" spans="2:42" ht="15" hidden="1" customHeight="1" outlineLevel="2">
      <c r="B167" s="2" t="s">
        <v>876</v>
      </c>
      <c r="C167" s="2">
        <v>21</v>
      </c>
      <c r="D167" s="449" t="s">
        <v>1064</v>
      </c>
      <c r="E167" s="114"/>
      <c r="F167" s="114"/>
      <c r="G167" s="114">
        <f>ROUNDUP(2500000/0.95,0)</f>
        <v>2631579</v>
      </c>
      <c r="H167" s="114" t="s">
        <v>1065</v>
      </c>
      <c r="I167" s="114"/>
      <c r="J167" s="114"/>
      <c r="K167" s="114"/>
      <c r="L167" s="114"/>
      <c r="M167" s="114"/>
      <c r="N167" s="114">
        <v>6</v>
      </c>
      <c r="O167" s="114" t="b">
        <v>0</v>
      </c>
      <c r="P167" s="114" t="b">
        <v>0</v>
      </c>
      <c r="Q167" s="114"/>
      <c r="R167" s="114"/>
      <c r="S167" s="114"/>
      <c r="T167" s="114"/>
      <c r="U167" s="114">
        <v>80</v>
      </c>
      <c r="V167" s="114"/>
      <c r="W167" s="114">
        <v>95</v>
      </c>
      <c r="X167" s="114">
        <v>97</v>
      </c>
      <c r="Y167" s="114" t="b">
        <v>1</v>
      </c>
      <c r="Z167" s="114">
        <v>2500000</v>
      </c>
      <c r="AA167" s="114">
        <v>95</v>
      </c>
      <c r="AB167" s="114">
        <v>97</v>
      </c>
      <c r="AC167" s="114" t="s">
        <v>1066</v>
      </c>
      <c r="AD167" s="114">
        <v>92</v>
      </c>
      <c r="AE167" s="114" t="s">
        <v>1074</v>
      </c>
      <c r="AF167" s="114" t="s">
        <v>1071</v>
      </c>
      <c r="AG167" s="114" t="s">
        <v>1072</v>
      </c>
      <c r="AH167" s="450"/>
    </row>
    <row r="168" spans="2:42" ht="15" hidden="1" customHeight="1" outlineLevel="2" thickBot="1">
      <c r="B168" s="2" t="s">
        <v>876</v>
      </c>
      <c r="C168" s="2">
        <v>22</v>
      </c>
      <c r="D168" s="453" t="s">
        <v>1064</v>
      </c>
      <c r="E168" s="454"/>
      <c r="F168" s="454"/>
      <c r="G168" s="454">
        <f>2500000/0.8</f>
        <v>3125000</v>
      </c>
      <c r="H168" s="455" t="s">
        <v>1065</v>
      </c>
      <c r="I168" s="455"/>
      <c r="J168" s="455"/>
      <c r="K168" s="455"/>
      <c r="L168" s="455"/>
      <c r="M168" s="455"/>
      <c r="N168" s="455">
        <v>6</v>
      </c>
      <c r="O168" s="455" t="b">
        <v>0</v>
      </c>
      <c r="P168" s="455" t="b">
        <v>0</v>
      </c>
      <c r="Q168" s="456"/>
      <c r="R168" s="456"/>
      <c r="S168" s="455"/>
      <c r="T168" s="455"/>
      <c r="U168" s="454">
        <v>80</v>
      </c>
      <c r="V168" s="454">
        <v>2500000</v>
      </c>
      <c r="W168" s="455"/>
      <c r="X168" s="456">
        <v>97</v>
      </c>
      <c r="Y168" s="456" t="b">
        <v>1</v>
      </c>
      <c r="Z168" s="454">
        <v>2500000</v>
      </c>
      <c r="AA168" s="455"/>
      <c r="AB168" s="456">
        <v>97</v>
      </c>
      <c r="AC168" s="456" t="s">
        <v>1066</v>
      </c>
      <c r="AD168" s="456">
        <v>92</v>
      </c>
      <c r="AE168" s="485" t="s">
        <v>1074</v>
      </c>
      <c r="AF168" s="485" t="s">
        <v>1071</v>
      </c>
      <c r="AG168" s="455" t="s">
        <v>1073</v>
      </c>
      <c r="AH168" s="457"/>
    </row>
    <row r="169" spans="2:42" ht="15" hidden="1" customHeight="1" outlineLevel="2">
      <c r="B169" s="2" t="s">
        <v>876</v>
      </c>
      <c r="C169" s="2">
        <v>23</v>
      </c>
      <c r="D169" s="477" t="s">
        <v>1064</v>
      </c>
      <c r="E169" s="474"/>
      <c r="F169" s="474"/>
      <c r="G169" s="474">
        <f>ROUNDUP(2000000/0.95,0)</f>
        <v>2105264</v>
      </c>
      <c r="H169" s="254" t="s">
        <v>1069</v>
      </c>
      <c r="I169" s="254"/>
      <c r="J169" s="254"/>
      <c r="K169" s="254"/>
      <c r="L169" s="254"/>
      <c r="M169" s="254"/>
      <c r="N169" s="254">
        <v>6</v>
      </c>
      <c r="O169" s="254" t="b">
        <v>0</v>
      </c>
      <c r="P169" s="254"/>
      <c r="Q169" s="475"/>
      <c r="R169" s="475"/>
      <c r="S169" s="254"/>
      <c r="T169" s="254"/>
      <c r="U169" s="474">
        <v>80</v>
      </c>
      <c r="V169" s="474"/>
      <c r="W169" s="254">
        <v>95</v>
      </c>
      <c r="X169" s="475">
        <v>97</v>
      </c>
      <c r="Y169" s="475" t="b">
        <v>1</v>
      </c>
      <c r="Z169" s="474">
        <v>2000000</v>
      </c>
      <c r="AA169" s="254">
        <v>95</v>
      </c>
      <c r="AB169" s="475">
        <v>97</v>
      </c>
      <c r="AC169" s="475"/>
      <c r="AD169" s="475"/>
      <c r="AE169" s="486"/>
      <c r="AF169" s="486"/>
      <c r="AG169" s="254"/>
      <c r="AH169" s="476"/>
      <c r="AN169" s="2">
        <v>10620720.0947298</v>
      </c>
      <c r="AP169" s="2" t="b">
        <v>1</v>
      </c>
    </row>
    <row r="170" spans="2:42" ht="15" hidden="1" customHeight="1" outlineLevel="2" thickBot="1">
      <c r="B170" s="2" t="s">
        <v>876</v>
      </c>
      <c r="C170" s="2">
        <v>24</v>
      </c>
      <c r="D170" s="465" t="s">
        <v>1064</v>
      </c>
      <c r="E170" s="481"/>
      <c r="F170" s="481"/>
      <c r="G170" s="481">
        <f>2000000/0.8</f>
        <v>2500000</v>
      </c>
      <c r="H170" s="466" t="s">
        <v>1069</v>
      </c>
      <c r="I170" s="466"/>
      <c r="J170" s="466"/>
      <c r="K170" s="466"/>
      <c r="L170" s="466"/>
      <c r="M170" s="466"/>
      <c r="N170" s="466">
        <v>6</v>
      </c>
      <c r="O170" s="466" t="b">
        <v>0</v>
      </c>
      <c r="P170" s="466"/>
      <c r="Q170" s="482"/>
      <c r="R170" s="482"/>
      <c r="S170" s="466"/>
      <c r="T170" s="466"/>
      <c r="U170" s="481">
        <v>80</v>
      </c>
      <c r="V170" s="481">
        <v>2000000</v>
      </c>
      <c r="W170" s="466"/>
      <c r="X170" s="482">
        <v>97</v>
      </c>
      <c r="Y170" s="482" t="b">
        <v>1</v>
      </c>
      <c r="Z170" s="481">
        <v>2000000</v>
      </c>
      <c r="AA170" s="466"/>
      <c r="AB170" s="482">
        <v>97</v>
      </c>
      <c r="AC170" s="482"/>
      <c r="AD170" s="482"/>
      <c r="AE170" s="482"/>
      <c r="AF170" s="482"/>
      <c r="AG170" s="482"/>
      <c r="AH170" s="483"/>
    </row>
    <row r="171" spans="2:42" ht="15" hidden="1" customHeight="1" outlineLevel="2">
      <c r="B171" s="2" t="s">
        <v>876</v>
      </c>
      <c r="C171" s="2">
        <v>25</v>
      </c>
      <c r="D171" s="447" t="s">
        <v>1064</v>
      </c>
      <c r="E171" s="147"/>
      <c r="F171" s="147"/>
      <c r="G171" s="147">
        <f>ROUNDUP(1000000/0.95,0)</f>
        <v>1052632</v>
      </c>
      <c r="H171" s="112" t="s">
        <v>1070</v>
      </c>
      <c r="I171" s="112"/>
      <c r="J171" s="112"/>
      <c r="K171" s="112"/>
      <c r="L171" s="112"/>
      <c r="M171" s="112"/>
      <c r="N171" s="112">
        <v>6</v>
      </c>
      <c r="O171" s="112" t="b">
        <v>0</v>
      </c>
      <c r="P171" s="112"/>
      <c r="Q171" s="229"/>
      <c r="R171" s="229"/>
      <c r="S171" s="112"/>
      <c r="T171" s="112"/>
      <c r="U171" s="147">
        <v>80</v>
      </c>
      <c r="V171" s="147"/>
      <c r="W171" s="112">
        <v>95</v>
      </c>
      <c r="X171" s="229">
        <v>97</v>
      </c>
      <c r="Y171" s="229" t="b">
        <v>1</v>
      </c>
      <c r="Z171" s="646">
        <v>1000000</v>
      </c>
      <c r="AA171" s="112">
        <v>95</v>
      </c>
      <c r="AB171" s="229">
        <v>97</v>
      </c>
      <c r="AC171" s="229"/>
      <c r="AD171" s="229"/>
      <c r="AE171" s="232"/>
      <c r="AF171" s="232"/>
      <c r="AG171" s="112"/>
      <c r="AH171" s="448"/>
    </row>
    <row r="172" spans="2:42" hidden="1" outlineLevel="2">
      <c r="B172" s="2" t="s">
        <v>876</v>
      </c>
      <c r="C172" s="2">
        <v>26</v>
      </c>
      <c r="D172" s="449" t="s">
        <v>1064</v>
      </c>
      <c r="E172" s="114"/>
      <c r="F172" s="114"/>
      <c r="G172" s="114">
        <f>ROUNDUP(1000000/0.9,0)</f>
        <v>1111112</v>
      </c>
      <c r="H172" s="114" t="s">
        <v>1070</v>
      </c>
      <c r="I172" s="114"/>
      <c r="J172" s="114"/>
      <c r="K172" s="114"/>
      <c r="L172" s="114"/>
      <c r="M172" s="114"/>
      <c r="N172" s="114">
        <v>6</v>
      </c>
      <c r="O172" s="114" t="b">
        <v>0</v>
      </c>
      <c r="P172" s="114"/>
      <c r="Q172" s="114"/>
      <c r="R172" s="114"/>
      <c r="S172" s="114"/>
      <c r="T172" s="114"/>
      <c r="U172" s="114">
        <v>80</v>
      </c>
      <c r="V172" s="114">
        <v>1000000</v>
      </c>
      <c r="W172" s="114"/>
      <c r="X172" s="114">
        <v>97</v>
      </c>
      <c r="Y172" s="114" t="b">
        <v>1</v>
      </c>
      <c r="Z172" s="646">
        <v>1000000</v>
      </c>
      <c r="AA172" s="114"/>
      <c r="AB172" s="114">
        <v>97</v>
      </c>
      <c r="AC172" s="114"/>
      <c r="AD172" s="114"/>
      <c r="AE172" s="114"/>
      <c r="AF172" s="114"/>
      <c r="AG172" s="114"/>
      <c r="AH172" s="450"/>
    </row>
    <row r="173" spans="2:42" ht="15" hidden="1" customHeight="1" outlineLevel="2">
      <c r="B173" s="2" t="s">
        <v>876</v>
      </c>
      <c r="C173" s="2">
        <v>27</v>
      </c>
      <c r="D173" s="449" t="s">
        <v>1064</v>
      </c>
      <c r="E173" s="114"/>
      <c r="F173" s="114"/>
      <c r="G173" s="114">
        <f>ROUNDUP(1500000/0.9,0)</f>
        <v>1666667</v>
      </c>
      <c r="H173" s="114" t="s">
        <v>1070</v>
      </c>
      <c r="I173" s="114"/>
      <c r="J173" s="114"/>
      <c r="K173" s="114"/>
      <c r="L173" s="114"/>
      <c r="M173" s="114"/>
      <c r="N173" s="114">
        <v>6</v>
      </c>
      <c r="O173" s="114" t="b">
        <v>0</v>
      </c>
      <c r="P173" s="114"/>
      <c r="Q173" s="114"/>
      <c r="R173" s="114"/>
      <c r="S173" s="114"/>
      <c r="T173" s="114"/>
      <c r="U173" s="114">
        <v>80</v>
      </c>
      <c r="V173" s="114"/>
      <c r="W173" s="114">
        <v>90</v>
      </c>
      <c r="X173" s="114">
        <v>97</v>
      </c>
      <c r="Y173" s="114" t="b">
        <v>1</v>
      </c>
      <c r="Z173" s="114">
        <v>1500000</v>
      </c>
      <c r="AA173" s="114">
        <v>90</v>
      </c>
      <c r="AB173" s="114">
        <v>92</v>
      </c>
      <c r="AC173" s="114"/>
      <c r="AD173" s="114"/>
      <c r="AE173" s="114"/>
      <c r="AF173" s="114"/>
      <c r="AG173" s="114"/>
      <c r="AH173" s="450"/>
    </row>
    <row r="174" spans="2:42" ht="15" hidden="1" customHeight="1" outlineLevel="2" thickBot="1">
      <c r="B174" s="2" t="s">
        <v>876</v>
      </c>
      <c r="C174" s="2">
        <v>28</v>
      </c>
      <c r="D174" s="447" t="s">
        <v>1064</v>
      </c>
      <c r="E174" s="454"/>
      <c r="F174" s="454"/>
      <c r="G174" s="454">
        <f>ROUNDUP(1500000/0.8,0)</f>
        <v>1875000</v>
      </c>
      <c r="H174" s="455" t="s">
        <v>1070</v>
      </c>
      <c r="I174" s="455"/>
      <c r="J174" s="455"/>
      <c r="K174" s="455"/>
      <c r="L174" s="455"/>
      <c r="M174" s="455"/>
      <c r="N174" s="455">
        <v>6</v>
      </c>
      <c r="O174" s="455" t="b">
        <v>0</v>
      </c>
      <c r="P174" s="455"/>
      <c r="Q174" s="456"/>
      <c r="R174" s="456"/>
      <c r="S174" s="455"/>
      <c r="T174" s="455"/>
      <c r="U174" s="454">
        <v>80</v>
      </c>
      <c r="V174" s="454">
        <v>1500000</v>
      </c>
      <c r="W174" s="455"/>
      <c r="X174" s="456">
        <v>97</v>
      </c>
      <c r="Y174" s="456" t="b">
        <v>1</v>
      </c>
      <c r="Z174" s="454">
        <v>1500000</v>
      </c>
      <c r="AA174" s="455"/>
      <c r="AB174" s="456">
        <v>92</v>
      </c>
      <c r="AC174" s="456"/>
      <c r="AD174" s="456"/>
      <c r="AE174" s="456"/>
      <c r="AF174" s="456"/>
      <c r="AG174" s="456"/>
      <c r="AH174" s="457"/>
    </row>
    <row r="175" spans="2:42" ht="15" hidden="1" customHeight="1" outlineLevel="2">
      <c r="B175" s="2" t="s">
        <v>876</v>
      </c>
      <c r="C175" s="2">
        <v>29</v>
      </c>
      <c r="D175" s="444" t="s">
        <v>1064</v>
      </c>
      <c r="E175" s="445"/>
      <c r="F175" s="445"/>
      <c r="G175" s="445">
        <f>ROUNDUP(500000/0.95,0)</f>
        <v>526316</v>
      </c>
      <c r="H175" s="445" t="s">
        <v>1075</v>
      </c>
      <c r="I175" s="445"/>
      <c r="J175" s="445"/>
      <c r="K175" s="445"/>
      <c r="L175" s="445"/>
      <c r="M175" s="445"/>
      <c r="N175" s="445">
        <v>6</v>
      </c>
      <c r="O175" s="445" t="b">
        <v>0</v>
      </c>
      <c r="P175" s="609" t="b">
        <v>0</v>
      </c>
      <c r="Q175" s="445"/>
      <c r="R175" s="445"/>
      <c r="S175" s="445"/>
      <c r="T175" s="445" t="s">
        <v>1076</v>
      </c>
      <c r="U175" s="445">
        <v>80</v>
      </c>
      <c r="V175" s="445"/>
      <c r="W175" s="445">
        <v>95</v>
      </c>
      <c r="X175" s="445">
        <v>97</v>
      </c>
      <c r="Y175" s="445" t="b">
        <v>1</v>
      </c>
      <c r="Z175" s="445">
        <v>500000</v>
      </c>
      <c r="AA175" s="445">
        <v>95</v>
      </c>
      <c r="AB175" s="445">
        <v>97</v>
      </c>
      <c r="AC175" s="445"/>
      <c r="AD175" s="445"/>
      <c r="AE175" s="445"/>
      <c r="AF175" s="445"/>
      <c r="AG175" s="445"/>
      <c r="AH175" s="446"/>
    </row>
    <row r="176" spans="2:42" ht="15" hidden="1" customHeight="1" outlineLevel="2">
      <c r="B176" s="2" t="s">
        <v>876</v>
      </c>
      <c r="C176" s="2">
        <v>30</v>
      </c>
      <c r="D176" s="447" t="s">
        <v>1064</v>
      </c>
      <c r="E176" s="147"/>
      <c r="F176" s="147"/>
      <c r="G176" s="147">
        <f>ROUNDUP(500000/0.85,0)</f>
        <v>588236</v>
      </c>
      <c r="H176" s="112" t="s">
        <v>1075</v>
      </c>
      <c r="I176" s="112"/>
      <c r="J176" s="112"/>
      <c r="K176" s="112"/>
      <c r="L176" s="112"/>
      <c r="M176" s="112"/>
      <c r="N176" s="112">
        <v>6</v>
      </c>
      <c r="O176" s="112" t="b">
        <v>0</v>
      </c>
      <c r="P176" s="610" t="b">
        <v>0</v>
      </c>
      <c r="Q176" s="229"/>
      <c r="R176" s="229"/>
      <c r="S176" s="112"/>
      <c r="T176" s="112" t="s">
        <v>1076</v>
      </c>
      <c r="U176" s="147">
        <v>80</v>
      </c>
      <c r="V176" s="147">
        <v>500000</v>
      </c>
      <c r="W176" s="112"/>
      <c r="X176" s="229">
        <v>97</v>
      </c>
      <c r="Y176" s="229" t="b">
        <v>1</v>
      </c>
      <c r="Z176" s="147">
        <v>500000</v>
      </c>
      <c r="AA176" s="112"/>
      <c r="AB176" s="229">
        <v>97</v>
      </c>
      <c r="AC176" s="229"/>
      <c r="AD176" s="229"/>
      <c r="AE176" s="232"/>
      <c r="AF176" s="232"/>
      <c r="AG176" s="112"/>
      <c r="AH176" s="448"/>
    </row>
    <row r="177" spans="2:69" ht="15" hidden="1" customHeight="1" outlineLevel="2">
      <c r="B177" s="2" t="s">
        <v>876</v>
      </c>
      <c r="C177" s="2">
        <v>31</v>
      </c>
      <c r="D177" s="447" t="s">
        <v>1064</v>
      </c>
      <c r="E177" s="147"/>
      <c r="F177" s="147"/>
      <c r="G177" s="147">
        <f>ROUNDUP(750000/0.85,0)</f>
        <v>882353</v>
      </c>
      <c r="H177" s="112" t="s">
        <v>1075</v>
      </c>
      <c r="I177" s="112"/>
      <c r="J177" s="112"/>
      <c r="K177" s="112"/>
      <c r="L177" s="112"/>
      <c r="M177" s="112"/>
      <c r="N177" s="112">
        <v>6</v>
      </c>
      <c r="O177" s="112" t="b">
        <v>0</v>
      </c>
      <c r="P177" s="610" t="b">
        <v>0</v>
      </c>
      <c r="Q177" s="229"/>
      <c r="R177" s="229"/>
      <c r="S177" s="112"/>
      <c r="T177" s="112" t="s">
        <v>1076</v>
      </c>
      <c r="U177" s="147">
        <v>80</v>
      </c>
      <c r="V177" s="147"/>
      <c r="W177" s="112">
        <v>85</v>
      </c>
      <c r="X177" s="229">
        <v>97</v>
      </c>
      <c r="Y177" s="229" t="b">
        <v>1</v>
      </c>
      <c r="Z177" s="147">
        <v>750000</v>
      </c>
      <c r="AA177" s="112">
        <v>85</v>
      </c>
      <c r="AB177" s="229">
        <v>87</v>
      </c>
      <c r="AC177" s="229"/>
      <c r="AD177" s="229"/>
      <c r="AE177" s="232"/>
      <c r="AF177" s="232"/>
      <c r="AG177" s="112"/>
      <c r="AH177" s="448"/>
    </row>
    <row r="178" spans="2:69" ht="15" hidden="1" customHeight="1" outlineLevel="2" thickBot="1">
      <c r="B178" s="2" t="s">
        <v>876</v>
      </c>
      <c r="C178" s="2">
        <v>32</v>
      </c>
      <c r="D178" s="478" t="s">
        <v>1064</v>
      </c>
      <c r="E178" s="479"/>
      <c r="F178" s="479"/>
      <c r="G178" s="479">
        <f>ROUNDUP(750000/0.8,0)</f>
        <v>937500</v>
      </c>
      <c r="H178" s="479" t="s">
        <v>1075</v>
      </c>
      <c r="I178" s="479"/>
      <c r="J178" s="479"/>
      <c r="K178" s="479"/>
      <c r="L178" s="479"/>
      <c r="M178" s="479"/>
      <c r="N178" s="479">
        <v>6</v>
      </c>
      <c r="O178" s="479" t="b">
        <v>0</v>
      </c>
      <c r="P178" s="611" t="b">
        <v>0</v>
      </c>
      <c r="Q178" s="479"/>
      <c r="R178" s="479"/>
      <c r="S178" s="479"/>
      <c r="T178" s="479" t="s">
        <v>1076</v>
      </c>
      <c r="U178" s="479">
        <v>80</v>
      </c>
      <c r="V178" s="479">
        <v>750000</v>
      </c>
      <c r="W178" s="479"/>
      <c r="X178" s="479">
        <v>97</v>
      </c>
      <c r="Y178" s="479" t="b">
        <v>1</v>
      </c>
      <c r="Z178" s="479">
        <v>750000</v>
      </c>
      <c r="AA178" s="479"/>
      <c r="AB178" s="479">
        <v>87</v>
      </c>
      <c r="AC178" s="479"/>
      <c r="AD178" s="479"/>
      <c r="AE178" s="479"/>
      <c r="AF178" s="479"/>
      <c r="AG178" s="479"/>
      <c r="AH178" s="480"/>
    </row>
    <row r="179" spans="2:69" ht="15" hidden="1" customHeight="1" outlineLevel="2">
      <c r="B179" s="2" t="s">
        <v>876</v>
      </c>
      <c r="C179" s="2">
        <v>33</v>
      </c>
      <c r="D179" s="460" t="s">
        <v>1064</v>
      </c>
      <c r="E179" s="461"/>
      <c r="F179" s="461"/>
      <c r="G179" s="461">
        <f>ROUNDUP(2500000/0.9,0)</f>
        <v>2777778</v>
      </c>
      <c r="H179" s="462" t="s">
        <v>1065</v>
      </c>
      <c r="I179" s="462"/>
      <c r="J179" s="462"/>
      <c r="K179" s="462"/>
      <c r="L179" s="462"/>
      <c r="M179" s="462"/>
      <c r="N179" s="462"/>
      <c r="O179" s="462" t="b">
        <v>0</v>
      </c>
      <c r="P179" s="462" t="b">
        <v>1</v>
      </c>
      <c r="Q179" s="463"/>
      <c r="R179" s="463"/>
      <c r="S179" s="462"/>
      <c r="T179" s="462"/>
      <c r="U179" s="461">
        <v>80</v>
      </c>
      <c r="V179" s="461"/>
      <c r="W179" s="462">
        <v>90</v>
      </c>
      <c r="X179" s="463">
        <v>90</v>
      </c>
      <c r="Y179" s="463" t="b">
        <v>1</v>
      </c>
      <c r="Z179" s="461">
        <v>2500000</v>
      </c>
      <c r="AA179" s="462">
        <v>90</v>
      </c>
      <c r="AB179" s="463">
        <v>90</v>
      </c>
      <c r="AC179" s="463"/>
      <c r="AD179" s="463"/>
      <c r="AE179" s="484"/>
      <c r="AF179" s="484"/>
      <c r="AG179" s="462"/>
      <c r="AH179" s="464"/>
    </row>
    <row r="180" spans="2:69" ht="15" hidden="1" customHeight="1" outlineLevel="2" thickBot="1">
      <c r="B180" s="2" t="s">
        <v>876</v>
      </c>
      <c r="C180" s="2">
        <v>34</v>
      </c>
      <c r="D180" s="465" t="s">
        <v>1064</v>
      </c>
      <c r="E180" s="466"/>
      <c r="F180" s="466"/>
      <c r="G180" s="466">
        <f>ROUNDUP(2500000/0.8,0)</f>
        <v>3125000</v>
      </c>
      <c r="H180" s="466" t="s">
        <v>1065</v>
      </c>
      <c r="I180" s="466"/>
      <c r="J180" s="466"/>
      <c r="K180" s="466"/>
      <c r="L180" s="466"/>
      <c r="M180" s="466"/>
      <c r="N180" s="466"/>
      <c r="O180" s="466" t="b">
        <v>0</v>
      </c>
      <c r="P180" s="466" t="b">
        <v>1</v>
      </c>
      <c r="Q180" s="466"/>
      <c r="R180" s="466"/>
      <c r="S180" s="466"/>
      <c r="T180" s="466"/>
      <c r="U180" s="466">
        <v>80</v>
      </c>
      <c r="V180" s="466">
        <v>2500000</v>
      </c>
      <c r="W180" s="466"/>
      <c r="X180" s="466">
        <v>90</v>
      </c>
      <c r="Y180" s="466" t="b">
        <v>1</v>
      </c>
      <c r="Z180" s="466">
        <v>2500000</v>
      </c>
      <c r="AA180" s="466"/>
      <c r="AB180" s="466">
        <v>90</v>
      </c>
      <c r="AC180" s="466"/>
      <c r="AD180" s="466"/>
      <c r="AE180" s="466"/>
      <c r="AF180" s="466"/>
      <c r="AG180" s="466"/>
      <c r="AH180" s="467"/>
    </row>
    <row r="181" spans="2:69" ht="15" hidden="1" customHeight="1" outlineLevel="2">
      <c r="B181" s="2" t="s">
        <v>876</v>
      </c>
      <c r="C181" s="2">
        <v>35</v>
      </c>
      <c r="D181" s="460" t="s">
        <v>1064</v>
      </c>
      <c r="E181" s="461"/>
      <c r="F181" s="461"/>
      <c r="G181" s="461">
        <f>ROUNDUP(2000000/0.9,0)</f>
        <v>2222223</v>
      </c>
      <c r="H181" s="462" t="s">
        <v>1069</v>
      </c>
      <c r="I181" s="462"/>
      <c r="J181" s="462"/>
      <c r="K181" s="462"/>
      <c r="L181" s="462"/>
      <c r="M181" s="462"/>
      <c r="N181" s="462"/>
      <c r="O181" s="462" t="b">
        <v>0</v>
      </c>
      <c r="P181" s="462" t="b">
        <v>1</v>
      </c>
      <c r="Q181" s="463"/>
      <c r="R181" s="463"/>
      <c r="S181" s="462"/>
      <c r="T181" s="462"/>
      <c r="U181" s="461">
        <v>80</v>
      </c>
      <c r="V181" s="461"/>
      <c r="W181" s="462">
        <v>90</v>
      </c>
      <c r="X181" s="463">
        <v>90</v>
      </c>
      <c r="Y181" s="463" t="b">
        <v>1</v>
      </c>
      <c r="Z181" s="461">
        <v>2000000</v>
      </c>
      <c r="AA181" s="462">
        <v>90</v>
      </c>
      <c r="AB181" s="463">
        <v>90</v>
      </c>
      <c r="AC181" s="463"/>
      <c r="AD181" s="463"/>
      <c r="AE181" s="484"/>
      <c r="AF181" s="484"/>
      <c r="AG181" s="462"/>
      <c r="AH181" s="464"/>
    </row>
    <row r="182" spans="2:69" ht="15" hidden="1" customHeight="1" outlineLevel="2" thickBot="1">
      <c r="B182" s="2" t="s">
        <v>876</v>
      </c>
      <c r="C182" s="2">
        <v>36</v>
      </c>
      <c r="D182" s="465" t="s">
        <v>1064</v>
      </c>
      <c r="E182" s="466"/>
      <c r="F182" s="466"/>
      <c r="G182" s="466">
        <f>ROUNDUP(2000000/0.8,0)</f>
        <v>2500000</v>
      </c>
      <c r="H182" s="466" t="s">
        <v>1069</v>
      </c>
      <c r="I182" s="466"/>
      <c r="J182" s="466"/>
      <c r="K182" s="466"/>
      <c r="L182" s="466"/>
      <c r="M182" s="466"/>
      <c r="N182" s="466"/>
      <c r="O182" s="466" t="b">
        <v>0</v>
      </c>
      <c r="P182" s="466" t="b">
        <v>1</v>
      </c>
      <c r="Q182" s="466"/>
      <c r="R182" s="466"/>
      <c r="S182" s="466"/>
      <c r="T182" s="466"/>
      <c r="U182" s="466">
        <v>80</v>
      </c>
      <c r="V182" s="466">
        <v>2000000</v>
      </c>
      <c r="W182" s="466"/>
      <c r="X182" s="466">
        <v>90</v>
      </c>
      <c r="Y182" s="466" t="b">
        <v>1</v>
      </c>
      <c r="Z182" s="466">
        <v>2000000</v>
      </c>
      <c r="AA182" s="466"/>
      <c r="AB182" s="466">
        <v>90</v>
      </c>
      <c r="AC182" s="466"/>
      <c r="AD182" s="466"/>
      <c r="AE182" s="466"/>
      <c r="AF182" s="466"/>
      <c r="AG182" s="466"/>
      <c r="AH182" s="467"/>
    </row>
    <row r="183" spans="2:69" ht="15" hidden="1" customHeight="1" outlineLevel="2">
      <c r="B183" s="2" t="s">
        <v>876</v>
      </c>
      <c r="C183" s="2">
        <v>37</v>
      </c>
      <c r="D183" s="447" t="s">
        <v>1064</v>
      </c>
      <c r="E183" s="147"/>
      <c r="F183" s="147"/>
      <c r="G183" s="147">
        <f>ROUNDUP(1500000/0.9,0)</f>
        <v>1666667</v>
      </c>
      <c r="H183" s="112" t="s">
        <v>1070</v>
      </c>
      <c r="I183" s="112"/>
      <c r="J183" s="112"/>
      <c r="K183" s="112"/>
      <c r="L183" s="112"/>
      <c r="M183" s="112"/>
      <c r="N183" s="112"/>
      <c r="O183" s="112" t="b">
        <v>0</v>
      </c>
      <c r="P183" s="112" t="b">
        <v>1</v>
      </c>
      <c r="Q183" s="229"/>
      <c r="R183" s="229"/>
      <c r="S183" s="112"/>
      <c r="T183" s="112"/>
      <c r="U183" s="147">
        <v>80</v>
      </c>
      <c r="V183" s="147"/>
      <c r="W183" s="112">
        <v>90</v>
      </c>
      <c r="X183" s="229">
        <v>90</v>
      </c>
      <c r="Y183" s="229" t="b">
        <v>1</v>
      </c>
      <c r="Z183" s="147">
        <v>1500000</v>
      </c>
      <c r="AA183" s="112">
        <v>90</v>
      </c>
      <c r="AB183" s="229">
        <v>90</v>
      </c>
      <c r="AC183" s="229"/>
      <c r="AD183" s="229"/>
      <c r="AE183" s="232"/>
      <c r="AF183" s="232"/>
      <c r="AG183" s="112"/>
      <c r="AH183" s="448"/>
    </row>
    <row r="184" spans="2:69" ht="15" hidden="1" customHeight="1" outlineLevel="2" thickBot="1">
      <c r="B184" s="2" t="s">
        <v>876</v>
      </c>
      <c r="C184" s="2">
        <v>38</v>
      </c>
      <c r="D184" s="478" t="s">
        <v>1064</v>
      </c>
      <c r="E184" s="479"/>
      <c r="F184" s="479"/>
      <c r="G184" s="479">
        <f>ROUNDUP(1500000/0.8,0)</f>
        <v>1875000</v>
      </c>
      <c r="H184" s="479" t="s">
        <v>1070</v>
      </c>
      <c r="I184" s="479"/>
      <c r="J184" s="479"/>
      <c r="K184" s="479"/>
      <c r="L184" s="479"/>
      <c r="M184" s="479"/>
      <c r="N184" s="479"/>
      <c r="O184" s="479" t="b">
        <v>0</v>
      </c>
      <c r="P184" s="479" t="b">
        <v>1</v>
      </c>
      <c r="Q184" s="479"/>
      <c r="R184" s="479"/>
      <c r="S184" s="479"/>
      <c r="T184" s="479"/>
      <c r="U184" s="479">
        <v>80</v>
      </c>
      <c r="V184" s="479">
        <v>1500000</v>
      </c>
      <c r="W184" s="479"/>
      <c r="X184" s="479">
        <v>90</v>
      </c>
      <c r="Y184" s="479" t="b">
        <v>1</v>
      </c>
      <c r="Z184" s="479">
        <v>1500000</v>
      </c>
      <c r="AA184" s="479"/>
      <c r="AB184" s="479">
        <v>90</v>
      </c>
      <c r="AC184" s="479"/>
      <c r="AD184" s="479"/>
      <c r="AE184" s="479"/>
      <c r="AF184" s="479"/>
      <c r="AG184" s="479"/>
      <c r="AH184" s="480"/>
    </row>
    <row r="185" spans="2:69" ht="15" hidden="1" customHeight="1" outlineLevel="2">
      <c r="B185" s="2" t="s">
        <v>876</v>
      </c>
      <c r="C185" s="2">
        <v>39</v>
      </c>
      <c r="D185" s="643" t="s">
        <v>1064</v>
      </c>
      <c r="E185" s="657"/>
      <c r="F185" s="657"/>
      <c r="G185" s="657">
        <f>ROUNDUP(2500000/0.95,0)</f>
        <v>2631579</v>
      </c>
      <c r="H185" s="644" t="s">
        <v>1065</v>
      </c>
      <c r="I185" s="644"/>
      <c r="J185" s="644"/>
      <c r="K185" s="644"/>
      <c r="L185" s="644"/>
      <c r="M185" s="644"/>
      <c r="N185" s="644"/>
      <c r="O185" s="644" t="b">
        <v>0</v>
      </c>
      <c r="P185" s="644"/>
      <c r="Q185" s="658"/>
      <c r="R185" s="658"/>
      <c r="S185" s="644" t="b">
        <v>1</v>
      </c>
      <c r="T185" s="644"/>
      <c r="U185" s="657">
        <v>80</v>
      </c>
      <c r="V185" s="657"/>
      <c r="W185" s="644">
        <v>95</v>
      </c>
      <c r="X185" s="658">
        <v>97</v>
      </c>
      <c r="Y185" s="658" t="b">
        <v>1</v>
      </c>
      <c r="Z185" s="657">
        <v>2500000</v>
      </c>
      <c r="AA185" s="644">
        <v>95</v>
      </c>
      <c r="AB185" s="658">
        <v>97</v>
      </c>
      <c r="AC185" s="658"/>
      <c r="AD185" s="658"/>
      <c r="AE185" s="659"/>
      <c r="AF185" s="659"/>
      <c r="AG185" s="644"/>
      <c r="AH185" s="660"/>
    </row>
    <row r="186" spans="2:69" ht="15" hidden="1" customHeight="1" outlineLevel="2">
      <c r="B186" s="2" t="s">
        <v>876</v>
      </c>
      <c r="C186" s="2">
        <v>40</v>
      </c>
      <c r="D186" s="661" t="s">
        <v>1064</v>
      </c>
      <c r="E186" s="654"/>
      <c r="F186" s="654"/>
      <c r="G186" s="654">
        <f>ROUNDUP(2500000/0.9,0)</f>
        <v>2777778</v>
      </c>
      <c r="H186" s="653" t="s">
        <v>1065</v>
      </c>
      <c r="I186" s="653"/>
      <c r="J186" s="653"/>
      <c r="K186" s="653"/>
      <c r="L186" s="653"/>
      <c r="M186" s="653"/>
      <c r="N186" s="653"/>
      <c r="O186" s="653" t="b">
        <v>0</v>
      </c>
      <c r="P186" s="653"/>
      <c r="Q186" s="655"/>
      <c r="R186" s="655"/>
      <c r="S186" s="653" t="b">
        <v>0</v>
      </c>
      <c r="T186" s="653"/>
      <c r="U186" s="654">
        <v>80</v>
      </c>
      <c r="V186" s="654"/>
      <c r="W186" s="653">
        <v>90</v>
      </c>
      <c r="X186" s="655">
        <v>92</v>
      </c>
      <c r="Y186" s="655" t="b">
        <v>1</v>
      </c>
      <c r="Z186" s="654">
        <v>2500000</v>
      </c>
      <c r="AA186" s="653">
        <v>90</v>
      </c>
      <c r="AB186" s="655">
        <v>92</v>
      </c>
      <c r="AC186" s="655"/>
      <c r="AD186" s="655"/>
      <c r="AE186" s="656"/>
      <c r="AF186" s="656"/>
      <c r="AG186" s="653"/>
      <c r="AH186" s="662"/>
    </row>
    <row r="187" spans="2:69" ht="15" hidden="1" customHeight="1" outlineLevel="2">
      <c r="B187" s="2" t="s">
        <v>876</v>
      </c>
      <c r="C187" s="2">
        <v>41</v>
      </c>
      <c r="D187" s="634" t="s">
        <v>1064</v>
      </c>
      <c r="E187" s="635"/>
      <c r="F187" s="635"/>
      <c r="G187" s="635">
        <f>ROUNDUP(2500000/0.8,0)</f>
        <v>3125000</v>
      </c>
      <c r="H187" s="635" t="s">
        <v>1065</v>
      </c>
      <c r="I187" s="635"/>
      <c r="J187" s="635"/>
      <c r="K187" s="635"/>
      <c r="L187" s="635"/>
      <c r="M187" s="635"/>
      <c r="N187" s="635"/>
      <c r="O187" s="635" t="b">
        <v>0</v>
      </c>
      <c r="P187" s="635"/>
      <c r="Q187" s="635"/>
      <c r="R187" s="635"/>
      <c r="S187" s="635" t="b">
        <v>1</v>
      </c>
      <c r="T187" s="635"/>
      <c r="U187" s="635">
        <v>80</v>
      </c>
      <c r="V187" s="635">
        <v>2500000</v>
      </c>
      <c r="W187" s="635"/>
      <c r="X187" s="635">
        <v>97</v>
      </c>
      <c r="Y187" s="635" t="b">
        <v>1</v>
      </c>
      <c r="Z187" s="635">
        <v>2500000</v>
      </c>
      <c r="AA187" s="635"/>
      <c r="AB187" s="635">
        <v>97</v>
      </c>
      <c r="AC187" s="635"/>
      <c r="AD187" s="635"/>
      <c r="AE187" s="635"/>
      <c r="AF187" s="635"/>
      <c r="AG187" s="635"/>
      <c r="AH187" s="636"/>
      <c r="BO187" s="147"/>
      <c r="BP187" s="112">
        <v>90</v>
      </c>
      <c r="BQ187" s="229">
        <v>92</v>
      </c>
    </row>
    <row r="188" spans="2:69" ht="15" hidden="1" customHeight="1" outlineLevel="2" thickBot="1">
      <c r="B188" s="2" t="s">
        <v>876</v>
      </c>
      <c r="C188" s="2">
        <v>41</v>
      </c>
      <c r="D188" s="663" t="s">
        <v>1064</v>
      </c>
      <c r="E188" s="664"/>
      <c r="F188" s="664"/>
      <c r="G188" s="664">
        <f>ROUNDUP(2500000/0.8,0)</f>
        <v>3125000</v>
      </c>
      <c r="H188" s="664" t="s">
        <v>1065</v>
      </c>
      <c r="I188" s="664"/>
      <c r="J188" s="664"/>
      <c r="K188" s="664"/>
      <c r="L188" s="664"/>
      <c r="M188" s="664"/>
      <c r="N188" s="664"/>
      <c r="O188" s="664" t="b">
        <v>0</v>
      </c>
      <c r="P188" s="664"/>
      <c r="Q188" s="664"/>
      <c r="R188" s="664"/>
      <c r="S188" s="664" t="b">
        <v>0</v>
      </c>
      <c r="T188" s="664"/>
      <c r="U188" s="664">
        <v>80</v>
      </c>
      <c r="V188" s="664">
        <v>2500000</v>
      </c>
      <c r="W188" s="664"/>
      <c r="X188" s="664">
        <v>92</v>
      </c>
      <c r="Y188" s="664" t="b">
        <v>1</v>
      </c>
      <c r="Z188" s="664">
        <v>2500000</v>
      </c>
      <c r="AA188" s="664"/>
      <c r="AB188" s="664">
        <v>92</v>
      </c>
      <c r="AC188" s="664"/>
      <c r="AD188" s="664"/>
      <c r="AE188" s="664"/>
      <c r="AF188" s="664"/>
      <c r="AG188" s="664"/>
      <c r="AH188" s="665"/>
      <c r="BO188" s="147"/>
      <c r="BP188" s="112">
        <v>90</v>
      </c>
      <c r="BQ188" s="229">
        <v>92</v>
      </c>
    </row>
    <row r="189" spans="2:69" ht="15" hidden="1" customHeight="1" outlineLevel="2">
      <c r="B189" s="2" t="s">
        <v>876</v>
      </c>
      <c r="C189" s="2">
        <v>42</v>
      </c>
      <c r="D189" s="648" t="s">
        <v>1064</v>
      </c>
      <c r="E189" s="649"/>
      <c r="F189" s="649"/>
      <c r="G189" s="649">
        <f>ROUNDUP(2000000/0.95,0)</f>
        <v>2105264</v>
      </c>
      <c r="H189" s="624" t="s">
        <v>1069</v>
      </c>
      <c r="I189" s="624"/>
      <c r="J189" s="624"/>
      <c r="K189" s="624"/>
      <c r="L189" s="624"/>
      <c r="M189" s="624"/>
      <c r="N189" s="624"/>
      <c r="O189" s="624" t="b">
        <v>0</v>
      </c>
      <c r="P189" s="624"/>
      <c r="Q189" s="650"/>
      <c r="R189" s="650"/>
      <c r="S189" s="624" t="b">
        <v>1</v>
      </c>
      <c r="T189" s="624"/>
      <c r="U189" s="649">
        <v>80</v>
      </c>
      <c r="V189" s="649"/>
      <c r="W189" s="624">
        <v>95</v>
      </c>
      <c r="X189" s="650">
        <v>97</v>
      </c>
      <c r="Y189" s="650" t="b">
        <v>1</v>
      </c>
      <c r="Z189" s="649">
        <v>2000000</v>
      </c>
      <c r="AA189" s="624">
        <v>95</v>
      </c>
      <c r="AB189" s="650">
        <v>97</v>
      </c>
      <c r="AC189" s="650"/>
      <c r="AD189" s="650"/>
      <c r="AE189" s="651"/>
      <c r="AF189" s="651"/>
      <c r="AG189" s="624"/>
      <c r="AH189" s="652"/>
    </row>
    <row r="190" spans="2:69" ht="15" hidden="1" customHeight="1" outlineLevel="2">
      <c r="B190" s="2" t="s">
        <v>876</v>
      </c>
      <c r="C190" s="2">
        <v>43</v>
      </c>
      <c r="D190" s="548" t="s">
        <v>1064</v>
      </c>
      <c r="E190" s="549"/>
      <c r="F190" s="549"/>
      <c r="G190" s="549">
        <f>ROUNDUP(2000000/0.9,0)</f>
        <v>2222223</v>
      </c>
      <c r="H190" s="546" t="s">
        <v>1069</v>
      </c>
      <c r="I190" s="546"/>
      <c r="J190" s="546"/>
      <c r="K190" s="546"/>
      <c r="L190" s="546"/>
      <c r="M190" s="546"/>
      <c r="N190" s="546"/>
      <c r="O190" s="546" t="b">
        <v>0</v>
      </c>
      <c r="P190" s="546"/>
      <c r="Q190" s="550"/>
      <c r="R190" s="550"/>
      <c r="S190" s="546" t="b">
        <v>0</v>
      </c>
      <c r="T190" s="546"/>
      <c r="U190" s="549">
        <v>80</v>
      </c>
      <c r="V190" s="549"/>
      <c r="W190" s="546">
        <v>90</v>
      </c>
      <c r="X190" s="550">
        <v>92</v>
      </c>
      <c r="Y190" s="550" t="b">
        <v>1</v>
      </c>
      <c r="Z190" s="549">
        <v>2000000</v>
      </c>
      <c r="AA190" s="546">
        <v>90</v>
      </c>
      <c r="AB190" s="550">
        <v>92</v>
      </c>
      <c r="AC190" s="550"/>
      <c r="AD190" s="550"/>
      <c r="AE190" s="551"/>
      <c r="AF190" s="551"/>
      <c r="AG190" s="546"/>
      <c r="AH190" s="552"/>
    </row>
    <row r="191" spans="2:69" ht="15" hidden="1" customHeight="1" outlineLevel="2">
      <c r="B191" s="2" t="s">
        <v>876</v>
      </c>
      <c r="C191" s="2">
        <v>43</v>
      </c>
      <c r="D191" s="548" t="s">
        <v>1064</v>
      </c>
      <c r="E191" s="549"/>
      <c r="F191" s="549"/>
      <c r="G191" s="549">
        <v>2500000</v>
      </c>
      <c r="H191" s="546" t="s">
        <v>1069</v>
      </c>
      <c r="I191" s="546"/>
      <c r="J191" s="546"/>
      <c r="K191" s="546"/>
      <c r="L191" s="546"/>
      <c r="M191" s="546"/>
      <c r="N191" s="546"/>
      <c r="O191" s="546" t="b">
        <v>0</v>
      </c>
      <c r="P191" s="546"/>
      <c r="Q191" s="550"/>
      <c r="R191" s="550"/>
      <c r="S191" s="546" t="b">
        <v>1</v>
      </c>
      <c r="T191" s="546"/>
      <c r="U191" s="549">
        <v>80</v>
      </c>
      <c r="V191" s="549">
        <v>2000000</v>
      </c>
      <c r="W191" s="546"/>
      <c r="X191" s="550">
        <v>97</v>
      </c>
      <c r="Y191" s="550" t="b">
        <v>1</v>
      </c>
      <c r="Z191" s="549">
        <v>2000000</v>
      </c>
      <c r="AA191" s="546"/>
      <c r="AB191" s="550">
        <v>97</v>
      </c>
      <c r="AC191" s="550"/>
      <c r="AD191" s="550"/>
      <c r="AE191" s="551"/>
      <c r="AF191" s="551"/>
      <c r="AG191" s="546"/>
      <c r="AH191" s="552"/>
    </row>
    <row r="192" spans="2:69" ht="15" hidden="1" customHeight="1" outlineLevel="2" thickBot="1">
      <c r="B192" s="2" t="s">
        <v>876</v>
      </c>
      <c r="C192" s="2">
        <v>44</v>
      </c>
      <c r="D192" s="553" t="s">
        <v>1064</v>
      </c>
      <c r="E192" s="554"/>
      <c r="F192" s="554"/>
      <c r="G192" s="554">
        <f>ROUNDUP(2000000/0.8,0)</f>
        <v>2500000</v>
      </c>
      <c r="H192" s="554" t="s">
        <v>1069</v>
      </c>
      <c r="I192" s="554"/>
      <c r="J192" s="554"/>
      <c r="K192" s="554"/>
      <c r="L192" s="554"/>
      <c r="M192" s="554"/>
      <c r="N192" s="554"/>
      <c r="O192" s="554" t="b">
        <v>0</v>
      </c>
      <c r="P192" s="554"/>
      <c r="Q192" s="554"/>
      <c r="R192" s="554"/>
      <c r="S192" s="554" t="b">
        <v>0</v>
      </c>
      <c r="T192" s="554"/>
      <c r="U192" s="554">
        <v>80</v>
      </c>
      <c r="V192" s="554">
        <v>2000000</v>
      </c>
      <c r="W192" s="554"/>
      <c r="X192" s="554">
        <v>92</v>
      </c>
      <c r="Y192" s="554" t="b">
        <v>1</v>
      </c>
      <c r="Z192" s="554">
        <v>2000000</v>
      </c>
      <c r="AA192" s="554"/>
      <c r="AB192" s="554">
        <v>92</v>
      </c>
      <c r="AC192" s="554"/>
      <c r="AD192" s="554"/>
      <c r="AE192" s="554"/>
      <c r="AF192" s="554"/>
      <c r="AG192" s="554"/>
      <c r="AH192" s="556"/>
      <c r="BO192" s="147"/>
      <c r="BP192" s="112">
        <v>90</v>
      </c>
      <c r="BQ192" s="229">
        <v>92</v>
      </c>
    </row>
    <row r="193" spans="2:34" ht="15" hidden="1" customHeight="1" outlineLevel="2">
      <c r="B193" s="2" t="s">
        <v>876</v>
      </c>
      <c r="C193" s="2">
        <v>45</v>
      </c>
      <c r="D193" s="557" t="s">
        <v>1064</v>
      </c>
      <c r="E193" s="559"/>
      <c r="F193" s="559"/>
      <c r="G193" s="558">
        <f>ROUNDUP(1000000/0.95,0)</f>
        <v>1052632</v>
      </c>
      <c r="H193" s="559" t="s">
        <v>1070</v>
      </c>
      <c r="I193" s="559"/>
      <c r="J193" s="559"/>
      <c r="K193" s="559"/>
      <c r="L193" s="559"/>
      <c r="M193" s="559"/>
      <c r="N193" s="559"/>
      <c r="O193" s="559" t="b">
        <v>0</v>
      </c>
      <c r="P193" s="559"/>
      <c r="Q193" s="559"/>
      <c r="R193" s="559"/>
      <c r="S193" s="559" t="b">
        <v>1</v>
      </c>
      <c r="T193" s="559"/>
      <c r="U193" s="559">
        <v>80</v>
      </c>
      <c r="V193" s="559"/>
      <c r="W193" s="559">
        <v>95</v>
      </c>
      <c r="X193" s="559">
        <v>97</v>
      </c>
      <c r="Y193" s="559" t="b">
        <v>1</v>
      </c>
      <c r="Z193" s="646">
        <v>1000000</v>
      </c>
      <c r="AA193" s="559">
        <v>95</v>
      </c>
      <c r="AB193" s="559">
        <v>97</v>
      </c>
      <c r="AC193" s="559"/>
      <c r="AD193" s="559"/>
      <c r="AE193" s="559"/>
      <c r="AF193" s="559"/>
      <c r="AG193" s="559"/>
      <c r="AH193" s="560"/>
    </row>
    <row r="194" spans="2:34" ht="15" hidden="1" customHeight="1" outlineLevel="2">
      <c r="B194" s="2" t="s">
        <v>876</v>
      </c>
      <c r="C194" s="2">
        <v>46</v>
      </c>
      <c r="D194" s="548" t="s">
        <v>1064</v>
      </c>
      <c r="E194" s="549"/>
      <c r="F194" s="549"/>
      <c r="G194" s="545">
        <f>ROUNDUP(1000000/0.9,0)</f>
        <v>1111112</v>
      </c>
      <c r="H194" s="546" t="s">
        <v>1070</v>
      </c>
      <c r="I194" s="546"/>
      <c r="J194" s="546"/>
      <c r="K194" s="546"/>
      <c r="L194" s="546"/>
      <c r="M194" s="546"/>
      <c r="N194" s="546"/>
      <c r="O194" s="546" t="b">
        <v>0</v>
      </c>
      <c r="P194" s="546"/>
      <c r="Q194" s="550"/>
      <c r="R194" s="550"/>
      <c r="S194" s="546" t="b">
        <v>1</v>
      </c>
      <c r="T194" s="546"/>
      <c r="U194" s="549">
        <v>80</v>
      </c>
      <c r="V194" s="549">
        <v>1000000</v>
      </c>
      <c r="W194" s="546"/>
      <c r="X194" s="550">
        <v>97</v>
      </c>
      <c r="Y194" s="550" t="b">
        <v>1</v>
      </c>
      <c r="Z194" s="646">
        <v>1000000</v>
      </c>
      <c r="AA194" s="546"/>
      <c r="AB194" s="550">
        <v>97</v>
      </c>
      <c r="AC194" s="550"/>
      <c r="AD194" s="550"/>
      <c r="AE194" s="550"/>
      <c r="AF194" s="550"/>
      <c r="AG194" s="550"/>
      <c r="AH194" s="552"/>
    </row>
    <row r="195" spans="2:34" hidden="1" outlineLevel="2">
      <c r="B195" s="2" t="s">
        <v>876</v>
      </c>
      <c r="C195" s="2">
        <v>47</v>
      </c>
      <c r="D195" s="544" t="s">
        <v>1064</v>
      </c>
      <c r="E195" s="545"/>
      <c r="F195" s="545"/>
      <c r="G195" s="545">
        <f>ROUNDUP(1500000/0.9,0)</f>
        <v>1666667</v>
      </c>
      <c r="H195" s="545" t="s">
        <v>1070</v>
      </c>
      <c r="I195" s="545"/>
      <c r="J195" s="545"/>
      <c r="K195" s="545"/>
      <c r="L195" s="545"/>
      <c r="M195" s="545"/>
      <c r="N195" s="545"/>
      <c r="O195" s="545" t="b">
        <v>0</v>
      </c>
      <c r="P195" s="545"/>
      <c r="Q195" s="545"/>
      <c r="R195" s="545"/>
      <c r="S195" s="545" t="b">
        <v>1</v>
      </c>
      <c r="T195" s="545"/>
      <c r="U195" s="545">
        <v>80</v>
      </c>
      <c r="V195" s="545"/>
      <c r="W195" s="545">
        <v>90</v>
      </c>
      <c r="X195" s="545">
        <v>97</v>
      </c>
      <c r="Y195" s="545" t="b">
        <v>1</v>
      </c>
      <c r="Z195" s="545">
        <v>1500000</v>
      </c>
      <c r="AA195" s="545">
        <v>90</v>
      </c>
      <c r="AB195" s="545">
        <v>97</v>
      </c>
      <c r="AC195" s="545"/>
      <c r="AD195" s="545"/>
      <c r="AE195" s="545"/>
      <c r="AF195" s="545"/>
      <c r="AG195" s="545"/>
      <c r="AH195" s="547"/>
    </row>
    <row r="196" spans="2:34" hidden="1" outlineLevel="2">
      <c r="B196" s="2" t="s">
        <v>876</v>
      </c>
      <c r="C196" s="2">
        <v>47</v>
      </c>
      <c r="D196" s="544" t="s">
        <v>1064</v>
      </c>
      <c r="E196" s="545"/>
      <c r="F196" s="545"/>
      <c r="G196" s="545">
        <f>ROUNDUP(1500000/0.9,0)</f>
        <v>1666667</v>
      </c>
      <c r="H196" s="545" t="s">
        <v>1070</v>
      </c>
      <c r="I196" s="545"/>
      <c r="J196" s="545"/>
      <c r="K196" s="545"/>
      <c r="L196" s="545"/>
      <c r="M196" s="545"/>
      <c r="N196" s="545"/>
      <c r="O196" s="545" t="b">
        <v>0</v>
      </c>
      <c r="P196" s="545"/>
      <c r="Q196" s="545"/>
      <c r="R196" s="545"/>
      <c r="S196" s="545" t="b">
        <v>0</v>
      </c>
      <c r="T196" s="545"/>
      <c r="U196" s="545">
        <v>80</v>
      </c>
      <c r="V196" s="545"/>
      <c r="W196" s="545">
        <v>90</v>
      </c>
      <c r="X196" s="545">
        <v>92</v>
      </c>
      <c r="Y196" s="545" t="b">
        <v>1</v>
      </c>
      <c r="Z196" s="545">
        <v>1500000</v>
      </c>
      <c r="AA196" s="545">
        <v>90</v>
      </c>
      <c r="AB196" s="545">
        <v>92</v>
      </c>
      <c r="AC196" s="545"/>
      <c r="AD196" s="545"/>
      <c r="AE196" s="545"/>
      <c r="AF196" s="545"/>
      <c r="AG196" s="545"/>
      <c r="AH196" s="547"/>
    </row>
    <row r="197" spans="2:34" hidden="1" outlineLevel="2">
      <c r="B197" s="2" t="s">
        <v>876</v>
      </c>
      <c r="C197" s="2">
        <v>47</v>
      </c>
      <c r="D197" s="544" t="s">
        <v>1064</v>
      </c>
      <c r="E197" s="545"/>
      <c r="F197" s="545"/>
      <c r="G197" s="545">
        <v>1875000</v>
      </c>
      <c r="H197" s="545" t="s">
        <v>1070</v>
      </c>
      <c r="I197" s="545"/>
      <c r="J197" s="545"/>
      <c r="K197" s="545"/>
      <c r="L197" s="545"/>
      <c r="M197" s="545"/>
      <c r="N197" s="545"/>
      <c r="O197" s="545" t="b">
        <v>0</v>
      </c>
      <c r="P197" s="545"/>
      <c r="Q197" s="545"/>
      <c r="R197" s="545"/>
      <c r="S197" s="545" t="b">
        <v>1</v>
      </c>
      <c r="T197" s="545"/>
      <c r="U197" s="545">
        <v>80</v>
      </c>
      <c r="V197" s="545">
        <v>1500000</v>
      </c>
      <c r="W197" s="545"/>
      <c r="X197" s="545">
        <v>97</v>
      </c>
      <c r="Y197" s="545" t="b">
        <v>1</v>
      </c>
      <c r="Z197" s="545">
        <v>1500000</v>
      </c>
      <c r="AA197" s="545"/>
      <c r="AB197" s="545">
        <v>97</v>
      </c>
      <c r="AC197" s="545"/>
      <c r="AD197" s="545"/>
      <c r="AE197" s="545"/>
      <c r="AF197" s="545"/>
      <c r="AG197" s="545"/>
      <c r="AH197" s="547"/>
    </row>
    <row r="198" spans="2:34" ht="15" hidden="1" customHeight="1" outlineLevel="2" thickBot="1">
      <c r="B198" s="2" t="s">
        <v>876</v>
      </c>
      <c r="C198" s="2">
        <v>48</v>
      </c>
      <c r="D198" s="561" t="s">
        <v>1064</v>
      </c>
      <c r="E198" s="562"/>
      <c r="F198" s="562"/>
      <c r="G198" s="562">
        <f>ROUNDUP(1500000/0.8,0)</f>
        <v>1875000</v>
      </c>
      <c r="H198" s="555" t="s">
        <v>1070</v>
      </c>
      <c r="I198" s="555"/>
      <c r="J198" s="555"/>
      <c r="K198" s="555"/>
      <c r="L198" s="555"/>
      <c r="M198" s="555"/>
      <c r="N198" s="555"/>
      <c r="O198" s="555" t="b">
        <v>0</v>
      </c>
      <c r="P198" s="555"/>
      <c r="Q198" s="563"/>
      <c r="R198" s="563"/>
      <c r="S198" s="563" t="b">
        <v>0</v>
      </c>
      <c r="T198" s="555"/>
      <c r="U198" s="562">
        <v>80</v>
      </c>
      <c r="V198" s="562">
        <v>1500000</v>
      </c>
      <c r="W198" s="555"/>
      <c r="X198" s="555">
        <v>92</v>
      </c>
      <c r="Y198" s="563" t="b">
        <v>1</v>
      </c>
      <c r="Z198" s="562">
        <v>1500000</v>
      </c>
      <c r="AA198" s="555"/>
      <c r="AB198" s="555">
        <v>92</v>
      </c>
      <c r="AC198" s="563"/>
      <c r="AD198" s="563"/>
      <c r="AE198" s="563"/>
      <c r="AF198" s="563"/>
      <c r="AG198" s="563"/>
      <c r="AH198" s="564"/>
    </row>
    <row r="199" spans="2:34" ht="15" hidden="1" customHeight="1" outlineLevel="2">
      <c r="B199" s="2" t="s">
        <v>876</v>
      </c>
      <c r="C199" s="2">
        <v>49</v>
      </c>
      <c r="D199" s="666" t="s">
        <v>1064</v>
      </c>
      <c r="E199" s="667"/>
      <c r="F199" s="667"/>
      <c r="G199" s="667">
        <f>ROUNDUP(500000/0.95,0)</f>
        <v>526316</v>
      </c>
      <c r="H199" s="667" t="s">
        <v>1075</v>
      </c>
      <c r="I199" s="667"/>
      <c r="J199" s="667"/>
      <c r="K199" s="667"/>
      <c r="L199" s="667"/>
      <c r="M199" s="667"/>
      <c r="N199" s="667"/>
      <c r="O199" s="667" t="b">
        <v>0</v>
      </c>
      <c r="P199" s="668" t="b">
        <v>0</v>
      </c>
      <c r="Q199" s="667"/>
      <c r="R199" s="667"/>
      <c r="S199" s="667" t="b">
        <v>1</v>
      </c>
      <c r="T199" s="669" t="s">
        <v>1076</v>
      </c>
      <c r="U199" s="667">
        <v>80</v>
      </c>
      <c r="V199" s="667"/>
      <c r="W199" s="667">
        <v>95</v>
      </c>
      <c r="X199" s="667">
        <v>97</v>
      </c>
      <c r="Y199" s="667" t="b">
        <v>1</v>
      </c>
      <c r="Z199" s="667">
        <v>500000</v>
      </c>
      <c r="AA199" s="667">
        <v>95</v>
      </c>
      <c r="AB199" s="667">
        <v>97</v>
      </c>
      <c r="AC199" s="667"/>
      <c r="AD199" s="667"/>
      <c r="AE199" s="667"/>
      <c r="AF199" s="667"/>
      <c r="AG199" s="667"/>
      <c r="AH199" s="670"/>
    </row>
    <row r="200" spans="2:34" ht="15" hidden="1" customHeight="1" outlineLevel="2">
      <c r="B200" s="2" t="s">
        <v>876</v>
      </c>
      <c r="C200" s="2">
        <v>50</v>
      </c>
      <c r="D200" s="634" t="s">
        <v>1064</v>
      </c>
      <c r="E200" s="635"/>
      <c r="F200" s="635"/>
      <c r="G200" s="635">
        <f>ROUNDUP(500000/0.9,0)</f>
        <v>555556</v>
      </c>
      <c r="H200" s="635" t="s">
        <v>1075</v>
      </c>
      <c r="I200" s="635"/>
      <c r="J200" s="635"/>
      <c r="K200" s="635"/>
      <c r="L200" s="635"/>
      <c r="M200" s="635"/>
      <c r="N200" s="635"/>
      <c r="O200" s="635" t="b">
        <v>0</v>
      </c>
      <c r="P200" s="671" t="b">
        <v>0</v>
      </c>
      <c r="Q200" s="635"/>
      <c r="R200" s="635"/>
      <c r="S200" s="635" t="b">
        <v>0</v>
      </c>
      <c r="T200" s="672" t="s">
        <v>1076</v>
      </c>
      <c r="U200" s="635">
        <v>80</v>
      </c>
      <c r="V200" s="635"/>
      <c r="W200" s="635">
        <v>90</v>
      </c>
      <c r="X200" s="635">
        <v>92</v>
      </c>
      <c r="Y200" s="635" t="b">
        <v>1</v>
      </c>
      <c r="Z200" s="635">
        <v>500000</v>
      </c>
      <c r="AA200" s="635">
        <v>90</v>
      </c>
      <c r="AB200" s="635">
        <v>92</v>
      </c>
      <c r="AC200" s="635"/>
      <c r="AD200" s="635"/>
      <c r="AE200" s="635"/>
      <c r="AF200" s="635"/>
      <c r="AG200" s="635"/>
      <c r="AH200" s="636"/>
    </row>
    <row r="201" spans="2:34" ht="15" hidden="1" customHeight="1" outlineLevel="2">
      <c r="B201" s="2" t="s">
        <v>876</v>
      </c>
      <c r="C201" s="2">
        <v>51</v>
      </c>
      <c r="D201" s="661" t="s">
        <v>1064</v>
      </c>
      <c r="E201" s="635"/>
      <c r="F201" s="635"/>
      <c r="G201" s="654">
        <f>ROUNDUP(500000/0.85,0)</f>
        <v>588236</v>
      </c>
      <c r="H201" s="653" t="s">
        <v>1075</v>
      </c>
      <c r="I201" s="635"/>
      <c r="J201" s="635"/>
      <c r="K201" s="635"/>
      <c r="L201" s="635"/>
      <c r="M201" s="635"/>
      <c r="N201" s="635"/>
      <c r="O201" s="635" t="b">
        <v>0</v>
      </c>
      <c r="P201" s="671" t="b">
        <v>0</v>
      </c>
      <c r="Q201" s="635"/>
      <c r="R201" s="635"/>
      <c r="S201" s="635" t="b">
        <v>1</v>
      </c>
      <c r="T201" s="673" t="s">
        <v>1076</v>
      </c>
      <c r="U201" s="654">
        <v>80</v>
      </c>
      <c r="V201" s="654">
        <v>500000</v>
      </c>
      <c r="W201" s="653"/>
      <c r="X201" s="655">
        <v>97</v>
      </c>
      <c r="Y201" s="655" t="b">
        <v>1</v>
      </c>
      <c r="Z201" s="654">
        <v>500000</v>
      </c>
      <c r="AA201" s="653"/>
      <c r="AB201" s="655">
        <v>97</v>
      </c>
      <c r="AC201" s="635"/>
      <c r="AD201" s="635"/>
      <c r="AE201" s="635"/>
      <c r="AF201" s="635"/>
      <c r="AG201" s="635"/>
      <c r="AH201" s="636"/>
    </row>
    <row r="202" spans="2:34" ht="15" hidden="1" customHeight="1" outlineLevel="2">
      <c r="B202" s="2" t="s">
        <v>876</v>
      </c>
      <c r="C202" s="2">
        <v>51</v>
      </c>
      <c r="D202" s="661" t="s">
        <v>1064</v>
      </c>
      <c r="E202" s="635"/>
      <c r="F202" s="635"/>
      <c r="G202" s="654">
        <f>ROUNDUP(500000/0.85,0)</f>
        <v>588236</v>
      </c>
      <c r="H202" s="653" t="s">
        <v>1075</v>
      </c>
      <c r="I202" s="635"/>
      <c r="J202" s="635"/>
      <c r="K202" s="635"/>
      <c r="L202" s="635"/>
      <c r="M202" s="635"/>
      <c r="N202" s="635"/>
      <c r="O202" s="635" t="b">
        <v>0</v>
      </c>
      <c r="P202" s="671" t="b">
        <v>0</v>
      </c>
      <c r="Q202" s="635"/>
      <c r="R202" s="635"/>
      <c r="S202" s="635" t="b">
        <v>0</v>
      </c>
      <c r="T202" s="673" t="s">
        <v>1076</v>
      </c>
      <c r="U202" s="654">
        <v>80</v>
      </c>
      <c r="V202" s="654">
        <v>500000</v>
      </c>
      <c r="W202" s="653"/>
      <c r="X202" s="655">
        <v>92</v>
      </c>
      <c r="Y202" s="655" t="b">
        <v>1</v>
      </c>
      <c r="Z202" s="654">
        <v>500000</v>
      </c>
      <c r="AA202" s="653"/>
      <c r="AB202" s="655">
        <v>92</v>
      </c>
      <c r="AC202" s="635"/>
      <c r="AD202" s="635"/>
      <c r="AE202" s="635"/>
      <c r="AF202" s="635"/>
      <c r="AG202" s="635"/>
      <c r="AH202" s="636"/>
    </row>
    <row r="203" spans="2:34" ht="15" hidden="1" customHeight="1" outlineLevel="2">
      <c r="B203" s="2" t="s">
        <v>876</v>
      </c>
      <c r="C203" s="2">
        <v>52</v>
      </c>
      <c r="D203" s="661" t="s">
        <v>1064</v>
      </c>
      <c r="E203" s="654"/>
      <c r="F203" s="654"/>
      <c r="G203" s="654">
        <f>ROUNDUP(750000/0.85,0)</f>
        <v>882353</v>
      </c>
      <c r="H203" s="653" t="s">
        <v>1075</v>
      </c>
      <c r="I203" s="653"/>
      <c r="J203" s="653"/>
      <c r="K203" s="653"/>
      <c r="L203" s="653"/>
      <c r="M203" s="653"/>
      <c r="N203" s="653"/>
      <c r="O203" s="653" t="b">
        <v>0</v>
      </c>
      <c r="P203" s="671" t="b">
        <v>0</v>
      </c>
      <c r="Q203" s="655"/>
      <c r="R203" s="655"/>
      <c r="S203" s="635" t="b">
        <v>1</v>
      </c>
      <c r="T203" s="673" t="s">
        <v>1076</v>
      </c>
      <c r="U203" s="654">
        <v>80</v>
      </c>
      <c r="V203" s="654"/>
      <c r="W203" s="653">
        <v>85</v>
      </c>
      <c r="X203" s="655">
        <v>97</v>
      </c>
      <c r="Y203" s="655" t="b">
        <v>1</v>
      </c>
      <c r="Z203" s="654">
        <v>750000</v>
      </c>
      <c r="AA203" s="653">
        <v>85</v>
      </c>
      <c r="AB203" s="655">
        <v>97</v>
      </c>
      <c r="AC203" s="655"/>
      <c r="AD203" s="655"/>
      <c r="AE203" s="655"/>
      <c r="AF203" s="655"/>
      <c r="AG203" s="655"/>
      <c r="AH203" s="662"/>
    </row>
    <row r="204" spans="2:34" ht="15" hidden="1" customHeight="1" outlineLevel="2">
      <c r="B204" s="2" t="s">
        <v>876</v>
      </c>
      <c r="C204" s="2">
        <v>52</v>
      </c>
      <c r="D204" s="661" t="s">
        <v>1064</v>
      </c>
      <c r="E204" s="654"/>
      <c r="F204" s="654"/>
      <c r="G204" s="654">
        <f>ROUNDUP(750000/0.85,0)</f>
        <v>882353</v>
      </c>
      <c r="H204" s="653" t="s">
        <v>1075</v>
      </c>
      <c r="I204" s="653"/>
      <c r="J204" s="653"/>
      <c r="K204" s="653"/>
      <c r="L204" s="653"/>
      <c r="M204" s="653"/>
      <c r="N204" s="653"/>
      <c r="O204" s="653" t="b">
        <v>0</v>
      </c>
      <c r="P204" s="671" t="b">
        <v>0</v>
      </c>
      <c r="Q204" s="655"/>
      <c r="R204" s="655"/>
      <c r="S204" s="635" t="b">
        <v>0</v>
      </c>
      <c r="T204" s="673" t="s">
        <v>1076</v>
      </c>
      <c r="U204" s="654">
        <v>80</v>
      </c>
      <c r="V204" s="654"/>
      <c r="W204" s="653">
        <v>85</v>
      </c>
      <c r="X204" s="655">
        <v>92</v>
      </c>
      <c r="Y204" s="655" t="b">
        <v>1</v>
      </c>
      <c r="Z204" s="654">
        <v>750000</v>
      </c>
      <c r="AA204" s="653">
        <v>85</v>
      </c>
      <c r="AB204" s="655">
        <v>92</v>
      </c>
      <c r="AC204" s="655"/>
      <c r="AD204" s="655"/>
      <c r="AE204" s="655"/>
      <c r="AF204" s="655"/>
      <c r="AG204" s="655"/>
      <c r="AH204" s="662"/>
    </row>
    <row r="205" spans="2:34" ht="15" hidden="1" customHeight="1" outlineLevel="2">
      <c r="B205" s="2" t="s">
        <v>876</v>
      </c>
      <c r="C205" s="2">
        <v>53</v>
      </c>
      <c r="D205" s="634" t="s">
        <v>1064</v>
      </c>
      <c r="E205" s="674"/>
      <c r="F205" s="674"/>
      <c r="G205" s="635">
        <f>ROUNDUP(750000/0.8,0)</f>
        <v>937500</v>
      </c>
      <c r="H205" s="635" t="s">
        <v>1075</v>
      </c>
      <c r="I205" s="635"/>
      <c r="J205" s="635"/>
      <c r="K205" s="635"/>
      <c r="L205" s="635"/>
      <c r="M205" s="635"/>
      <c r="N205" s="635"/>
      <c r="O205" s="635" t="b">
        <v>0</v>
      </c>
      <c r="P205" s="671" t="b">
        <v>0</v>
      </c>
      <c r="Q205" s="675"/>
      <c r="R205" s="675"/>
      <c r="S205" s="635" t="b">
        <v>1</v>
      </c>
      <c r="T205" s="672" t="s">
        <v>1076</v>
      </c>
      <c r="U205" s="635">
        <v>80</v>
      </c>
      <c r="V205" s="635">
        <v>750000</v>
      </c>
      <c r="W205" s="635"/>
      <c r="X205" s="635">
        <v>97</v>
      </c>
      <c r="Y205" s="635" t="b">
        <v>1</v>
      </c>
      <c r="Z205" s="635">
        <v>750000</v>
      </c>
      <c r="AA205" s="635"/>
      <c r="AB205" s="635">
        <v>97</v>
      </c>
      <c r="AC205" s="675"/>
      <c r="AD205" s="675"/>
      <c r="AE205" s="675"/>
      <c r="AF205" s="675"/>
      <c r="AG205" s="675"/>
      <c r="AH205" s="676"/>
    </row>
    <row r="206" spans="2:34" ht="15" hidden="1" customHeight="1" outlineLevel="2" thickBot="1">
      <c r="B206" s="2" t="s">
        <v>876</v>
      </c>
      <c r="C206" s="2">
        <v>53</v>
      </c>
      <c r="D206" s="663" t="s">
        <v>1064</v>
      </c>
      <c r="E206" s="677"/>
      <c r="F206" s="677"/>
      <c r="G206" s="664">
        <f>ROUNDUP(750000/0.8,0)</f>
        <v>937500</v>
      </c>
      <c r="H206" s="664" t="s">
        <v>1075</v>
      </c>
      <c r="I206" s="664"/>
      <c r="J206" s="664"/>
      <c r="K206" s="664"/>
      <c r="L206" s="664"/>
      <c r="M206" s="664"/>
      <c r="N206" s="664"/>
      <c r="O206" s="664" t="b">
        <v>0</v>
      </c>
      <c r="P206" s="678" t="b">
        <v>0</v>
      </c>
      <c r="Q206" s="679"/>
      <c r="R206" s="679"/>
      <c r="S206" s="664" t="b">
        <v>0</v>
      </c>
      <c r="T206" s="680" t="s">
        <v>1076</v>
      </c>
      <c r="U206" s="664">
        <v>80</v>
      </c>
      <c r="V206" s="664">
        <v>750000</v>
      </c>
      <c r="W206" s="664"/>
      <c r="X206" s="664">
        <v>92</v>
      </c>
      <c r="Y206" s="664" t="b">
        <v>1</v>
      </c>
      <c r="Z206" s="664">
        <v>750000</v>
      </c>
      <c r="AA206" s="664"/>
      <c r="AB206" s="664">
        <v>92</v>
      </c>
      <c r="AC206" s="679"/>
      <c r="AD206" s="679"/>
      <c r="AE206" s="679"/>
      <c r="AF206" s="679"/>
      <c r="AG206" s="679"/>
      <c r="AH206" s="681"/>
    </row>
    <row r="207" spans="2:34" hidden="1" outlineLevel="2">
      <c r="B207" s="2" t="s">
        <v>876</v>
      </c>
      <c r="C207" s="2">
        <v>54</v>
      </c>
      <c r="D207" s="548" t="s">
        <v>1077</v>
      </c>
      <c r="E207" s="546"/>
      <c r="F207" s="546"/>
      <c r="G207" s="545">
        <f>ROUNDUP(750000/0.9,0)</f>
        <v>833334</v>
      </c>
      <c r="H207" s="546" t="s">
        <v>1065</v>
      </c>
      <c r="I207" s="546"/>
      <c r="J207" s="546"/>
      <c r="K207" s="546"/>
      <c r="L207" s="546"/>
      <c r="M207" s="546"/>
      <c r="N207" s="546">
        <v>6</v>
      </c>
      <c r="O207" s="546" t="b">
        <v>0</v>
      </c>
      <c r="P207" s="546"/>
      <c r="Q207" s="546"/>
      <c r="R207" s="546"/>
      <c r="S207" s="624"/>
      <c r="T207" s="546"/>
      <c r="U207" s="545">
        <v>80</v>
      </c>
      <c r="V207" s="545"/>
      <c r="W207" s="545">
        <v>90</v>
      </c>
      <c r="X207" s="545">
        <v>97</v>
      </c>
      <c r="Y207" s="546" t="b">
        <v>1</v>
      </c>
      <c r="Z207" s="545">
        <v>750000</v>
      </c>
      <c r="AA207" s="545">
        <v>90</v>
      </c>
      <c r="AB207" s="545">
        <v>97</v>
      </c>
      <c r="AC207" s="546"/>
      <c r="AD207" s="546"/>
      <c r="AE207" s="546"/>
      <c r="AF207" s="546"/>
      <c r="AG207" s="546"/>
      <c r="AH207" s="568"/>
    </row>
    <row r="208" spans="2:34" ht="15" hidden="1" customHeight="1" outlineLevel="2">
      <c r="B208" s="2" t="s">
        <v>876</v>
      </c>
      <c r="C208" s="2">
        <v>55</v>
      </c>
      <c r="D208" s="544" t="s">
        <v>1077</v>
      </c>
      <c r="E208" s="565"/>
      <c r="F208" s="565"/>
      <c r="G208" s="549">
        <f>ROUNDUP(750000/0.85,0)</f>
        <v>882353</v>
      </c>
      <c r="H208" s="545" t="s">
        <v>1065</v>
      </c>
      <c r="I208" s="545"/>
      <c r="J208" s="545"/>
      <c r="K208" s="545"/>
      <c r="L208" s="545"/>
      <c r="M208" s="545"/>
      <c r="N208" s="545">
        <v>6</v>
      </c>
      <c r="O208" s="545" t="b">
        <v>0</v>
      </c>
      <c r="P208" s="545"/>
      <c r="Q208" s="566"/>
      <c r="R208" s="566"/>
      <c r="S208" s="545"/>
      <c r="T208" s="545"/>
      <c r="U208" s="549">
        <v>80</v>
      </c>
      <c r="V208" s="549">
        <v>750000</v>
      </c>
      <c r="W208" s="546"/>
      <c r="X208" s="550">
        <v>97</v>
      </c>
      <c r="Y208" s="566" t="b">
        <v>1</v>
      </c>
      <c r="Z208" s="549">
        <v>750000</v>
      </c>
      <c r="AA208" s="546"/>
      <c r="AB208" s="550">
        <v>97</v>
      </c>
      <c r="AC208" s="566"/>
      <c r="AD208" s="566"/>
      <c r="AE208" s="566"/>
      <c r="AF208" s="566"/>
      <c r="AG208" s="566"/>
      <c r="AH208" s="567"/>
    </row>
    <row r="209" spans="2:34" ht="15" hidden="1" customHeight="1" outlineLevel="2">
      <c r="B209" s="2" t="s">
        <v>876</v>
      </c>
      <c r="C209" s="2">
        <v>56</v>
      </c>
      <c r="D209" s="548" t="s">
        <v>1077</v>
      </c>
      <c r="E209" s="546"/>
      <c r="F209" s="546"/>
      <c r="G209" s="549">
        <f>ROUNDUP(1000000/0.85,0)</f>
        <v>1176471</v>
      </c>
      <c r="H209" s="546" t="s">
        <v>1065</v>
      </c>
      <c r="I209" s="546"/>
      <c r="J209" s="546"/>
      <c r="K209" s="546"/>
      <c r="L209" s="546"/>
      <c r="M209" s="546"/>
      <c r="N209" s="546">
        <v>6</v>
      </c>
      <c r="O209" s="546" t="b">
        <v>0</v>
      </c>
      <c r="P209" s="546"/>
      <c r="Q209" s="546"/>
      <c r="R209" s="546"/>
      <c r="S209" s="546"/>
      <c r="T209" s="546"/>
      <c r="U209" s="549">
        <v>80</v>
      </c>
      <c r="V209" s="549"/>
      <c r="W209" s="546">
        <v>85</v>
      </c>
      <c r="X209" s="550">
        <v>97</v>
      </c>
      <c r="Y209" s="546" t="b">
        <v>1</v>
      </c>
      <c r="Z209" s="549">
        <v>1000000</v>
      </c>
      <c r="AA209" s="546">
        <v>85</v>
      </c>
      <c r="AB209" s="550">
        <v>97</v>
      </c>
      <c r="AC209" s="546"/>
      <c r="AD209" s="546"/>
      <c r="AE209" s="546"/>
      <c r="AF209" s="546"/>
      <c r="AG209" s="546"/>
      <c r="AH209" s="568"/>
    </row>
    <row r="210" spans="2:34" ht="15" hidden="1" customHeight="1" outlineLevel="2" thickBot="1">
      <c r="B210" s="2" t="s">
        <v>876</v>
      </c>
      <c r="C210" s="2">
        <v>57</v>
      </c>
      <c r="D210" s="569" t="s">
        <v>1077</v>
      </c>
      <c r="E210" s="570"/>
      <c r="F210" s="570"/>
      <c r="G210" s="571">
        <f>ROUNDUP(1000000/0.8,0)</f>
        <v>1250000</v>
      </c>
      <c r="H210" s="571" t="s">
        <v>1065</v>
      </c>
      <c r="I210" s="571"/>
      <c r="J210" s="571"/>
      <c r="K210" s="571"/>
      <c r="L210" s="571"/>
      <c r="M210" s="571"/>
      <c r="N210" s="571">
        <v>6</v>
      </c>
      <c r="O210" s="571" t="b">
        <v>0</v>
      </c>
      <c r="P210" s="571"/>
      <c r="Q210" s="572"/>
      <c r="R210" s="572"/>
      <c r="S210" s="571"/>
      <c r="T210" s="571"/>
      <c r="U210" s="571">
        <v>80</v>
      </c>
      <c r="V210" s="571">
        <v>1000000</v>
      </c>
      <c r="W210" s="571"/>
      <c r="X210" s="571">
        <v>97</v>
      </c>
      <c r="Y210" s="572" t="b">
        <v>1</v>
      </c>
      <c r="Z210" s="571">
        <v>1000000</v>
      </c>
      <c r="AA210" s="571"/>
      <c r="AB210" s="571">
        <v>97</v>
      </c>
      <c r="AC210" s="572"/>
      <c r="AD210" s="572"/>
      <c r="AE210" s="572"/>
      <c r="AF210" s="572"/>
      <c r="AG210" s="572"/>
      <c r="AH210" s="573"/>
    </row>
    <row r="211" spans="2:34" hidden="1" outlineLevel="2">
      <c r="B211" s="2" t="s">
        <v>876</v>
      </c>
      <c r="C211" s="2">
        <v>58</v>
      </c>
      <c r="D211" s="548" t="s">
        <v>1077</v>
      </c>
      <c r="E211" s="546"/>
      <c r="F211" s="546"/>
      <c r="G211" s="545">
        <f>ROUNDUP(750000/0.9,0)</f>
        <v>833334</v>
      </c>
      <c r="H211" s="546" t="s">
        <v>1065</v>
      </c>
      <c r="I211" s="546"/>
      <c r="J211" s="546"/>
      <c r="K211" s="546"/>
      <c r="L211" s="546"/>
      <c r="M211" s="546"/>
      <c r="N211" s="546"/>
      <c r="O211" s="546" t="b">
        <v>0</v>
      </c>
      <c r="P211" s="546" t="b">
        <v>1</v>
      </c>
      <c r="Q211" s="546"/>
      <c r="R211" s="546"/>
      <c r="S211" s="546"/>
      <c r="T211" s="546"/>
      <c r="U211" s="545">
        <v>80</v>
      </c>
      <c r="V211" s="545"/>
      <c r="W211" s="545">
        <v>90</v>
      </c>
      <c r="X211" s="545">
        <v>90</v>
      </c>
      <c r="Y211" s="546" t="b">
        <v>1</v>
      </c>
      <c r="Z211" s="545">
        <v>750000</v>
      </c>
      <c r="AA211" s="545">
        <v>90</v>
      </c>
      <c r="AB211" s="545">
        <v>90</v>
      </c>
      <c r="AC211" s="546"/>
      <c r="AD211" s="546"/>
      <c r="AE211" s="546"/>
      <c r="AF211" s="546"/>
      <c r="AG211" s="546"/>
      <c r="AH211" s="568"/>
    </row>
    <row r="212" spans="2:34" ht="15" hidden="1" customHeight="1" outlineLevel="2">
      <c r="B212" s="2" t="s">
        <v>876</v>
      </c>
      <c r="C212" s="2">
        <v>59</v>
      </c>
      <c r="D212" s="544" t="s">
        <v>1077</v>
      </c>
      <c r="E212" s="565"/>
      <c r="F212" s="565"/>
      <c r="G212" s="549">
        <f>ROUNDUP(750000/0.85,0)</f>
        <v>882353</v>
      </c>
      <c r="H212" s="545" t="s">
        <v>1065</v>
      </c>
      <c r="I212" s="545"/>
      <c r="J212" s="545"/>
      <c r="K212" s="545"/>
      <c r="L212" s="545"/>
      <c r="M212" s="545"/>
      <c r="N212" s="545"/>
      <c r="O212" s="545" t="b">
        <v>0</v>
      </c>
      <c r="P212" s="545" t="b">
        <v>1</v>
      </c>
      <c r="Q212" s="566"/>
      <c r="R212" s="566"/>
      <c r="S212" s="545"/>
      <c r="T212" s="545"/>
      <c r="U212" s="549">
        <v>80</v>
      </c>
      <c r="V212" s="549">
        <v>750000</v>
      </c>
      <c r="W212" s="546"/>
      <c r="X212" s="550">
        <v>90</v>
      </c>
      <c r="Y212" s="566" t="b">
        <v>1</v>
      </c>
      <c r="Z212" s="549">
        <v>750000</v>
      </c>
      <c r="AA212" s="546"/>
      <c r="AB212" s="550">
        <v>90</v>
      </c>
      <c r="AC212" s="566"/>
      <c r="AD212" s="566"/>
      <c r="AE212" s="566"/>
      <c r="AF212" s="566"/>
      <c r="AG212" s="566"/>
      <c r="AH212" s="567"/>
    </row>
    <row r="213" spans="2:34" ht="15" hidden="1" customHeight="1" outlineLevel="2">
      <c r="B213" s="2" t="s">
        <v>876</v>
      </c>
      <c r="C213" s="2">
        <v>60</v>
      </c>
      <c r="D213" s="548" t="s">
        <v>1077</v>
      </c>
      <c r="E213" s="546"/>
      <c r="F213" s="546"/>
      <c r="G213" s="549">
        <f>ROUNDUP(1000000/0.85,0)</f>
        <v>1176471</v>
      </c>
      <c r="H213" s="546" t="s">
        <v>1065</v>
      </c>
      <c r="I213" s="546"/>
      <c r="J213" s="546"/>
      <c r="K213" s="546"/>
      <c r="L213" s="546"/>
      <c r="M213" s="546"/>
      <c r="N213" s="546"/>
      <c r="O213" s="546" t="b">
        <v>0</v>
      </c>
      <c r="P213" s="546" t="b">
        <v>1</v>
      </c>
      <c r="Q213" s="546"/>
      <c r="R213" s="546"/>
      <c r="S213" s="546"/>
      <c r="T213" s="546"/>
      <c r="U213" s="549">
        <v>80</v>
      </c>
      <c r="V213" s="549"/>
      <c r="W213" s="546">
        <v>85</v>
      </c>
      <c r="X213" s="550">
        <v>90</v>
      </c>
      <c r="Y213" s="546" t="b">
        <v>1</v>
      </c>
      <c r="Z213" s="549">
        <v>1000000</v>
      </c>
      <c r="AA213" s="546">
        <v>85</v>
      </c>
      <c r="AB213" s="550">
        <v>90</v>
      </c>
      <c r="AC213" s="546"/>
      <c r="AD213" s="546"/>
      <c r="AE213" s="546"/>
      <c r="AF213" s="546"/>
      <c r="AG213" s="546"/>
      <c r="AH213" s="568"/>
    </row>
    <row r="214" spans="2:34" ht="15" hidden="1" customHeight="1" outlineLevel="2" thickBot="1">
      <c r="B214" s="2" t="s">
        <v>876</v>
      </c>
      <c r="C214" s="2">
        <v>61</v>
      </c>
      <c r="D214" s="569" t="s">
        <v>1077</v>
      </c>
      <c r="E214" s="570"/>
      <c r="F214" s="570"/>
      <c r="G214" s="571">
        <f>ROUNDUP(1000000/0.8,0)</f>
        <v>1250000</v>
      </c>
      <c r="H214" s="571" t="s">
        <v>1065</v>
      </c>
      <c r="I214" s="571"/>
      <c r="J214" s="571"/>
      <c r="K214" s="571"/>
      <c r="L214" s="571"/>
      <c r="M214" s="571"/>
      <c r="N214" s="571"/>
      <c r="O214" s="571" t="b">
        <v>0</v>
      </c>
      <c r="P214" s="571" t="b">
        <v>1</v>
      </c>
      <c r="Q214" s="572"/>
      <c r="R214" s="572"/>
      <c r="S214" s="571"/>
      <c r="T214" s="571"/>
      <c r="U214" s="571">
        <v>80</v>
      </c>
      <c r="V214" s="571">
        <v>1000000</v>
      </c>
      <c r="W214" s="571"/>
      <c r="X214" s="571">
        <v>90</v>
      </c>
      <c r="Y214" s="572" t="b">
        <v>1</v>
      </c>
      <c r="Z214" s="571">
        <v>1000000</v>
      </c>
      <c r="AA214" s="571"/>
      <c r="AB214" s="571">
        <v>90</v>
      </c>
      <c r="AC214" s="572"/>
      <c r="AD214" s="572"/>
      <c r="AE214" s="572"/>
      <c r="AF214" s="572"/>
      <c r="AG214" s="572"/>
      <c r="AH214" s="573"/>
    </row>
    <row r="215" spans="2:34" hidden="1" outlineLevel="2">
      <c r="B215" s="2" t="s">
        <v>876</v>
      </c>
      <c r="C215" s="2">
        <v>62</v>
      </c>
      <c r="D215" s="548" t="s">
        <v>1077</v>
      </c>
      <c r="E215" s="546"/>
      <c r="F215" s="546"/>
      <c r="G215" s="545">
        <f>ROUNDUP(750000/0.9,0)</f>
        <v>833334</v>
      </c>
      <c r="H215" s="546" t="s">
        <v>1065</v>
      </c>
      <c r="I215" s="546"/>
      <c r="J215" s="546"/>
      <c r="K215" s="546"/>
      <c r="L215" s="546"/>
      <c r="M215" s="546"/>
      <c r="N215" s="546"/>
      <c r="O215" s="546" t="b">
        <v>0</v>
      </c>
      <c r="P215" s="546"/>
      <c r="Q215" s="546"/>
      <c r="R215" s="546"/>
      <c r="S215" s="546" t="b">
        <v>1</v>
      </c>
      <c r="T215" s="546"/>
      <c r="U215" s="545">
        <v>80</v>
      </c>
      <c r="V215" s="545"/>
      <c r="W215" s="545">
        <v>90</v>
      </c>
      <c r="X215" s="545">
        <v>97</v>
      </c>
      <c r="Y215" s="546" t="b">
        <v>1</v>
      </c>
      <c r="Z215" s="545">
        <v>750000</v>
      </c>
      <c r="AA215" s="545">
        <v>90</v>
      </c>
      <c r="AB215" s="545">
        <v>97</v>
      </c>
      <c r="AC215" s="546"/>
      <c r="AD215" s="546"/>
      <c r="AE215" s="546"/>
      <c r="AF215" s="546"/>
      <c r="AG215" s="546"/>
      <c r="AH215" s="568"/>
    </row>
    <row r="216" spans="2:34" ht="15" hidden="1" customHeight="1" outlineLevel="2">
      <c r="B216" s="2" t="s">
        <v>876</v>
      </c>
      <c r="C216" s="2">
        <v>63</v>
      </c>
      <c r="D216" s="544" t="s">
        <v>1077</v>
      </c>
      <c r="E216" s="565"/>
      <c r="F216" s="565"/>
      <c r="G216" s="549">
        <f>ROUNDUP(750000/0.85,0)</f>
        <v>882353</v>
      </c>
      <c r="H216" s="545" t="s">
        <v>1065</v>
      </c>
      <c r="I216" s="545"/>
      <c r="J216" s="545"/>
      <c r="K216" s="545"/>
      <c r="L216" s="545"/>
      <c r="M216" s="545"/>
      <c r="N216" s="545"/>
      <c r="O216" s="545" t="b">
        <v>0</v>
      </c>
      <c r="P216" s="545"/>
      <c r="Q216" s="566"/>
      <c r="R216" s="566"/>
      <c r="S216" s="545" t="b">
        <v>1</v>
      </c>
      <c r="T216" s="545"/>
      <c r="U216" s="549">
        <v>80</v>
      </c>
      <c r="V216" s="549">
        <v>750000</v>
      </c>
      <c r="W216" s="546"/>
      <c r="X216" s="550">
        <v>97</v>
      </c>
      <c r="Y216" s="566" t="b">
        <v>1</v>
      </c>
      <c r="Z216" s="549">
        <v>750000</v>
      </c>
      <c r="AA216" s="546"/>
      <c r="AB216" s="550">
        <v>97</v>
      </c>
      <c r="AC216" s="566"/>
      <c r="AD216" s="566"/>
      <c r="AE216" s="566"/>
      <c r="AF216" s="566"/>
      <c r="AG216" s="566"/>
      <c r="AH216" s="567"/>
    </row>
    <row r="217" spans="2:34" ht="15" hidden="1" customHeight="1" outlineLevel="2">
      <c r="B217" s="2" t="s">
        <v>876</v>
      </c>
      <c r="C217" s="2">
        <v>64</v>
      </c>
      <c r="D217" s="548" t="s">
        <v>1077</v>
      </c>
      <c r="E217" s="546"/>
      <c r="F217" s="546"/>
      <c r="G217" s="549">
        <f>ROUNDUP(1000000/0.85,0)</f>
        <v>1176471</v>
      </c>
      <c r="H217" s="546" t="s">
        <v>1065</v>
      </c>
      <c r="I217" s="546"/>
      <c r="J217" s="546"/>
      <c r="K217" s="546"/>
      <c r="L217" s="546"/>
      <c r="M217" s="546"/>
      <c r="N217" s="546"/>
      <c r="O217" s="546" t="b">
        <v>0</v>
      </c>
      <c r="P217" s="546"/>
      <c r="Q217" s="546"/>
      <c r="R217" s="546"/>
      <c r="S217" s="546" t="b">
        <v>1</v>
      </c>
      <c r="T217" s="546"/>
      <c r="U217" s="549">
        <v>80</v>
      </c>
      <c r="V217" s="549"/>
      <c r="W217" s="546">
        <v>85</v>
      </c>
      <c r="X217" s="550">
        <v>97</v>
      </c>
      <c r="Y217" s="546" t="b">
        <v>1</v>
      </c>
      <c r="Z217" s="549">
        <v>1000000</v>
      </c>
      <c r="AA217" s="546">
        <v>85</v>
      </c>
      <c r="AB217" s="550">
        <v>97</v>
      </c>
      <c r="AC217" s="546"/>
      <c r="AD217" s="546"/>
      <c r="AE217" s="546"/>
      <c r="AF217" s="546"/>
      <c r="AG217" s="546"/>
      <c r="AH217" s="568"/>
    </row>
    <row r="218" spans="2:34" ht="15" hidden="1" customHeight="1" outlineLevel="2" thickBot="1">
      <c r="B218" s="2" t="s">
        <v>876</v>
      </c>
      <c r="C218" s="2">
        <v>65</v>
      </c>
      <c r="D218" s="569" t="s">
        <v>1077</v>
      </c>
      <c r="E218" s="570"/>
      <c r="F218" s="570"/>
      <c r="G218" s="571">
        <f>ROUNDUP(1000000/0.8,0)</f>
        <v>1250000</v>
      </c>
      <c r="H218" s="571" t="s">
        <v>1065</v>
      </c>
      <c r="I218" s="571"/>
      <c r="J218" s="571"/>
      <c r="K218" s="571"/>
      <c r="L218" s="571"/>
      <c r="M218" s="571"/>
      <c r="N218" s="571"/>
      <c r="O218" s="571" t="b">
        <v>0</v>
      </c>
      <c r="P218" s="571"/>
      <c r="Q218" s="572"/>
      <c r="R218" s="572"/>
      <c r="S218" s="571" t="b">
        <v>1</v>
      </c>
      <c r="T218" s="571"/>
      <c r="U218" s="571">
        <v>80</v>
      </c>
      <c r="V218" s="571">
        <v>1000000</v>
      </c>
      <c r="W218" s="571"/>
      <c r="X218" s="571">
        <v>97</v>
      </c>
      <c r="Y218" s="572" t="b">
        <v>1</v>
      </c>
      <c r="Z218" s="571">
        <v>1000000</v>
      </c>
      <c r="AA218" s="571"/>
      <c r="AB218" s="571">
        <v>97</v>
      </c>
      <c r="AC218" s="572"/>
      <c r="AD218" s="572"/>
      <c r="AE218" s="572"/>
      <c r="AF218" s="572"/>
      <c r="AG218" s="572"/>
      <c r="AH218" s="573"/>
    </row>
    <row r="219" spans="2:34" hidden="1" outlineLevel="2">
      <c r="B219" s="2" t="s">
        <v>876</v>
      </c>
      <c r="C219" s="2">
        <v>62</v>
      </c>
      <c r="D219" s="548" t="s">
        <v>1077</v>
      </c>
      <c r="E219" s="546"/>
      <c r="F219" s="546"/>
      <c r="G219" s="545">
        <f>ROUNDUP(750000/0.9,0)</f>
        <v>833334</v>
      </c>
      <c r="H219" s="546" t="s">
        <v>1065</v>
      </c>
      <c r="I219" s="546"/>
      <c r="J219" s="546"/>
      <c r="K219" s="546"/>
      <c r="L219" s="546"/>
      <c r="M219" s="546"/>
      <c r="N219" s="546"/>
      <c r="O219" s="546" t="b">
        <v>0</v>
      </c>
      <c r="P219" s="546"/>
      <c r="Q219" s="546"/>
      <c r="R219" s="546"/>
      <c r="S219" s="546" t="b">
        <v>0</v>
      </c>
      <c r="T219" s="546"/>
      <c r="U219" s="545">
        <v>80</v>
      </c>
      <c r="V219" s="545"/>
      <c r="W219" s="545">
        <v>90</v>
      </c>
      <c r="X219" s="545">
        <v>92</v>
      </c>
      <c r="Y219" s="546" t="b">
        <v>1</v>
      </c>
      <c r="Z219" s="545">
        <v>750000</v>
      </c>
      <c r="AA219" s="545">
        <v>90</v>
      </c>
      <c r="AB219" s="545">
        <v>92</v>
      </c>
      <c r="AC219" s="546"/>
      <c r="AD219" s="546"/>
      <c r="AE219" s="546"/>
      <c r="AF219" s="546"/>
      <c r="AG219" s="546"/>
      <c r="AH219" s="568"/>
    </row>
    <row r="220" spans="2:34" ht="15" hidden="1" customHeight="1" outlineLevel="2">
      <c r="B220" s="2" t="s">
        <v>876</v>
      </c>
      <c r="C220" s="2">
        <v>63</v>
      </c>
      <c r="D220" s="544" t="s">
        <v>1077</v>
      </c>
      <c r="E220" s="565"/>
      <c r="F220" s="565"/>
      <c r="G220" s="549">
        <f>ROUNDUP(750000/0.85,0)</f>
        <v>882353</v>
      </c>
      <c r="H220" s="545" t="s">
        <v>1065</v>
      </c>
      <c r="I220" s="545"/>
      <c r="J220" s="545"/>
      <c r="K220" s="545"/>
      <c r="L220" s="545"/>
      <c r="M220" s="545"/>
      <c r="N220" s="545"/>
      <c r="O220" s="545" t="b">
        <v>0</v>
      </c>
      <c r="P220" s="545"/>
      <c r="Q220" s="566"/>
      <c r="R220" s="566"/>
      <c r="S220" s="545" t="b">
        <v>0</v>
      </c>
      <c r="T220" s="545"/>
      <c r="U220" s="549">
        <v>80</v>
      </c>
      <c r="V220" s="549">
        <v>750000</v>
      </c>
      <c r="W220" s="546"/>
      <c r="X220" s="550">
        <v>92</v>
      </c>
      <c r="Y220" s="566" t="b">
        <v>1</v>
      </c>
      <c r="Z220" s="549">
        <v>750000</v>
      </c>
      <c r="AA220" s="546"/>
      <c r="AB220" s="550">
        <v>92</v>
      </c>
      <c r="AC220" s="566"/>
      <c r="AD220" s="566"/>
      <c r="AE220" s="566"/>
      <c r="AF220" s="566"/>
      <c r="AG220" s="566"/>
      <c r="AH220" s="567"/>
    </row>
    <row r="221" spans="2:34" ht="15" hidden="1" customHeight="1" outlineLevel="2">
      <c r="B221" s="2" t="s">
        <v>876</v>
      </c>
      <c r="C221" s="2">
        <v>64</v>
      </c>
      <c r="D221" s="548" t="s">
        <v>1077</v>
      </c>
      <c r="E221" s="546"/>
      <c r="F221" s="546"/>
      <c r="G221" s="549">
        <f>ROUNDUP(1000000/0.85,0)</f>
        <v>1176471</v>
      </c>
      <c r="H221" s="546" t="s">
        <v>1065</v>
      </c>
      <c r="I221" s="546"/>
      <c r="J221" s="546"/>
      <c r="K221" s="546"/>
      <c r="L221" s="546"/>
      <c r="M221" s="546"/>
      <c r="N221" s="546"/>
      <c r="O221" s="546" t="b">
        <v>0</v>
      </c>
      <c r="P221" s="546"/>
      <c r="Q221" s="546"/>
      <c r="R221" s="546"/>
      <c r="S221" s="546" t="b">
        <v>0</v>
      </c>
      <c r="T221" s="546"/>
      <c r="U221" s="549">
        <v>80</v>
      </c>
      <c r="V221" s="549"/>
      <c r="W221" s="546">
        <v>85</v>
      </c>
      <c r="X221" s="550">
        <v>92</v>
      </c>
      <c r="Y221" s="546" t="b">
        <v>1</v>
      </c>
      <c r="Z221" s="549">
        <v>1000000</v>
      </c>
      <c r="AA221" s="546">
        <v>85</v>
      </c>
      <c r="AB221" s="550">
        <v>92</v>
      </c>
      <c r="AC221" s="546"/>
      <c r="AD221" s="546"/>
      <c r="AE221" s="546"/>
      <c r="AF221" s="546"/>
      <c r="AG221" s="546"/>
      <c r="AH221" s="568"/>
    </row>
    <row r="222" spans="2:34" ht="15" hidden="1" customHeight="1" outlineLevel="2" thickBot="1">
      <c r="B222" s="2" t="s">
        <v>876</v>
      </c>
      <c r="C222" s="2">
        <v>65</v>
      </c>
      <c r="D222" s="569" t="s">
        <v>1077</v>
      </c>
      <c r="E222" s="570"/>
      <c r="F222" s="570"/>
      <c r="G222" s="571">
        <f>ROUNDUP(1000000/0.8,0)</f>
        <v>1250000</v>
      </c>
      <c r="H222" s="571" t="s">
        <v>1065</v>
      </c>
      <c r="I222" s="571"/>
      <c r="J222" s="571"/>
      <c r="K222" s="571"/>
      <c r="L222" s="571"/>
      <c r="M222" s="571"/>
      <c r="N222" s="571"/>
      <c r="O222" s="571" t="b">
        <v>0</v>
      </c>
      <c r="P222" s="571"/>
      <c r="Q222" s="572"/>
      <c r="R222" s="572"/>
      <c r="S222" s="571" t="b">
        <v>0</v>
      </c>
      <c r="T222" s="571"/>
      <c r="U222" s="571">
        <v>80</v>
      </c>
      <c r="V222" s="571">
        <v>1000000</v>
      </c>
      <c r="W222" s="571"/>
      <c r="X222" s="571">
        <v>92</v>
      </c>
      <c r="Y222" s="572" t="b">
        <v>1</v>
      </c>
      <c r="Z222" s="571">
        <v>1000000</v>
      </c>
      <c r="AA222" s="571"/>
      <c r="AB222" s="571">
        <v>92</v>
      </c>
      <c r="AC222" s="572"/>
      <c r="AD222" s="572"/>
      <c r="AE222" s="572"/>
      <c r="AF222" s="572"/>
      <c r="AG222" s="572"/>
      <c r="AH222" s="573"/>
    </row>
    <row r="223" spans="2:34" ht="15" hidden="1" customHeight="1" outlineLevel="2">
      <c r="B223" s="2" t="s">
        <v>876</v>
      </c>
      <c r="C223" s="2">
        <v>66</v>
      </c>
      <c r="D223" s="449" t="s">
        <v>8414</v>
      </c>
      <c r="E223" s="114"/>
      <c r="F223" s="114"/>
      <c r="G223" s="114">
        <f>ROUNDUP(2500000/0.85,0)</f>
        <v>2941177</v>
      </c>
      <c r="H223" s="114" t="s">
        <v>1065</v>
      </c>
      <c r="I223" s="114"/>
      <c r="J223" s="114"/>
      <c r="K223" s="114"/>
      <c r="L223" s="114"/>
      <c r="M223" s="114"/>
      <c r="N223" s="114">
        <v>6</v>
      </c>
      <c r="O223" s="114" t="b">
        <v>0</v>
      </c>
      <c r="P223" s="114"/>
      <c r="Q223" s="114"/>
      <c r="R223" s="114"/>
      <c r="S223" s="114"/>
      <c r="T223" s="114"/>
      <c r="U223" s="114">
        <v>70</v>
      </c>
      <c r="V223" s="114"/>
      <c r="W223" s="114">
        <v>85</v>
      </c>
      <c r="X223" s="114">
        <v>97</v>
      </c>
      <c r="Y223" s="114" t="b">
        <v>1</v>
      </c>
      <c r="Z223" s="114">
        <v>2500000</v>
      </c>
      <c r="AA223" s="114">
        <v>85</v>
      </c>
      <c r="AB223" s="114">
        <v>97</v>
      </c>
      <c r="AC223" s="114"/>
      <c r="AD223" s="114"/>
      <c r="AE223" s="114"/>
      <c r="AF223" s="114"/>
      <c r="AG223" s="114"/>
      <c r="AH223" s="450"/>
    </row>
    <row r="224" spans="2:34" ht="15" hidden="1" customHeight="1" outlineLevel="2" thickBot="1">
      <c r="B224" s="2" t="s">
        <v>876</v>
      </c>
      <c r="C224" s="2">
        <v>67</v>
      </c>
      <c r="D224" s="453" t="s">
        <v>8414</v>
      </c>
      <c r="E224" s="454"/>
      <c r="F224" s="454"/>
      <c r="G224" s="454">
        <f>ROUNDUP(2500000/0.7,0)</f>
        <v>3571429</v>
      </c>
      <c r="H224" s="455" t="s">
        <v>1065</v>
      </c>
      <c r="I224" s="455"/>
      <c r="J224" s="455"/>
      <c r="K224" s="455"/>
      <c r="L224" s="455"/>
      <c r="M224" s="455"/>
      <c r="N224" s="455">
        <v>6</v>
      </c>
      <c r="O224" s="455" t="b">
        <v>0</v>
      </c>
      <c r="P224" s="455"/>
      <c r="Q224" s="456"/>
      <c r="R224" s="456"/>
      <c r="S224" s="455"/>
      <c r="T224" s="455"/>
      <c r="U224" s="454">
        <v>70</v>
      </c>
      <c r="V224" s="454">
        <v>2500000</v>
      </c>
      <c r="W224" s="455"/>
      <c r="X224" s="456">
        <v>97</v>
      </c>
      <c r="Y224" s="456" t="b">
        <v>1</v>
      </c>
      <c r="Z224" s="454">
        <v>2500000</v>
      </c>
      <c r="AA224" s="455"/>
      <c r="AB224" s="456">
        <v>97</v>
      </c>
      <c r="AC224" s="456"/>
      <c r="AD224" s="456"/>
      <c r="AE224" s="485"/>
      <c r="AF224" s="485"/>
      <c r="AG224" s="455"/>
      <c r="AH224" s="457"/>
    </row>
    <row r="225" spans="2:34" ht="15" hidden="1" customHeight="1" outlineLevel="2">
      <c r="B225" s="2" t="s">
        <v>876</v>
      </c>
      <c r="C225" s="2">
        <v>68</v>
      </c>
      <c r="D225" s="477" t="s">
        <v>8414</v>
      </c>
      <c r="E225" s="474"/>
      <c r="F225" s="474"/>
      <c r="G225" s="474">
        <f>ROUNDUP(2000000/0.85,0)</f>
        <v>2352942</v>
      </c>
      <c r="H225" s="254" t="s">
        <v>1069</v>
      </c>
      <c r="I225" s="254"/>
      <c r="J225" s="254"/>
      <c r="K225" s="254"/>
      <c r="L225" s="254"/>
      <c r="M225" s="254"/>
      <c r="N225" s="254">
        <v>6</v>
      </c>
      <c r="O225" s="254" t="b">
        <v>0</v>
      </c>
      <c r="P225" s="254"/>
      <c r="Q225" s="475"/>
      <c r="R225" s="475"/>
      <c r="S225" s="254"/>
      <c r="T225" s="254"/>
      <c r="U225" s="474">
        <v>70</v>
      </c>
      <c r="V225" s="474"/>
      <c r="W225" s="254">
        <v>85</v>
      </c>
      <c r="X225" s="475">
        <v>97</v>
      </c>
      <c r="Y225" s="475" t="b">
        <v>1</v>
      </c>
      <c r="Z225" s="474">
        <v>2000000</v>
      </c>
      <c r="AA225" s="254">
        <v>85</v>
      </c>
      <c r="AB225" s="475">
        <v>97</v>
      </c>
      <c r="AC225" s="475"/>
      <c r="AD225" s="475"/>
      <c r="AE225" s="486"/>
      <c r="AF225" s="486"/>
      <c r="AG225" s="254"/>
      <c r="AH225" s="476"/>
    </row>
    <row r="226" spans="2:34" ht="15" hidden="1" customHeight="1" outlineLevel="2" thickBot="1">
      <c r="B226" s="2" t="s">
        <v>876</v>
      </c>
      <c r="C226" s="2">
        <v>69</v>
      </c>
      <c r="D226" s="465" t="s">
        <v>8414</v>
      </c>
      <c r="E226" s="481"/>
      <c r="F226" s="481"/>
      <c r="G226" s="481">
        <f>ROUNDUP(2000000/0.7,0)</f>
        <v>2857143</v>
      </c>
      <c r="H226" s="466" t="s">
        <v>1069</v>
      </c>
      <c r="I226" s="466"/>
      <c r="J226" s="466"/>
      <c r="K226" s="466"/>
      <c r="L226" s="466"/>
      <c r="M226" s="466"/>
      <c r="N226" s="466">
        <v>6</v>
      </c>
      <c r="O226" s="466" t="b">
        <v>0</v>
      </c>
      <c r="P226" s="466"/>
      <c r="Q226" s="482"/>
      <c r="R226" s="482"/>
      <c r="S226" s="466"/>
      <c r="T226" s="466"/>
      <c r="U226" s="481">
        <v>70</v>
      </c>
      <c r="V226" s="481">
        <v>2000000</v>
      </c>
      <c r="W226" s="466"/>
      <c r="X226" s="482">
        <v>97</v>
      </c>
      <c r="Y226" s="482" t="b">
        <v>1</v>
      </c>
      <c r="Z226" s="481">
        <v>2000000</v>
      </c>
      <c r="AA226" s="466"/>
      <c r="AB226" s="482">
        <v>97</v>
      </c>
      <c r="AC226" s="482"/>
      <c r="AD226" s="482"/>
      <c r="AE226" s="482"/>
      <c r="AF226" s="482"/>
      <c r="AG226" s="482"/>
      <c r="AH226" s="483"/>
    </row>
    <row r="227" spans="2:34" ht="15" hidden="1" customHeight="1" outlineLevel="2">
      <c r="B227" s="2" t="s">
        <v>876</v>
      </c>
      <c r="C227" s="2">
        <v>70</v>
      </c>
      <c r="D227" s="449" t="s">
        <v>8414</v>
      </c>
      <c r="E227" s="114"/>
      <c r="F227" s="114"/>
      <c r="G227" s="114">
        <f>ROUNDUP(1500000/0.85,0)</f>
        <v>1764706</v>
      </c>
      <c r="H227" s="114" t="s">
        <v>1070</v>
      </c>
      <c r="I227" s="114"/>
      <c r="J227" s="114"/>
      <c r="K227" s="114"/>
      <c r="L227" s="114"/>
      <c r="M227" s="114"/>
      <c r="N227" s="114">
        <v>6</v>
      </c>
      <c r="O227" s="114" t="b">
        <v>0</v>
      </c>
      <c r="P227" s="114"/>
      <c r="Q227" s="114"/>
      <c r="R227" s="114"/>
      <c r="S227" s="114"/>
      <c r="T227" s="114"/>
      <c r="U227" s="114">
        <v>70</v>
      </c>
      <c r="V227" s="114"/>
      <c r="W227" s="114">
        <v>85</v>
      </c>
      <c r="X227" s="114">
        <v>97</v>
      </c>
      <c r="Y227" s="114" t="b">
        <v>1</v>
      </c>
      <c r="Z227" s="114">
        <v>1500000</v>
      </c>
      <c r="AA227" s="114">
        <v>85</v>
      </c>
      <c r="AB227" s="114">
        <v>97</v>
      </c>
      <c r="AC227" s="114"/>
      <c r="AD227" s="114"/>
      <c r="AE227" s="114"/>
      <c r="AF227" s="114"/>
      <c r="AG227" s="114"/>
      <c r="AH227" s="450"/>
    </row>
    <row r="228" spans="2:34" ht="15" hidden="1" customHeight="1" outlineLevel="2" thickBot="1">
      <c r="B228" s="2" t="s">
        <v>876</v>
      </c>
      <c r="C228" s="2">
        <v>71</v>
      </c>
      <c r="D228" s="489" t="s">
        <v>8414</v>
      </c>
      <c r="E228" s="451"/>
      <c r="F228" s="451"/>
      <c r="G228" s="451">
        <f>ROUNDUP(1500000/0.7,0)</f>
        <v>2142858</v>
      </c>
      <c r="H228" s="119" t="s">
        <v>1070</v>
      </c>
      <c r="I228" s="119"/>
      <c r="J228" s="119"/>
      <c r="K228" s="119"/>
      <c r="L228" s="119"/>
      <c r="M228" s="119"/>
      <c r="N228" s="119">
        <v>6</v>
      </c>
      <c r="O228" s="119" t="b">
        <v>0</v>
      </c>
      <c r="P228" s="119"/>
      <c r="Q228" s="452"/>
      <c r="R228" s="452"/>
      <c r="S228" s="119"/>
      <c r="T228" s="119"/>
      <c r="U228" s="451">
        <v>70</v>
      </c>
      <c r="V228" s="451">
        <v>1500000</v>
      </c>
      <c r="W228" s="119"/>
      <c r="X228" s="452">
        <v>97</v>
      </c>
      <c r="Y228" s="452" t="b">
        <v>1</v>
      </c>
      <c r="Z228" s="451">
        <v>1500000</v>
      </c>
      <c r="AA228" s="119"/>
      <c r="AB228" s="452">
        <v>97</v>
      </c>
      <c r="AC228" s="452"/>
      <c r="AD228" s="452"/>
      <c r="AE228" s="452"/>
      <c r="AF228" s="452"/>
      <c r="AG228" s="452"/>
      <c r="AH228" s="543"/>
    </row>
    <row r="229" spans="2:34" ht="15" hidden="1" customHeight="1" outlineLevel="2">
      <c r="B229" s="2" t="s">
        <v>876</v>
      </c>
      <c r="C229" s="2">
        <v>72</v>
      </c>
      <c r="D229" s="582" t="s">
        <v>8414</v>
      </c>
      <c r="E229" s="583"/>
      <c r="F229" s="583"/>
      <c r="G229" s="583">
        <f>ROUNDUP(750000/0.85,0)</f>
        <v>882353</v>
      </c>
      <c r="H229" s="584" t="s">
        <v>1075</v>
      </c>
      <c r="I229" s="584"/>
      <c r="J229" s="584"/>
      <c r="K229" s="584"/>
      <c r="L229" s="584"/>
      <c r="M229" s="584"/>
      <c r="N229" s="584">
        <v>6</v>
      </c>
      <c r="O229" s="584" t="b">
        <v>0</v>
      </c>
      <c r="P229" s="612" t="b">
        <v>0</v>
      </c>
      <c r="Q229" s="585"/>
      <c r="R229" s="585"/>
      <c r="S229" s="584"/>
      <c r="T229" s="584" t="s">
        <v>1076</v>
      </c>
      <c r="U229" s="583">
        <v>70</v>
      </c>
      <c r="V229" s="583"/>
      <c r="W229" s="584">
        <v>85</v>
      </c>
      <c r="X229" s="585">
        <v>97</v>
      </c>
      <c r="Y229" s="585" t="b">
        <v>1</v>
      </c>
      <c r="Z229" s="583">
        <v>750000</v>
      </c>
      <c r="AA229" s="584">
        <v>85</v>
      </c>
      <c r="AB229" s="585">
        <v>97</v>
      </c>
      <c r="AC229" s="585"/>
      <c r="AD229" s="585"/>
      <c r="AE229" s="586"/>
      <c r="AF229" s="586"/>
      <c r="AG229" s="584"/>
      <c r="AH229" s="587"/>
    </row>
    <row r="230" spans="2:34" ht="15" hidden="1" customHeight="1" outlineLevel="2" thickBot="1">
      <c r="B230" s="2" t="s">
        <v>876</v>
      </c>
      <c r="C230" s="2">
        <v>73</v>
      </c>
      <c r="D230" s="588" t="s">
        <v>8414</v>
      </c>
      <c r="E230" s="589"/>
      <c r="F230" s="589"/>
      <c r="G230" s="589">
        <f>ROUNDUP(750000/0.7,0)</f>
        <v>1071429</v>
      </c>
      <c r="H230" s="589" t="s">
        <v>1075</v>
      </c>
      <c r="I230" s="589"/>
      <c r="J230" s="589"/>
      <c r="K230" s="589"/>
      <c r="L230" s="589"/>
      <c r="M230" s="589"/>
      <c r="N230" s="589">
        <v>6</v>
      </c>
      <c r="O230" s="589" t="b">
        <v>0</v>
      </c>
      <c r="P230" s="613" t="b">
        <v>0</v>
      </c>
      <c r="Q230" s="589"/>
      <c r="R230" s="589"/>
      <c r="S230" s="589"/>
      <c r="T230" s="589" t="s">
        <v>1076</v>
      </c>
      <c r="U230" s="589">
        <v>70</v>
      </c>
      <c r="V230" s="589">
        <v>750000</v>
      </c>
      <c r="W230" s="589"/>
      <c r="X230" s="589">
        <v>97</v>
      </c>
      <c r="Y230" s="589" t="b">
        <v>1</v>
      </c>
      <c r="Z230" s="589">
        <v>750000</v>
      </c>
      <c r="AA230" s="589"/>
      <c r="AB230" s="589">
        <v>97</v>
      </c>
      <c r="AC230" s="589"/>
      <c r="AD230" s="589"/>
      <c r="AE230" s="589"/>
      <c r="AF230" s="589"/>
      <c r="AG230" s="589"/>
      <c r="AH230" s="590"/>
    </row>
    <row r="231" spans="2:34" ht="15" hidden="1" customHeight="1" outlineLevel="2">
      <c r="B231" s="2" t="s">
        <v>876</v>
      </c>
      <c r="C231" s="2">
        <v>74</v>
      </c>
      <c r="D231" s="458" t="s">
        <v>8414</v>
      </c>
      <c r="E231" s="134"/>
      <c r="F231" s="134"/>
      <c r="G231" s="134">
        <f>ROUNDUP(2500000/0.85,0)</f>
        <v>2941177</v>
      </c>
      <c r="H231" s="134" t="s">
        <v>1065</v>
      </c>
      <c r="I231" s="134"/>
      <c r="J231" s="134"/>
      <c r="K231" s="134"/>
      <c r="L231" s="134"/>
      <c r="M231" s="134"/>
      <c r="N231" s="134"/>
      <c r="O231" s="134" t="b">
        <v>0</v>
      </c>
      <c r="P231" s="134" t="b">
        <v>1</v>
      </c>
      <c r="Q231" s="134"/>
      <c r="R231" s="134"/>
      <c r="S231" s="134"/>
      <c r="T231" s="134"/>
      <c r="U231" s="134">
        <v>70</v>
      </c>
      <c r="V231" s="134"/>
      <c r="W231" s="134">
        <v>85</v>
      </c>
      <c r="X231" s="134">
        <v>90</v>
      </c>
      <c r="Y231" s="134" t="b">
        <v>1</v>
      </c>
      <c r="Z231" s="134">
        <v>2500000</v>
      </c>
      <c r="AA231" s="134">
        <v>85</v>
      </c>
      <c r="AB231" s="134">
        <v>90</v>
      </c>
      <c r="AC231" s="134"/>
      <c r="AD231" s="134"/>
      <c r="AE231" s="134"/>
      <c r="AF231" s="134"/>
      <c r="AG231" s="134"/>
      <c r="AH231" s="459"/>
    </row>
    <row r="232" spans="2:34" ht="15" hidden="1" customHeight="1" outlineLevel="2" thickBot="1">
      <c r="B232" s="2" t="s">
        <v>876</v>
      </c>
      <c r="C232" s="2">
        <v>75</v>
      </c>
      <c r="D232" s="453" t="s">
        <v>8414</v>
      </c>
      <c r="E232" s="454"/>
      <c r="F232" s="454"/>
      <c r="G232" s="454">
        <f>ROUNDUP(2500000/0.7,0)</f>
        <v>3571429</v>
      </c>
      <c r="H232" s="455" t="s">
        <v>1065</v>
      </c>
      <c r="I232" s="455"/>
      <c r="J232" s="455"/>
      <c r="K232" s="455"/>
      <c r="L232" s="455"/>
      <c r="M232" s="455"/>
      <c r="N232" s="455"/>
      <c r="O232" s="455" t="b">
        <v>0</v>
      </c>
      <c r="P232" s="455" t="b">
        <v>1</v>
      </c>
      <c r="Q232" s="456"/>
      <c r="R232" s="456"/>
      <c r="S232" s="455"/>
      <c r="T232" s="455"/>
      <c r="U232" s="454">
        <v>70</v>
      </c>
      <c r="V232" s="454">
        <v>2500000</v>
      </c>
      <c r="W232" s="455"/>
      <c r="X232" s="456">
        <v>90</v>
      </c>
      <c r="Y232" s="456" t="b">
        <v>1</v>
      </c>
      <c r="Z232" s="454">
        <v>2500000</v>
      </c>
      <c r="AA232" s="455"/>
      <c r="AB232" s="456">
        <v>90</v>
      </c>
      <c r="AC232" s="456"/>
      <c r="AD232" s="456"/>
      <c r="AE232" s="485"/>
      <c r="AF232" s="485"/>
      <c r="AG232" s="455"/>
      <c r="AH232" s="457"/>
    </row>
    <row r="233" spans="2:34" ht="15" hidden="1" customHeight="1" outlineLevel="2">
      <c r="B233" s="2" t="s">
        <v>876</v>
      </c>
      <c r="C233" s="2">
        <v>76</v>
      </c>
      <c r="D233" s="477" t="s">
        <v>8414</v>
      </c>
      <c r="E233" s="474"/>
      <c r="F233" s="474"/>
      <c r="G233" s="474">
        <f>ROUNDUP(2000000/0.85,0)</f>
        <v>2352942</v>
      </c>
      <c r="H233" s="254" t="s">
        <v>1069</v>
      </c>
      <c r="I233" s="254"/>
      <c r="J233" s="254"/>
      <c r="K233" s="254"/>
      <c r="L233" s="254"/>
      <c r="M233" s="254"/>
      <c r="N233" s="254"/>
      <c r="O233" s="254" t="b">
        <v>0</v>
      </c>
      <c r="P233" s="254" t="b">
        <v>1</v>
      </c>
      <c r="Q233" s="475"/>
      <c r="R233" s="475"/>
      <c r="S233" s="254"/>
      <c r="T233" s="254"/>
      <c r="U233" s="474">
        <v>70</v>
      </c>
      <c r="V233" s="474"/>
      <c r="W233" s="254">
        <v>85</v>
      </c>
      <c r="X233" s="475">
        <v>90</v>
      </c>
      <c r="Y233" s="475" t="b">
        <v>1</v>
      </c>
      <c r="Z233" s="474">
        <v>2000000</v>
      </c>
      <c r="AA233" s="254">
        <v>85</v>
      </c>
      <c r="AB233" s="475">
        <v>90</v>
      </c>
      <c r="AC233" s="475"/>
      <c r="AD233" s="475"/>
      <c r="AE233" s="486"/>
      <c r="AF233" s="486"/>
      <c r="AG233" s="254"/>
      <c r="AH233" s="476"/>
    </row>
    <row r="234" spans="2:34" ht="15" hidden="1" customHeight="1" outlineLevel="2" thickBot="1">
      <c r="B234" s="2" t="s">
        <v>876</v>
      </c>
      <c r="C234" s="2">
        <v>77</v>
      </c>
      <c r="D234" s="465" t="s">
        <v>8414</v>
      </c>
      <c r="E234" s="481"/>
      <c r="F234" s="481"/>
      <c r="G234" s="481">
        <f>ROUNDUP(2000000/0.7,0)</f>
        <v>2857143</v>
      </c>
      <c r="H234" s="466" t="s">
        <v>1069</v>
      </c>
      <c r="I234" s="466"/>
      <c r="J234" s="466"/>
      <c r="K234" s="466"/>
      <c r="L234" s="466"/>
      <c r="M234" s="466"/>
      <c r="N234" s="466"/>
      <c r="O234" s="466" t="b">
        <v>0</v>
      </c>
      <c r="P234" s="466" t="b">
        <v>1</v>
      </c>
      <c r="Q234" s="482"/>
      <c r="R234" s="482"/>
      <c r="S234" s="466"/>
      <c r="T234" s="466"/>
      <c r="U234" s="481">
        <v>70</v>
      </c>
      <c r="V234" s="481">
        <v>2000000</v>
      </c>
      <c r="W234" s="466"/>
      <c r="X234" s="482">
        <v>90</v>
      </c>
      <c r="Y234" s="482" t="b">
        <v>1</v>
      </c>
      <c r="Z234" s="481">
        <v>2000000</v>
      </c>
      <c r="AA234" s="466"/>
      <c r="AB234" s="482">
        <v>90</v>
      </c>
      <c r="AC234" s="482"/>
      <c r="AD234" s="482"/>
      <c r="AE234" s="482"/>
      <c r="AF234" s="482"/>
      <c r="AG234" s="482"/>
      <c r="AH234" s="483"/>
    </row>
    <row r="235" spans="2:34" ht="15" hidden="1" customHeight="1" outlineLevel="2">
      <c r="B235" s="2" t="s">
        <v>876</v>
      </c>
      <c r="C235" s="2">
        <v>78</v>
      </c>
      <c r="D235" s="449" t="s">
        <v>8414</v>
      </c>
      <c r="E235" s="114"/>
      <c r="F235" s="114"/>
      <c r="G235" s="114">
        <f>ROUNDUP(1500000/0.85,0)</f>
        <v>1764706</v>
      </c>
      <c r="H235" s="114" t="s">
        <v>1070</v>
      </c>
      <c r="I235" s="114"/>
      <c r="J235" s="114"/>
      <c r="K235" s="114"/>
      <c r="L235" s="114"/>
      <c r="M235" s="114"/>
      <c r="N235" s="114"/>
      <c r="O235" s="114" t="b">
        <v>0</v>
      </c>
      <c r="P235" s="114" t="b">
        <v>1</v>
      </c>
      <c r="Q235" s="114"/>
      <c r="R235" s="114"/>
      <c r="S235" s="114"/>
      <c r="T235" s="114"/>
      <c r="U235" s="114">
        <v>70</v>
      </c>
      <c r="V235" s="114"/>
      <c r="W235" s="114">
        <v>85</v>
      </c>
      <c r="X235" s="114">
        <v>90</v>
      </c>
      <c r="Y235" s="114" t="b">
        <v>1</v>
      </c>
      <c r="Z235" s="114">
        <v>1500000</v>
      </c>
      <c r="AA235" s="114">
        <v>85</v>
      </c>
      <c r="AB235" s="114">
        <v>90</v>
      </c>
      <c r="AC235" s="114"/>
      <c r="AD235" s="114"/>
      <c r="AE235" s="114"/>
      <c r="AF235" s="114"/>
      <c r="AG235" s="114"/>
      <c r="AH235" s="450"/>
    </row>
    <row r="236" spans="2:34" ht="15" hidden="1" customHeight="1" outlineLevel="2" thickBot="1">
      <c r="B236" s="2" t="s">
        <v>876</v>
      </c>
      <c r="C236" s="2">
        <v>79</v>
      </c>
      <c r="D236" s="489" t="s">
        <v>8414</v>
      </c>
      <c r="E236" s="451"/>
      <c r="F236" s="451"/>
      <c r="G236" s="451">
        <f>ROUNDUP(1500000/0.7,0)</f>
        <v>2142858</v>
      </c>
      <c r="H236" s="119" t="s">
        <v>1070</v>
      </c>
      <c r="I236" s="119"/>
      <c r="J236" s="119"/>
      <c r="K236" s="119"/>
      <c r="L236" s="119"/>
      <c r="M236" s="119"/>
      <c r="N236" s="119"/>
      <c r="O236" s="119" t="b">
        <v>0</v>
      </c>
      <c r="P236" s="119" t="b">
        <v>1</v>
      </c>
      <c r="Q236" s="452"/>
      <c r="R236" s="452"/>
      <c r="S236" s="119"/>
      <c r="T236" s="119"/>
      <c r="U236" s="451">
        <v>70</v>
      </c>
      <c r="V236" s="451">
        <v>1500000</v>
      </c>
      <c r="W236" s="119"/>
      <c r="X236" s="452">
        <v>90</v>
      </c>
      <c r="Y236" s="452" t="b">
        <v>1</v>
      </c>
      <c r="Z236" s="451">
        <v>1500000</v>
      </c>
      <c r="AA236" s="119"/>
      <c r="AB236" s="452">
        <v>90</v>
      </c>
      <c r="AC236" s="452"/>
      <c r="AD236" s="452"/>
      <c r="AE236" s="452"/>
      <c r="AF236" s="452"/>
      <c r="AG236" s="452"/>
      <c r="AH236" s="543"/>
    </row>
    <row r="237" spans="2:34" ht="15" hidden="1" customHeight="1" outlineLevel="2">
      <c r="B237" s="2" t="s">
        <v>876</v>
      </c>
      <c r="C237" s="2">
        <v>80</v>
      </c>
      <c r="D237" s="614" t="s">
        <v>8414</v>
      </c>
      <c r="E237" s="615"/>
      <c r="F237" s="615"/>
      <c r="G237" s="615">
        <f>ROUNDUP(2500000/0.85,0)</f>
        <v>2941177</v>
      </c>
      <c r="H237" s="615" t="s">
        <v>1065</v>
      </c>
      <c r="I237" s="615"/>
      <c r="J237" s="615"/>
      <c r="K237" s="615"/>
      <c r="L237" s="615"/>
      <c r="M237" s="615"/>
      <c r="N237" s="615"/>
      <c r="O237" s="615" t="b">
        <v>0</v>
      </c>
      <c r="P237" s="615"/>
      <c r="Q237" s="615"/>
      <c r="R237" s="615"/>
      <c r="S237" s="615" t="b">
        <v>1</v>
      </c>
      <c r="T237" s="615"/>
      <c r="U237" s="615">
        <v>70</v>
      </c>
      <c r="V237" s="615"/>
      <c r="W237" s="615">
        <v>85</v>
      </c>
      <c r="X237" s="615">
        <v>97</v>
      </c>
      <c r="Y237" s="615" t="b">
        <v>1</v>
      </c>
      <c r="Z237" s="615">
        <v>2500000</v>
      </c>
      <c r="AA237" s="615">
        <v>85</v>
      </c>
      <c r="AB237" s="615">
        <v>97</v>
      </c>
      <c r="AC237" s="615"/>
      <c r="AD237" s="615"/>
      <c r="AE237" s="615"/>
      <c r="AF237" s="615"/>
      <c r="AG237" s="615"/>
      <c r="AH237" s="616"/>
    </row>
    <row r="238" spans="2:34" ht="15" hidden="1" customHeight="1" outlineLevel="2" thickBot="1">
      <c r="B238" s="2" t="s">
        <v>876</v>
      </c>
      <c r="C238" s="2">
        <v>81</v>
      </c>
      <c r="D238" s="453" t="s">
        <v>8414</v>
      </c>
      <c r="E238" s="454"/>
      <c r="F238" s="454"/>
      <c r="G238" s="454">
        <f>ROUNDUP(2500000/0.7,0)</f>
        <v>3571429</v>
      </c>
      <c r="H238" s="455" t="s">
        <v>1065</v>
      </c>
      <c r="I238" s="455"/>
      <c r="J238" s="455"/>
      <c r="K238" s="455"/>
      <c r="L238" s="455"/>
      <c r="M238" s="455"/>
      <c r="N238" s="455"/>
      <c r="O238" s="455" t="b">
        <v>0</v>
      </c>
      <c r="P238" s="455"/>
      <c r="Q238" s="456"/>
      <c r="R238" s="456"/>
      <c r="S238" s="455" t="b">
        <v>1</v>
      </c>
      <c r="T238" s="455"/>
      <c r="U238" s="454">
        <v>70</v>
      </c>
      <c r="V238" s="454">
        <v>2500000</v>
      </c>
      <c r="W238" s="455"/>
      <c r="X238" s="456">
        <v>97</v>
      </c>
      <c r="Y238" s="456" t="b">
        <v>1</v>
      </c>
      <c r="Z238" s="454">
        <v>2500000</v>
      </c>
      <c r="AA238" s="455"/>
      <c r="AB238" s="456">
        <v>97</v>
      </c>
      <c r="AC238" s="456"/>
      <c r="AD238" s="456"/>
      <c r="AE238" s="485"/>
      <c r="AF238" s="485"/>
      <c r="AG238" s="455"/>
      <c r="AH238" s="457"/>
    </row>
    <row r="239" spans="2:34" ht="15" hidden="1" customHeight="1" outlineLevel="2">
      <c r="B239" s="2" t="s">
        <v>876</v>
      </c>
      <c r="C239" s="2">
        <v>82</v>
      </c>
      <c r="D239" s="477" t="s">
        <v>8414</v>
      </c>
      <c r="E239" s="474"/>
      <c r="F239" s="474"/>
      <c r="G239" s="474">
        <f>ROUNDUP(2000000/0.85,0)</f>
        <v>2352942</v>
      </c>
      <c r="H239" s="254" t="s">
        <v>1069</v>
      </c>
      <c r="I239" s="254"/>
      <c r="J239" s="254"/>
      <c r="K239" s="254"/>
      <c r="L239" s="254"/>
      <c r="M239" s="254"/>
      <c r="N239" s="254"/>
      <c r="O239" s="254" t="b">
        <v>0</v>
      </c>
      <c r="P239" s="254"/>
      <c r="Q239" s="475"/>
      <c r="R239" s="475"/>
      <c r="S239" s="254" t="b">
        <v>1</v>
      </c>
      <c r="T239" s="254"/>
      <c r="U239" s="474">
        <v>70</v>
      </c>
      <c r="V239" s="474"/>
      <c r="W239" s="254">
        <v>85</v>
      </c>
      <c r="X239" s="475">
        <v>97</v>
      </c>
      <c r="Y239" s="475" t="b">
        <v>1</v>
      </c>
      <c r="Z239" s="474">
        <v>2000000</v>
      </c>
      <c r="AA239" s="254">
        <v>85</v>
      </c>
      <c r="AB239" s="475">
        <v>97</v>
      </c>
      <c r="AC239" s="475"/>
      <c r="AD239" s="475"/>
      <c r="AE239" s="486"/>
      <c r="AF239" s="486"/>
      <c r="AG239" s="254"/>
      <c r="AH239" s="476"/>
    </row>
    <row r="240" spans="2:34" ht="15" hidden="1" customHeight="1" outlineLevel="2" thickBot="1">
      <c r="B240" s="2" t="s">
        <v>876</v>
      </c>
      <c r="C240" s="2">
        <v>83</v>
      </c>
      <c r="D240" s="465" t="s">
        <v>8414</v>
      </c>
      <c r="E240" s="481"/>
      <c r="F240" s="481"/>
      <c r="G240" s="481">
        <f>ROUNDUP(2000000/0.7,0)</f>
        <v>2857143</v>
      </c>
      <c r="H240" s="466" t="s">
        <v>1069</v>
      </c>
      <c r="I240" s="466"/>
      <c r="J240" s="466"/>
      <c r="K240" s="466"/>
      <c r="L240" s="466"/>
      <c r="M240" s="466"/>
      <c r="N240" s="466"/>
      <c r="O240" s="466" t="b">
        <v>0</v>
      </c>
      <c r="P240" s="466"/>
      <c r="Q240" s="482"/>
      <c r="R240" s="482"/>
      <c r="S240" s="466" t="b">
        <v>1</v>
      </c>
      <c r="T240" s="466"/>
      <c r="U240" s="481">
        <v>70</v>
      </c>
      <c r="V240" s="481">
        <v>2000000</v>
      </c>
      <c r="W240" s="466"/>
      <c r="X240" s="482">
        <v>97</v>
      </c>
      <c r="Y240" s="482" t="b">
        <v>1</v>
      </c>
      <c r="Z240" s="481">
        <v>2000000</v>
      </c>
      <c r="AA240" s="466"/>
      <c r="AB240" s="482">
        <v>97</v>
      </c>
      <c r="AC240" s="482"/>
      <c r="AD240" s="482"/>
      <c r="AE240" s="482"/>
      <c r="AF240" s="482"/>
      <c r="AG240" s="482"/>
      <c r="AH240" s="483"/>
    </row>
    <row r="241" spans="2:34" ht="15" hidden="1" customHeight="1" outlineLevel="2">
      <c r="B241" s="2" t="s">
        <v>876</v>
      </c>
      <c r="C241" s="2">
        <v>84</v>
      </c>
      <c r="D241" s="449" t="s">
        <v>8414</v>
      </c>
      <c r="E241" s="114"/>
      <c r="F241" s="114"/>
      <c r="G241" s="114">
        <f>ROUNDUP(1500000/0.85,0)</f>
        <v>1764706</v>
      </c>
      <c r="H241" s="114" t="s">
        <v>1070</v>
      </c>
      <c r="I241" s="114"/>
      <c r="J241" s="114"/>
      <c r="K241" s="114"/>
      <c r="L241" s="114"/>
      <c r="M241" s="114"/>
      <c r="N241" s="114"/>
      <c r="O241" s="114" t="b">
        <v>0</v>
      </c>
      <c r="P241" s="114"/>
      <c r="Q241" s="114"/>
      <c r="R241" s="114"/>
      <c r="S241" s="114" t="b">
        <v>1</v>
      </c>
      <c r="T241" s="114"/>
      <c r="U241" s="114">
        <v>70</v>
      </c>
      <c r="V241" s="114"/>
      <c r="W241" s="114">
        <v>85</v>
      </c>
      <c r="X241" s="114">
        <v>97</v>
      </c>
      <c r="Y241" s="114" t="b">
        <v>1</v>
      </c>
      <c r="Z241" s="114">
        <v>1500000</v>
      </c>
      <c r="AA241" s="114">
        <v>85</v>
      </c>
      <c r="AB241" s="114">
        <v>97</v>
      </c>
      <c r="AC241" s="114"/>
      <c r="AD241" s="114"/>
      <c r="AE241" s="114"/>
      <c r="AF241" s="114"/>
      <c r="AG241" s="114"/>
      <c r="AH241" s="450"/>
    </row>
    <row r="242" spans="2:34" ht="15" hidden="1" customHeight="1" outlineLevel="2" thickBot="1">
      <c r="B242" s="2" t="s">
        <v>876</v>
      </c>
      <c r="C242" s="2">
        <v>85</v>
      </c>
      <c r="D242" s="489" t="s">
        <v>8414</v>
      </c>
      <c r="E242" s="451"/>
      <c r="F242" s="451"/>
      <c r="G242" s="451">
        <f>ROUNDUP(1500000/0.7,0)</f>
        <v>2142858</v>
      </c>
      <c r="H242" s="119" t="s">
        <v>1070</v>
      </c>
      <c r="I242" s="119"/>
      <c r="J242" s="119"/>
      <c r="K242" s="119"/>
      <c r="L242" s="119"/>
      <c r="M242" s="119"/>
      <c r="N242" s="119"/>
      <c r="O242" s="119" t="b">
        <v>0</v>
      </c>
      <c r="P242" s="119"/>
      <c r="Q242" s="452"/>
      <c r="R242" s="452"/>
      <c r="S242" s="119" t="b">
        <v>1</v>
      </c>
      <c r="T242" s="119"/>
      <c r="U242" s="451">
        <v>70</v>
      </c>
      <c r="V242" s="451">
        <v>1500000</v>
      </c>
      <c r="W242" s="119"/>
      <c r="X242" s="452">
        <v>97</v>
      </c>
      <c r="Y242" s="452" t="b">
        <v>1</v>
      </c>
      <c r="Z242" s="451">
        <v>1500000</v>
      </c>
      <c r="AA242" s="119"/>
      <c r="AB242" s="452">
        <v>97</v>
      </c>
      <c r="AC242" s="452"/>
      <c r="AD242" s="452"/>
      <c r="AE242" s="452"/>
      <c r="AF242" s="452"/>
      <c r="AG242" s="452"/>
      <c r="AH242" s="543"/>
    </row>
    <row r="243" spans="2:34" ht="15" hidden="1" customHeight="1" outlineLevel="2">
      <c r="B243" s="2" t="s">
        <v>876</v>
      </c>
      <c r="C243" s="2">
        <v>86</v>
      </c>
      <c r="D243" s="582" t="s">
        <v>8414</v>
      </c>
      <c r="E243" s="583"/>
      <c r="F243" s="583"/>
      <c r="G243" s="583">
        <f>ROUNDUP(750000/0.85,0)</f>
        <v>882353</v>
      </c>
      <c r="H243" s="584" t="s">
        <v>1075</v>
      </c>
      <c r="I243" s="584"/>
      <c r="J243" s="584"/>
      <c r="K243" s="584"/>
      <c r="L243" s="584"/>
      <c r="M243" s="584"/>
      <c r="N243" s="584"/>
      <c r="O243" s="584" t="b">
        <v>0</v>
      </c>
      <c r="P243" s="612" t="b">
        <v>0</v>
      </c>
      <c r="Q243" s="585"/>
      <c r="R243" s="585"/>
      <c r="S243" s="584" t="b">
        <v>1</v>
      </c>
      <c r="T243" s="584" t="s">
        <v>1076</v>
      </c>
      <c r="U243" s="583">
        <v>70</v>
      </c>
      <c r="V243" s="583"/>
      <c r="W243" s="584">
        <v>85</v>
      </c>
      <c r="X243" s="585">
        <v>97</v>
      </c>
      <c r="Y243" s="585" t="b">
        <v>1</v>
      </c>
      <c r="Z243" s="583">
        <v>750000</v>
      </c>
      <c r="AA243" s="584">
        <v>85</v>
      </c>
      <c r="AB243" s="585">
        <v>97</v>
      </c>
      <c r="AC243" s="585"/>
      <c r="AD243" s="585"/>
      <c r="AE243" s="586"/>
      <c r="AF243" s="586"/>
      <c r="AG243" s="584"/>
      <c r="AH243" s="587"/>
    </row>
    <row r="244" spans="2:34" ht="15" hidden="1" customHeight="1" outlineLevel="2" thickBot="1">
      <c r="B244" s="2" t="s">
        <v>876</v>
      </c>
      <c r="C244" s="2">
        <v>87</v>
      </c>
      <c r="D244" s="588" t="s">
        <v>8414</v>
      </c>
      <c r="E244" s="589"/>
      <c r="F244" s="589"/>
      <c r="G244" s="589">
        <f>ROUNDUP(750000/0.7,0)</f>
        <v>1071429</v>
      </c>
      <c r="H244" s="589" t="s">
        <v>1075</v>
      </c>
      <c r="I244" s="589"/>
      <c r="J244" s="589"/>
      <c r="K244" s="589"/>
      <c r="L244" s="589"/>
      <c r="M244" s="589"/>
      <c r="N244" s="589"/>
      <c r="O244" s="589" t="b">
        <v>0</v>
      </c>
      <c r="P244" s="613" t="b">
        <v>0</v>
      </c>
      <c r="Q244" s="589"/>
      <c r="R244" s="589"/>
      <c r="S244" s="589" t="b">
        <v>1</v>
      </c>
      <c r="T244" s="589" t="s">
        <v>1076</v>
      </c>
      <c r="U244" s="589">
        <v>70</v>
      </c>
      <c r="V244" s="589">
        <v>750000</v>
      </c>
      <c r="W244" s="589"/>
      <c r="X244" s="589">
        <v>97</v>
      </c>
      <c r="Y244" s="589" t="b">
        <v>1</v>
      </c>
      <c r="Z244" s="589">
        <v>750000</v>
      </c>
      <c r="AA244" s="589"/>
      <c r="AB244" s="589">
        <v>97</v>
      </c>
      <c r="AC244" s="589"/>
      <c r="AD244" s="589"/>
      <c r="AE244" s="589"/>
      <c r="AF244" s="589"/>
      <c r="AG244" s="589"/>
      <c r="AH244" s="590"/>
    </row>
    <row r="245" spans="2:34" ht="15" hidden="1" customHeight="1" outlineLevel="2">
      <c r="B245" s="2" t="s">
        <v>876</v>
      </c>
      <c r="C245" s="2">
        <v>80</v>
      </c>
      <c r="D245" s="614" t="s">
        <v>8414</v>
      </c>
      <c r="E245" s="615"/>
      <c r="F245" s="615"/>
      <c r="G245" s="615">
        <f>ROUNDUP(2500000/0.85,0)</f>
        <v>2941177</v>
      </c>
      <c r="H245" s="615" t="s">
        <v>1065</v>
      </c>
      <c r="I245" s="615"/>
      <c r="J245" s="615"/>
      <c r="K245" s="615"/>
      <c r="L245" s="615"/>
      <c r="M245" s="615"/>
      <c r="N245" s="615"/>
      <c r="O245" s="615" t="b">
        <v>0</v>
      </c>
      <c r="P245" s="615"/>
      <c r="Q245" s="615"/>
      <c r="R245" s="615"/>
      <c r="S245" s="615" t="b">
        <v>0</v>
      </c>
      <c r="T245" s="615"/>
      <c r="U245" s="615">
        <v>70</v>
      </c>
      <c r="V245" s="615"/>
      <c r="W245" s="615">
        <v>85</v>
      </c>
      <c r="X245" s="615">
        <v>92</v>
      </c>
      <c r="Y245" s="615" t="b">
        <v>1</v>
      </c>
      <c r="Z245" s="615">
        <v>2500000</v>
      </c>
      <c r="AA245" s="615">
        <v>85</v>
      </c>
      <c r="AB245" s="615">
        <v>92</v>
      </c>
      <c r="AC245" s="615"/>
      <c r="AD245" s="615"/>
      <c r="AE245" s="615"/>
      <c r="AF245" s="615"/>
      <c r="AG245" s="615"/>
      <c r="AH245" s="616"/>
    </row>
    <row r="246" spans="2:34" ht="15" hidden="1" customHeight="1" outlineLevel="2" thickBot="1">
      <c r="B246" s="2" t="s">
        <v>876</v>
      </c>
      <c r="C246" s="2">
        <v>81</v>
      </c>
      <c r="D246" s="453" t="s">
        <v>8414</v>
      </c>
      <c r="E246" s="454"/>
      <c r="F246" s="454"/>
      <c r="G246" s="454">
        <f>ROUNDUP(2500000/0.7,0)</f>
        <v>3571429</v>
      </c>
      <c r="H246" s="455" t="s">
        <v>1065</v>
      </c>
      <c r="I246" s="455"/>
      <c r="J246" s="455"/>
      <c r="K246" s="455"/>
      <c r="L246" s="455"/>
      <c r="M246" s="455"/>
      <c r="N246" s="455"/>
      <c r="O246" s="455" t="b">
        <v>0</v>
      </c>
      <c r="P246" s="455"/>
      <c r="Q246" s="456"/>
      <c r="R246" s="456"/>
      <c r="S246" s="455" t="b">
        <v>0</v>
      </c>
      <c r="T246" s="455"/>
      <c r="U246" s="454">
        <v>70</v>
      </c>
      <c r="V246" s="454">
        <v>2500000</v>
      </c>
      <c r="W246" s="455"/>
      <c r="X246" s="456">
        <v>92</v>
      </c>
      <c r="Y246" s="456" t="b">
        <v>1</v>
      </c>
      <c r="Z246" s="454">
        <v>2500000</v>
      </c>
      <c r="AA246" s="455"/>
      <c r="AB246" s="456">
        <v>92</v>
      </c>
      <c r="AC246" s="456"/>
      <c r="AD246" s="456"/>
      <c r="AE246" s="485"/>
      <c r="AF246" s="485"/>
      <c r="AG246" s="455"/>
      <c r="AH246" s="457"/>
    </row>
    <row r="247" spans="2:34" ht="15" hidden="1" customHeight="1" outlineLevel="2">
      <c r="B247" s="2" t="s">
        <v>876</v>
      </c>
      <c r="C247" s="2">
        <v>82</v>
      </c>
      <c r="D247" s="477" t="s">
        <v>8414</v>
      </c>
      <c r="E247" s="474"/>
      <c r="F247" s="474"/>
      <c r="G247" s="474">
        <f>ROUNDUP(2000000/0.85,0)</f>
        <v>2352942</v>
      </c>
      <c r="H247" s="254" t="s">
        <v>1069</v>
      </c>
      <c r="I247" s="254"/>
      <c r="J247" s="254"/>
      <c r="K247" s="254"/>
      <c r="L247" s="254"/>
      <c r="M247" s="254"/>
      <c r="N247" s="254"/>
      <c r="O247" s="254" t="b">
        <v>0</v>
      </c>
      <c r="P247" s="254"/>
      <c r="Q247" s="475"/>
      <c r="R247" s="475"/>
      <c r="S247" s="254" t="b">
        <v>0</v>
      </c>
      <c r="T247" s="254"/>
      <c r="U247" s="474">
        <v>70</v>
      </c>
      <c r="V247" s="474"/>
      <c r="W247" s="254">
        <v>85</v>
      </c>
      <c r="X247" s="475">
        <v>92</v>
      </c>
      <c r="Y247" s="475" t="b">
        <v>1</v>
      </c>
      <c r="Z247" s="474">
        <v>2000000</v>
      </c>
      <c r="AA247" s="254">
        <v>85</v>
      </c>
      <c r="AB247" s="475">
        <v>92</v>
      </c>
      <c r="AC247" s="475"/>
      <c r="AD247" s="475"/>
      <c r="AE247" s="486"/>
      <c r="AF247" s="486"/>
      <c r="AG247" s="254"/>
      <c r="AH247" s="476"/>
    </row>
    <row r="248" spans="2:34" ht="15" hidden="1" customHeight="1" outlineLevel="2" thickBot="1">
      <c r="B248" s="2" t="s">
        <v>876</v>
      </c>
      <c r="C248" s="2">
        <v>83</v>
      </c>
      <c r="D248" s="465" t="s">
        <v>8414</v>
      </c>
      <c r="E248" s="481"/>
      <c r="F248" s="481"/>
      <c r="G248" s="481">
        <f>ROUNDUP(2000000/0.7,0)</f>
        <v>2857143</v>
      </c>
      <c r="H248" s="466" t="s">
        <v>1069</v>
      </c>
      <c r="I248" s="466"/>
      <c r="J248" s="466"/>
      <c r="K248" s="466"/>
      <c r="L248" s="466"/>
      <c r="M248" s="466"/>
      <c r="N248" s="466"/>
      <c r="O248" s="466" t="b">
        <v>0</v>
      </c>
      <c r="P248" s="466"/>
      <c r="Q248" s="482"/>
      <c r="R248" s="482"/>
      <c r="S248" s="466" t="b">
        <v>0</v>
      </c>
      <c r="T248" s="466"/>
      <c r="U248" s="481">
        <v>70</v>
      </c>
      <c r="V248" s="481">
        <v>2000000</v>
      </c>
      <c r="W248" s="466"/>
      <c r="X248" s="482">
        <v>92</v>
      </c>
      <c r="Y248" s="482" t="b">
        <v>1</v>
      </c>
      <c r="Z248" s="481">
        <v>2000000</v>
      </c>
      <c r="AA248" s="466"/>
      <c r="AB248" s="482">
        <v>92</v>
      </c>
      <c r="AC248" s="482"/>
      <c r="AD248" s="482"/>
      <c r="AE248" s="482"/>
      <c r="AF248" s="482"/>
      <c r="AG248" s="482"/>
      <c r="AH248" s="483"/>
    </row>
    <row r="249" spans="2:34" ht="15" hidden="1" customHeight="1" outlineLevel="2">
      <c r="B249" s="2" t="s">
        <v>876</v>
      </c>
      <c r="C249" s="2">
        <v>84</v>
      </c>
      <c r="D249" s="449" t="s">
        <v>8414</v>
      </c>
      <c r="E249" s="114"/>
      <c r="F249" s="114"/>
      <c r="G249" s="114">
        <f>ROUNDUP(1500000/0.85,0)</f>
        <v>1764706</v>
      </c>
      <c r="H249" s="114" t="s">
        <v>1070</v>
      </c>
      <c r="I249" s="114"/>
      <c r="J249" s="114"/>
      <c r="K249" s="114"/>
      <c r="L249" s="114"/>
      <c r="M249" s="114"/>
      <c r="N249" s="114"/>
      <c r="O249" s="114" t="b">
        <v>0</v>
      </c>
      <c r="P249" s="114"/>
      <c r="Q249" s="114"/>
      <c r="R249" s="114"/>
      <c r="S249" s="114" t="b">
        <v>0</v>
      </c>
      <c r="T249" s="114"/>
      <c r="U249" s="114">
        <v>70</v>
      </c>
      <c r="V249" s="114"/>
      <c r="W249" s="114">
        <v>85</v>
      </c>
      <c r="X249" s="114">
        <v>92</v>
      </c>
      <c r="Y249" s="114" t="b">
        <v>1</v>
      </c>
      <c r="Z249" s="114">
        <v>1500000</v>
      </c>
      <c r="AA249" s="114">
        <v>85</v>
      </c>
      <c r="AB249" s="114">
        <v>92</v>
      </c>
      <c r="AC249" s="114"/>
      <c r="AD249" s="114"/>
      <c r="AE249" s="114"/>
      <c r="AF249" s="114"/>
      <c r="AG249" s="114"/>
      <c r="AH249" s="450"/>
    </row>
    <row r="250" spans="2:34" ht="15" hidden="1" customHeight="1" outlineLevel="2" thickBot="1">
      <c r="B250" s="2" t="s">
        <v>876</v>
      </c>
      <c r="C250" s="2">
        <v>85</v>
      </c>
      <c r="D250" s="489" t="s">
        <v>8414</v>
      </c>
      <c r="E250" s="451"/>
      <c r="F250" s="451"/>
      <c r="G250" s="451">
        <f>ROUNDUP(1500000/0.7,0)</f>
        <v>2142858</v>
      </c>
      <c r="H250" s="119" t="s">
        <v>1070</v>
      </c>
      <c r="I250" s="119"/>
      <c r="J250" s="119"/>
      <c r="K250" s="119"/>
      <c r="L250" s="119"/>
      <c r="M250" s="119"/>
      <c r="N250" s="119"/>
      <c r="O250" s="119" t="b">
        <v>0</v>
      </c>
      <c r="P250" s="119"/>
      <c r="Q250" s="452"/>
      <c r="R250" s="452"/>
      <c r="S250" s="119" t="b">
        <v>0</v>
      </c>
      <c r="T250" s="119"/>
      <c r="U250" s="451">
        <v>70</v>
      </c>
      <c r="V250" s="451">
        <v>1500000</v>
      </c>
      <c r="W250" s="119"/>
      <c r="X250" s="452">
        <v>92</v>
      </c>
      <c r="Y250" s="452" t="b">
        <v>1</v>
      </c>
      <c r="Z250" s="451">
        <v>1500000</v>
      </c>
      <c r="AA250" s="119"/>
      <c r="AB250" s="452">
        <v>92</v>
      </c>
      <c r="AC250" s="452"/>
      <c r="AD250" s="452"/>
      <c r="AE250" s="452"/>
      <c r="AF250" s="452"/>
      <c r="AG250" s="452"/>
      <c r="AH250" s="543"/>
    </row>
    <row r="251" spans="2:34" ht="15" hidden="1" customHeight="1" outlineLevel="2">
      <c r="B251" s="2" t="s">
        <v>876</v>
      </c>
      <c r="C251" s="2">
        <v>86</v>
      </c>
      <c r="D251" s="582" t="s">
        <v>8414</v>
      </c>
      <c r="E251" s="583"/>
      <c r="F251" s="583"/>
      <c r="G251" s="583">
        <f>ROUNDUP(750000/0.85,0)</f>
        <v>882353</v>
      </c>
      <c r="H251" s="584" t="s">
        <v>1075</v>
      </c>
      <c r="I251" s="584"/>
      <c r="J251" s="584"/>
      <c r="K251" s="584"/>
      <c r="L251" s="584"/>
      <c r="M251" s="584"/>
      <c r="N251" s="584"/>
      <c r="O251" s="584" t="b">
        <v>0</v>
      </c>
      <c r="P251" s="612" t="b">
        <v>0</v>
      </c>
      <c r="Q251" s="585"/>
      <c r="R251" s="585"/>
      <c r="S251" s="584" t="b">
        <v>0</v>
      </c>
      <c r="T251" s="584" t="s">
        <v>1076</v>
      </c>
      <c r="U251" s="583">
        <v>70</v>
      </c>
      <c r="V251" s="583"/>
      <c r="W251" s="584">
        <v>85</v>
      </c>
      <c r="X251" s="585">
        <v>92</v>
      </c>
      <c r="Y251" s="585" t="b">
        <v>1</v>
      </c>
      <c r="Z251" s="583">
        <v>750000</v>
      </c>
      <c r="AA251" s="584">
        <v>85</v>
      </c>
      <c r="AB251" s="585">
        <v>92</v>
      </c>
      <c r="AC251" s="585"/>
      <c r="AD251" s="585"/>
      <c r="AE251" s="586"/>
      <c r="AF251" s="586"/>
      <c r="AG251" s="584"/>
      <c r="AH251" s="587"/>
    </row>
    <row r="252" spans="2:34" ht="15" hidden="1" customHeight="1" outlineLevel="2" thickBot="1">
      <c r="B252" s="2" t="s">
        <v>876</v>
      </c>
      <c r="C252" s="2">
        <v>87</v>
      </c>
      <c r="D252" s="588" t="s">
        <v>8414</v>
      </c>
      <c r="E252" s="589"/>
      <c r="F252" s="589"/>
      <c r="G252" s="589">
        <f>ROUNDUP(750000/0.7,0)</f>
        <v>1071429</v>
      </c>
      <c r="H252" s="589" t="s">
        <v>1075</v>
      </c>
      <c r="I252" s="589"/>
      <c r="J252" s="589"/>
      <c r="K252" s="589"/>
      <c r="L252" s="589"/>
      <c r="M252" s="589"/>
      <c r="N252" s="589"/>
      <c r="O252" s="589" t="b">
        <v>0</v>
      </c>
      <c r="P252" s="613" t="b">
        <v>0</v>
      </c>
      <c r="Q252" s="589"/>
      <c r="R252" s="589"/>
      <c r="S252" s="589" t="b">
        <v>0</v>
      </c>
      <c r="T252" s="589" t="s">
        <v>1076</v>
      </c>
      <c r="U252" s="589">
        <v>70</v>
      </c>
      <c r="V252" s="589">
        <v>750000</v>
      </c>
      <c r="W252" s="589"/>
      <c r="X252" s="589">
        <v>92</v>
      </c>
      <c r="Y252" s="589" t="b">
        <v>1</v>
      </c>
      <c r="Z252" s="589">
        <v>750000</v>
      </c>
      <c r="AA252" s="589"/>
      <c r="AB252" s="589">
        <v>92</v>
      </c>
      <c r="AC252" s="589"/>
      <c r="AD252" s="589"/>
      <c r="AE252" s="589"/>
      <c r="AF252" s="589"/>
      <c r="AG252" s="589"/>
      <c r="AH252" s="590"/>
    </row>
    <row r="253" spans="2:34" ht="15" hidden="1" customHeight="1" outlineLevel="2">
      <c r="B253" s="2" t="s">
        <v>876</v>
      </c>
      <c r="C253" s="2">
        <v>88</v>
      </c>
      <c r="D253" s="458" t="s">
        <v>8679</v>
      </c>
      <c r="E253" s="134"/>
      <c r="F253" s="134"/>
      <c r="G253" s="134">
        <f>ROUNDUP(2500000/0.9,0)</f>
        <v>2777778</v>
      </c>
      <c r="H253" s="134" t="s">
        <v>1065</v>
      </c>
      <c r="I253" s="134"/>
      <c r="J253" s="134"/>
      <c r="K253" s="134"/>
      <c r="L253" s="134"/>
      <c r="M253" s="134"/>
      <c r="N253" s="134">
        <v>6</v>
      </c>
      <c r="O253" s="134" t="b">
        <v>0</v>
      </c>
      <c r="P253" s="134"/>
      <c r="Q253" s="134"/>
      <c r="R253" s="134"/>
      <c r="S253" s="134"/>
      <c r="T253" s="134"/>
      <c r="U253" s="134">
        <v>70</v>
      </c>
      <c r="V253" s="134"/>
      <c r="W253" s="134">
        <v>90</v>
      </c>
      <c r="X253" s="134">
        <v>97</v>
      </c>
      <c r="Y253" s="134" t="b">
        <v>1</v>
      </c>
      <c r="Z253" s="134">
        <v>2500000</v>
      </c>
      <c r="AA253" s="134">
        <v>90</v>
      </c>
      <c r="AB253" s="134">
        <v>97</v>
      </c>
      <c r="AC253" s="134"/>
      <c r="AD253" s="134"/>
      <c r="AE253" s="134"/>
      <c r="AF253" s="134"/>
      <c r="AG253" s="134"/>
      <c r="AH253" s="459"/>
    </row>
    <row r="254" spans="2:34" ht="15" hidden="1" customHeight="1" outlineLevel="2" thickBot="1">
      <c r="B254" s="2" t="s">
        <v>876</v>
      </c>
      <c r="C254" s="2">
        <v>89</v>
      </c>
      <c r="D254" s="453" t="s">
        <v>8679</v>
      </c>
      <c r="E254" s="454"/>
      <c r="F254" s="454"/>
      <c r="G254" s="454">
        <f>ROUNDUP(2500000/0.7,0)</f>
        <v>3571429</v>
      </c>
      <c r="H254" s="455" t="s">
        <v>1065</v>
      </c>
      <c r="I254" s="455"/>
      <c r="J254" s="455"/>
      <c r="K254" s="455"/>
      <c r="L254" s="455"/>
      <c r="M254" s="455"/>
      <c r="N254" s="455">
        <v>6</v>
      </c>
      <c r="O254" s="455" t="b">
        <v>0</v>
      </c>
      <c r="P254" s="455"/>
      <c r="Q254" s="456"/>
      <c r="R254" s="456"/>
      <c r="S254" s="455"/>
      <c r="T254" s="455"/>
      <c r="U254" s="454">
        <v>70</v>
      </c>
      <c r="V254" s="454">
        <v>2500000</v>
      </c>
      <c r="W254" s="455"/>
      <c r="X254" s="456">
        <v>97</v>
      </c>
      <c r="Y254" s="456" t="b">
        <v>1</v>
      </c>
      <c r="Z254" s="454">
        <v>2500000</v>
      </c>
      <c r="AA254" s="455"/>
      <c r="AB254" s="456">
        <v>97</v>
      </c>
      <c r="AC254" s="456"/>
      <c r="AD254" s="456"/>
      <c r="AE254" s="485"/>
      <c r="AF254" s="485"/>
      <c r="AG254" s="455"/>
      <c r="AH254" s="457"/>
    </row>
    <row r="255" spans="2:34" ht="15" hidden="1" customHeight="1" outlineLevel="2">
      <c r="B255" s="2" t="s">
        <v>876</v>
      </c>
      <c r="C255" s="2">
        <v>90</v>
      </c>
      <c r="D255" s="477" t="s">
        <v>8679</v>
      </c>
      <c r="E255" s="474"/>
      <c r="F255" s="474"/>
      <c r="G255" s="474">
        <f>ROUNDUP(1500000/0.9,0)</f>
        <v>1666667</v>
      </c>
      <c r="H255" s="254" t="s">
        <v>1069</v>
      </c>
      <c r="I255" s="254"/>
      <c r="J255" s="254"/>
      <c r="K255" s="254"/>
      <c r="L255" s="254"/>
      <c r="M255" s="254"/>
      <c r="N255" s="254">
        <v>6</v>
      </c>
      <c r="O255" s="254" t="b">
        <v>0</v>
      </c>
      <c r="P255" s="254"/>
      <c r="Q255" s="475"/>
      <c r="R255" s="475"/>
      <c r="S255" s="254"/>
      <c r="T255" s="254"/>
      <c r="U255" s="474">
        <v>70</v>
      </c>
      <c r="V255" s="474"/>
      <c r="W255" s="254">
        <v>90</v>
      </c>
      <c r="X255" s="475">
        <v>97</v>
      </c>
      <c r="Y255" s="475" t="b">
        <v>1</v>
      </c>
      <c r="Z255" s="474">
        <v>1500000</v>
      </c>
      <c r="AA255" s="254">
        <v>90</v>
      </c>
      <c r="AB255" s="475">
        <v>97</v>
      </c>
      <c r="AC255" s="475"/>
      <c r="AD255" s="475"/>
      <c r="AE255" s="486"/>
      <c r="AF255" s="486"/>
      <c r="AG255" s="254"/>
      <c r="AH255" s="476"/>
    </row>
    <row r="256" spans="2:34" ht="15" hidden="1" customHeight="1" outlineLevel="2" thickBot="1">
      <c r="B256" s="2" t="s">
        <v>876</v>
      </c>
      <c r="C256" s="2">
        <v>91</v>
      </c>
      <c r="D256" s="465" t="s">
        <v>8679</v>
      </c>
      <c r="E256" s="481"/>
      <c r="F256" s="481"/>
      <c r="G256" s="481">
        <f>ROUNDUP(1500000/0.7,0)</f>
        <v>2142858</v>
      </c>
      <c r="H256" s="466" t="s">
        <v>1069</v>
      </c>
      <c r="I256" s="466"/>
      <c r="J256" s="466"/>
      <c r="K256" s="466"/>
      <c r="L256" s="466"/>
      <c r="M256" s="466"/>
      <c r="N256" s="466">
        <v>6</v>
      </c>
      <c r="O256" s="466" t="b">
        <v>0</v>
      </c>
      <c r="P256" s="466"/>
      <c r="Q256" s="482"/>
      <c r="R256" s="482"/>
      <c r="S256" s="466"/>
      <c r="T256" s="466"/>
      <c r="U256" s="481">
        <v>70</v>
      </c>
      <c r="V256" s="481">
        <v>1500000</v>
      </c>
      <c r="W256" s="466"/>
      <c r="X256" s="482">
        <v>97</v>
      </c>
      <c r="Y256" s="482" t="b">
        <v>1</v>
      </c>
      <c r="Z256" s="481">
        <v>1500000</v>
      </c>
      <c r="AA256" s="466"/>
      <c r="AB256" s="482">
        <v>97</v>
      </c>
      <c r="AC256" s="482"/>
      <c r="AD256" s="482"/>
      <c r="AE256" s="482"/>
      <c r="AF256" s="482"/>
      <c r="AG256" s="482"/>
      <c r="AH256" s="483"/>
    </row>
    <row r="257" spans="2:34" ht="15" hidden="1" customHeight="1" outlineLevel="2">
      <c r="B257" s="2" t="s">
        <v>876</v>
      </c>
      <c r="C257" s="2">
        <v>92</v>
      </c>
      <c r="D257" s="458" t="s">
        <v>8679</v>
      </c>
      <c r="E257" s="134"/>
      <c r="F257" s="134"/>
      <c r="G257" s="134">
        <f>ROUNDUP(2500000/0.9,0)</f>
        <v>2777778</v>
      </c>
      <c r="H257" s="134" t="s">
        <v>1065</v>
      </c>
      <c r="I257" s="134"/>
      <c r="J257" s="134"/>
      <c r="K257" s="134"/>
      <c r="L257" s="134"/>
      <c r="M257" s="134"/>
      <c r="N257" s="134"/>
      <c r="O257" s="134" t="b">
        <v>0</v>
      </c>
      <c r="P257" s="134" t="b">
        <v>1</v>
      </c>
      <c r="Q257" s="134"/>
      <c r="R257" s="134"/>
      <c r="S257" s="134"/>
      <c r="T257" s="134"/>
      <c r="U257" s="134">
        <v>70</v>
      </c>
      <c r="V257" s="134"/>
      <c r="W257" s="134">
        <v>90</v>
      </c>
      <c r="X257" s="134">
        <v>90</v>
      </c>
      <c r="Y257" s="134" t="b">
        <v>1</v>
      </c>
      <c r="Z257" s="134">
        <v>2500000</v>
      </c>
      <c r="AA257" s="134">
        <v>90</v>
      </c>
      <c r="AB257" s="134">
        <v>90</v>
      </c>
      <c r="AC257" s="134"/>
      <c r="AD257" s="134"/>
      <c r="AE257" s="134"/>
      <c r="AF257" s="134"/>
      <c r="AG257" s="134"/>
      <c r="AH257" s="459"/>
    </row>
    <row r="258" spans="2:34" ht="15" hidden="1" customHeight="1" outlineLevel="2" thickBot="1">
      <c r="B258" s="2" t="s">
        <v>876</v>
      </c>
      <c r="C258" s="2">
        <v>93</v>
      </c>
      <c r="D258" s="453" t="s">
        <v>8679</v>
      </c>
      <c r="E258" s="454"/>
      <c r="F258" s="454"/>
      <c r="G258" s="454">
        <f>ROUNDUP(2500000/0.7,0)</f>
        <v>3571429</v>
      </c>
      <c r="H258" s="455" t="s">
        <v>1065</v>
      </c>
      <c r="I258" s="455"/>
      <c r="J258" s="455"/>
      <c r="K258" s="455"/>
      <c r="L258" s="455"/>
      <c r="M258" s="455"/>
      <c r="N258" s="455"/>
      <c r="O258" s="455" t="b">
        <v>0</v>
      </c>
      <c r="P258" s="455" t="b">
        <v>1</v>
      </c>
      <c r="Q258" s="456"/>
      <c r="R258" s="456"/>
      <c r="S258" s="455"/>
      <c r="T258" s="455"/>
      <c r="U258" s="454">
        <v>70</v>
      </c>
      <c r="V258" s="454">
        <v>2500000</v>
      </c>
      <c r="W258" s="455"/>
      <c r="X258" s="456">
        <v>90</v>
      </c>
      <c r="Y258" s="456" t="b">
        <v>1</v>
      </c>
      <c r="Z258" s="454">
        <v>2500000</v>
      </c>
      <c r="AA258" s="455"/>
      <c r="AB258" s="456">
        <v>90</v>
      </c>
      <c r="AC258" s="456"/>
      <c r="AD258" s="456"/>
      <c r="AE258" s="485"/>
      <c r="AF258" s="485"/>
      <c r="AG258" s="455"/>
      <c r="AH258" s="457"/>
    </row>
    <row r="259" spans="2:34" ht="15" hidden="1" customHeight="1" outlineLevel="2">
      <c r="B259" s="2" t="s">
        <v>876</v>
      </c>
      <c r="C259" s="2">
        <v>94</v>
      </c>
      <c r="D259" s="477" t="s">
        <v>8679</v>
      </c>
      <c r="E259" s="474"/>
      <c r="F259" s="474"/>
      <c r="G259" s="474">
        <f>ROUNDUP(1500000/0.9,0)</f>
        <v>1666667</v>
      </c>
      <c r="H259" s="254" t="s">
        <v>1069</v>
      </c>
      <c r="I259" s="254"/>
      <c r="J259" s="254"/>
      <c r="K259" s="254"/>
      <c r="L259" s="254"/>
      <c r="M259" s="254"/>
      <c r="N259" s="254"/>
      <c r="O259" s="254" t="b">
        <v>0</v>
      </c>
      <c r="P259" s="254" t="b">
        <v>1</v>
      </c>
      <c r="Q259" s="475"/>
      <c r="R259" s="475"/>
      <c r="S259" s="254"/>
      <c r="T259" s="254"/>
      <c r="U259" s="474">
        <v>70</v>
      </c>
      <c r="V259" s="474"/>
      <c r="W259" s="254">
        <v>90</v>
      </c>
      <c r="X259" s="475">
        <v>90</v>
      </c>
      <c r="Y259" s="475" t="b">
        <v>1</v>
      </c>
      <c r="Z259" s="474">
        <v>1500000</v>
      </c>
      <c r="AA259" s="254">
        <v>90</v>
      </c>
      <c r="AB259" s="475">
        <v>90</v>
      </c>
      <c r="AC259" s="475"/>
      <c r="AD259" s="475"/>
      <c r="AE259" s="486"/>
      <c r="AF259" s="486"/>
      <c r="AG259" s="254"/>
      <c r="AH259" s="476"/>
    </row>
    <row r="260" spans="2:34" ht="15" hidden="1" customHeight="1" outlineLevel="2" thickBot="1">
      <c r="B260" s="2" t="s">
        <v>876</v>
      </c>
      <c r="C260" s="2">
        <v>95</v>
      </c>
      <c r="D260" s="465" t="s">
        <v>8679</v>
      </c>
      <c r="E260" s="481"/>
      <c r="F260" s="481"/>
      <c r="G260" s="481">
        <f>ROUNDUP(1500000/0.7,0)</f>
        <v>2142858</v>
      </c>
      <c r="H260" s="466" t="s">
        <v>1069</v>
      </c>
      <c r="I260" s="466"/>
      <c r="J260" s="466"/>
      <c r="K260" s="466"/>
      <c r="L260" s="466"/>
      <c r="M260" s="466"/>
      <c r="N260" s="466"/>
      <c r="O260" s="466" t="b">
        <v>0</v>
      </c>
      <c r="P260" s="466" t="b">
        <v>1</v>
      </c>
      <c r="Q260" s="482"/>
      <c r="R260" s="482"/>
      <c r="S260" s="466"/>
      <c r="T260" s="466"/>
      <c r="U260" s="481">
        <v>70</v>
      </c>
      <c r="V260" s="481">
        <v>1500000</v>
      </c>
      <c r="W260" s="466"/>
      <c r="X260" s="482">
        <v>90</v>
      </c>
      <c r="Y260" s="482" t="b">
        <v>1</v>
      </c>
      <c r="Z260" s="481">
        <v>1500000</v>
      </c>
      <c r="AA260" s="466"/>
      <c r="AB260" s="482">
        <v>90</v>
      </c>
      <c r="AC260" s="482"/>
      <c r="AD260" s="482"/>
      <c r="AE260" s="482"/>
      <c r="AF260" s="482"/>
      <c r="AG260" s="482"/>
      <c r="AH260" s="483"/>
    </row>
    <row r="261" spans="2:34" ht="15" hidden="1" customHeight="1" outlineLevel="2">
      <c r="B261" s="2" t="s">
        <v>876</v>
      </c>
      <c r="C261" s="2">
        <v>96</v>
      </c>
      <c r="D261" s="458" t="s">
        <v>8679</v>
      </c>
      <c r="E261" s="134"/>
      <c r="F261" s="134"/>
      <c r="G261" s="134">
        <f>ROUNDUP(2500000/0.9,0)</f>
        <v>2777778</v>
      </c>
      <c r="H261" s="134" t="s">
        <v>1065</v>
      </c>
      <c r="I261" s="134"/>
      <c r="J261" s="134"/>
      <c r="K261" s="134"/>
      <c r="L261" s="134"/>
      <c r="M261" s="134"/>
      <c r="N261" s="134"/>
      <c r="O261" s="134" t="b">
        <v>0</v>
      </c>
      <c r="P261" s="134"/>
      <c r="Q261" s="134"/>
      <c r="R261" s="134"/>
      <c r="S261" s="134" t="b">
        <v>1</v>
      </c>
      <c r="T261" s="134"/>
      <c r="U261" s="134">
        <v>70</v>
      </c>
      <c r="V261" s="134"/>
      <c r="W261" s="134">
        <v>90</v>
      </c>
      <c r="X261" s="134">
        <v>97</v>
      </c>
      <c r="Y261" s="134" t="b">
        <v>1</v>
      </c>
      <c r="Z261" s="134">
        <v>2500000</v>
      </c>
      <c r="AA261" s="134">
        <v>90</v>
      </c>
      <c r="AB261" s="134">
        <v>97</v>
      </c>
      <c r="AC261" s="134"/>
      <c r="AD261" s="134"/>
      <c r="AE261" s="134"/>
      <c r="AF261" s="134"/>
      <c r="AG261" s="134"/>
      <c r="AH261" s="459"/>
    </row>
    <row r="262" spans="2:34" ht="15" hidden="1" customHeight="1" outlineLevel="2" thickBot="1">
      <c r="B262" s="2" t="s">
        <v>876</v>
      </c>
      <c r="C262" s="2">
        <v>97</v>
      </c>
      <c r="D262" s="453" t="s">
        <v>8679</v>
      </c>
      <c r="E262" s="454"/>
      <c r="F262" s="454"/>
      <c r="G262" s="454">
        <f>ROUNDUP(2500000/0.7,0)</f>
        <v>3571429</v>
      </c>
      <c r="H262" s="455" t="s">
        <v>1065</v>
      </c>
      <c r="I262" s="455"/>
      <c r="J262" s="455"/>
      <c r="K262" s="455"/>
      <c r="L262" s="455"/>
      <c r="M262" s="455"/>
      <c r="N262" s="455"/>
      <c r="O262" s="455" t="b">
        <v>0</v>
      </c>
      <c r="P262" s="455"/>
      <c r="Q262" s="456"/>
      <c r="R262" s="456"/>
      <c r="S262" s="455" t="b">
        <v>1</v>
      </c>
      <c r="T262" s="455"/>
      <c r="U262" s="454">
        <v>70</v>
      </c>
      <c r="V262" s="454">
        <v>2500000</v>
      </c>
      <c r="W262" s="455"/>
      <c r="X262" s="456">
        <v>97</v>
      </c>
      <c r="Y262" s="456" t="b">
        <v>1</v>
      </c>
      <c r="Z262" s="454">
        <v>2500000</v>
      </c>
      <c r="AA262" s="455"/>
      <c r="AB262" s="456">
        <v>97</v>
      </c>
      <c r="AC262" s="456"/>
      <c r="AD262" s="456"/>
      <c r="AE262" s="485"/>
      <c r="AF262" s="485"/>
      <c r="AG262" s="455"/>
      <c r="AH262" s="457"/>
    </row>
    <row r="263" spans="2:34" ht="15" hidden="1" customHeight="1" outlineLevel="2">
      <c r="B263" s="2" t="s">
        <v>876</v>
      </c>
      <c r="C263" s="2">
        <v>98</v>
      </c>
      <c r="D263" s="477" t="s">
        <v>8679</v>
      </c>
      <c r="E263" s="474"/>
      <c r="F263" s="474"/>
      <c r="G263" s="474">
        <f>ROUNDUP(1500000/0.9,0)</f>
        <v>1666667</v>
      </c>
      <c r="H263" s="254" t="s">
        <v>1069</v>
      </c>
      <c r="I263" s="254"/>
      <c r="J263" s="254"/>
      <c r="K263" s="254"/>
      <c r="L263" s="254"/>
      <c r="M263" s="254"/>
      <c r="N263" s="254"/>
      <c r="O263" s="254" t="b">
        <v>0</v>
      </c>
      <c r="P263" s="254"/>
      <c r="Q263" s="475"/>
      <c r="R263" s="475"/>
      <c r="S263" s="254" t="b">
        <v>1</v>
      </c>
      <c r="T263" s="254"/>
      <c r="U263" s="474">
        <v>70</v>
      </c>
      <c r="V263" s="474"/>
      <c r="W263" s="254">
        <v>90</v>
      </c>
      <c r="X263" s="475">
        <v>97</v>
      </c>
      <c r="Y263" s="475" t="b">
        <v>1</v>
      </c>
      <c r="Z263" s="474">
        <v>1500000</v>
      </c>
      <c r="AA263" s="254">
        <v>90</v>
      </c>
      <c r="AB263" s="475">
        <v>97</v>
      </c>
      <c r="AC263" s="475"/>
      <c r="AD263" s="475"/>
      <c r="AE263" s="486"/>
      <c r="AF263" s="486"/>
      <c r="AG263" s="254"/>
      <c r="AH263" s="476"/>
    </row>
    <row r="264" spans="2:34" ht="15" hidden="1" customHeight="1" outlineLevel="2" thickBot="1">
      <c r="B264" s="2" t="s">
        <v>876</v>
      </c>
      <c r="C264" s="2">
        <v>99</v>
      </c>
      <c r="D264" s="465" t="s">
        <v>8679</v>
      </c>
      <c r="E264" s="481"/>
      <c r="F264" s="481"/>
      <c r="G264" s="481">
        <f>ROUNDUP(1500000/0.7,0)</f>
        <v>2142858</v>
      </c>
      <c r="H264" s="466" t="s">
        <v>1069</v>
      </c>
      <c r="I264" s="466"/>
      <c r="J264" s="466"/>
      <c r="K264" s="466"/>
      <c r="L264" s="466"/>
      <c r="M264" s="466"/>
      <c r="N264" s="466"/>
      <c r="O264" s="466" t="b">
        <v>0</v>
      </c>
      <c r="P264" s="466"/>
      <c r="Q264" s="482"/>
      <c r="R264" s="482"/>
      <c r="S264" s="466" t="b">
        <v>1</v>
      </c>
      <c r="T264" s="466"/>
      <c r="U264" s="481">
        <v>70</v>
      </c>
      <c r="V264" s="481">
        <v>1500000</v>
      </c>
      <c r="W264" s="466"/>
      <c r="X264" s="482">
        <v>97</v>
      </c>
      <c r="Y264" s="482" t="b">
        <v>1</v>
      </c>
      <c r="Z264" s="481">
        <v>1500000</v>
      </c>
      <c r="AA264" s="466"/>
      <c r="AB264" s="482">
        <v>97</v>
      </c>
      <c r="AC264" s="482"/>
      <c r="AD264" s="482"/>
      <c r="AE264" s="482"/>
      <c r="AF264" s="482"/>
      <c r="AG264" s="482"/>
      <c r="AH264" s="483"/>
    </row>
    <row r="265" spans="2:34" ht="15" hidden="1" customHeight="1" outlineLevel="2">
      <c r="B265" s="2" t="s">
        <v>876</v>
      </c>
      <c r="C265" s="2">
        <v>96</v>
      </c>
      <c r="D265" s="458" t="s">
        <v>8679</v>
      </c>
      <c r="E265" s="134"/>
      <c r="F265" s="134"/>
      <c r="G265" s="134">
        <f>ROUNDUP(2500000/0.9,0)</f>
        <v>2777778</v>
      </c>
      <c r="H265" s="134" t="s">
        <v>1065</v>
      </c>
      <c r="I265" s="134"/>
      <c r="J265" s="134"/>
      <c r="K265" s="134"/>
      <c r="L265" s="134"/>
      <c r="M265" s="134"/>
      <c r="N265" s="134"/>
      <c r="O265" s="134" t="b">
        <v>0</v>
      </c>
      <c r="P265" s="134"/>
      <c r="Q265" s="134"/>
      <c r="R265" s="134"/>
      <c r="S265" s="134" t="b">
        <v>0</v>
      </c>
      <c r="T265" s="134"/>
      <c r="U265" s="134">
        <v>70</v>
      </c>
      <c r="V265" s="134"/>
      <c r="W265" s="134">
        <v>90</v>
      </c>
      <c r="X265" s="134">
        <v>92</v>
      </c>
      <c r="Y265" s="134" t="b">
        <v>1</v>
      </c>
      <c r="Z265" s="134">
        <v>2500000</v>
      </c>
      <c r="AA265" s="134">
        <v>90</v>
      </c>
      <c r="AB265" s="134">
        <v>92</v>
      </c>
      <c r="AC265" s="134"/>
      <c r="AD265" s="134"/>
      <c r="AE265" s="134"/>
      <c r="AF265" s="134"/>
      <c r="AG265" s="134"/>
      <c r="AH265" s="459"/>
    </row>
    <row r="266" spans="2:34" ht="15" hidden="1" customHeight="1" outlineLevel="2" thickBot="1">
      <c r="B266" s="2" t="s">
        <v>876</v>
      </c>
      <c r="C266" s="2">
        <v>97</v>
      </c>
      <c r="D266" s="453" t="s">
        <v>8679</v>
      </c>
      <c r="E266" s="454"/>
      <c r="F266" s="454"/>
      <c r="G266" s="454">
        <f>ROUNDUP(2500000/0.7,0)</f>
        <v>3571429</v>
      </c>
      <c r="H266" s="455" t="s">
        <v>1065</v>
      </c>
      <c r="I266" s="455"/>
      <c r="J266" s="455"/>
      <c r="K266" s="455"/>
      <c r="L266" s="455"/>
      <c r="M266" s="455"/>
      <c r="N266" s="455"/>
      <c r="O266" s="455" t="b">
        <v>0</v>
      </c>
      <c r="P266" s="455"/>
      <c r="Q266" s="456"/>
      <c r="R266" s="456"/>
      <c r="S266" s="455" t="b">
        <v>0</v>
      </c>
      <c r="T266" s="455"/>
      <c r="U266" s="454">
        <v>70</v>
      </c>
      <c r="V266" s="454">
        <v>2500000</v>
      </c>
      <c r="W266" s="455"/>
      <c r="X266" s="456">
        <v>92</v>
      </c>
      <c r="Y266" s="456" t="b">
        <v>1</v>
      </c>
      <c r="Z266" s="454">
        <v>2500000</v>
      </c>
      <c r="AA266" s="455"/>
      <c r="AB266" s="456">
        <v>92</v>
      </c>
      <c r="AC266" s="456"/>
      <c r="AD266" s="456"/>
      <c r="AE266" s="485"/>
      <c r="AF266" s="485"/>
      <c r="AG266" s="455"/>
      <c r="AH266" s="457"/>
    </row>
    <row r="267" spans="2:34" ht="15" hidden="1" customHeight="1" outlineLevel="2">
      <c r="B267" s="2" t="s">
        <v>876</v>
      </c>
      <c r="C267" s="2">
        <v>98</v>
      </c>
      <c r="D267" s="477" t="s">
        <v>8679</v>
      </c>
      <c r="E267" s="474"/>
      <c r="F267" s="474"/>
      <c r="G267" s="474">
        <f>ROUNDUP(1500000/0.9,0)</f>
        <v>1666667</v>
      </c>
      <c r="H267" s="254" t="s">
        <v>1069</v>
      </c>
      <c r="I267" s="254"/>
      <c r="J267" s="254"/>
      <c r="K267" s="254"/>
      <c r="L267" s="254"/>
      <c r="M267" s="254"/>
      <c r="N267" s="254"/>
      <c r="O267" s="254" t="b">
        <v>0</v>
      </c>
      <c r="P267" s="254"/>
      <c r="Q267" s="475"/>
      <c r="R267" s="475"/>
      <c r="S267" s="254" t="b">
        <v>0</v>
      </c>
      <c r="T267" s="254"/>
      <c r="U267" s="474">
        <v>70</v>
      </c>
      <c r="V267" s="474"/>
      <c r="W267" s="254">
        <v>90</v>
      </c>
      <c r="X267" s="475">
        <v>92</v>
      </c>
      <c r="Y267" s="475" t="b">
        <v>1</v>
      </c>
      <c r="Z267" s="474">
        <v>1500000</v>
      </c>
      <c r="AA267" s="254">
        <v>90</v>
      </c>
      <c r="AB267" s="475">
        <v>92</v>
      </c>
      <c r="AC267" s="475"/>
      <c r="AD267" s="475"/>
      <c r="AE267" s="486"/>
      <c r="AF267" s="486"/>
      <c r="AG267" s="254"/>
      <c r="AH267" s="476"/>
    </row>
    <row r="268" spans="2:34" ht="15" hidden="1" customHeight="1" outlineLevel="2" thickBot="1">
      <c r="B268" s="2" t="s">
        <v>876</v>
      </c>
      <c r="C268" s="2">
        <v>99</v>
      </c>
      <c r="D268" s="465" t="s">
        <v>8679</v>
      </c>
      <c r="E268" s="481"/>
      <c r="F268" s="481"/>
      <c r="G268" s="481">
        <f>ROUNDUP(1500000/0.7,0)</f>
        <v>2142858</v>
      </c>
      <c r="H268" s="466" t="s">
        <v>1069</v>
      </c>
      <c r="I268" s="466"/>
      <c r="J268" s="466"/>
      <c r="K268" s="466"/>
      <c r="L268" s="466"/>
      <c r="M268" s="466"/>
      <c r="N268" s="466"/>
      <c r="O268" s="466" t="b">
        <v>0</v>
      </c>
      <c r="P268" s="466"/>
      <c r="Q268" s="482"/>
      <c r="R268" s="482"/>
      <c r="S268" s="466" t="b">
        <v>0</v>
      </c>
      <c r="T268" s="466"/>
      <c r="U268" s="481">
        <v>70</v>
      </c>
      <c r="V268" s="481">
        <v>1500000</v>
      </c>
      <c r="W268" s="466"/>
      <c r="X268" s="482">
        <v>92</v>
      </c>
      <c r="Y268" s="482" t="b">
        <v>1</v>
      </c>
      <c r="Z268" s="481">
        <v>1500000</v>
      </c>
      <c r="AA268" s="466"/>
      <c r="AB268" s="482">
        <v>92</v>
      </c>
      <c r="AC268" s="482"/>
      <c r="AD268" s="482"/>
      <c r="AE268" s="482"/>
      <c r="AF268" s="482"/>
      <c r="AG268" s="482"/>
      <c r="AH268" s="483"/>
    </row>
    <row r="269" spans="2:34" ht="15" hidden="1" customHeight="1" outlineLevel="2">
      <c r="B269" s="2" t="s">
        <v>876</v>
      </c>
      <c r="C269" s="2">
        <v>100</v>
      </c>
      <c r="D269" s="591" t="s">
        <v>7917</v>
      </c>
      <c r="E269" s="592"/>
      <c r="F269" s="592"/>
      <c r="G269" s="592">
        <v>4000000</v>
      </c>
      <c r="H269" s="593"/>
      <c r="I269" s="593"/>
      <c r="J269" s="593"/>
      <c r="K269" s="593"/>
      <c r="L269" s="593"/>
      <c r="M269" s="593"/>
      <c r="N269" s="593"/>
      <c r="O269" s="593" t="b">
        <v>0</v>
      </c>
      <c r="P269" s="593"/>
      <c r="Q269" s="594"/>
      <c r="R269" s="594"/>
      <c r="S269" s="593"/>
      <c r="T269" s="593"/>
      <c r="U269" s="592">
        <v>80</v>
      </c>
      <c r="V269" s="592"/>
      <c r="W269" s="593">
        <v>80</v>
      </c>
      <c r="X269" s="594">
        <v>80</v>
      </c>
      <c r="Y269" s="594" t="b">
        <v>1</v>
      </c>
      <c r="Z269" s="592"/>
      <c r="AA269" s="593">
        <v>80</v>
      </c>
      <c r="AB269" s="594">
        <v>80</v>
      </c>
      <c r="AC269" s="594"/>
      <c r="AD269" s="594"/>
      <c r="AE269" s="594"/>
      <c r="AF269" s="594"/>
      <c r="AG269" s="594"/>
      <c r="AH269" s="595"/>
    </row>
    <row r="270" spans="2:34" ht="15" hidden="1" customHeight="1" outlineLevel="2">
      <c r="B270" s="2" t="s">
        <v>876</v>
      </c>
      <c r="C270" s="2">
        <v>101</v>
      </c>
      <c r="D270" s="596" t="s">
        <v>1084</v>
      </c>
      <c r="E270" s="546" t="s">
        <v>1085</v>
      </c>
      <c r="F270" s="546"/>
      <c r="G270" s="546">
        <v>4000000</v>
      </c>
      <c r="H270" s="546"/>
      <c r="I270" s="546"/>
      <c r="J270" s="546"/>
      <c r="K270" s="546" t="b">
        <v>1</v>
      </c>
      <c r="L270" s="546"/>
      <c r="M270" s="546"/>
      <c r="N270" s="546"/>
      <c r="O270" s="546" t="b">
        <v>0</v>
      </c>
      <c r="P270" s="546"/>
      <c r="Q270" s="546"/>
      <c r="R270" s="546"/>
      <c r="S270" s="546"/>
      <c r="T270" s="546"/>
      <c r="U270" s="546">
        <v>80</v>
      </c>
      <c r="V270" s="546"/>
      <c r="W270" s="546">
        <v>80</v>
      </c>
      <c r="X270" s="546">
        <v>80</v>
      </c>
      <c r="Y270" s="546" t="b">
        <v>1</v>
      </c>
      <c r="Z270" s="546"/>
      <c r="AA270" s="546">
        <v>80</v>
      </c>
      <c r="AB270" s="546">
        <v>80</v>
      </c>
      <c r="AC270" s="546"/>
      <c r="AD270" s="546"/>
      <c r="AE270" s="546"/>
      <c r="AF270" s="546"/>
      <c r="AG270" s="546"/>
      <c r="AH270" s="597"/>
    </row>
    <row r="271" spans="2:34" ht="15" hidden="1" customHeight="1" outlineLevel="2">
      <c r="B271" s="2" t="s">
        <v>876</v>
      </c>
      <c r="C271" s="2">
        <v>102</v>
      </c>
      <c r="D271" s="598" t="s">
        <v>7918</v>
      </c>
      <c r="E271" s="565"/>
      <c r="F271" s="565"/>
      <c r="G271" s="565">
        <v>4000000</v>
      </c>
      <c r="H271" s="545"/>
      <c r="I271" s="545"/>
      <c r="J271" s="545"/>
      <c r="K271" s="545" t="b">
        <v>1</v>
      </c>
      <c r="L271" s="545"/>
      <c r="M271" s="545"/>
      <c r="N271" s="545"/>
      <c r="O271" s="545" t="b">
        <v>0</v>
      </c>
      <c r="P271" s="545" t="b">
        <v>1</v>
      </c>
      <c r="Q271" s="566"/>
      <c r="R271" s="566"/>
      <c r="S271" s="545"/>
      <c r="T271" s="545"/>
      <c r="U271" s="565">
        <v>80</v>
      </c>
      <c r="V271" s="565"/>
      <c r="W271" s="545">
        <v>80</v>
      </c>
      <c r="X271" s="566">
        <v>80</v>
      </c>
      <c r="Y271" s="566" t="b">
        <v>1</v>
      </c>
      <c r="Z271" s="565"/>
      <c r="AA271" s="545">
        <v>80</v>
      </c>
      <c r="AB271" s="566">
        <v>80</v>
      </c>
      <c r="AC271" s="566" t="s">
        <v>1066</v>
      </c>
      <c r="AD271" s="566"/>
      <c r="AE271" s="566"/>
      <c r="AF271" s="566"/>
      <c r="AG271" s="566" t="s">
        <v>1078</v>
      </c>
      <c r="AH271" s="599"/>
    </row>
    <row r="272" spans="2:34" ht="15" hidden="1" customHeight="1" outlineLevel="2" thickBot="1">
      <c r="B272" s="2" t="s">
        <v>876</v>
      </c>
      <c r="C272" s="2">
        <v>103</v>
      </c>
      <c r="D272" s="619" t="s">
        <v>7918</v>
      </c>
      <c r="E272" s="620"/>
      <c r="F272" s="620"/>
      <c r="G272" s="620">
        <v>4000000</v>
      </c>
      <c r="H272" s="620"/>
      <c r="I272" s="620"/>
      <c r="J272" s="620"/>
      <c r="K272" s="620" t="b">
        <v>1</v>
      </c>
      <c r="L272" s="620"/>
      <c r="M272" s="620"/>
      <c r="N272" s="620"/>
      <c r="O272" s="620" t="b">
        <v>0</v>
      </c>
      <c r="P272" s="620"/>
      <c r="Q272" s="620"/>
      <c r="R272" s="620"/>
      <c r="S272" s="620"/>
      <c r="T272" s="620"/>
      <c r="U272" s="620">
        <v>80</v>
      </c>
      <c r="V272" s="620"/>
      <c r="W272" s="620">
        <v>80</v>
      </c>
      <c r="X272" s="620">
        <v>80</v>
      </c>
      <c r="Y272" s="620" t="b">
        <v>1</v>
      </c>
      <c r="Z272" s="620"/>
      <c r="AA272" s="620">
        <v>80</v>
      </c>
      <c r="AB272" s="620">
        <v>80</v>
      </c>
      <c r="AC272" s="620" t="s">
        <v>1066</v>
      </c>
      <c r="AD272" s="620"/>
      <c r="AE272" s="620"/>
      <c r="AF272" s="620"/>
      <c r="AG272" s="620" t="s">
        <v>1079</v>
      </c>
      <c r="AH272" s="621"/>
    </row>
    <row r="273" spans="2:34" ht="15" hidden="1" customHeight="1" outlineLevel="2">
      <c r="B273" s="2" t="s">
        <v>876</v>
      </c>
      <c r="C273" s="2">
        <v>104</v>
      </c>
      <c r="D273" s="623" t="s">
        <v>7918</v>
      </c>
      <c r="E273" s="625"/>
      <c r="F273" s="625"/>
      <c r="G273" s="625">
        <v>5000000</v>
      </c>
      <c r="H273" s="626" t="s">
        <v>1060</v>
      </c>
      <c r="I273" s="626"/>
      <c r="J273" s="626"/>
      <c r="K273" s="546" t="b">
        <v>0</v>
      </c>
      <c r="L273" s="626"/>
      <c r="M273" s="626"/>
      <c r="N273" s="626"/>
      <c r="O273" s="626" t="b">
        <v>0</v>
      </c>
      <c r="P273" s="626"/>
      <c r="Q273" s="627"/>
      <c r="R273" s="627"/>
      <c r="S273" s="626"/>
      <c r="T273" s="626"/>
      <c r="U273" s="625">
        <v>80</v>
      </c>
      <c r="V273" s="625"/>
      <c r="W273" s="626">
        <v>80</v>
      </c>
      <c r="X273" s="627">
        <v>80</v>
      </c>
      <c r="Y273" s="627" t="b">
        <v>0</v>
      </c>
      <c r="Z273" s="625"/>
      <c r="AA273" s="626">
        <v>80</v>
      </c>
      <c r="AB273" s="627">
        <v>80</v>
      </c>
      <c r="AC273" s="627"/>
      <c r="AD273" s="627"/>
      <c r="AE273" s="627"/>
      <c r="AF273" s="627"/>
      <c r="AG273" s="627"/>
      <c r="AH273" s="627"/>
    </row>
    <row r="274" spans="2:34" ht="15" hidden="1" customHeight="1" outlineLevel="2">
      <c r="B274" s="2" t="s">
        <v>876</v>
      </c>
      <c r="C274" s="2">
        <v>105</v>
      </c>
      <c r="D274" s="546" t="s">
        <v>1084</v>
      </c>
      <c r="E274" s="549" t="s">
        <v>1085</v>
      </c>
      <c r="F274" s="549"/>
      <c r="G274" s="549">
        <v>5000000</v>
      </c>
      <c r="H274" s="546" t="s">
        <v>1060</v>
      </c>
      <c r="I274" s="546"/>
      <c r="J274" s="546"/>
      <c r="K274" s="546" t="b">
        <v>0</v>
      </c>
      <c r="L274" s="546"/>
      <c r="M274" s="546"/>
      <c r="N274" s="546"/>
      <c r="O274" s="546" t="b">
        <v>0</v>
      </c>
      <c r="P274" s="546"/>
      <c r="Q274" s="550"/>
      <c r="R274" s="550"/>
      <c r="S274" s="546"/>
      <c r="T274" s="546"/>
      <c r="U274" s="549">
        <v>80</v>
      </c>
      <c r="V274" s="549"/>
      <c r="W274" s="546">
        <v>80</v>
      </c>
      <c r="X274" s="550">
        <v>80</v>
      </c>
      <c r="Y274" s="550" t="b">
        <v>0</v>
      </c>
      <c r="Z274" s="549"/>
      <c r="AA274" s="546">
        <v>80</v>
      </c>
      <c r="AB274" s="550">
        <v>80</v>
      </c>
      <c r="AC274" s="550"/>
      <c r="AD274" s="550"/>
      <c r="AE274" s="550"/>
      <c r="AF274" s="550"/>
      <c r="AG274" s="550"/>
      <c r="AH274" s="550"/>
    </row>
    <row r="275" spans="2:34" ht="15" hidden="1" customHeight="1" outlineLevel="2">
      <c r="B275" s="2" t="s">
        <v>876</v>
      </c>
      <c r="C275" s="2">
        <v>106</v>
      </c>
      <c r="D275" s="596" t="s">
        <v>7918</v>
      </c>
      <c r="E275" s="545"/>
      <c r="F275" s="545"/>
      <c r="G275" s="549">
        <v>5000000</v>
      </c>
      <c r="H275" s="546"/>
      <c r="I275" s="545"/>
      <c r="J275" s="545"/>
      <c r="K275" s="546" t="b">
        <v>0</v>
      </c>
      <c r="L275" s="545"/>
      <c r="M275" s="545"/>
      <c r="N275" s="545"/>
      <c r="O275" s="545" t="b">
        <v>0</v>
      </c>
      <c r="P275" s="545"/>
      <c r="Q275" s="545" t="s">
        <v>1062</v>
      </c>
      <c r="R275" s="545" t="s">
        <v>490</v>
      </c>
      <c r="S275" s="545"/>
      <c r="T275" s="545"/>
      <c r="U275" s="545">
        <v>80</v>
      </c>
      <c r="V275" s="545"/>
      <c r="W275" s="545">
        <v>80</v>
      </c>
      <c r="X275" s="545">
        <v>80</v>
      </c>
      <c r="Y275" s="545" t="b">
        <v>0</v>
      </c>
      <c r="Z275" s="545"/>
      <c r="AA275" s="545">
        <v>80</v>
      </c>
      <c r="AB275" s="545">
        <v>80</v>
      </c>
      <c r="AC275" s="545"/>
      <c r="AD275" s="545"/>
      <c r="AE275" s="545"/>
      <c r="AF275" s="545"/>
      <c r="AG275" s="545"/>
      <c r="AH275" s="545"/>
    </row>
    <row r="276" spans="2:34" ht="15" hidden="1" customHeight="1" outlineLevel="2">
      <c r="B276" s="2" t="s">
        <v>876</v>
      </c>
      <c r="C276" s="2">
        <v>107</v>
      </c>
      <c r="D276" s="546" t="s">
        <v>1084</v>
      </c>
      <c r="E276" s="549" t="s">
        <v>1085</v>
      </c>
      <c r="F276" s="545"/>
      <c r="G276" s="549">
        <v>5000000</v>
      </c>
      <c r="H276" s="546"/>
      <c r="I276" s="545"/>
      <c r="J276" s="545"/>
      <c r="K276" s="546" t="b">
        <v>0</v>
      </c>
      <c r="L276" s="545"/>
      <c r="M276" s="545"/>
      <c r="N276" s="545"/>
      <c r="O276" s="545" t="b">
        <v>0</v>
      </c>
      <c r="P276" s="545"/>
      <c r="Q276" s="545" t="s">
        <v>1062</v>
      </c>
      <c r="R276" s="545" t="s">
        <v>490</v>
      </c>
      <c r="S276" s="545"/>
      <c r="T276" s="545"/>
      <c r="U276" s="545">
        <v>80</v>
      </c>
      <c r="V276" s="545"/>
      <c r="W276" s="545">
        <v>80</v>
      </c>
      <c r="X276" s="545">
        <v>80</v>
      </c>
      <c r="Y276" s="545" t="b">
        <v>0</v>
      </c>
      <c r="Z276" s="545"/>
      <c r="AA276" s="545">
        <v>80</v>
      </c>
      <c r="AB276" s="545">
        <v>80</v>
      </c>
      <c r="AC276" s="545"/>
      <c r="AD276" s="545"/>
      <c r="AE276" s="545"/>
      <c r="AF276" s="545"/>
      <c r="AG276" s="545"/>
      <c r="AH276" s="545"/>
    </row>
    <row r="277" spans="2:34" ht="15" hidden="1" customHeight="1" outlineLevel="2">
      <c r="B277" s="2" t="s">
        <v>876</v>
      </c>
      <c r="C277" s="2">
        <v>108</v>
      </c>
      <c r="D277" s="596" t="s">
        <v>7918</v>
      </c>
      <c r="E277" s="549"/>
      <c r="F277" s="549"/>
      <c r="G277" s="549">
        <v>5000000</v>
      </c>
      <c r="H277" s="546"/>
      <c r="I277" s="546"/>
      <c r="J277" s="546"/>
      <c r="K277" s="546" t="b">
        <v>0</v>
      </c>
      <c r="L277" s="546"/>
      <c r="M277" s="546"/>
      <c r="N277" s="546"/>
      <c r="O277" s="546" t="b">
        <v>0</v>
      </c>
      <c r="P277" s="546" t="b">
        <v>0</v>
      </c>
      <c r="Q277" s="550" t="s">
        <v>1063</v>
      </c>
      <c r="R277" s="550" t="s">
        <v>493</v>
      </c>
      <c r="S277" s="546"/>
      <c r="T277" s="546"/>
      <c r="U277" s="549">
        <v>80</v>
      </c>
      <c r="V277" s="549"/>
      <c r="W277" s="546">
        <v>80</v>
      </c>
      <c r="X277" s="550">
        <v>80</v>
      </c>
      <c r="Y277" s="550" t="b">
        <v>0</v>
      </c>
      <c r="Z277" s="549"/>
      <c r="AA277" s="546">
        <v>80</v>
      </c>
      <c r="AB277" s="550">
        <v>80</v>
      </c>
      <c r="AC277" s="550"/>
      <c r="AD277" s="550"/>
      <c r="AE277" s="550"/>
      <c r="AF277" s="550"/>
      <c r="AG277" s="550"/>
      <c r="AH277" s="550"/>
    </row>
    <row r="278" spans="2:34" ht="15" hidden="1" customHeight="1" outlineLevel="2">
      <c r="B278" s="2" t="s">
        <v>876</v>
      </c>
      <c r="C278" s="2">
        <v>109</v>
      </c>
      <c r="D278" s="546" t="s">
        <v>1084</v>
      </c>
      <c r="E278" s="549" t="s">
        <v>1085</v>
      </c>
      <c r="F278" s="549"/>
      <c r="G278" s="549">
        <v>5000000</v>
      </c>
      <c r="H278" s="546"/>
      <c r="I278" s="546"/>
      <c r="J278" s="546"/>
      <c r="K278" s="546" t="b">
        <v>0</v>
      </c>
      <c r="L278" s="546"/>
      <c r="M278" s="546"/>
      <c r="N278" s="546"/>
      <c r="O278" s="546" t="b">
        <v>0</v>
      </c>
      <c r="P278" s="546" t="b">
        <v>0</v>
      </c>
      <c r="Q278" s="550" t="s">
        <v>1063</v>
      </c>
      <c r="R278" s="550" t="s">
        <v>493</v>
      </c>
      <c r="S278" s="546"/>
      <c r="T278" s="546"/>
      <c r="U278" s="549">
        <v>80</v>
      </c>
      <c r="V278" s="549"/>
      <c r="W278" s="546">
        <v>80</v>
      </c>
      <c r="X278" s="550">
        <v>80</v>
      </c>
      <c r="Y278" s="550" t="b">
        <v>0</v>
      </c>
      <c r="Z278" s="549"/>
      <c r="AA278" s="546">
        <v>80</v>
      </c>
      <c r="AB278" s="550">
        <v>80</v>
      </c>
      <c r="AC278" s="550"/>
      <c r="AD278" s="550"/>
      <c r="AE278" s="550"/>
      <c r="AF278" s="550"/>
      <c r="AG278" s="550"/>
      <c r="AH278" s="550"/>
    </row>
    <row r="279" spans="2:34" ht="15" hidden="1" customHeight="1" outlineLevel="2">
      <c r="B279" s="2" t="s">
        <v>876</v>
      </c>
      <c r="C279" s="2">
        <v>110</v>
      </c>
      <c r="D279" s="596" t="s">
        <v>7918</v>
      </c>
      <c r="E279" s="549"/>
      <c r="F279" s="549"/>
      <c r="G279" s="549">
        <v>5000000</v>
      </c>
      <c r="H279" s="546" t="s">
        <v>1075</v>
      </c>
      <c r="I279" s="546"/>
      <c r="J279" s="546"/>
      <c r="K279" s="546" t="b">
        <v>0</v>
      </c>
      <c r="L279" s="546"/>
      <c r="M279" s="546"/>
      <c r="N279" s="546"/>
      <c r="O279" s="546" t="b">
        <v>0</v>
      </c>
      <c r="P279" s="546" t="b">
        <v>1</v>
      </c>
      <c r="Q279" s="550"/>
      <c r="R279" s="550"/>
      <c r="S279" s="546"/>
      <c r="T279" s="546"/>
      <c r="U279" s="549">
        <v>80</v>
      </c>
      <c r="V279" s="549"/>
      <c r="W279" s="546">
        <v>80</v>
      </c>
      <c r="X279" s="550">
        <v>80</v>
      </c>
      <c r="Y279" s="550" t="b">
        <v>0</v>
      </c>
      <c r="Z279" s="549"/>
      <c r="AA279" s="546">
        <v>80</v>
      </c>
      <c r="AB279" s="550">
        <v>80</v>
      </c>
      <c r="AC279" s="550"/>
      <c r="AD279" s="550"/>
      <c r="AE279" s="550"/>
      <c r="AF279" s="550"/>
      <c r="AG279" s="550"/>
      <c r="AH279" s="550"/>
    </row>
    <row r="280" spans="2:34" ht="15" hidden="1" customHeight="1" outlineLevel="2">
      <c r="B280" s="2" t="s">
        <v>876</v>
      </c>
      <c r="C280" s="2">
        <v>111</v>
      </c>
      <c r="D280" s="596" t="s">
        <v>7918</v>
      </c>
      <c r="E280" s="549"/>
      <c r="F280" s="549"/>
      <c r="G280" s="549">
        <v>5000000</v>
      </c>
      <c r="H280" s="546" t="s">
        <v>1075</v>
      </c>
      <c r="I280" s="546"/>
      <c r="J280" s="546"/>
      <c r="K280" s="546" t="b">
        <v>0</v>
      </c>
      <c r="L280" s="546"/>
      <c r="M280" s="546"/>
      <c r="N280" s="546"/>
      <c r="O280" s="546" t="b">
        <v>0</v>
      </c>
      <c r="P280" s="546"/>
      <c r="Q280" s="550"/>
      <c r="R280" s="550"/>
      <c r="S280" s="546"/>
      <c r="T280" s="637" t="s">
        <v>8701</v>
      </c>
      <c r="U280" s="549">
        <v>80</v>
      </c>
      <c r="V280" s="549"/>
      <c r="W280" s="546">
        <v>80</v>
      </c>
      <c r="X280" s="550">
        <v>80</v>
      </c>
      <c r="Y280" s="550" t="b">
        <v>0</v>
      </c>
      <c r="Z280" s="549"/>
      <c r="AA280" s="546">
        <v>80</v>
      </c>
      <c r="AB280" s="550">
        <v>80</v>
      </c>
      <c r="AC280" s="550"/>
      <c r="AD280" s="550"/>
      <c r="AE280" s="550"/>
      <c r="AF280" s="550"/>
      <c r="AG280" s="550"/>
      <c r="AH280" s="550"/>
    </row>
    <row r="281" spans="2:34" ht="15" hidden="1" customHeight="1" outlineLevel="2">
      <c r="B281" s="2" t="s">
        <v>876</v>
      </c>
      <c r="C281" s="2">
        <v>112</v>
      </c>
      <c r="D281" s="546" t="s">
        <v>1084</v>
      </c>
      <c r="E281" s="549" t="s">
        <v>1085</v>
      </c>
      <c r="F281" s="549"/>
      <c r="G281" s="549">
        <v>5000000</v>
      </c>
      <c r="H281" s="546" t="s">
        <v>1075</v>
      </c>
      <c r="I281" s="546"/>
      <c r="J281" s="546"/>
      <c r="K281" s="546" t="b">
        <v>0</v>
      </c>
      <c r="L281" s="546"/>
      <c r="M281" s="546"/>
      <c r="N281" s="546"/>
      <c r="O281" s="546" t="b">
        <v>0</v>
      </c>
      <c r="P281" s="546" t="b">
        <v>1</v>
      </c>
      <c r="Q281" s="550"/>
      <c r="R281" s="550"/>
      <c r="S281" s="546"/>
      <c r="T281" s="546"/>
      <c r="U281" s="549">
        <v>80</v>
      </c>
      <c r="V281" s="549"/>
      <c r="W281" s="546">
        <v>80</v>
      </c>
      <c r="X281" s="550">
        <v>80</v>
      </c>
      <c r="Y281" s="550" t="b">
        <v>0</v>
      </c>
      <c r="Z281" s="549"/>
      <c r="AA281" s="546">
        <v>80</v>
      </c>
      <c r="AB281" s="550">
        <v>80</v>
      </c>
      <c r="AC281" s="550"/>
      <c r="AD281" s="550"/>
      <c r="AE281" s="550"/>
      <c r="AF281" s="550"/>
      <c r="AG281" s="550"/>
      <c r="AH281" s="550"/>
    </row>
    <row r="282" spans="2:34" ht="15" hidden="1" customHeight="1" outlineLevel="2">
      <c r="B282" s="2" t="s">
        <v>876</v>
      </c>
      <c r="C282" s="2">
        <v>113</v>
      </c>
      <c r="D282" s="546" t="s">
        <v>1084</v>
      </c>
      <c r="E282" s="549" t="s">
        <v>1085</v>
      </c>
      <c r="F282" s="549"/>
      <c r="G282" s="549">
        <v>5000000</v>
      </c>
      <c r="H282" s="546" t="s">
        <v>1075</v>
      </c>
      <c r="I282" s="546"/>
      <c r="J282" s="546"/>
      <c r="K282" s="546" t="b">
        <v>0</v>
      </c>
      <c r="L282" s="546"/>
      <c r="M282" s="546"/>
      <c r="N282" s="546"/>
      <c r="O282" s="546" t="b">
        <v>0</v>
      </c>
      <c r="P282" s="546"/>
      <c r="Q282" s="550"/>
      <c r="R282" s="550"/>
      <c r="S282" s="546"/>
      <c r="T282" s="637" t="s">
        <v>8701</v>
      </c>
      <c r="U282" s="549">
        <v>80</v>
      </c>
      <c r="V282" s="549"/>
      <c r="W282" s="546">
        <v>80</v>
      </c>
      <c r="X282" s="550">
        <v>80</v>
      </c>
      <c r="Y282" s="550" t="b">
        <v>0</v>
      </c>
      <c r="Z282" s="549"/>
      <c r="AA282" s="546">
        <v>80</v>
      </c>
      <c r="AB282" s="550">
        <v>80</v>
      </c>
      <c r="AC282" s="550"/>
      <c r="AD282" s="550"/>
      <c r="AE282" s="550"/>
      <c r="AF282" s="550"/>
      <c r="AG282" s="550"/>
      <c r="AH282" s="550"/>
    </row>
    <row r="283" spans="2:34" ht="15" hidden="1" customHeight="1" outlineLevel="2">
      <c r="B283" s="2" t="s">
        <v>876</v>
      </c>
      <c r="C283" s="2">
        <v>114</v>
      </c>
      <c r="D283" s="596" t="s">
        <v>1084</v>
      </c>
      <c r="E283" s="546" t="s">
        <v>1085</v>
      </c>
      <c r="F283" s="546"/>
      <c r="G283" s="546">
        <v>5000000</v>
      </c>
      <c r="H283" s="546"/>
      <c r="I283" s="546"/>
      <c r="J283" s="546"/>
      <c r="K283" s="546" t="b">
        <v>0</v>
      </c>
      <c r="L283" s="546"/>
      <c r="M283" s="546"/>
      <c r="N283" s="546"/>
      <c r="O283" s="546" t="b">
        <v>0</v>
      </c>
      <c r="P283" s="546"/>
      <c r="Q283" s="546"/>
      <c r="R283" s="546"/>
      <c r="S283" s="546"/>
      <c r="T283" s="546"/>
      <c r="U283" s="546">
        <v>80</v>
      </c>
      <c r="V283" s="546"/>
      <c r="W283" s="546">
        <v>80</v>
      </c>
      <c r="X283" s="546">
        <v>80</v>
      </c>
      <c r="Y283" s="546" t="b">
        <v>1</v>
      </c>
      <c r="Z283" s="546"/>
      <c r="AA283" s="546">
        <v>80</v>
      </c>
      <c r="AB283" s="546">
        <v>80</v>
      </c>
      <c r="AC283" s="546"/>
      <c r="AD283" s="546"/>
      <c r="AE283" s="546"/>
      <c r="AF283" s="546"/>
      <c r="AG283" s="546"/>
      <c r="AH283" s="597"/>
    </row>
    <row r="284" spans="2:34" ht="15" hidden="1" customHeight="1" outlineLevel="2">
      <c r="B284" s="2" t="s">
        <v>876</v>
      </c>
      <c r="C284" s="2">
        <v>115</v>
      </c>
      <c r="D284" s="598" t="s">
        <v>7918</v>
      </c>
      <c r="E284" s="565"/>
      <c r="F284" s="565"/>
      <c r="G284" s="565">
        <v>5000000</v>
      </c>
      <c r="H284" s="545"/>
      <c r="I284" s="545"/>
      <c r="J284" s="545"/>
      <c r="K284" s="545" t="b">
        <v>0</v>
      </c>
      <c r="L284" s="545"/>
      <c r="M284" s="545"/>
      <c r="N284" s="545"/>
      <c r="O284" s="545" t="b">
        <v>0</v>
      </c>
      <c r="P284" s="545" t="b">
        <v>1</v>
      </c>
      <c r="Q284" s="566"/>
      <c r="R284" s="566"/>
      <c r="S284" s="545"/>
      <c r="T284" s="545"/>
      <c r="U284" s="565">
        <v>80</v>
      </c>
      <c r="V284" s="565"/>
      <c r="W284" s="545">
        <v>80</v>
      </c>
      <c r="X284" s="566">
        <v>80</v>
      </c>
      <c r="Y284" s="566" t="b">
        <v>1</v>
      </c>
      <c r="Z284" s="565"/>
      <c r="AA284" s="545">
        <v>80</v>
      </c>
      <c r="AB284" s="566">
        <v>80</v>
      </c>
      <c r="AC284" s="566" t="s">
        <v>1066</v>
      </c>
      <c r="AD284" s="566"/>
      <c r="AE284" s="566"/>
      <c r="AF284" s="566"/>
      <c r="AG284" s="566" t="s">
        <v>1078</v>
      </c>
      <c r="AH284" s="599"/>
    </row>
    <row r="285" spans="2:34" ht="15" hidden="1" customHeight="1" outlineLevel="2">
      <c r="B285" s="2" t="s">
        <v>876</v>
      </c>
      <c r="C285" s="2">
        <v>116</v>
      </c>
      <c r="D285" s="596" t="s">
        <v>7918</v>
      </c>
      <c r="E285" s="546"/>
      <c r="F285" s="546"/>
      <c r="G285" s="546">
        <v>5000000</v>
      </c>
      <c r="H285" s="546"/>
      <c r="I285" s="546"/>
      <c r="J285" s="546"/>
      <c r="K285" s="546" t="b">
        <v>0</v>
      </c>
      <c r="L285" s="546"/>
      <c r="M285" s="546"/>
      <c r="N285" s="546"/>
      <c r="O285" s="546" t="b">
        <v>0</v>
      </c>
      <c r="P285" s="546"/>
      <c r="Q285" s="546"/>
      <c r="R285" s="546"/>
      <c r="S285" s="546"/>
      <c r="T285" s="546"/>
      <c r="U285" s="546">
        <v>80</v>
      </c>
      <c r="V285" s="546"/>
      <c r="W285" s="546">
        <v>80</v>
      </c>
      <c r="X285" s="546">
        <v>80</v>
      </c>
      <c r="Y285" s="546" t="b">
        <v>1</v>
      </c>
      <c r="Z285" s="546"/>
      <c r="AA285" s="546">
        <v>80</v>
      </c>
      <c r="AB285" s="546">
        <v>80</v>
      </c>
      <c r="AC285" s="546" t="s">
        <v>1066</v>
      </c>
      <c r="AD285" s="546"/>
      <c r="AE285" s="546"/>
      <c r="AF285" s="546"/>
      <c r="AG285" s="546" t="s">
        <v>1079</v>
      </c>
      <c r="AH285" s="597"/>
    </row>
    <row r="286" spans="2:34" ht="15" hidden="1" customHeight="1" outlineLevel="2">
      <c r="B286" s="2" t="s">
        <v>876</v>
      </c>
      <c r="C286" s="2">
        <v>117</v>
      </c>
      <c r="D286" s="598" t="s">
        <v>1061</v>
      </c>
      <c r="E286" s="565"/>
      <c r="F286" s="565" t="s">
        <v>7919</v>
      </c>
      <c r="G286" s="565"/>
      <c r="H286" s="545"/>
      <c r="I286" s="545"/>
      <c r="J286" s="545"/>
      <c r="K286" s="545"/>
      <c r="L286" s="545"/>
      <c r="M286" s="545"/>
      <c r="N286" s="545"/>
      <c r="O286" s="545" t="b">
        <v>0</v>
      </c>
      <c r="P286" s="545" t="b">
        <v>1</v>
      </c>
      <c r="Q286" s="566"/>
      <c r="R286" s="566"/>
      <c r="S286" s="545"/>
      <c r="T286" s="545"/>
      <c r="U286" s="565">
        <v>75</v>
      </c>
      <c r="V286" s="565"/>
      <c r="W286" s="545">
        <v>75</v>
      </c>
      <c r="X286" s="566">
        <v>75</v>
      </c>
      <c r="Y286" s="566" t="b">
        <v>0</v>
      </c>
      <c r="Z286" s="565"/>
      <c r="AA286" s="545">
        <v>75</v>
      </c>
      <c r="AB286" s="566">
        <v>75</v>
      </c>
      <c r="AC286" s="566" t="s">
        <v>1066</v>
      </c>
      <c r="AD286" s="566"/>
      <c r="AE286" s="566"/>
      <c r="AF286" s="566"/>
      <c r="AG286" s="566" t="s">
        <v>1080</v>
      </c>
      <c r="AH286" s="599" t="s">
        <v>1081</v>
      </c>
    </row>
    <row r="287" spans="2:34" ht="15" hidden="1" customHeight="1" outlineLevel="2" thickBot="1">
      <c r="B287" s="2" t="s">
        <v>876</v>
      </c>
      <c r="C287" s="2">
        <v>118</v>
      </c>
      <c r="D287" s="600" t="s">
        <v>1061</v>
      </c>
      <c r="E287" s="602"/>
      <c r="F287" s="602" t="s">
        <v>7919</v>
      </c>
      <c r="G287" s="602"/>
      <c r="H287" s="602"/>
      <c r="I287" s="602"/>
      <c r="J287" s="602"/>
      <c r="K287" s="602"/>
      <c r="L287" s="602"/>
      <c r="M287" s="602"/>
      <c r="N287" s="602"/>
      <c r="O287" s="602" t="b">
        <v>0</v>
      </c>
      <c r="P287" s="602"/>
      <c r="Q287" s="602"/>
      <c r="R287" s="602"/>
      <c r="S287" s="602"/>
      <c r="T287" s="602"/>
      <c r="U287" s="602">
        <v>75</v>
      </c>
      <c r="V287" s="602"/>
      <c r="W287" s="602">
        <v>75</v>
      </c>
      <c r="X287" s="602">
        <v>75</v>
      </c>
      <c r="Y287" s="602" t="b">
        <v>0</v>
      </c>
      <c r="Z287" s="602"/>
      <c r="AA287" s="602">
        <v>75</v>
      </c>
      <c r="AB287" s="602">
        <v>75</v>
      </c>
      <c r="AC287" s="602" t="s">
        <v>1066</v>
      </c>
      <c r="AD287" s="602"/>
      <c r="AE287" s="602"/>
      <c r="AF287" s="602"/>
      <c r="AG287" s="602" t="s">
        <v>1082</v>
      </c>
      <c r="AH287" s="630" t="s">
        <v>1081</v>
      </c>
    </row>
    <row r="288" spans="2:34" ht="15" hidden="1" customHeight="1" outlineLevel="2">
      <c r="B288" s="2" t="s">
        <v>876</v>
      </c>
      <c r="C288" s="2">
        <v>119</v>
      </c>
      <c r="D288" s="623" t="s">
        <v>7918</v>
      </c>
      <c r="E288" s="625"/>
      <c r="F288" s="592" t="s">
        <v>9044</v>
      </c>
      <c r="G288" s="592">
        <v>6000000</v>
      </c>
      <c r="H288" s="626" t="s">
        <v>1060</v>
      </c>
      <c r="I288" s="626"/>
      <c r="J288" s="626"/>
      <c r="K288" s="546" t="b">
        <v>0</v>
      </c>
      <c r="L288" s="626"/>
      <c r="M288" s="626"/>
      <c r="N288" s="626"/>
      <c r="O288" s="626" t="b">
        <v>0</v>
      </c>
      <c r="P288" s="626"/>
      <c r="Q288" s="627"/>
      <c r="R288" s="627"/>
      <c r="S288" s="626"/>
      <c r="T288" s="626"/>
      <c r="U288" s="625">
        <v>80</v>
      </c>
      <c r="V288" s="625"/>
      <c r="W288" s="626">
        <v>80</v>
      </c>
      <c r="X288" s="627">
        <v>80</v>
      </c>
      <c r="Y288" s="627" t="b">
        <v>0</v>
      </c>
      <c r="Z288" s="625"/>
      <c r="AA288" s="626">
        <v>80</v>
      </c>
      <c r="AB288" s="627">
        <v>80</v>
      </c>
      <c r="AC288" s="627"/>
      <c r="AD288" s="627"/>
      <c r="AE288" s="627"/>
      <c r="AF288" s="627"/>
      <c r="AG288" s="627"/>
      <c r="AH288" s="627"/>
    </row>
    <row r="289" spans="2:34" ht="15" hidden="1" customHeight="1" outlineLevel="2">
      <c r="B289" s="2" t="s">
        <v>876</v>
      </c>
      <c r="C289" s="2">
        <v>120</v>
      </c>
      <c r="D289" s="596" t="s">
        <v>7918</v>
      </c>
      <c r="E289" s="545"/>
      <c r="F289" s="565" t="s">
        <v>9044</v>
      </c>
      <c r="G289" s="565">
        <v>6000000</v>
      </c>
      <c r="H289" s="546"/>
      <c r="I289" s="545"/>
      <c r="J289" s="545"/>
      <c r="K289" s="546" t="b">
        <v>0</v>
      </c>
      <c r="L289" s="545"/>
      <c r="M289" s="545"/>
      <c r="N289" s="545"/>
      <c r="O289" s="545" t="b">
        <v>0</v>
      </c>
      <c r="P289" s="545"/>
      <c r="Q289" s="545" t="s">
        <v>1062</v>
      </c>
      <c r="R289" s="545" t="s">
        <v>490</v>
      </c>
      <c r="S289" s="545"/>
      <c r="T289" s="545"/>
      <c r="U289" s="545">
        <v>80</v>
      </c>
      <c r="V289" s="545"/>
      <c r="W289" s="545">
        <v>80</v>
      </c>
      <c r="X289" s="545">
        <v>80</v>
      </c>
      <c r="Y289" s="545" t="b">
        <v>0</v>
      </c>
      <c r="Z289" s="545"/>
      <c r="AA289" s="545">
        <v>80</v>
      </c>
      <c r="AB289" s="545">
        <v>80</v>
      </c>
      <c r="AC289" s="545"/>
      <c r="AD289" s="545"/>
      <c r="AE289" s="545"/>
      <c r="AF289" s="545"/>
      <c r="AG289" s="545"/>
      <c r="AH289" s="545"/>
    </row>
    <row r="290" spans="2:34" ht="15" hidden="1" customHeight="1" outlineLevel="2">
      <c r="B290" s="2" t="s">
        <v>876</v>
      </c>
      <c r="C290" s="2">
        <v>121</v>
      </c>
      <c r="D290" s="596" t="s">
        <v>7918</v>
      </c>
      <c r="E290" s="549"/>
      <c r="F290" s="565" t="s">
        <v>9044</v>
      </c>
      <c r="G290" s="565">
        <v>6000000</v>
      </c>
      <c r="H290" s="546"/>
      <c r="I290" s="546"/>
      <c r="J290" s="546"/>
      <c r="K290" s="546" t="b">
        <v>0</v>
      </c>
      <c r="L290" s="546"/>
      <c r="M290" s="546"/>
      <c r="N290" s="546"/>
      <c r="O290" s="546" t="b">
        <v>0</v>
      </c>
      <c r="P290" s="546" t="b">
        <v>0</v>
      </c>
      <c r="Q290" s="550" t="s">
        <v>1063</v>
      </c>
      <c r="R290" s="550" t="s">
        <v>493</v>
      </c>
      <c r="S290" s="546"/>
      <c r="T290" s="546"/>
      <c r="U290" s="549">
        <v>80</v>
      </c>
      <c r="V290" s="549"/>
      <c r="W290" s="546">
        <v>80</v>
      </c>
      <c r="X290" s="550">
        <v>80</v>
      </c>
      <c r="Y290" s="550" t="b">
        <v>0</v>
      </c>
      <c r="Z290" s="549"/>
      <c r="AA290" s="546">
        <v>80</v>
      </c>
      <c r="AB290" s="550">
        <v>80</v>
      </c>
      <c r="AC290" s="550"/>
      <c r="AD290" s="550"/>
      <c r="AE290" s="550"/>
      <c r="AF290" s="550"/>
      <c r="AG290" s="550"/>
      <c r="AH290" s="550"/>
    </row>
    <row r="291" spans="2:34" ht="15" hidden="1" customHeight="1" outlineLevel="2">
      <c r="B291" s="2" t="s">
        <v>876</v>
      </c>
      <c r="C291" s="2">
        <v>122</v>
      </c>
      <c r="D291" s="596" t="s">
        <v>7918</v>
      </c>
      <c r="E291" s="549"/>
      <c r="F291" s="565" t="s">
        <v>9044</v>
      </c>
      <c r="G291" s="565">
        <v>6000000</v>
      </c>
      <c r="H291" s="546" t="s">
        <v>1075</v>
      </c>
      <c r="I291" s="546"/>
      <c r="J291" s="546"/>
      <c r="K291" s="546" t="b">
        <v>0</v>
      </c>
      <c r="L291" s="546"/>
      <c r="M291" s="546"/>
      <c r="N291" s="546"/>
      <c r="O291" s="546" t="b">
        <v>0</v>
      </c>
      <c r="P291" s="546" t="b">
        <v>1</v>
      </c>
      <c r="Q291" s="550"/>
      <c r="R291" s="550"/>
      <c r="S291" s="546"/>
      <c r="T291" s="546"/>
      <c r="U291" s="549">
        <v>80</v>
      </c>
      <c r="V291" s="549"/>
      <c r="W291" s="546">
        <v>80</v>
      </c>
      <c r="X291" s="550">
        <v>80</v>
      </c>
      <c r="Y291" s="550" t="b">
        <v>0</v>
      </c>
      <c r="Z291" s="549"/>
      <c r="AA291" s="546">
        <v>80</v>
      </c>
      <c r="AB291" s="550">
        <v>80</v>
      </c>
      <c r="AC291" s="550"/>
      <c r="AD291" s="550"/>
      <c r="AE291" s="550"/>
      <c r="AF291" s="550"/>
      <c r="AG291" s="550"/>
      <c r="AH291" s="550"/>
    </row>
    <row r="292" spans="2:34" ht="15" hidden="1" customHeight="1" outlineLevel="2">
      <c r="B292" s="2" t="s">
        <v>876</v>
      </c>
      <c r="C292" s="2">
        <v>123</v>
      </c>
      <c r="D292" s="596" t="s">
        <v>7918</v>
      </c>
      <c r="E292" s="549"/>
      <c r="F292" s="565" t="s">
        <v>9044</v>
      </c>
      <c r="G292" s="565">
        <v>6000000</v>
      </c>
      <c r="H292" s="546" t="s">
        <v>1075</v>
      </c>
      <c r="I292" s="546"/>
      <c r="J292" s="546"/>
      <c r="K292" s="546" t="b">
        <v>0</v>
      </c>
      <c r="L292" s="546"/>
      <c r="M292" s="546"/>
      <c r="N292" s="546"/>
      <c r="O292" s="546" t="b">
        <v>0</v>
      </c>
      <c r="P292" s="546"/>
      <c r="Q292" s="550"/>
      <c r="R292" s="550"/>
      <c r="S292" s="546"/>
      <c r="T292" s="637" t="s">
        <v>8701</v>
      </c>
      <c r="U292" s="549">
        <v>80</v>
      </c>
      <c r="V292" s="549"/>
      <c r="W292" s="546">
        <v>80</v>
      </c>
      <c r="X292" s="550">
        <v>80</v>
      </c>
      <c r="Y292" s="550" t="b">
        <v>0</v>
      </c>
      <c r="Z292" s="549"/>
      <c r="AA292" s="546">
        <v>80</v>
      </c>
      <c r="AB292" s="550">
        <v>80</v>
      </c>
      <c r="AC292" s="550"/>
      <c r="AD292" s="550"/>
      <c r="AE292" s="550"/>
      <c r="AF292" s="550"/>
      <c r="AG292" s="550"/>
      <c r="AH292" s="550"/>
    </row>
    <row r="293" spans="2:34" ht="15" hidden="1" customHeight="1" outlineLevel="2" thickBot="1">
      <c r="B293" s="2" t="s">
        <v>876</v>
      </c>
      <c r="C293" s="2">
        <v>124</v>
      </c>
      <c r="D293" s="605" t="s">
        <v>7918</v>
      </c>
      <c r="E293" s="570"/>
      <c r="F293" s="570" t="s">
        <v>9044</v>
      </c>
      <c r="G293" s="570">
        <v>6000000</v>
      </c>
      <c r="H293" s="571"/>
      <c r="I293" s="571"/>
      <c r="J293" s="571"/>
      <c r="K293" s="546" t="b">
        <v>0</v>
      </c>
      <c r="L293" s="571"/>
      <c r="M293" s="571"/>
      <c r="N293" s="571"/>
      <c r="O293" s="571" t="b">
        <v>0</v>
      </c>
      <c r="P293" s="571"/>
      <c r="Q293" s="572"/>
      <c r="R293" s="572"/>
      <c r="S293" s="571"/>
      <c r="T293" s="571"/>
      <c r="U293" s="570">
        <v>80</v>
      </c>
      <c r="V293" s="570"/>
      <c r="W293" s="571">
        <v>80</v>
      </c>
      <c r="X293" s="572">
        <v>80</v>
      </c>
      <c r="Y293" s="572" t="b">
        <v>1</v>
      </c>
      <c r="Z293" s="570"/>
      <c r="AA293" s="571">
        <v>80</v>
      </c>
      <c r="AB293" s="572">
        <v>80</v>
      </c>
      <c r="AC293" s="572"/>
      <c r="AD293" s="572"/>
      <c r="AE293" s="572"/>
      <c r="AF293" s="572"/>
      <c r="AG293" s="572"/>
      <c r="AH293" s="629"/>
    </row>
    <row r="294" spans="2:34" ht="15" hidden="1" customHeight="1" outlineLevel="2">
      <c r="B294" s="2" t="s">
        <v>876</v>
      </c>
      <c r="C294" s="2">
        <v>125</v>
      </c>
      <c r="D294" s="623" t="s">
        <v>7918</v>
      </c>
      <c r="E294" s="625"/>
      <c r="F294" s="626" t="s">
        <v>9045</v>
      </c>
      <c r="G294" s="626">
        <v>8000000</v>
      </c>
      <c r="H294" s="626" t="s">
        <v>1060</v>
      </c>
      <c r="I294" s="626"/>
      <c r="J294" s="626"/>
      <c r="K294" s="546" t="b">
        <v>0</v>
      </c>
      <c r="L294" s="626"/>
      <c r="M294" s="626"/>
      <c r="N294" s="626"/>
      <c r="O294" s="626" t="b">
        <v>0</v>
      </c>
      <c r="P294" s="626"/>
      <c r="Q294" s="627"/>
      <c r="R294" s="627"/>
      <c r="S294" s="626"/>
      <c r="T294" s="626"/>
      <c r="U294" s="625">
        <v>80</v>
      </c>
      <c r="V294" s="625"/>
      <c r="W294" s="626">
        <v>80</v>
      </c>
      <c r="X294" s="627">
        <v>80</v>
      </c>
      <c r="Y294" s="627" t="b">
        <v>0</v>
      </c>
      <c r="Z294" s="625"/>
      <c r="AA294" s="626">
        <v>80</v>
      </c>
      <c r="AB294" s="627">
        <v>80</v>
      </c>
      <c r="AC294" s="627"/>
      <c r="AD294" s="627"/>
      <c r="AE294" s="627"/>
      <c r="AF294" s="627"/>
      <c r="AG294" s="627"/>
      <c r="AH294" s="627"/>
    </row>
    <row r="295" spans="2:34" ht="15" hidden="1" customHeight="1" outlineLevel="2">
      <c r="B295" s="2" t="s">
        <v>876</v>
      </c>
      <c r="C295" s="2">
        <v>126</v>
      </c>
      <c r="D295" s="596" t="s">
        <v>7918</v>
      </c>
      <c r="E295" s="545"/>
      <c r="F295" s="624" t="s">
        <v>9045</v>
      </c>
      <c r="G295" s="624">
        <v>8000000</v>
      </c>
      <c r="H295" s="546"/>
      <c r="I295" s="545"/>
      <c r="J295" s="545"/>
      <c r="K295" s="546" t="b">
        <v>0</v>
      </c>
      <c r="L295" s="545"/>
      <c r="M295" s="545"/>
      <c r="N295" s="545"/>
      <c r="O295" s="545" t="b">
        <v>0</v>
      </c>
      <c r="P295" s="545"/>
      <c r="Q295" s="545" t="s">
        <v>1062</v>
      </c>
      <c r="R295" s="545" t="s">
        <v>490</v>
      </c>
      <c r="S295" s="545"/>
      <c r="T295" s="545"/>
      <c r="U295" s="545">
        <v>80</v>
      </c>
      <c r="V295" s="545"/>
      <c r="W295" s="545">
        <v>80</v>
      </c>
      <c r="X295" s="545">
        <v>80</v>
      </c>
      <c r="Y295" s="545" t="b">
        <v>0</v>
      </c>
      <c r="Z295" s="545"/>
      <c r="AA295" s="545">
        <v>80</v>
      </c>
      <c r="AB295" s="545">
        <v>80</v>
      </c>
      <c r="AC295" s="545"/>
      <c r="AD295" s="545"/>
      <c r="AE295" s="545"/>
      <c r="AF295" s="545"/>
      <c r="AG295" s="545"/>
      <c r="AH295" s="545"/>
    </row>
    <row r="296" spans="2:34" ht="15" hidden="1" customHeight="1" outlineLevel="2">
      <c r="B296" s="2" t="s">
        <v>876</v>
      </c>
      <c r="C296" s="2">
        <v>127</v>
      </c>
      <c r="D296" s="596" t="s">
        <v>7918</v>
      </c>
      <c r="E296" s="549"/>
      <c r="F296" s="624" t="s">
        <v>9045</v>
      </c>
      <c r="G296" s="624">
        <v>8000000</v>
      </c>
      <c r="H296" s="546"/>
      <c r="I296" s="546"/>
      <c r="J296" s="546"/>
      <c r="K296" s="546" t="b">
        <v>0</v>
      </c>
      <c r="L296" s="546"/>
      <c r="M296" s="546"/>
      <c r="N296" s="546"/>
      <c r="O296" s="546" t="b">
        <v>0</v>
      </c>
      <c r="P296" s="546" t="b">
        <v>0</v>
      </c>
      <c r="Q296" s="550" t="s">
        <v>1063</v>
      </c>
      <c r="R296" s="550" t="s">
        <v>493</v>
      </c>
      <c r="S296" s="546"/>
      <c r="T296" s="546"/>
      <c r="U296" s="549">
        <v>80</v>
      </c>
      <c r="V296" s="549"/>
      <c r="W296" s="546">
        <v>80</v>
      </c>
      <c r="X296" s="550">
        <v>80</v>
      </c>
      <c r="Y296" s="550" t="b">
        <v>0</v>
      </c>
      <c r="Z296" s="549"/>
      <c r="AA296" s="546">
        <v>80</v>
      </c>
      <c r="AB296" s="550">
        <v>80</v>
      </c>
      <c r="AC296" s="550"/>
      <c r="AD296" s="550"/>
      <c r="AE296" s="550"/>
      <c r="AF296" s="550"/>
      <c r="AG296" s="550"/>
      <c r="AH296" s="550"/>
    </row>
    <row r="297" spans="2:34" ht="15" hidden="1" customHeight="1" outlineLevel="2">
      <c r="B297" s="2" t="s">
        <v>876</v>
      </c>
      <c r="C297" s="2">
        <v>128</v>
      </c>
      <c r="D297" s="596" t="s">
        <v>7918</v>
      </c>
      <c r="E297" s="549"/>
      <c r="F297" s="624" t="s">
        <v>9045</v>
      </c>
      <c r="G297" s="624">
        <v>8000000</v>
      </c>
      <c r="H297" s="546" t="s">
        <v>1075</v>
      </c>
      <c r="I297" s="546"/>
      <c r="J297" s="546"/>
      <c r="K297" s="546" t="b">
        <v>0</v>
      </c>
      <c r="L297" s="546"/>
      <c r="M297" s="546"/>
      <c r="N297" s="546"/>
      <c r="O297" s="546" t="b">
        <v>0</v>
      </c>
      <c r="P297" s="546" t="b">
        <v>1</v>
      </c>
      <c r="Q297" s="550"/>
      <c r="R297" s="550"/>
      <c r="S297" s="546"/>
      <c r="T297" s="546"/>
      <c r="U297" s="549">
        <v>80</v>
      </c>
      <c r="V297" s="549"/>
      <c r="W297" s="546">
        <v>80</v>
      </c>
      <c r="X297" s="550">
        <v>80</v>
      </c>
      <c r="Y297" s="550" t="b">
        <v>0</v>
      </c>
      <c r="Z297" s="549"/>
      <c r="AA297" s="546">
        <v>80</v>
      </c>
      <c r="AB297" s="550">
        <v>80</v>
      </c>
      <c r="AC297" s="550"/>
      <c r="AD297" s="550"/>
      <c r="AE297" s="550"/>
      <c r="AF297" s="550"/>
      <c r="AG297" s="550"/>
      <c r="AH297" s="550"/>
    </row>
    <row r="298" spans="2:34" ht="15" hidden="1" customHeight="1" outlineLevel="2">
      <c r="B298" s="2" t="s">
        <v>876</v>
      </c>
      <c r="C298" s="2">
        <v>129</v>
      </c>
      <c r="D298" s="596" t="s">
        <v>7918</v>
      </c>
      <c r="E298" s="549"/>
      <c r="F298" s="624" t="s">
        <v>9045</v>
      </c>
      <c r="G298" s="624">
        <v>8000000</v>
      </c>
      <c r="H298" s="546" t="s">
        <v>1075</v>
      </c>
      <c r="I298" s="546"/>
      <c r="J298" s="546"/>
      <c r="K298" s="546" t="b">
        <v>0</v>
      </c>
      <c r="L298" s="546"/>
      <c r="M298" s="546"/>
      <c r="N298" s="546"/>
      <c r="O298" s="546" t="b">
        <v>0</v>
      </c>
      <c r="P298" s="546"/>
      <c r="Q298" s="550"/>
      <c r="R298" s="550"/>
      <c r="S298" s="546"/>
      <c r="T298" s="637" t="s">
        <v>8701</v>
      </c>
      <c r="U298" s="549">
        <v>80</v>
      </c>
      <c r="V298" s="549"/>
      <c r="W298" s="546">
        <v>80</v>
      </c>
      <c r="X298" s="550">
        <v>80</v>
      </c>
      <c r="Y298" s="550" t="b">
        <v>0</v>
      </c>
      <c r="Z298" s="549"/>
      <c r="AA298" s="546">
        <v>80</v>
      </c>
      <c r="AB298" s="550">
        <v>80</v>
      </c>
      <c r="AC298" s="550"/>
      <c r="AD298" s="550"/>
      <c r="AE298" s="550"/>
      <c r="AF298" s="550"/>
      <c r="AG298" s="550"/>
      <c r="AH298" s="550"/>
    </row>
    <row r="299" spans="2:34" ht="15" hidden="1" customHeight="1" outlineLevel="2" thickBot="1">
      <c r="B299" s="2" t="s">
        <v>876</v>
      </c>
      <c r="C299" s="2">
        <v>130</v>
      </c>
      <c r="D299" s="631" t="s">
        <v>7918</v>
      </c>
      <c r="E299" s="632"/>
      <c r="F299" s="632" t="s">
        <v>9045</v>
      </c>
      <c r="G299" s="632">
        <v>8000000</v>
      </c>
      <c r="H299" s="632"/>
      <c r="I299" s="632"/>
      <c r="J299" s="632"/>
      <c r="K299" s="546" t="b">
        <v>0</v>
      </c>
      <c r="L299" s="632"/>
      <c r="M299" s="632"/>
      <c r="N299" s="632"/>
      <c r="O299" s="632" t="b">
        <v>0</v>
      </c>
      <c r="P299" s="632"/>
      <c r="Q299" s="632"/>
      <c r="R299" s="632"/>
      <c r="S299" s="632"/>
      <c r="T299" s="632"/>
      <c r="U299" s="632">
        <v>80</v>
      </c>
      <c r="V299" s="632"/>
      <c r="W299" s="632">
        <v>80</v>
      </c>
      <c r="X299" s="632">
        <v>80</v>
      </c>
      <c r="Y299" s="632" t="b">
        <v>1</v>
      </c>
      <c r="Z299" s="632"/>
      <c r="AA299" s="632">
        <v>80</v>
      </c>
      <c r="AB299" s="632">
        <v>80</v>
      </c>
      <c r="AC299" s="632"/>
      <c r="AD299" s="632"/>
      <c r="AE299" s="632"/>
      <c r="AF299" s="632"/>
      <c r="AG299" s="632"/>
      <c r="AH299" s="633"/>
    </row>
    <row r="300" spans="2:34" ht="15" hidden="1" customHeight="1" outlineLevel="2">
      <c r="B300" s="2" t="s">
        <v>876</v>
      </c>
      <c r="C300" s="2">
        <v>131</v>
      </c>
      <c r="D300" s="622" t="s">
        <v>1061</v>
      </c>
      <c r="E300" s="624"/>
      <c r="F300" s="624"/>
      <c r="G300" s="624"/>
      <c r="H300" s="624"/>
      <c r="I300" s="624"/>
      <c r="J300" s="624"/>
      <c r="K300" s="624"/>
      <c r="L300" s="624"/>
      <c r="M300" s="624"/>
      <c r="N300" s="624"/>
      <c r="O300" s="624" t="b">
        <v>0</v>
      </c>
      <c r="P300" s="624"/>
      <c r="Q300" s="624"/>
      <c r="R300" s="624"/>
      <c r="S300" s="624"/>
      <c r="T300" s="624"/>
      <c r="U300" s="624">
        <v>75</v>
      </c>
      <c r="V300" s="624"/>
      <c r="W300" s="624">
        <v>75</v>
      </c>
      <c r="X300" s="624">
        <v>75</v>
      </c>
      <c r="Y300" s="624" t="b">
        <v>0</v>
      </c>
      <c r="Z300" s="624"/>
      <c r="AA300" s="624">
        <v>75</v>
      </c>
      <c r="AB300" s="624">
        <v>75</v>
      </c>
      <c r="AC300" s="624"/>
      <c r="AD300" s="624"/>
      <c r="AE300" s="624"/>
      <c r="AF300" s="624"/>
      <c r="AG300" s="624"/>
      <c r="AH300" s="628"/>
    </row>
    <row r="301" spans="2:34" ht="15" hidden="1" customHeight="1" outlineLevel="2" thickBot="1">
      <c r="B301" s="2" t="s">
        <v>876</v>
      </c>
      <c r="C301" s="2">
        <v>132</v>
      </c>
      <c r="D301" s="600" t="s">
        <v>1084</v>
      </c>
      <c r="E301" s="601" t="s">
        <v>1085</v>
      </c>
      <c r="F301" s="601"/>
      <c r="G301" s="601"/>
      <c r="H301" s="602"/>
      <c r="I301" s="602"/>
      <c r="J301" s="602"/>
      <c r="K301" s="602"/>
      <c r="L301" s="602"/>
      <c r="M301" s="602"/>
      <c r="N301" s="602"/>
      <c r="O301" s="602" t="b">
        <v>0</v>
      </c>
      <c r="P301" s="602"/>
      <c r="Q301" s="603"/>
      <c r="R301" s="603"/>
      <c r="S301" s="602"/>
      <c r="T301" s="602"/>
      <c r="U301" s="601">
        <v>75</v>
      </c>
      <c r="V301" s="601"/>
      <c r="W301" s="602">
        <v>75</v>
      </c>
      <c r="X301" s="603">
        <v>75</v>
      </c>
      <c r="Y301" s="603" t="b">
        <v>0</v>
      </c>
      <c r="Z301" s="601"/>
      <c r="AA301" s="602">
        <v>75</v>
      </c>
      <c r="AB301" s="603">
        <v>75</v>
      </c>
      <c r="AC301" s="603"/>
      <c r="AD301" s="603"/>
      <c r="AE301" s="603"/>
      <c r="AF301" s="603"/>
      <c r="AG301" s="603"/>
      <c r="AH301" s="604" t="s">
        <v>1081</v>
      </c>
    </row>
    <row r="302" spans="2:34" ht="15" hidden="1" customHeight="1" outlineLevel="2">
      <c r="B302" s="2" t="s">
        <v>876</v>
      </c>
      <c r="C302" s="2">
        <v>133</v>
      </c>
      <c r="D302" s="607" t="s">
        <v>1084</v>
      </c>
      <c r="E302" s="593"/>
      <c r="F302" s="593"/>
      <c r="G302" s="593"/>
      <c r="H302" s="593"/>
      <c r="I302" s="593"/>
      <c r="J302" s="593"/>
      <c r="K302" s="593"/>
      <c r="L302" s="593"/>
      <c r="M302" s="593"/>
      <c r="N302" s="593"/>
      <c r="O302" s="593" t="b">
        <v>0</v>
      </c>
      <c r="P302" s="593"/>
      <c r="Q302" s="593"/>
      <c r="R302" s="593"/>
      <c r="S302" s="593"/>
      <c r="T302" s="593"/>
      <c r="U302" s="593">
        <v>50</v>
      </c>
      <c r="V302" s="593"/>
      <c r="W302" s="593">
        <v>50</v>
      </c>
      <c r="X302" s="593">
        <v>50</v>
      </c>
      <c r="Y302" s="593" t="b">
        <v>0</v>
      </c>
      <c r="Z302" s="593"/>
      <c r="AA302" s="593">
        <v>50</v>
      </c>
      <c r="AB302" s="593">
        <v>50</v>
      </c>
      <c r="AC302" s="593"/>
      <c r="AD302" s="593"/>
      <c r="AE302" s="593"/>
      <c r="AF302" s="593"/>
      <c r="AG302" s="593"/>
      <c r="AH302" s="608"/>
    </row>
    <row r="303" spans="2:34" ht="15" hidden="1" customHeight="1" outlineLevel="2">
      <c r="B303" s="2" t="s">
        <v>876</v>
      </c>
      <c r="C303" s="2">
        <v>134</v>
      </c>
      <c r="D303" s="596" t="s">
        <v>1083</v>
      </c>
      <c r="E303" s="546"/>
      <c r="F303" s="546"/>
      <c r="G303" s="546"/>
      <c r="H303" s="546"/>
      <c r="I303" s="546"/>
      <c r="J303" s="546"/>
      <c r="K303" s="546"/>
      <c r="L303" s="546"/>
      <c r="M303" s="546"/>
      <c r="N303" s="546"/>
      <c r="O303" s="546" t="b">
        <v>0</v>
      </c>
      <c r="P303" s="546"/>
      <c r="Q303" s="546"/>
      <c r="R303" s="546"/>
      <c r="S303" s="546"/>
      <c r="T303" s="546"/>
      <c r="U303" s="546">
        <v>60</v>
      </c>
      <c r="V303" s="546"/>
      <c r="W303" s="546">
        <v>60</v>
      </c>
      <c r="X303" s="546">
        <v>60</v>
      </c>
      <c r="Y303" s="546" t="b">
        <v>0</v>
      </c>
      <c r="Z303" s="546"/>
      <c r="AA303" s="546">
        <v>60</v>
      </c>
      <c r="AB303" s="546">
        <v>60</v>
      </c>
      <c r="AC303" s="546"/>
      <c r="AD303" s="546"/>
      <c r="AE303" s="546"/>
      <c r="AF303" s="546"/>
      <c r="AG303" s="546"/>
      <c r="AH303" s="597"/>
    </row>
    <row r="304" spans="2:34" ht="15" hidden="1" customHeight="1" outlineLevel="2">
      <c r="B304" s="2" t="s">
        <v>876</v>
      </c>
      <c r="C304" s="2">
        <v>135</v>
      </c>
      <c r="D304" s="598" t="s">
        <v>1086</v>
      </c>
      <c r="E304" s="565"/>
      <c r="F304" s="565"/>
      <c r="G304" s="565"/>
      <c r="H304" s="545"/>
      <c r="I304" s="545"/>
      <c r="J304" s="545"/>
      <c r="K304" s="545"/>
      <c r="L304" s="545"/>
      <c r="M304" s="545"/>
      <c r="N304" s="545"/>
      <c r="O304" s="545" t="b">
        <v>0</v>
      </c>
      <c r="P304" s="545"/>
      <c r="Q304" s="566"/>
      <c r="R304" s="566"/>
      <c r="S304" s="545"/>
      <c r="T304" s="545"/>
      <c r="U304" s="565">
        <v>70</v>
      </c>
      <c r="V304" s="565"/>
      <c r="W304" s="545">
        <v>70</v>
      </c>
      <c r="X304" s="566">
        <v>70</v>
      </c>
      <c r="Y304" s="566" t="b">
        <v>0</v>
      </c>
      <c r="Z304" s="565"/>
      <c r="AA304" s="545">
        <v>70</v>
      </c>
      <c r="AB304" s="566">
        <v>70</v>
      </c>
      <c r="AC304" s="566"/>
      <c r="AD304" s="566"/>
      <c r="AE304" s="566"/>
      <c r="AF304" s="566"/>
      <c r="AG304" s="566"/>
      <c r="AH304" s="599"/>
    </row>
    <row r="305" spans="2:34" ht="15" hidden="1" customHeight="1" outlineLevel="2">
      <c r="B305" s="2" t="s">
        <v>876</v>
      </c>
      <c r="C305" s="2">
        <v>136</v>
      </c>
      <c r="D305" s="596" t="s">
        <v>1087</v>
      </c>
      <c r="E305" s="546"/>
      <c r="F305" s="546"/>
      <c r="G305" s="546"/>
      <c r="H305" s="546"/>
      <c r="I305" s="546"/>
      <c r="J305" s="546"/>
      <c r="K305" s="546"/>
      <c r="L305" s="546"/>
      <c r="M305" s="546"/>
      <c r="N305" s="546"/>
      <c r="O305" s="546" t="b">
        <v>0</v>
      </c>
      <c r="P305" s="546"/>
      <c r="Q305" s="546"/>
      <c r="R305" s="546"/>
      <c r="S305" s="546"/>
      <c r="T305" s="546"/>
      <c r="U305" s="546">
        <v>70</v>
      </c>
      <c r="V305" s="546"/>
      <c r="W305" s="546">
        <v>70</v>
      </c>
      <c r="X305" s="546">
        <v>70</v>
      </c>
      <c r="Y305" s="546" t="b">
        <v>0</v>
      </c>
      <c r="Z305" s="546"/>
      <c r="AA305" s="546">
        <v>70</v>
      </c>
      <c r="AB305" s="546">
        <v>70</v>
      </c>
      <c r="AC305" s="546"/>
      <c r="AD305" s="546"/>
      <c r="AE305" s="546"/>
      <c r="AF305" s="546"/>
      <c r="AG305" s="546"/>
      <c r="AH305" s="597"/>
    </row>
    <row r="306" spans="2:34" ht="15" hidden="1" customHeight="1" outlineLevel="2">
      <c r="B306" s="2" t="s">
        <v>876</v>
      </c>
      <c r="C306" s="2">
        <v>137</v>
      </c>
      <c r="D306" s="598" t="s">
        <v>1088</v>
      </c>
      <c r="E306" s="565"/>
      <c r="F306" s="565"/>
      <c r="G306" s="565"/>
      <c r="H306" s="545"/>
      <c r="I306" s="545"/>
      <c r="J306" s="545"/>
      <c r="K306" s="545"/>
      <c r="L306" s="545"/>
      <c r="M306" s="545"/>
      <c r="N306" s="545"/>
      <c r="O306" s="545" t="b">
        <v>0</v>
      </c>
      <c r="P306" s="545"/>
      <c r="Q306" s="566"/>
      <c r="R306" s="566"/>
      <c r="S306" s="545"/>
      <c r="T306" s="545"/>
      <c r="U306" s="565">
        <v>70</v>
      </c>
      <c r="V306" s="565"/>
      <c r="W306" s="545">
        <v>70</v>
      </c>
      <c r="X306" s="566">
        <v>70</v>
      </c>
      <c r="Y306" s="566" t="b">
        <v>0</v>
      </c>
      <c r="Z306" s="565"/>
      <c r="AA306" s="545">
        <v>70</v>
      </c>
      <c r="AB306" s="566">
        <v>70</v>
      </c>
      <c r="AC306" s="566"/>
      <c r="AD306" s="566"/>
      <c r="AE306" s="566"/>
      <c r="AF306" s="566"/>
      <c r="AG306" s="566"/>
      <c r="AH306" s="599"/>
    </row>
    <row r="307" spans="2:34" ht="15" hidden="1" customHeight="1" outlineLevel="2">
      <c r="B307" s="2" t="s">
        <v>876</v>
      </c>
      <c r="C307" s="2">
        <v>138</v>
      </c>
      <c r="D307" s="596" t="s">
        <v>8413</v>
      </c>
      <c r="E307" s="546"/>
      <c r="F307" s="546"/>
      <c r="G307" s="546"/>
      <c r="H307" s="546"/>
      <c r="I307" s="546"/>
      <c r="J307" s="546"/>
      <c r="K307" s="546"/>
      <c r="L307" s="546"/>
      <c r="M307" s="546"/>
      <c r="N307" s="546"/>
      <c r="O307" s="546" t="b">
        <v>0</v>
      </c>
      <c r="P307" s="546"/>
      <c r="Q307" s="546"/>
      <c r="R307" s="546"/>
      <c r="S307" s="546"/>
      <c r="T307" s="546"/>
      <c r="U307" s="546">
        <v>70</v>
      </c>
      <c r="V307" s="546"/>
      <c r="W307" s="546">
        <v>70</v>
      </c>
      <c r="X307" s="546">
        <v>70</v>
      </c>
      <c r="Y307" s="546" t="b">
        <v>0</v>
      </c>
      <c r="Z307" s="546"/>
      <c r="AA307" s="546">
        <v>70</v>
      </c>
      <c r="AB307" s="546">
        <v>70</v>
      </c>
      <c r="AC307" s="546"/>
      <c r="AD307" s="546"/>
      <c r="AE307" s="546"/>
      <c r="AF307" s="546"/>
      <c r="AG307" s="546"/>
      <c r="AH307" s="597"/>
    </row>
    <row r="308" spans="2:34" ht="15" hidden="1" customHeight="1" outlineLevel="2" thickBot="1">
      <c r="B308" s="2" t="s">
        <v>876</v>
      </c>
      <c r="C308" s="2">
        <v>139</v>
      </c>
      <c r="D308" s="605" t="s">
        <v>8414</v>
      </c>
      <c r="E308" s="571"/>
      <c r="F308" s="571"/>
      <c r="G308" s="571"/>
      <c r="H308" s="571"/>
      <c r="I308" s="571"/>
      <c r="J308" s="571"/>
      <c r="K308" s="571"/>
      <c r="L308" s="571"/>
      <c r="M308" s="571"/>
      <c r="N308" s="571"/>
      <c r="O308" s="571" t="b">
        <v>0</v>
      </c>
      <c r="P308" s="571"/>
      <c r="Q308" s="571"/>
      <c r="R308" s="571"/>
      <c r="S308" s="571"/>
      <c r="T308" s="571"/>
      <c r="U308" s="571">
        <v>70</v>
      </c>
      <c r="V308" s="571"/>
      <c r="W308" s="571">
        <v>70</v>
      </c>
      <c r="X308" s="571">
        <v>70</v>
      </c>
      <c r="Y308" s="571" t="b">
        <v>0</v>
      </c>
      <c r="Z308" s="571"/>
      <c r="AA308" s="571">
        <v>70</v>
      </c>
      <c r="AB308" s="571">
        <v>70</v>
      </c>
      <c r="AC308" s="571"/>
      <c r="AD308" s="571"/>
      <c r="AE308" s="571"/>
      <c r="AF308" s="571"/>
      <c r="AG308" s="571"/>
      <c r="AH308" s="606"/>
    </row>
    <row r="309" spans="2:34" ht="15" hidden="1" customHeight="1" outlineLevel="2">
      <c r="B309" s="2" t="s">
        <v>876</v>
      </c>
      <c r="C309" s="2">
        <v>140</v>
      </c>
      <c r="D309" s="458" t="s">
        <v>1064</v>
      </c>
      <c r="E309" s="134"/>
      <c r="F309" s="134"/>
      <c r="G309" s="134"/>
      <c r="H309" s="134"/>
      <c r="I309" s="134"/>
      <c r="J309" s="134"/>
      <c r="K309" s="134"/>
      <c r="L309" s="134"/>
      <c r="M309" s="134"/>
      <c r="N309" s="134"/>
      <c r="O309" s="134" t="b">
        <v>1</v>
      </c>
      <c r="P309" s="134"/>
      <c r="Q309" s="134"/>
      <c r="R309" s="134"/>
      <c r="S309" s="134"/>
      <c r="T309" s="134"/>
      <c r="U309" s="134">
        <v>60</v>
      </c>
      <c r="V309" s="134"/>
      <c r="W309" s="134">
        <v>60</v>
      </c>
      <c r="X309" s="134">
        <v>60</v>
      </c>
      <c r="Y309" s="134" t="b">
        <v>0</v>
      </c>
      <c r="Z309" s="134"/>
      <c r="AA309" s="134">
        <v>60</v>
      </c>
      <c r="AB309" s="134">
        <v>60</v>
      </c>
      <c r="AC309" s="134"/>
      <c r="AD309" s="134"/>
      <c r="AE309" s="134"/>
      <c r="AF309" s="134"/>
      <c r="AG309" s="134"/>
      <c r="AH309" s="459" t="s">
        <v>1089</v>
      </c>
    </row>
    <row r="310" spans="2:34" ht="15" hidden="1" customHeight="1" outlineLevel="2">
      <c r="B310" s="2" t="s">
        <v>876</v>
      </c>
      <c r="C310" s="2">
        <v>141</v>
      </c>
      <c r="D310" s="447" t="s">
        <v>1084</v>
      </c>
      <c r="E310" s="147" t="s">
        <v>1085</v>
      </c>
      <c r="F310" s="147"/>
      <c r="G310" s="147"/>
      <c r="H310" s="112"/>
      <c r="I310" s="112"/>
      <c r="J310" s="112"/>
      <c r="K310" s="112"/>
      <c r="L310" s="112"/>
      <c r="M310" s="112"/>
      <c r="N310" s="112"/>
      <c r="O310" s="112" t="b">
        <v>1</v>
      </c>
      <c r="P310" s="112"/>
      <c r="Q310" s="229"/>
      <c r="R310" s="229"/>
      <c r="S310" s="112"/>
      <c r="T310" s="112"/>
      <c r="U310" s="147">
        <v>60</v>
      </c>
      <c r="V310" s="147"/>
      <c r="W310" s="112">
        <v>60</v>
      </c>
      <c r="X310" s="229">
        <v>60</v>
      </c>
      <c r="Y310" s="229" t="b">
        <v>0</v>
      </c>
      <c r="Z310" s="147"/>
      <c r="AA310" s="112">
        <v>60</v>
      </c>
      <c r="AB310" s="229">
        <v>60</v>
      </c>
      <c r="AC310" s="229"/>
      <c r="AD310" s="229"/>
      <c r="AE310" s="229"/>
      <c r="AF310" s="229"/>
      <c r="AG310" s="229"/>
      <c r="AH310" s="468" t="s">
        <v>1089</v>
      </c>
    </row>
    <row r="311" spans="2:34" ht="15" hidden="1" customHeight="1" outlineLevel="2" thickBot="1">
      <c r="B311" s="2" t="s">
        <v>876</v>
      </c>
      <c r="C311" s="2">
        <v>142</v>
      </c>
      <c r="D311" s="465" t="s">
        <v>1090</v>
      </c>
      <c r="E311" s="466"/>
      <c r="F311" s="466"/>
      <c r="G311" s="466"/>
      <c r="H311" s="466"/>
      <c r="I311" s="466"/>
      <c r="J311" s="466"/>
      <c r="K311" s="466"/>
      <c r="L311" s="466"/>
      <c r="M311" s="466"/>
      <c r="N311" s="466"/>
      <c r="O311" s="466" t="b">
        <v>1</v>
      </c>
      <c r="P311" s="466"/>
      <c r="Q311" s="466"/>
      <c r="R311" s="466"/>
      <c r="S311" s="466"/>
      <c r="T311" s="466"/>
      <c r="U311" s="466">
        <v>0</v>
      </c>
      <c r="V311" s="466"/>
      <c r="W311" s="466">
        <v>0</v>
      </c>
      <c r="X311" s="466">
        <v>0</v>
      </c>
      <c r="Y311" s="466" t="b">
        <v>0</v>
      </c>
      <c r="Z311" s="466"/>
      <c r="AA311" s="466">
        <v>0</v>
      </c>
      <c r="AB311" s="466">
        <v>0</v>
      </c>
      <c r="AC311" s="466"/>
      <c r="AD311" s="466"/>
      <c r="AE311" s="466"/>
      <c r="AF311" s="466"/>
      <c r="AG311" s="466"/>
      <c r="AH311" s="467" t="s">
        <v>1091</v>
      </c>
    </row>
    <row r="312" spans="2:34" ht="15" hidden="1" customHeight="1" outlineLevel="2" thickBot="1">
      <c r="B312" s="2" t="s">
        <v>876</v>
      </c>
      <c r="C312" s="2">
        <v>143</v>
      </c>
      <c r="D312" s="469" t="s">
        <v>1092</v>
      </c>
      <c r="E312" s="470"/>
      <c r="F312" s="470"/>
      <c r="G312" s="470"/>
      <c r="H312" s="471"/>
      <c r="I312" s="471"/>
      <c r="J312" s="471"/>
      <c r="K312" s="471"/>
      <c r="L312" s="471"/>
      <c r="M312" s="471"/>
      <c r="N312" s="471"/>
      <c r="O312" s="471"/>
      <c r="P312" s="471"/>
      <c r="Q312" s="472"/>
      <c r="R312" s="472"/>
      <c r="S312" s="471"/>
      <c r="T312" s="471"/>
      <c r="U312" s="470">
        <v>0</v>
      </c>
      <c r="V312" s="470"/>
      <c r="W312" s="471">
        <v>0</v>
      </c>
      <c r="X312" s="472">
        <v>0</v>
      </c>
      <c r="Y312" s="472" t="b">
        <v>0</v>
      </c>
      <c r="Z312" s="470"/>
      <c r="AA312" s="471">
        <v>0</v>
      </c>
      <c r="AB312" s="472">
        <v>0</v>
      </c>
      <c r="AC312" s="472"/>
      <c r="AD312" s="472"/>
      <c r="AE312" s="472"/>
      <c r="AF312" s="472"/>
      <c r="AG312" s="472"/>
      <c r="AH312" s="473" t="s">
        <v>1093</v>
      </c>
    </row>
    <row r="313" spans="2:34" hidden="1" outlineLevel="2">
      <c r="B313" s="2" t="s">
        <v>889</v>
      </c>
    </row>
    <row r="314" spans="2:34" hidden="1" outlineLevel="2">
      <c r="B314" s="2" t="s">
        <v>833</v>
      </c>
    </row>
    <row r="315" spans="2:34" hidden="1" outlineLevel="1" collapsed="1">
      <c r="B315" s="2" t="s">
        <v>870</v>
      </c>
      <c r="D315" s="102" t="s">
        <v>8702</v>
      </c>
      <c r="E315" s="103"/>
      <c r="F315" s="103"/>
      <c r="G315" s="104"/>
    </row>
    <row r="316" spans="2:34" hidden="1" outlineLevel="2">
      <c r="B316" s="2" t="s">
        <v>833</v>
      </c>
      <c r="C316" s="206"/>
      <c r="D316" s="210" t="s">
        <v>843</v>
      </c>
      <c r="E316" s="210" t="s">
        <v>844</v>
      </c>
      <c r="F316" s="209" t="s">
        <v>845</v>
      </c>
      <c r="G316" s="210" t="s">
        <v>846</v>
      </c>
      <c r="H316" s="210" t="s">
        <v>847</v>
      </c>
      <c r="I316" s="210" t="s">
        <v>848</v>
      </c>
      <c r="J316" s="210" t="s">
        <v>849</v>
      </c>
      <c r="K316" s="210" t="s">
        <v>850</v>
      </c>
      <c r="L316" s="210" t="s">
        <v>8055</v>
      </c>
      <c r="M316" s="210" t="s">
        <v>8168</v>
      </c>
      <c r="N316" s="210" t="s">
        <v>8571</v>
      </c>
      <c r="O316" s="210" t="s">
        <v>8755</v>
      </c>
      <c r="P316" s="210" t="s">
        <v>8892</v>
      </c>
    </row>
    <row r="317" spans="2:34" hidden="1" outlineLevel="2">
      <c r="B317" s="2" t="s">
        <v>833</v>
      </c>
      <c r="C317" s="124"/>
      <c r="D317" s="145" t="s">
        <v>1017</v>
      </c>
      <c r="E317" s="145" t="s">
        <v>1019</v>
      </c>
      <c r="F317" s="145" t="s">
        <v>1020</v>
      </c>
      <c r="G317" s="227" t="s">
        <v>1031</v>
      </c>
      <c r="H317" s="227" t="s">
        <v>1017</v>
      </c>
      <c r="I317" s="227" t="s">
        <v>1310</v>
      </c>
    </row>
    <row r="318" spans="2:34" hidden="1" outlineLevel="2">
      <c r="B318" s="2" t="s">
        <v>874</v>
      </c>
      <c r="C318" s="124" t="s">
        <v>8703</v>
      </c>
      <c r="D318" s="138" t="s">
        <v>8704</v>
      </c>
      <c r="E318" s="138" t="s">
        <v>8705</v>
      </c>
      <c r="F318" s="138" t="s">
        <v>8706</v>
      </c>
      <c r="G318" s="138" t="s">
        <v>8707</v>
      </c>
      <c r="H318" s="138" t="s">
        <v>8708</v>
      </c>
      <c r="I318" s="138" t="s">
        <v>8709</v>
      </c>
    </row>
    <row r="319" spans="2:34" hidden="1" outlineLevel="2">
      <c r="B319" s="2" t="s">
        <v>876</v>
      </c>
      <c r="C319" s="124"/>
      <c r="D319" s="112" t="s">
        <v>8710</v>
      </c>
      <c r="E319" s="142"/>
      <c r="F319" s="112" t="s">
        <v>1065</v>
      </c>
      <c r="G319" s="647"/>
      <c r="H319" s="229">
        <v>2500000</v>
      </c>
      <c r="I319" s="229">
        <v>1</v>
      </c>
    </row>
    <row r="320" spans="2:34" hidden="1" outlineLevel="2">
      <c r="B320" s="2" t="s">
        <v>876</v>
      </c>
      <c r="C320" s="124"/>
      <c r="D320" s="112" t="s">
        <v>8711</v>
      </c>
      <c r="E320" s="142"/>
      <c r="F320" s="112" t="s">
        <v>1069</v>
      </c>
      <c r="G320" s="647"/>
      <c r="H320" s="229">
        <v>2000000</v>
      </c>
      <c r="I320" s="229">
        <v>2</v>
      </c>
    </row>
    <row r="321" spans="2:9" hidden="1" outlineLevel="2">
      <c r="B321" s="2" t="s">
        <v>876</v>
      </c>
      <c r="D321" s="112" t="s">
        <v>8679</v>
      </c>
      <c r="E321" s="142"/>
      <c r="F321" s="112" t="s">
        <v>1069</v>
      </c>
      <c r="G321" s="647"/>
      <c r="H321" s="142">
        <v>1500000</v>
      </c>
      <c r="I321" s="229">
        <v>3</v>
      </c>
    </row>
    <row r="322" spans="2:9" hidden="1" outlineLevel="2">
      <c r="B322" s="2" t="s">
        <v>876</v>
      </c>
      <c r="D322" s="112" t="s">
        <v>8711</v>
      </c>
      <c r="E322" s="147">
        <f>ROUNDUP(1000000/0.95,0)</f>
        <v>1052632</v>
      </c>
      <c r="F322" s="114" t="s">
        <v>1070</v>
      </c>
      <c r="G322" s="647">
        <v>0.95</v>
      </c>
      <c r="H322" s="229"/>
      <c r="I322" s="229">
        <v>4</v>
      </c>
    </row>
    <row r="323" spans="2:9" hidden="1" outlineLevel="2">
      <c r="B323" s="2" t="s">
        <v>876</v>
      </c>
      <c r="D323" s="112" t="s">
        <v>8711</v>
      </c>
      <c r="E323" s="114">
        <f>ROUNDUP(1000000/0.9,0)</f>
        <v>1111112</v>
      </c>
      <c r="F323" s="114" t="s">
        <v>1070</v>
      </c>
      <c r="G323" s="647"/>
      <c r="H323" s="229">
        <v>1000000</v>
      </c>
      <c r="I323" s="229">
        <v>5</v>
      </c>
    </row>
    <row r="324" spans="2:9" hidden="1" outlineLevel="2">
      <c r="B324" s="2" t="s">
        <v>876</v>
      </c>
      <c r="D324" s="112" t="s">
        <v>8711</v>
      </c>
      <c r="E324" s="114">
        <f>ROUNDUP(1500000/0.9,0)</f>
        <v>1666667</v>
      </c>
      <c r="F324" s="112" t="s">
        <v>1070</v>
      </c>
      <c r="G324" s="647">
        <v>0.9</v>
      </c>
      <c r="H324" s="229"/>
      <c r="I324" s="229">
        <v>6</v>
      </c>
    </row>
    <row r="325" spans="2:9" hidden="1" outlineLevel="2">
      <c r="B325" s="2" t="s">
        <v>876</v>
      </c>
      <c r="D325" s="112" t="s">
        <v>8711</v>
      </c>
      <c r="E325" s="147">
        <f>ROUNDUP(1500000/0.8,0)</f>
        <v>1875000</v>
      </c>
      <c r="F325" s="112" t="s">
        <v>1070</v>
      </c>
      <c r="G325" s="647"/>
      <c r="H325" s="229">
        <v>1500000</v>
      </c>
      <c r="I325" s="229">
        <v>7</v>
      </c>
    </row>
    <row r="326" spans="2:9" hidden="1" outlineLevel="2">
      <c r="B326" s="2" t="s">
        <v>876</v>
      </c>
      <c r="D326" s="112" t="s">
        <v>1077</v>
      </c>
      <c r="E326" s="147">
        <f>ROUNDUP(750000/0.9,0)</f>
        <v>833334</v>
      </c>
      <c r="F326" s="112" t="s">
        <v>1065</v>
      </c>
      <c r="G326" s="647">
        <v>0.9</v>
      </c>
      <c r="H326" s="142"/>
      <c r="I326" s="229">
        <v>8</v>
      </c>
    </row>
    <row r="327" spans="2:9" hidden="1" outlineLevel="2">
      <c r="B327" s="2" t="s">
        <v>876</v>
      </c>
      <c r="D327" s="112" t="s">
        <v>1077</v>
      </c>
      <c r="E327" s="114">
        <f>ROUNDUP(750000/0.85,0)</f>
        <v>882353</v>
      </c>
      <c r="F327" s="112" t="s">
        <v>1065</v>
      </c>
      <c r="G327" s="647"/>
      <c r="H327" s="142">
        <v>750000</v>
      </c>
      <c r="I327" s="229">
        <v>9</v>
      </c>
    </row>
    <row r="328" spans="2:9" hidden="1" outlineLevel="2">
      <c r="B328" s="2" t="s">
        <v>876</v>
      </c>
      <c r="D328" s="112" t="s">
        <v>1077</v>
      </c>
      <c r="E328" s="114">
        <f>ROUNDUP(1000000/0.85,0)</f>
        <v>1176471</v>
      </c>
      <c r="F328" s="112" t="s">
        <v>1065</v>
      </c>
      <c r="G328" s="647">
        <v>0.85</v>
      </c>
      <c r="H328" s="142"/>
      <c r="I328" s="229">
        <v>10</v>
      </c>
    </row>
    <row r="329" spans="2:9" hidden="1" outlineLevel="2">
      <c r="B329" s="2" t="s">
        <v>876</v>
      </c>
      <c r="C329" s="124"/>
      <c r="D329" s="112" t="s">
        <v>1077</v>
      </c>
      <c r="E329" s="147">
        <f>ROUNDUP(1000000/0.8,0)</f>
        <v>1250000</v>
      </c>
      <c r="F329" s="112" t="s">
        <v>1065</v>
      </c>
      <c r="G329" s="647"/>
      <c r="H329" s="142">
        <v>1000000</v>
      </c>
      <c r="I329" s="229">
        <v>11</v>
      </c>
    </row>
    <row r="330" spans="2:9" hidden="1" outlineLevel="2">
      <c r="B330" s="2" t="s">
        <v>876</v>
      </c>
      <c r="C330" s="124"/>
      <c r="D330" s="112" t="s">
        <v>8711</v>
      </c>
      <c r="E330" s="147">
        <f>ROUNDUP(500000/0.95,0)</f>
        <v>526316</v>
      </c>
      <c r="F330" s="112" t="s">
        <v>1075</v>
      </c>
      <c r="G330" s="647">
        <v>0.95</v>
      </c>
      <c r="H330" s="229"/>
      <c r="I330" s="229">
        <v>12</v>
      </c>
    </row>
    <row r="331" spans="2:9" hidden="1" outlineLevel="2">
      <c r="B331" s="2" t="s">
        <v>876</v>
      </c>
      <c r="C331" s="124"/>
      <c r="D331" s="112" t="s">
        <v>8711</v>
      </c>
      <c r="E331" s="114">
        <f>ROUNDUP(500000/0.85,0)</f>
        <v>588236</v>
      </c>
      <c r="F331" s="112" t="s">
        <v>1075</v>
      </c>
      <c r="G331" s="647"/>
      <c r="H331" s="229">
        <v>500000</v>
      </c>
      <c r="I331" s="229">
        <v>13</v>
      </c>
    </row>
    <row r="332" spans="2:9" hidden="1" outlineLevel="2">
      <c r="B332" s="2" t="s">
        <v>876</v>
      </c>
      <c r="C332" s="124"/>
      <c r="D332" s="112" t="s">
        <v>8711</v>
      </c>
      <c r="E332" s="114">
        <f>ROUNDUP(750000/0.85,0)</f>
        <v>882353</v>
      </c>
      <c r="F332" s="112" t="s">
        <v>1075</v>
      </c>
      <c r="G332" s="647">
        <v>0.85</v>
      </c>
      <c r="H332" s="229"/>
      <c r="I332" s="229">
        <v>14</v>
      </c>
    </row>
    <row r="333" spans="2:9" hidden="1" outlineLevel="2">
      <c r="B333" s="2" t="s">
        <v>876</v>
      </c>
      <c r="D333" s="112" t="s">
        <v>8711</v>
      </c>
      <c r="E333" s="147">
        <f>ROUNDUP(750000/0.8,0)</f>
        <v>937500</v>
      </c>
      <c r="F333" s="112" t="s">
        <v>1075</v>
      </c>
      <c r="G333" s="647"/>
      <c r="H333" s="229">
        <v>750000</v>
      </c>
      <c r="I333" s="229">
        <v>15</v>
      </c>
    </row>
    <row r="334" spans="2:9" hidden="1" outlineLevel="2">
      <c r="B334" s="2" t="s">
        <v>876</v>
      </c>
      <c r="D334" s="112"/>
      <c r="E334" s="142"/>
      <c r="F334" s="112"/>
      <c r="G334" s="647">
        <v>0.8</v>
      </c>
      <c r="H334" s="229">
        <v>0</v>
      </c>
      <c r="I334" s="229">
        <v>16</v>
      </c>
    </row>
    <row r="335" spans="2:9" hidden="1" outlineLevel="2">
      <c r="B335" s="2" t="s">
        <v>889</v>
      </c>
    </row>
    <row r="336" spans="2:9" hidden="1" outlineLevel="1" collapsed="1">
      <c r="B336" s="2" t="s">
        <v>870</v>
      </c>
      <c r="D336" s="102" t="s">
        <v>1094</v>
      </c>
      <c r="E336" s="103"/>
      <c r="F336" s="103"/>
      <c r="G336" s="104"/>
    </row>
    <row r="337" spans="2:16" hidden="1" outlineLevel="2">
      <c r="B337" s="2" t="s">
        <v>833</v>
      </c>
      <c r="C337" s="206"/>
      <c r="D337" s="210" t="s">
        <v>843</v>
      </c>
      <c r="E337" s="210" t="s">
        <v>844</v>
      </c>
      <c r="F337" s="209" t="s">
        <v>845</v>
      </c>
      <c r="G337" s="210" t="s">
        <v>846</v>
      </c>
      <c r="H337" s="210" t="s">
        <v>847</v>
      </c>
      <c r="I337" s="210" t="s">
        <v>848</v>
      </c>
      <c r="J337" s="210" t="s">
        <v>849</v>
      </c>
      <c r="K337" s="210" t="s">
        <v>850</v>
      </c>
      <c r="L337" s="210" t="s">
        <v>8055</v>
      </c>
      <c r="M337" s="210" t="s">
        <v>8168</v>
      </c>
      <c r="N337" s="210" t="s">
        <v>8571</v>
      </c>
      <c r="O337" s="210" t="s">
        <v>8755</v>
      </c>
      <c r="P337" s="210" t="s">
        <v>8892</v>
      </c>
    </row>
    <row r="338" spans="2:16" hidden="1" outlineLevel="2">
      <c r="B338" s="2" t="s">
        <v>833</v>
      </c>
      <c r="C338" s="124"/>
      <c r="D338" s="226" t="s">
        <v>1095</v>
      </c>
      <c r="E338" s="226" t="s">
        <v>1096</v>
      </c>
      <c r="F338" s="226" t="s">
        <v>1097</v>
      </c>
      <c r="G338" s="227" t="s">
        <v>1017</v>
      </c>
    </row>
    <row r="339" spans="2:16" hidden="1" outlineLevel="2">
      <c r="B339" s="2" t="s">
        <v>874</v>
      </c>
      <c r="C339" s="124" t="s">
        <v>414</v>
      </c>
      <c r="D339" s="138" t="s">
        <v>1098</v>
      </c>
      <c r="E339" s="138" t="s">
        <v>1099</v>
      </c>
      <c r="F339" s="138" t="s">
        <v>1100</v>
      </c>
      <c r="G339" s="138" t="s">
        <v>1037</v>
      </c>
    </row>
    <row r="340" spans="2:16" hidden="1" outlineLevel="2">
      <c r="B340" s="2" t="s">
        <v>876</v>
      </c>
      <c r="C340" s="124"/>
      <c r="D340" s="112" t="s">
        <v>1101</v>
      </c>
      <c r="E340" s="147"/>
      <c r="F340" s="147"/>
      <c r="G340" s="229" t="s">
        <v>1102</v>
      </c>
    </row>
    <row r="341" spans="2:16" hidden="1" outlineLevel="2">
      <c r="B341" s="2" t="s">
        <v>876</v>
      </c>
      <c r="C341" s="124"/>
      <c r="D341" s="112" t="s">
        <v>1103</v>
      </c>
      <c r="E341" s="147"/>
      <c r="F341" s="147" t="b">
        <v>1</v>
      </c>
      <c r="G341" s="229" t="s">
        <v>1102</v>
      </c>
    </row>
    <row r="342" spans="2:16" hidden="1" outlineLevel="2">
      <c r="B342" s="2" t="s">
        <v>876</v>
      </c>
      <c r="C342" s="124"/>
      <c r="D342" s="112" t="s">
        <v>1103</v>
      </c>
      <c r="E342" s="147"/>
      <c r="F342" s="147" t="b">
        <v>0</v>
      </c>
      <c r="G342" s="229" t="s">
        <v>1104</v>
      </c>
    </row>
    <row r="343" spans="2:16" hidden="1" outlineLevel="2">
      <c r="B343" s="2" t="s">
        <v>876</v>
      </c>
      <c r="D343" s="112" t="s">
        <v>1105</v>
      </c>
      <c r="E343" s="147" t="s">
        <v>1106</v>
      </c>
      <c r="F343" s="147"/>
      <c r="G343" s="229" t="s">
        <v>1107</v>
      </c>
    </row>
    <row r="344" spans="2:16" hidden="1" outlineLevel="2">
      <c r="B344" s="2" t="s">
        <v>876</v>
      </c>
      <c r="D344" s="112" t="s">
        <v>1105</v>
      </c>
      <c r="E344" s="147" t="s">
        <v>1108</v>
      </c>
      <c r="F344" s="147"/>
      <c r="G344" s="229" t="s">
        <v>1109</v>
      </c>
    </row>
    <row r="345" spans="2:16" hidden="1" outlineLevel="2">
      <c r="B345" s="2" t="s">
        <v>876</v>
      </c>
      <c r="D345" s="112" t="s">
        <v>1105</v>
      </c>
      <c r="E345" s="147" t="s">
        <v>1110</v>
      </c>
      <c r="F345" s="147"/>
      <c r="G345" s="229" t="s">
        <v>1111</v>
      </c>
    </row>
    <row r="346" spans="2:16" hidden="1" outlineLevel="2">
      <c r="B346" s="2" t="s">
        <v>876</v>
      </c>
      <c r="D346" s="112" t="s">
        <v>1105</v>
      </c>
      <c r="E346" s="147"/>
      <c r="F346" s="147"/>
      <c r="G346" s="229" t="s">
        <v>1107</v>
      </c>
    </row>
    <row r="347" spans="2:16" hidden="1" outlineLevel="2">
      <c r="B347" s="2" t="s">
        <v>889</v>
      </c>
    </row>
    <row r="348" spans="2:16" hidden="1" outlineLevel="1" collapsed="1">
      <c r="B348" s="2" t="s">
        <v>870</v>
      </c>
      <c r="D348" s="102" t="s">
        <v>1112</v>
      </c>
      <c r="E348" s="103"/>
      <c r="F348" s="103"/>
      <c r="G348" s="103"/>
      <c r="H348" s="103"/>
      <c r="I348" s="103"/>
      <c r="J348" s="103"/>
      <c r="K348" s="104"/>
    </row>
    <row r="349" spans="2:16" hidden="1" outlineLevel="2">
      <c r="B349" s="2" t="s">
        <v>833</v>
      </c>
      <c r="D349" s="209" t="s">
        <v>843</v>
      </c>
      <c r="E349" s="210" t="s">
        <v>844</v>
      </c>
      <c r="F349" s="210" t="s">
        <v>845</v>
      </c>
      <c r="G349" s="210" t="s">
        <v>846</v>
      </c>
      <c r="H349" s="210" t="s">
        <v>847</v>
      </c>
      <c r="I349" s="210" t="s">
        <v>848</v>
      </c>
      <c r="J349" s="209" t="s">
        <v>849</v>
      </c>
      <c r="K349" s="210" t="s">
        <v>850</v>
      </c>
      <c r="L349" s="210" t="s">
        <v>8055</v>
      </c>
      <c r="M349" s="210" t="s">
        <v>8168</v>
      </c>
      <c r="N349" s="210" t="s">
        <v>8571</v>
      </c>
      <c r="O349" s="210" t="s">
        <v>8755</v>
      </c>
      <c r="P349" s="210" t="s">
        <v>8892</v>
      </c>
    </row>
    <row r="350" spans="2:16" hidden="1" outlineLevel="2">
      <c r="B350" s="2" t="s">
        <v>833</v>
      </c>
      <c r="D350" s="226" t="s">
        <v>1113</v>
      </c>
      <c r="E350" s="227" t="s">
        <v>1017</v>
      </c>
      <c r="F350" s="227" t="s">
        <v>1022</v>
      </c>
      <c r="G350" s="227" t="s">
        <v>1114</v>
      </c>
      <c r="H350" s="227" t="s">
        <v>1115</v>
      </c>
      <c r="I350" s="227" t="s">
        <v>1116</v>
      </c>
      <c r="J350" s="227" t="s">
        <v>1117</v>
      </c>
      <c r="K350" s="227" t="s">
        <v>1118</v>
      </c>
    </row>
    <row r="351" spans="2:16" hidden="1" outlineLevel="2">
      <c r="B351" s="2" t="s">
        <v>874</v>
      </c>
      <c r="C351" s="124" t="s">
        <v>8466</v>
      </c>
      <c r="D351" s="138" t="s">
        <v>1119</v>
      </c>
      <c r="E351" s="138" t="s">
        <v>1037</v>
      </c>
      <c r="F351" s="138" t="s">
        <v>1043</v>
      </c>
      <c r="G351" s="138" t="s">
        <v>1120</v>
      </c>
      <c r="H351" s="138" t="s">
        <v>1121</v>
      </c>
      <c r="I351" s="138" t="s">
        <v>1122</v>
      </c>
      <c r="J351" s="138" t="s">
        <v>1123</v>
      </c>
      <c r="K351" s="138" t="s">
        <v>1124</v>
      </c>
    </row>
    <row r="352" spans="2:16" hidden="1" outlineLevel="2">
      <c r="B352" s="2" t="s">
        <v>876</v>
      </c>
      <c r="D352" s="112" t="s">
        <v>201</v>
      </c>
      <c r="E352" s="112" t="s">
        <v>1102</v>
      </c>
      <c r="F352" s="112" t="b">
        <v>1</v>
      </c>
      <c r="G352" s="112">
        <v>0.75</v>
      </c>
      <c r="H352" s="112" t="b">
        <v>1</v>
      </c>
      <c r="I352" s="112" t="s">
        <v>1125</v>
      </c>
      <c r="J352" s="112" t="s">
        <v>1126</v>
      </c>
      <c r="K352" s="112" t="s">
        <v>1127</v>
      </c>
    </row>
    <row r="353" spans="2:54" hidden="1" outlineLevel="2">
      <c r="B353" s="2" t="s">
        <v>876</v>
      </c>
      <c r="D353" s="114" t="s">
        <v>202</v>
      </c>
      <c r="E353" s="114" t="s">
        <v>1107</v>
      </c>
      <c r="F353" s="114" t="b">
        <v>0</v>
      </c>
      <c r="G353" s="114">
        <v>0.75</v>
      </c>
      <c r="H353" s="114" t="b">
        <v>1</v>
      </c>
      <c r="I353" s="114" t="s">
        <v>1125</v>
      </c>
      <c r="J353" s="114" t="s">
        <v>1126</v>
      </c>
      <c r="K353" s="114" t="s">
        <v>1127</v>
      </c>
    </row>
    <row r="354" spans="2:54" hidden="1" outlineLevel="2">
      <c r="B354" s="2" t="s">
        <v>876</v>
      </c>
      <c r="D354" s="112" t="s">
        <v>203</v>
      </c>
      <c r="E354" s="112" t="s">
        <v>1109</v>
      </c>
      <c r="F354" s="112" t="b">
        <v>0</v>
      </c>
      <c r="G354" s="112">
        <v>0.75</v>
      </c>
      <c r="H354" s="112" t="b">
        <v>1</v>
      </c>
      <c r="I354" s="112" t="s">
        <v>1128</v>
      </c>
      <c r="J354" s="112" t="s">
        <v>1126</v>
      </c>
      <c r="K354" s="112" t="s">
        <v>1127</v>
      </c>
    </row>
    <row r="355" spans="2:54" hidden="1" outlineLevel="2">
      <c r="B355" s="2" t="s">
        <v>876</v>
      </c>
      <c r="D355" s="114" t="s">
        <v>204</v>
      </c>
      <c r="E355" s="114" t="s">
        <v>1111</v>
      </c>
      <c r="F355" s="114" t="b">
        <v>0</v>
      </c>
      <c r="G355" s="114">
        <v>0.75</v>
      </c>
      <c r="H355" s="114" t="b">
        <v>1</v>
      </c>
      <c r="I355" s="114" t="s">
        <v>1128</v>
      </c>
      <c r="J355" s="114" t="s">
        <v>1126</v>
      </c>
      <c r="K355" s="114" t="s">
        <v>1127</v>
      </c>
    </row>
    <row r="356" spans="2:54" hidden="1" outlineLevel="2">
      <c r="B356" s="2" t="s">
        <v>876</v>
      </c>
      <c r="D356" s="112" t="s">
        <v>206</v>
      </c>
      <c r="E356" s="112" t="s">
        <v>1129</v>
      </c>
      <c r="F356" s="112" t="b">
        <v>1</v>
      </c>
      <c r="G356" s="112">
        <v>0.75</v>
      </c>
      <c r="H356" s="112" t="b">
        <v>1</v>
      </c>
      <c r="I356" s="112" t="s">
        <v>1130</v>
      </c>
      <c r="J356" s="112" t="s">
        <v>1131</v>
      </c>
      <c r="K356" s="112" t="s">
        <v>1127</v>
      </c>
    </row>
    <row r="357" spans="2:54" hidden="1" outlineLevel="2">
      <c r="B357" s="2" t="s">
        <v>876</v>
      </c>
      <c r="D357" s="114" t="s">
        <v>8712</v>
      </c>
      <c r="E357" s="114" t="s">
        <v>1104</v>
      </c>
      <c r="F357" s="114" t="b">
        <v>0</v>
      </c>
      <c r="G357" s="114">
        <v>0.75</v>
      </c>
      <c r="H357" s="114" t="b">
        <v>1</v>
      </c>
      <c r="I357" s="114" t="s">
        <v>1132</v>
      </c>
      <c r="J357" s="114" t="s">
        <v>1126</v>
      </c>
      <c r="K357" s="114" t="s">
        <v>1132</v>
      </c>
    </row>
    <row r="358" spans="2:54" hidden="1" outlineLevel="2">
      <c r="B358" s="2" t="s">
        <v>876</v>
      </c>
      <c r="D358" s="112" t="s">
        <v>8714</v>
      </c>
      <c r="E358" s="112" t="s">
        <v>1133</v>
      </c>
      <c r="F358" s="112" t="b">
        <v>1</v>
      </c>
      <c r="G358" s="112">
        <v>0.75</v>
      </c>
      <c r="H358" s="112" t="b">
        <v>1</v>
      </c>
      <c r="I358" s="112" t="s">
        <v>1132</v>
      </c>
      <c r="J358" s="112" t="s">
        <v>1126</v>
      </c>
      <c r="K358" s="112" t="s">
        <v>1132</v>
      </c>
    </row>
    <row r="359" spans="2:54" hidden="1" outlineLevel="2">
      <c r="B359" s="2" t="s">
        <v>876</v>
      </c>
      <c r="D359" s="114" t="s">
        <v>8713</v>
      </c>
      <c r="E359" s="114" t="s">
        <v>1134</v>
      </c>
      <c r="F359" s="114" t="b">
        <v>0</v>
      </c>
      <c r="G359" s="114">
        <v>0.75</v>
      </c>
      <c r="H359" s="114" t="b">
        <v>1</v>
      </c>
      <c r="I359" s="114" t="s">
        <v>1135</v>
      </c>
      <c r="J359" s="114" t="s">
        <v>1126</v>
      </c>
      <c r="K359" s="114" t="s">
        <v>1132</v>
      </c>
    </row>
    <row r="360" spans="2:54" hidden="1" outlineLevel="2">
      <c r="B360" s="2" t="s">
        <v>876</v>
      </c>
      <c r="D360" s="112" t="s">
        <v>215</v>
      </c>
      <c r="E360" s="112" t="s">
        <v>1136</v>
      </c>
      <c r="F360" s="112" t="b">
        <v>0</v>
      </c>
      <c r="G360" s="112">
        <v>0.75</v>
      </c>
      <c r="H360" s="112" t="b">
        <v>1</v>
      </c>
      <c r="I360" s="112" t="s">
        <v>1125</v>
      </c>
      <c r="J360" s="112" t="s">
        <v>1137</v>
      </c>
      <c r="K360" s="112" t="s">
        <v>1127</v>
      </c>
    </row>
    <row r="361" spans="2:54" hidden="1" outlineLevel="2">
      <c r="B361" s="2" t="s">
        <v>876</v>
      </c>
      <c r="D361" s="114" t="s">
        <v>218</v>
      </c>
      <c r="E361" s="114" t="s">
        <v>1102</v>
      </c>
      <c r="F361" s="114" t="b">
        <v>0</v>
      </c>
      <c r="G361" s="114">
        <v>0.75</v>
      </c>
      <c r="H361" s="114" t="b">
        <v>1</v>
      </c>
      <c r="I361" s="114" t="s">
        <v>1138</v>
      </c>
      <c r="J361" s="114" t="s">
        <v>1126</v>
      </c>
      <c r="K361" s="114" t="s">
        <v>1127</v>
      </c>
    </row>
    <row r="362" spans="2:54" hidden="1" outlineLevel="2">
      <c r="B362" s="2" t="s">
        <v>876</v>
      </c>
      <c r="D362" s="112" t="s">
        <v>221</v>
      </c>
      <c r="E362" s="112" t="s">
        <v>1139</v>
      </c>
      <c r="F362" s="112" t="b">
        <v>0</v>
      </c>
      <c r="G362" s="112">
        <v>0.75</v>
      </c>
      <c r="H362" s="112" t="b">
        <v>1</v>
      </c>
      <c r="I362" s="112" t="s">
        <v>1138</v>
      </c>
      <c r="J362" s="112" t="s">
        <v>1126</v>
      </c>
      <c r="K362" s="112" t="s">
        <v>1127</v>
      </c>
    </row>
    <row r="363" spans="2:54" hidden="1" outlineLevel="2">
      <c r="B363" s="2" t="s">
        <v>876</v>
      </c>
      <c r="D363" s="114" t="s">
        <v>224</v>
      </c>
      <c r="E363" s="114" t="s">
        <v>1140</v>
      </c>
      <c r="F363" s="114" t="b">
        <v>0</v>
      </c>
      <c r="G363" s="114">
        <v>0.6</v>
      </c>
      <c r="H363" s="114" t="b">
        <v>0</v>
      </c>
      <c r="I363" s="114"/>
      <c r="J363" s="114"/>
      <c r="K363" s="114"/>
    </row>
    <row r="364" spans="2:54" hidden="1" outlineLevel="2">
      <c r="B364" s="2" t="s">
        <v>889</v>
      </c>
    </row>
    <row r="365" spans="2:54" collapsed="1">
      <c r="B365" s="2" t="s">
        <v>833</v>
      </c>
      <c r="C365" s="208" t="s">
        <v>1141</v>
      </c>
      <c r="D365" s="209" t="s">
        <v>843</v>
      </c>
      <c r="E365" s="209" t="s">
        <v>844</v>
      </c>
      <c r="F365" s="210" t="s">
        <v>845</v>
      </c>
      <c r="G365" s="209" t="s">
        <v>846</v>
      </c>
      <c r="H365" s="210" t="s">
        <v>847</v>
      </c>
      <c r="I365" s="210" t="s">
        <v>848</v>
      </c>
      <c r="J365" s="209" t="s">
        <v>849</v>
      </c>
      <c r="K365" s="210" t="s">
        <v>850</v>
      </c>
      <c r="L365" s="210" t="s">
        <v>8055</v>
      </c>
      <c r="M365" s="210" t="s">
        <v>8168</v>
      </c>
      <c r="N365" s="210" t="s">
        <v>8571</v>
      </c>
      <c r="O365" s="210" t="s">
        <v>8755</v>
      </c>
      <c r="P365" s="210" t="s">
        <v>8892</v>
      </c>
    </row>
    <row r="366" spans="2:54" hidden="1" outlineLevel="1">
      <c r="B366" s="2" t="s">
        <v>833</v>
      </c>
      <c r="C366" s="145" t="s">
        <v>834</v>
      </c>
      <c r="D366" s="145" t="s">
        <v>835</v>
      </c>
      <c r="E366" s="207" t="s">
        <v>836</v>
      </c>
      <c r="BB366" s="2">
        <f t="shared" ref="BB366:BB395" si="1">BB365+10000</f>
        <v>10000</v>
      </c>
    </row>
    <row r="367" spans="2:54" hidden="1" outlineLevel="1">
      <c r="B367" s="2" t="s">
        <v>837</v>
      </c>
      <c r="C367" s="138" t="s">
        <v>8046</v>
      </c>
      <c r="D367" s="114" t="s">
        <v>8041</v>
      </c>
      <c r="E367" s="114">
        <v>535</v>
      </c>
      <c r="H367" s="223"/>
      <c r="BB367" s="2">
        <f t="shared" si="1"/>
        <v>20000</v>
      </c>
    </row>
    <row r="368" spans="2:54" hidden="1" outlineLevel="1">
      <c r="B368" s="2" t="s">
        <v>833</v>
      </c>
      <c r="BB368" s="2">
        <f t="shared" si="1"/>
        <v>30000</v>
      </c>
    </row>
    <row r="369" spans="2:54" hidden="1" outlineLevel="1">
      <c r="B369" s="2" t="s">
        <v>833</v>
      </c>
      <c r="D369" s="210" t="s">
        <v>843</v>
      </c>
      <c r="E369" s="209" t="s">
        <v>844</v>
      </c>
      <c r="F369" s="210" t="s">
        <v>845</v>
      </c>
      <c r="G369" s="209" t="s">
        <v>846</v>
      </c>
      <c r="H369" s="210" t="s">
        <v>847</v>
      </c>
      <c r="I369" s="210" t="s">
        <v>848</v>
      </c>
      <c r="J369" s="210" t="s">
        <v>849</v>
      </c>
      <c r="K369" s="210" t="s">
        <v>850</v>
      </c>
      <c r="L369" s="210" t="s">
        <v>8055</v>
      </c>
      <c r="M369" s="210" t="s">
        <v>8168</v>
      </c>
      <c r="N369" s="210" t="s">
        <v>8571</v>
      </c>
      <c r="O369" s="210" t="s">
        <v>8755</v>
      </c>
      <c r="P369" s="210" t="s">
        <v>8892</v>
      </c>
      <c r="BB369" s="2">
        <f t="shared" si="1"/>
        <v>40000</v>
      </c>
    </row>
    <row r="370" spans="2:54" hidden="1" outlineLevel="1">
      <c r="B370" s="2" t="s">
        <v>851</v>
      </c>
      <c r="C370" s="132" t="s">
        <v>1142</v>
      </c>
      <c r="D370" s="102" t="s">
        <v>1143</v>
      </c>
      <c r="E370" s="103"/>
      <c r="F370" s="103"/>
      <c r="G370" s="103"/>
      <c r="H370" s="103"/>
      <c r="I370" s="103"/>
      <c r="J370" s="103"/>
      <c r="K370" s="103"/>
      <c r="L370" s="103"/>
      <c r="M370" s="103"/>
      <c r="N370" s="103"/>
      <c r="O370" s="103"/>
      <c r="P370" s="104"/>
      <c r="BB370" s="2">
        <f t="shared" si="1"/>
        <v>50000</v>
      </c>
    </row>
    <row r="371" spans="2:54" hidden="1" outlineLevel="2">
      <c r="B371" s="2" t="s">
        <v>853</v>
      </c>
      <c r="D371" s="113" t="s">
        <v>1144</v>
      </c>
      <c r="E371" s="113" t="b">
        <v>0</v>
      </c>
      <c r="F371" s="113"/>
      <c r="G371" s="113"/>
      <c r="H371" s="113"/>
      <c r="I371" s="113"/>
      <c r="J371" s="113"/>
      <c r="K371" s="113"/>
      <c r="L371" s="113"/>
      <c r="M371" s="113"/>
      <c r="N371" s="113"/>
      <c r="O371" s="113"/>
      <c r="P371" s="114"/>
      <c r="BB371" s="2">
        <f t="shared" si="1"/>
        <v>60000</v>
      </c>
    </row>
    <row r="372" spans="2:54" hidden="1" outlineLevel="2">
      <c r="B372" s="2" t="s">
        <v>1145</v>
      </c>
      <c r="D372" s="113" t="s">
        <v>1146</v>
      </c>
      <c r="E372" s="113"/>
      <c r="F372" s="113"/>
      <c r="G372" s="113"/>
      <c r="H372" s="113"/>
      <c r="I372" s="113"/>
      <c r="J372" s="113"/>
      <c r="K372" s="113"/>
      <c r="L372" s="113"/>
      <c r="M372" s="113"/>
      <c r="N372" s="113"/>
      <c r="O372" s="113"/>
      <c r="P372" s="114"/>
      <c r="BB372" s="2">
        <f t="shared" si="1"/>
        <v>70000</v>
      </c>
    </row>
    <row r="373" spans="2:54" hidden="1" outlineLevel="2">
      <c r="B373" s="2" t="s">
        <v>1147</v>
      </c>
      <c r="C373" s="124" t="s">
        <v>313</v>
      </c>
      <c r="D373" s="138" t="s">
        <v>1148</v>
      </c>
      <c r="E373" s="138" t="s">
        <v>293</v>
      </c>
      <c r="F373" s="138">
        <v>0</v>
      </c>
      <c r="G373" s="138">
        <v>1</v>
      </c>
      <c r="H373" s="138">
        <v>2</v>
      </c>
      <c r="I373" s="138">
        <v>3</v>
      </c>
      <c r="J373" s="138">
        <v>4</v>
      </c>
      <c r="K373" s="138">
        <v>5</v>
      </c>
      <c r="L373" s="138">
        <v>6</v>
      </c>
      <c r="M373" s="138">
        <v>7</v>
      </c>
      <c r="N373" s="138">
        <v>8</v>
      </c>
      <c r="O373" s="138">
        <v>9</v>
      </c>
      <c r="P373" s="138">
        <v>10</v>
      </c>
      <c r="BB373" s="2">
        <f t="shared" si="1"/>
        <v>80000</v>
      </c>
    </row>
    <row r="374" spans="2:54" hidden="1" outlineLevel="2">
      <c r="B374" s="2" t="s">
        <v>1149</v>
      </c>
      <c r="D374" s="113" t="s">
        <v>1150</v>
      </c>
      <c r="E374" s="113" t="s">
        <v>1151</v>
      </c>
      <c r="F374" s="113" t="s">
        <v>1146</v>
      </c>
      <c r="G374" s="113"/>
      <c r="H374" s="113"/>
      <c r="I374" s="113"/>
      <c r="J374" s="113"/>
      <c r="K374" s="113"/>
      <c r="L374" s="113"/>
      <c r="M374" s="113"/>
      <c r="N374" s="113"/>
      <c r="O374" s="113"/>
      <c r="P374" s="114"/>
      <c r="BB374" s="2">
        <f t="shared" si="1"/>
        <v>90000</v>
      </c>
    </row>
    <row r="375" spans="2:54" hidden="1" outlineLevel="2">
      <c r="B375" s="2" t="s">
        <v>1152</v>
      </c>
      <c r="D375" s="1463">
        <v>0</v>
      </c>
      <c r="E375" s="111" t="s">
        <v>1153</v>
      </c>
      <c r="F375" s="234">
        <v>2578</v>
      </c>
      <c r="G375" s="234">
        <v>2993</v>
      </c>
      <c r="H375" s="234">
        <v>3339</v>
      </c>
      <c r="I375" s="234">
        <v>3737</v>
      </c>
      <c r="J375" s="234">
        <v>4135</v>
      </c>
      <c r="K375" s="234">
        <v>4533</v>
      </c>
      <c r="L375" s="234">
        <v>4932</v>
      </c>
      <c r="M375" s="234">
        <v>5330</v>
      </c>
      <c r="N375" s="234">
        <v>5728</v>
      </c>
      <c r="O375" s="234">
        <v>6283</v>
      </c>
      <c r="P375" s="229">
        <v>6845</v>
      </c>
      <c r="BB375" s="2">
        <f t="shared" si="1"/>
        <v>100000</v>
      </c>
    </row>
    <row r="376" spans="2:54" hidden="1" outlineLevel="2">
      <c r="B376" s="2" t="s">
        <v>1152</v>
      </c>
      <c r="D376" s="1464">
        <v>24753</v>
      </c>
      <c r="E376" s="113" t="s">
        <v>1153</v>
      </c>
      <c r="F376" s="235">
        <v>2578</v>
      </c>
      <c r="G376" s="235">
        <v>2993</v>
      </c>
      <c r="H376" s="235">
        <v>3339</v>
      </c>
      <c r="I376" s="235">
        <v>3737</v>
      </c>
      <c r="J376" s="235">
        <v>4135</v>
      </c>
      <c r="K376" s="235">
        <v>4533</v>
      </c>
      <c r="L376" s="235">
        <v>4932</v>
      </c>
      <c r="M376" s="235">
        <v>5330</v>
      </c>
      <c r="N376" s="235">
        <v>5728</v>
      </c>
      <c r="O376" s="235">
        <v>6283</v>
      </c>
      <c r="P376" s="236">
        <v>6845</v>
      </c>
      <c r="BB376" s="2">
        <f t="shared" si="1"/>
        <v>110000</v>
      </c>
    </row>
    <row r="377" spans="2:54" hidden="1" outlineLevel="2">
      <c r="B377" s="2" t="s">
        <v>1152</v>
      </c>
      <c r="D377" s="1464">
        <v>34893</v>
      </c>
      <c r="E377" s="111" t="s">
        <v>1153</v>
      </c>
      <c r="F377" s="234">
        <v>2641</v>
      </c>
      <c r="G377" s="234">
        <v>2993</v>
      </c>
      <c r="H377" s="234">
        <v>3339</v>
      </c>
      <c r="I377" s="234">
        <v>3737</v>
      </c>
      <c r="J377" s="234">
        <v>4135</v>
      </c>
      <c r="K377" s="234">
        <v>4533</v>
      </c>
      <c r="L377" s="234">
        <v>4932</v>
      </c>
      <c r="M377" s="234">
        <v>5330</v>
      </c>
      <c r="N377" s="234">
        <v>5728</v>
      </c>
      <c r="O377" s="234">
        <v>6126</v>
      </c>
      <c r="P377" s="229">
        <v>6524</v>
      </c>
      <c r="BB377" s="2">
        <f t="shared" si="1"/>
        <v>120000</v>
      </c>
    </row>
    <row r="378" spans="2:54" hidden="1" outlineLevel="2">
      <c r="B378" s="2" t="s">
        <v>1152</v>
      </c>
      <c r="D378" s="1464">
        <v>44573</v>
      </c>
      <c r="E378" s="113" t="s">
        <v>1153</v>
      </c>
      <c r="F378" s="235">
        <v>2764</v>
      </c>
      <c r="G378" s="235">
        <v>3116</v>
      </c>
      <c r="H378" s="235">
        <v>3462</v>
      </c>
      <c r="I378" s="235">
        <v>3737</v>
      </c>
      <c r="J378" s="235">
        <v>4012</v>
      </c>
      <c r="K378" s="235">
        <v>4288</v>
      </c>
      <c r="L378" s="235">
        <v>4563</v>
      </c>
      <c r="M378" s="235">
        <v>5024</v>
      </c>
      <c r="N378" s="235">
        <v>5521</v>
      </c>
      <c r="O378" s="235">
        <v>6018</v>
      </c>
      <c r="P378" s="236">
        <v>6515</v>
      </c>
      <c r="BB378" s="2">
        <f t="shared" si="1"/>
        <v>130000</v>
      </c>
    </row>
    <row r="379" spans="2:54" hidden="1" outlineLevel="2">
      <c r="B379" s="2" t="s">
        <v>1152</v>
      </c>
      <c r="D379" s="1464">
        <v>52733</v>
      </c>
      <c r="E379" s="111" t="s">
        <v>1153</v>
      </c>
      <c r="F379" s="234">
        <v>2936</v>
      </c>
      <c r="G379" s="234">
        <v>3287</v>
      </c>
      <c r="H379" s="234">
        <v>3634</v>
      </c>
      <c r="I379" s="234">
        <v>3909</v>
      </c>
      <c r="J379" s="234">
        <v>4183</v>
      </c>
      <c r="K379" s="234">
        <v>4458</v>
      </c>
      <c r="L379" s="234">
        <v>4732</v>
      </c>
      <c r="M379" s="234">
        <v>5194</v>
      </c>
      <c r="N379" s="234">
        <v>5690</v>
      </c>
      <c r="O379" s="234">
        <v>6187</v>
      </c>
      <c r="P379" s="229">
        <v>6683</v>
      </c>
      <c r="BB379" s="2">
        <f t="shared" si="1"/>
        <v>140000</v>
      </c>
    </row>
    <row r="380" spans="2:54" hidden="1" outlineLevel="2">
      <c r="B380" s="2" t="s">
        <v>1152</v>
      </c>
      <c r="D380" s="1464">
        <v>61573</v>
      </c>
      <c r="E380" s="113" t="s">
        <v>1153</v>
      </c>
      <c r="F380" s="235">
        <v>3193</v>
      </c>
      <c r="G380" s="235">
        <v>3543</v>
      </c>
      <c r="H380" s="235">
        <v>3892</v>
      </c>
      <c r="I380" s="235">
        <v>4166</v>
      </c>
      <c r="J380" s="235">
        <v>4439</v>
      </c>
      <c r="K380" s="235">
        <v>4713</v>
      </c>
      <c r="L380" s="235">
        <v>4987</v>
      </c>
      <c r="M380" s="235">
        <v>5449</v>
      </c>
      <c r="N380" s="235">
        <v>5944</v>
      </c>
      <c r="O380" s="235">
        <v>6439</v>
      </c>
      <c r="P380" s="236">
        <v>6935</v>
      </c>
      <c r="BB380" s="2">
        <f t="shared" si="1"/>
        <v>150000</v>
      </c>
    </row>
    <row r="381" spans="2:54" hidden="1" outlineLevel="2">
      <c r="B381" s="2" t="s">
        <v>1152</v>
      </c>
      <c r="D381" s="1464">
        <v>79253</v>
      </c>
      <c r="E381" s="111" t="s">
        <v>1153</v>
      </c>
      <c r="F381" s="234">
        <v>3571</v>
      </c>
      <c r="G381" s="234">
        <v>3921</v>
      </c>
      <c r="H381" s="234">
        <v>4272</v>
      </c>
      <c r="I381" s="234">
        <v>4544</v>
      </c>
      <c r="J381" s="234">
        <v>4816</v>
      </c>
      <c r="K381" s="234">
        <v>5088</v>
      </c>
      <c r="L381" s="234">
        <v>5360</v>
      </c>
      <c r="M381" s="234">
        <v>5824</v>
      </c>
      <c r="N381" s="234">
        <v>6318</v>
      </c>
      <c r="O381" s="234">
        <v>6811</v>
      </c>
      <c r="P381" s="229">
        <v>7305</v>
      </c>
      <c r="BB381" s="2">
        <f t="shared" si="1"/>
        <v>160000</v>
      </c>
    </row>
    <row r="382" spans="2:54" hidden="1" outlineLevel="2">
      <c r="B382" s="2" t="s">
        <v>1152</v>
      </c>
      <c r="D382" s="1464">
        <v>96933</v>
      </c>
      <c r="E382" s="113" t="s">
        <v>1153</v>
      </c>
      <c r="F382" s="235">
        <v>3895</v>
      </c>
      <c r="G382" s="235">
        <v>4244</v>
      </c>
      <c r="H382" s="235">
        <v>4597</v>
      </c>
      <c r="I382" s="235">
        <v>4868</v>
      </c>
      <c r="J382" s="235">
        <v>5139</v>
      </c>
      <c r="K382" s="235">
        <v>5410</v>
      </c>
      <c r="L382" s="235">
        <v>5681</v>
      </c>
      <c r="M382" s="235">
        <v>6146</v>
      </c>
      <c r="N382" s="235">
        <v>6638</v>
      </c>
      <c r="O382" s="235">
        <v>7130</v>
      </c>
      <c r="P382" s="236">
        <v>7622</v>
      </c>
      <c r="BB382" s="2">
        <f t="shared" si="1"/>
        <v>170000</v>
      </c>
    </row>
    <row r="383" spans="2:54" hidden="1" outlineLevel="2">
      <c r="B383" s="2" t="s">
        <v>1152</v>
      </c>
      <c r="C383" s="132"/>
      <c r="D383" s="1464">
        <v>113213</v>
      </c>
      <c r="E383" s="111" t="s">
        <v>1153</v>
      </c>
      <c r="F383" s="234">
        <v>4248</v>
      </c>
      <c r="G383" s="234">
        <v>4596</v>
      </c>
      <c r="H383" s="234">
        <v>4952</v>
      </c>
      <c r="I383" s="234">
        <v>5221</v>
      </c>
      <c r="J383" s="234">
        <v>5491</v>
      </c>
      <c r="K383" s="234">
        <v>5760</v>
      </c>
      <c r="L383" s="234">
        <v>6030</v>
      </c>
      <c r="M383" s="234">
        <v>6496</v>
      </c>
      <c r="N383" s="234">
        <v>6987</v>
      </c>
      <c r="O383" s="234">
        <v>7477</v>
      </c>
      <c r="P383" s="229">
        <v>7967</v>
      </c>
      <c r="BB383" s="2">
        <f t="shared" si="1"/>
        <v>180000</v>
      </c>
    </row>
    <row r="384" spans="2:54" hidden="1" outlineLevel="2">
      <c r="B384" s="2" t="s">
        <v>1152</v>
      </c>
      <c r="D384" s="1464">
        <v>128463</v>
      </c>
      <c r="E384" s="113" t="s">
        <v>1153</v>
      </c>
      <c r="F384" s="235">
        <v>4454</v>
      </c>
      <c r="G384" s="235">
        <v>4802</v>
      </c>
      <c r="H384" s="235">
        <v>5158</v>
      </c>
      <c r="I384" s="235">
        <v>5427</v>
      </c>
      <c r="J384" s="235">
        <v>5696</v>
      </c>
      <c r="K384" s="235">
        <v>5964</v>
      </c>
      <c r="L384" s="235">
        <v>6233</v>
      </c>
      <c r="M384" s="235">
        <v>6701</v>
      </c>
      <c r="N384" s="235">
        <v>7190</v>
      </c>
      <c r="O384" s="235">
        <v>7679</v>
      </c>
      <c r="P384" s="236">
        <v>8169</v>
      </c>
      <c r="BB384" s="2">
        <f t="shared" si="1"/>
        <v>190000</v>
      </c>
    </row>
    <row r="385" spans="2:54" hidden="1" outlineLevel="2">
      <c r="B385" s="2" t="s">
        <v>1152</v>
      </c>
      <c r="D385" s="1464">
        <v>143043</v>
      </c>
      <c r="E385" s="111" t="s">
        <v>1153</v>
      </c>
      <c r="F385" s="234">
        <v>4736</v>
      </c>
      <c r="G385" s="234">
        <v>5083</v>
      </c>
      <c r="H385" s="234">
        <v>5441</v>
      </c>
      <c r="I385" s="234">
        <v>5709</v>
      </c>
      <c r="J385" s="234">
        <v>5976</v>
      </c>
      <c r="K385" s="234">
        <v>6244</v>
      </c>
      <c r="L385" s="234">
        <v>6511</v>
      </c>
      <c r="M385" s="234">
        <v>6980</v>
      </c>
      <c r="N385" s="234">
        <v>7468</v>
      </c>
      <c r="O385" s="234">
        <v>7956</v>
      </c>
      <c r="P385" s="229">
        <v>8444</v>
      </c>
      <c r="BB385" s="2">
        <f t="shared" si="1"/>
        <v>200000</v>
      </c>
    </row>
    <row r="386" spans="2:54" hidden="1" outlineLevel="2">
      <c r="B386" s="2" t="s">
        <v>1152</v>
      </c>
      <c r="D386" s="1464">
        <v>170603</v>
      </c>
      <c r="E386" s="113" t="s">
        <v>1153</v>
      </c>
      <c r="F386" s="235">
        <v>5230</v>
      </c>
      <c r="G386" s="235">
        <v>5576</v>
      </c>
      <c r="H386" s="235">
        <v>5937</v>
      </c>
      <c r="I386" s="235">
        <v>6202</v>
      </c>
      <c r="J386" s="235">
        <v>6468</v>
      </c>
      <c r="K386" s="235">
        <v>6734</v>
      </c>
      <c r="L386" s="235">
        <v>7000</v>
      </c>
      <c r="M386" s="235">
        <v>7470</v>
      </c>
      <c r="N386" s="235">
        <v>7956</v>
      </c>
      <c r="O386" s="235">
        <v>8442</v>
      </c>
      <c r="P386" s="236">
        <v>8927</v>
      </c>
      <c r="BB386" s="2">
        <f t="shared" si="1"/>
        <v>210000</v>
      </c>
    </row>
    <row r="387" spans="2:54" hidden="1" outlineLevel="2">
      <c r="B387" s="2" t="s">
        <v>1152</v>
      </c>
      <c r="D387" s="1464">
        <v>204523</v>
      </c>
      <c r="E387" s="111" t="s">
        <v>1153</v>
      </c>
      <c r="F387" s="234">
        <v>5970</v>
      </c>
      <c r="G387" s="234">
        <v>6314</v>
      </c>
      <c r="H387" s="234">
        <v>6680</v>
      </c>
      <c r="I387" s="234">
        <v>6943</v>
      </c>
      <c r="J387" s="234">
        <v>7206</v>
      </c>
      <c r="K387" s="234">
        <v>7468</v>
      </c>
      <c r="L387" s="234">
        <v>7731</v>
      </c>
      <c r="M387" s="234">
        <v>8205</v>
      </c>
      <c r="N387" s="234">
        <v>8687</v>
      </c>
      <c r="O387" s="234">
        <v>9169</v>
      </c>
      <c r="P387" s="229">
        <v>9651</v>
      </c>
      <c r="BB387" s="2">
        <f t="shared" si="1"/>
        <v>220000</v>
      </c>
    </row>
    <row r="388" spans="2:54" hidden="1" outlineLevel="2">
      <c r="B388" s="2" t="s">
        <v>1152</v>
      </c>
      <c r="C388" s="124" t="s">
        <v>318</v>
      </c>
      <c r="D388" s="1464">
        <v>238443</v>
      </c>
      <c r="E388" s="113" t="s">
        <v>1153</v>
      </c>
      <c r="F388" s="235">
        <v>6063</v>
      </c>
      <c r="G388" s="235">
        <v>6406</v>
      </c>
      <c r="H388" s="235">
        <v>6772</v>
      </c>
      <c r="I388" s="235">
        <v>7035</v>
      </c>
      <c r="J388" s="235">
        <v>7297</v>
      </c>
      <c r="K388" s="235">
        <v>7560</v>
      </c>
      <c r="L388" s="235">
        <v>7822</v>
      </c>
      <c r="M388" s="235">
        <v>8296</v>
      </c>
      <c r="N388" s="235">
        <v>8778</v>
      </c>
      <c r="O388" s="235">
        <v>9260</v>
      </c>
      <c r="P388" s="236">
        <v>9742</v>
      </c>
      <c r="BB388" s="2">
        <f t="shared" si="1"/>
        <v>230000</v>
      </c>
    </row>
    <row r="389" spans="2:54" hidden="1" outlineLevel="2">
      <c r="B389" s="2" t="s">
        <v>860</v>
      </c>
      <c r="BB389" s="2">
        <f t="shared" si="1"/>
        <v>240000</v>
      </c>
    </row>
    <row r="390" spans="2:54" hidden="1" outlineLevel="1">
      <c r="B390" s="2" t="s">
        <v>833</v>
      </c>
      <c r="D390" s="210" t="s">
        <v>843</v>
      </c>
      <c r="E390" s="209" t="s">
        <v>844</v>
      </c>
      <c r="F390" s="210" t="s">
        <v>845</v>
      </c>
      <c r="G390" s="209" t="s">
        <v>846</v>
      </c>
      <c r="H390" s="210" t="s">
        <v>847</v>
      </c>
      <c r="I390" s="210" t="s">
        <v>848</v>
      </c>
      <c r="J390" s="210" t="s">
        <v>849</v>
      </c>
      <c r="K390" s="210" t="s">
        <v>850</v>
      </c>
      <c r="L390" s="210" t="s">
        <v>8055</v>
      </c>
      <c r="M390" s="210" t="s">
        <v>8168</v>
      </c>
      <c r="N390" s="210" t="s">
        <v>8571</v>
      </c>
      <c r="O390" s="210" t="s">
        <v>8755</v>
      </c>
      <c r="P390" s="210" t="s">
        <v>8892</v>
      </c>
      <c r="BB390" s="2">
        <f t="shared" si="1"/>
        <v>250000</v>
      </c>
    </row>
    <row r="391" spans="2:54" hidden="1" outlineLevel="1">
      <c r="B391" s="2" t="s">
        <v>851</v>
      </c>
      <c r="C391" s="132" t="s">
        <v>1154</v>
      </c>
      <c r="D391" s="102" t="s">
        <v>1155</v>
      </c>
      <c r="E391" s="103"/>
      <c r="F391" s="103"/>
      <c r="G391" s="103"/>
      <c r="H391" s="103"/>
      <c r="I391" s="103"/>
      <c r="J391" s="103"/>
      <c r="K391" s="103"/>
      <c r="L391" s="103"/>
      <c r="M391" s="103"/>
      <c r="N391" s="103"/>
      <c r="O391" s="103"/>
      <c r="P391" s="104"/>
      <c r="BB391" s="2">
        <f t="shared" si="1"/>
        <v>260000</v>
      </c>
    </row>
    <row r="392" spans="2:54" hidden="1" outlineLevel="2">
      <c r="B392" s="2" t="s">
        <v>853</v>
      </c>
      <c r="D392" s="113" t="s">
        <v>1144</v>
      </c>
      <c r="E392" s="113" t="b">
        <v>0</v>
      </c>
      <c r="F392" s="113"/>
      <c r="G392" s="113"/>
      <c r="H392" s="113"/>
      <c r="I392" s="113"/>
      <c r="J392" s="113"/>
      <c r="K392" s="113"/>
      <c r="L392" s="113"/>
      <c r="M392" s="113"/>
      <c r="N392" s="113"/>
      <c r="O392" s="113"/>
      <c r="P392" s="114"/>
      <c r="BB392" s="2">
        <f t="shared" si="1"/>
        <v>270000</v>
      </c>
    </row>
    <row r="393" spans="2:54" hidden="1" outlineLevel="2">
      <c r="B393" s="2" t="s">
        <v>1145</v>
      </c>
      <c r="D393" s="113" t="s">
        <v>1146</v>
      </c>
      <c r="E393" s="113"/>
      <c r="F393" s="113"/>
      <c r="G393" s="113"/>
      <c r="H393" s="113"/>
      <c r="I393" s="113"/>
      <c r="J393" s="113"/>
      <c r="K393" s="113"/>
      <c r="L393" s="113"/>
      <c r="M393" s="113"/>
      <c r="N393" s="113"/>
      <c r="O393" s="113"/>
      <c r="P393" s="114"/>
      <c r="BB393" s="2">
        <f t="shared" si="1"/>
        <v>280000</v>
      </c>
    </row>
    <row r="394" spans="2:54" hidden="1" outlineLevel="2">
      <c r="B394" s="2" t="s">
        <v>1147</v>
      </c>
      <c r="C394" s="124" t="s">
        <v>326</v>
      </c>
      <c r="D394" s="138" t="s">
        <v>1148</v>
      </c>
      <c r="E394" s="138" t="s">
        <v>293</v>
      </c>
      <c r="F394" s="138">
        <v>0</v>
      </c>
      <c r="G394" s="138">
        <v>1</v>
      </c>
      <c r="H394" s="138">
        <v>2</v>
      </c>
      <c r="I394" s="138">
        <v>3</v>
      </c>
      <c r="J394" s="138">
        <v>4</v>
      </c>
      <c r="K394" s="138">
        <v>5</v>
      </c>
      <c r="L394" s="138">
        <v>6</v>
      </c>
      <c r="M394" s="138">
        <v>7</v>
      </c>
      <c r="N394" s="138">
        <v>8</v>
      </c>
      <c r="O394" s="138">
        <v>9</v>
      </c>
      <c r="P394" s="138">
        <v>10</v>
      </c>
      <c r="BB394" s="2">
        <f t="shared" si="1"/>
        <v>290000</v>
      </c>
    </row>
    <row r="395" spans="2:54" hidden="1" outlineLevel="2">
      <c r="B395" s="2" t="s">
        <v>1149</v>
      </c>
      <c r="D395" s="113" t="s">
        <v>1150</v>
      </c>
      <c r="E395" s="113" t="s">
        <v>1151</v>
      </c>
      <c r="F395" s="113" t="s">
        <v>1146</v>
      </c>
      <c r="G395" s="113"/>
      <c r="H395" s="113"/>
      <c r="I395" s="113"/>
      <c r="J395" s="113"/>
      <c r="K395" s="113"/>
      <c r="L395" s="113"/>
      <c r="M395" s="113"/>
      <c r="N395" s="113"/>
      <c r="O395" s="113"/>
      <c r="P395" s="114"/>
      <c r="BB395" s="2">
        <f t="shared" si="1"/>
        <v>300000</v>
      </c>
    </row>
    <row r="396" spans="2:54" hidden="1" outlineLevel="2">
      <c r="B396" s="2" t="s">
        <v>1152</v>
      </c>
      <c r="D396" s="233">
        <v>0</v>
      </c>
      <c r="E396" s="111" t="s">
        <v>1153</v>
      </c>
      <c r="F396" s="234">
        <v>1327</v>
      </c>
      <c r="G396" s="234">
        <v>1851</v>
      </c>
      <c r="H396" s="234">
        <v>2349</v>
      </c>
      <c r="I396" s="234">
        <v>2911</v>
      </c>
      <c r="J396" s="234">
        <v>3473</v>
      </c>
      <c r="K396" s="234">
        <v>4035</v>
      </c>
      <c r="L396" s="234">
        <v>4597</v>
      </c>
      <c r="M396" s="234">
        <v>5159</v>
      </c>
      <c r="N396" s="234">
        <v>5721</v>
      </c>
      <c r="O396" s="234">
        <v>6283</v>
      </c>
      <c r="P396" s="229">
        <v>6845</v>
      </c>
      <c r="BB396" s="2">
        <f t="shared" ref="BB396:BB459" si="2">BB395+10000</f>
        <v>310000</v>
      </c>
    </row>
    <row r="397" spans="2:54" hidden="1" outlineLevel="2">
      <c r="B397" s="2" t="s">
        <v>1152</v>
      </c>
      <c r="D397" s="233">
        <v>24753</v>
      </c>
      <c r="E397" s="113" t="s">
        <v>1153</v>
      </c>
      <c r="F397" s="235">
        <v>1399</v>
      </c>
      <c r="G397" s="235">
        <v>1851</v>
      </c>
      <c r="H397" s="235">
        <v>2349</v>
      </c>
      <c r="I397" s="235">
        <v>2911</v>
      </c>
      <c r="J397" s="235">
        <v>3473</v>
      </c>
      <c r="K397" s="235">
        <v>4035</v>
      </c>
      <c r="L397" s="235">
        <v>4597</v>
      </c>
      <c r="M397" s="235">
        <v>5159</v>
      </c>
      <c r="N397" s="235">
        <v>5721</v>
      </c>
      <c r="O397" s="235">
        <v>6283</v>
      </c>
      <c r="P397" s="236">
        <v>6845</v>
      </c>
      <c r="BB397" s="2">
        <f t="shared" si="2"/>
        <v>320000</v>
      </c>
    </row>
    <row r="398" spans="2:54" hidden="1" outlineLevel="2">
      <c r="B398" s="2" t="s">
        <v>1152</v>
      </c>
      <c r="D398" s="233">
        <v>34893</v>
      </c>
      <c r="E398" s="111" t="s">
        <v>1153</v>
      </c>
      <c r="F398" s="234">
        <v>1462</v>
      </c>
      <c r="G398" s="234">
        <v>1915</v>
      </c>
      <c r="H398" s="234">
        <v>2413</v>
      </c>
      <c r="I398" s="234">
        <v>2911</v>
      </c>
      <c r="J398" s="234">
        <v>3408</v>
      </c>
      <c r="K398" s="234">
        <v>3906</v>
      </c>
      <c r="L398" s="234">
        <v>4404</v>
      </c>
      <c r="M398" s="234">
        <v>4902</v>
      </c>
      <c r="N398" s="234">
        <v>5400</v>
      </c>
      <c r="O398" s="234">
        <v>5898</v>
      </c>
      <c r="P398" s="229">
        <v>6396</v>
      </c>
      <c r="BB398" s="2">
        <f t="shared" si="2"/>
        <v>330000</v>
      </c>
    </row>
    <row r="399" spans="2:54" hidden="1" outlineLevel="2">
      <c r="B399" s="2" t="s">
        <v>1152</v>
      </c>
      <c r="D399" s="233">
        <v>44573</v>
      </c>
      <c r="E399" s="113" t="s">
        <v>1153</v>
      </c>
      <c r="F399" s="235">
        <v>1585</v>
      </c>
      <c r="G399" s="235">
        <v>2040</v>
      </c>
      <c r="H399" s="235">
        <v>2537</v>
      </c>
      <c r="I399" s="235">
        <v>3034</v>
      </c>
      <c r="J399" s="235">
        <v>3532</v>
      </c>
      <c r="K399" s="235">
        <v>4029</v>
      </c>
      <c r="L399" s="235">
        <v>4526</v>
      </c>
      <c r="M399" s="235">
        <v>5024</v>
      </c>
      <c r="N399" s="235">
        <v>5521</v>
      </c>
      <c r="O399" s="235">
        <v>6018</v>
      </c>
      <c r="P399" s="236">
        <v>6515</v>
      </c>
      <c r="BB399" s="2">
        <f t="shared" si="2"/>
        <v>340000</v>
      </c>
    </row>
    <row r="400" spans="2:54" hidden="1" outlineLevel="2">
      <c r="B400" s="2" t="s">
        <v>1152</v>
      </c>
      <c r="D400" s="233">
        <v>52733</v>
      </c>
      <c r="E400" s="111" t="s">
        <v>1153</v>
      </c>
      <c r="F400" s="234">
        <v>1756</v>
      </c>
      <c r="G400" s="234">
        <v>2215</v>
      </c>
      <c r="H400" s="234">
        <v>2711</v>
      </c>
      <c r="I400" s="234">
        <v>3208</v>
      </c>
      <c r="J400" s="234">
        <v>3704</v>
      </c>
      <c r="K400" s="234">
        <v>4201</v>
      </c>
      <c r="L400" s="234">
        <v>4697</v>
      </c>
      <c r="M400" s="234">
        <v>5194</v>
      </c>
      <c r="N400" s="234">
        <v>5690</v>
      </c>
      <c r="O400" s="234">
        <v>6187</v>
      </c>
      <c r="P400" s="229">
        <v>6683</v>
      </c>
      <c r="BB400" s="2">
        <f t="shared" si="2"/>
        <v>350000</v>
      </c>
    </row>
    <row r="401" spans="2:54" hidden="1" outlineLevel="2">
      <c r="B401" s="2" t="s">
        <v>1152</v>
      </c>
      <c r="D401" s="233">
        <v>61573</v>
      </c>
      <c r="E401" s="113" t="s">
        <v>1153</v>
      </c>
      <c r="F401" s="235">
        <v>2014</v>
      </c>
      <c r="G401" s="235">
        <v>2477</v>
      </c>
      <c r="H401" s="235">
        <v>2973</v>
      </c>
      <c r="I401" s="235">
        <v>3468</v>
      </c>
      <c r="J401" s="235">
        <v>3963</v>
      </c>
      <c r="K401" s="235">
        <v>4458</v>
      </c>
      <c r="L401" s="235">
        <v>4954</v>
      </c>
      <c r="M401" s="235">
        <v>5449</v>
      </c>
      <c r="N401" s="235">
        <v>5944</v>
      </c>
      <c r="O401" s="235">
        <v>6439</v>
      </c>
      <c r="P401" s="236">
        <v>6935</v>
      </c>
      <c r="BB401" s="2">
        <f t="shared" si="2"/>
        <v>360000</v>
      </c>
    </row>
    <row r="402" spans="2:54" hidden="1" outlineLevel="2">
      <c r="B402" s="2" t="s">
        <v>1152</v>
      </c>
      <c r="D402" s="233">
        <v>79253</v>
      </c>
      <c r="E402" s="111" t="s">
        <v>1153</v>
      </c>
      <c r="F402" s="234">
        <v>2392</v>
      </c>
      <c r="G402" s="234">
        <v>2863</v>
      </c>
      <c r="H402" s="234">
        <v>3357</v>
      </c>
      <c r="I402" s="234">
        <v>3850</v>
      </c>
      <c r="J402" s="234">
        <v>4344</v>
      </c>
      <c r="K402" s="234">
        <v>4837</v>
      </c>
      <c r="L402" s="234">
        <v>5331</v>
      </c>
      <c r="M402" s="234">
        <v>5824</v>
      </c>
      <c r="N402" s="234">
        <v>6318</v>
      </c>
      <c r="O402" s="234">
        <v>6811</v>
      </c>
      <c r="P402" s="229">
        <v>7305</v>
      </c>
      <c r="BB402" s="2">
        <f t="shared" si="2"/>
        <v>370000</v>
      </c>
    </row>
    <row r="403" spans="2:54" hidden="1" outlineLevel="2">
      <c r="B403" s="2" t="s">
        <v>1152</v>
      </c>
      <c r="D403" s="233">
        <v>96933</v>
      </c>
      <c r="E403" s="113" t="s">
        <v>1153</v>
      </c>
      <c r="F403" s="235">
        <v>2716</v>
      </c>
      <c r="G403" s="235">
        <v>3194</v>
      </c>
      <c r="H403" s="235">
        <v>3686</v>
      </c>
      <c r="I403" s="235">
        <v>4178</v>
      </c>
      <c r="J403" s="235">
        <v>4670</v>
      </c>
      <c r="K403" s="235">
        <v>5162</v>
      </c>
      <c r="L403" s="235">
        <v>5654</v>
      </c>
      <c r="M403" s="235">
        <v>6146</v>
      </c>
      <c r="N403" s="235">
        <v>6638</v>
      </c>
      <c r="O403" s="235">
        <v>7130</v>
      </c>
      <c r="P403" s="236">
        <v>7622</v>
      </c>
      <c r="BB403" s="2">
        <f t="shared" si="2"/>
        <v>380000</v>
      </c>
    </row>
    <row r="404" spans="2:54" hidden="1" outlineLevel="2">
      <c r="B404" s="2" t="s">
        <v>1152</v>
      </c>
      <c r="C404" s="132"/>
      <c r="D404" s="233">
        <v>113213</v>
      </c>
      <c r="E404" s="111" t="s">
        <v>1153</v>
      </c>
      <c r="F404" s="234">
        <v>3069</v>
      </c>
      <c r="G404" s="234">
        <v>3554</v>
      </c>
      <c r="H404" s="234">
        <v>4045</v>
      </c>
      <c r="I404" s="234">
        <v>4535</v>
      </c>
      <c r="J404" s="234">
        <v>5025</v>
      </c>
      <c r="K404" s="234">
        <v>5516</v>
      </c>
      <c r="L404" s="234">
        <v>6006</v>
      </c>
      <c r="M404" s="234">
        <v>6496</v>
      </c>
      <c r="N404" s="234">
        <v>6987</v>
      </c>
      <c r="O404" s="234">
        <v>7477</v>
      </c>
      <c r="P404" s="229">
        <v>7967</v>
      </c>
      <c r="BB404" s="2">
        <f t="shared" si="2"/>
        <v>390000</v>
      </c>
    </row>
    <row r="405" spans="2:54" hidden="1" outlineLevel="2">
      <c r="B405" s="2" t="s">
        <v>1152</v>
      </c>
      <c r="D405" s="233">
        <v>128463</v>
      </c>
      <c r="E405" s="113" t="s">
        <v>1153</v>
      </c>
      <c r="F405" s="235">
        <v>3275</v>
      </c>
      <c r="G405" s="235">
        <v>3764</v>
      </c>
      <c r="H405" s="235">
        <v>4254</v>
      </c>
      <c r="I405" s="235">
        <v>4743</v>
      </c>
      <c r="J405" s="235">
        <v>5232</v>
      </c>
      <c r="K405" s="235">
        <v>5722</v>
      </c>
      <c r="L405" s="235">
        <v>6211</v>
      </c>
      <c r="M405" s="235">
        <v>6701</v>
      </c>
      <c r="N405" s="235">
        <v>7190</v>
      </c>
      <c r="O405" s="235">
        <v>7679</v>
      </c>
      <c r="P405" s="236">
        <v>8169</v>
      </c>
      <c r="BB405" s="2">
        <f t="shared" si="2"/>
        <v>400000</v>
      </c>
    </row>
    <row r="406" spans="2:54" hidden="1" outlineLevel="2">
      <c r="B406" s="2" t="s">
        <v>1152</v>
      </c>
      <c r="D406" s="233">
        <v>143043</v>
      </c>
      <c r="E406" s="111" t="s">
        <v>1153</v>
      </c>
      <c r="F406" s="234">
        <v>3557</v>
      </c>
      <c r="G406" s="234">
        <v>4052</v>
      </c>
      <c r="H406" s="234">
        <v>4540</v>
      </c>
      <c r="I406" s="234">
        <v>5028</v>
      </c>
      <c r="J406" s="234">
        <v>5516</v>
      </c>
      <c r="K406" s="234">
        <v>6004</v>
      </c>
      <c r="L406" s="234">
        <v>6492</v>
      </c>
      <c r="M406" s="234">
        <v>6980</v>
      </c>
      <c r="N406" s="234">
        <v>7468</v>
      </c>
      <c r="O406" s="234">
        <v>7956</v>
      </c>
      <c r="P406" s="229">
        <v>8444</v>
      </c>
      <c r="BB406" s="2">
        <f t="shared" si="2"/>
        <v>410000</v>
      </c>
    </row>
    <row r="407" spans="2:54" hidden="1" outlineLevel="2">
      <c r="B407" s="2" t="s">
        <v>1152</v>
      </c>
      <c r="D407" s="233">
        <v>170603</v>
      </c>
      <c r="E407" s="113" t="s">
        <v>1153</v>
      </c>
      <c r="F407" s="235">
        <v>4051</v>
      </c>
      <c r="G407" s="235">
        <v>4556</v>
      </c>
      <c r="H407" s="235">
        <v>5041</v>
      </c>
      <c r="I407" s="235">
        <v>5527</v>
      </c>
      <c r="J407" s="235">
        <v>6013</v>
      </c>
      <c r="K407" s="235">
        <v>6499</v>
      </c>
      <c r="L407" s="235">
        <v>6984</v>
      </c>
      <c r="M407" s="235">
        <v>7470</v>
      </c>
      <c r="N407" s="235">
        <v>7956</v>
      </c>
      <c r="O407" s="235">
        <v>8442</v>
      </c>
      <c r="P407" s="236">
        <v>8927</v>
      </c>
      <c r="BB407" s="2">
        <f t="shared" si="2"/>
        <v>420000</v>
      </c>
    </row>
    <row r="408" spans="2:54" hidden="1" outlineLevel="2">
      <c r="B408" s="2" t="s">
        <v>1152</v>
      </c>
      <c r="D408" s="233">
        <v>204523</v>
      </c>
      <c r="E408" s="111" t="s">
        <v>1153</v>
      </c>
      <c r="F408" s="234">
        <v>4791</v>
      </c>
      <c r="G408" s="234">
        <v>5311</v>
      </c>
      <c r="H408" s="234">
        <v>5793</v>
      </c>
      <c r="I408" s="234">
        <v>6275</v>
      </c>
      <c r="J408" s="234">
        <v>6758</v>
      </c>
      <c r="K408" s="234">
        <v>7240</v>
      </c>
      <c r="L408" s="234">
        <v>7722</v>
      </c>
      <c r="M408" s="234">
        <v>8205</v>
      </c>
      <c r="N408" s="234">
        <v>8687</v>
      </c>
      <c r="O408" s="234">
        <v>9169</v>
      </c>
      <c r="P408" s="229">
        <v>9651</v>
      </c>
      <c r="BB408" s="2">
        <f t="shared" si="2"/>
        <v>430000</v>
      </c>
    </row>
    <row r="409" spans="2:54" hidden="1" outlineLevel="2">
      <c r="B409" s="2" t="s">
        <v>1152</v>
      </c>
      <c r="C409" s="124" t="s">
        <v>334</v>
      </c>
      <c r="D409" s="233">
        <v>238443</v>
      </c>
      <c r="E409" s="113" t="s">
        <v>1153</v>
      </c>
      <c r="F409" s="235">
        <v>4883</v>
      </c>
      <c r="G409" s="235">
        <v>5405</v>
      </c>
      <c r="H409" s="235">
        <v>5887</v>
      </c>
      <c r="I409" s="235">
        <v>6369</v>
      </c>
      <c r="J409" s="235">
        <v>6851</v>
      </c>
      <c r="K409" s="235">
        <v>7332</v>
      </c>
      <c r="L409" s="235">
        <v>7814</v>
      </c>
      <c r="M409" s="235">
        <v>8296</v>
      </c>
      <c r="N409" s="235">
        <v>8778</v>
      </c>
      <c r="O409" s="235">
        <v>9260</v>
      </c>
      <c r="P409" s="236">
        <v>9742</v>
      </c>
      <c r="BB409" s="2">
        <f t="shared" si="2"/>
        <v>440000</v>
      </c>
    </row>
    <row r="410" spans="2:54" hidden="1" outlineLevel="2">
      <c r="B410" s="2" t="s">
        <v>860</v>
      </c>
      <c r="BB410" s="2">
        <f t="shared" si="2"/>
        <v>450000</v>
      </c>
    </row>
    <row r="411" spans="2:54" hidden="1" outlineLevel="1">
      <c r="B411" s="2" t="s">
        <v>833</v>
      </c>
      <c r="D411" s="209" t="s">
        <v>843</v>
      </c>
      <c r="E411" s="210" t="s">
        <v>844</v>
      </c>
      <c r="F411" s="210" t="s">
        <v>845</v>
      </c>
      <c r="G411" s="210" t="s">
        <v>846</v>
      </c>
      <c r="H411" s="210" t="s">
        <v>847</v>
      </c>
      <c r="I411" s="210" t="s">
        <v>848</v>
      </c>
      <c r="J411" s="209" t="s">
        <v>849</v>
      </c>
      <c r="K411" s="210" t="s">
        <v>850</v>
      </c>
      <c r="L411" s="210" t="s">
        <v>8055</v>
      </c>
      <c r="M411" s="210" t="s">
        <v>8168</v>
      </c>
      <c r="N411" s="210" t="s">
        <v>8571</v>
      </c>
      <c r="O411" s="210" t="s">
        <v>8755</v>
      </c>
      <c r="P411" s="210" t="s">
        <v>8892</v>
      </c>
      <c r="BB411" s="2">
        <f t="shared" si="2"/>
        <v>460000</v>
      </c>
    </row>
    <row r="412" spans="2:54" hidden="1" outlineLevel="1">
      <c r="B412" s="2" t="s">
        <v>851</v>
      </c>
      <c r="C412" s="132" t="s">
        <v>1156</v>
      </c>
      <c r="D412" s="102" t="s">
        <v>1157</v>
      </c>
      <c r="E412" s="103"/>
      <c r="F412" s="103"/>
      <c r="G412" s="103"/>
      <c r="H412" s="103"/>
      <c r="I412" s="103"/>
      <c r="J412" s="103"/>
      <c r="K412" s="103"/>
      <c r="L412" s="103"/>
      <c r="M412" s="103"/>
      <c r="N412" s="103"/>
      <c r="O412" s="103"/>
      <c r="P412" s="104"/>
      <c r="BB412" s="2">
        <f t="shared" si="2"/>
        <v>470000</v>
      </c>
    </row>
    <row r="413" spans="2:54" hidden="1" outlineLevel="2">
      <c r="B413" s="2" t="s">
        <v>853</v>
      </c>
      <c r="D413" s="113" t="s">
        <v>1144</v>
      </c>
      <c r="E413" s="113" t="b">
        <v>0</v>
      </c>
      <c r="F413" s="113"/>
      <c r="G413" s="113"/>
      <c r="H413" s="113"/>
      <c r="I413" s="113"/>
      <c r="J413" s="113"/>
      <c r="K413" s="113"/>
      <c r="L413" s="113"/>
      <c r="M413" s="113"/>
      <c r="N413" s="113"/>
      <c r="O413" s="113"/>
      <c r="P413" s="114"/>
      <c r="BB413" s="2">
        <f t="shared" si="2"/>
        <v>480000</v>
      </c>
    </row>
    <row r="414" spans="2:54" hidden="1" outlineLevel="2">
      <c r="B414" s="2" t="s">
        <v>1145</v>
      </c>
      <c r="D414" s="113" t="s">
        <v>1146</v>
      </c>
      <c r="E414" s="113"/>
      <c r="F414" s="113"/>
      <c r="G414" s="113"/>
      <c r="H414" s="113"/>
      <c r="I414" s="113"/>
      <c r="J414" s="113"/>
      <c r="K414" s="113"/>
      <c r="L414" s="113"/>
      <c r="M414" s="113"/>
      <c r="N414" s="113"/>
      <c r="O414" s="113"/>
      <c r="P414" s="114"/>
      <c r="BB414" s="2">
        <f t="shared" si="2"/>
        <v>490000</v>
      </c>
    </row>
    <row r="415" spans="2:54" hidden="1" outlineLevel="2">
      <c r="B415" s="2" t="s">
        <v>1147</v>
      </c>
      <c r="C415" s="124" t="s">
        <v>501</v>
      </c>
      <c r="D415" s="138" t="s">
        <v>1148</v>
      </c>
      <c r="E415" s="138" t="s">
        <v>293</v>
      </c>
      <c r="F415" s="138">
        <v>0</v>
      </c>
      <c r="G415" s="138">
        <v>1</v>
      </c>
      <c r="H415" s="138">
        <v>2</v>
      </c>
      <c r="I415" s="138">
        <v>3</v>
      </c>
      <c r="J415" s="138">
        <v>4</v>
      </c>
      <c r="K415" s="138">
        <v>5</v>
      </c>
      <c r="L415" s="138">
        <v>6</v>
      </c>
      <c r="M415" s="138">
        <v>7</v>
      </c>
      <c r="N415" s="138">
        <v>8</v>
      </c>
      <c r="O415" s="138">
        <v>9</v>
      </c>
      <c r="P415" s="138">
        <v>10</v>
      </c>
      <c r="BB415" s="2">
        <f t="shared" si="2"/>
        <v>500000</v>
      </c>
    </row>
    <row r="416" spans="2:54" hidden="1" outlineLevel="2">
      <c r="B416" s="2" t="s">
        <v>1149</v>
      </c>
      <c r="D416" s="113" t="s">
        <v>1150</v>
      </c>
      <c r="E416" s="113" t="s">
        <v>1151</v>
      </c>
      <c r="F416" s="113" t="s">
        <v>1146</v>
      </c>
      <c r="G416" s="113"/>
      <c r="H416" s="113"/>
      <c r="I416" s="113"/>
      <c r="J416" s="113"/>
      <c r="K416" s="113"/>
      <c r="L416" s="113"/>
      <c r="M416" s="113"/>
      <c r="N416" s="113"/>
      <c r="O416" s="113"/>
      <c r="P416" s="114"/>
      <c r="BB416" s="2">
        <f t="shared" si="2"/>
        <v>510000</v>
      </c>
    </row>
    <row r="417" spans="2:54" hidden="1" outlineLevel="2">
      <c r="B417" s="2" t="s">
        <v>1152</v>
      </c>
      <c r="D417" s="1463">
        <v>0</v>
      </c>
      <c r="E417" s="111" t="s">
        <v>1153</v>
      </c>
      <c r="F417" s="234">
        <v>2578</v>
      </c>
      <c r="G417" s="234">
        <v>2993</v>
      </c>
      <c r="H417" s="234">
        <v>3339</v>
      </c>
      <c r="I417" s="234">
        <v>3737</v>
      </c>
      <c r="J417" s="234">
        <v>4135</v>
      </c>
      <c r="K417" s="234">
        <v>4533</v>
      </c>
      <c r="L417" s="234">
        <v>4932</v>
      </c>
      <c r="M417" s="234">
        <v>5330</v>
      </c>
      <c r="N417" s="234">
        <v>5728</v>
      </c>
      <c r="O417" s="234">
        <v>6283</v>
      </c>
      <c r="P417" s="229">
        <v>6845</v>
      </c>
      <c r="BB417" s="2">
        <f t="shared" si="2"/>
        <v>520000</v>
      </c>
    </row>
    <row r="418" spans="2:54" hidden="1" outlineLevel="2">
      <c r="B418" s="2" t="s">
        <v>1152</v>
      </c>
      <c r="D418" s="1464">
        <v>26001</v>
      </c>
      <c r="E418" s="113" t="s">
        <v>1153</v>
      </c>
      <c r="F418" s="235">
        <v>2578</v>
      </c>
      <c r="G418" s="235">
        <v>2993</v>
      </c>
      <c r="H418" s="235">
        <v>3339</v>
      </c>
      <c r="I418" s="235">
        <v>3737</v>
      </c>
      <c r="J418" s="235">
        <v>4135</v>
      </c>
      <c r="K418" s="235">
        <v>4533</v>
      </c>
      <c r="L418" s="235">
        <v>4932</v>
      </c>
      <c r="M418" s="235">
        <v>5330</v>
      </c>
      <c r="N418" s="235">
        <v>5728</v>
      </c>
      <c r="O418" s="235">
        <v>6283</v>
      </c>
      <c r="P418" s="236">
        <v>6845</v>
      </c>
      <c r="BB418" s="2">
        <f t="shared" si="2"/>
        <v>530000</v>
      </c>
    </row>
    <row r="419" spans="2:54" hidden="1" outlineLevel="2">
      <c r="B419" s="2" t="s">
        <v>1152</v>
      </c>
      <c r="D419" s="1464">
        <v>39001</v>
      </c>
      <c r="E419" s="111" t="s">
        <v>1153</v>
      </c>
      <c r="F419" s="234">
        <v>2641</v>
      </c>
      <c r="G419" s="234">
        <v>2993</v>
      </c>
      <c r="H419" s="234">
        <v>3339</v>
      </c>
      <c r="I419" s="234">
        <v>3737</v>
      </c>
      <c r="J419" s="234">
        <v>4135</v>
      </c>
      <c r="K419" s="234">
        <v>4533</v>
      </c>
      <c r="L419" s="234">
        <v>4932</v>
      </c>
      <c r="M419" s="234">
        <v>5330</v>
      </c>
      <c r="N419" s="234">
        <v>5728</v>
      </c>
      <c r="O419" s="234">
        <v>6126</v>
      </c>
      <c r="P419" s="229">
        <v>6524</v>
      </c>
      <c r="BB419" s="2">
        <f t="shared" si="2"/>
        <v>540000</v>
      </c>
    </row>
    <row r="420" spans="2:54" hidden="1" outlineLevel="2">
      <c r="B420" s="2" t="s">
        <v>1152</v>
      </c>
      <c r="D420" s="1464">
        <v>52001</v>
      </c>
      <c r="E420" s="113" t="s">
        <v>1153</v>
      </c>
      <c r="F420" s="235">
        <v>2764</v>
      </c>
      <c r="G420" s="235">
        <v>3116</v>
      </c>
      <c r="H420" s="235">
        <v>3462</v>
      </c>
      <c r="I420" s="235">
        <v>3737</v>
      </c>
      <c r="J420" s="235">
        <v>4012</v>
      </c>
      <c r="K420" s="235">
        <v>4288</v>
      </c>
      <c r="L420" s="235">
        <v>4563</v>
      </c>
      <c r="M420" s="235">
        <v>5024</v>
      </c>
      <c r="N420" s="235">
        <v>5521</v>
      </c>
      <c r="O420" s="235">
        <v>6018</v>
      </c>
      <c r="P420" s="236">
        <v>6515</v>
      </c>
      <c r="BB420" s="2">
        <f t="shared" si="2"/>
        <v>550000</v>
      </c>
    </row>
    <row r="421" spans="2:54" hidden="1" outlineLevel="2">
      <c r="B421" s="2" t="s">
        <v>1152</v>
      </c>
      <c r="D421" s="1464">
        <v>64001</v>
      </c>
      <c r="E421" s="111" t="s">
        <v>1153</v>
      </c>
      <c r="F421" s="234">
        <v>2936</v>
      </c>
      <c r="G421" s="234">
        <v>3287</v>
      </c>
      <c r="H421" s="234">
        <v>3634</v>
      </c>
      <c r="I421" s="234">
        <v>3909</v>
      </c>
      <c r="J421" s="234">
        <v>4183</v>
      </c>
      <c r="K421" s="234">
        <v>4458</v>
      </c>
      <c r="L421" s="234">
        <v>4732</v>
      </c>
      <c r="M421" s="234">
        <v>5194</v>
      </c>
      <c r="N421" s="234">
        <v>5690</v>
      </c>
      <c r="O421" s="234">
        <v>6187</v>
      </c>
      <c r="P421" s="229">
        <v>6683</v>
      </c>
      <c r="BB421" s="2">
        <f t="shared" si="2"/>
        <v>560000</v>
      </c>
    </row>
    <row r="422" spans="2:54" hidden="1" outlineLevel="2">
      <c r="B422" s="2" t="s">
        <v>1152</v>
      </c>
      <c r="D422" s="1464">
        <v>77001</v>
      </c>
      <c r="E422" s="113" t="s">
        <v>1153</v>
      </c>
      <c r="F422" s="235">
        <v>3193</v>
      </c>
      <c r="G422" s="235">
        <v>3543</v>
      </c>
      <c r="H422" s="235">
        <v>3892</v>
      </c>
      <c r="I422" s="235">
        <v>4166</v>
      </c>
      <c r="J422" s="235">
        <v>4439</v>
      </c>
      <c r="K422" s="235">
        <v>4713</v>
      </c>
      <c r="L422" s="235">
        <v>4987</v>
      </c>
      <c r="M422" s="235">
        <v>5449</v>
      </c>
      <c r="N422" s="235">
        <v>5944</v>
      </c>
      <c r="O422" s="235">
        <v>6439</v>
      </c>
      <c r="P422" s="236">
        <v>6935</v>
      </c>
      <c r="BB422" s="2">
        <f t="shared" si="2"/>
        <v>570000</v>
      </c>
    </row>
    <row r="423" spans="2:54" hidden="1" outlineLevel="2">
      <c r="B423" s="2" t="s">
        <v>1152</v>
      </c>
      <c r="D423" s="1464">
        <v>103001</v>
      </c>
      <c r="E423" s="111" t="s">
        <v>1153</v>
      </c>
      <c r="F423" s="234">
        <v>3571</v>
      </c>
      <c r="G423" s="234">
        <v>3921</v>
      </c>
      <c r="H423" s="234">
        <v>4272</v>
      </c>
      <c r="I423" s="234">
        <v>4544</v>
      </c>
      <c r="J423" s="234">
        <v>4816</v>
      </c>
      <c r="K423" s="234">
        <v>5088</v>
      </c>
      <c r="L423" s="234">
        <v>5360</v>
      </c>
      <c r="M423" s="234">
        <v>5824</v>
      </c>
      <c r="N423" s="234">
        <v>6318</v>
      </c>
      <c r="O423" s="234">
        <v>6811</v>
      </c>
      <c r="P423" s="229">
        <v>7305</v>
      </c>
      <c r="BB423" s="2">
        <f t="shared" si="2"/>
        <v>580000</v>
      </c>
    </row>
    <row r="424" spans="2:54" hidden="1" outlineLevel="2">
      <c r="B424" s="2" t="s">
        <v>1152</v>
      </c>
      <c r="D424" s="1464">
        <v>129001</v>
      </c>
      <c r="E424" s="113" t="s">
        <v>1153</v>
      </c>
      <c r="F424" s="235">
        <v>3895</v>
      </c>
      <c r="G424" s="235">
        <v>4244</v>
      </c>
      <c r="H424" s="235">
        <v>4597</v>
      </c>
      <c r="I424" s="235">
        <v>4868</v>
      </c>
      <c r="J424" s="235">
        <v>5139</v>
      </c>
      <c r="K424" s="235">
        <v>5410</v>
      </c>
      <c r="L424" s="235">
        <v>5681</v>
      </c>
      <c r="M424" s="235">
        <v>6146</v>
      </c>
      <c r="N424" s="235">
        <v>6638</v>
      </c>
      <c r="O424" s="235">
        <v>7130</v>
      </c>
      <c r="P424" s="236">
        <v>7622</v>
      </c>
      <c r="BB424" s="2">
        <f t="shared" si="2"/>
        <v>590000</v>
      </c>
    </row>
    <row r="425" spans="2:54" hidden="1" outlineLevel="2">
      <c r="B425" s="2" t="s">
        <v>1152</v>
      </c>
      <c r="C425" s="132"/>
      <c r="D425" s="1464">
        <v>155001</v>
      </c>
      <c r="E425" s="111" t="s">
        <v>1153</v>
      </c>
      <c r="F425" s="234">
        <v>4248</v>
      </c>
      <c r="G425" s="234">
        <v>4596</v>
      </c>
      <c r="H425" s="234">
        <v>4952</v>
      </c>
      <c r="I425" s="234">
        <v>5221</v>
      </c>
      <c r="J425" s="234">
        <v>5491</v>
      </c>
      <c r="K425" s="234">
        <v>5760</v>
      </c>
      <c r="L425" s="234">
        <v>6030</v>
      </c>
      <c r="M425" s="234">
        <v>6496</v>
      </c>
      <c r="N425" s="234">
        <v>6987</v>
      </c>
      <c r="O425" s="234">
        <v>7477</v>
      </c>
      <c r="P425" s="229">
        <v>7967</v>
      </c>
      <c r="BB425" s="2">
        <f t="shared" si="2"/>
        <v>600000</v>
      </c>
    </row>
    <row r="426" spans="2:54" hidden="1" outlineLevel="2">
      <c r="B426" s="2" t="s">
        <v>1152</v>
      </c>
      <c r="D426" s="1464">
        <v>180001</v>
      </c>
      <c r="E426" s="113" t="s">
        <v>1153</v>
      </c>
      <c r="F426" s="235">
        <v>4454</v>
      </c>
      <c r="G426" s="235">
        <v>4802</v>
      </c>
      <c r="H426" s="235">
        <v>5158</v>
      </c>
      <c r="I426" s="235">
        <v>5427</v>
      </c>
      <c r="J426" s="235">
        <v>5696</v>
      </c>
      <c r="K426" s="235">
        <v>5964</v>
      </c>
      <c r="L426" s="235">
        <v>6233</v>
      </c>
      <c r="M426" s="235">
        <v>6701</v>
      </c>
      <c r="N426" s="235">
        <v>7190</v>
      </c>
      <c r="O426" s="235">
        <v>7679</v>
      </c>
      <c r="P426" s="236">
        <v>8169</v>
      </c>
      <c r="BB426" s="2">
        <f t="shared" si="2"/>
        <v>610000</v>
      </c>
    </row>
    <row r="427" spans="2:54" hidden="1" outlineLevel="2">
      <c r="B427" s="2" t="s">
        <v>1152</v>
      </c>
      <c r="D427" s="1464">
        <v>206001</v>
      </c>
      <c r="E427" s="111" t="s">
        <v>1153</v>
      </c>
      <c r="F427" s="234">
        <v>4736</v>
      </c>
      <c r="G427" s="234">
        <v>5083</v>
      </c>
      <c r="H427" s="234">
        <v>5441</v>
      </c>
      <c r="I427" s="234">
        <v>5709</v>
      </c>
      <c r="J427" s="234">
        <v>5976</v>
      </c>
      <c r="K427" s="234">
        <v>6244</v>
      </c>
      <c r="L427" s="234">
        <v>6511</v>
      </c>
      <c r="M427" s="234">
        <v>6980</v>
      </c>
      <c r="N427" s="234">
        <v>7468</v>
      </c>
      <c r="O427" s="234">
        <v>7956</v>
      </c>
      <c r="P427" s="229">
        <v>8444</v>
      </c>
      <c r="BB427" s="2">
        <f t="shared" si="2"/>
        <v>620000</v>
      </c>
    </row>
    <row r="428" spans="2:54" hidden="1" outlineLevel="2">
      <c r="B428" s="2" t="s">
        <v>1152</v>
      </c>
      <c r="D428" s="1464">
        <v>258001</v>
      </c>
      <c r="E428" s="113" t="s">
        <v>1153</v>
      </c>
      <c r="F428" s="235">
        <v>5230</v>
      </c>
      <c r="G428" s="235">
        <v>5576</v>
      </c>
      <c r="H428" s="235">
        <v>5937</v>
      </c>
      <c r="I428" s="235">
        <v>6202</v>
      </c>
      <c r="J428" s="235">
        <v>6468</v>
      </c>
      <c r="K428" s="235">
        <v>6734</v>
      </c>
      <c r="L428" s="235">
        <v>7000</v>
      </c>
      <c r="M428" s="235">
        <v>7470</v>
      </c>
      <c r="N428" s="235">
        <v>7956</v>
      </c>
      <c r="O428" s="235">
        <v>8442</v>
      </c>
      <c r="P428" s="236">
        <v>8927</v>
      </c>
      <c r="BB428" s="2">
        <f t="shared" si="2"/>
        <v>630000</v>
      </c>
    </row>
    <row r="429" spans="2:54" hidden="1" outlineLevel="2">
      <c r="B429" s="2" t="s">
        <v>1152</v>
      </c>
      <c r="D429" s="1464">
        <v>322001</v>
      </c>
      <c r="E429" s="111" t="s">
        <v>1153</v>
      </c>
      <c r="F429" s="234">
        <v>5970</v>
      </c>
      <c r="G429" s="234">
        <v>6314</v>
      </c>
      <c r="H429" s="234">
        <v>6680</v>
      </c>
      <c r="I429" s="234">
        <v>6943</v>
      </c>
      <c r="J429" s="234">
        <v>7206</v>
      </c>
      <c r="K429" s="234">
        <v>7468</v>
      </c>
      <c r="L429" s="234">
        <v>7731</v>
      </c>
      <c r="M429" s="234">
        <v>8205</v>
      </c>
      <c r="N429" s="234">
        <v>8687</v>
      </c>
      <c r="O429" s="234">
        <v>9169</v>
      </c>
      <c r="P429" s="229">
        <v>9651</v>
      </c>
      <c r="BB429" s="2">
        <f t="shared" si="2"/>
        <v>640000</v>
      </c>
    </row>
    <row r="430" spans="2:54" hidden="1" outlineLevel="2">
      <c r="B430" s="2" t="s">
        <v>1152</v>
      </c>
      <c r="C430" s="124" t="s">
        <v>502</v>
      </c>
      <c r="D430" s="1464">
        <v>386001</v>
      </c>
      <c r="E430" s="113" t="s">
        <v>1153</v>
      </c>
      <c r="F430" s="235">
        <v>6063</v>
      </c>
      <c r="G430" s="235">
        <v>6406</v>
      </c>
      <c r="H430" s="235">
        <v>6772</v>
      </c>
      <c r="I430" s="235">
        <v>7035</v>
      </c>
      <c r="J430" s="235">
        <v>7297</v>
      </c>
      <c r="K430" s="235">
        <v>7560</v>
      </c>
      <c r="L430" s="235">
        <v>7822</v>
      </c>
      <c r="M430" s="235">
        <v>8296</v>
      </c>
      <c r="N430" s="235">
        <v>8778</v>
      </c>
      <c r="O430" s="235">
        <v>9260</v>
      </c>
      <c r="P430" s="236">
        <v>9742</v>
      </c>
      <c r="BB430" s="2">
        <f t="shared" si="2"/>
        <v>650000</v>
      </c>
    </row>
    <row r="431" spans="2:54" hidden="1" outlineLevel="2">
      <c r="B431" s="2" t="s">
        <v>860</v>
      </c>
      <c r="BB431" s="2">
        <f t="shared" si="2"/>
        <v>660000</v>
      </c>
    </row>
    <row r="432" spans="2:54" hidden="1" outlineLevel="1">
      <c r="B432" s="2" t="s">
        <v>833</v>
      </c>
      <c r="D432" s="209" t="s">
        <v>843</v>
      </c>
      <c r="E432" s="210" t="s">
        <v>844</v>
      </c>
      <c r="F432" s="210" t="s">
        <v>845</v>
      </c>
      <c r="G432" s="210" t="s">
        <v>846</v>
      </c>
      <c r="H432" s="210" t="s">
        <v>847</v>
      </c>
      <c r="I432" s="210" t="s">
        <v>848</v>
      </c>
      <c r="J432" s="209" t="s">
        <v>849</v>
      </c>
      <c r="K432" s="210" t="s">
        <v>850</v>
      </c>
      <c r="L432" s="210" t="s">
        <v>8055</v>
      </c>
      <c r="M432" s="210" t="s">
        <v>8168</v>
      </c>
      <c r="N432" s="210" t="s">
        <v>8571</v>
      </c>
      <c r="O432" s="210" t="s">
        <v>8755</v>
      </c>
      <c r="P432" s="210" t="s">
        <v>8892</v>
      </c>
      <c r="BB432" s="2">
        <f t="shared" si="2"/>
        <v>670000</v>
      </c>
    </row>
    <row r="433" spans="2:54" hidden="1" outlineLevel="1">
      <c r="B433" s="2" t="s">
        <v>851</v>
      </c>
      <c r="C433" s="132" t="s">
        <v>1158</v>
      </c>
      <c r="D433" s="102" t="s">
        <v>1159</v>
      </c>
      <c r="E433" s="103"/>
      <c r="F433" s="103"/>
      <c r="G433" s="103"/>
      <c r="H433" s="103"/>
      <c r="I433" s="103"/>
      <c r="J433" s="103"/>
      <c r="K433" s="103"/>
      <c r="L433" s="103"/>
      <c r="M433" s="103"/>
      <c r="N433" s="103"/>
      <c r="O433" s="103"/>
      <c r="P433" s="104"/>
      <c r="BB433" s="2">
        <f t="shared" si="2"/>
        <v>680000</v>
      </c>
    </row>
    <row r="434" spans="2:54" hidden="1" outlineLevel="2">
      <c r="B434" s="2" t="s">
        <v>853</v>
      </c>
      <c r="D434" s="113" t="s">
        <v>1144</v>
      </c>
      <c r="E434" s="113" t="b">
        <v>0</v>
      </c>
      <c r="F434" s="113"/>
      <c r="G434" s="113"/>
      <c r="H434" s="113"/>
      <c r="I434" s="113"/>
      <c r="J434" s="113"/>
      <c r="K434" s="113"/>
      <c r="L434" s="113"/>
      <c r="M434" s="113"/>
      <c r="N434" s="113"/>
      <c r="O434" s="113"/>
      <c r="P434" s="114"/>
      <c r="BB434" s="2">
        <f t="shared" si="2"/>
        <v>690000</v>
      </c>
    </row>
    <row r="435" spans="2:54" hidden="1" outlineLevel="2">
      <c r="B435" s="2" t="s">
        <v>1145</v>
      </c>
      <c r="D435" s="113" t="s">
        <v>1146</v>
      </c>
      <c r="E435" s="113"/>
      <c r="F435" s="113"/>
      <c r="G435" s="113"/>
      <c r="H435" s="113"/>
      <c r="I435" s="113"/>
      <c r="J435" s="113"/>
      <c r="K435" s="113"/>
      <c r="L435" s="113"/>
      <c r="M435" s="113"/>
      <c r="N435" s="113"/>
      <c r="O435" s="113"/>
      <c r="P435" s="114"/>
      <c r="BB435" s="2">
        <f t="shared" si="2"/>
        <v>700000</v>
      </c>
    </row>
    <row r="436" spans="2:54" hidden="1" outlineLevel="2">
      <c r="B436" s="2" t="s">
        <v>1147</v>
      </c>
      <c r="C436" s="124" t="s">
        <v>503</v>
      </c>
      <c r="D436" s="138" t="s">
        <v>1148</v>
      </c>
      <c r="E436" s="138" t="s">
        <v>293</v>
      </c>
      <c r="F436" s="138">
        <v>0</v>
      </c>
      <c r="G436" s="138">
        <v>1</v>
      </c>
      <c r="H436" s="138">
        <v>2</v>
      </c>
      <c r="I436" s="138">
        <v>3</v>
      </c>
      <c r="J436" s="138">
        <v>4</v>
      </c>
      <c r="K436" s="138">
        <v>5</v>
      </c>
      <c r="L436" s="138">
        <v>6</v>
      </c>
      <c r="M436" s="138">
        <v>7</v>
      </c>
      <c r="N436" s="138">
        <v>8</v>
      </c>
      <c r="O436" s="138">
        <v>9</v>
      </c>
      <c r="P436" s="138">
        <v>10</v>
      </c>
      <c r="BB436" s="2">
        <f t="shared" si="2"/>
        <v>710000</v>
      </c>
    </row>
    <row r="437" spans="2:54" hidden="1" outlineLevel="2">
      <c r="B437" s="2" t="s">
        <v>1149</v>
      </c>
      <c r="D437" s="113" t="s">
        <v>1150</v>
      </c>
      <c r="E437" s="113" t="s">
        <v>1151</v>
      </c>
      <c r="F437" s="113" t="s">
        <v>1146</v>
      </c>
      <c r="G437" s="113"/>
      <c r="H437" s="113"/>
      <c r="I437" s="113"/>
      <c r="J437" s="113"/>
      <c r="K437" s="113"/>
      <c r="L437" s="113"/>
      <c r="M437" s="113"/>
      <c r="N437" s="113"/>
      <c r="O437" s="113"/>
      <c r="P437" s="114"/>
      <c r="BB437" s="2">
        <f t="shared" si="2"/>
        <v>720000</v>
      </c>
    </row>
    <row r="438" spans="2:54" hidden="1" outlineLevel="2">
      <c r="B438" s="2" t="s">
        <v>1152</v>
      </c>
      <c r="D438" s="233">
        <v>0</v>
      </c>
      <c r="E438" s="111" t="s">
        <v>1153</v>
      </c>
      <c r="F438" s="234">
        <v>1327</v>
      </c>
      <c r="G438" s="234">
        <v>1851</v>
      </c>
      <c r="H438" s="234">
        <v>2349</v>
      </c>
      <c r="I438" s="234">
        <v>2911</v>
      </c>
      <c r="J438" s="234">
        <v>3473</v>
      </c>
      <c r="K438" s="234">
        <v>4035</v>
      </c>
      <c r="L438" s="234">
        <v>4597</v>
      </c>
      <c r="M438" s="234">
        <v>5159</v>
      </c>
      <c r="N438" s="234">
        <v>5721</v>
      </c>
      <c r="O438" s="234">
        <v>6283</v>
      </c>
      <c r="P438" s="229">
        <v>6845</v>
      </c>
      <c r="BB438" s="2">
        <f t="shared" si="2"/>
        <v>730000</v>
      </c>
    </row>
    <row r="439" spans="2:54" hidden="1" outlineLevel="2">
      <c r="B439" s="2" t="s">
        <v>1152</v>
      </c>
      <c r="D439" s="233">
        <v>26001</v>
      </c>
      <c r="E439" s="113" t="s">
        <v>1153</v>
      </c>
      <c r="F439" s="235">
        <v>1399</v>
      </c>
      <c r="G439" s="235">
        <v>1851</v>
      </c>
      <c r="H439" s="235">
        <v>2349</v>
      </c>
      <c r="I439" s="235">
        <v>2911</v>
      </c>
      <c r="J439" s="235">
        <v>3473</v>
      </c>
      <c r="K439" s="235">
        <v>4035</v>
      </c>
      <c r="L439" s="235">
        <v>4597</v>
      </c>
      <c r="M439" s="235">
        <v>5159</v>
      </c>
      <c r="N439" s="235">
        <v>5721</v>
      </c>
      <c r="O439" s="235">
        <v>6283</v>
      </c>
      <c r="P439" s="236">
        <v>6845</v>
      </c>
      <c r="BB439" s="2">
        <f t="shared" si="2"/>
        <v>740000</v>
      </c>
    </row>
    <row r="440" spans="2:54" hidden="1" outlineLevel="2">
      <c r="B440" s="2" t="s">
        <v>1152</v>
      </c>
      <c r="D440" s="233">
        <v>39001</v>
      </c>
      <c r="E440" s="111" t="s">
        <v>1153</v>
      </c>
      <c r="F440" s="234">
        <v>1462</v>
      </c>
      <c r="G440" s="234">
        <v>1915</v>
      </c>
      <c r="H440" s="234">
        <v>2413</v>
      </c>
      <c r="I440" s="234">
        <v>2911</v>
      </c>
      <c r="J440" s="234">
        <v>3408</v>
      </c>
      <c r="K440" s="234">
        <v>3906</v>
      </c>
      <c r="L440" s="234">
        <v>4404</v>
      </c>
      <c r="M440" s="234">
        <v>4902</v>
      </c>
      <c r="N440" s="234">
        <v>5400</v>
      </c>
      <c r="O440" s="234">
        <v>5898</v>
      </c>
      <c r="P440" s="229">
        <v>6396</v>
      </c>
      <c r="BB440" s="2">
        <f t="shared" si="2"/>
        <v>750000</v>
      </c>
    </row>
    <row r="441" spans="2:54" hidden="1" outlineLevel="2">
      <c r="B441" s="2" t="s">
        <v>1152</v>
      </c>
      <c r="D441" s="233">
        <v>52001</v>
      </c>
      <c r="E441" s="113" t="s">
        <v>1153</v>
      </c>
      <c r="F441" s="235">
        <v>1585</v>
      </c>
      <c r="G441" s="235">
        <v>2040</v>
      </c>
      <c r="H441" s="235">
        <v>2537</v>
      </c>
      <c r="I441" s="235">
        <v>3034</v>
      </c>
      <c r="J441" s="235">
        <v>3532</v>
      </c>
      <c r="K441" s="235">
        <v>4029</v>
      </c>
      <c r="L441" s="235">
        <v>4526</v>
      </c>
      <c r="M441" s="235">
        <v>5024</v>
      </c>
      <c r="N441" s="235">
        <v>5521</v>
      </c>
      <c r="O441" s="235">
        <v>6018</v>
      </c>
      <c r="P441" s="236">
        <v>6515</v>
      </c>
      <c r="BB441" s="2">
        <f t="shared" si="2"/>
        <v>760000</v>
      </c>
    </row>
    <row r="442" spans="2:54" hidden="1" outlineLevel="2">
      <c r="B442" s="2" t="s">
        <v>1152</v>
      </c>
      <c r="D442" s="233">
        <v>64001</v>
      </c>
      <c r="E442" s="111" t="s">
        <v>1153</v>
      </c>
      <c r="F442" s="234">
        <v>1756</v>
      </c>
      <c r="G442" s="234">
        <v>2215</v>
      </c>
      <c r="H442" s="234">
        <v>2711</v>
      </c>
      <c r="I442" s="234">
        <v>3208</v>
      </c>
      <c r="J442" s="234">
        <v>3704</v>
      </c>
      <c r="K442" s="234">
        <v>4201</v>
      </c>
      <c r="L442" s="234">
        <v>4697</v>
      </c>
      <c r="M442" s="234">
        <v>5194</v>
      </c>
      <c r="N442" s="234">
        <v>5690</v>
      </c>
      <c r="O442" s="234">
        <v>6187</v>
      </c>
      <c r="P442" s="229">
        <v>6683</v>
      </c>
      <c r="BB442" s="2">
        <f t="shared" si="2"/>
        <v>770000</v>
      </c>
    </row>
    <row r="443" spans="2:54" hidden="1" outlineLevel="2">
      <c r="B443" s="2" t="s">
        <v>1152</v>
      </c>
      <c r="D443" s="233">
        <v>77001</v>
      </c>
      <c r="E443" s="113" t="s">
        <v>1153</v>
      </c>
      <c r="F443" s="235">
        <v>2014</v>
      </c>
      <c r="G443" s="235">
        <v>2477</v>
      </c>
      <c r="H443" s="235">
        <v>2973</v>
      </c>
      <c r="I443" s="235">
        <v>3468</v>
      </c>
      <c r="J443" s="235">
        <v>3963</v>
      </c>
      <c r="K443" s="235">
        <v>4458</v>
      </c>
      <c r="L443" s="235">
        <v>4954</v>
      </c>
      <c r="M443" s="235">
        <v>5449</v>
      </c>
      <c r="N443" s="235">
        <v>5944</v>
      </c>
      <c r="O443" s="235">
        <v>6439</v>
      </c>
      <c r="P443" s="236">
        <v>6935</v>
      </c>
      <c r="BB443" s="2">
        <f t="shared" si="2"/>
        <v>780000</v>
      </c>
    </row>
    <row r="444" spans="2:54" hidden="1" outlineLevel="2">
      <c r="B444" s="2" t="s">
        <v>1152</v>
      </c>
      <c r="D444" s="233">
        <v>103001</v>
      </c>
      <c r="E444" s="111" t="s">
        <v>1153</v>
      </c>
      <c r="F444" s="234">
        <v>2392</v>
      </c>
      <c r="G444" s="234">
        <v>2863</v>
      </c>
      <c r="H444" s="234">
        <v>3357</v>
      </c>
      <c r="I444" s="234">
        <v>3850</v>
      </c>
      <c r="J444" s="234">
        <v>4344</v>
      </c>
      <c r="K444" s="234">
        <v>4837</v>
      </c>
      <c r="L444" s="234">
        <v>5331</v>
      </c>
      <c r="M444" s="234">
        <v>5824</v>
      </c>
      <c r="N444" s="234">
        <v>6318</v>
      </c>
      <c r="O444" s="234">
        <v>6811</v>
      </c>
      <c r="P444" s="229">
        <v>7305</v>
      </c>
      <c r="BB444" s="2">
        <f t="shared" si="2"/>
        <v>790000</v>
      </c>
    </row>
    <row r="445" spans="2:54" hidden="1" outlineLevel="2">
      <c r="B445" s="2" t="s">
        <v>1152</v>
      </c>
      <c r="D445" s="233">
        <v>129001</v>
      </c>
      <c r="E445" s="113" t="s">
        <v>1153</v>
      </c>
      <c r="F445" s="235">
        <v>2716</v>
      </c>
      <c r="G445" s="235">
        <v>3194</v>
      </c>
      <c r="H445" s="235">
        <v>3686</v>
      </c>
      <c r="I445" s="235">
        <v>4178</v>
      </c>
      <c r="J445" s="235">
        <v>4670</v>
      </c>
      <c r="K445" s="235">
        <v>5162</v>
      </c>
      <c r="L445" s="235">
        <v>5654</v>
      </c>
      <c r="M445" s="235">
        <v>6146</v>
      </c>
      <c r="N445" s="235">
        <v>6638</v>
      </c>
      <c r="O445" s="235">
        <v>7130</v>
      </c>
      <c r="P445" s="236">
        <v>7622</v>
      </c>
      <c r="BB445" s="2">
        <f t="shared" si="2"/>
        <v>800000</v>
      </c>
    </row>
    <row r="446" spans="2:54" hidden="1" outlineLevel="2">
      <c r="B446" s="2" t="s">
        <v>1152</v>
      </c>
      <c r="C446" s="132"/>
      <c r="D446" s="233">
        <v>155001</v>
      </c>
      <c r="E446" s="111" t="s">
        <v>1153</v>
      </c>
      <c r="F446" s="234">
        <v>3069</v>
      </c>
      <c r="G446" s="234">
        <v>3554</v>
      </c>
      <c r="H446" s="234">
        <v>4045</v>
      </c>
      <c r="I446" s="234">
        <v>4535</v>
      </c>
      <c r="J446" s="234">
        <v>5025</v>
      </c>
      <c r="K446" s="234">
        <v>5516</v>
      </c>
      <c r="L446" s="234">
        <v>6006</v>
      </c>
      <c r="M446" s="234">
        <v>6496</v>
      </c>
      <c r="N446" s="234">
        <v>6987</v>
      </c>
      <c r="O446" s="234">
        <v>7477</v>
      </c>
      <c r="P446" s="229">
        <v>7967</v>
      </c>
      <c r="BB446" s="2">
        <f t="shared" si="2"/>
        <v>810000</v>
      </c>
    </row>
    <row r="447" spans="2:54" hidden="1" outlineLevel="2">
      <c r="B447" s="2" t="s">
        <v>1152</v>
      </c>
      <c r="D447" s="233">
        <v>180001</v>
      </c>
      <c r="E447" s="113" t="s">
        <v>1153</v>
      </c>
      <c r="F447" s="235">
        <v>3275</v>
      </c>
      <c r="G447" s="235">
        <v>3764</v>
      </c>
      <c r="H447" s="235">
        <v>4254</v>
      </c>
      <c r="I447" s="235">
        <v>4743</v>
      </c>
      <c r="J447" s="235">
        <v>5232</v>
      </c>
      <c r="K447" s="235">
        <v>5722</v>
      </c>
      <c r="L447" s="235">
        <v>6211</v>
      </c>
      <c r="M447" s="235">
        <v>6701</v>
      </c>
      <c r="N447" s="235">
        <v>7190</v>
      </c>
      <c r="O447" s="235">
        <v>7679</v>
      </c>
      <c r="P447" s="236">
        <v>8169</v>
      </c>
      <c r="BB447" s="2">
        <f t="shared" si="2"/>
        <v>820000</v>
      </c>
    </row>
    <row r="448" spans="2:54" hidden="1" outlineLevel="2">
      <c r="B448" s="2" t="s">
        <v>1152</v>
      </c>
      <c r="D448" s="233">
        <v>206001</v>
      </c>
      <c r="E448" s="111" t="s">
        <v>1153</v>
      </c>
      <c r="F448" s="234">
        <v>3557</v>
      </c>
      <c r="G448" s="234">
        <v>4052</v>
      </c>
      <c r="H448" s="234">
        <v>4540</v>
      </c>
      <c r="I448" s="234">
        <v>5028</v>
      </c>
      <c r="J448" s="234">
        <v>5516</v>
      </c>
      <c r="K448" s="234">
        <v>6004</v>
      </c>
      <c r="L448" s="234">
        <v>6492</v>
      </c>
      <c r="M448" s="234">
        <v>6980</v>
      </c>
      <c r="N448" s="234">
        <v>7468</v>
      </c>
      <c r="O448" s="234">
        <v>7956</v>
      </c>
      <c r="P448" s="229">
        <v>8444</v>
      </c>
      <c r="BB448" s="2">
        <f t="shared" si="2"/>
        <v>830000</v>
      </c>
    </row>
    <row r="449" spans="2:54" hidden="1" outlineLevel="2">
      <c r="B449" s="2" t="s">
        <v>1152</v>
      </c>
      <c r="D449" s="233">
        <v>258001</v>
      </c>
      <c r="E449" s="113" t="s">
        <v>1153</v>
      </c>
      <c r="F449" s="235">
        <v>4051</v>
      </c>
      <c r="G449" s="235">
        <v>4556</v>
      </c>
      <c r="H449" s="235">
        <v>5041</v>
      </c>
      <c r="I449" s="235">
        <v>5527</v>
      </c>
      <c r="J449" s="235">
        <v>6013</v>
      </c>
      <c r="K449" s="235">
        <v>6499</v>
      </c>
      <c r="L449" s="235">
        <v>6984</v>
      </c>
      <c r="M449" s="235">
        <v>7470</v>
      </c>
      <c r="N449" s="235">
        <v>7956</v>
      </c>
      <c r="O449" s="235">
        <v>8442</v>
      </c>
      <c r="P449" s="236">
        <v>8927</v>
      </c>
      <c r="BB449" s="2">
        <f t="shared" si="2"/>
        <v>840000</v>
      </c>
    </row>
    <row r="450" spans="2:54" hidden="1" outlineLevel="2">
      <c r="B450" s="2" t="s">
        <v>1152</v>
      </c>
      <c r="D450" s="233">
        <v>322001</v>
      </c>
      <c r="E450" s="111" t="s">
        <v>1153</v>
      </c>
      <c r="F450" s="234">
        <v>4791</v>
      </c>
      <c r="G450" s="234">
        <v>5311</v>
      </c>
      <c r="H450" s="234">
        <v>5793</v>
      </c>
      <c r="I450" s="234">
        <v>6275</v>
      </c>
      <c r="J450" s="234">
        <v>6758</v>
      </c>
      <c r="K450" s="234">
        <v>7240</v>
      </c>
      <c r="L450" s="234">
        <v>7722</v>
      </c>
      <c r="M450" s="234">
        <v>8205</v>
      </c>
      <c r="N450" s="234">
        <v>8687</v>
      </c>
      <c r="O450" s="234">
        <v>9169</v>
      </c>
      <c r="P450" s="229">
        <v>9651</v>
      </c>
      <c r="BB450" s="2">
        <f t="shared" si="2"/>
        <v>850000</v>
      </c>
    </row>
    <row r="451" spans="2:54" hidden="1" outlineLevel="2">
      <c r="B451" s="2" t="s">
        <v>1152</v>
      </c>
      <c r="C451" s="124" t="s">
        <v>504</v>
      </c>
      <c r="D451" s="233">
        <v>386001</v>
      </c>
      <c r="E451" s="113" t="s">
        <v>1153</v>
      </c>
      <c r="F451" s="235">
        <v>4883</v>
      </c>
      <c r="G451" s="235">
        <v>5405</v>
      </c>
      <c r="H451" s="235">
        <v>5887</v>
      </c>
      <c r="I451" s="235">
        <v>6369</v>
      </c>
      <c r="J451" s="235">
        <v>6851</v>
      </c>
      <c r="K451" s="235">
        <v>7332</v>
      </c>
      <c r="L451" s="235">
        <v>7814</v>
      </c>
      <c r="M451" s="235">
        <v>8296</v>
      </c>
      <c r="N451" s="235">
        <v>8778</v>
      </c>
      <c r="O451" s="235">
        <v>9260</v>
      </c>
      <c r="P451" s="236">
        <v>9742</v>
      </c>
      <c r="BB451" s="2">
        <f t="shared" si="2"/>
        <v>860000</v>
      </c>
    </row>
    <row r="452" spans="2:54" hidden="1" outlineLevel="2">
      <c r="B452" s="2" t="s">
        <v>860</v>
      </c>
      <c r="BB452" s="2">
        <f t="shared" si="2"/>
        <v>870000</v>
      </c>
    </row>
    <row r="453" spans="2:54" collapsed="1">
      <c r="B453" s="2" t="s">
        <v>833</v>
      </c>
      <c r="C453" s="208" t="s">
        <v>1160</v>
      </c>
      <c r="D453" s="209" t="s">
        <v>843</v>
      </c>
      <c r="E453" s="210" t="s">
        <v>844</v>
      </c>
      <c r="F453" s="210" t="s">
        <v>845</v>
      </c>
      <c r="G453" s="210" t="s">
        <v>846</v>
      </c>
      <c r="H453" s="210" t="s">
        <v>847</v>
      </c>
      <c r="I453" s="210" t="s">
        <v>848</v>
      </c>
      <c r="J453" s="210" t="s">
        <v>849</v>
      </c>
      <c r="K453" s="210" t="s">
        <v>850</v>
      </c>
      <c r="L453" s="210" t="s">
        <v>8055</v>
      </c>
      <c r="M453" s="210" t="s">
        <v>8168</v>
      </c>
      <c r="N453" s="210" t="s">
        <v>8571</v>
      </c>
      <c r="O453" s="210" t="s">
        <v>8755</v>
      </c>
      <c r="P453" s="210" t="s">
        <v>8892</v>
      </c>
    </row>
    <row r="454" spans="2:54" hidden="1" outlineLevel="1">
      <c r="B454" s="2" t="s">
        <v>833</v>
      </c>
      <c r="BB454" s="2">
        <f t="shared" si="2"/>
        <v>10000</v>
      </c>
    </row>
    <row r="455" spans="2:54" hidden="1" outlineLevel="1" collapsed="1">
      <c r="B455" s="2" t="s">
        <v>870</v>
      </c>
      <c r="C455" s="132" t="s">
        <v>1161</v>
      </c>
      <c r="D455" s="102" t="s">
        <v>1162</v>
      </c>
      <c r="E455" s="103" t="s">
        <v>164</v>
      </c>
      <c r="F455" s="104"/>
      <c r="BB455" s="2">
        <f t="shared" si="2"/>
        <v>20000</v>
      </c>
    </row>
    <row r="456" spans="2:54" hidden="1" outlineLevel="2">
      <c r="B456" s="2" t="s">
        <v>833</v>
      </c>
      <c r="C456" s="124"/>
      <c r="D456" s="145" t="s">
        <v>1163</v>
      </c>
      <c r="E456" s="145" t="s">
        <v>1164</v>
      </c>
      <c r="F456" s="225" t="s">
        <v>1165</v>
      </c>
      <c r="BB456" s="2">
        <f t="shared" si="2"/>
        <v>30000</v>
      </c>
    </row>
    <row r="457" spans="2:54" ht="16" hidden="1" outlineLevel="2">
      <c r="B457" s="2" t="s">
        <v>874</v>
      </c>
      <c r="C457" s="105"/>
      <c r="D457" s="138" t="s">
        <v>1166</v>
      </c>
      <c r="E457" s="138" t="s">
        <v>1167</v>
      </c>
      <c r="F457" s="218" t="s">
        <v>1168</v>
      </c>
      <c r="BB457" s="2">
        <f t="shared" si="2"/>
        <v>40000</v>
      </c>
    </row>
    <row r="458" spans="2:54" hidden="1" outlineLevel="2">
      <c r="B458" s="2" t="s">
        <v>876</v>
      </c>
      <c r="D458" s="112">
        <v>1</v>
      </c>
      <c r="E458" s="112" t="s">
        <v>1169</v>
      </c>
      <c r="F458" s="229" t="s">
        <v>1170</v>
      </c>
      <c r="BB458" s="2">
        <f t="shared" si="2"/>
        <v>50000</v>
      </c>
    </row>
    <row r="459" spans="2:54" hidden="1" outlineLevel="2">
      <c r="B459" s="2" t="s">
        <v>876</v>
      </c>
      <c r="D459" s="114">
        <v>2</v>
      </c>
      <c r="E459" s="114" t="s">
        <v>605</v>
      </c>
      <c r="F459" s="236" t="s">
        <v>1171</v>
      </c>
      <c r="BB459" s="2">
        <f t="shared" si="2"/>
        <v>60000</v>
      </c>
    </row>
    <row r="460" spans="2:54" hidden="1" outlineLevel="2">
      <c r="B460" s="2" t="s">
        <v>876</v>
      </c>
      <c r="D460" s="112">
        <v>3</v>
      </c>
      <c r="E460" s="112" t="s">
        <v>110</v>
      </c>
      <c r="F460" s="229" t="s">
        <v>1172</v>
      </c>
      <c r="BB460" s="2">
        <f t="shared" ref="BB460:BB523" si="3">BB459+10000</f>
        <v>70000</v>
      </c>
    </row>
    <row r="461" spans="2:54" hidden="1" outlineLevel="2">
      <c r="B461" s="2" t="s">
        <v>876</v>
      </c>
      <c r="D461" s="114">
        <v>4</v>
      </c>
      <c r="E461" s="114" t="s">
        <v>567</v>
      </c>
      <c r="F461" s="236" t="s">
        <v>1173</v>
      </c>
      <c r="BB461" s="2">
        <f t="shared" si="3"/>
        <v>80000</v>
      </c>
    </row>
    <row r="462" spans="2:54" hidden="1" outlineLevel="2">
      <c r="B462" s="2" t="s">
        <v>876</v>
      </c>
      <c r="D462" s="112">
        <v>5</v>
      </c>
      <c r="E462" s="112" t="s">
        <v>1174</v>
      </c>
      <c r="F462" s="229" t="s">
        <v>1175</v>
      </c>
      <c r="BB462" s="2">
        <f t="shared" si="3"/>
        <v>90000</v>
      </c>
    </row>
    <row r="463" spans="2:54" hidden="1" outlineLevel="2">
      <c r="B463" s="2" t="s">
        <v>876</v>
      </c>
      <c r="D463" s="114">
        <v>6</v>
      </c>
      <c r="E463" s="114" t="s">
        <v>573</v>
      </c>
      <c r="F463" s="236" t="s">
        <v>1176</v>
      </c>
      <c r="BB463" s="2">
        <f t="shared" si="3"/>
        <v>100000</v>
      </c>
    </row>
    <row r="464" spans="2:54" hidden="1" outlineLevel="2">
      <c r="B464" s="2" t="s">
        <v>876</v>
      </c>
      <c r="D464" s="112">
        <v>7</v>
      </c>
      <c r="E464" s="112" t="s">
        <v>1177</v>
      </c>
      <c r="F464" s="229" t="s">
        <v>1178</v>
      </c>
      <c r="BB464" s="2">
        <f t="shared" si="3"/>
        <v>110000</v>
      </c>
    </row>
    <row r="465" spans="2:54" hidden="1" outlineLevel="2">
      <c r="B465" s="2" t="s">
        <v>876</v>
      </c>
      <c r="C465" s="105"/>
      <c r="D465" s="114">
        <v>8</v>
      </c>
      <c r="E465" s="114" t="s">
        <v>107</v>
      </c>
      <c r="F465" s="236" t="s">
        <v>1179</v>
      </c>
      <c r="BB465" s="2">
        <f t="shared" si="3"/>
        <v>120000</v>
      </c>
    </row>
    <row r="466" spans="2:54" hidden="1" outlineLevel="2">
      <c r="B466" s="2" t="s">
        <v>889</v>
      </c>
      <c r="BB466" s="2">
        <f t="shared" si="3"/>
        <v>130000</v>
      </c>
    </row>
    <row r="467" spans="2:54" hidden="1" outlineLevel="1" collapsed="1">
      <c r="B467" s="2" t="s">
        <v>870</v>
      </c>
      <c r="C467" s="132" t="s">
        <v>1180</v>
      </c>
      <c r="D467" s="102" t="s">
        <v>1181</v>
      </c>
      <c r="E467" s="103" t="s">
        <v>164</v>
      </c>
      <c r="F467" s="104" t="s">
        <v>164</v>
      </c>
      <c r="BB467" s="2">
        <f t="shared" si="3"/>
        <v>140000</v>
      </c>
    </row>
    <row r="468" spans="2:54" hidden="1" outlineLevel="2">
      <c r="B468" s="2" t="s">
        <v>833</v>
      </c>
      <c r="C468" s="124"/>
      <c r="D468" s="145" t="s">
        <v>1163</v>
      </c>
      <c r="E468" s="145" t="s">
        <v>1182</v>
      </c>
      <c r="F468" s="225" t="s">
        <v>1183</v>
      </c>
      <c r="BB468" s="2">
        <f t="shared" si="3"/>
        <v>150000</v>
      </c>
    </row>
    <row r="469" spans="2:54" ht="16" hidden="1" outlineLevel="2">
      <c r="B469" s="2" t="s">
        <v>874</v>
      </c>
      <c r="C469" s="105"/>
      <c r="D469" s="138" t="s">
        <v>1166</v>
      </c>
      <c r="E469" s="138" t="s">
        <v>1167</v>
      </c>
      <c r="F469" s="218" t="s">
        <v>1168</v>
      </c>
      <c r="BB469" s="2">
        <f t="shared" si="3"/>
        <v>160000</v>
      </c>
    </row>
    <row r="470" spans="2:54" hidden="1" outlineLevel="2">
      <c r="B470" s="2" t="s">
        <v>876</v>
      </c>
      <c r="D470" s="112">
        <v>0</v>
      </c>
      <c r="E470" s="112" t="s">
        <v>1184</v>
      </c>
      <c r="F470" s="229" t="s">
        <v>1185</v>
      </c>
      <c r="BB470" s="2">
        <f t="shared" si="3"/>
        <v>170000</v>
      </c>
    </row>
    <row r="471" spans="2:54" hidden="1" outlineLevel="2">
      <c r="B471" s="2" t="s">
        <v>876</v>
      </c>
      <c r="D471" s="114">
        <v>6</v>
      </c>
      <c r="E471" s="114" t="s">
        <v>1186</v>
      </c>
      <c r="F471" s="236" t="s">
        <v>1187</v>
      </c>
      <c r="BB471" s="2">
        <f t="shared" si="3"/>
        <v>180000</v>
      </c>
    </row>
    <row r="472" spans="2:54" hidden="1" outlineLevel="2">
      <c r="B472" s="2" t="s">
        <v>876</v>
      </c>
      <c r="D472" s="112">
        <v>4</v>
      </c>
      <c r="E472" s="112" t="s">
        <v>122</v>
      </c>
      <c r="F472" s="229" t="s">
        <v>1188</v>
      </c>
      <c r="BB472" s="2">
        <f t="shared" si="3"/>
        <v>190000</v>
      </c>
    </row>
    <row r="473" spans="2:54" hidden="1" outlineLevel="2">
      <c r="B473" s="2" t="s">
        <v>876</v>
      </c>
      <c r="D473" s="114">
        <v>5</v>
      </c>
      <c r="E473" s="114" t="s">
        <v>1189</v>
      </c>
      <c r="F473" s="236" t="s">
        <v>1190</v>
      </c>
      <c r="BB473" s="2">
        <f t="shared" si="3"/>
        <v>200000</v>
      </c>
    </row>
    <row r="474" spans="2:54" hidden="1" outlineLevel="2">
      <c r="B474" s="2" t="s">
        <v>876</v>
      </c>
      <c r="D474" s="112">
        <v>1</v>
      </c>
      <c r="E474" s="112" t="s">
        <v>1191</v>
      </c>
      <c r="F474" s="229" t="s">
        <v>1192</v>
      </c>
      <c r="BB474" s="2">
        <f t="shared" si="3"/>
        <v>210000</v>
      </c>
    </row>
    <row r="475" spans="2:54" hidden="1" outlineLevel="2">
      <c r="B475" s="2" t="s">
        <v>876</v>
      </c>
      <c r="D475" s="114">
        <v>7</v>
      </c>
      <c r="E475" s="114" t="s">
        <v>121</v>
      </c>
      <c r="F475" s="236" t="s">
        <v>1193</v>
      </c>
      <c r="BB475" s="2">
        <f t="shared" si="3"/>
        <v>220000</v>
      </c>
    </row>
    <row r="476" spans="2:54" hidden="1" outlineLevel="2">
      <c r="B476" s="2" t="s">
        <v>876</v>
      </c>
      <c r="D476" s="112">
        <v>2</v>
      </c>
      <c r="E476" s="112" t="s">
        <v>628</v>
      </c>
      <c r="F476" s="229" t="s">
        <v>1194</v>
      </c>
      <c r="BB476" s="2">
        <f t="shared" si="3"/>
        <v>230000</v>
      </c>
    </row>
    <row r="477" spans="2:54" hidden="1" outlineLevel="2">
      <c r="B477" s="2" t="s">
        <v>889</v>
      </c>
      <c r="BB477" s="2">
        <f t="shared" si="3"/>
        <v>240000</v>
      </c>
    </row>
    <row r="478" spans="2:54" collapsed="1">
      <c r="B478" s="2" t="s">
        <v>833</v>
      </c>
      <c r="C478" s="208" t="s">
        <v>1195</v>
      </c>
      <c r="D478" s="209" t="s">
        <v>843</v>
      </c>
      <c r="E478" s="210" t="s">
        <v>844</v>
      </c>
      <c r="F478" s="210" t="s">
        <v>845</v>
      </c>
      <c r="G478" s="210" t="s">
        <v>846</v>
      </c>
      <c r="H478" s="210" t="s">
        <v>847</v>
      </c>
      <c r="I478" s="210" t="s">
        <v>848</v>
      </c>
      <c r="J478" s="210" t="s">
        <v>849</v>
      </c>
      <c r="K478" s="210" t="s">
        <v>850</v>
      </c>
      <c r="L478" s="210" t="s">
        <v>8055</v>
      </c>
      <c r="M478" s="210" t="s">
        <v>8168</v>
      </c>
      <c r="N478" s="210" t="s">
        <v>8571</v>
      </c>
      <c r="O478" s="210" t="s">
        <v>8755</v>
      </c>
      <c r="P478" s="210" t="s">
        <v>8892</v>
      </c>
    </row>
    <row r="479" spans="2:54" hidden="1" outlineLevel="1">
      <c r="B479" s="2" t="s">
        <v>833</v>
      </c>
      <c r="BB479" s="2">
        <f t="shared" si="3"/>
        <v>10000</v>
      </c>
    </row>
    <row r="480" spans="2:54" hidden="1" outlineLevel="1" collapsed="1">
      <c r="B480" s="2" t="s">
        <v>870</v>
      </c>
      <c r="C480" s="132" t="s">
        <v>1196</v>
      </c>
      <c r="D480" s="102" t="s">
        <v>1197</v>
      </c>
      <c r="E480" s="103"/>
      <c r="F480" s="103"/>
      <c r="G480" s="103"/>
      <c r="H480" s="104"/>
      <c r="BB480" s="2">
        <f t="shared" si="3"/>
        <v>20000</v>
      </c>
    </row>
    <row r="481" spans="2:54" hidden="1" outlineLevel="2">
      <c r="B481" s="2" t="s">
        <v>833</v>
      </c>
      <c r="C481" s="124"/>
      <c r="D481" s="145" t="s">
        <v>1198</v>
      </c>
      <c r="E481" s="145" t="s">
        <v>1199</v>
      </c>
      <c r="F481" s="225" t="s">
        <v>1200</v>
      </c>
      <c r="G481" s="227" t="s">
        <v>1201</v>
      </c>
      <c r="H481" s="227" t="s">
        <v>1202</v>
      </c>
      <c r="BB481" s="2">
        <f t="shared" si="3"/>
        <v>30000</v>
      </c>
    </row>
    <row r="482" spans="2:54" ht="16" hidden="1" outlineLevel="2">
      <c r="B482" s="2" t="s">
        <v>874</v>
      </c>
      <c r="C482" s="105" t="s">
        <v>461</v>
      </c>
      <c r="D482" s="138" t="s">
        <v>1203</v>
      </c>
      <c r="E482" s="138" t="s">
        <v>1204</v>
      </c>
      <c r="F482" s="218" t="s">
        <v>1205</v>
      </c>
      <c r="G482" s="138" t="s">
        <v>1206</v>
      </c>
      <c r="H482" s="138" t="s">
        <v>1207</v>
      </c>
      <c r="BB482" s="2">
        <f t="shared" si="3"/>
        <v>40000</v>
      </c>
    </row>
    <row r="483" spans="2:54" hidden="1" outlineLevel="2">
      <c r="B483" s="2" t="s">
        <v>876</v>
      </c>
      <c r="D483" s="112" t="s">
        <v>1208</v>
      </c>
      <c r="E483" s="112"/>
      <c r="F483" s="229"/>
      <c r="G483" s="229" t="b">
        <v>0</v>
      </c>
      <c r="H483" s="229" t="s">
        <v>200</v>
      </c>
      <c r="BB483" s="2">
        <f t="shared" si="3"/>
        <v>50000</v>
      </c>
    </row>
    <row r="484" spans="2:54" hidden="1" outlineLevel="2">
      <c r="B484" s="2" t="s">
        <v>876</v>
      </c>
      <c r="D484" s="114"/>
      <c r="E484" s="114" t="s">
        <v>1208</v>
      </c>
      <c r="F484" s="236"/>
      <c r="G484" s="236" t="b">
        <v>0</v>
      </c>
      <c r="H484" s="236" t="s">
        <v>200</v>
      </c>
      <c r="BB484" s="2">
        <f t="shared" si="3"/>
        <v>60000</v>
      </c>
    </row>
    <row r="485" spans="2:54" hidden="1" outlineLevel="2">
      <c r="B485" s="2" t="s">
        <v>876</v>
      </c>
      <c r="D485" s="112" t="s">
        <v>1209</v>
      </c>
      <c r="E485" s="112"/>
      <c r="F485" s="229"/>
      <c r="G485" s="229" t="b">
        <v>0</v>
      </c>
      <c r="H485" s="229" t="s">
        <v>1210</v>
      </c>
      <c r="BB485" s="2">
        <f t="shared" si="3"/>
        <v>70000</v>
      </c>
    </row>
    <row r="486" spans="2:54" hidden="1" outlineLevel="2">
      <c r="B486" s="2" t="s">
        <v>876</v>
      </c>
      <c r="D486" s="114"/>
      <c r="E486" s="114" t="s">
        <v>1209</v>
      </c>
      <c r="F486" s="236"/>
      <c r="G486" s="236" t="b">
        <v>0</v>
      </c>
      <c r="H486" s="236" t="s">
        <v>1210</v>
      </c>
      <c r="BB486" s="2">
        <f t="shared" si="3"/>
        <v>80000</v>
      </c>
    </row>
    <row r="487" spans="2:54" hidden="1" outlineLevel="2">
      <c r="B487" s="2" t="s">
        <v>876</v>
      </c>
      <c r="D487" s="112" t="s">
        <v>1211</v>
      </c>
      <c r="E487" s="112"/>
      <c r="F487" s="229"/>
      <c r="G487" s="229" t="b">
        <v>1</v>
      </c>
      <c r="H487" s="229" t="s">
        <v>1212</v>
      </c>
      <c r="BB487" s="2">
        <f t="shared" si="3"/>
        <v>90000</v>
      </c>
    </row>
    <row r="488" spans="2:54" hidden="1" outlineLevel="2">
      <c r="B488" s="2" t="s">
        <v>876</v>
      </c>
      <c r="D488" s="114"/>
      <c r="E488" s="114" t="s">
        <v>1211</v>
      </c>
      <c r="F488" s="236"/>
      <c r="G488" s="236" t="b">
        <v>1</v>
      </c>
      <c r="H488" s="236" t="s">
        <v>1212</v>
      </c>
      <c r="BB488" s="2">
        <f t="shared" si="3"/>
        <v>100000</v>
      </c>
    </row>
    <row r="489" spans="2:54" hidden="1" outlineLevel="2">
      <c r="B489" s="2" t="s">
        <v>876</v>
      </c>
      <c r="D489" s="112"/>
      <c r="E489" s="112"/>
      <c r="F489" s="229" t="b">
        <v>1</v>
      </c>
      <c r="G489" s="229" t="b">
        <v>1</v>
      </c>
      <c r="H489" s="229" t="s">
        <v>1212</v>
      </c>
      <c r="BB489" s="2">
        <f t="shared" si="3"/>
        <v>110000</v>
      </c>
    </row>
    <row r="490" spans="2:54" hidden="1" outlineLevel="2">
      <c r="B490" s="2" t="s">
        <v>876</v>
      </c>
      <c r="C490" s="105" t="s">
        <v>463</v>
      </c>
      <c r="D490" s="114"/>
      <c r="E490" s="114"/>
      <c r="F490" s="236" t="b">
        <v>0</v>
      </c>
      <c r="G490" s="236" t="b">
        <v>0</v>
      </c>
      <c r="H490" s="236" t="s">
        <v>200</v>
      </c>
      <c r="BB490" s="2">
        <f t="shared" si="3"/>
        <v>120000</v>
      </c>
    </row>
    <row r="491" spans="2:54" hidden="1" outlineLevel="2">
      <c r="B491" s="2" t="s">
        <v>889</v>
      </c>
      <c r="BB491" s="2">
        <f t="shared" si="3"/>
        <v>130000</v>
      </c>
    </row>
    <row r="492" spans="2:54" hidden="1" outlineLevel="1" collapsed="1">
      <c r="B492" s="2" t="s">
        <v>870</v>
      </c>
      <c r="C492" s="132" t="s">
        <v>1213</v>
      </c>
      <c r="D492" s="102" t="s">
        <v>1214</v>
      </c>
      <c r="E492" s="103"/>
      <c r="F492" s="104"/>
      <c r="BB492" s="2">
        <f t="shared" si="3"/>
        <v>140000</v>
      </c>
    </row>
    <row r="493" spans="2:54" hidden="1" outlineLevel="2">
      <c r="B493" s="2" t="s">
        <v>833</v>
      </c>
      <c r="C493" s="124"/>
      <c r="D493" s="145" t="s">
        <v>1215</v>
      </c>
      <c r="E493" s="226" t="s">
        <v>1028</v>
      </c>
      <c r="F493" s="227" t="s">
        <v>1216</v>
      </c>
      <c r="BB493" s="2">
        <f t="shared" si="3"/>
        <v>150000</v>
      </c>
    </row>
    <row r="494" spans="2:54" hidden="1" outlineLevel="2">
      <c r="B494" s="2" t="s">
        <v>874</v>
      </c>
      <c r="C494" s="105" t="s">
        <v>465</v>
      </c>
      <c r="D494" s="138" t="s">
        <v>1046</v>
      </c>
      <c r="E494" s="138" t="s">
        <v>1050</v>
      </c>
      <c r="F494" s="138" t="s">
        <v>1206</v>
      </c>
      <c r="BB494" s="2">
        <f t="shared" si="3"/>
        <v>160000</v>
      </c>
    </row>
    <row r="495" spans="2:54" hidden="1" outlineLevel="2">
      <c r="B495" s="2" t="s">
        <v>876</v>
      </c>
      <c r="C495" s="105"/>
      <c r="D495" s="112" t="b">
        <v>1</v>
      </c>
      <c r="E495" s="237"/>
      <c r="F495" s="229" t="b">
        <v>0</v>
      </c>
      <c r="BB495" s="2">
        <f t="shared" si="3"/>
        <v>170000</v>
      </c>
    </row>
    <row r="496" spans="2:54" hidden="1" outlineLevel="2">
      <c r="B496" s="2" t="s">
        <v>876</v>
      </c>
      <c r="D496" s="114" t="b">
        <v>0</v>
      </c>
      <c r="E496" s="238"/>
      <c r="F496" s="236" t="b">
        <v>1</v>
      </c>
      <c r="BB496" s="2">
        <f t="shared" si="3"/>
        <v>180000</v>
      </c>
    </row>
    <row r="497" spans="2:54" hidden="1" outlineLevel="2">
      <c r="B497" s="2" t="s">
        <v>876</v>
      </c>
      <c r="C497" s="105" t="s">
        <v>467</v>
      </c>
      <c r="D497" s="112"/>
      <c r="E497" s="237"/>
      <c r="F497" s="229" t="b">
        <v>0</v>
      </c>
      <c r="BB497" s="2">
        <f t="shared" si="3"/>
        <v>190000</v>
      </c>
    </row>
    <row r="498" spans="2:54" hidden="1" outlineLevel="2">
      <c r="B498" s="2" t="s">
        <v>889</v>
      </c>
      <c r="BB498" s="2">
        <f t="shared" si="3"/>
        <v>200000</v>
      </c>
    </row>
    <row r="499" spans="2:54" hidden="1" outlineLevel="1" collapsed="1">
      <c r="B499" s="2" t="s">
        <v>870</v>
      </c>
      <c r="C499" s="132" t="s">
        <v>1217</v>
      </c>
      <c r="D499" s="102" t="s">
        <v>1218</v>
      </c>
      <c r="E499" s="103"/>
      <c r="F499" s="104"/>
      <c r="BB499" s="2">
        <f t="shared" si="3"/>
        <v>210000</v>
      </c>
    </row>
    <row r="500" spans="2:54" hidden="1" outlineLevel="2">
      <c r="B500" s="2" t="s">
        <v>833</v>
      </c>
      <c r="C500" s="124"/>
      <c r="D500" s="226" t="s">
        <v>1201</v>
      </c>
      <c r="E500" s="226" t="s">
        <v>1216</v>
      </c>
      <c r="F500" s="227" t="s">
        <v>1219</v>
      </c>
      <c r="BB500" s="2">
        <f t="shared" si="3"/>
        <v>220000</v>
      </c>
    </row>
    <row r="501" spans="2:54" hidden="1" outlineLevel="2">
      <c r="B501" s="2" t="s">
        <v>874</v>
      </c>
      <c r="C501" s="105" t="s">
        <v>469</v>
      </c>
      <c r="D501" s="138" t="s">
        <v>1197</v>
      </c>
      <c r="E501" s="138" t="s">
        <v>1214</v>
      </c>
      <c r="F501" s="138" t="s">
        <v>1220</v>
      </c>
      <c r="BB501" s="2">
        <f t="shared" si="3"/>
        <v>230000</v>
      </c>
    </row>
    <row r="502" spans="2:54" hidden="1" outlineLevel="2">
      <c r="B502" s="2" t="s">
        <v>876</v>
      </c>
      <c r="D502" s="112" t="b">
        <v>1</v>
      </c>
      <c r="E502" s="112"/>
      <c r="F502" s="229" t="b">
        <v>0</v>
      </c>
      <c r="BB502" s="2">
        <f t="shared" si="3"/>
        <v>240000</v>
      </c>
    </row>
    <row r="503" spans="2:54" hidden="1" outlineLevel="2">
      <c r="B503" s="2" t="s">
        <v>876</v>
      </c>
      <c r="D503" s="114" t="b">
        <v>0</v>
      </c>
      <c r="E503" s="114" t="b">
        <v>1</v>
      </c>
      <c r="F503" s="236" t="b">
        <v>0</v>
      </c>
      <c r="BB503" s="2">
        <f t="shared" si="3"/>
        <v>250000</v>
      </c>
    </row>
    <row r="504" spans="2:54" hidden="1" outlineLevel="2">
      <c r="B504" s="2" t="s">
        <v>876</v>
      </c>
      <c r="C504" s="105" t="s">
        <v>470</v>
      </c>
      <c r="D504" s="112" t="b">
        <v>0</v>
      </c>
      <c r="E504" s="112"/>
      <c r="F504" s="229" t="b">
        <v>1</v>
      </c>
      <c r="BB504" s="2">
        <f t="shared" si="3"/>
        <v>260000</v>
      </c>
    </row>
    <row r="505" spans="2:54" hidden="1" outlineLevel="2">
      <c r="B505" s="2" t="s">
        <v>889</v>
      </c>
      <c r="BB505" s="2">
        <f t="shared" si="3"/>
        <v>270000</v>
      </c>
    </row>
    <row r="506" spans="2:54" hidden="1" outlineLevel="1" collapsed="1">
      <c r="B506" s="2" t="s">
        <v>870</v>
      </c>
      <c r="C506" s="132" t="s">
        <v>1221</v>
      </c>
      <c r="D506" s="102" t="s">
        <v>1222</v>
      </c>
      <c r="E506" s="104"/>
      <c r="BB506" s="2">
        <f t="shared" si="3"/>
        <v>280000</v>
      </c>
    </row>
    <row r="507" spans="2:54" hidden="1" outlineLevel="2">
      <c r="B507" s="2" t="s">
        <v>833</v>
      </c>
      <c r="C507" s="124"/>
      <c r="D507" s="226" t="s">
        <v>1223</v>
      </c>
      <c r="E507" s="239" t="s">
        <v>1224</v>
      </c>
      <c r="BB507" s="2">
        <f t="shared" si="3"/>
        <v>290000</v>
      </c>
    </row>
    <row r="508" spans="2:54" ht="16" hidden="1" outlineLevel="2">
      <c r="B508" s="2" t="s">
        <v>874</v>
      </c>
      <c r="C508" s="105" t="s">
        <v>471</v>
      </c>
      <c r="D508" s="218" t="s">
        <v>1225</v>
      </c>
      <c r="E508" s="138" t="s">
        <v>1226</v>
      </c>
      <c r="BB508" s="2">
        <f t="shared" si="3"/>
        <v>300000</v>
      </c>
    </row>
    <row r="509" spans="2:54" hidden="1" outlineLevel="2">
      <c r="B509" s="2" t="s">
        <v>876</v>
      </c>
      <c r="D509" s="112" t="s">
        <v>1227</v>
      </c>
      <c r="E509" s="112">
        <v>1</v>
      </c>
      <c r="BB509" s="2">
        <f t="shared" si="3"/>
        <v>310000</v>
      </c>
    </row>
    <row r="510" spans="2:54" hidden="1" outlineLevel="2">
      <c r="B510" s="2" t="s">
        <v>876</v>
      </c>
      <c r="C510" s="105"/>
      <c r="D510" s="114" t="s">
        <v>1228</v>
      </c>
      <c r="E510" s="114">
        <v>2</v>
      </c>
      <c r="BB510" s="2">
        <f t="shared" si="3"/>
        <v>320000</v>
      </c>
    </row>
    <row r="511" spans="2:54" hidden="1" outlineLevel="2">
      <c r="B511" s="2" t="s">
        <v>889</v>
      </c>
      <c r="BB511" s="2">
        <f t="shared" si="3"/>
        <v>330000</v>
      </c>
    </row>
    <row r="512" spans="2:54" hidden="1" outlineLevel="1" collapsed="1">
      <c r="B512" s="2" t="s">
        <v>870</v>
      </c>
      <c r="C512" s="132" t="s">
        <v>1229</v>
      </c>
      <c r="D512" s="102" t="s">
        <v>1230</v>
      </c>
      <c r="E512" s="103"/>
      <c r="F512" s="103"/>
      <c r="G512" s="103"/>
      <c r="H512" s="104"/>
      <c r="BB512" s="2">
        <f t="shared" si="3"/>
        <v>340000</v>
      </c>
    </row>
    <row r="513" spans="2:54" hidden="1" outlineLevel="2">
      <c r="B513" s="2" t="s">
        <v>833</v>
      </c>
      <c r="C513" s="124"/>
      <c r="D513" s="145" t="s">
        <v>1231</v>
      </c>
      <c r="E513" s="145" t="s">
        <v>1232</v>
      </c>
      <c r="F513" s="225" t="s">
        <v>1233</v>
      </c>
      <c r="G513" s="225" t="s">
        <v>1202</v>
      </c>
      <c r="H513" s="227" t="s">
        <v>1234</v>
      </c>
      <c r="BB513" s="2">
        <f t="shared" si="3"/>
        <v>350000</v>
      </c>
    </row>
    <row r="514" spans="2:54" ht="16" hidden="1" outlineLevel="2">
      <c r="B514" s="2" t="s">
        <v>874</v>
      </c>
      <c r="C514" s="105" t="s">
        <v>262</v>
      </c>
      <c r="D514" s="138" t="s">
        <v>1235</v>
      </c>
      <c r="E514" s="138" t="s">
        <v>1236</v>
      </c>
      <c r="F514" s="218" t="s">
        <v>1237</v>
      </c>
      <c r="G514" s="138" t="s">
        <v>1207</v>
      </c>
      <c r="H514" s="138" t="s">
        <v>1238</v>
      </c>
      <c r="BB514" s="2">
        <f t="shared" si="3"/>
        <v>360000</v>
      </c>
    </row>
    <row r="515" spans="2:54" hidden="1" outlineLevel="2">
      <c r="B515" s="2" t="s">
        <v>876</v>
      </c>
      <c r="D515" s="229" t="s">
        <v>1239</v>
      </c>
      <c r="E515" s="237">
        <v>1</v>
      </c>
      <c r="F515" s="229" t="s">
        <v>1240</v>
      </c>
      <c r="G515" s="112" t="s">
        <v>1208</v>
      </c>
      <c r="H515" s="229">
        <v>590</v>
      </c>
      <c r="BB515" s="2">
        <f t="shared" si="3"/>
        <v>370000</v>
      </c>
    </row>
    <row r="516" spans="2:54" hidden="1" outlineLevel="2">
      <c r="B516" s="2" t="s">
        <v>876</v>
      </c>
      <c r="D516" s="236" t="s">
        <v>1239</v>
      </c>
      <c r="E516" s="238">
        <v>1</v>
      </c>
      <c r="F516" s="236" t="s">
        <v>1240</v>
      </c>
      <c r="G516" s="114" t="s">
        <v>1241</v>
      </c>
      <c r="H516" s="236">
        <v>590</v>
      </c>
      <c r="BB516" s="2">
        <f t="shared" si="3"/>
        <v>380000</v>
      </c>
    </row>
    <row r="517" spans="2:54" hidden="1" outlineLevel="2">
      <c r="B517" s="2" t="s">
        <v>876</v>
      </c>
      <c r="D517" s="229" t="s">
        <v>1239</v>
      </c>
      <c r="E517" s="237">
        <v>1</v>
      </c>
      <c r="F517" s="229" t="s">
        <v>1242</v>
      </c>
      <c r="G517" s="112" t="s">
        <v>1208</v>
      </c>
      <c r="H517" s="229">
        <v>590</v>
      </c>
      <c r="BB517" s="2">
        <f t="shared" si="3"/>
        <v>390000</v>
      </c>
    </row>
    <row r="518" spans="2:54" hidden="1" outlineLevel="2">
      <c r="B518" s="2" t="s">
        <v>876</v>
      </c>
      <c r="D518" s="236" t="s">
        <v>1239</v>
      </c>
      <c r="E518" s="238">
        <v>1</v>
      </c>
      <c r="F518" s="236" t="s">
        <v>1242</v>
      </c>
      <c r="G518" s="114" t="s">
        <v>1241</v>
      </c>
      <c r="H518" s="236">
        <v>590</v>
      </c>
      <c r="BB518" s="2">
        <f t="shared" si="3"/>
        <v>400000</v>
      </c>
    </row>
    <row r="519" spans="2:54" hidden="1" outlineLevel="2">
      <c r="B519" s="2" t="s">
        <v>876</v>
      </c>
      <c r="D519" s="229" t="s">
        <v>1243</v>
      </c>
      <c r="E519" s="237">
        <v>1</v>
      </c>
      <c r="F519" s="229" t="s">
        <v>1240</v>
      </c>
      <c r="G519" s="112" t="s">
        <v>1208</v>
      </c>
      <c r="H519" s="229">
        <v>590</v>
      </c>
      <c r="BB519" s="2">
        <f t="shared" si="3"/>
        <v>410000</v>
      </c>
    </row>
    <row r="520" spans="2:54" hidden="1" outlineLevel="2">
      <c r="B520" s="2" t="s">
        <v>876</v>
      </c>
      <c r="D520" s="236" t="s">
        <v>1243</v>
      </c>
      <c r="E520" s="238">
        <v>1</v>
      </c>
      <c r="F520" s="236" t="s">
        <v>1240</v>
      </c>
      <c r="G520" s="114" t="s">
        <v>1241</v>
      </c>
      <c r="H520" s="236">
        <v>590</v>
      </c>
      <c r="BB520" s="2">
        <f t="shared" si="3"/>
        <v>420000</v>
      </c>
    </row>
    <row r="521" spans="2:54" hidden="1" outlineLevel="2">
      <c r="B521" s="2" t="s">
        <v>876</v>
      </c>
      <c r="D521" s="229" t="s">
        <v>1243</v>
      </c>
      <c r="E521" s="237">
        <v>1</v>
      </c>
      <c r="F521" s="229" t="s">
        <v>1242</v>
      </c>
      <c r="G521" s="112" t="s">
        <v>1208</v>
      </c>
      <c r="H521" s="229">
        <v>590</v>
      </c>
      <c r="BB521" s="2">
        <f t="shared" si="3"/>
        <v>430000</v>
      </c>
    </row>
    <row r="522" spans="2:54" hidden="1" outlineLevel="2">
      <c r="B522" s="2" t="s">
        <v>876</v>
      </c>
      <c r="D522" s="236" t="s">
        <v>1243</v>
      </c>
      <c r="E522" s="238">
        <v>1</v>
      </c>
      <c r="F522" s="236" t="s">
        <v>1242</v>
      </c>
      <c r="G522" s="114" t="s">
        <v>1241</v>
      </c>
      <c r="H522" s="236">
        <v>590</v>
      </c>
      <c r="BB522" s="2">
        <f t="shared" si="3"/>
        <v>440000</v>
      </c>
    </row>
    <row r="523" spans="2:54" hidden="1" outlineLevel="2">
      <c r="B523" s="2" t="s">
        <v>876</v>
      </c>
      <c r="D523" s="229" t="s">
        <v>1239</v>
      </c>
      <c r="E523" s="237">
        <v>0</v>
      </c>
      <c r="F523" s="229" t="s">
        <v>1240</v>
      </c>
      <c r="G523" s="112" t="s">
        <v>1208</v>
      </c>
      <c r="H523" s="229">
        <v>590</v>
      </c>
      <c r="BB523" s="2">
        <f t="shared" si="3"/>
        <v>450000</v>
      </c>
    </row>
    <row r="524" spans="2:54" hidden="1" outlineLevel="2">
      <c r="B524" s="2" t="s">
        <v>876</v>
      </c>
      <c r="D524" s="236" t="s">
        <v>1239</v>
      </c>
      <c r="E524" s="238">
        <v>0</v>
      </c>
      <c r="F524" s="236" t="s">
        <v>1240</v>
      </c>
      <c r="G524" s="114" t="s">
        <v>1241</v>
      </c>
      <c r="H524" s="236">
        <v>590</v>
      </c>
      <c r="BB524" s="2">
        <f t="shared" ref="BB524:BB593" si="4">BB523+10000</f>
        <v>460000</v>
      </c>
    </row>
    <row r="525" spans="2:54" hidden="1" outlineLevel="2">
      <c r="B525" s="2" t="s">
        <v>876</v>
      </c>
      <c r="D525" s="229" t="s">
        <v>1239</v>
      </c>
      <c r="E525" s="237">
        <v>0</v>
      </c>
      <c r="F525" s="229" t="s">
        <v>1242</v>
      </c>
      <c r="G525" s="112" t="s">
        <v>1208</v>
      </c>
      <c r="H525" s="229">
        <v>590</v>
      </c>
      <c r="BB525" s="2">
        <f t="shared" si="4"/>
        <v>470000</v>
      </c>
    </row>
    <row r="526" spans="2:54" hidden="1" outlineLevel="2">
      <c r="B526" s="2" t="s">
        <v>876</v>
      </c>
      <c r="D526" s="236" t="s">
        <v>1239</v>
      </c>
      <c r="E526" s="238">
        <v>0</v>
      </c>
      <c r="F526" s="236" t="s">
        <v>1242</v>
      </c>
      <c r="G526" s="114" t="s">
        <v>1241</v>
      </c>
      <c r="H526" s="236">
        <v>590</v>
      </c>
      <c r="BB526" s="2">
        <f t="shared" si="4"/>
        <v>480000</v>
      </c>
    </row>
    <row r="527" spans="2:54" hidden="1" outlineLevel="2">
      <c r="B527" s="2" t="s">
        <v>876</v>
      </c>
      <c r="D527" s="229" t="s">
        <v>1243</v>
      </c>
      <c r="E527" s="237">
        <v>0</v>
      </c>
      <c r="F527" s="229" t="s">
        <v>1240</v>
      </c>
      <c r="G527" s="112" t="s">
        <v>1208</v>
      </c>
      <c r="H527" s="229">
        <v>590</v>
      </c>
      <c r="BB527" s="2">
        <f t="shared" si="4"/>
        <v>490000</v>
      </c>
    </row>
    <row r="528" spans="2:54" hidden="1" outlineLevel="2">
      <c r="B528" s="2" t="s">
        <v>876</v>
      </c>
      <c r="D528" s="236" t="s">
        <v>1243</v>
      </c>
      <c r="E528" s="238">
        <v>0</v>
      </c>
      <c r="F528" s="236" t="s">
        <v>1240</v>
      </c>
      <c r="G528" s="114" t="s">
        <v>1241</v>
      </c>
      <c r="H528" s="236">
        <v>590</v>
      </c>
      <c r="BB528" s="2">
        <f t="shared" si="4"/>
        <v>500000</v>
      </c>
    </row>
    <row r="529" spans="2:54" hidden="1" outlineLevel="2">
      <c r="B529" s="2" t="s">
        <v>876</v>
      </c>
      <c r="D529" s="229" t="s">
        <v>1243</v>
      </c>
      <c r="E529" s="237">
        <v>0</v>
      </c>
      <c r="F529" s="229" t="s">
        <v>1242</v>
      </c>
      <c r="G529" s="112" t="s">
        <v>1208</v>
      </c>
      <c r="H529" s="229">
        <v>590</v>
      </c>
      <c r="BB529" s="2">
        <f t="shared" si="4"/>
        <v>510000</v>
      </c>
    </row>
    <row r="530" spans="2:54" hidden="1" outlineLevel="2">
      <c r="B530" s="2" t="s">
        <v>876</v>
      </c>
      <c r="C530" s="105" t="s">
        <v>267</v>
      </c>
      <c r="D530" s="236" t="s">
        <v>1243</v>
      </c>
      <c r="E530" s="238">
        <v>0</v>
      </c>
      <c r="F530" s="236" t="s">
        <v>1242</v>
      </c>
      <c r="G530" s="114" t="s">
        <v>1241</v>
      </c>
      <c r="H530" s="236">
        <v>590</v>
      </c>
      <c r="BB530" s="2">
        <f t="shared" si="4"/>
        <v>520000</v>
      </c>
    </row>
    <row r="531" spans="2:54" hidden="1" outlineLevel="2">
      <c r="B531" s="2" t="s">
        <v>889</v>
      </c>
      <c r="BB531" s="2">
        <f t="shared" si="4"/>
        <v>530000</v>
      </c>
    </row>
    <row r="532" spans="2:54" collapsed="1">
      <c r="B532" s="2" t="s">
        <v>833</v>
      </c>
      <c r="C532" s="208" t="s">
        <v>1244</v>
      </c>
      <c r="D532" s="209" t="s">
        <v>843</v>
      </c>
      <c r="E532" s="210" t="s">
        <v>844</v>
      </c>
      <c r="F532" s="210" t="s">
        <v>845</v>
      </c>
      <c r="G532" s="210" t="s">
        <v>846</v>
      </c>
      <c r="H532" s="210" t="s">
        <v>847</v>
      </c>
      <c r="I532" s="210" t="s">
        <v>848</v>
      </c>
      <c r="J532" s="210" t="s">
        <v>849</v>
      </c>
      <c r="K532" s="210" t="s">
        <v>850</v>
      </c>
      <c r="L532" s="210" t="s">
        <v>8055</v>
      </c>
      <c r="M532" s="210" t="s">
        <v>8168</v>
      </c>
      <c r="N532" s="210" t="s">
        <v>8571</v>
      </c>
      <c r="O532" s="210" t="s">
        <v>8755</v>
      </c>
      <c r="P532" s="210" t="s">
        <v>8892</v>
      </c>
    </row>
    <row r="533" spans="2:54" hidden="1" outlineLevel="1">
      <c r="B533" s="2" t="s">
        <v>833</v>
      </c>
      <c r="BB533" s="2">
        <f t="shared" si="4"/>
        <v>10000</v>
      </c>
    </row>
    <row r="534" spans="2:54" hidden="1" outlineLevel="1">
      <c r="B534" s="2" t="s">
        <v>833</v>
      </c>
      <c r="C534" s="145" t="s">
        <v>834</v>
      </c>
      <c r="D534" s="145" t="s">
        <v>835</v>
      </c>
      <c r="E534" s="207" t="s">
        <v>836</v>
      </c>
    </row>
    <row r="535" spans="2:54" hidden="1" outlineLevel="1">
      <c r="B535" s="2" t="s">
        <v>837</v>
      </c>
      <c r="C535" s="138" t="s">
        <v>8432</v>
      </c>
      <c r="D535" s="114" t="s">
        <v>8420</v>
      </c>
      <c r="E535" s="114">
        <v>5.99</v>
      </c>
      <c r="H535" s="223"/>
    </row>
    <row r="536" spans="2:54" hidden="1" outlineLevel="1">
      <c r="B536" s="2" t="s">
        <v>837</v>
      </c>
      <c r="C536" s="138" t="s">
        <v>8433</v>
      </c>
      <c r="D536" s="114" t="s">
        <v>8434</v>
      </c>
      <c r="E536" s="114">
        <v>7.5</v>
      </c>
      <c r="H536" s="223"/>
    </row>
    <row r="537" spans="2:54" hidden="1" outlineLevel="1">
      <c r="B537" s="2" t="s">
        <v>837</v>
      </c>
      <c r="C537" s="138" t="s">
        <v>8435</v>
      </c>
      <c r="D537" s="114" t="s">
        <v>8436</v>
      </c>
      <c r="E537" s="114">
        <v>8</v>
      </c>
      <c r="H537" s="223"/>
    </row>
    <row r="538" spans="2:54" hidden="1" outlineLevel="1">
      <c r="B538" s="2" t="s">
        <v>833</v>
      </c>
    </row>
    <row r="539" spans="2:54" hidden="1" outlineLevel="1" collapsed="1">
      <c r="B539" s="2" t="s">
        <v>833</v>
      </c>
      <c r="C539" s="132" t="s">
        <v>1245</v>
      </c>
      <c r="D539" s="102" t="s">
        <v>1246</v>
      </c>
      <c r="E539" s="103"/>
      <c r="F539" s="103"/>
      <c r="G539" s="103"/>
      <c r="H539" s="103"/>
      <c r="I539" s="103"/>
      <c r="J539" s="104"/>
      <c r="BB539" s="2">
        <f>BB533+10000</f>
        <v>20000</v>
      </c>
    </row>
    <row r="540" spans="2:54" hidden="1" outlineLevel="2">
      <c r="B540" s="2" t="s">
        <v>833</v>
      </c>
      <c r="C540" s="124"/>
      <c r="D540" s="145" t="s">
        <v>1247</v>
      </c>
      <c r="E540" s="145" t="s">
        <v>1248</v>
      </c>
      <c r="F540" s="145" t="s">
        <v>1249</v>
      </c>
      <c r="G540" s="145" t="s">
        <v>788</v>
      </c>
      <c r="H540" s="145" t="s">
        <v>1250</v>
      </c>
      <c r="I540" s="145" t="s">
        <v>1251</v>
      </c>
      <c r="J540" s="227" t="s">
        <v>1252</v>
      </c>
      <c r="BB540" s="2">
        <f t="shared" si="4"/>
        <v>30000</v>
      </c>
    </row>
    <row r="541" spans="2:54" hidden="1" outlineLevel="2">
      <c r="B541" s="2" t="s">
        <v>833</v>
      </c>
      <c r="C541" s="105"/>
      <c r="D541" s="138" t="s">
        <v>1253</v>
      </c>
      <c r="E541" s="138" t="s">
        <v>1254</v>
      </c>
      <c r="F541" s="138" t="s">
        <v>1255</v>
      </c>
      <c r="G541" s="138" t="s">
        <v>1256</v>
      </c>
      <c r="H541" s="138" t="s">
        <v>1257</v>
      </c>
      <c r="I541" s="138" t="s">
        <v>1258</v>
      </c>
      <c r="J541" s="138" t="s">
        <v>1259</v>
      </c>
      <c r="BB541" s="2">
        <f t="shared" si="4"/>
        <v>40000</v>
      </c>
    </row>
    <row r="542" spans="2:54" hidden="1" outlineLevel="2">
      <c r="B542" s="2" t="s">
        <v>833</v>
      </c>
      <c r="C542" s="105" t="s">
        <v>477</v>
      </c>
      <c r="D542" s="112">
        <v>100000</v>
      </c>
      <c r="E542" s="240">
        <v>5.5</v>
      </c>
      <c r="F542" s="112" t="s">
        <v>1260</v>
      </c>
      <c r="G542" s="112"/>
      <c r="H542" s="112"/>
      <c r="I542" s="112"/>
      <c r="J542" s="112" t="s">
        <v>1261</v>
      </c>
      <c r="BB542" s="2">
        <f t="shared" si="4"/>
        <v>50000</v>
      </c>
    </row>
    <row r="543" spans="2:54" hidden="1" outlineLevel="2">
      <c r="B543" s="2" t="s">
        <v>833</v>
      </c>
      <c r="D543" s="114">
        <v>250000</v>
      </c>
      <c r="E543" s="241">
        <v>6</v>
      </c>
      <c r="F543" s="114" t="s">
        <v>1260</v>
      </c>
      <c r="G543" s="114"/>
      <c r="H543" s="114"/>
      <c r="I543" s="114"/>
      <c r="J543" s="114" t="s">
        <v>1262</v>
      </c>
      <c r="BB543" s="2">
        <f t="shared" si="4"/>
        <v>60000</v>
      </c>
    </row>
    <row r="544" spans="2:54" hidden="1" outlineLevel="2">
      <c r="B544" s="2" t="s">
        <v>833</v>
      </c>
      <c r="D544" s="112"/>
      <c r="E544" s="240">
        <v>6.5</v>
      </c>
      <c r="F544" s="112" t="s">
        <v>1260</v>
      </c>
      <c r="G544" s="112"/>
      <c r="H544" s="112"/>
      <c r="I544" s="112"/>
      <c r="J544" s="112" t="s">
        <v>1263</v>
      </c>
      <c r="BB544" s="2">
        <f t="shared" si="4"/>
        <v>70000</v>
      </c>
    </row>
    <row r="545" spans="2:54" hidden="1" outlineLevel="2">
      <c r="B545" s="2" t="s">
        <v>833</v>
      </c>
      <c r="D545" s="114">
        <v>100000</v>
      </c>
      <c r="E545" s="241">
        <v>5.5</v>
      </c>
      <c r="F545" s="114"/>
      <c r="G545" s="114">
        <v>80</v>
      </c>
      <c r="H545" s="114"/>
      <c r="I545" s="114"/>
      <c r="J545" s="114" t="s">
        <v>1264</v>
      </c>
      <c r="BB545" s="2">
        <f t="shared" si="4"/>
        <v>80000</v>
      </c>
    </row>
    <row r="546" spans="2:54" hidden="1" outlineLevel="2">
      <c r="B546" s="2" t="s">
        <v>833</v>
      </c>
      <c r="D546" s="112">
        <v>250000</v>
      </c>
      <c r="E546" s="240">
        <v>6</v>
      </c>
      <c r="F546" s="112"/>
      <c r="G546" s="112">
        <v>80</v>
      </c>
      <c r="H546" s="112"/>
      <c r="I546" s="112"/>
      <c r="J546" s="112" t="s">
        <v>1265</v>
      </c>
      <c r="BB546" s="2">
        <f t="shared" si="4"/>
        <v>90000</v>
      </c>
    </row>
    <row r="547" spans="2:54" hidden="1" outlineLevel="2">
      <c r="B547" s="2" t="s">
        <v>833</v>
      </c>
      <c r="D547" s="114"/>
      <c r="E547" s="241">
        <v>6.5</v>
      </c>
      <c r="F547" s="114"/>
      <c r="G547" s="114">
        <v>80</v>
      </c>
      <c r="H547" s="114"/>
      <c r="I547" s="114"/>
      <c r="J547" s="114" t="s">
        <v>1266</v>
      </c>
      <c r="BB547" s="2">
        <f t="shared" si="4"/>
        <v>100000</v>
      </c>
    </row>
    <row r="548" spans="2:54" hidden="1" outlineLevel="2">
      <c r="B548" s="2" t="s">
        <v>833</v>
      </c>
      <c r="D548" s="112">
        <v>100000</v>
      </c>
      <c r="E548" s="240">
        <v>5.5</v>
      </c>
      <c r="F548" s="112"/>
      <c r="G548" s="112"/>
      <c r="H548" s="112">
        <v>25</v>
      </c>
      <c r="I548" s="112">
        <v>3</v>
      </c>
      <c r="J548" s="112" t="s">
        <v>1267</v>
      </c>
      <c r="BB548" s="2">
        <f t="shared" si="4"/>
        <v>110000</v>
      </c>
    </row>
    <row r="549" spans="2:54" hidden="1" outlineLevel="2">
      <c r="B549" s="2" t="s">
        <v>833</v>
      </c>
      <c r="D549" s="114">
        <v>250000</v>
      </c>
      <c r="E549" s="241">
        <v>6</v>
      </c>
      <c r="F549" s="114"/>
      <c r="G549" s="114"/>
      <c r="H549" s="114">
        <v>25</v>
      </c>
      <c r="I549" s="114">
        <v>3</v>
      </c>
      <c r="J549" s="114" t="s">
        <v>1268</v>
      </c>
      <c r="BB549" s="2">
        <f t="shared" si="4"/>
        <v>120000</v>
      </c>
    </row>
    <row r="550" spans="2:54" hidden="1" outlineLevel="2">
      <c r="B550" s="2" t="s">
        <v>833</v>
      </c>
      <c r="D550" s="112"/>
      <c r="E550" s="240">
        <v>6.5</v>
      </c>
      <c r="F550" s="112"/>
      <c r="G550" s="112"/>
      <c r="H550" s="112">
        <v>25</v>
      </c>
      <c r="I550" s="112">
        <v>3</v>
      </c>
      <c r="J550" s="112" t="s">
        <v>1269</v>
      </c>
      <c r="BB550" s="2">
        <f t="shared" si="4"/>
        <v>130000</v>
      </c>
    </row>
    <row r="551" spans="2:54" hidden="1" outlineLevel="2">
      <c r="B551" s="2" t="s">
        <v>833</v>
      </c>
      <c r="D551" s="114">
        <v>100000</v>
      </c>
      <c r="E551" s="241">
        <v>5.5</v>
      </c>
      <c r="F551" s="114"/>
      <c r="G551" s="114"/>
      <c r="H551" s="114"/>
      <c r="I551" s="114"/>
      <c r="J551" s="114" t="s">
        <v>1270</v>
      </c>
      <c r="BB551" s="2">
        <f t="shared" si="4"/>
        <v>140000</v>
      </c>
    </row>
    <row r="552" spans="2:54" hidden="1" outlineLevel="2">
      <c r="B552" s="2" t="s">
        <v>833</v>
      </c>
      <c r="D552" s="112">
        <v>250000</v>
      </c>
      <c r="E552" s="240">
        <v>6</v>
      </c>
      <c r="F552" s="112"/>
      <c r="G552" s="112"/>
      <c r="H552" s="112"/>
      <c r="I552" s="112"/>
      <c r="J552" s="112" t="s">
        <v>1271</v>
      </c>
      <c r="BB552" s="2">
        <f t="shared" si="4"/>
        <v>150000</v>
      </c>
    </row>
    <row r="553" spans="2:54" hidden="1" outlineLevel="2">
      <c r="B553" s="2" t="s">
        <v>833</v>
      </c>
      <c r="D553" s="114"/>
      <c r="E553" s="241">
        <v>6.5</v>
      </c>
      <c r="F553" s="114"/>
      <c r="G553" s="114"/>
      <c r="H553" s="114"/>
      <c r="I553" s="114"/>
      <c r="J553" s="114" t="s">
        <v>1272</v>
      </c>
      <c r="BB553" s="2">
        <f t="shared" si="4"/>
        <v>160000</v>
      </c>
    </row>
    <row r="554" spans="2:54" hidden="1" outlineLevel="2">
      <c r="B554" s="2" t="s">
        <v>833</v>
      </c>
      <c r="C554" s="105" t="s">
        <v>1273</v>
      </c>
      <c r="D554" s="112"/>
      <c r="E554" s="240"/>
      <c r="F554" s="112"/>
      <c r="G554" s="112"/>
      <c r="H554" s="112"/>
      <c r="I554" s="112"/>
      <c r="J554" s="112" t="s">
        <v>1274</v>
      </c>
      <c r="BB554" s="2">
        <f t="shared" si="4"/>
        <v>170000</v>
      </c>
    </row>
    <row r="555" spans="2:54" hidden="1" outlineLevel="2">
      <c r="B555" s="2" t="s">
        <v>833</v>
      </c>
      <c r="BB555" s="2">
        <f t="shared" si="4"/>
        <v>180000</v>
      </c>
    </row>
    <row r="556" spans="2:54" collapsed="1">
      <c r="B556" s="2" t="s">
        <v>833</v>
      </c>
      <c r="C556" s="208" t="s">
        <v>1275</v>
      </c>
      <c r="D556" s="209" t="s">
        <v>843</v>
      </c>
      <c r="E556" s="209" t="s">
        <v>844</v>
      </c>
      <c r="F556" s="210" t="s">
        <v>845</v>
      </c>
      <c r="G556" s="209" t="s">
        <v>846</v>
      </c>
      <c r="H556" s="210" t="s">
        <v>847</v>
      </c>
      <c r="I556" s="210" t="s">
        <v>848</v>
      </c>
      <c r="J556" s="210" t="s">
        <v>849</v>
      </c>
      <c r="K556" s="210" t="s">
        <v>850</v>
      </c>
      <c r="L556" s="210" t="s">
        <v>8055</v>
      </c>
      <c r="M556" s="210" t="s">
        <v>8168</v>
      </c>
      <c r="N556" s="210" t="s">
        <v>8571</v>
      </c>
      <c r="O556" s="210" t="s">
        <v>8755</v>
      </c>
      <c r="P556" s="210" t="s">
        <v>8892</v>
      </c>
    </row>
    <row r="557" spans="2:54" hidden="1" outlineLevel="1">
      <c r="B557" s="2" t="s">
        <v>833</v>
      </c>
      <c r="BB557" s="2">
        <f>BB556+10000</f>
        <v>10000</v>
      </c>
    </row>
    <row r="558" spans="2:54" hidden="1" outlineLevel="1">
      <c r="B558" s="2" t="s">
        <v>870</v>
      </c>
      <c r="C558" s="105" t="s">
        <v>8901</v>
      </c>
      <c r="D558" s="102" t="s">
        <v>1276</v>
      </c>
      <c r="E558" s="103"/>
      <c r="F558" s="104"/>
      <c r="BB558" s="2">
        <f t="shared" si="4"/>
        <v>20000</v>
      </c>
    </row>
    <row r="559" spans="2:54" hidden="1" outlineLevel="2">
      <c r="B559" s="2" t="s">
        <v>833</v>
      </c>
      <c r="D559" s="242"/>
      <c r="E559" s="211"/>
      <c r="F559" s="243"/>
      <c r="BB559" s="2">
        <f t="shared" si="4"/>
        <v>30000</v>
      </c>
    </row>
    <row r="560" spans="2:54" ht="16" hidden="1" outlineLevel="2">
      <c r="B560" s="2" t="s">
        <v>874</v>
      </c>
      <c r="D560" s="138" t="s">
        <v>1277</v>
      </c>
      <c r="E560" s="218" t="s">
        <v>1278</v>
      </c>
      <c r="F560" s="138" t="s">
        <v>1279</v>
      </c>
      <c r="BB560" s="2">
        <f t="shared" si="4"/>
        <v>40000</v>
      </c>
    </row>
    <row r="561" spans="2:54" hidden="1" outlineLevel="2">
      <c r="B561" s="2" t="s">
        <v>876</v>
      </c>
      <c r="C561" s="105"/>
      <c r="D561" s="112">
        <v>18200.009999999998</v>
      </c>
      <c r="E561" s="244">
        <v>0</v>
      </c>
      <c r="F561" s="221">
        <v>0.16</v>
      </c>
      <c r="BB561" s="2">
        <f t="shared" si="4"/>
        <v>50000</v>
      </c>
    </row>
    <row r="562" spans="2:54" hidden="1" outlineLevel="2">
      <c r="B562" s="2" t="s">
        <v>876</v>
      </c>
      <c r="D562" s="114">
        <v>45000.01</v>
      </c>
      <c r="E562" s="694">
        <v>4288</v>
      </c>
      <c r="F562" s="221">
        <v>0.3</v>
      </c>
      <c r="BB562" s="2">
        <f t="shared" si="4"/>
        <v>60000</v>
      </c>
    </row>
    <row r="563" spans="2:54" hidden="1" outlineLevel="2">
      <c r="B563" s="2" t="s">
        <v>876</v>
      </c>
      <c r="D563" s="221">
        <v>135000.01</v>
      </c>
      <c r="E563" s="694">
        <v>31288</v>
      </c>
      <c r="F563" s="112">
        <v>0.37</v>
      </c>
      <c r="BB563" s="2">
        <f t="shared" si="4"/>
        <v>70000</v>
      </c>
    </row>
    <row r="564" spans="2:54" hidden="1" outlineLevel="2">
      <c r="B564" s="2" t="s">
        <v>876</v>
      </c>
      <c r="C564" s="105" t="s">
        <v>7847</v>
      </c>
      <c r="D564" s="221">
        <v>190000.01</v>
      </c>
      <c r="E564" s="694">
        <v>51638</v>
      </c>
      <c r="F564" s="114">
        <v>0.45</v>
      </c>
      <c r="BB564" s="2">
        <f t="shared" si="4"/>
        <v>80000</v>
      </c>
    </row>
    <row r="565" spans="2:54" hidden="1" outlineLevel="2">
      <c r="B565" s="2" t="s">
        <v>889</v>
      </c>
      <c r="BB565" s="2">
        <f t="shared" si="4"/>
        <v>90000</v>
      </c>
    </row>
    <row r="566" spans="2:54" hidden="1" outlineLevel="1">
      <c r="B566" s="2" t="s">
        <v>870</v>
      </c>
      <c r="C566" s="105" t="s">
        <v>8902</v>
      </c>
      <c r="D566" s="102" t="s">
        <v>1280</v>
      </c>
      <c r="E566" s="103"/>
      <c r="F566" s="104"/>
      <c r="BB566" s="2">
        <f t="shared" si="4"/>
        <v>100000</v>
      </c>
    </row>
    <row r="567" spans="2:54" hidden="1" outlineLevel="2">
      <c r="B567" s="2" t="s">
        <v>833</v>
      </c>
      <c r="D567" s="145"/>
      <c r="E567" s="207"/>
      <c r="F567" s="227"/>
      <c r="BB567" s="2">
        <f t="shared" si="4"/>
        <v>110000</v>
      </c>
    </row>
    <row r="568" spans="2:54" ht="16" hidden="1" outlineLevel="2">
      <c r="B568" s="2" t="s">
        <v>874</v>
      </c>
      <c r="D568" s="138" t="s">
        <v>1277</v>
      </c>
      <c r="E568" s="218" t="s">
        <v>1278</v>
      </c>
      <c r="F568" s="138" t="s">
        <v>1279</v>
      </c>
      <c r="BB568" s="2">
        <f t="shared" si="4"/>
        <v>120000</v>
      </c>
    </row>
    <row r="569" spans="2:54" hidden="1" outlineLevel="2">
      <c r="B569" s="2" t="s">
        <v>876</v>
      </c>
      <c r="C569" s="105" t="s">
        <v>7848</v>
      </c>
      <c r="D569" s="112">
        <v>180000.01</v>
      </c>
      <c r="E569" s="244">
        <v>0</v>
      </c>
      <c r="F569" s="112">
        <v>0</v>
      </c>
      <c r="BB569" s="2">
        <f t="shared" si="4"/>
        <v>130000</v>
      </c>
    </row>
    <row r="570" spans="2:54" hidden="1" outlineLevel="2">
      <c r="B570" s="2" t="s">
        <v>889</v>
      </c>
      <c r="BB570" s="2">
        <f t="shared" si="4"/>
        <v>140000</v>
      </c>
    </row>
    <row r="571" spans="2:54" hidden="1" outlineLevel="1">
      <c r="B571" s="2" t="s">
        <v>870</v>
      </c>
      <c r="C571" s="105" t="s">
        <v>8903</v>
      </c>
      <c r="D571" s="102" t="s">
        <v>1281</v>
      </c>
      <c r="E571" s="103"/>
      <c r="F571" s="104"/>
      <c r="BB571" s="2">
        <f t="shared" si="4"/>
        <v>150000</v>
      </c>
    </row>
    <row r="572" spans="2:54" hidden="1" outlineLevel="2">
      <c r="B572" s="2" t="s">
        <v>833</v>
      </c>
      <c r="D572" s="145"/>
      <c r="E572" s="207"/>
      <c r="F572" s="227"/>
      <c r="BB572" s="2">
        <f t="shared" si="4"/>
        <v>160000</v>
      </c>
    </row>
    <row r="573" spans="2:54" ht="16" hidden="1" outlineLevel="2">
      <c r="B573" s="2" t="s">
        <v>874</v>
      </c>
      <c r="D573" s="138" t="s">
        <v>1277</v>
      </c>
      <c r="E573" s="218" t="s">
        <v>1278</v>
      </c>
      <c r="F573" s="138" t="s">
        <v>1279</v>
      </c>
      <c r="BB573" s="2">
        <f t="shared" si="4"/>
        <v>170000</v>
      </c>
    </row>
    <row r="574" spans="2:54" hidden="1" outlineLevel="2">
      <c r="B574" s="2" t="s">
        <v>876</v>
      </c>
      <c r="D574" s="695">
        <v>26000</v>
      </c>
      <c r="E574" s="244">
        <v>0</v>
      </c>
      <c r="F574" s="112">
        <v>0.1</v>
      </c>
      <c r="BB574" s="2">
        <f t="shared" si="4"/>
        <v>180000</v>
      </c>
    </row>
    <row r="575" spans="2:54" hidden="1" outlineLevel="2">
      <c r="B575" s="2" t="s">
        <v>876</v>
      </c>
      <c r="C575" s="105" t="s">
        <v>7849</v>
      </c>
      <c r="D575" s="695">
        <v>32500.01</v>
      </c>
      <c r="E575" s="236"/>
      <c r="F575" s="114">
        <v>0.02</v>
      </c>
      <c r="BB575" s="2">
        <f t="shared" si="4"/>
        <v>190000</v>
      </c>
    </row>
    <row r="576" spans="2:54" hidden="1" outlineLevel="2">
      <c r="B576" s="2" t="s">
        <v>889</v>
      </c>
      <c r="BB576" s="2">
        <f t="shared" si="4"/>
        <v>200000</v>
      </c>
    </row>
    <row r="577" spans="2:54" hidden="1" outlineLevel="1">
      <c r="B577" s="2" t="s">
        <v>870</v>
      </c>
      <c r="C577" s="105" t="s">
        <v>8904</v>
      </c>
      <c r="D577" s="102" t="s">
        <v>1282</v>
      </c>
      <c r="E577" s="103"/>
      <c r="F577" s="104"/>
      <c r="BB577" s="2">
        <f t="shared" si="4"/>
        <v>210000</v>
      </c>
    </row>
    <row r="578" spans="2:54" hidden="1" outlineLevel="2">
      <c r="B578" s="2" t="s">
        <v>833</v>
      </c>
      <c r="D578" s="145"/>
      <c r="E578" s="207"/>
      <c r="F578" s="227"/>
      <c r="BB578" s="2">
        <f t="shared" si="4"/>
        <v>220000</v>
      </c>
    </row>
    <row r="579" spans="2:54" ht="16" hidden="1" outlineLevel="2">
      <c r="B579" s="2" t="s">
        <v>874</v>
      </c>
      <c r="D579" s="138" t="s">
        <v>1277</v>
      </c>
      <c r="E579" s="218" t="s">
        <v>1278</v>
      </c>
      <c r="F579" s="138" t="s">
        <v>1279</v>
      </c>
      <c r="BB579" s="2">
        <f t="shared" si="4"/>
        <v>230000</v>
      </c>
    </row>
    <row r="580" spans="2:54" hidden="1" outlineLevel="2">
      <c r="B580" s="2" t="s">
        <v>876</v>
      </c>
      <c r="D580" s="221">
        <v>97000.01</v>
      </c>
      <c r="E580" s="229"/>
      <c r="F580" s="112">
        <v>0.01</v>
      </c>
      <c r="BB580" s="2">
        <f t="shared" si="4"/>
        <v>240000</v>
      </c>
    </row>
    <row r="581" spans="2:54" hidden="1" outlineLevel="2">
      <c r="B581" s="2" t="s">
        <v>876</v>
      </c>
      <c r="D581" s="221">
        <v>113000.01</v>
      </c>
      <c r="E581" s="236"/>
      <c r="F581" s="114">
        <v>1.2500000000000001E-2</v>
      </c>
      <c r="BB581" s="2">
        <f t="shared" si="4"/>
        <v>250000</v>
      </c>
    </row>
    <row r="582" spans="2:54" hidden="1" outlineLevel="2">
      <c r="B582" s="2" t="s">
        <v>876</v>
      </c>
      <c r="C582" s="105" t="s">
        <v>7850</v>
      </c>
      <c r="D582" s="221">
        <v>151000.01</v>
      </c>
      <c r="E582" s="229"/>
      <c r="F582" s="112">
        <v>1.4999999999999999E-2</v>
      </c>
      <c r="BB582" s="2">
        <f t="shared" si="4"/>
        <v>260000</v>
      </c>
    </row>
    <row r="583" spans="2:54" hidden="1" outlineLevel="2">
      <c r="B583" s="2" t="s">
        <v>889</v>
      </c>
      <c r="BB583" s="2">
        <f t="shared" si="4"/>
        <v>270000</v>
      </c>
    </row>
    <row r="584" spans="2:54" hidden="1" outlineLevel="1">
      <c r="B584" s="2" t="s">
        <v>870</v>
      </c>
      <c r="C584" s="105" t="s">
        <v>8905</v>
      </c>
      <c r="D584" s="102" t="s">
        <v>1283</v>
      </c>
      <c r="E584" s="103"/>
      <c r="F584" s="104"/>
      <c r="BB584" s="2">
        <f t="shared" si="4"/>
        <v>280000</v>
      </c>
    </row>
    <row r="585" spans="2:54" hidden="1" outlineLevel="2">
      <c r="B585" s="2" t="s">
        <v>833</v>
      </c>
      <c r="D585" s="145"/>
      <c r="E585" s="207"/>
      <c r="F585" s="227"/>
      <c r="BB585" s="2">
        <f t="shared" si="4"/>
        <v>290000</v>
      </c>
    </row>
    <row r="586" spans="2:54" ht="16" hidden="1" outlineLevel="2">
      <c r="B586" s="2" t="s">
        <v>874</v>
      </c>
      <c r="D586" s="138" t="s">
        <v>1277</v>
      </c>
      <c r="E586" s="218" t="s">
        <v>1278</v>
      </c>
      <c r="F586" s="138" t="s">
        <v>1279</v>
      </c>
      <c r="BB586" s="2">
        <f t="shared" si="4"/>
        <v>300000</v>
      </c>
    </row>
    <row r="587" spans="2:54" hidden="1" outlineLevel="2">
      <c r="B587" s="2" t="s">
        <v>876</v>
      </c>
      <c r="D587" s="221">
        <v>194000.01</v>
      </c>
      <c r="E587" s="229"/>
      <c r="F587" s="112">
        <v>0.01</v>
      </c>
      <c r="BB587" s="2">
        <f t="shared" si="4"/>
        <v>310000</v>
      </c>
    </row>
    <row r="588" spans="2:54" hidden="1" outlineLevel="2">
      <c r="B588" s="2" t="s">
        <v>876</v>
      </c>
      <c r="D588" s="221">
        <v>226000.01</v>
      </c>
      <c r="E588" s="236"/>
      <c r="F588" s="114">
        <v>1.2500000000000001E-2</v>
      </c>
      <c r="BB588" s="2">
        <f t="shared" si="4"/>
        <v>320000</v>
      </c>
    </row>
    <row r="589" spans="2:54" hidden="1" outlineLevel="2">
      <c r="B589" s="2" t="s">
        <v>876</v>
      </c>
      <c r="C589" s="105" t="s">
        <v>7851</v>
      </c>
      <c r="D589" s="221">
        <v>302000.01</v>
      </c>
      <c r="E589" s="229"/>
      <c r="F589" s="112">
        <v>1.4999999999999999E-2</v>
      </c>
      <c r="BB589" s="2">
        <f t="shared" si="4"/>
        <v>330000</v>
      </c>
    </row>
    <row r="590" spans="2:54" hidden="1" outlineLevel="2">
      <c r="B590" s="2" t="s">
        <v>889</v>
      </c>
      <c r="BB590" s="2">
        <f t="shared" si="4"/>
        <v>340000</v>
      </c>
    </row>
    <row r="591" spans="2:54" collapsed="1">
      <c r="B591" s="2" t="s">
        <v>833</v>
      </c>
      <c r="C591" s="208" t="s">
        <v>9188</v>
      </c>
      <c r="D591" s="210" t="s">
        <v>843</v>
      </c>
      <c r="E591" s="210" t="s">
        <v>844</v>
      </c>
      <c r="F591" s="210" t="s">
        <v>845</v>
      </c>
      <c r="G591" s="210" t="s">
        <v>846</v>
      </c>
      <c r="H591" s="210" t="s">
        <v>847</v>
      </c>
      <c r="I591" s="210" t="s">
        <v>848</v>
      </c>
      <c r="J591" s="209" t="s">
        <v>849</v>
      </c>
      <c r="K591" s="210" t="s">
        <v>850</v>
      </c>
      <c r="L591" s="210" t="s">
        <v>8055</v>
      </c>
      <c r="M591" s="210" t="s">
        <v>8168</v>
      </c>
      <c r="N591" s="210" t="s">
        <v>8571</v>
      </c>
      <c r="O591" s="209" t="s">
        <v>8755</v>
      </c>
      <c r="P591" s="210" t="s">
        <v>8892</v>
      </c>
    </row>
    <row r="592" spans="2:54" hidden="1" outlineLevel="1">
      <c r="B592" s="2" t="s">
        <v>833</v>
      </c>
      <c r="BB592" s="2">
        <f>BB591+10000</f>
        <v>10000</v>
      </c>
    </row>
    <row r="593" spans="2:54" hidden="1" outlineLevel="1" collapsed="1">
      <c r="B593" s="2" t="s">
        <v>870</v>
      </c>
      <c r="C593" s="105" t="s">
        <v>9190</v>
      </c>
      <c r="D593" s="102" t="s">
        <v>9191</v>
      </c>
      <c r="E593" s="103"/>
      <c r="F593" s="103"/>
      <c r="G593" s="103"/>
      <c r="H593" s="103"/>
      <c r="I593" s="104"/>
      <c r="BB593" s="2">
        <f t="shared" si="4"/>
        <v>20000</v>
      </c>
    </row>
    <row r="594" spans="2:54" hidden="1" outlineLevel="2">
      <c r="B594" s="2" t="s">
        <v>833</v>
      </c>
      <c r="C594"/>
      <c r="D594" s="145" t="s">
        <v>1381</v>
      </c>
      <c r="E594" s="145" t="s">
        <v>9192</v>
      </c>
      <c r="F594" s="145" t="s">
        <v>9193</v>
      </c>
      <c r="G594" s="145" t="s">
        <v>9193</v>
      </c>
      <c r="H594" s="207" t="s">
        <v>9194</v>
      </c>
      <c r="I594" s="243" t="s">
        <v>7532</v>
      </c>
      <c r="BB594" s="2">
        <f t="shared" ref="BB594:BB683" si="5">BB593+10000</f>
        <v>30000</v>
      </c>
    </row>
    <row r="595" spans="2:54" hidden="1" outlineLevel="2">
      <c r="B595" s="2" t="s">
        <v>874</v>
      </c>
      <c r="C595"/>
      <c r="D595" s="251" t="s">
        <v>9195</v>
      </c>
      <c r="E595" s="251" t="s">
        <v>293</v>
      </c>
      <c r="F595" s="251" t="s">
        <v>293</v>
      </c>
      <c r="G595" s="251" t="s">
        <v>293</v>
      </c>
      <c r="H595" s="251" t="s">
        <v>9196</v>
      </c>
      <c r="I595" s="251" t="s">
        <v>9197</v>
      </c>
      <c r="BB595" s="2">
        <f t="shared" si="5"/>
        <v>40000</v>
      </c>
    </row>
    <row r="596" spans="2:54" hidden="1" outlineLevel="2">
      <c r="B596" s="2" t="s">
        <v>876</v>
      </c>
      <c r="C596"/>
      <c r="D596" s="1461" t="s">
        <v>9217</v>
      </c>
      <c r="E596" s="1461" t="s">
        <v>9218</v>
      </c>
      <c r="F596" s="1461" t="s">
        <v>9219</v>
      </c>
      <c r="G596" s="1461" t="s">
        <v>9220</v>
      </c>
      <c r="H596" s="1461">
        <v>224.01599999999999</v>
      </c>
      <c r="I596" s="1461">
        <v>206.46635939999999</v>
      </c>
    </row>
    <row r="597" spans="2:54" hidden="1" outlineLevel="2">
      <c r="B597" s="2" t="s">
        <v>876</v>
      </c>
      <c r="C597"/>
      <c r="D597" s="1461" t="s">
        <v>9194</v>
      </c>
      <c r="E597" s="1461" t="s">
        <v>9221</v>
      </c>
      <c r="F597" s="1461" t="s">
        <v>9222</v>
      </c>
      <c r="G597" s="1461" t="s">
        <v>9223</v>
      </c>
      <c r="H597" s="1461">
        <v>1</v>
      </c>
      <c r="I597" s="1461">
        <v>0.92165898599999996</v>
      </c>
    </row>
    <row r="598" spans="2:54" hidden="1" outlineLevel="2">
      <c r="B598" s="2" t="s">
        <v>876</v>
      </c>
      <c r="C598"/>
      <c r="D598" s="1461" t="s">
        <v>9224</v>
      </c>
      <c r="E598" s="1461" t="s">
        <v>9225</v>
      </c>
      <c r="F598" s="1461" t="s">
        <v>9226</v>
      </c>
      <c r="G598" s="1461" t="s">
        <v>9227</v>
      </c>
      <c r="H598" s="1461">
        <v>0.64</v>
      </c>
      <c r="I598" s="1461">
        <v>0.58986175100000005</v>
      </c>
    </row>
    <row r="599" spans="2:54" hidden="1" outlineLevel="2">
      <c r="B599" s="2" t="s">
        <v>876</v>
      </c>
      <c r="C599"/>
      <c r="D599" s="1461" t="s">
        <v>9228</v>
      </c>
      <c r="E599" s="1461" t="s">
        <v>9229</v>
      </c>
      <c r="F599" s="1461" t="s">
        <v>9230</v>
      </c>
      <c r="G599" s="1461" t="s">
        <v>9231</v>
      </c>
      <c r="H599" s="1461">
        <v>0.2412832</v>
      </c>
      <c r="I599" s="1461">
        <v>0.222380829</v>
      </c>
    </row>
    <row r="600" spans="2:54" hidden="1" outlineLevel="2">
      <c r="B600" s="2" t="s">
        <v>876</v>
      </c>
      <c r="C600"/>
      <c r="D600" s="1461" t="s">
        <v>9232</v>
      </c>
      <c r="E600" s="1461" t="s">
        <v>9233</v>
      </c>
      <c r="F600" s="1461" t="s">
        <v>9234</v>
      </c>
      <c r="G600" s="1461" t="s">
        <v>9235</v>
      </c>
      <c r="H600" s="1461">
        <v>70.56</v>
      </c>
      <c r="I600" s="1461">
        <v>65.032258060000004</v>
      </c>
    </row>
    <row r="601" spans="2:54" hidden="1" outlineLevel="2">
      <c r="B601" s="2" t="s">
        <v>876</v>
      </c>
      <c r="C601"/>
      <c r="D601" s="1461" t="s">
        <v>9236</v>
      </c>
      <c r="E601" s="1461" t="s">
        <v>9237</v>
      </c>
      <c r="F601" s="1461" t="s">
        <v>9238</v>
      </c>
      <c r="G601" s="1461" t="s">
        <v>9239</v>
      </c>
      <c r="H601" s="1461">
        <v>1.292224</v>
      </c>
      <c r="I601" s="1461">
        <v>1.1909898619999999</v>
      </c>
    </row>
    <row r="602" spans="2:54" hidden="1" outlineLevel="2">
      <c r="B602" s="2" t="s">
        <v>876</v>
      </c>
      <c r="C602"/>
      <c r="D602" s="1461" t="s">
        <v>9240</v>
      </c>
      <c r="E602" s="1461" t="s">
        <v>9241</v>
      </c>
      <c r="F602" s="1461" t="s">
        <v>9242</v>
      </c>
      <c r="G602" s="1461" t="s">
        <v>9243</v>
      </c>
      <c r="H602" s="1461">
        <v>0.64</v>
      </c>
      <c r="I602" s="1461">
        <v>0.58986175100000005</v>
      </c>
    </row>
    <row r="603" spans="2:54" hidden="1" outlineLevel="2">
      <c r="B603" s="2" t="s">
        <v>876</v>
      </c>
      <c r="C603"/>
      <c r="D603" s="1461" t="s">
        <v>9244</v>
      </c>
      <c r="E603" s="1461" t="s">
        <v>9245</v>
      </c>
      <c r="F603" s="1461" t="s">
        <v>9246</v>
      </c>
      <c r="G603" s="1461" t="s">
        <v>9247</v>
      </c>
      <c r="H603" s="1461">
        <v>8.8458880440000005</v>
      </c>
      <c r="I603" s="1461">
        <v>8.1528922070000007</v>
      </c>
    </row>
    <row r="604" spans="2:54" hidden="1" outlineLevel="2">
      <c r="B604" s="2" t="s">
        <v>876</v>
      </c>
      <c r="C604"/>
      <c r="D604" s="1461" t="s">
        <v>9248</v>
      </c>
      <c r="E604" s="1461" t="s">
        <v>9249</v>
      </c>
      <c r="F604" s="1461" t="s">
        <v>9250</v>
      </c>
      <c r="G604" s="1461" t="s">
        <v>9251</v>
      </c>
      <c r="H604" s="1461">
        <v>3.2875200000000002</v>
      </c>
      <c r="I604" s="1461">
        <v>3.02997235</v>
      </c>
    </row>
    <row r="605" spans="2:54" hidden="1" outlineLevel="2">
      <c r="B605" s="2" t="s">
        <v>876</v>
      </c>
      <c r="C605"/>
      <c r="D605" s="1461" t="s">
        <v>9252</v>
      </c>
      <c r="E605" s="1461" t="s">
        <v>9253</v>
      </c>
      <c r="F605" s="1461" t="s">
        <v>9254</v>
      </c>
      <c r="G605" s="1461" t="s">
        <v>9255</v>
      </c>
      <c r="H605" s="1461">
        <v>0.87446400000000002</v>
      </c>
      <c r="I605" s="1461">
        <v>0.80595760400000005</v>
      </c>
    </row>
    <row r="606" spans="2:54" hidden="1" outlineLevel="2">
      <c r="B606" s="2" t="s">
        <v>876</v>
      </c>
      <c r="C606"/>
      <c r="D606" s="1461" t="s">
        <v>9256</v>
      </c>
      <c r="E606" s="1461" t="s">
        <v>9257</v>
      </c>
      <c r="F606" s="1461" t="s">
        <v>9258</v>
      </c>
      <c r="G606" s="1461" t="s">
        <v>9259</v>
      </c>
      <c r="H606" s="1461">
        <v>1.1848959999999999</v>
      </c>
      <c r="I606" s="1461">
        <v>1.0920700459999999</v>
      </c>
    </row>
    <row r="607" spans="2:54" hidden="1" outlineLevel="2">
      <c r="B607" s="2" t="s">
        <v>876</v>
      </c>
      <c r="C607"/>
      <c r="D607" s="1461" t="s">
        <v>9260</v>
      </c>
      <c r="E607" s="1461" t="s">
        <v>9261</v>
      </c>
      <c r="F607" s="1461" t="s">
        <v>9262</v>
      </c>
      <c r="G607" s="1461" t="s">
        <v>9263</v>
      </c>
      <c r="H607" s="1461">
        <v>2643.2</v>
      </c>
      <c r="I607" s="1461">
        <v>2436.1290319999998</v>
      </c>
    </row>
    <row r="608" spans="2:54" hidden="1" outlineLevel="2">
      <c r="B608" s="2" t="s">
        <v>876</v>
      </c>
      <c r="C608"/>
      <c r="D608" s="1461" t="s">
        <v>7523</v>
      </c>
      <c r="E608" s="1461" t="s">
        <v>9264</v>
      </c>
      <c r="F608" s="1461" t="s">
        <v>9265</v>
      </c>
      <c r="G608" s="1461" t="s">
        <v>9266</v>
      </c>
      <c r="H608" s="1461">
        <v>0.86921599999999999</v>
      </c>
      <c r="I608" s="1461">
        <v>0.80112073699999997</v>
      </c>
    </row>
    <row r="609" spans="2:9" hidden="1" outlineLevel="2">
      <c r="B609" s="2" t="s">
        <v>876</v>
      </c>
      <c r="C609"/>
      <c r="D609" s="1461" t="s">
        <v>9267</v>
      </c>
      <c r="E609" s="1461" t="s">
        <v>9268</v>
      </c>
      <c r="F609" s="1461" t="s">
        <v>9269</v>
      </c>
      <c r="G609" s="1461" t="s">
        <v>9270</v>
      </c>
      <c r="H609" s="1461">
        <v>588.15359999999998</v>
      </c>
      <c r="I609" s="1461">
        <v>542.07705069999997</v>
      </c>
    </row>
    <row r="610" spans="2:9" hidden="1" outlineLevel="2">
      <c r="B610" s="2" t="s">
        <v>876</v>
      </c>
      <c r="C610"/>
      <c r="D610" s="1461" t="s">
        <v>9271</v>
      </c>
      <c r="E610" s="1461" t="s">
        <v>9272</v>
      </c>
      <c r="F610" s="1461" t="s">
        <v>9273</v>
      </c>
      <c r="G610" s="1461" t="s">
        <v>9274</v>
      </c>
      <c r="H610" s="1461">
        <v>4.6639359999999996</v>
      </c>
      <c r="I610" s="1461">
        <v>4.2985585249999998</v>
      </c>
    </row>
    <row r="611" spans="2:9" hidden="1" outlineLevel="2">
      <c r="B611" s="2" t="s">
        <v>876</v>
      </c>
      <c r="C611"/>
      <c r="D611" s="1461" t="s">
        <v>7504</v>
      </c>
      <c r="E611" s="1461" t="s">
        <v>9275</v>
      </c>
      <c r="F611" s="1461" t="s">
        <v>9276</v>
      </c>
      <c r="G611" s="1461" t="s">
        <v>9277</v>
      </c>
      <c r="H611" s="1461">
        <v>4.6645760000000003</v>
      </c>
      <c r="I611" s="1461">
        <v>4.2991483869999998</v>
      </c>
    </row>
    <row r="612" spans="2:9" hidden="1" outlineLevel="2">
      <c r="B612" s="2" t="s">
        <v>876</v>
      </c>
      <c r="C612"/>
      <c r="D612" s="1461" t="s">
        <v>9278</v>
      </c>
      <c r="E612" s="1461" t="s">
        <v>9279</v>
      </c>
      <c r="F612" s="1461" t="s">
        <v>9280</v>
      </c>
      <c r="G612" s="1461" t="s">
        <v>9281</v>
      </c>
      <c r="H612" s="1461">
        <v>2762.88</v>
      </c>
      <c r="I612" s="1461">
        <v>2546.43318</v>
      </c>
    </row>
    <row r="613" spans="2:9" hidden="1" outlineLevel="2">
      <c r="B613" s="2" t="s">
        <v>876</v>
      </c>
      <c r="C613"/>
      <c r="D613" s="1461" t="s">
        <v>9282</v>
      </c>
      <c r="E613" s="1461" t="s">
        <v>9283</v>
      </c>
      <c r="F613" s="1461" t="s">
        <v>9284</v>
      </c>
      <c r="G613" s="1461" t="s">
        <v>9285</v>
      </c>
      <c r="H613" s="1461">
        <v>4.5069759999999999</v>
      </c>
      <c r="I613" s="1461">
        <v>4.153894931</v>
      </c>
    </row>
    <row r="614" spans="2:9" hidden="1" outlineLevel="2">
      <c r="B614" s="2" t="s">
        <v>876</v>
      </c>
      <c r="C614"/>
      <c r="D614" s="1461" t="s">
        <v>9286</v>
      </c>
      <c r="E614" s="1461" t="s">
        <v>9287</v>
      </c>
      <c r="F614" s="1461" t="s">
        <v>9288</v>
      </c>
      <c r="G614" s="1461" t="s">
        <v>9289</v>
      </c>
      <c r="H614" s="1461">
        <v>14.81504</v>
      </c>
      <c r="I614" s="1461">
        <v>13.654414750000001</v>
      </c>
    </row>
    <row r="615" spans="2:9" hidden="1" outlineLevel="2">
      <c r="B615" s="2" t="s">
        <v>876</v>
      </c>
      <c r="C615"/>
      <c r="D615" s="1461" t="s">
        <v>9290</v>
      </c>
      <c r="E615" s="1461" t="s">
        <v>9291</v>
      </c>
      <c r="F615" s="1461" t="s">
        <v>9292</v>
      </c>
      <c r="G615" s="1461" t="s">
        <v>9293</v>
      </c>
      <c r="H615" s="1461">
        <v>1584</v>
      </c>
      <c r="I615" s="1461">
        <v>1459.9078340000001</v>
      </c>
    </row>
    <row r="616" spans="2:9" hidden="1" outlineLevel="2">
      <c r="B616" s="2" t="s">
        <v>876</v>
      </c>
      <c r="C616"/>
      <c r="D616" s="1461" t="s">
        <v>7503</v>
      </c>
      <c r="E616" s="1461" t="s">
        <v>9294</v>
      </c>
      <c r="F616" s="1461" t="s">
        <v>9295</v>
      </c>
      <c r="G616" s="1461" t="s">
        <v>9296</v>
      </c>
      <c r="H616" s="1461">
        <v>4.5172800000000004</v>
      </c>
      <c r="I616" s="1461">
        <v>4.1633917050000004</v>
      </c>
    </row>
    <row r="617" spans="2:9" hidden="1" outlineLevel="2">
      <c r="B617" s="2" t="s">
        <v>876</v>
      </c>
      <c r="C617"/>
      <c r="D617" s="1461" t="s">
        <v>9297</v>
      </c>
      <c r="E617" s="1461" t="s">
        <v>9298</v>
      </c>
      <c r="F617" s="1461" t="s">
        <v>9299</v>
      </c>
      <c r="G617" s="1461" t="s">
        <v>9300</v>
      </c>
      <c r="H617" s="1461">
        <v>19.776</v>
      </c>
      <c r="I617" s="1461">
        <v>18.22672811</v>
      </c>
    </row>
    <row r="618" spans="2:9" hidden="1" outlineLevel="2">
      <c r="B618" s="2" t="s">
        <v>876</v>
      </c>
      <c r="C618"/>
      <c r="D618" s="1461" t="s">
        <v>7500</v>
      </c>
      <c r="E618" s="1461" t="s">
        <v>9301</v>
      </c>
      <c r="F618" s="1461" t="s">
        <v>9302</v>
      </c>
      <c r="G618" s="1461" t="s">
        <v>9303</v>
      </c>
      <c r="H618" s="1461">
        <v>0.60577378100000001</v>
      </c>
      <c r="I618" s="1461">
        <v>0.558316849</v>
      </c>
    </row>
    <row r="619" spans="2:9" hidden="1" outlineLevel="2">
      <c r="B619" s="2" t="s">
        <v>876</v>
      </c>
      <c r="C619"/>
      <c r="D619" s="1461" t="s">
        <v>7518</v>
      </c>
      <c r="E619" s="1461" t="s">
        <v>9304</v>
      </c>
      <c r="F619" s="1461" t="s">
        <v>9305</v>
      </c>
      <c r="G619" s="1461" t="s">
        <v>9306</v>
      </c>
      <c r="H619" s="1461">
        <v>1.4722797329999999</v>
      </c>
      <c r="I619" s="1461">
        <v>1.3569398459999999</v>
      </c>
    </row>
    <row r="620" spans="2:9" hidden="1" outlineLevel="2">
      <c r="B620" s="2" t="s">
        <v>876</v>
      </c>
      <c r="C620"/>
      <c r="D620" s="1461" t="s">
        <v>9307</v>
      </c>
      <c r="E620" s="1461" t="s">
        <v>9308</v>
      </c>
      <c r="F620" s="1461" t="s">
        <v>9309</v>
      </c>
      <c r="G620" s="1461" t="s">
        <v>9310</v>
      </c>
      <c r="H620" s="1461">
        <v>72.393600000000006</v>
      </c>
      <c r="I620" s="1461">
        <v>66.722211979999997</v>
      </c>
    </row>
    <row r="621" spans="2:9" hidden="1" outlineLevel="2">
      <c r="B621" s="2" t="s">
        <v>876</v>
      </c>
      <c r="C621"/>
      <c r="D621" s="1461" t="s">
        <v>9311</v>
      </c>
      <c r="E621" s="1461" t="s">
        <v>9312</v>
      </c>
      <c r="F621" s="1461" t="s">
        <v>9313</v>
      </c>
      <c r="G621" s="1461" t="s">
        <v>9314</v>
      </c>
      <c r="H621" s="1461">
        <v>2909.296875</v>
      </c>
      <c r="I621" s="1461">
        <v>3156.5871090000001</v>
      </c>
    </row>
    <row r="622" spans="2:9" hidden="1" outlineLevel="2">
      <c r="B622" s="2" t="s">
        <v>876</v>
      </c>
      <c r="C622"/>
      <c r="D622" s="1461" t="s">
        <v>7505</v>
      </c>
      <c r="E622" s="1461" t="s">
        <v>9315</v>
      </c>
      <c r="F622" s="1461" t="s">
        <v>9316</v>
      </c>
      <c r="G622" s="1461" t="s">
        <v>9317</v>
      </c>
      <c r="H622" s="1461">
        <v>5.007072</v>
      </c>
      <c r="I622" s="1461">
        <v>4.6148129029999998</v>
      </c>
    </row>
    <row r="623" spans="2:9" hidden="1" outlineLevel="2">
      <c r="B623" s="2" t="s">
        <v>876</v>
      </c>
      <c r="C623"/>
      <c r="D623" s="1461" t="s">
        <v>9318</v>
      </c>
      <c r="E623" s="1461" t="s">
        <v>9319</v>
      </c>
      <c r="F623" s="1461" t="s">
        <v>9320</v>
      </c>
      <c r="G623" s="1461" t="s">
        <v>9321</v>
      </c>
      <c r="H623" s="1461">
        <v>235.44640000000001</v>
      </c>
      <c r="I623" s="1461">
        <v>217.00129029999999</v>
      </c>
    </row>
    <row r="624" spans="2:9" hidden="1" outlineLevel="2">
      <c r="B624" s="2" t="s">
        <v>876</v>
      </c>
      <c r="C624"/>
      <c r="D624" s="1461" t="s">
        <v>9322</v>
      </c>
      <c r="E624" s="1461" t="s">
        <v>9323</v>
      </c>
      <c r="F624" s="1461" t="s">
        <v>9324</v>
      </c>
      <c r="G624" s="1461" t="s">
        <v>9325</v>
      </c>
      <c r="H624" s="1461">
        <v>53.281599999999997</v>
      </c>
      <c r="I624" s="1461">
        <v>49.107465439999999</v>
      </c>
    </row>
    <row r="625" spans="2:9" hidden="1" outlineLevel="2">
      <c r="B625" s="2" t="s">
        <v>876</v>
      </c>
      <c r="C625"/>
      <c r="D625" s="1461" t="s">
        <v>9326</v>
      </c>
      <c r="E625" s="1461" t="s">
        <v>9327</v>
      </c>
      <c r="F625" s="1461" t="s">
        <v>9328</v>
      </c>
      <c r="G625" s="1461" t="s">
        <v>9329</v>
      </c>
      <c r="H625" s="1461">
        <v>10061.76</v>
      </c>
      <c r="I625" s="1461">
        <v>9273.5115210000004</v>
      </c>
    </row>
    <row r="626" spans="2:9" hidden="1" outlineLevel="2">
      <c r="B626" s="2" t="s">
        <v>876</v>
      </c>
      <c r="C626"/>
      <c r="D626" s="1461" t="s">
        <v>9330</v>
      </c>
      <c r="E626" s="1461" t="s">
        <v>9331</v>
      </c>
      <c r="F626" s="1461" t="s">
        <v>9332</v>
      </c>
      <c r="G626" s="1461" t="s">
        <v>9333</v>
      </c>
      <c r="H626" s="1461">
        <v>837.76</v>
      </c>
      <c r="I626" s="1461">
        <v>772.12903229999995</v>
      </c>
    </row>
    <row r="627" spans="2:9" hidden="1" outlineLevel="2">
      <c r="B627" s="2" t="s">
        <v>876</v>
      </c>
      <c r="C627"/>
      <c r="D627" s="1461" t="s">
        <v>9334</v>
      </c>
      <c r="E627" s="1461" t="s">
        <v>9335</v>
      </c>
      <c r="F627" s="1461" t="s">
        <v>9336</v>
      </c>
      <c r="G627" s="1461" t="s">
        <v>9337</v>
      </c>
      <c r="H627" s="1461">
        <v>2.5048319999999999</v>
      </c>
      <c r="I627" s="1461">
        <v>2.3086009220000001</v>
      </c>
    </row>
    <row r="628" spans="2:9" hidden="1" outlineLevel="2">
      <c r="B628" s="2" t="s">
        <v>876</v>
      </c>
      <c r="C628"/>
      <c r="D628" s="1461" t="s">
        <v>9338</v>
      </c>
      <c r="E628" s="1461" t="s">
        <v>9339</v>
      </c>
      <c r="F628" s="1461" t="s">
        <v>9340</v>
      </c>
      <c r="G628" s="1461" t="s">
        <v>9341</v>
      </c>
      <c r="H628" s="1461">
        <v>398.88</v>
      </c>
      <c r="I628" s="1461">
        <v>367.63133640000001</v>
      </c>
    </row>
    <row r="629" spans="2:9" hidden="1" outlineLevel="2">
      <c r="B629" s="2" t="s">
        <v>876</v>
      </c>
      <c r="C629"/>
      <c r="D629" s="1461" t="s">
        <v>7501</v>
      </c>
      <c r="E629" s="1461" t="s">
        <v>9342</v>
      </c>
      <c r="F629" s="1461" t="s">
        <v>9343</v>
      </c>
      <c r="G629" s="1461" t="s">
        <v>9344</v>
      </c>
      <c r="H629" s="1461">
        <v>95.152000000000001</v>
      </c>
      <c r="I629" s="1461">
        <v>87.697695850000002</v>
      </c>
    </row>
    <row r="630" spans="2:9" hidden="1" outlineLevel="2">
      <c r="B630" s="2" t="s">
        <v>876</v>
      </c>
      <c r="C630"/>
      <c r="D630" s="1461" t="s">
        <v>9345</v>
      </c>
      <c r="E630" s="1461" t="s">
        <v>9346</v>
      </c>
      <c r="F630" s="1461" t="s">
        <v>9347</v>
      </c>
      <c r="G630" s="1461" t="s">
        <v>9348</v>
      </c>
      <c r="H630" s="1461">
        <v>0.45382400000000001</v>
      </c>
      <c r="I630" s="1461">
        <v>0.41827096800000002</v>
      </c>
    </row>
    <row r="631" spans="2:9" hidden="1" outlineLevel="2">
      <c r="B631" s="2" t="s">
        <v>876</v>
      </c>
      <c r="C631"/>
      <c r="D631" s="1461" t="s">
        <v>9349</v>
      </c>
      <c r="E631" s="1461" t="s">
        <v>9350</v>
      </c>
      <c r="F631" s="1461" t="s">
        <v>9351</v>
      </c>
      <c r="G631" s="1461" t="s">
        <v>9352</v>
      </c>
      <c r="H631" s="1461">
        <v>95.296000000000006</v>
      </c>
      <c r="I631" s="1461">
        <v>87.830414750000003</v>
      </c>
    </row>
    <row r="632" spans="2:9" hidden="1" outlineLevel="2">
      <c r="B632" s="2" t="s">
        <v>876</v>
      </c>
      <c r="C632"/>
      <c r="D632" s="1461" t="s">
        <v>9353</v>
      </c>
      <c r="E632" s="1461" t="s">
        <v>9354</v>
      </c>
      <c r="F632" s="1461" t="s">
        <v>9355</v>
      </c>
      <c r="G632" s="1461" t="s">
        <v>9356</v>
      </c>
      <c r="H632" s="1461">
        <v>0.19781760000000001</v>
      </c>
      <c r="I632" s="1461">
        <v>0.18232036900000001</v>
      </c>
    </row>
    <row r="633" spans="2:9" hidden="1" outlineLevel="2">
      <c r="B633" s="2" t="s">
        <v>876</v>
      </c>
      <c r="C633"/>
      <c r="D633" s="1461" t="s">
        <v>9357</v>
      </c>
      <c r="E633" s="1461" t="s">
        <v>9358</v>
      </c>
      <c r="F633" s="1461" t="s">
        <v>9359</v>
      </c>
      <c r="G633" s="1461" t="s">
        <v>9360</v>
      </c>
      <c r="H633" s="1461">
        <v>13102.9632</v>
      </c>
      <c r="I633" s="1461">
        <v>12076.46378</v>
      </c>
    </row>
    <row r="634" spans="2:9" hidden="1" outlineLevel="2">
      <c r="B634" s="2" t="s">
        <v>876</v>
      </c>
      <c r="C634"/>
      <c r="D634" s="1461" t="s">
        <v>9361</v>
      </c>
      <c r="E634" s="1461" t="s">
        <v>9362</v>
      </c>
      <c r="F634" s="1461" t="s">
        <v>9363</v>
      </c>
      <c r="G634" s="1461" t="s">
        <v>9364</v>
      </c>
      <c r="H634" s="1461">
        <v>5.1609600000000002</v>
      </c>
      <c r="I634" s="1461">
        <v>4.7566451609999998</v>
      </c>
    </row>
    <row r="635" spans="2:9" hidden="1" outlineLevel="2">
      <c r="B635" s="2" t="s">
        <v>876</v>
      </c>
      <c r="C635"/>
      <c r="D635" s="1461" t="s">
        <v>9365</v>
      </c>
      <c r="E635" s="1461" t="s">
        <v>9366</v>
      </c>
      <c r="F635" s="1461" t="s">
        <v>9367</v>
      </c>
      <c r="G635" s="1461" t="s">
        <v>9368</v>
      </c>
      <c r="H635" s="1461">
        <v>737.20960000000002</v>
      </c>
      <c r="I635" s="1461">
        <v>679.45585249999999</v>
      </c>
    </row>
    <row r="636" spans="2:9" hidden="1" outlineLevel="2">
      <c r="B636" s="2" t="s">
        <v>876</v>
      </c>
      <c r="C636"/>
      <c r="D636" s="1461" t="s">
        <v>9369</v>
      </c>
      <c r="E636" s="1461" t="s">
        <v>9370</v>
      </c>
      <c r="F636" s="1461" t="s">
        <v>9371</v>
      </c>
      <c r="G636" s="1461" t="s">
        <v>9372</v>
      </c>
      <c r="H636" s="1461">
        <v>3.0304000000000002</v>
      </c>
      <c r="I636" s="1461">
        <v>2.7929953919999999</v>
      </c>
    </row>
    <row r="637" spans="2:9" hidden="1" outlineLevel="2">
      <c r="B637" s="2" t="s">
        <v>876</v>
      </c>
      <c r="C637"/>
      <c r="D637" s="1461" t="s">
        <v>9373</v>
      </c>
      <c r="E637" s="1461" t="s">
        <v>9374</v>
      </c>
      <c r="F637" s="1461" t="s">
        <v>9375</v>
      </c>
      <c r="G637" s="1461" t="s">
        <v>9376</v>
      </c>
      <c r="H637" s="1461">
        <v>28.288</v>
      </c>
      <c r="I637" s="1461">
        <v>26.0718894</v>
      </c>
    </row>
    <row r="638" spans="2:9" hidden="1" outlineLevel="2">
      <c r="B638" s="2" t="s">
        <v>876</v>
      </c>
      <c r="C638"/>
      <c r="D638" s="1461" t="s">
        <v>9377</v>
      </c>
      <c r="E638" s="1461" t="s">
        <v>9378</v>
      </c>
      <c r="F638" s="1461" t="s">
        <v>9379</v>
      </c>
      <c r="G638" s="1461" t="s">
        <v>9380</v>
      </c>
      <c r="H638" s="1461">
        <v>11.651199999999999</v>
      </c>
      <c r="I638" s="1461">
        <v>10.738433179999999</v>
      </c>
    </row>
    <row r="639" spans="2:9" hidden="1" outlineLevel="2">
      <c r="B639" s="2" t="s">
        <v>876</v>
      </c>
      <c r="C639"/>
      <c r="D639" s="1461" t="s">
        <v>9381</v>
      </c>
      <c r="E639" s="1461" t="s">
        <v>9382</v>
      </c>
      <c r="F639" s="1461" t="s">
        <v>9383</v>
      </c>
      <c r="G639" s="1461" t="s">
        <v>9384</v>
      </c>
      <c r="H639" s="1461">
        <v>1344</v>
      </c>
      <c r="I639" s="1461">
        <v>1238.7096770000001</v>
      </c>
    </row>
    <row r="640" spans="2:9" hidden="1" outlineLevel="2">
      <c r="B640" s="2" t="s">
        <v>876</v>
      </c>
      <c r="C640"/>
      <c r="D640" s="1461" t="s">
        <v>9385</v>
      </c>
      <c r="E640" s="1461" t="s">
        <v>9386</v>
      </c>
      <c r="F640" s="1461" t="s">
        <v>9387</v>
      </c>
      <c r="G640" s="1461" t="s">
        <v>9388</v>
      </c>
      <c r="H640" s="1461">
        <v>85.251199999999997</v>
      </c>
      <c r="I640" s="1461">
        <v>78.572534559999994</v>
      </c>
    </row>
    <row r="641" spans="2:9" hidden="1" outlineLevel="2">
      <c r="B641" s="2" t="s">
        <v>876</v>
      </c>
      <c r="C641"/>
      <c r="D641" s="1461" t="s">
        <v>7532</v>
      </c>
      <c r="E641" s="1461" t="s">
        <v>9389</v>
      </c>
      <c r="F641" s="1461" t="s">
        <v>9390</v>
      </c>
      <c r="G641" s="1461" t="s">
        <v>9391</v>
      </c>
      <c r="H641" s="1461">
        <v>1.085</v>
      </c>
      <c r="I641" s="1461">
        <v>1</v>
      </c>
    </row>
    <row r="642" spans="2:9" hidden="1" outlineLevel="2">
      <c r="B642" s="2" t="s">
        <v>876</v>
      </c>
      <c r="C642"/>
      <c r="D642" s="1461" t="s">
        <v>9392</v>
      </c>
      <c r="E642" s="1461" t="s">
        <v>9393</v>
      </c>
      <c r="F642" s="1461" t="s">
        <v>9394</v>
      </c>
      <c r="G642" s="1461" t="s">
        <v>9395</v>
      </c>
      <c r="H642" s="1461">
        <v>485.89440000000002</v>
      </c>
      <c r="I642" s="1461">
        <v>447.82894010000001</v>
      </c>
    </row>
    <row r="643" spans="2:9" hidden="1" outlineLevel="2">
      <c r="B643" s="2" t="s">
        <v>876</v>
      </c>
      <c r="C643"/>
      <c r="D643" s="1461" t="s">
        <v>7540</v>
      </c>
      <c r="E643" s="1461" t="s">
        <v>9396</v>
      </c>
      <c r="F643" s="1461" t="s">
        <v>9397</v>
      </c>
      <c r="G643" s="1461" t="s">
        <v>9398</v>
      </c>
      <c r="H643" s="1461">
        <v>6.9137919999999999</v>
      </c>
      <c r="I643" s="1461">
        <v>6.3721585249999997</v>
      </c>
    </row>
    <row r="644" spans="2:9" hidden="1" outlineLevel="2">
      <c r="B644" s="2" t="s">
        <v>876</v>
      </c>
      <c r="C644"/>
      <c r="D644" s="1461" t="s">
        <v>9399</v>
      </c>
      <c r="E644" s="1461" t="s">
        <v>9400</v>
      </c>
      <c r="F644" s="1461" t="s">
        <v>9401</v>
      </c>
      <c r="G644" s="1461" t="s">
        <v>9402</v>
      </c>
      <c r="H644" s="1461">
        <v>0.24640000000000001</v>
      </c>
      <c r="I644" s="1461">
        <v>0.227096774</v>
      </c>
    </row>
    <row r="645" spans="2:9" hidden="1" outlineLevel="2">
      <c r="B645" s="2" t="s">
        <v>876</v>
      </c>
      <c r="C645"/>
      <c r="D645" s="1461" t="s">
        <v>9403</v>
      </c>
      <c r="E645" s="1461" t="s">
        <v>9404</v>
      </c>
      <c r="F645" s="1461" t="s">
        <v>9405</v>
      </c>
      <c r="G645" s="1461" t="s">
        <v>9406</v>
      </c>
      <c r="H645" s="1461">
        <v>179.52</v>
      </c>
      <c r="I645" s="1461">
        <v>165.45622119999999</v>
      </c>
    </row>
    <row r="646" spans="2:9" hidden="1" outlineLevel="2">
      <c r="B646" s="2" t="s">
        <v>876</v>
      </c>
      <c r="C646"/>
      <c r="D646" s="1461" t="s">
        <v>9407</v>
      </c>
      <c r="E646" s="1461" t="s">
        <v>9408</v>
      </c>
      <c r="F646" s="1461" t="s">
        <v>9409</v>
      </c>
      <c r="G646" s="1461" t="s">
        <v>9410</v>
      </c>
      <c r="H646" s="1461">
        <v>1796.1355470000001</v>
      </c>
      <c r="I646" s="1461">
        <v>1948.8070680000001</v>
      </c>
    </row>
    <row r="647" spans="2:9" hidden="1" outlineLevel="2">
      <c r="B647" s="2" t="s">
        <v>876</v>
      </c>
      <c r="C647"/>
      <c r="D647" s="1461" t="s">
        <v>9411</v>
      </c>
      <c r="E647" s="1461" t="s">
        <v>9412</v>
      </c>
      <c r="F647" s="1461" t="s">
        <v>9413</v>
      </c>
      <c r="G647" s="1461" t="s">
        <v>9414</v>
      </c>
      <c r="H647" s="1461">
        <v>2.3616236160000001</v>
      </c>
      <c r="I647" s="1461">
        <v>2.1766116279999999</v>
      </c>
    </row>
    <row r="648" spans="2:9" hidden="1" outlineLevel="2">
      <c r="B648" s="2" t="s">
        <v>876</v>
      </c>
      <c r="C648"/>
      <c r="D648" s="1461" t="s">
        <v>9415</v>
      </c>
      <c r="E648" s="1461" t="s">
        <v>9416</v>
      </c>
      <c r="F648" s="1461" t="s">
        <v>9417</v>
      </c>
      <c r="G648" s="1461" t="s">
        <v>9418</v>
      </c>
      <c r="H648" s="1461">
        <v>2.4571519999999998</v>
      </c>
      <c r="I648" s="1461">
        <v>2.2646562210000001</v>
      </c>
    </row>
    <row r="649" spans="2:9" hidden="1" outlineLevel="2">
      <c r="B649" s="2" t="s">
        <v>876</v>
      </c>
      <c r="C649"/>
      <c r="D649" s="1461" t="s">
        <v>9419</v>
      </c>
      <c r="E649" s="1461" t="s">
        <v>9420</v>
      </c>
      <c r="F649" s="1461" t="s">
        <v>9421</v>
      </c>
      <c r="G649" s="1461" t="s">
        <v>9422</v>
      </c>
      <c r="H649" s="1461">
        <v>36.396799999999999</v>
      </c>
      <c r="I649" s="1461">
        <v>33.545437790000001</v>
      </c>
    </row>
    <row r="650" spans="2:9" hidden="1" outlineLevel="2">
      <c r="B650" s="2" t="s">
        <v>876</v>
      </c>
      <c r="C650"/>
      <c r="D650" s="1461" t="s">
        <v>9423</v>
      </c>
      <c r="E650" s="1461" t="s">
        <v>9424</v>
      </c>
      <c r="F650" s="1461" t="s">
        <v>9425</v>
      </c>
      <c r="G650" s="1461" t="s">
        <v>9426</v>
      </c>
      <c r="H650" s="1461">
        <v>1395.1632810000001</v>
      </c>
      <c r="I650" s="1461">
        <v>1513.75216</v>
      </c>
    </row>
    <row r="651" spans="2:9" hidden="1" outlineLevel="2">
      <c r="B651" s="2" t="s">
        <v>876</v>
      </c>
      <c r="C651"/>
      <c r="D651" s="1461" t="s">
        <v>9427</v>
      </c>
      <c r="E651" s="1461" t="s">
        <v>9428</v>
      </c>
      <c r="F651" s="1461" t="s">
        <v>9429</v>
      </c>
      <c r="G651" s="1461" t="s">
        <v>9430</v>
      </c>
      <c r="H651" s="1461">
        <v>2.766016</v>
      </c>
      <c r="I651" s="1461">
        <v>2.549323502</v>
      </c>
    </row>
    <row r="652" spans="2:9" hidden="1" outlineLevel="2">
      <c r="B652" s="2" t="s">
        <v>876</v>
      </c>
      <c r="C652"/>
      <c r="D652" s="1461" t="s">
        <v>9431</v>
      </c>
      <c r="E652" s="1461" t="s">
        <v>9432</v>
      </c>
      <c r="F652" s="1461" t="s">
        <v>9433</v>
      </c>
      <c r="G652" s="1461" t="s">
        <v>9434</v>
      </c>
      <c r="H652" s="1461">
        <v>2.3336000000000001</v>
      </c>
      <c r="I652" s="1461">
        <v>2.1507834099999998</v>
      </c>
    </row>
    <row r="653" spans="2:9" hidden="1" outlineLevel="2">
      <c r="B653" s="2" t="s">
        <v>876</v>
      </c>
      <c r="C653"/>
      <c r="D653" s="1461" t="s">
        <v>9435</v>
      </c>
      <c r="E653" s="1461" t="s">
        <v>9436</v>
      </c>
      <c r="F653" s="1461" t="s">
        <v>9437</v>
      </c>
      <c r="G653" s="1461" t="s">
        <v>9438</v>
      </c>
      <c r="H653" s="1461">
        <v>3.0077759999999998</v>
      </c>
      <c r="I653" s="1461">
        <v>2.7721437789999999</v>
      </c>
    </row>
    <row r="654" spans="2:9" hidden="1" outlineLevel="2">
      <c r="B654" s="2" t="s">
        <v>876</v>
      </c>
      <c r="C654"/>
      <c r="D654" s="1461" t="s">
        <v>9439</v>
      </c>
      <c r="E654" s="1461" t="s">
        <v>9440</v>
      </c>
      <c r="F654" s="1461" t="s">
        <v>9441</v>
      </c>
      <c r="G654" s="1461" t="s">
        <v>9442</v>
      </c>
      <c r="H654" s="1461">
        <v>64.055999999999997</v>
      </c>
      <c r="I654" s="1461">
        <v>59.037788020000001</v>
      </c>
    </row>
    <row r="655" spans="2:9" hidden="1" outlineLevel="2">
      <c r="B655" s="2" t="s">
        <v>876</v>
      </c>
      <c r="C655"/>
      <c r="D655" s="1461" t="s">
        <v>9443</v>
      </c>
      <c r="E655" s="1461" t="s">
        <v>9444</v>
      </c>
      <c r="F655" s="1461" t="s">
        <v>9445</v>
      </c>
      <c r="G655" s="1461" t="s">
        <v>9446</v>
      </c>
      <c r="H655" s="1461">
        <v>1.775804661</v>
      </c>
      <c r="I655" s="1461">
        <v>1.636686324</v>
      </c>
    </row>
    <row r="656" spans="2:9" hidden="1" outlineLevel="2">
      <c r="B656" s="2" t="s">
        <v>876</v>
      </c>
      <c r="C656"/>
      <c r="D656" s="1461" t="s">
        <v>9447</v>
      </c>
      <c r="E656" s="1461" t="s">
        <v>9448</v>
      </c>
      <c r="F656" s="1461" t="s">
        <v>9449</v>
      </c>
      <c r="G656" s="1461" t="s">
        <v>9450</v>
      </c>
      <c r="H656" s="1461">
        <v>2.4006400000000001</v>
      </c>
      <c r="I656" s="1461">
        <v>2.212571429</v>
      </c>
    </row>
    <row r="657" spans="2:9" hidden="1" outlineLevel="2">
      <c r="B657" s="2" t="s">
        <v>876</v>
      </c>
      <c r="C657"/>
      <c r="D657" s="1461" t="s">
        <v>9451</v>
      </c>
      <c r="E657" s="1461" t="s">
        <v>9452</v>
      </c>
      <c r="F657" s="1461" t="s">
        <v>9453</v>
      </c>
      <c r="G657" s="1461" t="s">
        <v>9454</v>
      </c>
      <c r="H657" s="1461">
        <v>8.7168320000000001</v>
      </c>
      <c r="I657" s="1461">
        <v>8.0339465440000009</v>
      </c>
    </row>
    <row r="658" spans="2:9" hidden="1" outlineLevel="2">
      <c r="B658" s="2" t="s">
        <v>876</v>
      </c>
      <c r="C658"/>
      <c r="D658" s="1461" t="s">
        <v>9455</v>
      </c>
      <c r="E658" s="1461" t="s">
        <v>9456</v>
      </c>
      <c r="F658" s="1461" t="s">
        <v>9457</v>
      </c>
      <c r="G658" s="1461" t="s">
        <v>9458</v>
      </c>
      <c r="H658" s="1461">
        <v>14249.28</v>
      </c>
      <c r="I658" s="1461">
        <v>13132.97696</v>
      </c>
    </row>
    <row r="659" spans="2:9" hidden="1" outlineLevel="2">
      <c r="B659" s="2" t="s">
        <v>876</v>
      </c>
      <c r="C659"/>
      <c r="D659" s="1461" t="s">
        <v>9459</v>
      </c>
      <c r="E659" s="1461" t="s">
        <v>9460</v>
      </c>
      <c r="F659" s="1461" t="s">
        <v>9461</v>
      </c>
      <c r="G659" s="1461" t="s">
        <v>9462</v>
      </c>
      <c r="H659" s="1461">
        <v>2.9391503999999999E-2</v>
      </c>
      <c r="I659" s="1461">
        <v>2.7088944E-2</v>
      </c>
    </row>
    <row r="660" spans="2:9" hidden="1" outlineLevel="2">
      <c r="B660" s="2" t="s">
        <v>876</v>
      </c>
      <c r="C660"/>
      <c r="D660" s="1461" t="s">
        <v>7506</v>
      </c>
      <c r="E660" s="1461" t="s">
        <v>9463</v>
      </c>
      <c r="F660" s="1461" t="s">
        <v>9464</v>
      </c>
      <c r="G660" s="1461" t="s">
        <v>9465</v>
      </c>
      <c r="H660" s="1461">
        <v>0.87446400000000002</v>
      </c>
      <c r="I660" s="1461">
        <v>0.80595760400000005</v>
      </c>
    </row>
    <row r="661" spans="2:9" hidden="1" outlineLevel="2">
      <c r="B661" s="2" t="s">
        <v>876</v>
      </c>
      <c r="C661"/>
      <c r="D661" s="1461" t="s">
        <v>9466</v>
      </c>
      <c r="E661" s="1461" t="s">
        <v>9467</v>
      </c>
      <c r="F661" s="1461" t="s">
        <v>9468</v>
      </c>
      <c r="G661" s="1461" t="s">
        <v>9469</v>
      </c>
      <c r="H661" s="1461">
        <v>5.4237288140000004</v>
      </c>
      <c r="I661" s="1461">
        <v>4.9988283999999998</v>
      </c>
    </row>
    <row r="662" spans="2:9" hidden="1" outlineLevel="2">
      <c r="B662" s="2" t="s">
        <v>876</v>
      </c>
      <c r="C662"/>
      <c r="D662" s="1461" t="s">
        <v>7538</v>
      </c>
      <c r="E662" s="1461" t="s">
        <v>9470</v>
      </c>
      <c r="F662" s="1461" t="s">
        <v>9471</v>
      </c>
      <c r="G662" s="1461" t="s">
        <v>9472</v>
      </c>
      <c r="H662" s="1461">
        <v>12.381983999999999</v>
      </c>
      <c r="I662" s="1461">
        <v>11.41196682</v>
      </c>
    </row>
    <row r="663" spans="2:9" hidden="1" outlineLevel="2">
      <c r="B663" s="2" t="s">
        <v>876</v>
      </c>
      <c r="C663"/>
      <c r="D663" s="1461" t="s">
        <v>9473</v>
      </c>
      <c r="E663" s="1461" t="s">
        <v>9474</v>
      </c>
      <c r="F663" s="1461" t="s">
        <v>9475</v>
      </c>
      <c r="G663" s="1461" t="s">
        <v>9476</v>
      </c>
      <c r="H663" s="1461">
        <v>863.68</v>
      </c>
      <c r="I663" s="1461">
        <v>796.0184332</v>
      </c>
    </row>
    <row r="664" spans="2:9" hidden="1" outlineLevel="2">
      <c r="B664" s="2" t="s">
        <v>876</v>
      </c>
      <c r="C664"/>
      <c r="D664" s="1461" t="s">
        <v>9477</v>
      </c>
      <c r="E664" s="1461" t="s">
        <v>9478</v>
      </c>
      <c r="F664" s="1461" t="s">
        <v>9479</v>
      </c>
      <c r="G664" s="1461" t="s">
        <v>9480</v>
      </c>
      <c r="H664" s="1461">
        <v>206.96</v>
      </c>
      <c r="I664" s="1461">
        <v>190.74654380000001</v>
      </c>
    </row>
    <row r="665" spans="2:9" hidden="1" outlineLevel="2">
      <c r="B665" s="2" t="s">
        <v>876</v>
      </c>
      <c r="C665"/>
      <c r="D665" s="1461" t="s">
        <v>7542</v>
      </c>
      <c r="E665" s="1461" t="s">
        <v>9481</v>
      </c>
      <c r="F665" s="1461" t="s">
        <v>9482</v>
      </c>
      <c r="G665" s="1461" t="s">
        <v>9483</v>
      </c>
      <c r="H665" s="1461">
        <v>7.0143680000000002</v>
      </c>
      <c r="I665" s="1461">
        <v>6.4648553</v>
      </c>
    </row>
    <row r="666" spans="2:9" hidden="1" outlineLevel="2">
      <c r="B666" s="2" t="s">
        <v>876</v>
      </c>
      <c r="C666"/>
      <c r="D666" s="1461" t="s">
        <v>7502</v>
      </c>
      <c r="E666" s="1461" t="s">
        <v>9484</v>
      </c>
      <c r="F666" s="1461" t="s">
        <v>9485</v>
      </c>
      <c r="G666" s="1461" t="s">
        <v>9486</v>
      </c>
      <c r="H666" s="1461">
        <v>0.57993600000000001</v>
      </c>
      <c r="I666" s="1461">
        <v>0.534503226</v>
      </c>
    </row>
    <row r="667" spans="2:9" hidden="1" outlineLevel="2">
      <c r="B667" s="2" t="s">
        <v>876</v>
      </c>
      <c r="C667"/>
      <c r="D667" s="1461" t="s">
        <v>9487</v>
      </c>
      <c r="E667" s="1461" t="s">
        <v>9488</v>
      </c>
      <c r="F667" s="1461" t="s">
        <v>9489</v>
      </c>
      <c r="G667" s="1461" t="s">
        <v>9490</v>
      </c>
      <c r="H667" s="1461">
        <v>20.631360000000001</v>
      </c>
      <c r="I667" s="1461">
        <v>19.015078339999999</v>
      </c>
    </row>
    <row r="668" spans="2:9" hidden="1" outlineLevel="2">
      <c r="B668" s="2" t="s">
        <v>876</v>
      </c>
      <c r="C668"/>
      <c r="D668" s="1461" t="s">
        <v>9491</v>
      </c>
      <c r="E668" s="1461" t="s">
        <v>9492</v>
      </c>
      <c r="F668" s="1461" t="s">
        <v>9493</v>
      </c>
      <c r="G668" s="1461" t="s">
        <v>9494</v>
      </c>
      <c r="H668" s="1461">
        <v>1603.2</v>
      </c>
      <c r="I668" s="1461">
        <v>1477.603687</v>
      </c>
    </row>
    <row r="669" spans="2:9" hidden="1" outlineLevel="2">
      <c r="B669" s="2" t="s">
        <v>876</v>
      </c>
      <c r="C669"/>
      <c r="D669" s="1461" t="s">
        <v>9495</v>
      </c>
      <c r="E669" s="1461" t="s">
        <v>9496</v>
      </c>
      <c r="F669" s="1461" t="s">
        <v>9497</v>
      </c>
      <c r="G669" s="1461" t="s">
        <v>9498</v>
      </c>
      <c r="H669" s="1461">
        <v>23.619199999999999</v>
      </c>
      <c r="I669" s="1461">
        <v>21.76884793</v>
      </c>
    </row>
    <row r="670" spans="2:9" hidden="1" outlineLevel="2">
      <c r="B670" s="2" t="s">
        <v>876</v>
      </c>
      <c r="C670"/>
      <c r="D670" s="1461" t="s">
        <v>1458</v>
      </c>
      <c r="E670" s="1461" t="s">
        <v>9499</v>
      </c>
      <c r="F670" s="1461" t="s">
        <v>9500</v>
      </c>
      <c r="G670" s="1461" t="s">
        <v>9501</v>
      </c>
      <c r="H670" s="1461">
        <v>1.52817574</v>
      </c>
      <c r="I670" s="1461">
        <v>1.408456903</v>
      </c>
    </row>
    <row r="671" spans="2:9" hidden="1" outlineLevel="2">
      <c r="B671" s="2" t="s">
        <v>876</v>
      </c>
      <c r="C671"/>
      <c r="D671" s="1461" t="s">
        <v>9502</v>
      </c>
      <c r="E671" s="1461" t="s">
        <v>9503</v>
      </c>
      <c r="F671" s="1461" t="s">
        <v>9504</v>
      </c>
      <c r="G671" s="1461" t="s">
        <v>9505</v>
      </c>
      <c r="H671" s="1461">
        <v>2.02976</v>
      </c>
      <c r="I671" s="1461">
        <v>1.870746544</v>
      </c>
    </row>
    <row r="672" spans="2:9" hidden="1" outlineLevel="2">
      <c r="B672" s="2" t="s">
        <v>876</v>
      </c>
      <c r="C672"/>
      <c r="D672" s="1461" t="s">
        <v>9506</v>
      </c>
      <c r="E672" s="1461" t="s">
        <v>9507</v>
      </c>
      <c r="F672" s="1461" t="s">
        <v>9508</v>
      </c>
      <c r="G672" s="1461" t="s">
        <v>9509</v>
      </c>
      <c r="H672" s="1461">
        <v>17.746207999999999</v>
      </c>
      <c r="I672" s="1461">
        <v>16.355952070000001</v>
      </c>
    </row>
    <row r="673" spans="2:54" hidden="1" outlineLevel="2">
      <c r="B673" s="2" t="s">
        <v>876</v>
      </c>
      <c r="C673"/>
      <c r="D673" s="1461" t="s">
        <v>9510</v>
      </c>
      <c r="E673" s="1461" t="s">
        <v>9511</v>
      </c>
      <c r="F673" s="1461" t="s">
        <v>9512</v>
      </c>
      <c r="G673" s="1461" t="s">
        <v>9513</v>
      </c>
      <c r="H673" s="1461">
        <v>2399.36</v>
      </c>
      <c r="I673" s="1461">
        <v>2211.391705</v>
      </c>
      <c r="BB673" s="2">
        <f>BB595+10000</f>
        <v>50000</v>
      </c>
    </row>
    <row r="674" spans="2:54" hidden="1" outlineLevel="2">
      <c r="B674" s="2" t="s">
        <v>876</v>
      </c>
      <c r="C674"/>
      <c r="D674" s="1461" t="s">
        <v>9514</v>
      </c>
      <c r="E674" s="1461" t="s">
        <v>9515</v>
      </c>
      <c r="F674" s="1461" t="s">
        <v>9516</v>
      </c>
      <c r="G674" s="1445" t="s">
        <v>9517</v>
      </c>
      <c r="H674" s="1445">
        <v>23.411200000000001</v>
      </c>
      <c r="I674" s="1445">
        <v>21.577142859999999</v>
      </c>
      <c r="BB674" s="2">
        <f t="shared" si="5"/>
        <v>60000</v>
      </c>
    </row>
    <row r="675" spans="2:54" hidden="1" outlineLevel="2">
      <c r="B675" s="2" t="s">
        <v>876</v>
      </c>
      <c r="C675"/>
      <c r="D675" s="1461" t="s">
        <v>7521</v>
      </c>
      <c r="E675" s="1461" t="s">
        <v>9518</v>
      </c>
      <c r="F675" s="1461" t="s">
        <v>9519</v>
      </c>
      <c r="G675" s="1445" t="s">
        <v>9520</v>
      </c>
      <c r="H675" s="1445">
        <v>2.3505280000000002</v>
      </c>
      <c r="I675" s="1445">
        <v>2.1663852530000001</v>
      </c>
      <c r="BB675" s="2">
        <f t="shared" si="5"/>
        <v>70000</v>
      </c>
    </row>
    <row r="676" spans="2:54" hidden="1" outlineLevel="2">
      <c r="B676" s="2" t="s">
        <v>876</v>
      </c>
      <c r="C676"/>
      <c r="D676" s="1461" t="s">
        <v>7528</v>
      </c>
      <c r="E676" s="1461" t="s">
        <v>9521</v>
      </c>
      <c r="F676" s="1461" t="s">
        <v>9522</v>
      </c>
      <c r="G676" s="1445" t="s">
        <v>9523</v>
      </c>
      <c r="H676" s="1445">
        <v>0.52326056700000001</v>
      </c>
      <c r="I676" s="1445">
        <v>0.48226780400000002</v>
      </c>
      <c r="BB676" s="2">
        <f t="shared" si="5"/>
        <v>80000</v>
      </c>
    </row>
    <row r="677" spans="2:54" hidden="1" outlineLevel="2">
      <c r="B677" s="2" t="s">
        <v>876</v>
      </c>
      <c r="C677"/>
      <c r="D677" s="1461" t="s">
        <v>7534</v>
      </c>
      <c r="E677" s="1461" t="s">
        <v>9524</v>
      </c>
      <c r="F677" s="1461" t="s">
        <v>9525</v>
      </c>
      <c r="G677" s="1445" t="s">
        <v>9526</v>
      </c>
      <c r="H677" s="1445">
        <v>0.64</v>
      </c>
      <c r="I677" s="1445">
        <v>0.58986175100000005</v>
      </c>
      <c r="BB677" s="2">
        <f t="shared" si="5"/>
        <v>90000</v>
      </c>
    </row>
    <row r="678" spans="2:54" hidden="1" outlineLevel="2">
      <c r="B678" s="2" t="s">
        <v>876</v>
      </c>
      <c r="C678"/>
      <c r="D678" s="1461" t="s">
        <v>9527</v>
      </c>
      <c r="E678" s="1461" t="s">
        <v>9528</v>
      </c>
      <c r="F678" s="1461" t="s">
        <v>9529</v>
      </c>
      <c r="G678" s="1445" t="s">
        <v>9530</v>
      </c>
      <c r="H678" s="1445">
        <v>25.3536</v>
      </c>
      <c r="I678" s="1445">
        <v>23.367373270000002</v>
      </c>
      <c r="BB678" s="2" t="e">
        <f>#REF!+10000</f>
        <v>#REF!</v>
      </c>
    </row>
    <row r="679" spans="2:54" hidden="1" outlineLevel="2">
      <c r="B679" s="2" t="s">
        <v>876</v>
      </c>
      <c r="C679"/>
      <c r="D679" s="1461" t="s">
        <v>9531</v>
      </c>
      <c r="E679" s="1461" t="s">
        <v>9532</v>
      </c>
      <c r="F679" s="1461" t="s">
        <v>9533</v>
      </c>
      <c r="G679" s="1445" t="s">
        <v>9534</v>
      </c>
      <c r="H679" s="1445">
        <v>77.452799999999996</v>
      </c>
      <c r="I679" s="1445">
        <v>71.385069119999997</v>
      </c>
      <c r="BB679" s="2" t="e">
        <f t="shared" si="5"/>
        <v>#REF!</v>
      </c>
    </row>
    <row r="680" spans="2:54" hidden="1" outlineLevel="2">
      <c r="B680" s="2" t="s">
        <v>876</v>
      </c>
      <c r="C680"/>
      <c r="D680" s="1461" t="s">
        <v>9535</v>
      </c>
      <c r="E680" s="1461" t="s">
        <v>9536</v>
      </c>
      <c r="F680" s="1461" t="s">
        <v>9537</v>
      </c>
      <c r="G680" s="1445" t="s">
        <v>9538</v>
      </c>
      <c r="H680" s="1445">
        <v>15617.6</v>
      </c>
      <c r="I680" s="1445">
        <v>14394.10138</v>
      </c>
      <c r="BB680" s="2" t="e">
        <f t="shared" si="5"/>
        <v>#REF!</v>
      </c>
    </row>
    <row r="681" spans="2:54" hidden="1" outlineLevel="2">
      <c r="B681" s="2" t="s">
        <v>876</v>
      </c>
      <c r="C681"/>
      <c r="D681" s="1461" t="s">
        <v>9539</v>
      </c>
      <c r="E681" s="1461" t="s">
        <v>9540</v>
      </c>
      <c r="F681" s="1461" t="s">
        <v>9541</v>
      </c>
      <c r="G681" s="1445" t="s">
        <v>9542</v>
      </c>
      <c r="H681" s="1445">
        <v>13.744</v>
      </c>
      <c r="I681" s="1445">
        <v>12.667281109999999</v>
      </c>
      <c r="BB681" s="2" t="e">
        <f t="shared" si="5"/>
        <v>#REF!</v>
      </c>
    </row>
    <row r="682" spans="2:54" hidden="1" outlineLevel="2">
      <c r="B682" s="2" t="s">
        <v>876</v>
      </c>
      <c r="C682" s="105" t="s">
        <v>9189</v>
      </c>
      <c r="D682" s="1461" t="s">
        <v>9543</v>
      </c>
      <c r="E682" s="1461" t="s">
        <v>9544</v>
      </c>
      <c r="F682" s="1461" t="s">
        <v>9545</v>
      </c>
      <c r="G682" s="1445" t="s">
        <v>9546</v>
      </c>
      <c r="H682" s="1445">
        <v>3400.5216</v>
      </c>
      <c r="I682" s="1445">
        <v>3134.12129</v>
      </c>
      <c r="BB682" s="2" t="e">
        <f t="shared" si="5"/>
        <v>#REF!</v>
      </c>
    </row>
    <row r="683" spans="2:54" hidden="1" outlineLevel="2">
      <c r="B683" s="2" t="s">
        <v>889</v>
      </c>
      <c r="BB683" s="2" t="e">
        <f t="shared" si="5"/>
        <v>#REF!</v>
      </c>
    </row>
    <row r="684" spans="2:54" collapsed="1">
      <c r="B684" s="2" t="s">
        <v>833</v>
      </c>
      <c r="C684" s="208" t="s">
        <v>9205</v>
      </c>
      <c r="D684" s="209" t="s">
        <v>843</v>
      </c>
      <c r="E684" s="209" t="s">
        <v>844</v>
      </c>
      <c r="F684" s="209" t="s">
        <v>845</v>
      </c>
      <c r="G684" s="210" t="s">
        <v>846</v>
      </c>
      <c r="H684" s="209" t="s">
        <v>847</v>
      </c>
      <c r="I684" s="210" t="s">
        <v>848</v>
      </c>
      <c r="J684" s="209" t="s">
        <v>849</v>
      </c>
      <c r="K684" s="209" t="s">
        <v>850</v>
      </c>
      <c r="L684" s="210" t="s">
        <v>8055</v>
      </c>
      <c r="M684" s="209" t="s">
        <v>8168</v>
      </c>
      <c r="N684" s="210" t="s">
        <v>8571</v>
      </c>
      <c r="O684" s="210" t="s">
        <v>8755</v>
      </c>
      <c r="P684" s="210" t="s">
        <v>8892</v>
      </c>
    </row>
    <row r="685" spans="2:54" hidden="1" outlineLevel="1">
      <c r="B685" s="2" t="s">
        <v>833</v>
      </c>
      <c r="C685" s="145" t="s">
        <v>834</v>
      </c>
      <c r="D685" s="145" t="s">
        <v>835</v>
      </c>
      <c r="E685" s="207" t="s">
        <v>836</v>
      </c>
      <c r="BB685" s="2">
        <v>10000</v>
      </c>
    </row>
    <row r="686" spans="2:54" hidden="1" outlineLevel="1">
      <c r="B686" s="2" t="s">
        <v>837</v>
      </c>
      <c r="C686" s="138" t="s">
        <v>9206</v>
      </c>
      <c r="D686" s="265" t="s">
        <v>1284</v>
      </c>
      <c r="E686" s="265" t="s">
        <v>9123</v>
      </c>
      <c r="BB686" s="2">
        <v>20000</v>
      </c>
    </row>
    <row r="687" spans="2:54" hidden="1" outlineLevel="1">
      <c r="B687" s="2" t="s">
        <v>833</v>
      </c>
      <c r="BB687" s="2">
        <v>30000</v>
      </c>
    </row>
    <row r="688" spans="2:54" hidden="1" outlineLevel="1" collapsed="1">
      <c r="B688" s="2" t="s">
        <v>851</v>
      </c>
      <c r="C688" s="132" t="s">
        <v>363</v>
      </c>
      <c r="D688" s="102" t="s">
        <v>1285</v>
      </c>
      <c r="E688" s="103"/>
      <c r="F688" s="103"/>
      <c r="G688" s="103"/>
      <c r="H688" s="103"/>
      <c r="I688" s="103"/>
      <c r="J688" s="103"/>
      <c r="K688" s="103"/>
      <c r="L688" s="104"/>
      <c r="BB688" s="2">
        <v>40000</v>
      </c>
    </row>
    <row r="689" spans="2:54" hidden="1" outlineLevel="2">
      <c r="B689" s="2" t="s">
        <v>833</v>
      </c>
      <c r="D689" s="209" t="s">
        <v>843</v>
      </c>
      <c r="E689" s="209" t="s">
        <v>844</v>
      </c>
      <c r="F689" s="209" t="s">
        <v>845</v>
      </c>
      <c r="G689" s="210" t="s">
        <v>846</v>
      </c>
      <c r="H689" s="209" t="s">
        <v>847</v>
      </c>
      <c r="I689" s="210" t="s">
        <v>848</v>
      </c>
      <c r="J689" s="209" t="s">
        <v>849</v>
      </c>
      <c r="K689" s="209" t="s">
        <v>850</v>
      </c>
      <c r="L689" s="210" t="s">
        <v>8055</v>
      </c>
      <c r="M689" s="209" t="s">
        <v>8168</v>
      </c>
      <c r="N689" s="210" t="s">
        <v>8571</v>
      </c>
      <c r="O689" s="210" t="s">
        <v>8755</v>
      </c>
      <c r="P689" s="210" t="s">
        <v>8892</v>
      </c>
      <c r="BB689" s="2">
        <v>50000</v>
      </c>
    </row>
    <row r="690" spans="2:54" hidden="1" outlineLevel="2">
      <c r="B690" s="2" t="s">
        <v>833</v>
      </c>
      <c r="D690" s="145" t="s">
        <v>254</v>
      </c>
      <c r="E690" s="145" t="s">
        <v>1286</v>
      </c>
      <c r="F690" s="145" t="s">
        <v>1287</v>
      </c>
      <c r="G690" s="239" t="s">
        <v>1288</v>
      </c>
      <c r="H690" s="239" t="s">
        <v>9207</v>
      </c>
      <c r="I690" s="239" t="s">
        <v>1289</v>
      </c>
      <c r="J690" s="239" t="s">
        <v>1290</v>
      </c>
      <c r="K690" s="239" t="s">
        <v>9208</v>
      </c>
      <c r="L690" s="239" t="s">
        <v>9209</v>
      </c>
      <c r="N690" s="1444" t="s">
        <v>1289</v>
      </c>
      <c r="O690" s="1444" t="s">
        <v>1290</v>
      </c>
      <c r="BB690" s="2">
        <v>60000</v>
      </c>
    </row>
    <row r="691" spans="2:54" hidden="1" outlineLevel="2">
      <c r="B691" s="2" t="s">
        <v>874</v>
      </c>
      <c r="D691" s="138" t="s">
        <v>293</v>
      </c>
      <c r="E691" s="138" t="s">
        <v>1277</v>
      </c>
      <c r="F691" s="138" t="s">
        <v>1291</v>
      </c>
      <c r="G691" s="138" t="s">
        <v>1292</v>
      </c>
      <c r="H691" s="138" t="s">
        <v>1293</v>
      </c>
      <c r="I691" s="138" t="s">
        <v>1278</v>
      </c>
      <c r="J691" s="138" t="s">
        <v>1279</v>
      </c>
      <c r="K691" s="138" t="s">
        <v>9210</v>
      </c>
      <c r="L691" s="138" t="s">
        <v>9211</v>
      </c>
      <c r="N691" s="138" t="s">
        <v>1278</v>
      </c>
      <c r="O691" s="138" t="s">
        <v>1279</v>
      </c>
      <c r="BB691" s="2">
        <v>70000</v>
      </c>
    </row>
    <row r="692" spans="2:54" hidden="1" outlineLevel="2">
      <c r="B692" s="2" t="s">
        <v>1294</v>
      </c>
      <c r="D692" s="1445" t="s">
        <v>1295</v>
      </c>
      <c r="E692" s="1445">
        <v>0</v>
      </c>
      <c r="F692" s="1445">
        <v>99999999999</v>
      </c>
      <c r="G692" s="1445"/>
      <c r="H692" s="1445"/>
      <c r="I692" s="1462">
        <v>463</v>
      </c>
      <c r="J692" s="1445">
        <v>0</v>
      </c>
      <c r="K692" s="1445"/>
      <c r="L692" s="1445"/>
      <c r="N692" s="1445">
        <v>446</v>
      </c>
      <c r="O692" s="1445">
        <v>0</v>
      </c>
      <c r="BB692" s="2">
        <v>80000</v>
      </c>
    </row>
    <row r="693" spans="2:54" hidden="1" outlineLevel="2">
      <c r="B693" s="2" t="s">
        <v>1294</v>
      </c>
      <c r="D693" s="674" t="s">
        <v>1296</v>
      </c>
      <c r="E693" s="674">
        <v>0</v>
      </c>
      <c r="F693" s="674">
        <v>99999999999</v>
      </c>
      <c r="G693" s="674"/>
      <c r="H693" s="674"/>
      <c r="I693" s="1340">
        <v>171.7</v>
      </c>
      <c r="J693" s="674">
        <v>0</v>
      </c>
      <c r="K693" s="674"/>
      <c r="L693" s="674"/>
      <c r="N693" s="674">
        <v>165.4</v>
      </c>
      <c r="O693" s="674">
        <v>0</v>
      </c>
      <c r="BB693" s="2">
        <v>90000</v>
      </c>
    </row>
    <row r="694" spans="2:54" hidden="1" outlineLevel="2">
      <c r="B694" s="2" t="s">
        <v>1294</v>
      </c>
      <c r="D694" s="1445" t="s">
        <v>1297</v>
      </c>
      <c r="E694" s="1445">
        <v>0</v>
      </c>
      <c r="F694" s="1445">
        <v>99999999999</v>
      </c>
      <c r="G694" s="1445"/>
      <c r="H694" s="1445"/>
      <c r="I694" s="1340">
        <v>172</v>
      </c>
      <c r="J694" s="1445">
        <v>0</v>
      </c>
      <c r="K694" s="1445"/>
      <c r="L694" s="1445"/>
      <c r="N694" s="1445">
        <v>165</v>
      </c>
      <c r="O694" s="1445">
        <v>0</v>
      </c>
      <c r="BB694" s="2">
        <v>100000</v>
      </c>
    </row>
    <row r="695" spans="2:54" hidden="1" outlineLevel="2">
      <c r="B695" s="2" t="s">
        <v>1294</v>
      </c>
      <c r="D695" s="674" t="s">
        <v>1298</v>
      </c>
      <c r="E695" s="674">
        <v>0</v>
      </c>
      <c r="F695" s="674">
        <v>180000</v>
      </c>
      <c r="G695" s="674"/>
      <c r="H695" s="674"/>
      <c r="I695" s="1340">
        <v>231.98</v>
      </c>
      <c r="J695" s="674">
        <v>0</v>
      </c>
      <c r="K695" s="674"/>
      <c r="L695" s="674"/>
      <c r="N695" s="674">
        <v>224.32</v>
      </c>
      <c r="O695" s="674">
        <v>0</v>
      </c>
      <c r="BB695" s="2">
        <v>110000</v>
      </c>
    </row>
    <row r="696" spans="2:54" hidden="1" outlineLevel="2">
      <c r="B696" s="2" t="s">
        <v>1294</v>
      </c>
      <c r="D696" s="674" t="s">
        <v>1298</v>
      </c>
      <c r="E696" s="674">
        <v>180000</v>
      </c>
      <c r="F696" s="674">
        <v>99999999999</v>
      </c>
      <c r="G696" s="674">
        <v>10000</v>
      </c>
      <c r="H696" s="674" t="s">
        <v>1299</v>
      </c>
      <c r="I696" s="1340">
        <v>231.98</v>
      </c>
      <c r="J696" s="1340">
        <v>4.3559999999999996E-3</v>
      </c>
      <c r="K696" s="674"/>
      <c r="L696" s="674"/>
      <c r="N696" s="674">
        <v>224.32</v>
      </c>
      <c r="O696" s="674">
        <v>4.2129999999999997E-3</v>
      </c>
      <c r="BB696" s="2">
        <v>120000</v>
      </c>
    </row>
    <row r="697" spans="2:54" hidden="1" outlineLevel="2">
      <c r="B697" s="2" t="s">
        <v>1294</v>
      </c>
      <c r="D697" s="1445" t="s">
        <v>1300</v>
      </c>
      <c r="E697" s="1445">
        <v>0</v>
      </c>
      <c r="F697" s="1445">
        <v>5000</v>
      </c>
      <c r="G697" s="1445"/>
      <c r="H697" s="1445"/>
      <c r="I697" s="1340">
        <v>192</v>
      </c>
      <c r="J697" s="1445">
        <v>0</v>
      </c>
      <c r="K697" s="1445"/>
      <c r="L697" s="1445"/>
      <c r="N697" s="1445">
        <v>187</v>
      </c>
      <c r="O697" s="1445">
        <v>0</v>
      </c>
      <c r="BB697" s="2">
        <v>130000</v>
      </c>
    </row>
    <row r="698" spans="2:54" hidden="1" outlineLevel="2">
      <c r="B698" s="2" t="s">
        <v>1294</v>
      </c>
      <c r="D698" s="1445" t="s">
        <v>1300</v>
      </c>
      <c r="E698" s="1445">
        <v>5000</v>
      </c>
      <c r="F698" s="1445">
        <v>20000</v>
      </c>
      <c r="G698" s="1445"/>
      <c r="H698" s="1445"/>
      <c r="I698" s="1340">
        <v>215</v>
      </c>
      <c r="J698" s="1445">
        <v>0</v>
      </c>
      <c r="K698" s="1445"/>
      <c r="L698" s="1445"/>
      <c r="N698" s="1445">
        <v>209</v>
      </c>
      <c r="O698" s="1445">
        <v>0</v>
      </c>
      <c r="BB698" s="2">
        <v>140000</v>
      </c>
    </row>
    <row r="699" spans="2:54" hidden="1" outlineLevel="2">
      <c r="B699" s="2" t="s">
        <v>1294</v>
      </c>
      <c r="D699" s="1445" t="s">
        <v>1300</v>
      </c>
      <c r="E699" s="1445">
        <v>20000</v>
      </c>
      <c r="F699" s="1445">
        <v>40000</v>
      </c>
      <c r="G699" s="1445"/>
      <c r="H699" s="1445"/>
      <c r="I699" s="1340">
        <v>236</v>
      </c>
      <c r="J699" s="1445">
        <v>0</v>
      </c>
      <c r="K699" s="1445"/>
      <c r="L699" s="1445"/>
      <c r="N699" s="1445">
        <v>230</v>
      </c>
      <c r="O699" s="1445">
        <v>0</v>
      </c>
      <c r="BB699" s="2">
        <v>150000</v>
      </c>
    </row>
    <row r="700" spans="2:54" hidden="1" outlineLevel="2">
      <c r="B700" s="2" t="s">
        <v>1294</v>
      </c>
      <c r="D700" s="1445" t="s">
        <v>1300</v>
      </c>
      <c r="E700" s="1445">
        <v>40000</v>
      </c>
      <c r="F700" s="1445">
        <v>50000</v>
      </c>
      <c r="G700" s="1445"/>
      <c r="H700" s="1445"/>
      <c r="I700" s="1340">
        <v>332</v>
      </c>
      <c r="J700" s="1445">
        <v>0</v>
      </c>
      <c r="K700" s="1445"/>
      <c r="L700" s="1445"/>
      <c r="N700" s="1445">
        <v>323</v>
      </c>
      <c r="O700" s="1445">
        <v>0</v>
      </c>
      <c r="BB700" s="2">
        <v>160000</v>
      </c>
    </row>
    <row r="701" spans="2:54" hidden="1" outlineLevel="2">
      <c r="B701" s="2" t="s">
        <v>1294</v>
      </c>
      <c r="D701" s="1445" t="s">
        <v>1300</v>
      </c>
      <c r="E701" s="1445">
        <v>50000</v>
      </c>
      <c r="F701" s="1445">
        <v>99999999999</v>
      </c>
      <c r="G701" s="1445">
        <v>10000</v>
      </c>
      <c r="H701" s="1445" t="s">
        <v>1299</v>
      </c>
      <c r="I701" s="1340">
        <v>332</v>
      </c>
      <c r="J701" s="1340">
        <v>9.9000000000000008E-3</v>
      </c>
      <c r="K701" s="1445"/>
      <c r="L701" s="1445"/>
      <c r="N701" s="1445">
        <v>323</v>
      </c>
      <c r="O701" s="1445">
        <v>9.5999999999999992E-3</v>
      </c>
      <c r="BB701" s="2">
        <v>170000</v>
      </c>
    </row>
    <row r="702" spans="2:54" hidden="1" outlineLevel="2">
      <c r="B702" s="2" t="s">
        <v>1294</v>
      </c>
      <c r="D702" s="674" t="s">
        <v>1301</v>
      </c>
      <c r="E702" s="674">
        <v>0</v>
      </c>
      <c r="F702" s="674">
        <v>99999999999</v>
      </c>
      <c r="G702" s="674"/>
      <c r="H702" s="674"/>
      <c r="I702" s="1340">
        <v>244.97</v>
      </c>
      <c r="J702" s="674">
        <v>0</v>
      </c>
      <c r="K702" s="674"/>
      <c r="L702" s="674"/>
      <c r="N702" s="674">
        <v>233.18</v>
      </c>
      <c r="O702" s="674">
        <v>0</v>
      </c>
      <c r="BB702" s="2">
        <v>180000</v>
      </c>
    </row>
    <row r="703" spans="2:54" hidden="1" outlineLevel="2">
      <c r="B703" s="2" t="s">
        <v>1294</v>
      </c>
      <c r="D703" s="1445" t="s">
        <v>1302</v>
      </c>
      <c r="E703" s="1445">
        <v>0</v>
      </c>
      <c r="F703" s="1340">
        <v>1500170.94</v>
      </c>
      <c r="G703" s="1445">
        <v>1000</v>
      </c>
      <c r="H703" s="1445" t="s">
        <v>9212</v>
      </c>
      <c r="I703" s="1340">
        <v>108.6</v>
      </c>
      <c r="J703" s="1445">
        <v>2.3400000000000001E-3</v>
      </c>
      <c r="K703" s="1445">
        <v>1</v>
      </c>
      <c r="L703" s="1445" t="s">
        <v>1299</v>
      </c>
      <c r="N703" s="1445">
        <v>105.7</v>
      </c>
      <c r="O703" s="1445">
        <v>2.3400000000000001E-3</v>
      </c>
      <c r="BB703" s="2">
        <v>190000</v>
      </c>
    </row>
    <row r="704" spans="2:54" hidden="1" outlineLevel="2">
      <c r="B704" s="2" t="s">
        <v>1294</v>
      </c>
      <c r="D704" s="1445" t="s">
        <v>1302</v>
      </c>
      <c r="E704" s="1340">
        <v>1500170.95</v>
      </c>
      <c r="F704" s="1445">
        <v>99999999999</v>
      </c>
      <c r="G704" s="1445"/>
      <c r="H704" s="1445"/>
      <c r="I704" s="1340">
        <v>3619</v>
      </c>
      <c r="J704" s="1445">
        <v>0</v>
      </c>
      <c r="K704" s="1445"/>
      <c r="L704" s="1445"/>
      <c r="N704" s="1445">
        <v>3616</v>
      </c>
      <c r="O704" s="1445">
        <v>0</v>
      </c>
      <c r="BB704" s="2">
        <v>200000</v>
      </c>
    </row>
    <row r="705" spans="2:54" hidden="1" outlineLevel="2">
      <c r="B705" s="2" t="s">
        <v>1294</v>
      </c>
      <c r="D705" s="674" t="s">
        <v>1303</v>
      </c>
      <c r="E705" s="674">
        <v>0</v>
      </c>
      <c r="F705" s="674">
        <v>85000</v>
      </c>
      <c r="G705" s="674"/>
      <c r="H705" s="674"/>
      <c r="I705" s="1340">
        <v>210.3</v>
      </c>
      <c r="J705" s="674">
        <v>0</v>
      </c>
      <c r="K705" s="674"/>
      <c r="L705" s="674"/>
      <c r="N705" s="674">
        <v>203</v>
      </c>
      <c r="O705" s="674">
        <v>0</v>
      </c>
      <c r="BB705" s="2">
        <v>210000</v>
      </c>
    </row>
    <row r="706" spans="2:54" hidden="1" outlineLevel="2">
      <c r="B706" s="2" t="s">
        <v>1294</v>
      </c>
      <c r="D706" s="674" t="s">
        <v>1303</v>
      </c>
      <c r="E706" s="674">
        <v>85000</v>
      </c>
      <c r="F706" s="674">
        <v>120000</v>
      </c>
      <c r="G706" s="674"/>
      <c r="H706" s="674"/>
      <c r="I706" s="1340">
        <v>220.3</v>
      </c>
      <c r="J706" s="674">
        <v>0</v>
      </c>
      <c r="K706" s="674"/>
      <c r="L706" s="674"/>
      <c r="N706" s="674">
        <v>213</v>
      </c>
      <c r="O706" s="674">
        <v>0</v>
      </c>
      <c r="BB706" s="2">
        <v>220000</v>
      </c>
    </row>
    <row r="707" spans="2:54" hidden="1" outlineLevel="2">
      <c r="B707" s="2" t="s">
        <v>1294</v>
      </c>
      <c r="D707" s="674" t="s">
        <v>1303</v>
      </c>
      <c r="E707" s="674">
        <v>120000</v>
      </c>
      <c r="F707" s="674">
        <v>200000</v>
      </c>
      <c r="G707" s="674"/>
      <c r="H707" s="674"/>
      <c r="I707" s="1340">
        <v>240.3</v>
      </c>
      <c r="J707" s="674">
        <v>0</v>
      </c>
      <c r="K707" s="674"/>
      <c r="L707" s="674"/>
      <c r="N707" s="674">
        <v>233</v>
      </c>
      <c r="O707" s="674">
        <v>0</v>
      </c>
      <c r="BB707" s="2">
        <v>230000</v>
      </c>
    </row>
    <row r="708" spans="2:54" hidden="1" outlineLevel="2">
      <c r="B708" s="2" t="s">
        <v>1294</v>
      </c>
      <c r="D708" s="674" t="s">
        <v>1303</v>
      </c>
      <c r="E708" s="674">
        <v>200000</v>
      </c>
      <c r="F708" s="674">
        <v>99999999999</v>
      </c>
      <c r="G708" s="674">
        <v>100000</v>
      </c>
      <c r="H708" s="674" t="s">
        <v>1299</v>
      </c>
      <c r="I708" s="1340">
        <v>260.3</v>
      </c>
      <c r="J708" s="674">
        <v>2.0000000000000001E-4</v>
      </c>
      <c r="K708" s="674"/>
      <c r="L708" s="674"/>
      <c r="N708" s="674">
        <v>233</v>
      </c>
      <c r="O708" s="674">
        <v>2.0000000000000001E-4</v>
      </c>
      <c r="BB708" s="2">
        <v>240000</v>
      </c>
    </row>
    <row r="709" spans="2:54" hidden="1" outlineLevel="2">
      <c r="B709" s="2" t="s">
        <v>860</v>
      </c>
      <c r="BB709" s="2">
        <v>250000</v>
      </c>
    </row>
    <row r="710" spans="2:54" hidden="1" outlineLevel="1" collapsed="1">
      <c r="B710" s="2" t="s">
        <v>851</v>
      </c>
      <c r="C710" s="132" t="s">
        <v>242</v>
      </c>
      <c r="D710" s="102" t="s">
        <v>1148</v>
      </c>
      <c r="E710" s="103"/>
      <c r="F710" s="104"/>
    </row>
    <row r="711" spans="2:54" hidden="1" outlineLevel="2">
      <c r="B711" s="1446" t="s">
        <v>833</v>
      </c>
      <c r="C711" s="1447"/>
      <c r="D711" s="1448" t="s">
        <v>843</v>
      </c>
      <c r="E711" s="1449" t="s">
        <v>844</v>
      </c>
      <c r="F711" s="1449" t="s">
        <v>845</v>
      </c>
      <c r="G711" s="1450" t="s">
        <v>846</v>
      </c>
      <c r="H711" s="1450" t="s">
        <v>847</v>
      </c>
      <c r="I711" s="1450" t="s">
        <v>848</v>
      </c>
      <c r="J711" s="1450" t="s">
        <v>849</v>
      </c>
      <c r="K711" s="1450" t="s">
        <v>850</v>
      </c>
      <c r="L711" s="1450" t="s">
        <v>8055</v>
      </c>
      <c r="M711" s="1450" t="s">
        <v>8168</v>
      </c>
      <c r="N711" s="1450" t="s">
        <v>8571</v>
      </c>
      <c r="O711" s="1450" t="s">
        <v>8755</v>
      </c>
      <c r="P711" s="1450" t="s">
        <v>8892</v>
      </c>
    </row>
    <row r="712" spans="2:54" hidden="1" outlineLevel="2">
      <c r="B712" s="1446" t="s">
        <v>833</v>
      </c>
      <c r="C712" s="1446"/>
      <c r="D712" s="1451" t="s">
        <v>254</v>
      </c>
      <c r="E712" s="1452" t="s">
        <v>9213</v>
      </c>
      <c r="F712" s="1453" t="s">
        <v>9214</v>
      </c>
      <c r="G712" s="1446"/>
      <c r="H712" s="1446"/>
      <c r="I712" s="1446"/>
      <c r="J712" s="1446"/>
      <c r="K712" s="1446"/>
      <c r="L712" s="1446"/>
      <c r="M712" s="1446"/>
      <c r="N712" s="1454" t="s">
        <v>9214</v>
      </c>
      <c r="O712" s="1446"/>
      <c r="P712" s="1446"/>
    </row>
    <row r="713" spans="2:54" hidden="1" outlineLevel="2">
      <c r="B713" s="1446" t="s">
        <v>874</v>
      </c>
      <c r="C713" s="1446"/>
      <c r="D713" s="1455" t="s">
        <v>293</v>
      </c>
      <c r="E713" s="1456" t="s">
        <v>9215</v>
      </c>
      <c r="F713" s="1456" t="s">
        <v>9216</v>
      </c>
      <c r="G713" s="1446"/>
      <c r="H713" s="1446"/>
      <c r="I713" s="1446"/>
      <c r="J713" s="1446"/>
      <c r="K713" s="1446"/>
      <c r="L713" s="1446"/>
      <c r="M713" s="1446"/>
      <c r="N713" s="1455" t="s">
        <v>9216</v>
      </c>
      <c r="O713" s="1446"/>
      <c r="P713" s="1446"/>
    </row>
    <row r="714" spans="2:54" hidden="1" outlineLevel="2">
      <c r="B714" s="1446" t="s">
        <v>1294</v>
      </c>
      <c r="C714" s="1446"/>
      <c r="D714" s="1457" t="s">
        <v>1295</v>
      </c>
      <c r="E714" s="1458">
        <v>0</v>
      </c>
      <c r="F714" s="1459">
        <v>250000</v>
      </c>
      <c r="G714" s="1446"/>
      <c r="H714" s="1446"/>
      <c r="I714" s="1446"/>
      <c r="J714" s="1446"/>
      <c r="K714" s="1446"/>
      <c r="L714" s="1446"/>
      <c r="M714" s="1446"/>
      <c r="N714" s="1457">
        <v>170000</v>
      </c>
      <c r="O714" s="1446"/>
      <c r="P714" s="1446"/>
    </row>
    <row r="715" spans="2:54" hidden="1" outlineLevel="2">
      <c r="B715" s="1446" t="s">
        <v>1294</v>
      </c>
      <c r="C715" s="1446"/>
      <c r="D715" s="1457" t="s">
        <v>1295</v>
      </c>
      <c r="E715" s="1458">
        <v>1</v>
      </c>
      <c r="F715" s="1459">
        <v>254600</v>
      </c>
      <c r="G715" s="1446"/>
      <c r="H715" s="1446"/>
      <c r="I715" s="1446"/>
      <c r="J715" s="1446"/>
      <c r="K715" s="1446"/>
      <c r="L715" s="1446"/>
      <c r="M715" s="1446"/>
      <c r="N715" s="1457">
        <v>173330</v>
      </c>
      <c r="O715" s="1446"/>
      <c r="P715" s="1446"/>
    </row>
    <row r="716" spans="2:54" hidden="1" outlineLevel="2">
      <c r="B716" s="1446" t="s">
        <v>1294</v>
      </c>
      <c r="C716" s="1446"/>
      <c r="D716" s="1457" t="s">
        <v>1295</v>
      </c>
      <c r="E716" s="1458">
        <v>2</v>
      </c>
      <c r="F716" s="1459">
        <v>259200</v>
      </c>
      <c r="G716" s="1446"/>
      <c r="H716" s="1446"/>
      <c r="I716" s="1446"/>
      <c r="J716" s="1446"/>
      <c r="K716" s="1446"/>
      <c r="L716" s="1446"/>
      <c r="M716" s="1446"/>
      <c r="N716" s="1457">
        <v>176660</v>
      </c>
      <c r="O716" s="1446"/>
      <c r="P716" s="1446"/>
    </row>
    <row r="717" spans="2:54" hidden="1" outlineLevel="2">
      <c r="B717" s="1446" t="s">
        <v>1294</v>
      </c>
      <c r="C717" s="1446"/>
      <c r="D717" s="1457" t="s">
        <v>1295</v>
      </c>
      <c r="E717" s="1458">
        <v>3</v>
      </c>
      <c r="F717" s="1459">
        <v>263800</v>
      </c>
      <c r="G717" s="1446"/>
      <c r="H717" s="1446"/>
      <c r="I717" s="1446"/>
      <c r="J717" s="1446"/>
      <c r="K717" s="1446"/>
      <c r="L717" s="1446"/>
      <c r="M717" s="1446"/>
      <c r="N717" s="1457">
        <v>179990</v>
      </c>
      <c r="O717" s="1446"/>
      <c r="P717" s="1446"/>
    </row>
    <row r="718" spans="2:54" hidden="1" outlineLevel="2">
      <c r="B718" s="1446" t="s">
        <v>1294</v>
      </c>
      <c r="C718" s="1446"/>
      <c r="D718" s="1457" t="s">
        <v>1295</v>
      </c>
      <c r="E718" s="1458">
        <v>4</v>
      </c>
      <c r="F718" s="1459">
        <v>268400</v>
      </c>
      <c r="G718" s="1446"/>
      <c r="H718" s="1446"/>
      <c r="I718" s="1446"/>
      <c r="J718" s="1446"/>
      <c r="K718" s="1446"/>
      <c r="L718" s="1446"/>
      <c r="M718" s="1446"/>
      <c r="N718" s="1457">
        <v>183320</v>
      </c>
      <c r="O718" s="1446"/>
      <c r="P718" s="1446"/>
    </row>
    <row r="719" spans="2:54" hidden="1" outlineLevel="2">
      <c r="B719" s="1446" t="s">
        <v>1294</v>
      </c>
      <c r="C719" s="1446"/>
      <c r="D719" s="1457" t="s">
        <v>1295</v>
      </c>
      <c r="E719" s="1458">
        <v>5</v>
      </c>
      <c r="F719" s="1459">
        <v>273000</v>
      </c>
      <c r="G719" s="1446"/>
      <c r="H719" s="1446"/>
      <c r="I719" s="1446"/>
      <c r="J719" s="1446"/>
      <c r="K719" s="1446"/>
      <c r="L719" s="1446"/>
      <c r="M719" s="1446"/>
      <c r="N719" s="1457">
        <v>186650</v>
      </c>
      <c r="O719" s="1446"/>
      <c r="P719" s="1446"/>
    </row>
    <row r="720" spans="2:54" hidden="1" outlineLevel="2">
      <c r="B720" s="1446" t="s">
        <v>1294</v>
      </c>
      <c r="C720" s="1446"/>
      <c r="D720" s="1457" t="s">
        <v>1295</v>
      </c>
      <c r="E720" s="1460" t="s">
        <v>8959</v>
      </c>
      <c r="F720" s="1459">
        <v>277600</v>
      </c>
      <c r="G720" s="1446"/>
      <c r="H720" s="1446"/>
      <c r="I720" s="1446"/>
      <c r="J720" s="1446"/>
      <c r="K720" s="1446"/>
      <c r="L720" s="1446"/>
      <c r="M720" s="1446"/>
      <c r="N720" s="1457">
        <v>186650</v>
      </c>
      <c r="O720" s="1446"/>
      <c r="P720" s="1446"/>
    </row>
    <row r="721" spans="2:54" hidden="1" outlineLevel="2">
      <c r="B721" s="1446" t="s">
        <v>860</v>
      </c>
      <c r="C721" s="1446"/>
      <c r="D721" s="1446"/>
      <c r="E721" s="1446"/>
      <c r="F721" s="1446"/>
      <c r="G721" s="1446"/>
      <c r="H721" s="1446"/>
      <c r="I721" s="1446"/>
      <c r="J721" s="1446"/>
      <c r="K721" s="1446"/>
      <c r="L721" s="1446"/>
      <c r="M721" s="1446"/>
      <c r="N721" s="1446"/>
      <c r="O721" s="1446"/>
      <c r="P721" s="1446"/>
      <c r="BB721" s="2" t="e">
        <f>BB683+10000</f>
        <v>#REF!</v>
      </c>
    </row>
    <row r="722" spans="2:54" hidden="1" outlineLevel="1" collapsed="1">
      <c r="B722" s="2" t="s">
        <v>851</v>
      </c>
      <c r="C722" s="132" t="s">
        <v>8958</v>
      </c>
      <c r="D722" s="102" t="s">
        <v>1309</v>
      </c>
      <c r="E722" s="103"/>
      <c r="F722" s="103"/>
      <c r="G722" s="103"/>
      <c r="H722" s="103"/>
      <c r="I722" s="103"/>
      <c r="J722" s="103"/>
      <c r="K722" s="103"/>
      <c r="L722" s="103"/>
      <c r="M722" s="247"/>
      <c r="N722" s="247"/>
      <c r="O722" s="247"/>
      <c r="P722" s="247"/>
      <c r="Q722" s="247"/>
      <c r="R722" s="103"/>
      <c r="S722" s="103"/>
      <c r="T722" s="103"/>
      <c r="U722" s="103"/>
      <c r="V722" s="103"/>
      <c r="W722" s="103"/>
      <c r="X722" s="103"/>
      <c r="Y722" s="104"/>
      <c r="BB722" s="2" t="e">
        <f>#REF!+10000</f>
        <v>#REF!</v>
      </c>
    </row>
    <row r="723" spans="2:54" hidden="1" outlineLevel="2">
      <c r="B723" s="2" t="s">
        <v>833</v>
      </c>
      <c r="C723" s="132"/>
      <c r="D723" s="209" t="s">
        <v>843</v>
      </c>
      <c r="E723" s="210" t="s">
        <v>844</v>
      </c>
      <c r="F723" s="209" t="s">
        <v>845</v>
      </c>
      <c r="G723" s="210" t="s">
        <v>846</v>
      </c>
      <c r="H723" s="209" t="s">
        <v>847</v>
      </c>
      <c r="I723" s="210" t="s">
        <v>848</v>
      </c>
      <c r="J723" s="209" t="s">
        <v>849</v>
      </c>
      <c r="K723" s="209" t="s">
        <v>850</v>
      </c>
      <c r="L723" s="210" t="s">
        <v>8055</v>
      </c>
      <c r="M723" s="209" t="s">
        <v>8168</v>
      </c>
      <c r="N723" s="210" t="s">
        <v>8571</v>
      </c>
      <c r="O723" s="210" t="s">
        <v>8755</v>
      </c>
      <c r="P723" s="210" t="s">
        <v>8892</v>
      </c>
      <c r="Q723" s="210"/>
      <c r="R723" s="210"/>
      <c r="S723" s="210"/>
      <c r="T723" s="210"/>
      <c r="U723" s="210"/>
      <c r="V723" s="210"/>
      <c r="W723" s="210"/>
      <c r="X723" s="210"/>
      <c r="Y723" s="210"/>
    </row>
    <row r="724" spans="2:54" hidden="1" outlineLevel="2">
      <c r="B724" s="2" t="s">
        <v>833</v>
      </c>
      <c r="D724" s="226" t="s">
        <v>254</v>
      </c>
      <c r="E724" s="226" t="s">
        <v>1310</v>
      </c>
      <c r="F724" s="226" t="s">
        <v>1311</v>
      </c>
      <c r="G724" s="226" t="s">
        <v>1215</v>
      </c>
      <c r="H724" s="226" t="s">
        <v>1312</v>
      </c>
      <c r="I724" s="226" t="s">
        <v>822</v>
      </c>
      <c r="J724" s="226" t="s">
        <v>820</v>
      </c>
      <c r="K724" s="226" t="s">
        <v>1313</v>
      </c>
      <c r="L724" s="226" t="s">
        <v>1286</v>
      </c>
      <c r="M724" s="248" t="s">
        <v>1287</v>
      </c>
      <c r="N724" s="248" t="s">
        <v>1286</v>
      </c>
      <c r="O724" s="248" t="s">
        <v>1287</v>
      </c>
      <c r="P724" s="239" t="s">
        <v>1314</v>
      </c>
      <c r="Q724" s="239" t="s">
        <v>1315</v>
      </c>
      <c r="R724" s="249" t="s">
        <v>1288</v>
      </c>
      <c r="S724" s="239" t="s">
        <v>1304</v>
      </c>
      <c r="T724" s="239" t="s">
        <v>1289</v>
      </c>
      <c r="U724" s="239" t="s">
        <v>1290</v>
      </c>
      <c r="V724" s="250" t="s">
        <v>1316</v>
      </c>
      <c r="W724" s="239" t="s">
        <v>8430</v>
      </c>
      <c r="X724" s="250" t="s">
        <v>1317</v>
      </c>
      <c r="Y724" s="239" t="s">
        <v>1305</v>
      </c>
    </row>
    <row r="725" spans="2:54" hidden="1" outlineLevel="2">
      <c r="B725" s="2" t="s">
        <v>874</v>
      </c>
      <c r="D725" s="138" t="s">
        <v>293</v>
      </c>
      <c r="E725" s="138" t="s">
        <v>1318</v>
      </c>
      <c r="F725" s="138" t="s">
        <v>1319</v>
      </c>
      <c r="G725" s="138" t="s">
        <v>1320</v>
      </c>
      <c r="H725" s="138" t="s">
        <v>1321</v>
      </c>
      <c r="I725" s="138" t="s">
        <v>1322</v>
      </c>
      <c r="J725" s="138" t="s">
        <v>1323</v>
      </c>
      <c r="K725" s="138" t="s">
        <v>1150</v>
      </c>
      <c r="L725" s="251" t="s">
        <v>1277</v>
      </c>
      <c r="M725" s="251" t="s">
        <v>1291</v>
      </c>
      <c r="N725" s="252" t="s">
        <v>1324</v>
      </c>
      <c r="O725" s="252" t="s">
        <v>8827</v>
      </c>
      <c r="P725" s="138" t="s">
        <v>1325</v>
      </c>
      <c r="Q725" s="138" t="s">
        <v>1326</v>
      </c>
      <c r="R725" s="253" t="s">
        <v>1292</v>
      </c>
      <c r="S725" s="138" t="s">
        <v>1293</v>
      </c>
      <c r="T725" s="138" t="s">
        <v>1278</v>
      </c>
      <c r="U725" s="138" t="s">
        <v>1279</v>
      </c>
      <c r="V725" s="138" t="s">
        <v>1327</v>
      </c>
      <c r="W725" s="138" t="s">
        <v>8431</v>
      </c>
      <c r="X725" s="138" t="s">
        <v>293</v>
      </c>
      <c r="Y725" s="138" t="s">
        <v>1306</v>
      </c>
    </row>
    <row r="726" spans="2:54" hidden="1" outlineLevel="2">
      <c r="B726" s="2" t="s">
        <v>1294</v>
      </c>
      <c r="D726" s="111" t="s">
        <v>1295</v>
      </c>
      <c r="E726" s="237">
        <v>1</v>
      </c>
      <c r="F726" s="254" t="b">
        <v>0</v>
      </c>
      <c r="G726" s="255" t="b">
        <v>0</v>
      </c>
      <c r="H726" s="255" t="b">
        <v>1</v>
      </c>
      <c r="I726" s="255"/>
      <c r="J726" s="255"/>
      <c r="K726" s="255" t="b">
        <v>1</v>
      </c>
      <c r="L726" s="112"/>
      <c r="M726" s="112"/>
      <c r="N726" s="533">
        <v>0</v>
      </c>
      <c r="O726" s="232">
        <v>1000000</v>
      </c>
      <c r="P726" s="486" t="s">
        <v>1328</v>
      </c>
      <c r="Q726" s="486" t="s">
        <v>1329</v>
      </c>
      <c r="R726" s="232">
        <v>100</v>
      </c>
      <c r="S726" s="232" t="s">
        <v>1299</v>
      </c>
      <c r="T726" s="232">
        <v>0</v>
      </c>
      <c r="U726" s="232">
        <v>0</v>
      </c>
      <c r="V726" s="232" t="s">
        <v>1330</v>
      </c>
      <c r="W726" s="232" t="b">
        <v>0</v>
      </c>
      <c r="X726" s="232" t="s">
        <v>1331</v>
      </c>
      <c r="Y726" s="112"/>
    </row>
    <row r="727" spans="2:54" hidden="1" outlineLevel="2">
      <c r="B727" s="2" t="s">
        <v>1294</v>
      </c>
      <c r="D727" s="111" t="s">
        <v>1295</v>
      </c>
      <c r="E727" s="237">
        <v>3</v>
      </c>
      <c r="F727" s="254" t="b">
        <v>0</v>
      </c>
      <c r="G727" s="255" t="b">
        <v>0</v>
      </c>
      <c r="H727" s="255" t="b">
        <v>1</v>
      </c>
      <c r="I727" s="255"/>
      <c r="J727" s="255"/>
      <c r="K727" s="255" t="b">
        <v>1</v>
      </c>
      <c r="L727" s="112"/>
      <c r="M727" s="112"/>
      <c r="N727" s="533">
        <f>O726</f>
        <v>1000000</v>
      </c>
      <c r="O727" s="232">
        <v>1455000</v>
      </c>
      <c r="P727" s="486" t="s">
        <v>1328</v>
      </c>
      <c r="Q727" s="486" t="s">
        <v>1329</v>
      </c>
      <c r="R727" s="232">
        <v>100</v>
      </c>
      <c r="S727" s="232" t="s">
        <v>1299</v>
      </c>
      <c r="T727" s="232">
        <v>0</v>
      </c>
      <c r="U727" s="232">
        <v>6.4000000000000001E-2</v>
      </c>
      <c r="V727" s="232" t="s">
        <v>1330</v>
      </c>
      <c r="W727" s="232" t="b">
        <v>0</v>
      </c>
      <c r="X727" s="232" t="s">
        <v>1331</v>
      </c>
      <c r="Y727" s="112"/>
    </row>
    <row r="728" spans="2:54" hidden="1" outlineLevel="2">
      <c r="B728" s="2" t="s">
        <v>1294</v>
      </c>
      <c r="D728" s="111" t="s">
        <v>1295</v>
      </c>
      <c r="E728" s="237">
        <v>4</v>
      </c>
      <c r="F728" s="254" t="b">
        <v>0</v>
      </c>
      <c r="G728" s="255" t="b">
        <v>0</v>
      </c>
      <c r="H728" s="255" t="b">
        <v>1</v>
      </c>
      <c r="I728" s="255"/>
      <c r="J728" s="255"/>
      <c r="K728" s="255" t="b">
        <v>1</v>
      </c>
      <c r="L728" s="112"/>
      <c r="M728" s="112"/>
      <c r="N728" s="533">
        <f>O727</f>
        <v>1455000</v>
      </c>
      <c r="O728" s="232">
        <v>99999999</v>
      </c>
      <c r="P728" s="486" t="s">
        <v>1328</v>
      </c>
      <c r="Q728" s="486" t="s">
        <v>1329</v>
      </c>
      <c r="R728" s="232">
        <v>100</v>
      </c>
      <c r="S728" s="232" t="s">
        <v>1299</v>
      </c>
      <c r="T728" s="232">
        <v>31553</v>
      </c>
      <c r="U728" s="232">
        <v>4.5400000000000003E-2</v>
      </c>
      <c r="V728" s="232" t="s">
        <v>1330</v>
      </c>
      <c r="W728" s="232" t="b">
        <v>0</v>
      </c>
      <c r="X728" s="232" t="s">
        <v>1331</v>
      </c>
      <c r="Y728" s="112"/>
    </row>
    <row r="729" spans="2:54" hidden="1" outlineLevel="2">
      <c r="B729" s="2" t="s">
        <v>1294</v>
      </c>
      <c r="D729" s="111" t="s">
        <v>1295</v>
      </c>
      <c r="E729" s="237">
        <v>5</v>
      </c>
      <c r="F729" s="254" t="b">
        <v>0</v>
      </c>
      <c r="G729" s="254" t="b">
        <v>0</v>
      </c>
      <c r="H729" s="254" t="b">
        <v>0</v>
      </c>
      <c r="I729" s="255"/>
      <c r="J729" s="255"/>
      <c r="K729" s="255"/>
      <c r="L729" s="112"/>
      <c r="M729" s="112"/>
      <c r="N729" s="533">
        <v>0</v>
      </c>
      <c r="O729" s="232">
        <v>1600</v>
      </c>
      <c r="P729" s="486" t="s">
        <v>8035</v>
      </c>
      <c r="Q729" s="486" t="s">
        <v>1329</v>
      </c>
      <c r="R729" s="232">
        <v>100</v>
      </c>
      <c r="S729" s="232" t="s">
        <v>1299</v>
      </c>
      <c r="T729" s="232">
        <v>11.4</v>
      </c>
      <c r="U729" s="232">
        <v>0</v>
      </c>
      <c r="V729" s="232" t="s">
        <v>8036</v>
      </c>
      <c r="W729" s="232" t="b">
        <v>0</v>
      </c>
      <c r="X729" s="232" t="s">
        <v>1340</v>
      </c>
      <c r="Y729" s="112"/>
    </row>
    <row r="730" spans="2:54" hidden="1" outlineLevel="2">
      <c r="B730" s="2" t="s">
        <v>1294</v>
      </c>
      <c r="D730" s="111" t="s">
        <v>1295</v>
      </c>
      <c r="E730" s="237">
        <v>6</v>
      </c>
      <c r="F730" s="254" t="b">
        <v>0</v>
      </c>
      <c r="G730" s="254" t="b">
        <v>0</v>
      </c>
      <c r="H730" s="254" t="b">
        <v>0</v>
      </c>
      <c r="I730" s="255"/>
      <c r="J730" s="255"/>
      <c r="K730" s="255"/>
      <c r="L730" s="112"/>
      <c r="M730" s="112"/>
      <c r="N730" s="533">
        <v>0</v>
      </c>
      <c r="O730" s="232">
        <v>260000</v>
      </c>
      <c r="P730" s="486" t="s">
        <v>8035</v>
      </c>
      <c r="Q730" s="486" t="s">
        <v>1329</v>
      </c>
      <c r="R730" s="232">
        <v>100</v>
      </c>
      <c r="S730" s="232" t="s">
        <v>1299</v>
      </c>
      <c r="T730" s="232">
        <v>0</v>
      </c>
      <c r="U730" s="232">
        <v>4.8999999999999998E-3</v>
      </c>
      <c r="V730" s="232" t="s">
        <v>8036</v>
      </c>
      <c r="W730" s="232" t="b">
        <v>0</v>
      </c>
      <c r="X730" s="232" t="s">
        <v>1340</v>
      </c>
      <c r="Y730" s="112"/>
    </row>
    <row r="731" spans="2:54" hidden="1" outlineLevel="2">
      <c r="B731" s="2" t="s">
        <v>1294</v>
      </c>
      <c r="D731" s="111" t="s">
        <v>1295</v>
      </c>
      <c r="E731" s="237">
        <v>7</v>
      </c>
      <c r="F731" s="254" t="b">
        <v>0</v>
      </c>
      <c r="G731" s="254" t="b">
        <v>0</v>
      </c>
      <c r="H731" s="254" t="b">
        <v>0</v>
      </c>
      <c r="I731" s="255"/>
      <c r="J731" s="255"/>
      <c r="K731" s="255"/>
      <c r="L731" s="112"/>
      <c r="M731" s="112"/>
      <c r="N731" s="533">
        <f t="shared" ref="N731:N736" si="6">O730</f>
        <v>260000</v>
      </c>
      <c r="O731" s="232">
        <v>300000</v>
      </c>
      <c r="P731" s="486" t="s">
        <v>8035</v>
      </c>
      <c r="Q731" s="486" t="s">
        <v>1329</v>
      </c>
      <c r="R731" s="232">
        <v>100</v>
      </c>
      <c r="S731" s="232" t="s">
        <v>1299</v>
      </c>
      <c r="T731" s="232">
        <v>1274</v>
      </c>
      <c r="U731" s="232">
        <v>2.1999999999999999E-2</v>
      </c>
      <c r="V731" s="232" t="s">
        <v>8036</v>
      </c>
      <c r="W731" s="232" t="b">
        <v>0</v>
      </c>
      <c r="X731" s="232" t="s">
        <v>1340</v>
      </c>
      <c r="Y731" s="112"/>
    </row>
    <row r="732" spans="2:54" hidden="1" outlineLevel="2">
      <c r="B732" s="2" t="s">
        <v>1294</v>
      </c>
      <c r="D732" s="111" t="s">
        <v>1295</v>
      </c>
      <c r="E732" s="237">
        <v>8</v>
      </c>
      <c r="F732" s="254" t="b">
        <v>0</v>
      </c>
      <c r="G732" s="254" t="b">
        <v>0</v>
      </c>
      <c r="H732" s="254" t="b">
        <v>0</v>
      </c>
      <c r="I732" s="255"/>
      <c r="J732" s="255"/>
      <c r="K732" s="255"/>
      <c r="L732" s="112"/>
      <c r="M732" s="112"/>
      <c r="N732" s="533">
        <f t="shared" si="6"/>
        <v>300000</v>
      </c>
      <c r="O732" s="232">
        <v>500000</v>
      </c>
      <c r="P732" s="486" t="s">
        <v>8035</v>
      </c>
      <c r="Q732" s="486" t="s">
        <v>1329</v>
      </c>
      <c r="R732" s="232">
        <v>100</v>
      </c>
      <c r="S732" s="232" t="s">
        <v>1299</v>
      </c>
      <c r="T732" s="232">
        <v>2154</v>
      </c>
      <c r="U732" s="232">
        <v>3.4000000000000002E-2</v>
      </c>
      <c r="V732" s="232" t="s">
        <v>8036</v>
      </c>
      <c r="W732" s="232" t="b">
        <v>0</v>
      </c>
      <c r="X732" s="232" t="s">
        <v>1340</v>
      </c>
      <c r="Y732" s="112"/>
    </row>
    <row r="733" spans="2:54" hidden="1" outlineLevel="2">
      <c r="B733" s="2" t="s">
        <v>1294</v>
      </c>
      <c r="D733" s="111" t="s">
        <v>1295</v>
      </c>
      <c r="E733" s="237">
        <v>9</v>
      </c>
      <c r="F733" s="254" t="b">
        <v>0</v>
      </c>
      <c r="G733" s="254" t="b">
        <v>0</v>
      </c>
      <c r="H733" s="254" t="b">
        <v>0</v>
      </c>
      <c r="I733" s="255"/>
      <c r="J733" s="255"/>
      <c r="K733" s="255"/>
      <c r="L733" s="112"/>
      <c r="M733" s="112"/>
      <c r="N733" s="533">
        <f t="shared" si="6"/>
        <v>500000</v>
      </c>
      <c r="O733" s="232">
        <v>750000</v>
      </c>
      <c r="P733" s="486" t="s">
        <v>8035</v>
      </c>
      <c r="Q733" s="486" t="s">
        <v>1329</v>
      </c>
      <c r="R733" s="232">
        <v>100</v>
      </c>
      <c r="S733" s="232" t="s">
        <v>1299</v>
      </c>
      <c r="T733" s="232">
        <v>8954</v>
      </c>
      <c r="U733" s="232">
        <v>4.3200000000000002E-2</v>
      </c>
      <c r="V733" s="232" t="s">
        <v>8036</v>
      </c>
      <c r="W733" s="232" t="b">
        <v>0</v>
      </c>
      <c r="X733" s="232" t="s">
        <v>1340</v>
      </c>
      <c r="Y733" s="112"/>
    </row>
    <row r="734" spans="2:54" hidden="1" outlineLevel="2">
      <c r="B734" s="2" t="s">
        <v>1294</v>
      </c>
      <c r="D734" s="111" t="s">
        <v>1295</v>
      </c>
      <c r="E734" s="237">
        <v>10</v>
      </c>
      <c r="F734" s="254" t="b">
        <v>0</v>
      </c>
      <c r="G734" s="254" t="b">
        <v>0</v>
      </c>
      <c r="H734" s="254" t="b">
        <v>0</v>
      </c>
      <c r="I734" s="255"/>
      <c r="J734" s="255"/>
      <c r="K734" s="255"/>
      <c r="L734" s="112"/>
      <c r="M734" s="112"/>
      <c r="N734" s="533">
        <f t="shared" si="6"/>
        <v>750000</v>
      </c>
      <c r="O734" s="232">
        <v>1000000</v>
      </c>
      <c r="P734" s="486" t="s">
        <v>8035</v>
      </c>
      <c r="Q734" s="486" t="s">
        <v>1329</v>
      </c>
      <c r="R734" s="232">
        <v>100</v>
      </c>
      <c r="S734" s="232" t="s">
        <v>1299</v>
      </c>
      <c r="T734" s="232">
        <v>19754</v>
      </c>
      <c r="U734" s="232">
        <v>5.8999999999999997E-2</v>
      </c>
      <c r="V734" s="232" t="s">
        <v>8036</v>
      </c>
      <c r="W734" s="232" t="b">
        <v>0</v>
      </c>
      <c r="X734" s="232" t="s">
        <v>1340</v>
      </c>
      <c r="Y734" s="112"/>
    </row>
    <row r="735" spans="2:54" hidden="1" outlineLevel="2">
      <c r="B735" s="2" t="s">
        <v>1294</v>
      </c>
      <c r="D735" s="111" t="s">
        <v>1295</v>
      </c>
      <c r="E735" s="237">
        <v>11</v>
      </c>
      <c r="F735" s="254" t="b">
        <v>0</v>
      </c>
      <c r="G735" s="254" t="b">
        <v>0</v>
      </c>
      <c r="H735" s="254" t="b">
        <v>0</v>
      </c>
      <c r="I735" s="255"/>
      <c r="J735" s="255"/>
      <c r="K735" s="255"/>
      <c r="L735" s="112"/>
      <c r="M735" s="112"/>
      <c r="N735" s="533">
        <f t="shared" si="6"/>
        <v>1000000</v>
      </c>
      <c r="O735" s="232">
        <v>1455000</v>
      </c>
      <c r="P735" s="486" t="s">
        <v>8035</v>
      </c>
      <c r="Q735" s="486" t="s">
        <v>1329</v>
      </c>
      <c r="R735" s="232">
        <v>100</v>
      </c>
      <c r="S735" s="232" t="s">
        <v>1299</v>
      </c>
      <c r="T735" s="232">
        <v>34504</v>
      </c>
      <c r="U735" s="232">
        <v>6.4000000000000001E-2</v>
      </c>
      <c r="V735" s="232" t="s">
        <v>8036</v>
      </c>
      <c r="W735" s="232" t="b">
        <v>0</v>
      </c>
      <c r="X735" s="232" t="s">
        <v>1340</v>
      </c>
      <c r="Y735" s="112"/>
    </row>
    <row r="736" spans="2:54" hidden="1" outlineLevel="2">
      <c r="B736" s="2" t="s">
        <v>1294</v>
      </c>
      <c r="D736" s="111" t="s">
        <v>1295</v>
      </c>
      <c r="E736" s="237">
        <v>12</v>
      </c>
      <c r="F736" s="254" t="b">
        <v>0</v>
      </c>
      <c r="G736" s="254" t="b">
        <v>0</v>
      </c>
      <c r="H736" s="254" t="b">
        <v>0</v>
      </c>
      <c r="I736" s="255"/>
      <c r="J736" s="255"/>
      <c r="K736" s="255"/>
      <c r="L736" s="112"/>
      <c r="M736" s="112"/>
      <c r="N736" s="533">
        <f t="shared" si="6"/>
        <v>1455000</v>
      </c>
      <c r="O736" s="232">
        <v>99999999</v>
      </c>
      <c r="P736" s="486" t="s">
        <v>8035</v>
      </c>
      <c r="Q736" s="486" t="s">
        <v>1329</v>
      </c>
      <c r="R736" s="232">
        <v>100</v>
      </c>
      <c r="S736" s="232" t="s">
        <v>1299</v>
      </c>
      <c r="T736" s="232">
        <v>66057</v>
      </c>
      <c r="U736" s="232">
        <v>4.5400000000000003E-2</v>
      </c>
      <c r="V736" s="232"/>
      <c r="W736" s="232" t="b">
        <v>0</v>
      </c>
      <c r="X736" s="232"/>
      <c r="Y736" s="112"/>
    </row>
    <row r="737" spans="2:25" hidden="1" outlineLevel="2">
      <c r="B737" s="2" t="s">
        <v>1294</v>
      </c>
      <c r="D737" s="111" t="s">
        <v>1295</v>
      </c>
      <c r="E737" s="237">
        <v>13</v>
      </c>
      <c r="F737" s="254"/>
      <c r="G737" s="255"/>
      <c r="H737" s="255"/>
      <c r="I737" s="255"/>
      <c r="J737" s="255"/>
      <c r="K737" s="255"/>
      <c r="L737" s="112"/>
      <c r="M737" s="112"/>
      <c r="N737" s="256">
        <v>0</v>
      </c>
      <c r="O737" s="112">
        <v>1600</v>
      </c>
      <c r="P737" s="254" t="s">
        <v>1332</v>
      </c>
      <c r="Q737" s="254" t="s">
        <v>1329</v>
      </c>
      <c r="R737" s="112">
        <v>100</v>
      </c>
      <c r="S737" s="112" t="s">
        <v>1299</v>
      </c>
      <c r="T737" s="232">
        <v>20</v>
      </c>
      <c r="U737" s="232">
        <v>0</v>
      </c>
      <c r="V737" s="112"/>
      <c r="W737" s="112" t="b">
        <v>0</v>
      </c>
      <c r="X737" s="112"/>
      <c r="Y737" s="112"/>
    </row>
    <row r="738" spans="2:25" hidden="1" outlineLevel="2">
      <c r="B738" s="2" t="s">
        <v>1294</v>
      </c>
      <c r="D738" s="111" t="s">
        <v>1295</v>
      </c>
      <c r="E738" s="237">
        <v>14</v>
      </c>
      <c r="F738" s="254"/>
      <c r="G738" s="255"/>
      <c r="H738" s="255"/>
      <c r="I738" s="255"/>
      <c r="J738" s="255"/>
      <c r="K738" s="255"/>
      <c r="L738" s="112"/>
      <c r="M738" s="112"/>
      <c r="N738" s="256">
        <v>0</v>
      </c>
      <c r="O738" s="112">
        <v>200000</v>
      </c>
      <c r="P738" s="254" t="s">
        <v>1332</v>
      </c>
      <c r="Q738" s="254" t="s">
        <v>1329</v>
      </c>
      <c r="R738" s="112">
        <v>100</v>
      </c>
      <c r="S738" s="112" t="s">
        <v>1299</v>
      </c>
      <c r="T738" s="232">
        <v>0</v>
      </c>
      <c r="U738" s="232">
        <v>1.2E-2</v>
      </c>
      <c r="V738" s="112"/>
      <c r="W738" s="112" t="b">
        <v>0</v>
      </c>
      <c r="X738" s="112"/>
      <c r="Y738" s="112"/>
    </row>
    <row r="739" spans="2:25" hidden="1" outlineLevel="2">
      <c r="B739" s="2" t="s">
        <v>1294</v>
      </c>
      <c r="D739" s="111" t="s">
        <v>1295</v>
      </c>
      <c r="E739" s="237">
        <v>15</v>
      </c>
      <c r="F739" s="254"/>
      <c r="G739" s="255"/>
      <c r="H739" s="255"/>
      <c r="I739" s="255"/>
      <c r="J739" s="255"/>
      <c r="K739" s="255"/>
      <c r="L739" s="112"/>
      <c r="M739" s="112"/>
      <c r="N739" s="256">
        <f t="shared" ref="N739:N744" si="7">O738</f>
        <v>200000</v>
      </c>
      <c r="O739" s="112">
        <v>300000</v>
      </c>
      <c r="P739" s="254" t="s">
        <v>1332</v>
      </c>
      <c r="Q739" s="254" t="s">
        <v>1329</v>
      </c>
      <c r="R739" s="112">
        <v>100</v>
      </c>
      <c r="S739" s="112" t="s">
        <v>1299</v>
      </c>
      <c r="T739" s="232">
        <v>2400</v>
      </c>
      <c r="U739" s="232">
        <v>2.1999999999999999E-2</v>
      </c>
      <c r="V739" s="112"/>
      <c r="W739" s="112" t="b">
        <v>0</v>
      </c>
      <c r="X739" s="112"/>
      <c r="Y739" s="112"/>
    </row>
    <row r="740" spans="2:25" hidden="1" outlineLevel="2">
      <c r="B740" s="2" t="s">
        <v>1294</v>
      </c>
      <c r="D740" s="111" t="s">
        <v>1295</v>
      </c>
      <c r="E740" s="237">
        <v>16</v>
      </c>
      <c r="F740" s="254"/>
      <c r="G740" s="255"/>
      <c r="H740" s="255"/>
      <c r="I740" s="255"/>
      <c r="J740" s="255"/>
      <c r="K740" s="255"/>
      <c r="L740" s="112"/>
      <c r="M740" s="112"/>
      <c r="N740" s="256">
        <f t="shared" si="7"/>
        <v>300000</v>
      </c>
      <c r="O740" s="112">
        <v>500000</v>
      </c>
      <c r="P740" s="254" t="s">
        <v>1332</v>
      </c>
      <c r="Q740" s="254" t="s">
        <v>1329</v>
      </c>
      <c r="R740" s="112">
        <v>100</v>
      </c>
      <c r="S740" s="112" t="s">
        <v>1299</v>
      </c>
      <c r="T740" s="232">
        <v>4600</v>
      </c>
      <c r="U740" s="232">
        <v>3.4000000000000002E-2</v>
      </c>
      <c r="V740" s="112"/>
      <c r="W740" s="112" t="b">
        <v>0</v>
      </c>
      <c r="X740" s="112"/>
      <c r="Y740" s="112"/>
    </row>
    <row r="741" spans="2:25" hidden="1" outlineLevel="2">
      <c r="B741" s="2" t="s">
        <v>1294</v>
      </c>
      <c r="D741" s="111" t="s">
        <v>1295</v>
      </c>
      <c r="E741" s="237">
        <v>17</v>
      </c>
      <c r="F741" s="254"/>
      <c r="G741" s="255"/>
      <c r="H741" s="255"/>
      <c r="I741" s="255"/>
      <c r="J741" s="255"/>
      <c r="K741" s="255"/>
      <c r="L741" s="112"/>
      <c r="M741" s="112"/>
      <c r="N741" s="256">
        <f t="shared" si="7"/>
        <v>500000</v>
      </c>
      <c r="O741" s="112">
        <v>750000</v>
      </c>
      <c r="P741" s="254" t="s">
        <v>1332</v>
      </c>
      <c r="Q741" s="254" t="s">
        <v>1329</v>
      </c>
      <c r="R741" s="112">
        <v>100</v>
      </c>
      <c r="S741" s="112" t="s">
        <v>1299</v>
      </c>
      <c r="T741" s="232">
        <v>11400</v>
      </c>
      <c r="U741" s="232">
        <v>4.3200000000000002E-2</v>
      </c>
      <c r="V741" s="112"/>
      <c r="W741" s="112" t="b">
        <v>0</v>
      </c>
      <c r="X741" s="112"/>
      <c r="Y741" s="112"/>
    </row>
    <row r="742" spans="2:25" hidden="1" outlineLevel="2">
      <c r="B742" s="2" t="s">
        <v>1294</v>
      </c>
      <c r="D742" s="111" t="s">
        <v>1295</v>
      </c>
      <c r="E742" s="237">
        <v>18</v>
      </c>
      <c r="F742" s="254"/>
      <c r="G742" s="255"/>
      <c r="H742" s="255"/>
      <c r="I742" s="255"/>
      <c r="J742" s="255"/>
      <c r="K742" s="255"/>
      <c r="L742" s="112"/>
      <c r="M742" s="112"/>
      <c r="N742" s="256">
        <f t="shared" si="7"/>
        <v>750000</v>
      </c>
      <c r="O742" s="112">
        <v>1000000</v>
      </c>
      <c r="P742" s="254" t="s">
        <v>1332</v>
      </c>
      <c r="Q742" s="254" t="s">
        <v>1329</v>
      </c>
      <c r="R742" s="112">
        <v>100</v>
      </c>
      <c r="S742" s="112" t="s">
        <v>1299</v>
      </c>
      <c r="T742" s="232">
        <v>22200</v>
      </c>
      <c r="U742" s="232">
        <v>5.8999999999999997E-2</v>
      </c>
      <c r="V742" s="112"/>
      <c r="W742" s="112" t="b">
        <v>0</v>
      </c>
      <c r="X742" s="112"/>
      <c r="Y742" s="112"/>
    </row>
    <row r="743" spans="2:25" hidden="1" outlineLevel="2">
      <c r="B743" s="2" t="s">
        <v>1294</v>
      </c>
      <c r="D743" s="111" t="s">
        <v>1295</v>
      </c>
      <c r="E743" s="237">
        <v>19</v>
      </c>
      <c r="F743" s="254"/>
      <c r="G743" s="255"/>
      <c r="H743" s="255"/>
      <c r="I743" s="255"/>
      <c r="J743" s="255"/>
      <c r="K743" s="255"/>
      <c r="L743" s="112"/>
      <c r="M743" s="112"/>
      <c r="N743" s="256">
        <f t="shared" si="7"/>
        <v>1000000</v>
      </c>
      <c r="O743" s="112">
        <v>1455000</v>
      </c>
      <c r="P743" s="254" t="s">
        <v>1332</v>
      </c>
      <c r="Q743" s="254" t="s">
        <v>1329</v>
      </c>
      <c r="R743" s="112">
        <v>100</v>
      </c>
      <c r="S743" s="112" t="s">
        <v>1299</v>
      </c>
      <c r="T743" s="232">
        <v>36950</v>
      </c>
      <c r="U743" s="232">
        <v>6.4000000000000001E-2</v>
      </c>
      <c r="V743" s="112"/>
      <c r="W743" s="112" t="b">
        <v>0</v>
      </c>
      <c r="X743" s="112"/>
      <c r="Y743" s="112"/>
    </row>
    <row r="744" spans="2:25" hidden="1" outlineLevel="2">
      <c r="B744" s="2" t="s">
        <v>1294</v>
      </c>
      <c r="D744" s="111" t="s">
        <v>1295</v>
      </c>
      <c r="E744" s="237">
        <v>20</v>
      </c>
      <c r="F744" s="254"/>
      <c r="G744" s="255"/>
      <c r="H744" s="255"/>
      <c r="I744" s="255"/>
      <c r="J744" s="255"/>
      <c r="K744" s="255"/>
      <c r="L744" s="112"/>
      <c r="M744" s="112"/>
      <c r="N744" s="256">
        <f t="shared" si="7"/>
        <v>1455000</v>
      </c>
      <c r="O744" s="112">
        <v>99999999</v>
      </c>
      <c r="P744" s="254" t="s">
        <v>1332</v>
      </c>
      <c r="Q744" s="254" t="s">
        <v>1329</v>
      </c>
      <c r="R744" s="112">
        <v>100</v>
      </c>
      <c r="S744" s="112" t="s">
        <v>1299</v>
      </c>
      <c r="T744" s="232">
        <v>66057</v>
      </c>
      <c r="U744" s="232">
        <v>4.5400000000000003E-2</v>
      </c>
      <c r="V744" s="112"/>
      <c r="W744" s="112" t="b">
        <v>0</v>
      </c>
      <c r="X744" s="112"/>
      <c r="Y744" s="112"/>
    </row>
    <row r="745" spans="2:25" hidden="1" outlineLevel="2">
      <c r="B745" s="2" t="s">
        <v>1294</v>
      </c>
      <c r="D745" s="113" t="s">
        <v>1296</v>
      </c>
      <c r="E745" s="237">
        <v>21</v>
      </c>
      <c r="F745" s="114" t="b">
        <v>0</v>
      </c>
      <c r="G745" s="257" t="b">
        <v>0</v>
      </c>
      <c r="H745" s="257" t="b">
        <v>1</v>
      </c>
      <c r="I745" s="257"/>
      <c r="J745" s="257" t="b">
        <v>0</v>
      </c>
      <c r="K745" s="257"/>
      <c r="L745" s="114">
        <v>0</v>
      </c>
      <c r="M745" s="114">
        <v>800000</v>
      </c>
      <c r="N745" s="114"/>
      <c r="O745" s="114"/>
      <c r="P745" s="114" t="s">
        <v>1333</v>
      </c>
      <c r="Q745" s="114" t="s">
        <v>1334</v>
      </c>
      <c r="R745" s="114">
        <v>100</v>
      </c>
      <c r="S745" s="114" t="s">
        <v>1299</v>
      </c>
      <c r="T745" s="114">
        <v>0</v>
      </c>
      <c r="U745" s="114">
        <v>0</v>
      </c>
      <c r="V745" s="114" t="s">
        <v>1330</v>
      </c>
      <c r="W745" s="114" t="b">
        <v>0</v>
      </c>
      <c r="X745" s="114" t="s">
        <v>1331</v>
      </c>
      <c r="Y745" s="114"/>
    </row>
    <row r="746" spans="2:25" hidden="1" outlineLevel="2">
      <c r="B746" s="2" t="s">
        <v>1294</v>
      </c>
      <c r="D746" s="113" t="s">
        <v>1296</v>
      </c>
      <c r="E746" s="237">
        <v>22</v>
      </c>
      <c r="F746" s="114" t="b">
        <v>0</v>
      </c>
      <c r="G746" s="257" t="b">
        <v>0</v>
      </c>
      <c r="H746" s="257" t="b">
        <v>1</v>
      </c>
      <c r="I746" s="257"/>
      <c r="J746" s="257" t="b">
        <v>0</v>
      </c>
      <c r="K746" s="257"/>
      <c r="L746" s="114">
        <v>800000</v>
      </c>
      <c r="M746" s="114">
        <v>1000000</v>
      </c>
      <c r="N746" s="114"/>
      <c r="O746" s="114"/>
      <c r="P746" s="114" t="s">
        <v>1333</v>
      </c>
      <c r="Q746" s="114" t="s">
        <v>1334</v>
      </c>
      <c r="R746" s="114">
        <v>100</v>
      </c>
      <c r="S746" s="114" t="s">
        <v>1299</v>
      </c>
      <c r="T746" s="114">
        <v>0</v>
      </c>
      <c r="U746" s="114">
        <v>0.19867499999999999</v>
      </c>
      <c r="V746" s="114" t="s">
        <v>1330</v>
      </c>
      <c r="W746" s="114" t="b">
        <v>0</v>
      </c>
      <c r="X746" s="114" t="s">
        <v>1331</v>
      </c>
      <c r="Y746" s="114"/>
    </row>
    <row r="747" spans="2:25" hidden="1" outlineLevel="2">
      <c r="B747" s="2" t="s">
        <v>1294</v>
      </c>
      <c r="D747" s="113" t="s">
        <v>1296</v>
      </c>
      <c r="E747" s="237">
        <v>23</v>
      </c>
      <c r="F747" s="114" t="b">
        <v>0</v>
      </c>
      <c r="G747" s="257" t="b">
        <v>0</v>
      </c>
      <c r="H747" s="257" t="b">
        <v>1</v>
      </c>
      <c r="I747" s="257"/>
      <c r="J747" s="257" t="b">
        <v>0</v>
      </c>
      <c r="K747" s="257"/>
      <c r="L747" s="114">
        <v>1000000</v>
      </c>
      <c r="M747" s="114">
        <v>1168000</v>
      </c>
      <c r="N747" s="114"/>
      <c r="O747" s="114"/>
      <c r="P747" s="114" t="s">
        <v>1333</v>
      </c>
      <c r="Q747" s="114" t="s">
        <v>1334</v>
      </c>
      <c r="R747" s="114">
        <v>100</v>
      </c>
      <c r="S747" s="114" t="s">
        <v>1299</v>
      </c>
      <c r="T747" s="114">
        <v>39735</v>
      </c>
      <c r="U747" s="114">
        <v>4.4999999999999998E-2</v>
      </c>
      <c r="V747" s="114"/>
      <c r="W747" s="114" t="b">
        <v>0</v>
      </c>
      <c r="X747" s="114"/>
      <c r="Y747" s="114"/>
    </row>
    <row r="748" spans="2:25" hidden="1" outlineLevel="2">
      <c r="B748" s="2" t="s">
        <v>1294</v>
      </c>
      <c r="D748" s="113" t="s">
        <v>1296</v>
      </c>
      <c r="E748" s="237">
        <v>25</v>
      </c>
      <c r="F748" s="114" t="b">
        <v>0</v>
      </c>
      <c r="G748" s="257" t="b">
        <v>0</v>
      </c>
      <c r="H748" s="257" t="b">
        <v>1</v>
      </c>
      <c r="I748" s="257"/>
      <c r="J748" s="257" t="b">
        <v>0</v>
      </c>
      <c r="K748" s="257"/>
      <c r="L748" s="114">
        <f>M747</f>
        <v>1168000</v>
      </c>
      <c r="M748" s="114">
        <v>3505000</v>
      </c>
      <c r="N748" s="114"/>
      <c r="O748" s="114"/>
      <c r="P748" s="114" t="s">
        <v>1333</v>
      </c>
      <c r="Q748" s="114" t="s">
        <v>1334</v>
      </c>
      <c r="R748" s="114">
        <v>100</v>
      </c>
      <c r="S748" s="114" t="s">
        <v>1299</v>
      </c>
      <c r="T748" s="114">
        <v>47295</v>
      </c>
      <c r="U748" s="114">
        <v>5.5E-2</v>
      </c>
      <c r="V748" s="114"/>
      <c r="W748" s="114" t="b">
        <v>0</v>
      </c>
      <c r="X748" s="114"/>
      <c r="Y748" s="114"/>
    </row>
    <row r="749" spans="2:25" hidden="1" outlineLevel="2">
      <c r="B749" s="2" t="s">
        <v>1294</v>
      </c>
      <c r="D749" s="113" t="s">
        <v>1296</v>
      </c>
      <c r="E749" s="237">
        <v>26</v>
      </c>
      <c r="F749" s="114" t="b">
        <v>0</v>
      </c>
      <c r="G749" s="257" t="b">
        <v>0</v>
      </c>
      <c r="H749" s="257" t="b">
        <v>1</v>
      </c>
      <c r="I749" s="257"/>
      <c r="J749" s="257" t="b">
        <v>0</v>
      </c>
      <c r="K749" s="257"/>
      <c r="L749" s="114">
        <f>M748</f>
        <v>3505000</v>
      </c>
      <c r="M749" s="114">
        <v>99999999</v>
      </c>
      <c r="N749" s="114"/>
      <c r="O749" s="114"/>
      <c r="P749" s="114" t="s">
        <v>1333</v>
      </c>
      <c r="Q749" s="114" t="s">
        <v>1334</v>
      </c>
      <c r="R749" s="114">
        <v>100</v>
      </c>
      <c r="S749" s="114" t="s">
        <v>1299</v>
      </c>
      <c r="T749" s="114">
        <v>175830</v>
      </c>
      <c r="U749" s="114">
        <v>7.0000000000000007E-2</v>
      </c>
      <c r="V749" s="114"/>
      <c r="W749" s="114" t="b">
        <v>0</v>
      </c>
      <c r="X749" s="114"/>
      <c r="Y749" s="114"/>
    </row>
    <row r="750" spans="2:25" hidden="1" outlineLevel="2">
      <c r="B750" s="2" t="s">
        <v>1294</v>
      </c>
      <c r="D750" s="113" t="s">
        <v>1296</v>
      </c>
      <c r="E750" s="237">
        <v>27</v>
      </c>
      <c r="F750" s="114" t="b">
        <v>0</v>
      </c>
      <c r="G750" s="257" t="b">
        <v>0</v>
      </c>
      <c r="H750" s="257" t="b">
        <v>1</v>
      </c>
      <c r="I750" s="257"/>
      <c r="J750" s="257" t="b">
        <v>1</v>
      </c>
      <c r="K750" s="257"/>
      <c r="L750" s="114">
        <v>0</v>
      </c>
      <c r="M750" s="114">
        <v>350000</v>
      </c>
      <c r="N750" s="114"/>
      <c r="O750" s="114"/>
      <c r="P750" s="114" t="s">
        <v>1335</v>
      </c>
      <c r="Q750" s="114" t="s">
        <v>1334</v>
      </c>
      <c r="R750" s="114">
        <v>100</v>
      </c>
      <c r="S750" s="114" t="s">
        <v>1299</v>
      </c>
      <c r="T750" s="114">
        <v>0</v>
      </c>
      <c r="U750" s="114">
        <v>0</v>
      </c>
      <c r="V750" s="114" t="s">
        <v>1330</v>
      </c>
      <c r="W750" s="114" t="b">
        <v>0</v>
      </c>
      <c r="X750" s="114" t="s">
        <v>1331</v>
      </c>
      <c r="Y750" s="114"/>
    </row>
    <row r="751" spans="2:25" hidden="1" outlineLevel="2">
      <c r="B751" s="2" t="s">
        <v>1294</v>
      </c>
      <c r="D751" s="113" t="s">
        <v>1296</v>
      </c>
      <c r="E751" s="237">
        <v>28</v>
      </c>
      <c r="F751" s="114" t="b">
        <v>0</v>
      </c>
      <c r="G751" s="257" t="b">
        <v>0</v>
      </c>
      <c r="H751" s="257" t="b">
        <v>1</v>
      </c>
      <c r="I751" s="257"/>
      <c r="J751" s="257" t="b">
        <v>1</v>
      </c>
      <c r="K751" s="257"/>
      <c r="L751" s="114">
        <v>350000</v>
      </c>
      <c r="M751" s="114">
        <v>450000</v>
      </c>
      <c r="N751" s="114"/>
      <c r="O751" s="114"/>
      <c r="P751" s="114" t="s">
        <v>1335</v>
      </c>
      <c r="Q751" s="114" t="s">
        <v>1334</v>
      </c>
      <c r="R751" s="114">
        <v>100</v>
      </c>
      <c r="S751" s="114" t="s">
        <v>1299</v>
      </c>
      <c r="T751" s="114">
        <v>-10</v>
      </c>
      <c r="U751" s="114">
        <v>0.14995</v>
      </c>
      <c r="V751" s="114" t="s">
        <v>1330</v>
      </c>
      <c r="W751" s="114" t="b">
        <v>0</v>
      </c>
      <c r="X751" s="114" t="s">
        <v>1331</v>
      </c>
      <c r="Y751" s="114"/>
    </row>
    <row r="752" spans="2:25" hidden="1" outlineLevel="2">
      <c r="B752" s="2" t="s">
        <v>1294</v>
      </c>
      <c r="D752" s="113" t="s">
        <v>1296</v>
      </c>
      <c r="E752" s="237">
        <v>30</v>
      </c>
      <c r="F752" s="114" t="b">
        <v>0</v>
      </c>
      <c r="G752" s="257" t="b">
        <v>0</v>
      </c>
      <c r="H752" s="257" t="b">
        <v>1</v>
      </c>
      <c r="I752" s="257"/>
      <c r="J752" s="257" t="b">
        <v>1</v>
      </c>
      <c r="K752" s="257"/>
      <c r="L752" s="114">
        <f>M751</f>
        <v>450000</v>
      </c>
      <c r="M752" s="114">
        <v>1168000</v>
      </c>
      <c r="N752" s="114"/>
      <c r="O752" s="114"/>
      <c r="P752" s="114" t="s">
        <v>1335</v>
      </c>
      <c r="Q752" s="114" t="s">
        <v>1334</v>
      </c>
      <c r="R752" s="114">
        <v>100</v>
      </c>
      <c r="S752" s="114" t="s">
        <v>1299</v>
      </c>
      <c r="T752" s="114">
        <v>14985</v>
      </c>
      <c r="U752" s="114">
        <v>4.4999999999999998E-2</v>
      </c>
      <c r="V752" s="114"/>
      <c r="W752" s="114" t="b">
        <v>0</v>
      </c>
      <c r="X752" s="114"/>
      <c r="Y752" s="114"/>
    </row>
    <row r="753" spans="2:35" hidden="1" outlineLevel="2">
      <c r="B753" s="2" t="s">
        <v>1294</v>
      </c>
      <c r="D753" s="113" t="s">
        <v>1296</v>
      </c>
      <c r="E753" s="237">
        <v>31</v>
      </c>
      <c r="F753" s="114" t="b">
        <v>0</v>
      </c>
      <c r="G753" s="257" t="b">
        <v>0</v>
      </c>
      <c r="H753" s="257" t="b">
        <v>1</v>
      </c>
      <c r="I753" s="257"/>
      <c r="J753" s="257" t="b">
        <v>1</v>
      </c>
      <c r="K753" s="257"/>
      <c r="L753" s="114">
        <f>M752</f>
        <v>1168000</v>
      </c>
      <c r="M753" s="114">
        <v>3505000</v>
      </c>
      <c r="N753" s="114"/>
      <c r="O753" s="114"/>
      <c r="P753" s="114" t="s">
        <v>1335</v>
      </c>
      <c r="Q753" s="114" t="s">
        <v>1334</v>
      </c>
      <c r="R753" s="114">
        <v>100</v>
      </c>
      <c r="S753" s="114" t="s">
        <v>1299</v>
      </c>
      <c r="T753" s="114">
        <v>47295</v>
      </c>
      <c r="U753" s="114">
        <v>5.5E-2</v>
      </c>
      <c r="V753" s="114"/>
      <c r="W753" s="114" t="b">
        <v>0</v>
      </c>
      <c r="X753" s="114"/>
      <c r="Y753" s="114"/>
    </row>
    <row r="754" spans="2:35" hidden="1" outlineLevel="2">
      <c r="B754" s="2" t="s">
        <v>1294</v>
      </c>
      <c r="D754" s="113" t="s">
        <v>1296</v>
      </c>
      <c r="E754" s="237">
        <v>32</v>
      </c>
      <c r="F754" s="114" t="b">
        <v>0</v>
      </c>
      <c r="G754" s="257" t="b">
        <v>0</v>
      </c>
      <c r="H754" s="257" t="b">
        <v>1</v>
      </c>
      <c r="I754" s="257"/>
      <c r="J754" s="257" t="b">
        <v>1</v>
      </c>
      <c r="K754" s="257"/>
      <c r="L754" s="114">
        <f>M753</f>
        <v>3505000</v>
      </c>
      <c r="M754" s="114">
        <v>99999999</v>
      </c>
      <c r="N754" s="114"/>
      <c r="O754" s="114"/>
      <c r="P754" s="114" t="s">
        <v>1335</v>
      </c>
      <c r="Q754" s="114" t="s">
        <v>1334</v>
      </c>
      <c r="R754" s="114">
        <v>100</v>
      </c>
      <c r="S754" s="114" t="s">
        <v>1299</v>
      </c>
      <c r="T754" s="114">
        <v>175830</v>
      </c>
      <c r="U754" s="114">
        <v>7.0000000000000007E-2</v>
      </c>
      <c r="V754" s="114"/>
      <c r="W754" s="114" t="b">
        <v>0</v>
      </c>
      <c r="X754" s="114"/>
      <c r="Y754" s="114"/>
    </row>
    <row r="755" spans="2:35" hidden="1" outlineLevel="2">
      <c r="B755" s="2" t="s">
        <v>1294</v>
      </c>
      <c r="D755" s="113" t="s">
        <v>1296</v>
      </c>
      <c r="E755" s="237">
        <v>33</v>
      </c>
      <c r="F755" s="114"/>
      <c r="G755" s="257"/>
      <c r="H755" s="257"/>
      <c r="I755" s="257"/>
      <c r="J755" s="257"/>
      <c r="K755" s="257"/>
      <c r="L755" s="114">
        <v>0</v>
      </c>
      <c r="M755" s="114">
        <v>1600</v>
      </c>
      <c r="N755" s="114"/>
      <c r="O755" s="114"/>
      <c r="P755" s="114" t="s">
        <v>1336</v>
      </c>
      <c r="Q755" s="114" t="s">
        <v>1334</v>
      </c>
      <c r="R755" s="114">
        <v>100</v>
      </c>
      <c r="S755" s="114" t="s">
        <v>1299</v>
      </c>
      <c r="T755" s="114">
        <v>20</v>
      </c>
      <c r="U755" s="114">
        <v>0</v>
      </c>
      <c r="V755" s="114"/>
      <c r="W755" s="114" t="b">
        <v>0</v>
      </c>
      <c r="X755" s="114"/>
      <c r="Y755" s="114"/>
    </row>
    <row r="756" spans="2:35" hidden="1" outlineLevel="2">
      <c r="B756" s="2" t="s">
        <v>1294</v>
      </c>
      <c r="D756" s="113" t="s">
        <v>1296</v>
      </c>
      <c r="E756" s="237">
        <v>34</v>
      </c>
      <c r="F756" s="114"/>
      <c r="G756" s="257"/>
      <c r="H756" s="257"/>
      <c r="I756" s="257"/>
      <c r="J756" s="257"/>
      <c r="K756" s="257"/>
      <c r="L756" s="114">
        <v>1600</v>
      </c>
      <c r="M756" s="114">
        <v>16000</v>
      </c>
      <c r="N756" s="114"/>
      <c r="O756" s="114"/>
      <c r="P756" s="114" t="s">
        <v>1336</v>
      </c>
      <c r="Q756" s="114" t="s">
        <v>1334</v>
      </c>
      <c r="R756" s="114">
        <v>100</v>
      </c>
      <c r="S756" s="114" t="s">
        <v>1299</v>
      </c>
      <c r="T756" s="114">
        <v>20</v>
      </c>
      <c r="U756" s="114">
        <v>1.2500000000000001E-2</v>
      </c>
      <c r="V756" s="114"/>
      <c r="W756" s="114" t="b">
        <v>0</v>
      </c>
      <c r="X756" s="114"/>
      <c r="Y756" s="114"/>
    </row>
    <row r="757" spans="2:35" hidden="1" outlineLevel="2">
      <c r="B757" s="2" t="s">
        <v>1294</v>
      </c>
      <c r="D757" s="113" t="s">
        <v>1296</v>
      </c>
      <c r="E757" s="237">
        <v>35</v>
      </c>
      <c r="F757" s="114"/>
      <c r="G757" s="257"/>
      <c r="H757" s="257"/>
      <c r="I757" s="257"/>
      <c r="J757" s="257"/>
      <c r="K757" s="257"/>
      <c r="L757" s="114">
        <f t="shared" ref="L757:L762" si="8">M756</f>
        <v>16000</v>
      </c>
      <c r="M757" s="114">
        <v>35000</v>
      </c>
      <c r="N757" s="114"/>
      <c r="O757" s="114"/>
      <c r="P757" s="114" t="s">
        <v>1336</v>
      </c>
      <c r="Q757" s="114" t="s">
        <v>1334</v>
      </c>
      <c r="R757" s="114">
        <v>100</v>
      </c>
      <c r="S757" s="114" t="s">
        <v>1299</v>
      </c>
      <c r="T757" s="114">
        <v>200</v>
      </c>
      <c r="U757" s="114">
        <v>1.4999999999999999E-2</v>
      </c>
      <c r="V757" s="114"/>
      <c r="W757" s="114" t="b">
        <v>0</v>
      </c>
      <c r="X757" s="114"/>
      <c r="Y757" s="114"/>
    </row>
    <row r="758" spans="2:35" hidden="1" outlineLevel="2">
      <c r="B758" s="2" t="s">
        <v>1294</v>
      </c>
      <c r="D758" s="113" t="s">
        <v>1296</v>
      </c>
      <c r="E758" s="237">
        <v>36</v>
      </c>
      <c r="F758" s="114"/>
      <c r="G758" s="257"/>
      <c r="H758" s="257"/>
      <c r="I758" s="257"/>
      <c r="J758" s="257"/>
      <c r="K758" s="257"/>
      <c r="L758" s="114">
        <f t="shared" si="8"/>
        <v>35000</v>
      </c>
      <c r="M758" s="114">
        <v>93000</v>
      </c>
      <c r="N758" s="114"/>
      <c r="O758" s="114"/>
      <c r="P758" s="114" t="s">
        <v>1336</v>
      </c>
      <c r="Q758" s="114" t="s">
        <v>1334</v>
      </c>
      <c r="R758" s="114">
        <v>100</v>
      </c>
      <c r="S758" s="114" t="s">
        <v>1299</v>
      </c>
      <c r="T758" s="114">
        <v>485</v>
      </c>
      <c r="U758" s="114">
        <v>1.7500000000000002E-2</v>
      </c>
      <c r="V758" s="114"/>
      <c r="W758" s="114" t="b">
        <v>0</v>
      </c>
      <c r="X758" s="114"/>
      <c r="Y758" s="114"/>
    </row>
    <row r="759" spans="2:35" hidden="1" outlineLevel="2">
      <c r="B759" s="2" t="s">
        <v>1294</v>
      </c>
      <c r="D759" s="113" t="s">
        <v>1296</v>
      </c>
      <c r="E759" s="237">
        <v>37</v>
      </c>
      <c r="F759" s="114"/>
      <c r="G759" s="257"/>
      <c r="H759" s="257"/>
      <c r="I759" s="257"/>
      <c r="J759" s="257"/>
      <c r="K759" s="257"/>
      <c r="L759" s="114">
        <f t="shared" si="8"/>
        <v>93000</v>
      </c>
      <c r="M759" s="114">
        <v>351000</v>
      </c>
      <c r="N759" s="114"/>
      <c r="O759" s="114"/>
      <c r="P759" s="114" t="s">
        <v>1336</v>
      </c>
      <c r="Q759" s="114" t="s">
        <v>1334</v>
      </c>
      <c r="R759" s="114">
        <v>100</v>
      </c>
      <c r="S759" s="114" t="s">
        <v>1299</v>
      </c>
      <c r="T759" s="114">
        <v>1500</v>
      </c>
      <c r="U759" s="114">
        <v>3.5000000000000003E-2</v>
      </c>
      <c r="V759" s="114"/>
      <c r="W759" s="114" t="b">
        <v>0</v>
      </c>
      <c r="X759" s="114"/>
      <c r="Y759" s="114"/>
      <c r="AI759" s="258"/>
    </row>
    <row r="760" spans="2:35" hidden="1" outlineLevel="2">
      <c r="B760" s="2" t="s">
        <v>1294</v>
      </c>
      <c r="D760" s="113" t="s">
        <v>1296</v>
      </c>
      <c r="E760" s="237">
        <v>38</v>
      </c>
      <c r="F760" s="114"/>
      <c r="G760" s="257"/>
      <c r="H760" s="257"/>
      <c r="I760" s="257"/>
      <c r="J760" s="257"/>
      <c r="K760" s="257"/>
      <c r="L760" s="114">
        <f t="shared" si="8"/>
        <v>351000</v>
      </c>
      <c r="M760" s="114">
        <v>1168000</v>
      </c>
      <c r="N760" s="114"/>
      <c r="O760" s="114"/>
      <c r="P760" s="114" t="s">
        <v>1336</v>
      </c>
      <c r="Q760" s="114" t="s">
        <v>1334</v>
      </c>
      <c r="R760" s="114">
        <v>100</v>
      </c>
      <c r="S760" s="114" t="s">
        <v>1299</v>
      </c>
      <c r="T760" s="114">
        <v>10530</v>
      </c>
      <c r="U760" s="114">
        <v>4.4999999999999998E-2</v>
      </c>
      <c r="V760" s="114"/>
      <c r="W760" s="114" t="b">
        <v>0</v>
      </c>
      <c r="X760" s="114"/>
      <c r="Y760" s="114"/>
      <c r="AI760" s="258"/>
    </row>
    <row r="761" spans="2:35" hidden="1" outlineLevel="2">
      <c r="B761" s="2" t="s">
        <v>1294</v>
      </c>
      <c r="D761" s="113" t="s">
        <v>1296</v>
      </c>
      <c r="E761" s="237">
        <v>39</v>
      </c>
      <c r="F761" s="114"/>
      <c r="G761" s="257"/>
      <c r="H761" s="257"/>
      <c r="I761" s="257"/>
      <c r="J761" s="257"/>
      <c r="K761" s="257"/>
      <c r="L761" s="114">
        <f t="shared" si="8"/>
        <v>1168000</v>
      </c>
      <c r="M761" s="114">
        <v>3505000</v>
      </c>
      <c r="N761" s="114"/>
      <c r="O761" s="114"/>
      <c r="P761" s="114" t="s">
        <v>1336</v>
      </c>
      <c r="Q761" s="114" t="s">
        <v>1334</v>
      </c>
      <c r="R761" s="114">
        <v>100</v>
      </c>
      <c r="S761" s="114" t="s">
        <v>1299</v>
      </c>
      <c r="T761" s="114">
        <v>47295</v>
      </c>
      <c r="U761" s="114">
        <v>5.5E-2</v>
      </c>
      <c r="V761" s="114"/>
      <c r="W761" s="114" t="b">
        <v>0</v>
      </c>
      <c r="X761" s="114"/>
      <c r="Y761" s="114"/>
      <c r="AG761" s="692"/>
      <c r="AI761" s="258"/>
    </row>
    <row r="762" spans="2:35" hidden="1" outlineLevel="2">
      <c r="B762" s="2" t="s">
        <v>1294</v>
      </c>
      <c r="D762" s="113" t="s">
        <v>1296</v>
      </c>
      <c r="E762" s="237">
        <v>40</v>
      </c>
      <c r="F762" s="114"/>
      <c r="G762" s="257"/>
      <c r="H762" s="257"/>
      <c r="I762" s="257"/>
      <c r="J762" s="257"/>
      <c r="K762" s="257"/>
      <c r="L762" s="114">
        <f t="shared" si="8"/>
        <v>3505000</v>
      </c>
      <c r="M762" s="114">
        <v>99999999</v>
      </c>
      <c r="N762" s="114"/>
      <c r="O762" s="114"/>
      <c r="P762" s="114" t="s">
        <v>1336</v>
      </c>
      <c r="Q762" s="114" t="s">
        <v>1334</v>
      </c>
      <c r="R762" s="114">
        <v>100</v>
      </c>
      <c r="S762" s="114" t="s">
        <v>1299</v>
      </c>
      <c r="T762" s="114">
        <v>175830</v>
      </c>
      <c r="U762" s="114">
        <v>7.0000000000000007E-2</v>
      </c>
      <c r="V762" s="114"/>
      <c r="W762" s="114" t="b">
        <v>0</v>
      </c>
      <c r="X762" s="114"/>
      <c r="Y762" s="114"/>
      <c r="AI762" s="258"/>
    </row>
    <row r="763" spans="2:35" hidden="1" outlineLevel="2">
      <c r="B763" s="2" t="s">
        <v>1294</v>
      </c>
      <c r="D763" s="111" t="s">
        <v>1297</v>
      </c>
      <c r="E763" s="237">
        <v>41</v>
      </c>
      <c r="F763" s="112"/>
      <c r="G763" s="255"/>
      <c r="H763" s="255"/>
      <c r="I763" s="255"/>
      <c r="J763" s="255"/>
      <c r="K763" s="255"/>
      <c r="L763" s="112">
        <v>0</v>
      </c>
      <c r="M763" s="112">
        <v>525000</v>
      </c>
      <c r="N763" s="112"/>
      <c r="O763" s="112"/>
      <c r="P763" s="112" t="s">
        <v>1337</v>
      </c>
      <c r="Q763" s="112" t="s">
        <v>1334</v>
      </c>
      <c r="R763" s="112">
        <v>1000</v>
      </c>
      <c r="S763" s="112"/>
      <c r="T763" s="112">
        <v>0</v>
      </c>
      <c r="U763" s="112">
        <v>6.5714410000000001E-2</v>
      </c>
      <c r="V763" s="112"/>
      <c r="W763" s="112" t="b">
        <v>0</v>
      </c>
      <c r="X763" s="112"/>
      <c r="Y763" s="112" t="s">
        <v>1307</v>
      </c>
      <c r="AG763" s="692"/>
    </row>
    <row r="764" spans="2:35" hidden="1" outlineLevel="2">
      <c r="B764" s="2" t="s">
        <v>1294</v>
      </c>
      <c r="D764" s="111" t="s">
        <v>1297</v>
      </c>
      <c r="E764" s="237">
        <v>42</v>
      </c>
      <c r="F764" s="112"/>
      <c r="G764" s="255"/>
      <c r="H764" s="255"/>
      <c r="I764" s="255"/>
      <c r="J764" s="255"/>
      <c r="K764" s="255"/>
      <c r="L764" s="112">
        <f>M763</f>
        <v>525000</v>
      </c>
      <c r="M764" s="112">
        <v>2999999.99</v>
      </c>
      <c r="N764" s="112"/>
      <c r="O764" s="112"/>
      <c r="P764" s="112" t="s">
        <v>1337</v>
      </c>
      <c r="Q764" s="112" t="s">
        <v>1334</v>
      </c>
      <c r="R764" s="112"/>
      <c r="S764" s="112"/>
      <c r="T764" s="112">
        <v>25987.5</v>
      </c>
      <c r="U764" s="112">
        <v>4.9500000000000002E-2</v>
      </c>
      <c r="V764" s="112"/>
      <c r="W764" s="112" t="b">
        <v>0</v>
      </c>
      <c r="X764" s="112"/>
      <c r="Y764" s="112"/>
    </row>
    <row r="765" spans="2:35" hidden="1" outlineLevel="2">
      <c r="B765" s="2" t="s">
        <v>1294</v>
      </c>
      <c r="D765" s="111" t="s">
        <v>1297</v>
      </c>
      <c r="E765" s="237">
        <v>43</v>
      </c>
      <c r="F765" s="112"/>
      <c r="G765" s="255"/>
      <c r="H765" s="255"/>
      <c r="I765" s="255"/>
      <c r="J765" s="255"/>
      <c r="K765" s="255"/>
      <c r="L765" s="112">
        <v>3000000</v>
      </c>
      <c r="M765" s="112">
        <v>4999999.99</v>
      </c>
      <c r="N765" s="112"/>
      <c r="O765" s="112"/>
      <c r="P765" s="112" t="s">
        <v>1337</v>
      </c>
      <c r="Q765" s="112" t="s">
        <v>1334</v>
      </c>
      <c r="R765" s="112"/>
      <c r="S765" s="112"/>
      <c r="T765" s="112">
        <v>172500</v>
      </c>
      <c r="U765" s="112">
        <v>5.7500000000000002E-2</v>
      </c>
      <c r="V765" s="112"/>
      <c r="W765" s="112" t="b">
        <v>0</v>
      </c>
      <c r="X765" s="112"/>
      <c r="Y765" s="112"/>
    </row>
    <row r="766" spans="2:35" hidden="1" outlineLevel="2">
      <c r="B766" s="2" t="s">
        <v>1294</v>
      </c>
      <c r="D766" s="111" t="s">
        <v>1297</v>
      </c>
      <c r="E766" s="237">
        <v>44</v>
      </c>
      <c r="F766" s="112"/>
      <c r="G766" s="255"/>
      <c r="H766" s="255"/>
      <c r="I766" s="255"/>
      <c r="J766" s="255"/>
      <c r="K766" s="255"/>
      <c r="L766" s="112">
        <v>5000000</v>
      </c>
      <c r="M766" s="112">
        <v>99999999</v>
      </c>
      <c r="N766" s="112"/>
      <c r="O766" s="112"/>
      <c r="P766" s="112" t="s">
        <v>1337</v>
      </c>
      <c r="Q766" s="112" t="s">
        <v>1334</v>
      </c>
      <c r="R766" s="112"/>
      <c r="S766" s="112"/>
      <c r="T766" s="112">
        <v>297500</v>
      </c>
      <c r="U766" s="112">
        <v>5.9499999999999997E-2</v>
      </c>
      <c r="V766" s="112"/>
      <c r="W766" s="112" t="b">
        <v>0</v>
      </c>
      <c r="X766" s="112"/>
      <c r="Y766" s="112"/>
    </row>
    <row r="767" spans="2:35" hidden="1" outlineLevel="2">
      <c r="B767" s="2" t="s">
        <v>1294</v>
      </c>
      <c r="D767" s="113" t="s">
        <v>1298</v>
      </c>
      <c r="E767" s="237">
        <v>45</v>
      </c>
      <c r="F767" s="114" t="b">
        <v>0</v>
      </c>
      <c r="G767" s="257" t="b">
        <v>0</v>
      </c>
      <c r="H767" s="257" t="b">
        <v>0</v>
      </c>
      <c r="I767" s="257"/>
      <c r="J767" s="257" t="b">
        <v>0</v>
      </c>
      <c r="K767" s="257"/>
      <c r="L767" s="114">
        <v>0</v>
      </c>
      <c r="M767" s="114">
        <v>350000</v>
      </c>
      <c r="N767" s="114"/>
      <c r="O767" s="114"/>
      <c r="P767" s="114" t="s">
        <v>1338</v>
      </c>
      <c r="Q767" s="114" t="s">
        <v>1334</v>
      </c>
      <c r="R767" s="114">
        <v>100</v>
      </c>
      <c r="S767" s="114" t="s">
        <v>1299</v>
      </c>
      <c r="T767" s="114">
        <v>0</v>
      </c>
      <c r="U767" s="114">
        <v>0.01</v>
      </c>
      <c r="V767" s="114" t="s">
        <v>1339</v>
      </c>
      <c r="W767" s="114" t="b">
        <v>0</v>
      </c>
      <c r="X767" s="114" t="s">
        <v>1340</v>
      </c>
      <c r="Y767" s="114"/>
    </row>
    <row r="768" spans="2:35" hidden="1" outlineLevel="2">
      <c r="B768" s="2" t="s">
        <v>1294</v>
      </c>
      <c r="D768" s="113" t="s">
        <v>1298</v>
      </c>
      <c r="E768" s="237">
        <v>46</v>
      </c>
      <c r="F768" s="114" t="b">
        <v>0</v>
      </c>
      <c r="G768" s="257" t="b">
        <v>0</v>
      </c>
      <c r="H768" s="257" t="b">
        <v>0</v>
      </c>
      <c r="I768" s="257"/>
      <c r="J768" s="257" t="b">
        <v>0</v>
      </c>
      <c r="K768" s="257"/>
      <c r="L768" s="114">
        <f>M767</f>
        <v>350000</v>
      </c>
      <c r="M768" s="114">
        <v>540000</v>
      </c>
      <c r="N768" s="114"/>
      <c r="O768" s="114"/>
      <c r="P768" s="114" t="s">
        <v>1338</v>
      </c>
      <c r="Q768" s="114" t="s">
        <v>1334</v>
      </c>
      <c r="R768" s="114">
        <v>100</v>
      </c>
      <c r="S768" s="114" t="s">
        <v>1299</v>
      </c>
      <c r="T768" s="114">
        <v>3500</v>
      </c>
      <c r="U768" s="114">
        <v>3.5000000000000003E-2</v>
      </c>
      <c r="V768" s="114" t="s">
        <v>1339</v>
      </c>
      <c r="W768" s="114" t="b">
        <v>0</v>
      </c>
      <c r="X768" s="114" t="s">
        <v>1340</v>
      </c>
      <c r="Y768" s="114"/>
    </row>
    <row r="769" spans="2:32" hidden="1" outlineLevel="2">
      <c r="B769" s="2" t="s">
        <v>1294</v>
      </c>
      <c r="D769" s="113" t="s">
        <v>1298</v>
      </c>
      <c r="E769" s="237">
        <v>47</v>
      </c>
      <c r="F769" s="114" t="b">
        <v>0</v>
      </c>
      <c r="G769" s="257" t="b">
        <v>0</v>
      </c>
      <c r="H769" s="257" t="b">
        <v>0</v>
      </c>
      <c r="I769" s="257"/>
      <c r="J769" s="257" t="b">
        <v>0</v>
      </c>
      <c r="K769" s="257"/>
      <c r="L769" s="114">
        <f>M768</f>
        <v>540000</v>
      </c>
      <c r="M769" s="114">
        <v>1000000</v>
      </c>
      <c r="N769" s="114"/>
      <c r="O769" s="114"/>
      <c r="P769" s="114" t="s">
        <v>1338</v>
      </c>
      <c r="Q769" s="114" t="s">
        <v>1334</v>
      </c>
      <c r="R769" s="114">
        <v>100</v>
      </c>
      <c r="S769" s="114" t="s">
        <v>1299</v>
      </c>
      <c r="T769" s="114">
        <v>10150</v>
      </c>
      <c r="U769" s="114">
        <v>4.4999999999999998E-2</v>
      </c>
      <c r="V769" s="114" t="s">
        <v>1339</v>
      </c>
      <c r="W769" s="114" t="b">
        <v>0</v>
      </c>
      <c r="X769" s="114" t="s">
        <v>1340</v>
      </c>
      <c r="Y769" s="114"/>
    </row>
    <row r="770" spans="2:32" hidden="1" outlineLevel="2">
      <c r="B770" s="2" t="s">
        <v>1294</v>
      </c>
      <c r="D770" s="113" t="s">
        <v>1298</v>
      </c>
      <c r="E770" s="237">
        <v>48</v>
      </c>
      <c r="F770" s="114" t="b">
        <v>0</v>
      </c>
      <c r="G770" s="257" t="b">
        <v>0</v>
      </c>
      <c r="H770" s="257" t="b">
        <v>0</v>
      </c>
      <c r="I770" s="257"/>
      <c r="J770" s="257" t="b">
        <v>0</v>
      </c>
      <c r="K770" s="257"/>
      <c r="L770" s="114">
        <f>M769</f>
        <v>1000000</v>
      </c>
      <c r="M770" s="114">
        <v>99999999</v>
      </c>
      <c r="N770" s="114"/>
      <c r="O770" s="114"/>
      <c r="P770" s="114" t="s">
        <v>1338</v>
      </c>
      <c r="Q770" s="114" t="s">
        <v>1334</v>
      </c>
      <c r="R770" s="114">
        <v>100</v>
      </c>
      <c r="S770" s="114" t="s">
        <v>1299</v>
      </c>
      <c r="T770" s="114">
        <v>30850</v>
      </c>
      <c r="U770" s="114">
        <v>5.7500000000000002E-2</v>
      </c>
      <c r="V770" s="114" t="s">
        <v>1339</v>
      </c>
      <c r="W770" s="114" t="b">
        <v>0</v>
      </c>
      <c r="X770" s="114" t="s">
        <v>1340</v>
      </c>
      <c r="Y770" s="114"/>
    </row>
    <row r="771" spans="2:32" hidden="1" outlineLevel="2">
      <c r="B771" s="2" t="s">
        <v>1294</v>
      </c>
      <c r="D771" s="113" t="s">
        <v>1298</v>
      </c>
      <c r="E771" s="237">
        <v>49</v>
      </c>
      <c r="F771" s="114" t="b">
        <v>0</v>
      </c>
      <c r="G771" s="257" t="b">
        <v>0</v>
      </c>
      <c r="H771" s="257" t="b">
        <v>1</v>
      </c>
      <c r="I771" s="257"/>
      <c r="J771" s="257" t="b">
        <v>0</v>
      </c>
      <c r="K771" s="257"/>
      <c r="L771" s="114">
        <v>0</v>
      </c>
      <c r="M771" s="1340">
        <f>L772-0.01</f>
        <v>699999.99</v>
      </c>
      <c r="N771" s="114"/>
      <c r="O771" s="114"/>
      <c r="P771" s="114" t="s">
        <v>1341</v>
      </c>
      <c r="Q771" s="114" t="s">
        <v>1334</v>
      </c>
      <c r="R771" s="114">
        <v>100</v>
      </c>
      <c r="S771" s="114" t="s">
        <v>1299</v>
      </c>
      <c r="T771" s="114">
        <v>0</v>
      </c>
      <c r="U771" s="114">
        <v>0</v>
      </c>
      <c r="V771" s="114" t="s">
        <v>1330</v>
      </c>
      <c r="W771" s="114" t="b">
        <v>0</v>
      </c>
      <c r="X771" s="114" t="s">
        <v>1331</v>
      </c>
      <c r="Y771" s="114"/>
    </row>
    <row r="772" spans="2:32" hidden="1" outlineLevel="2">
      <c r="B772" s="2" t="s">
        <v>1294</v>
      </c>
      <c r="D772" s="113" t="s">
        <v>1298</v>
      </c>
      <c r="E772" s="237">
        <v>50</v>
      </c>
      <c r="F772" s="114" t="b">
        <v>0</v>
      </c>
      <c r="G772" s="257" t="b">
        <v>0</v>
      </c>
      <c r="H772" s="257" t="b">
        <v>1</v>
      </c>
      <c r="I772" s="257"/>
      <c r="J772" s="257" t="b">
        <v>0</v>
      </c>
      <c r="K772" s="257"/>
      <c r="L772" s="1340">
        <v>700000</v>
      </c>
      <c r="M772" s="1340">
        <f>L773-0.01</f>
        <v>709999.99</v>
      </c>
      <c r="N772" s="114"/>
      <c r="O772" s="114"/>
      <c r="P772" s="114" t="s">
        <v>1341</v>
      </c>
      <c r="Q772" s="114" t="s">
        <v>1334</v>
      </c>
      <c r="R772" s="114">
        <v>100</v>
      </c>
      <c r="S772" s="114" t="s">
        <v>1299</v>
      </c>
      <c r="T772" s="1340">
        <v>0</v>
      </c>
      <c r="U772" s="1340">
        <v>4.4999999999999998E-2</v>
      </c>
      <c r="V772" s="114" t="s">
        <v>1330</v>
      </c>
      <c r="W772" s="114" t="b">
        <v>0</v>
      </c>
      <c r="X772" s="114" t="s">
        <v>1331</v>
      </c>
      <c r="Y772" s="114"/>
    </row>
    <row r="773" spans="2:32" hidden="1" outlineLevel="2">
      <c r="B773" s="2" t="s">
        <v>1294</v>
      </c>
      <c r="D773" s="113" t="s">
        <v>1298</v>
      </c>
      <c r="E773" s="237">
        <v>51</v>
      </c>
      <c r="F773" s="114" t="b">
        <v>0</v>
      </c>
      <c r="G773" s="257" t="b">
        <v>0</v>
      </c>
      <c r="H773" s="257" t="b">
        <v>1</v>
      </c>
      <c r="I773" s="257"/>
      <c r="J773" s="257" t="b">
        <v>0</v>
      </c>
      <c r="K773" s="257"/>
      <c r="L773" s="1340">
        <v>710000</v>
      </c>
      <c r="M773" s="1340">
        <f t="shared" ref="M773:M781" si="9">L774-0.01</f>
        <v>719999.99</v>
      </c>
      <c r="N773" s="114"/>
      <c r="O773" s="114"/>
      <c r="P773" s="114" t="s">
        <v>1341</v>
      </c>
      <c r="Q773" s="114" t="s">
        <v>1334</v>
      </c>
      <c r="R773" s="114">
        <v>100</v>
      </c>
      <c r="S773" s="114" t="s">
        <v>1299</v>
      </c>
      <c r="T773" s="1340">
        <v>2185</v>
      </c>
      <c r="U773" s="1340">
        <v>4.4999999999999998E-2</v>
      </c>
      <c r="V773" s="114" t="s">
        <v>1330</v>
      </c>
      <c r="W773" s="114" t="b">
        <v>0</v>
      </c>
      <c r="X773" s="114" t="s">
        <v>1331</v>
      </c>
      <c r="Y773" s="114"/>
    </row>
    <row r="774" spans="2:32" hidden="1" outlineLevel="2">
      <c r="B774" s="2" t="s">
        <v>1294</v>
      </c>
      <c r="D774" s="113" t="s">
        <v>1298</v>
      </c>
      <c r="E774" s="237">
        <v>52</v>
      </c>
      <c r="F774" s="114" t="b">
        <v>0</v>
      </c>
      <c r="G774" s="257" t="b">
        <v>0</v>
      </c>
      <c r="H774" s="257" t="b">
        <v>1</v>
      </c>
      <c r="I774" s="257"/>
      <c r="J774" s="257" t="b">
        <v>0</v>
      </c>
      <c r="K774" s="257"/>
      <c r="L774" s="1340">
        <v>720000</v>
      </c>
      <c r="M774" s="1340">
        <f t="shared" si="9"/>
        <v>729999.99</v>
      </c>
      <c r="N774" s="114"/>
      <c r="O774" s="114"/>
      <c r="P774" s="114" t="s">
        <v>1341</v>
      </c>
      <c r="Q774" s="114" t="s">
        <v>1334</v>
      </c>
      <c r="R774" s="114">
        <v>100</v>
      </c>
      <c r="S774" s="114" t="s">
        <v>1299</v>
      </c>
      <c r="T774" s="1340">
        <v>4370</v>
      </c>
      <c r="U774" s="1340">
        <v>4.4999999999999998E-2</v>
      </c>
      <c r="V774" s="114" t="s">
        <v>1330</v>
      </c>
      <c r="W774" s="114" t="b">
        <v>0</v>
      </c>
      <c r="X774" s="114" t="s">
        <v>1331</v>
      </c>
      <c r="Y774" s="114"/>
    </row>
    <row r="775" spans="2:32" hidden="1" outlineLevel="2">
      <c r="B775" s="2" t="s">
        <v>1294</v>
      </c>
      <c r="D775" s="113" t="s">
        <v>1298</v>
      </c>
      <c r="E775" s="237">
        <v>53</v>
      </c>
      <c r="F775" s="114" t="b">
        <v>0</v>
      </c>
      <c r="G775" s="257" t="b">
        <v>0</v>
      </c>
      <c r="H775" s="257" t="b">
        <v>1</v>
      </c>
      <c r="I775" s="257"/>
      <c r="J775" s="257" t="b">
        <v>0</v>
      </c>
      <c r="K775" s="257"/>
      <c r="L775" s="1340">
        <v>730000</v>
      </c>
      <c r="M775" s="1340">
        <f t="shared" si="9"/>
        <v>739999.99</v>
      </c>
      <c r="N775" s="114"/>
      <c r="O775" s="114"/>
      <c r="P775" s="114" t="s">
        <v>1341</v>
      </c>
      <c r="Q775" s="114" t="s">
        <v>1334</v>
      </c>
      <c r="R775" s="114">
        <v>100</v>
      </c>
      <c r="S775" s="114" t="s">
        <v>1299</v>
      </c>
      <c r="T775" s="1340">
        <v>6555</v>
      </c>
      <c r="U775" s="1340">
        <v>4.4999999999999998E-2</v>
      </c>
      <c r="V775" s="114" t="s">
        <v>1330</v>
      </c>
      <c r="W775" s="114" t="b">
        <v>0</v>
      </c>
      <c r="X775" s="114" t="s">
        <v>1331</v>
      </c>
      <c r="Y775" s="114"/>
    </row>
    <row r="776" spans="2:32" hidden="1" outlineLevel="2">
      <c r="B776" s="2" t="s">
        <v>1294</v>
      </c>
      <c r="D776" s="113" t="s">
        <v>1298</v>
      </c>
      <c r="E776" s="237">
        <v>54</v>
      </c>
      <c r="F776" s="114" t="b">
        <v>0</v>
      </c>
      <c r="G776" s="257" t="b">
        <v>0</v>
      </c>
      <c r="H776" s="257" t="b">
        <v>1</v>
      </c>
      <c r="I776" s="257"/>
      <c r="J776" s="257" t="b">
        <v>0</v>
      </c>
      <c r="K776" s="257"/>
      <c r="L776" s="1340">
        <v>740000</v>
      </c>
      <c r="M776" s="1340">
        <f t="shared" si="9"/>
        <v>749999.99</v>
      </c>
      <c r="N776" s="114"/>
      <c r="O776" s="114"/>
      <c r="P776" s="114" t="s">
        <v>1341</v>
      </c>
      <c r="Q776" s="114" t="s">
        <v>1334</v>
      </c>
      <c r="R776" s="114">
        <v>100</v>
      </c>
      <c r="S776" s="114" t="s">
        <v>1299</v>
      </c>
      <c r="T776" s="1340">
        <v>8740</v>
      </c>
      <c r="U776" s="1340">
        <v>4.4999999999999998E-2</v>
      </c>
      <c r="V776" s="114" t="s">
        <v>1330</v>
      </c>
      <c r="W776" s="114" t="b">
        <v>0</v>
      </c>
      <c r="X776" s="114" t="s">
        <v>1331</v>
      </c>
      <c r="Y776" s="114"/>
    </row>
    <row r="777" spans="2:32" hidden="1" outlineLevel="2">
      <c r="B777" s="2" t="s">
        <v>1294</v>
      </c>
      <c r="D777" s="113" t="s">
        <v>1298</v>
      </c>
      <c r="E777" s="237">
        <v>55</v>
      </c>
      <c r="F777" s="114" t="b">
        <v>0</v>
      </c>
      <c r="G777" s="257" t="b">
        <v>0</v>
      </c>
      <c r="H777" s="257" t="b">
        <v>1</v>
      </c>
      <c r="I777" s="257"/>
      <c r="J777" s="257" t="b">
        <v>0</v>
      </c>
      <c r="K777" s="257"/>
      <c r="L777" s="1340">
        <v>750000</v>
      </c>
      <c r="M777" s="1340">
        <f t="shared" si="9"/>
        <v>759999.99</v>
      </c>
      <c r="N777" s="114"/>
      <c r="O777" s="114"/>
      <c r="P777" s="114" t="s">
        <v>1341</v>
      </c>
      <c r="Q777" s="114" t="s">
        <v>1334</v>
      </c>
      <c r="R777" s="114">
        <v>100</v>
      </c>
      <c r="S777" s="114" t="s">
        <v>1299</v>
      </c>
      <c r="T777" s="1340">
        <v>10925</v>
      </c>
      <c r="U777" s="1340">
        <v>4.4999999999999998E-2</v>
      </c>
      <c r="V777" s="114" t="s">
        <v>1330</v>
      </c>
      <c r="W777" s="114" t="b">
        <v>0</v>
      </c>
      <c r="X777" s="114" t="s">
        <v>1331</v>
      </c>
      <c r="Y777" s="114"/>
    </row>
    <row r="778" spans="2:32" hidden="1" outlineLevel="2">
      <c r="B778" s="2" t="s">
        <v>1294</v>
      </c>
      <c r="D778" s="113" t="s">
        <v>1298</v>
      </c>
      <c r="E778" s="237">
        <v>56</v>
      </c>
      <c r="F778" s="114" t="b">
        <v>0</v>
      </c>
      <c r="G778" s="257" t="b">
        <v>0</v>
      </c>
      <c r="H778" s="257" t="b">
        <v>1</v>
      </c>
      <c r="I778" s="257"/>
      <c r="J778" s="257" t="b">
        <v>0</v>
      </c>
      <c r="K778" s="257"/>
      <c r="L778" s="1340">
        <v>760000</v>
      </c>
      <c r="M778" s="1340">
        <f t="shared" si="9"/>
        <v>769999.99</v>
      </c>
      <c r="N778" s="114"/>
      <c r="O778" s="114"/>
      <c r="P778" s="114" t="s">
        <v>1341</v>
      </c>
      <c r="Q778" s="114" t="s">
        <v>1334</v>
      </c>
      <c r="R778" s="114">
        <v>100</v>
      </c>
      <c r="S778" s="114" t="s">
        <v>1299</v>
      </c>
      <c r="T778" s="1340">
        <v>13110</v>
      </c>
      <c r="U778" s="1340">
        <v>4.4999999999999998E-2</v>
      </c>
      <c r="V778" s="114" t="s">
        <v>1330</v>
      </c>
      <c r="W778" s="114" t="b">
        <v>0</v>
      </c>
      <c r="X778" s="114" t="s">
        <v>1331</v>
      </c>
      <c r="Y778" s="114"/>
    </row>
    <row r="779" spans="2:32" hidden="1" outlineLevel="2">
      <c r="B779" s="2" t="s">
        <v>1294</v>
      </c>
      <c r="D779" s="113" t="s">
        <v>1298</v>
      </c>
      <c r="E779" s="237">
        <v>57</v>
      </c>
      <c r="F779" s="114" t="b">
        <v>0</v>
      </c>
      <c r="G779" s="257" t="b">
        <v>0</v>
      </c>
      <c r="H779" s="257" t="b">
        <v>1</v>
      </c>
      <c r="I779" s="257"/>
      <c r="J779" s="257" t="b">
        <v>0</v>
      </c>
      <c r="K779" s="257"/>
      <c r="L779" s="1340">
        <v>770000</v>
      </c>
      <c r="M779" s="1340">
        <f t="shared" si="9"/>
        <v>779999.99</v>
      </c>
      <c r="N779" s="114"/>
      <c r="O779" s="114"/>
      <c r="P779" s="114" t="s">
        <v>1341</v>
      </c>
      <c r="Q779" s="114" t="s">
        <v>1334</v>
      </c>
      <c r="R779" s="114">
        <v>100</v>
      </c>
      <c r="S779" s="114" t="s">
        <v>1299</v>
      </c>
      <c r="T779" s="1340">
        <v>15295</v>
      </c>
      <c r="U779" s="1340">
        <v>4.4999999999999998E-2</v>
      </c>
      <c r="V779" s="114" t="s">
        <v>1330</v>
      </c>
      <c r="W779" s="114" t="b">
        <v>0</v>
      </c>
      <c r="X779" s="114" t="s">
        <v>1331</v>
      </c>
      <c r="Y779" s="114"/>
    </row>
    <row r="780" spans="2:32" hidden="1" outlineLevel="2">
      <c r="B780" s="2" t="s">
        <v>1294</v>
      </c>
      <c r="D780" s="113" t="s">
        <v>1298</v>
      </c>
      <c r="E780" s="237">
        <v>58</v>
      </c>
      <c r="F780" s="114" t="b">
        <v>0</v>
      </c>
      <c r="G780" s="257" t="b">
        <v>0</v>
      </c>
      <c r="H780" s="257" t="b">
        <v>1</v>
      </c>
      <c r="I780" s="257"/>
      <c r="J780" s="257" t="b">
        <v>0</v>
      </c>
      <c r="K780" s="257"/>
      <c r="L780" s="1340">
        <v>780000</v>
      </c>
      <c r="M780" s="1340">
        <f t="shared" si="9"/>
        <v>789999.99</v>
      </c>
      <c r="N780" s="114"/>
      <c r="O780" s="114"/>
      <c r="P780" s="114" t="s">
        <v>1341</v>
      </c>
      <c r="Q780" s="114" t="s">
        <v>1334</v>
      </c>
      <c r="R780" s="114">
        <v>100</v>
      </c>
      <c r="S780" s="114" t="s">
        <v>1299</v>
      </c>
      <c r="T780" s="1340">
        <v>17480</v>
      </c>
      <c r="U780" s="114">
        <v>4.4999999999999998E-2</v>
      </c>
      <c r="V780" s="114" t="s">
        <v>1330</v>
      </c>
      <c r="W780" s="114" t="b">
        <v>0</v>
      </c>
      <c r="X780" s="114" t="s">
        <v>1331</v>
      </c>
      <c r="Y780" s="114"/>
    </row>
    <row r="781" spans="2:32" hidden="1" outlineLevel="2">
      <c r="B781" s="2" t="s">
        <v>1294</v>
      </c>
      <c r="D781" s="113" t="s">
        <v>1298</v>
      </c>
      <c r="E781" s="237">
        <v>59</v>
      </c>
      <c r="F781" s="114" t="b">
        <v>0</v>
      </c>
      <c r="G781" s="257" t="b">
        <v>0</v>
      </c>
      <c r="H781" s="257" t="b">
        <v>1</v>
      </c>
      <c r="I781" s="257"/>
      <c r="J781" s="257" t="b">
        <v>0</v>
      </c>
      <c r="K781" s="257"/>
      <c r="L781" s="1340">
        <v>790000</v>
      </c>
      <c r="M781" s="1340">
        <f t="shared" si="9"/>
        <v>799999.99</v>
      </c>
      <c r="N781" s="114"/>
      <c r="O781" s="114"/>
      <c r="P781" s="114" t="s">
        <v>1341</v>
      </c>
      <c r="Q781" s="114" t="s">
        <v>1334</v>
      </c>
      <c r="R781" s="114">
        <v>100</v>
      </c>
      <c r="S781" s="114" t="s">
        <v>1299</v>
      </c>
      <c r="T781" s="1340">
        <v>19665</v>
      </c>
      <c r="U781" s="114">
        <v>4.4999999999999998E-2</v>
      </c>
      <c r="V781" s="114" t="s">
        <v>1330</v>
      </c>
      <c r="W781" s="114" t="b">
        <v>0</v>
      </c>
      <c r="X781" s="114" t="s">
        <v>1331</v>
      </c>
      <c r="Y781" s="114"/>
    </row>
    <row r="782" spans="2:32" ht="20" hidden="1" outlineLevel="2">
      <c r="B782" s="2" t="s">
        <v>1294</v>
      </c>
      <c r="D782" s="113" t="s">
        <v>1298</v>
      </c>
      <c r="E782" s="237">
        <v>60</v>
      </c>
      <c r="F782" s="114" t="b">
        <v>0</v>
      </c>
      <c r="G782" s="257" t="b">
        <v>0</v>
      </c>
      <c r="H782" s="257" t="b">
        <v>1</v>
      </c>
      <c r="I782" s="257"/>
      <c r="J782" s="257" t="b">
        <v>0</v>
      </c>
      <c r="K782" s="257"/>
      <c r="L782" s="1340">
        <v>800000</v>
      </c>
      <c r="M782" s="114">
        <v>1000000</v>
      </c>
      <c r="N782" s="114"/>
      <c r="O782" s="114"/>
      <c r="P782" s="114" t="s">
        <v>1341</v>
      </c>
      <c r="Q782" s="114" t="s">
        <v>1334</v>
      </c>
      <c r="R782" s="114">
        <v>100</v>
      </c>
      <c r="S782" s="114" t="s">
        <v>1299</v>
      </c>
      <c r="T782" s="1340">
        <v>21850</v>
      </c>
      <c r="U782" s="114">
        <v>4.4999999999999998E-2</v>
      </c>
      <c r="V782" s="114" t="s">
        <v>1339</v>
      </c>
      <c r="W782" s="114" t="b">
        <v>0</v>
      </c>
      <c r="X782" s="114" t="s">
        <v>1340</v>
      </c>
      <c r="Y782" s="114"/>
      <c r="AF782" s="1342"/>
    </row>
    <row r="783" spans="2:32" hidden="1" outlineLevel="2">
      <c r="B783" s="2" t="s">
        <v>1294</v>
      </c>
      <c r="D783" s="113" t="s">
        <v>1298</v>
      </c>
      <c r="E783" s="237">
        <v>61</v>
      </c>
      <c r="F783" s="114" t="b">
        <v>0</v>
      </c>
      <c r="G783" s="257" t="b">
        <v>0</v>
      </c>
      <c r="H783" s="257" t="b">
        <v>1</v>
      </c>
      <c r="I783" s="257"/>
      <c r="J783" s="257" t="b">
        <v>0</v>
      </c>
      <c r="K783" s="257"/>
      <c r="L783" s="114">
        <f>M782</f>
        <v>1000000</v>
      </c>
      <c r="M783" s="114">
        <v>99999999</v>
      </c>
      <c r="N783" s="114"/>
      <c r="O783" s="114"/>
      <c r="P783" s="114" t="s">
        <v>1341</v>
      </c>
      <c r="Q783" s="114" t="s">
        <v>1334</v>
      </c>
      <c r="R783" s="114">
        <v>100</v>
      </c>
      <c r="S783" s="114" t="s">
        <v>1299</v>
      </c>
      <c r="T783" s="114">
        <v>30850</v>
      </c>
      <c r="U783" s="114">
        <v>5.7500000000000002E-2</v>
      </c>
      <c r="V783" s="114" t="s">
        <v>1339</v>
      </c>
      <c r="W783" s="114" t="b">
        <v>0</v>
      </c>
      <c r="X783" s="114" t="s">
        <v>1340</v>
      </c>
      <c r="Y783" s="114"/>
    </row>
    <row r="784" spans="2:32" hidden="1" outlineLevel="2">
      <c r="B784" s="2" t="s">
        <v>1294</v>
      </c>
      <c r="D784" s="113" t="s">
        <v>1298</v>
      </c>
      <c r="E784" s="237">
        <v>62</v>
      </c>
      <c r="F784" s="114" t="b">
        <v>0</v>
      </c>
      <c r="G784" s="257" t="b">
        <v>0</v>
      </c>
      <c r="H784" s="257" t="b">
        <v>1</v>
      </c>
      <c r="I784" s="257"/>
      <c r="J784" s="257" t="b">
        <v>1</v>
      </c>
      <c r="K784" s="257"/>
      <c r="L784" s="114">
        <v>0</v>
      </c>
      <c r="M784" s="1340">
        <f>L785-0.01</f>
        <v>359999.99</v>
      </c>
      <c r="N784" s="114"/>
      <c r="O784" s="114"/>
      <c r="P784" s="114" t="s">
        <v>1342</v>
      </c>
      <c r="Q784" s="114" t="s">
        <v>1334</v>
      </c>
      <c r="R784" s="114">
        <v>100</v>
      </c>
      <c r="S784" s="114" t="s">
        <v>1299</v>
      </c>
      <c r="T784" s="1340">
        <v>0</v>
      </c>
      <c r="U784" s="114">
        <v>0</v>
      </c>
      <c r="V784" s="114" t="s">
        <v>1330</v>
      </c>
      <c r="W784" s="114" t="b">
        <v>0</v>
      </c>
      <c r="X784" s="114" t="s">
        <v>1331</v>
      </c>
      <c r="Y784" s="114"/>
    </row>
    <row r="785" spans="2:25" hidden="1" outlineLevel="2">
      <c r="B785" s="2" t="s">
        <v>1294</v>
      </c>
      <c r="D785" s="113" t="s">
        <v>1298</v>
      </c>
      <c r="E785" s="237">
        <v>63</v>
      </c>
      <c r="F785" s="114" t="b">
        <v>0</v>
      </c>
      <c r="G785" s="257" t="b">
        <v>0</v>
      </c>
      <c r="H785" s="257" t="b">
        <v>1</v>
      </c>
      <c r="I785" s="257"/>
      <c r="J785" s="257" t="b">
        <v>1</v>
      </c>
      <c r="K785" s="257"/>
      <c r="L785" s="1340">
        <v>360000</v>
      </c>
      <c r="M785" s="1340">
        <f t="shared" ref="M785:M798" si="10">L786-0.01</f>
        <v>369999.99</v>
      </c>
      <c r="N785" s="114"/>
      <c r="O785" s="114"/>
      <c r="P785" s="114" t="s">
        <v>1342</v>
      </c>
      <c r="Q785" s="114" t="s">
        <v>1334</v>
      </c>
      <c r="R785" s="114">
        <v>100</v>
      </c>
      <c r="S785" s="114" t="s">
        <v>1299</v>
      </c>
      <c r="T785" s="1340">
        <v>1060.0000000000018</v>
      </c>
      <c r="U785" s="114">
        <v>3.5000000000000003E-2</v>
      </c>
      <c r="V785" s="114" t="s">
        <v>1330</v>
      </c>
      <c r="W785" s="114" t="b">
        <v>0</v>
      </c>
      <c r="X785" s="114" t="s">
        <v>1331</v>
      </c>
      <c r="Y785" s="114"/>
    </row>
    <row r="786" spans="2:25" hidden="1" outlineLevel="2">
      <c r="B786" s="2" t="s">
        <v>1294</v>
      </c>
      <c r="D786" s="113" t="s">
        <v>1298</v>
      </c>
      <c r="E786" s="237">
        <v>64</v>
      </c>
      <c r="F786" s="114" t="b">
        <v>0</v>
      </c>
      <c r="G786" s="257" t="b">
        <v>0</v>
      </c>
      <c r="H786" s="257" t="b">
        <v>1</v>
      </c>
      <c r="I786" s="257"/>
      <c r="J786" s="257" t="b">
        <v>1</v>
      </c>
      <c r="K786" s="257"/>
      <c r="L786" s="1340">
        <f>L785+10000</f>
        <v>370000</v>
      </c>
      <c r="M786" s="1340">
        <f t="shared" si="10"/>
        <v>379999.99</v>
      </c>
      <c r="N786" s="114"/>
      <c r="O786" s="114"/>
      <c r="P786" s="114" t="s">
        <v>1342</v>
      </c>
      <c r="Q786" s="114" t="s">
        <v>1334</v>
      </c>
      <c r="R786" s="114">
        <v>100</v>
      </c>
      <c r="S786" s="114" t="s">
        <v>1299</v>
      </c>
      <c r="T786" s="1340">
        <v>2120.0000000000018</v>
      </c>
      <c r="U786" s="114">
        <v>3.5000000000000003E-2</v>
      </c>
      <c r="V786" s="114" t="s">
        <v>1330</v>
      </c>
      <c r="W786" s="114" t="b">
        <v>0</v>
      </c>
      <c r="X786" s="114" t="s">
        <v>1331</v>
      </c>
      <c r="Y786" s="114"/>
    </row>
    <row r="787" spans="2:25" hidden="1" outlineLevel="2">
      <c r="B787" s="2" t="s">
        <v>1294</v>
      </c>
      <c r="D787" s="113" t="s">
        <v>1298</v>
      </c>
      <c r="E787" s="237">
        <v>65</v>
      </c>
      <c r="F787" s="114" t="b">
        <v>0</v>
      </c>
      <c r="G787" s="257" t="b">
        <v>0</v>
      </c>
      <c r="H787" s="257" t="b">
        <v>1</v>
      </c>
      <c r="I787" s="257"/>
      <c r="J787" s="257" t="b">
        <v>1</v>
      </c>
      <c r="K787" s="257"/>
      <c r="L787" s="1340">
        <f t="shared" ref="L787:L799" si="11">L786+10000</f>
        <v>380000</v>
      </c>
      <c r="M787" s="1340">
        <f t="shared" si="10"/>
        <v>389999.99</v>
      </c>
      <c r="N787" s="114"/>
      <c r="O787" s="114"/>
      <c r="P787" s="114" t="s">
        <v>1342</v>
      </c>
      <c r="Q787" s="114" t="s">
        <v>1334</v>
      </c>
      <c r="R787" s="114">
        <v>100</v>
      </c>
      <c r="S787" s="114" t="s">
        <v>1299</v>
      </c>
      <c r="T787" s="1340">
        <v>3180.0000000000018</v>
      </c>
      <c r="U787" s="114">
        <v>3.5000000000000003E-2</v>
      </c>
      <c r="V787" s="114" t="s">
        <v>1330</v>
      </c>
      <c r="W787" s="114" t="b">
        <v>0</v>
      </c>
      <c r="X787" s="114" t="s">
        <v>1331</v>
      </c>
      <c r="Y787" s="114"/>
    </row>
    <row r="788" spans="2:25" hidden="1" outlineLevel="2">
      <c r="B788" s="2" t="s">
        <v>1294</v>
      </c>
      <c r="D788" s="113" t="s">
        <v>1298</v>
      </c>
      <c r="E788" s="237">
        <v>66</v>
      </c>
      <c r="F788" s="114" t="b">
        <v>0</v>
      </c>
      <c r="G788" s="257" t="b">
        <v>0</v>
      </c>
      <c r="H788" s="257" t="b">
        <v>1</v>
      </c>
      <c r="I788" s="257"/>
      <c r="J788" s="257" t="b">
        <v>1</v>
      </c>
      <c r="K788" s="257"/>
      <c r="L788" s="1340">
        <f t="shared" si="11"/>
        <v>390000</v>
      </c>
      <c r="M788" s="1340">
        <f t="shared" si="10"/>
        <v>399999.99</v>
      </c>
      <c r="N788" s="114"/>
      <c r="O788" s="114"/>
      <c r="P788" s="114" t="s">
        <v>1342</v>
      </c>
      <c r="Q788" s="114" t="s">
        <v>1334</v>
      </c>
      <c r="R788" s="114">
        <v>100</v>
      </c>
      <c r="S788" s="114" t="s">
        <v>1299</v>
      </c>
      <c r="T788" s="1340">
        <v>4240.0000000000018</v>
      </c>
      <c r="U788" s="114">
        <v>3.5000000000000003E-2</v>
      </c>
      <c r="V788" s="114" t="s">
        <v>1330</v>
      </c>
      <c r="W788" s="114" t="b">
        <v>0</v>
      </c>
      <c r="X788" s="114" t="s">
        <v>1331</v>
      </c>
      <c r="Y788" s="114"/>
    </row>
    <row r="789" spans="2:25" hidden="1" outlineLevel="2">
      <c r="B789" s="2" t="s">
        <v>1294</v>
      </c>
      <c r="D789" s="113" t="s">
        <v>1298</v>
      </c>
      <c r="E789" s="237">
        <v>67</v>
      </c>
      <c r="F789" s="114" t="b">
        <v>0</v>
      </c>
      <c r="G789" s="257" t="b">
        <v>0</v>
      </c>
      <c r="H789" s="257" t="b">
        <v>1</v>
      </c>
      <c r="I789" s="257"/>
      <c r="J789" s="257" t="b">
        <v>1</v>
      </c>
      <c r="K789" s="257"/>
      <c r="L789" s="1340">
        <f t="shared" si="11"/>
        <v>400000</v>
      </c>
      <c r="M789" s="1340">
        <f t="shared" si="10"/>
        <v>409999.99</v>
      </c>
      <c r="N789" s="114"/>
      <c r="O789" s="114"/>
      <c r="P789" s="114" t="s">
        <v>1342</v>
      </c>
      <c r="Q789" s="114" t="s">
        <v>1334</v>
      </c>
      <c r="R789" s="114">
        <v>100</v>
      </c>
      <c r="S789" s="114" t="s">
        <v>1299</v>
      </c>
      <c r="T789" s="1340">
        <v>5300.0000000000018</v>
      </c>
      <c r="U789" s="114">
        <v>3.5000000000000003E-2</v>
      </c>
      <c r="V789" s="114" t="s">
        <v>1330</v>
      </c>
      <c r="W789" s="114" t="b">
        <v>0</v>
      </c>
      <c r="X789" s="114" t="s">
        <v>1331</v>
      </c>
      <c r="Y789" s="114"/>
    </row>
    <row r="790" spans="2:25" hidden="1" outlineLevel="2">
      <c r="B790" s="2" t="s">
        <v>1294</v>
      </c>
      <c r="D790" s="113" t="s">
        <v>1298</v>
      </c>
      <c r="E790" s="237">
        <v>68</v>
      </c>
      <c r="F790" s="114" t="b">
        <v>0</v>
      </c>
      <c r="G790" s="257" t="b">
        <v>0</v>
      </c>
      <c r="H790" s="257" t="b">
        <v>1</v>
      </c>
      <c r="I790" s="257"/>
      <c r="J790" s="257" t="b">
        <v>1</v>
      </c>
      <c r="K790" s="257"/>
      <c r="L790" s="1340">
        <f t="shared" si="11"/>
        <v>410000</v>
      </c>
      <c r="M790" s="1340">
        <f t="shared" si="10"/>
        <v>419999.99</v>
      </c>
      <c r="N790" s="114"/>
      <c r="O790" s="114"/>
      <c r="P790" s="114" t="s">
        <v>1342</v>
      </c>
      <c r="Q790" s="114" t="s">
        <v>1334</v>
      </c>
      <c r="R790" s="114">
        <v>100</v>
      </c>
      <c r="S790" s="114" t="s">
        <v>1299</v>
      </c>
      <c r="T790" s="1340">
        <v>6360.0000000000018</v>
      </c>
      <c r="U790" s="114">
        <v>3.5000000000000003E-2</v>
      </c>
      <c r="V790" s="114" t="s">
        <v>1330</v>
      </c>
      <c r="W790" s="114" t="b">
        <v>0</v>
      </c>
      <c r="X790" s="114" t="s">
        <v>1331</v>
      </c>
      <c r="Y790" s="114"/>
    </row>
    <row r="791" spans="2:25" hidden="1" outlineLevel="2">
      <c r="B791" s="2" t="s">
        <v>1294</v>
      </c>
      <c r="D791" s="113" t="s">
        <v>1298</v>
      </c>
      <c r="E791" s="237">
        <v>69</v>
      </c>
      <c r="F791" s="114" t="b">
        <v>0</v>
      </c>
      <c r="G791" s="257" t="b">
        <v>0</v>
      </c>
      <c r="H791" s="257" t="b">
        <v>1</v>
      </c>
      <c r="I791" s="257"/>
      <c r="J791" s="257" t="b">
        <v>1</v>
      </c>
      <c r="K791" s="257"/>
      <c r="L791" s="1340">
        <f t="shared" si="11"/>
        <v>420000</v>
      </c>
      <c r="M791" s="1340">
        <f t="shared" si="10"/>
        <v>429999.99</v>
      </c>
      <c r="N791" s="114"/>
      <c r="O791" s="114"/>
      <c r="P791" s="114" t="s">
        <v>1342</v>
      </c>
      <c r="Q791" s="114" t="s">
        <v>1334</v>
      </c>
      <c r="R791" s="114">
        <v>100</v>
      </c>
      <c r="S791" s="114" t="s">
        <v>1299</v>
      </c>
      <c r="T791" s="1340">
        <v>7420.0000000000018</v>
      </c>
      <c r="U791" s="114">
        <v>3.5000000000000003E-2</v>
      </c>
      <c r="V791" s="114" t="s">
        <v>1330</v>
      </c>
      <c r="W791" s="114" t="b">
        <v>0</v>
      </c>
      <c r="X791" s="114" t="s">
        <v>1331</v>
      </c>
      <c r="Y791" s="114"/>
    </row>
    <row r="792" spans="2:25" hidden="1" outlineLevel="2">
      <c r="B792" s="2" t="s">
        <v>1294</v>
      </c>
      <c r="D792" s="113" t="s">
        <v>1298</v>
      </c>
      <c r="E792" s="237">
        <v>70</v>
      </c>
      <c r="F792" s="114" t="b">
        <v>0</v>
      </c>
      <c r="G792" s="257" t="b">
        <v>0</v>
      </c>
      <c r="H792" s="257" t="b">
        <v>1</v>
      </c>
      <c r="I792" s="257"/>
      <c r="J792" s="257" t="b">
        <v>1</v>
      </c>
      <c r="K792" s="257"/>
      <c r="L792" s="1340">
        <f t="shared" si="11"/>
        <v>430000</v>
      </c>
      <c r="M792" s="1340">
        <f t="shared" si="10"/>
        <v>439999.99</v>
      </c>
      <c r="N792" s="114"/>
      <c r="O792" s="114"/>
      <c r="P792" s="114" t="s">
        <v>1342</v>
      </c>
      <c r="Q792" s="114" t="s">
        <v>1334</v>
      </c>
      <c r="R792" s="114">
        <v>100</v>
      </c>
      <c r="S792" s="114" t="s">
        <v>1299</v>
      </c>
      <c r="T792" s="1340">
        <v>8480.0000000000018</v>
      </c>
      <c r="U792" s="114">
        <v>3.5000000000000003E-2</v>
      </c>
      <c r="V792" s="114" t="s">
        <v>1330</v>
      </c>
      <c r="W792" s="114" t="b">
        <v>0</v>
      </c>
      <c r="X792" s="114" t="s">
        <v>1331</v>
      </c>
      <c r="Y792" s="114"/>
    </row>
    <row r="793" spans="2:25" hidden="1" outlineLevel="2">
      <c r="B793" s="2" t="s">
        <v>1294</v>
      </c>
      <c r="D793" s="113" t="s">
        <v>1298</v>
      </c>
      <c r="E793" s="237">
        <v>71</v>
      </c>
      <c r="F793" s="114" t="b">
        <v>0</v>
      </c>
      <c r="G793" s="257" t="b">
        <v>0</v>
      </c>
      <c r="H793" s="257" t="b">
        <v>1</v>
      </c>
      <c r="I793" s="257"/>
      <c r="J793" s="257" t="b">
        <v>1</v>
      </c>
      <c r="K793" s="257"/>
      <c r="L793" s="1340">
        <f t="shared" si="11"/>
        <v>440000</v>
      </c>
      <c r="M793" s="1340">
        <f t="shared" si="10"/>
        <v>449999.99</v>
      </c>
      <c r="N793" s="114"/>
      <c r="O793" s="114"/>
      <c r="P793" s="114" t="s">
        <v>1342</v>
      </c>
      <c r="Q793" s="114" t="s">
        <v>1334</v>
      </c>
      <c r="R793" s="114">
        <v>100</v>
      </c>
      <c r="S793" s="114" t="s">
        <v>1299</v>
      </c>
      <c r="T793" s="1340">
        <v>9540.0000000000018</v>
      </c>
      <c r="U793" s="114">
        <v>3.5000000000000003E-2</v>
      </c>
      <c r="V793" s="114" t="s">
        <v>1330</v>
      </c>
      <c r="W793" s="114" t="b">
        <v>0</v>
      </c>
      <c r="X793" s="114" t="s">
        <v>1331</v>
      </c>
      <c r="Y793" s="114"/>
    </row>
    <row r="794" spans="2:25" hidden="1" outlineLevel="2">
      <c r="B794" s="2" t="s">
        <v>1294</v>
      </c>
      <c r="D794" s="113" t="s">
        <v>1298</v>
      </c>
      <c r="E794" s="237">
        <v>72</v>
      </c>
      <c r="F794" s="114" t="b">
        <v>0</v>
      </c>
      <c r="G794" s="257" t="b">
        <v>0</v>
      </c>
      <c r="H794" s="257" t="b">
        <v>1</v>
      </c>
      <c r="I794" s="257"/>
      <c r="J794" s="257" t="b">
        <v>1</v>
      </c>
      <c r="K794" s="257"/>
      <c r="L794" s="1340">
        <f t="shared" si="11"/>
        <v>450000</v>
      </c>
      <c r="M794" s="1340">
        <f t="shared" si="10"/>
        <v>459999.99</v>
      </c>
      <c r="N794" s="114"/>
      <c r="O794" s="114"/>
      <c r="P794" s="114" t="s">
        <v>1342</v>
      </c>
      <c r="Q794" s="114" t="s">
        <v>1334</v>
      </c>
      <c r="R794" s="114">
        <v>100</v>
      </c>
      <c r="S794" s="114" t="s">
        <v>1299</v>
      </c>
      <c r="T794" s="1340">
        <v>10600.000000000002</v>
      </c>
      <c r="U794" s="114">
        <v>3.5000000000000003E-2</v>
      </c>
      <c r="V794" s="114" t="s">
        <v>1330</v>
      </c>
      <c r="W794" s="114" t="b">
        <v>0</v>
      </c>
      <c r="X794" s="114" t="s">
        <v>1331</v>
      </c>
      <c r="Y794" s="114"/>
    </row>
    <row r="795" spans="2:25" hidden="1" outlineLevel="2">
      <c r="B795" s="2" t="s">
        <v>1294</v>
      </c>
      <c r="D795" s="113" t="s">
        <v>1298</v>
      </c>
      <c r="E795" s="237">
        <v>73</v>
      </c>
      <c r="F795" s="114" t="b">
        <v>0</v>
      </c>
      <c r="G795" s="257" t="b">
        <v>0</v>
      </c>
      <c r="H795" s="257" t="b">
        <v>1</v>
      </c>
      <c r="I795" s="257"/>
      <c r="J795" s="257" t="b">
        <v>1</v>
      </c>
      <c r="K795" s="257"/>
      <c r="L795" s="1340">
        <f t="shared" si="11"/>
        <v>460000</v>
      </c>
      <c r="M795" s="1340">
        <f t="shared" si="10"/>
        <v>469999.99</v>
      </c>
      <c r="N795" s="114"/>
      <c r="O795" s="114"/>
      <c r="P795" s="114" t="s">
        <v>1342</v>
      </c>
      <c r="Q795" s="114" t="s">
        <v>1334</v>
      </c>
      <c r="R795" s="114">
        <v>100</v>
      </c>
      <c r="S795" s="114" t="s">
        <v>1299</v>
      </c>
      <c r="T795" s="1340">
        <v>11660.000000000002</v>
      </c>
      <c r="U795" s="114">
        <v>3.5000000000000003E-2</v>
      </c>
      <c r="V795" s="114" t="s">
        <v>1330</v>
      </c>
      <c r="W795" s="114" t="b">
        <v>0</v>
      </c>
      <c r="X795" s="114" t="s">
        <v>1331</v>
      </c>
      <c r="Y795" s="114"/>
    </row>
    <row r="796" spans="2:25" hidden="1" outlineLevel="2">
      <c r="B796" s="2" t="s">
        <v>1294</v>
      </c>
      <c r="D796" s="113" t="s">
        <v>1298</v>
      </c>
      <c r="E796" s="237">
        <v>74</v>
      </c>
      <c r="F796" s="114" t="b">
        <v>0</v>
      </c>
      <c r="G796" s="257" t="b">
        <v>0</v>
      </c>
      <c r="H796" s="257" t="b">
        <v>1</v>
      </c>
      <c r="I796" s="257"/>
      <c r="J796" s="257" t="b">
        <v>1</v>
      </c>
      <c r="K796" s="257"/>
      <c r="L796" s="1340">
        <f t="shared" si="11"/>
        <v>470000</v>
      </c>
      <c r="M796" s="1340">
        <f t="shared" si="10"/>
        <v>479999.99</v>
      </c>
      <c r="N796" s="114"/>
      <c r="O796" s="114"/>
      <c r="P796" s="114" t="s">
        <v>1342</v>
      </c>
      <c r="Q796" s="114" t="s">
        <v>1334</v>
      </c>
      <c r="R796" s="114">
        <v>100</v>
      </c>
      <c r="S796" s="114" t="s">
        <v>1299</v>
      </c>
      <c r="T796" s="1340">
        <v>12720.000000000002</v>
      </c>
      <c r="U796" s="114">
        <v>3.5000000000000003E-2</v>
      </c>
      <c r="V796" s="114" t="s">
        <v>1330</v>
      </c>
      <c r="W796" s="114" t="b">
        <v>0</v>
      </c>
      <c r="X796" s="114" t="s">
        <v>1331</v>
      </c>
      <c r="Y796" s="114"/>
    </row>
    <row r="797" spans="2:25" hidden="1" outlineLevel="2">
      <c r="B797" s="2" t="s">
        <v>1294</v>
      </c>
      <c r="D797" s="113" t="s">
        <v>1298</v>
      </c>
      <c r="E797" s="237">
        <v>75</v>
      </c>
      <c r="F797" s="114" t="b">
        <v>0</v>
      </c>
      <c r="G797" s="257" t="b">
        <v>0</v>
      </c>
      <c r="H797" s="257" t="b">
        <v>1</v>
      </c>
      <c r="I797" s="257"/>
      <c r="J797" s="257" t="b">
        <v>1</v>
      </c>
      <c r="K797" s="257"/>
      <c r="L797" s="1340">
        <f t="shared" si="11"/>
        <v>480000</v>
      </c>
      <c r="M797" s="1340">
        <f t="shared" si="10"/>
        <v>489999.99</v>
      </c>
      <c r="N797" s="114"/>
      <c r="O797" s="114"/>
      <c r="P797" s="114" t="s">
        <v>1342</v>
      </c>
      <c r="Q797" s="114" t="s">
        <v>1334</v>
      </c>
      <c r="R797" s="114">
        <v>100</v>
      </c>
      <c r="S797" s="114" t="s">
        <v>1299</v>
      </c>
      <c r="T797" s="1340">
        <v>13780.000000000002</v>
      </c>
      <c r="U797" s="114">
        <v>3.5000000000000003E-2</v>
      </c>
      <c r="V797" s="114" t="s">
        <v>1330</v>
      </c>
      <c r="W797" s="114" t="b">
        <v>0</v>
      </c>
      <c r="X797" s="114" t="s">
        <v>1331</v>
      </c>
      <c r="Y797" s="114"/>
    </row>
    <row r="798" spans="2:25" hidden="1" outlineLevel="2">
      <c r="B798" s="2" t="s">
        <v>1294</v>
      </c>
      <c r="D798" s="113" t="s">
        <v>1298</v>
      </c>
      <c r="E798" s="237">
        <v>76</v>
      </c>
      <c r="F798" s="114" t="b">
        <v>0</v>
      </c>
      <c r="G798" s="257" t="b">
        <v>0</v>
      </c>
      <c r="H798" s="257" t="b">
        <v>1</v>
      </c>
      <c r="I798" s="257"/>
      <c r="J798" s="257" t="b">
        <v>1</v>
      </c>
      <c r="K798" s="257"/>
      <c r="L798" s="1340">
        <f t="shared" si="11"/>
        <v>490000</v>
      </c>
      <c r="M798" s="1340">
        <f t="shared" si="10"/>
        <v>499999.99</v>
      </c>
      <c r="N798" s="114"/>
      <c r="O798" s="114"/>
      <c r="P798" s="114" t="s">
        <v>1342</v>
      </c>
      <c r="Q798" s="114" t="s">
        <v>1334</v>
      </c>
      <c r="R798" s="114">
        <v>100</v>
      </c>
      <c r="S798" s="114" t="s">
        <v>1299</v>
      </c>
      <c r="T798" s="1340">
        <v>14840.000000000002</v>
      </c>
      <c r="U798" s="114">
        <v>3.5000000000000003E-2</v>
      </c>
      <c r="V798" s="114" t="s">
        <v>1330</v>
      </c>
      <c r="W798" s="114" t="b">
        <v>0</v>
      </c>
      <c r="X798" s="114" t="s">
        <v>1331</v>
      </c>
      <c r="Y798" s="114"/>
    </row>
    <row r="799" spans="2:25" hidden="1" outlineLevel="2">
      <c r="B799" s="2" t="s">
        <v>1294</v>
      </c>
      <c r="D799" s="113" t="s">
        <v>1298</v>
      </c>
      <c r="E799" s="237">
        <v>77</v>
      </c>
      <c r="F799" s="114" t="b">
        <v>0</v>
      </c>
      <c r="G799" s="257" t="b">
        <v>0</v>
      </c>
      <c r="H799" s="257" t="b">
        <v>1</v>
      </c>
      <c r="I799" s="257"/>
      <c r="J799" s="257" t="b">
        <v>1</v>
      </c>
      <c r="K799" s="257"/>
      <c r="L799" s="1340">
        <f t="shared" si="11"/>
        <v>500000</v>
      </c>
      <c r="M799" s="114">
        <v>540000</v>
      </c>
      <c r="N799" s="114"/>
      <c r="O799" s="114"/>
      <c r="P799" s="114" t="s">
        <v>1342</v>
      </c>
      <c r="Q799" s="114" t="s">
        <v>1334</v>
      </c>
      <c r="R799" s="114">
        <v>100</v>
      </c>
      <c r="S799" s="114" t="s">
        <v>1299</v>
      </c>
      <c r="T799" s="1340">
        <v>15925.000000000002</v>
      </c>
      <c r="U799" s="114">
        <v>3.5000000000000003E-2</v>
      </c>
      <c r="V799" s="114" t="s">
        <v>1330</v>
      </c>
      <c r="W799" s="114" t="b">
        <v>0</v>
      </c>
      <c r="X799" s="114" t="s">
        <v>1331</v>
      </c>
      <c r="Y799" s="114"/>
    </row>
    <row r="800" spans="2:25" hidden="1" outlineLevel="2">
      <c r="B800" s="2" t="s">
        <v>1294</v>
      </c>
      <c r="D800" s="113" t="s">
        <v>1298</v>
      </c>
      <c r="E800" s="237">
        <v>79</v>
      </c>
      <c r="F800" s="114" t="b">
        <v>0</v>
      </c>
      <c r="G800" s="257" t="b">
        <v>0</v>
      </c>
      <c r="H800" s="257" t="b">
        <v>1</v>
      </c>
      <c r="I800" s="257"/>
      <c r="J800" s="257" t="b">
        <v>1</v>
      </c>
      <c r="K800" s="257"/>
      <c r="L800" s="114">
        <v>540000</v>
      </c>
      <c r="M800" s="114">
        <v>1000000</v>
      </c>
      <c r="N800" s="114"/>
      <c r="O800" s="114"/>
      <c r="P800" s="114" t="s">
        <v>1342</v>
      </c>
      <c r="Q800" s="114" t="s">
        <v>1334</v>
      </c>
      <c r="R800" s="114">
        <v>100</v>
      </c>
      <c r="S800" s="114" t="s">
        <v>1299</v>
      </c>
      <c r="T800" s="114">
        <v>17325</v>
      </c>
      <c r="U800" s="114">
        <v>4.4999999999999998E-2</v>
      </c>
      <c r="V800" s="114"/>
      <c r="W800" s="114" t="b">
        <v>0</v>
      </c>
      <c r="X800" s="114"/>
      <c r="Y800" s="114"/>
    </row>
    <row r="801" spans="2:25" hidden="1" outlineLevel="2">
      <c r="B801" s="2" t="s">
        <v>1294</v>
      </c>
      <c r="D801" s="113" t="s">
        <v>1298</v>
      </c>
      <c r="E801" s="237">
        <v>80</v>
      </c>
      <c r="F801" s="114" t="b">
        <v>0</v>
      </c>
      <c r="G801" s="257" t="b">
        <v>0</v>
      </c>
      <c r="H801" s="257" t="b">
        <v>1</v>
      </c>
      <c r="I801" s="257"/>
      <c r="J801" s="257" t="b">
        <v>1</v>
      </c>
      <c r="K801" s="257"/>
      <c r="L801" s="114">
        <f>M800</f>
        <v>1000000</v>
      </c>
      <c r="M801" s="114">
        <v>99999999</v>
      </c>
      <c r="N801" s="114"/>
      <c r="O801" s="114"/>
      <c r="P801" s="114" t="s">
        <v>1342</v>
      </c>
      <c r="Q801" s="114" t="s">
        <v>1334</v>
      </c>
      <c r="R801" s="114">
        <v>100</v>
      </c>
      <c r="S801" s="114" t="s">
        <v>1299</v>
      </c>
      <c r="T801" s="114">
        <v>38025</v>
      </c>
      <c r="U801" s="114">
        <v>5.7500000000000002E-2</v>
      </c>
      <c r="V801" s="114"/>
      <c r="W801" s="114" t="b">
        <v>0</v>
      </c>
      <c r="X801" s="114"/>
      <c r="Y801" s="114"/>
    </row>
    <row r="802" spans="2:25" hidden="1" outlineLevel="2">
      <c r="B802" s="2" t="s">
        <v>1294</v>
      </c>
      <c r="D802" s="113" t="s">
        <v>1298</v>
      </c>
      <c r="E802" s="237">
        <v>81</v>
      </c>
      <c r="F802" s="114"/>
      <c r="G802" s="257"/>
      <c r="H802" s="257"/>
      <c r="I802" s="257"/>
      <c r="J802" s="257"/>
      <c r="K802" s="257"/>
      <c r="L802" s="114">
        <v>0</v>
      </c>
      <c r="M802" s="114">
        <v>5000</v>
      </c>
      <c r="N802" s="114"/>
      <c r="O802" s="114"/>
      <c r="P802" s="114" t="s">
        <v>1342</v>
      </c>
      <c r="Q802" s="114" t="s">
        <v>1334</v>
      </c>
      <c r="R802" s="114">
        <v>100</v>
      </c>
      <c r="S802" s="114" t="s">
        <v>1299</v>
      </c>
      <c r="T802" s="114">
        <v>0</v>
      </c>
      <c r="U802" s="114">
        <v>0</v>
      </c>
      <c r="V802" s="114"/>
      <c r="W802" s="114" t="b">
        <v>0</v>
      </c>
      <c r="X802" s="114"/>
      <c r="Y802" s="114"/>
    </row>
    <row r="803" spans="2:25" hidden="1" outlineLevel="2">
      <c r="B803" s="2" t="s">
        <v>1294</v>
      </c>
      <c r="D803" s="113" t="s">
        <v>1298</v>
      </c>
      <c r="E803" s="237">
        <v>82</v>
      </c>
      <c r="F803" s="114"/>
      <c r="G803" s="257"/>
      <c r="H803" s="257"/>
      <c r="I803" s="257"/>
      <c r="J803" s="257"/>
      <c r="K803" s="257"/>
      <c r="L803" s="114">
        <f>M802</f>
        <v>5000</v>
      </c>
      <c r="M803" s="114">
        <v>75000</v>
      </c>
      <c r="N803" s="114"/>
      <c r="O803" s="114"/>
      <c r="P803" s="114" t="s">
        <v>1343</v>
      </c>
      <c r="Q803" s="114" t="s">
        <v>1334</v>
      </c>
      <c r="R803" s="114">
        <v>100</v>
      </c>
      <c r="S803" s="114" t="s">
        <v>1299</v>
      </c>
      <c r="T803" s="114">
        <v>0</v>
      </c>
      <c r="U803" s="114">
        <v>1.4999999999999999E-2</v>
      </c>
      <c r="V803" s="114"/>
      <c r="W803" s="114" t="b">
        <v>0</v>
      </c>
      <c r="X803" s="114"/>
      <c r="Y803" s="114"/>
    </row>
    <row r="804" spans="2:25" hidden="1" outlineLevel="2">
      <c r="B804" s="2" t="s">
        <v>1294</v>
      </c>
      <c r="D804" s="113" t="s">
        <v>1298</v>
      </c>
      <c r="E804" s="237">
        <v>83</v>
      </c>
      <c r="F804" s="114"/>
      <c r="G804" s="257"/>
      <c r="H804" s="257"/>
      <c r="I804" s="257"/>
      <c r="J804" s="257"/>
      <c r="K804" s="257"/>
      <c r="L804" s="114">
        <f>M803</f>
        <v>75000</v>
      </c>
      <c r="M804" s="114">
        <v>540000</v>
      </c>
      <c r="N804" s="114"/>
      <c r="O804" s="114"/>
      <c r="P804" s="114" t="s">
        <v>1343</v>
      </c>
      <c r="Q804" s="114" t="s">
        <v>1334</v>
      </c>
      <c r="R804" s="114">
        <v>100</v>
      </c>
      <c r="S804" s="114" t="s">
        <v>1299</v>
      </c>
      <c r="T804" s="114">
        <v>1050</v>
      </c>
      <c r="U804" s="114">
        <v>3.5000000000000003E-2</v>
      </c>
      <c r="V804" s="114"/>
      <c r="W804" s="114" t="b">
        <v>0</v>
      </c>
      <c r="X804" s="114"/>
      <c r="Y804" s="114"/>
    </row>
    <row r="805" spans="2:25" hidden="1" outlineLevel="2">
      <c r="B805" s="2" t="s">
        <v>1294</v>
      </c>
      <c r="D805" s="113" t="s">
        <v>1298</v>
      </c>
      <c r="E805" s="237">
        <v>84</v>
      </c>
      <c r="F805" s="114"/>
      <c r="G805" s="257"/>
      <c r="H805" s="257"/>
      <c r="I805" s="257"/>
      <c r="J805" s="257"/>
      <c r="K805" s="257"/>
      <c r="L805" s="114">
        <f>M804</f>
        <v>540000</v>
      </c>
      <c r="M805" s="114">
        <v>1000000</v>
      </c>
      <c r="N805" s="114"/>
      <c r="O805" s="114"/>
      <c r="P805" s="114" t="s">
        <v>1343</v>
      </c>
      <c r="Q805" s="114" t="s">
        <v>1334</v>
      </c>
      <c r="R805" s="114">
        <v>100</v>
      </c>
      <c r="S805" s="114" t="s">
        <v>1299</v>
      </c>
      <c r="T805" s="114">
        <v>17325</v>
      </c>
      <c r="U805" s="114">
        <v>4.4999999999999998E-2</v>
      </c>
      <c r="V805" s="114"/>
      <c r="W805" s="114" t="b">
        <v>0</v>
      </c>
      <c r="X805" s="114"/>
      <c r="Y805" s="114"/>
    </row>
    <row r="806" spans="2:25" hidden="1" outlineLevel="2">
      <c r="B806" s="2" t="s">
        <v>1294</v>
      </c>
      <c r="D806" s="113" t="s">
        <v>1298</v>
      </c>
      <c r="E806" s="237">
        <v>85</v>
      </c>
      <c r="F806" s="114"/>
      <c r="G806" s="257"/>
      <c r="H806" s="257"/>
      <c r="I806" s="257"/>
      <c r="J806" s="257"/>
      <c r="K806" s="257"/>
      <c r="L806" s="114">
        <f>M805</f>
        <v>1000000</v>
      </c>
      <c r="M806" s="114">
        <v>99999999</v>
      </c>
      <c r="N806" s="114"/>
      <c r="O806" s="114"/>
      <c r="P806" s="114" t="s">
        <v>1343</v>
      </c>
      <c r="Q806" s="114" t="s">
        <v>1334</v>
      </c>
      <c r="R806" s="114">
        <v>100</v>
      </c>
      <c r="S806" s="114" t="s">
        <v>1299</v>
      </c>
      <c r="T806" s="114">
        <v>38025</v>
      </c>
      <c r="U806" s="114">
        <v>5.7500000000000002E-2</v>
      </c>
      <c r="V806" s="114"/>
      <c r="W806" s="114" t="b">
        <v>0</v>
      </c>
      <c r="X806" s="114"/>
      <c r="Y806" s="114"/>
    </row>
    <row r="807" spans="2:25" hidden="1" outlineLevel="2">
      <c r="B807" s="2" t="s">
        <v>1294</v>
      </c>
      <c r="D807" s="111" t="s">
        <v>1300</v>
      </c>
      <c r="E807" s="237">
        <v>86</v>
      </c>
      <c r="F807" s="112" t="b">
        <v>0</v>
      </c>
      <c r="G807" s="112" t="b">
        <v>0</v>
      </c>
      <c r="H807" s="255" t="b">
        <v>1</v>
      </c>
      <c r="I807" s="255" t="b">
        <v>0</v>
      </c>
      <c r="J807" s="255"/>
      <c r="K807" s="255"/>
      <c r="L807" s="112">
        <v>0</v>
      </c>
      <c r="M807" s="1340">
        <v>99999999</v>
      </c>
      <c r="N807" s="112"/>
      <c r="O807" s="112"/>
      <c r="P807" s="112" t="s">
        <v>1344</v>
      </c>
      <c r="Q807" s="112" t="s">
        <v>1334</v>
      </c>
      <c r="R807" s="112">
        <v>100</v>
      </c>
      <c r="S807" s="112" t="s">
        <v>1299</v>
      </c>
      <c r="T807" s="112">
        <v>0</v>
      </c>
      <c r="U807" s="112">
        <v>0</v>
      </c>
      <c r="V807" s="112" t="s">
        <v>1330</v>
      </c>
      <c r="W807" s="112" t="b">
        <v>0</v>
      </c>
      <c r="X807" s="112"/>
      <c r="Y807" s="112"/>
    </row>
    <row r="808" spans="2:25" hidden="1" outlineLevel="2">
      <c r="B808" s="2" t="s">
        <v>1294</v>
      </c>
      <c r="D808" s="111" t="s">
        <v>1300</v>
      </c>
      <c r="E808" s="237">
        <v>93</v>
      </c>
      <c r="F808" s="112"/>
      <c r="G808" s="255"/>
      <c r="H808" s="255"/>
      <c r="I808" s="255"/>
      <c r="J808" s="255"/>
      <c r="K808" s="255"/>
      <c r="L808" s="112">
        <v>0</v>
      </c>
      <c r="M808" s="112">
        <v>12000</v>
      </c>
      <c r="N808" s="112"/>
      <c r="O808" s="112"/>
      <c r="P808" s="112" t="s">
        <v>8663</v>
      </c>
      <c r="Q808" s="112" t="s">
        <v>1334</v>
      </c>
      <c r="R808" s="112">
        <v>100</v>
      </c>
      <c r="S808" s="112" t="s">
        <v>1299</v>
      </c>
      <c r="T808" s="112">
        <v>0</v>
      </c>
      <c r="U808" s="112">
        <v>0.01</v>
      </c>
      <c r="V808" s="112"/>
      <c r="W808" s="112" t="b">
        <v>0</v>
      </c>
      <c r="X808" s="112"/>
      <c r="Y808" s="112"/>
    </row>
    <row r="809" spans="2:25" hidden="1" outlineLevel="2">
      <c r="B809" s="2" t="s">
        <v>1294</v>
      </c>
      <c r="D809" s="111" t="s">
        <v>1300</v>
      </c>
      <c r="E809" s="237">
        <v>94</v>
      </c>
      <c r="F809" s="112"/>
      <c r="G809" s="255"/>
      <c r="H809" s="255"/>
      <c r="I809" s="255"/>
      <c r="J809" s="255"/>
      <c r="K809" s="255"/>
      <c r="L809" s="112">
        <f t="shared" ref="L809:L816" si="12">M808</f>
        <v>12000</v>
      </c>
      <c r="M809" s="112">
        <v>30000</v>
      </c>
      <c r="N809" s="112"/>
      <c r="O809" s="112"/>
      <c r="P809" s="112" t="s">
        <v>8663</v>
      </c>
      <c r="Q809" s="112" t="s">
        <v>1334</v>
      </c>
      <c r="R809" s="112">
        <v>100</v>
      </c>
      <c r="S809" s="112" t="s">
        <v>1299</v>
      </c>
      <c r="T809" s="112">
        <v>120</v>
      </c>
      <c r="U809" s="112">
        <v>0.02</v>
      </c>
      <c r="V809" s="112"/>
      <c r="W809" s="112" t="b">
        <v>0</v>
      </c>
      <c r="X809" s="112"/>
      <c r="Y809" s="112"/>
    </row>
    <row r="810" spans="2:25" hidden="1" outlineLevel="2">
      <c r="B810" s="2" t="s">
        <v>1294</v>
      </c>
      <c r="D810" s="111" t="s">
        <v>1300</v>
      </c>
      <c r="E810" s="237">
        <v>95</v>
      </c>
      <c r="F810" s="112"/>
      <c r="G810" s="255"/>
      <c r="H810" s="255"/>
      <c r="I810" s="255"/>
      <c r="J810" s="255"/>
      <c r="K810" s="255"/>
      <c r="L810" s="112">
        <f t="shared" si="12"/>
        <v>30000</v>
      </c>
      <c r="M810" s="112">
        <v>50000</v>
      </c>
      <c r="N810" s="112"/>
      <c r="O810" s="112"/>
      <c r="P810" s="112" t="s">
        <v>8663</v>
      </c>
      <c r="Q810" s="112" t="s">
        <v>1334</v>
      </c>
      <c r="R810" s="112">
        <v>100</v>
      </c>
      <c r="S810" s="112" t="s">
        <v>1299</v>
      </c>
      <c r="T810" s="112">
        <v>480</v>
      </c>
      <c r="U810" s="112">
        <v>0.03</v>
      </c>
      <c r="V810" s="112"/>
      <c r="W810" s="112" t="b">
        <v>0</v>
      </c>
      <c r="X810" s="112"/>
      <c r="Y810" s="112"/>
    </row>
    <row r="811" spans="2:25" hidden="1" outlineLevel="2">
      <c r="B811" s="2" t="s">
        <v>1294</v>
      </c>
      <c r="D811" s="111" t="s">
        <v>1300</v>
      </c>
      <c r="E811" s="237">
        <v>96</v>
      </c>
      <c r="F811" s="112"/>
      <c r="G811" s="255"/>
      <c r="H811" s="255"/>
      <c r="I811" s="255"/>
      <c r="J811" s="255"/>
      <c r="K811" s="255"/>
      <c r="L811" s="112">
        <f t="shared" si="12"/>
        <v>50000</v>
      </c>
      <c r="M811" s="112">
        <v>100000</v>
      </c>
      <c r="N811" s="112"/>
      <c r="O811" s="112"/>
      <c r="P811" s="112" t="s">
        <v>8663</v>
      </c>
      <c r="Q811" s="112" t="s">
        <v>1334</v>
      </c>
      <c r="R811" s="112">
        <v>100</v>
      </c>
      <c r="S811" s="112" t="s">
        <v>1299</v>
      </c>
      <c r="T811" s="112">
        <v>1080</v>
      </c>
      <c r="U811" s="112">
        <v>3.5000000000000003E-2</v>
      </c>
      <c r="V811" s="112"/>
      <c r="W811" s="112" t="b">
        <v>0</v>
      </c>
      <c r="X811" s="112"/>
      <c r="Y811" s="112"/>
    </row>
    <row r="812" spans="2:25" hidden="1" outlineLevel="2">
      <c r="B812" s="2" t="s">
        <v>1294</v>
      </c>
      <c r="D812" s="111" t="s">
        <v>1300</v>
      </c>
      <c r="E812" s="237">
        <v>97</v>
      </c>
      <c r="F812" s="112"/>
      <c r="G812" s="255"/>
      <c r="H812" s="255"/>
      <c r="I812" s="255"/>
      <c r="J812" s="255"/>
      <c r="K812" s="255"/>
      <c r="L812" s="112">
        <f t="shared" si="12"/>
        <v>100000</v>
      </c>
      <c r="M812" s="112">
        <v>200000</v>
      </c>
      <c r="N812" s="112"/>
      <c r="O812" s="112"/>
      <c r="P812" s="112" t="s">
        <v>8663</v>
      </c>
      <c r="Q812" s="112" t="s">
        <v>1334</v>
      </c>
      <c r="R812" s="112">
        <v>100</v>
      </c>
      <c r="S812" s="112" t="s">
        <v>1299</v>
      </c>
      <c r="T812" s="112">
        <v>2830</v>
      </c>
      <c r="U812" s="112">
        <v>0.04</v>
      </c>
      <c r="V812" s="112"/>
      <c r="W812" s="112" t="b">
        <v>0</v>
      </c>
      <c r="X812" s="112"/>
      <c r="Y812" s="112"/>
    </row>
    <row r="813" spans="2:25" hidden="1" outlineLevel="2">
      <c r="B813" s="2" t="s">
        <v>1294</v>
      </c>
      <c r="D813" s="111" t="s">
        <v>1300</v>
      </c>
      <c r="E813" s="237">
        <v>98</v>
      </c>
      <c r="F813" s="112"/>
      <c r="G813" s="255"/>
      <c r="H813" s="255"/>
      <c r="I813" s="255"/>
      <c r="J813" s="255"/>
      <c r="K813" s="255"/>
      <c r="L813" s="112">
        <f t="shared" si="12"/>
        <v>200000</v>
      </c>
      <c r="M813" s="112">
        <v>250000</v>
      </c>
      <c r="N813" s="112"/>
      <c r="O813" s="112"/>
      <c r="P813" s="112" t="s">
        <v>8663</v>
      </c>
      <c r="Q813" s="112" t="s">
        <v>1334</v>
      </c>
      <c r="R813" s="112">
        <v>100</v>
      </c>
      <c r="S813" s="112" t="s">
        <v>1299</v>
      </c>
      <c r="T813" s="112">
        <v>6830</v>
      </c>
      <c r="U813" s="112">
        <v>4.2500000000000003E-2</v>
      </c>
      <c r="V813" s="112"/>
      <c r="W813" s="112" t="b">
        <v>0</v>
      </c>
      <c r="X813" s="112"/>
      <c r="Y813" s="112"/>
    </row>
    <row r="814" spans="2:25" hidden="1" outlineLevel="2">
      <c r="B814" s="2" t="s">
        <v>1294</v>
      </c>
      <c r="D814" s="111" t="s">
        <v>1300</v>
      </c>
      <c r="E814" s="237">
        <v>99</v>
      </c>
      <c r="F814" s="112"/>
      <c r="G814" s="255"/>
      <c r="H814" s="255"/>
      <c r="I814" s="255"/>
      <c r="J814" s="255"/>
      <c r="K814" s="255"/>
      <c r="L814" s="112">
        <f t="shared" si="12"/>
        <v>250000</v>
      </c>
      <c r="M814" s="112">
        <v>300000</v>
      </c>
      <c r="N814" s="112"/>
      <c r="O814" s="112"/>
      <c r="P814" s="112" t="s">
        <v>8663</v>
      </c>
      <c r="Q814" s="112" t="s">
        <v>1334</v>
      </c>
      <c r="R814" s="112">
        <v>100</v>
      </c>
      <c r="S814" s="112" t="s">
        <v>1299</v>
      </c>
      <c r="T814" s="112">
        <v>8955</v>
      </c>
      <c r="U814" s="112">
        <v>4.7500000000000001E-2</v>
      </c>
      <c r="V814" s="112"/>
      <c r="W814" s="112" t="b">
        <v>0</v>
      </c>
      <c r="X814" s="112"/>
      <c r="Y814" s="112"/>
    </row>
    <row r="815" spans="2:25" hidden="1" outlineLevel="2">
      <c r="B815" s="2" t="s">
        <v>1294</v>
      </c>
      <c r="D815" s="111" t="s">
        <v>1300</v>
      </c>
      <c r="E815" s="237">
        <v>100</v>
      </c>
      <c r="F815" s="112"/>
      <c r="G815" s="255"/>
      <c r="H815" s="255"/>
      <c r="I815" s="255"/>
      <c r="J815" s="255"/>
      <c r="K815" s="255"/>
      <c r="L815" s="112">
        <f>M814</f>
        <v>300000</v>
      </c>
      <c r="M815" s="112">
        <v>500000</v>
      </c>
      <c r="N815" s="112"/>
      <c r="O815" s="112"/>
      <c r="P815" s="112" t="s">
        <v>8663</v>
      </c>
      <c r="Q815" s="112" t="s">
        <v>1334</v>
      </c>
      <c r="R815" s="112">
        <v>100</v>
      </c>
      <c r="S815" s="112" t="s">
        <v>1299</v>
      </c>
      <c r="T815" s="112">
        <v>11330</v>
      </c>
      <c r="U815" s="112">
        <v>0.05</v>
      </c>
      <c r="V815" s="112"/>
      <c r="W815" s="112" t="b">
        <v>0</v>
      </c>
      <c r="X815" s="112"/>
      <c r="Y815" s="112"/>
    </row>
    <row r="816" spans="2:25" hidden="1" outlineLevel="2">
      <c r="B816" s="2" t="s">
        <v>1294</v>
      </c>
      <c r="D816" s="111" t="s">
        <v>1300</v>
      </c>
      <c r="E816" s="237">
        <v>101</v>
      </c>
      <c r="F816" s="112"/>
      <c r="G816" s="255"/>
      <c r="H816" s="255"/>
      <c r="I816" s="255"/>
      <c r="J816" s="255"/>
      <c r="K816" s="255"/>
      <c r="L816" s="112">
        <f t="shared" si="12"/>
        <v>500000</v>
      </c>
      <c r="M816" s="112">
        <v>99999999</v>
      </c>
      <c r="N816" s="112"/>
      <c r="O816" s="112"/>
      <c r="P816" s="112" t="s">
        <v>8663</v>
      </c>
      <c r="Q816" s="112" t="s">
        <v>1334</v>
      </c>
      <c r="R816" s="112">
        <v>100</v>
      </c>
      <c r="S816" s="112" t="s">
        <v>1299</v>
      </c>
      <c r="T816" s="112">
        <v>21330</v>
      </c>
      <c r="U816" s="112">
        <v>5.5E-2</v>
      </c>
      <c r="V816" s="112"/>
      <c r="W816" s="112" t="b">
        <v>0</v>
      </c>
      <c r="X816" s="112"/>
      <c r="Y816" s="112"/>
    </row>
    <row r="817" spans="2:40" hidden="1" outlineLevel="2">
      <c r="B817" s="2" t="s">
        <v>1294</v>
      </c>
      <c r="D817" s="113" t="s">
        <v>1301</v>
      </c>
      <c r="E817" s="237">
        <v>102</v>
      </c>
      <c r="F817" s="114" t="b">
        <v>0</v>
      </c>
      <c r="G817" s="114" t="b">
        <v>0</v>
      </c>
      <c r="H817" s="257" t="b">
        <v>1</v>
      </c>
      <c r="I817" s="257" t="b">
        <v>1</v>
      </c>
      <c r="J817" s="257" t="b">
        <v>0</v>
      </c>
      <c r="K817" s="257"/>
      <c r="L817" s="114"/>
      <c r="M817" s="114"/>
      <c r="N817" s="114">
        <v>0</v>
      </c>
      <c r="O817" s="1340">
        <v>750000</v>
      </c>
      <c r="P817" s="114" t="s">
        <v>1345</v>
      </c>
      <c r="Q817" s="114" t="s">
        <v>1329</v>
      </c>
      <c r="R817" s="114"/>
      <c r="S817" s="114"/>
      <c r="T817" s="1340">
        <v>0</v>
      </c>
      <c r="U817" s="114">
        <v>0</v>
      </c>
      <c r="V817" s="114" t="s">
        <v>1330</v>
      </c>
      <c r="W817" s="114" t="b">
        <v>0</v>
      </c>
      <c r="X817" s="114" t="s">
        <v>1331</v>
      </c>
      <c r="Y817" s="114"/>
    </row>
    <row r="818" spans="2:40" hidden="1" outlineLevel="2">
      <c r="B818" s="2" t="s">
        <v>1294</v>
      </c>
      <c r="D818" s="113" t="s">
        <v>1301</v>
      </c>
      <c r="E818" s="237">
        <v>109</v>
      </c>
      <c r="F818" s="114" t="b">
        <v>0</v>
      </c>
      <c r="G818" s="114" t="b">
        <v>0</v>
      </c>
      <c r="H818" s="257" t="b">
        <v>1</v>
      </c>
      <c r="I818" s="257" t="b">
        <v>1</v>
      </c>
      <c r="J818" s="257" t="b">
        <v>0</v>
      </c>
      <c r="K818" s="257"/>
      <c r="L818" s="114"/>
      <c r="M818" s="114"/>
      <c r="N818" s="1340">
        <v>750000</v>
      </c>
      <c r="O818" s="114">
        <v>99999999</v>
      </c>
      <c r="P818" s="114" t="s">
        <v>1345</v>
      </c>
      <c r="Q818" s="114" t="s">
        <v>1329</v>
      </c>
      <c r="R818" s="114">
        <v>100</v>
      </c>
      <c r="S818" s="114" t="s">
        <v>1299</v>
      </c>
      <c r="T818" s="1340">
        <v>28935</v>
      </c>
      <c r="U818" s="114">
        <v>4.4999999999999998E-2</v>
      </c>
      <c r="V818" s="114"/>
      <c r="W818" s="114" t="b">
        <v>0</v>
      </c>
      <c r="X818" s="114"/>
      <c r="Y818" s="114"/>
      <c r="AN818" s="347"/>
    </row>
    <row r="819" spans="2:40" hidden="1" outlineLevel="2">
      <c r="B819" s="2" t="s">
        <v>1294</v>
      </c>
      <c r="D819" s="113" t="s">
        <v>1301</v>
      </c>
      <c r="E819" s="237">
        <v>110</v>
      </c>
      <c r="F819" s="114"/>
      <c r="G819" s="257"/>
      <c r="H819" s="257"/>
      <c r="I819" s="257"/>
      <c r="J819" s="257"/>
      <c r="K819" s="257"/>
      <c r="L819" s="114"/>
      <c r="M819" s="114"/>
      <c r="N819" s="114">
        <v>0</v>
      </c>
      <c r="O819" s="114">
        <v>3000</v>
      </c>
      <c r="P819" s="114" t="s">
        <v>1346</v>
      </c>
      <c r="Q819" s="114" t="s">
        <v>1329</v>
      </c>
      <c r="R819" s="114"/>
      <c r="S819" s="114"/>
      <c r="T819" s="114">
        <v>50</v>
      </c>
      <c r="U819" s="114">
        <v>0</v>
      </c>
      <c r="V819" s="114"/>
      <c r="W819" s="114" t="b">
        <v>0</v>
      </c>
      <c r="X819" s="114"/>
      <c r="Y819" s="114"/>
      <c r="Z819" s="538"/>
      <c r="AN819" s="347"/>
    </row>
    <row r="820" spans="2:40" hidden="1" outlineLevel="2">
      <c r="B820" s="2" t="s">
        <v>1294</v>
      </c>
      <c r="D820" s="113" t="s">
        <v>1301</v>
      </c>
      <c r="E820" s="237">
        <v>111</v>
      </c>
      <c r="F820" s="114"/>
      <c r="G820" s="257"/>
      <c r="H820" s="257"/>
      <c r="I820" s="257"/>
      <c r="J820" s="257"/>
      <c r="K820" s="257"/>
      <c r="L820" s="114"/>
      <c r="M820" s="114"/>
      <c r="N820" s="114">
        <f t="shared" ref="N820:N825" si="13">O819</f>
        <v>3000</v>
      </c>
      <c r="O820" s="114">
        <v>25000</v>
      </c>
      <c r="P820" s="114" t="s">
        <v>1346</v>
      </c>
      <c r="Q820" s="114" t="s">
        <v>1329</v>
      </c>
      <c r="R820" s="114">
        <v>100</v>
      </c>
      <c r="S820" s="114" t="s">
        <v>1299</v>
      </c>
      <c r="T820" s="114">
        <v>50</v>
      </c>
      <c r="U820" s="114">
        <v>1.7500000000000002E-2</v>
      </c>
      <c r="V820" s="114"/>
      <c r="W820" s="114" t="b">
        <v>0</v>
      </c>
      <c r="X820" s="114"/>
      <c r="Y820" s="114"/>
      <c r="Z820" s="538"/>
      <c r="AI820" s="539"/>
      <c r="AN820" s="347"/>
    </row>
    <row r="821" spans="2:40" hidden="1" outlineLevel="2">
      <c r="B821" s="2" t="s">
        <v>1294</v>
      </c>
      <c r="D821" s="113" t="s">
        <v>1301</v>
      </c>
      <c r="E821" s="237">
        <v>112</v>
      </c>
      <c r="F821" s="114"/>
      <c r="G821" s="257"/>
      <c r="H821" s="257"/>
      <c r="I821" s="257"/>
      <c r="J821" s="257"/>
      <c r="K821" s="257"/>
      <c r="L821" s="114"/>
      <c r="M821" s="114"/>
      <c r="N821" s="114">
        <f t="shared" si="13"/>
        <v>25000</v>
      </c>
      <c r="O821" s="114">
        <v>75000</v>
      </c>
      <c r="P821" s="114" t="s">
        <v>1346</v>
      </c>
      <c r="Q821" s="114" t="s">
        <v>1329</v>
      </c>
      <c r="R821" s="114">
        <v>100</v>
      </c>
      <c r="S821" s="114" t="s">
        <v>1299</v>
      </c>
      <c r="T821" s="114">
        <v>435</v>
      </c>
      <c r="U821" s="114">
        <v>2.2499999999999999E-2</v>
      </c>
      <c r="V821" s="114"/>
      <c r="W821" s="114" t="b">
        <v>0</v>
      </c>
      <c r="X821" s="114"/>
      <c r="Y821" s="114"/>
      <c r="Z821" s="538"/>
      <c r="AN821" s="347"/>
    </row>
    <row r="822" spans="2:40" hidden="1" outlineLevel="2">
      <c r="B822" s="2" t="s">
        <v>1294</v>
      </c>
      <c r="D822" s="113" t="s">
        <v>1301</v>
      </c>
      <c r="E822" s="237">
        <v>113</v>
      </c>
      <c r="F822" s="114"/>
      <c r="G822" s="257"/>
      <c r="H822" s="257"/>
      <c r="I822" s="257"/>
      <c r="J822" s="257"/>
      <c r="K822" s="257"/>
      <c r="L822" s="114"/>
      <c r="M822" s="114"/>
      <c r="N822" s="114">
        <f t="shared" si="13"/>
        <v>75000</v>
      </c>
      <c r="O822" s="114">
        <v>200000</v>
      </c>
      <c r="P822" s="114" t="s">
        <v>1346</v>
      </c>
      <c r="Q822" s="114" t="s">
        <v>1329</v>
      </c>
      <c r="R822" s="114">
        <v>100</v>
      </c>
      <c r="S822" s="114" t="s">
        <v>1299</v>
      </c>
      <c r="T822" s="114">
        <v>1560</v>
      </c>
      <c r="U822" s="114">
        <v>3.5000000000000003E-2</v>
      </c>
      <c r="V822" s="114"/>
      <c r="W822" s="114" t="b">
        <v>0</v>
      </c>
      <c r="X822" s="114"/>
      <c r="Y822" s="114"/>
      <c r="Z822" s="538"/>
      <c r="AN822" s="347"/>
    </row>
    <row r="823" spans="2:40" hidden="1" outlineLevel="2">
      <c r="B823" s="2" t="s">
        <v>1294</v>
      </c>
      <c r="D823" s="113" t="s">
        <v>1301</v>
      </c>
      <c r="E823" s="237">
        <v>114</v>
      </c>
      <c r="F823" s="114"/>
      <c r="G823" s="257"/>
      <c r="H823" s="257"/>
      <c r="I823" s="257"/>
      <c r="J823" s="257"/>
      <c r="K823" s="257"/>
      <c r="L823" s="114"/>
      <c r="M823" s="114"/>
      <c r="N823" s="114">
        <f t="shared" si="13"/>
        <v>200000</v>
      </c>
      <c r="O823" s="114">
        <v>375000</v>
      </c>
      <c r="P823" s="114" t="s">
        <v>1346</v>
      </c>
      <c r="Q823" s="114" t="s">
        <v>1329</v>
      </c>
      <c r="R823" s="114">
        <v>100</v>
      </c>
      <c r="S823" s="114" t="s">
        <v>1299</v>
      </c>
      <c r="T823" s="114">
        <v>5935</v>
      </c>
      <c r="U823" s="114">
        <v>0.04</v>
      </c>
      <c r="V823" s="114"/>
      <c r="W823" s="114" t="b">
        <v>0</v>
      </c>
      <c r="X823" s="114"/>
      <c r="Y823" s="114"/>
      <c r="Z823" s="538"/>
      <c r="AN823" s="347"/>
    </row>
    <row r="824" spans="2:40" hidden="1" outlineLevel="2">
      <c r="B824" s="2" t="s">
        <v>1294</v>
      </c>
      <c r="D824" s="113" t="s">
        <v>1301</v>
      </c>
      <c r="E824" s="237">
        <v>115</v>
      </c>
      <c r="F824" s="114"/>
      <c r="G824" s="257"/>
      <c r="H824" s="257"/>
      <c r="I824" s="257"/>
      <c r="J824" s="257"/>
      <c r="K824" s="257"/>
      <c r="L824" s="114"/>
      <c r="M824" s="114"/>
      <c r="N824" s="114">
        <f t="shared" si="13"/>
        <v>375000</v>
      </c>
      <c r="O824" s="114">
        <v>725000</v>
      </c>
      <c r="P824" s="114" t="s">
        <v>1346</v>
      </c>
      <c r="Q824" s="114" t="s">
        <v>1329</v>
      </c>
      <c r="R824" s="114">
        <v>100</v>
      </c>
      <c r="S824" s="114" t="s">
        <v>1299</v>
      </c>
      <c r="T824" s="114">
        <v>12935</v>
      </c>
      <c r="U824" s="114">
        <v>4.2500000000000003E-2</v>
      </c>
      <c r="V824" s="114"/>
      <c r="W824" s="114" t="b">
        <v>0</v>
      </c>
      <c r="X824" s="114"/>
      <c r="Y824" s="114"/>
      <c r="Z824" s="538"/>
      <c r="AN824" s="347"/>
    </row>
    <row r="825" spans="2:40" hidden="1" outlineLevel="2">
      <c r="B825" s="2" t="s">
        <v>1294</v>
      </c>
      <c r="D825" s="113" t="s">
        <v>1301</v>
      </c>
      <c r="E825" s="237">
        <v>116</v>
      </c>
      <c r="F825" s="114"/>
      <c r="G825" s="257"/>
      <c r="H825" s="257"/>
      <c r="I825" s="257"/>
      <c r="J825" s="257"/>
      <c r="K825" s="257"/>
      <c r="L825" s="114"/>
      <c r="M825" s="114"/>
      <c r="N825" s="114">
        <f t="shared" si="13"/>
        <v>725000</v>
      </c>
      <c r="O825" s="114">
        <v>99999999</v>
      </c>
      <c r="P825" s="114" t="s">
        <v>1346</v>
      </c>
      <c r="Q825" s="114" t="s">
        <v>1329</v>
      </c>
      <c r="R825" s="114">
        <v>100</v>
      </c>
      <c r="S825" s="114" t="s">
        <v>1299</v>
      </c>
      <c r="T825" s="114">
        <v>27810</v>
      </c>
      <c r="U825" s="114">
        <v>4.4999999999999998E-2</v>
      </c>
      <c r="V825" s="114"/>
      <c r="W825" s="114" t="b">
        <v>0</v>
      </c>
      <c r="X825" s="114"/>
      <c r="Y825" s="114"/>
      <c r="AA825" s="2">
        <f>750000-N825</f>
        <v>25000</v>
      </c>
      <c r="AB825" s="2">
        <f>AA825*U825</f>
        <v>1125</v>
      </c>
      <c r="AC825" s="2">
        <f>AB825+T825</f>
        <v>28935</v>
      </c>
      <c r="AN825" s="347"/>
    </row>
    <row r="826" spans="2:40" hidden="1" outlineLevel="2">
      <c r="B826" s="2" t="s">
        <v>1294</v>
      </c>
      <c r="D826" s="111" t="s">
        <v>1302</v>
      </c>
      <c r="E826" s="237">
        <v>117</v>
      </c>
      <c r="F826" s="112" t="b">
        <v>0</v>
      </c>
      <c r="G826" s="255" t="b">
        <v>0</v>
      </c>
      <c r="H826" s="255" t="b">
        <v>0</v>
      </c>
      <c r="I826" s="255"/>
      <c r="J826" s="255"/>
      <c r="K826" s="255"/>
      <c r="L826" s="112">
        <v>0</v>
      </c>
      <c r="M826" s="112">
        <v>25000</v>
      </c>
      <c r="N826" s="112"/>
      <c r="O826" s="112"/>
      <c r="P826" s="112" t="s">
        <v>1347</v>
      </c>
      <c r="Q826" s="112" t="s">
        <v>1334</v>
      </c>
      <c r="R826" s="112"/>
      <c r="S826" s="112"/>
      <c r="T826" s="112">
        <v>0</v>
      </c>
      <c r="U826" s="112">
        <v>1.4E-2</v>
      </c>
      <c r="V826" s="112"/>
      <c r="W826" s="112" t="b">
        <v>0</v>
      </c>
      <c r="X826" s="112"/>
      <c r="Y826" s="112"/>
      <c r="AN826" s="347"/>
    </row>
    <row r="827" spans="2:40" hidden="1" outlineLevel="2">
      <c r="B827" s="2" t="s">
        <v>1294</v>
      </c>
      <c r="D827" s="111" t="s">
        <v>1302</v>
      </c>
      <c r="E827" s="237">
        <v>118</v>
      </c>
      <c r="F827" s="112" t="b">
        <v>0</v>
      </c>
      <c r="G827" s="255" t="b">
        <v>0</v>
      </c>
      <c r="H827" s="255" t="b">
        <v>0</v>
      </c>
      <c r="I827" s="255"/>
      <c r="J827" s="255"/>
      <c r="K827" s="255"/>
      <c r="L827" s="112">
        <f>M826</f>
        <v>25000</v>
      </c>
      <c r="M827" s="112">
        <v>130000</v>
      </c>
      <c r="N827" s="112"/>
      <c r="O827" s="112"/>
      <c r="P827" s="112" t="s">
        <v>1347</v>
      </c>
      <c r="Q827" s="112" t="s">
        <v>1334</v>
      </c>
      <c r="R827" s="112"/>
      <c r="S827" s="112"/>
      <c r="T827" s="112">
        <v>350</v>
      </c>
      <c r="U827" s="112">
        <v>2.4E-2</v>
      </c>
      <c r="V827" s="112"/>
      <c r="W827" s="112" t="b">
        <v>0</v>
      </c>
      <c r="X827" s="112"/>
      <c r="Y827" s="112"/>
      <c r="AN827" s="347"/>
    </row>
    <row r="828" spans="2:40" hidden="1" outlineLevel="2">
      <c r="B828" s="2" t="s">
        <v>1294</v>
      </c>
      <c r="D828" s="111" t="s">
        <v>1302</v>
      </c>
      <c r="E828" s="237">
        <v>119</v>
      </c>
      <c r="F828" s="112" t="b">
        <v>0</v>
      </c>
      <c r="G828" s="255" t="b">
        <v>0</v>
      </c>
      <c r="H828" s="255" t="b">
        <v>0</v>
      </c>
      <c r="I828" s="255"/>
      <c r="J828" s="255"/>
      <c r="K828" s="255"/>
      <c r="L828" s="112">
        <f>M827</f>
        <v>130000</v>
      </c>
      <c r="M828" s="112">
        <v>440000</v>
      </c>
      <c r="N828" s="112"/>
      <c r="O828" s="112"/>
      <c r="P828" s="112" t="s">
        <v>1347</v>
      </c>
      <c r="Q828" s="112" t="s">
        <v>1334</v>
      </c>
      <c r="R828" s="112"/>
      <c r="S828" s="112"/>
      <c r="T828" s="112">
        <v>2870</v>
      </c>
      <c r="U828" s="112">
        <v>0.05</v>
      </c>
      <c r="V828" s="112" t="s">
        <v>1348</v>
      </c>
      <c r="W828" s="112" t="b">
        <v>0</v>
      </c>
      <c r="X828" s="112" t="s">
        <v>1340</v>
      </c>
      <c r="Y828" s="112"/>
      <c r="AN828" s="347"/>
    </row>
    <row r="829" spans="2:40" hidden="1" outlineLevel="2">
      <c r="B829" s="2" t="s">
        <v>1294</v>
      </c>
      <c r="D829" s="111" t="s">
        <v>1302</v>
      </c>
      <c r="E829" s="237">
        <v>120</v>
      </c>
      <c r="F829" s="112" t="b">
        <v>0</v>
      </c>
      <c r="G829" s="255" t="b">
        <v>0</v>
      </c>
      <c r="H829" s="255" t="b">
        <v>0</v>
      </c>
      <c r="I829" s="255"/>
      <c r="J829" s="255"/>
      <c r="K829" s="255"/>
      <c r="L829" s="112">
        <f>M828</f>
        <v>440000</v>
      </c>
      <c r="M829" s="112">
        <v>550000</v>
      </c>
      <c r="N829" s="112"/>
      <c r="O829" s="112"/>
      <c r="P829" s="112" t="s">
        <v>1347</v>
      </c>
      <c r="Q829" s="112" t="s">
        <v>1334</v>
      </c>
      <c r="R829" s="112"/>
      <c r="S829" s="112"/>
      <c r="T829" s="112">
        <v>18370</v>
      </c>
      <c r="U829" s="112">
        <v>0.06</v>
      </c>
      <c r="V829" s="112" t="s">
        <v>1348</v>
      </c>
      <c r="W829" s="112" t="b">
        <v>0</v>
      </c>
      <c r="X829" s="112" t="s">
        <v>1340</v>
      </c>
      <c r="Y829" s="112"/>
      <c r="AN829" s="347"/>
    </row>
    <row r="830" spans="2:40" hidden="1" outlineLevel="2">
      <c r="B830" s="2" t="s">
        <v>1294</v>
      </c>
      <c r="D830" s="111" t="s">
        <v>1302</v>
      </c>
      <c r="E830" s="237">
        <v>121</v>
      </c>
      <c r="F830" s="112" t="b">
        <v>0</v>
      </c>
      <c r="G830" s="255" t="b">
        <v>0</v>
      </c>
      <c r="H830" s="255" t="b">
        <v>0</v>
      </c>
      <c r="I830" s="255"/>
      <c r="J830" s="255"/>
      <c r="K830" s="255"/>
      <c r="L830" s="112">
        <v>550000</v>
      </c>
      <c r="M830" s="112">
        <v>960000</v>
      </c>
      <c r="N830" s="112">
        <f>M829</f>
        <v>550000</v>
      </c>
      <c r="O830" s="112">
        <v>960000</v>
      </c>
      <c r="P830" s="112" t="s">
        <v>1347</v>
      </c>
      <c r="Q830" s="112" t="s">
        <v>1329</v>
      </c>
      <c r="R830" s="112"/>
      <c r="S830" s="112"/>
      <c r="T830" s="112">
        <v>28070</v>
      </c>
      <c r="U830" s="112">
        <v>0.06</v>
      </c>
      <c r="V830" s="112"/>
      <c r="W830" s="112" t="b">
        <v>0</v>
      </c>
      <c r="X830" s="112"/>
      <c r="Y830" s="112"/>
      <c r="AH830" s="78"/>
      <c r="AN830" s="347"/>
    </row>
    <row r="831" spans="2:40" hidden="1" outlineLevel="2">
      <c r="B831" s="2" t="s">
        <v>1294</v>
      </c>
      <c r="D831" s="111" t="s">
        <v>1302</v>
      </c>
      <c r="E831" s="237">
        <v>122</v>
      </c>
      <c r="F831" s="112" t="b">
        <v>0</v>
      </c>
      <c r="G831" s="255" t="b">
        <v>0</v>
      </c>
      <c r="H831" s="255" t="b">
        <v>0</v>
      </c>
      <c r="I831" s="255"/>
      <c r="J831" s="255"/>
      <c r="K831" s="255"/>
      <c r="L831" s="112">
        <v>960000</v>
      </c>
      <c r="M831" s="112">
        <v>2000000</v>
      </c>
      <c r="N831" s="112">
        <f>O830</f>
        <v>960000</v>
      </c>
      <c r="O831" s="112">
        <v>2000000</v>
      </c>
      <c r="P831" s="112" t="s">
        <v>1347</v>
      </c>
      <c r="Q831" s="112" t="s">
        <v>1329</v>
      </c>
      <c r="R831" s="112"/>
      <c r="S831" s="112"/>
      <c r="T831" s="112">
        <v>52800</v>
      </c>
      <c r="U831" s="112">
        <v>5.5E-2</v>
      </c>
      <c r="V831" s="112"/>
      <c r="W831" s="112" t="b">
        <v>0</v>
      </c>
      <c r="X831" s="112"/>
      <c r="Y831" s="112"/>
      <c r="AH831" s="538"/>
      <c r="AN831" s="347"/>
    </row>
    <row r="832" spans="2:40" hidden="1" outlineLevel="2">
      <c r="B832" s="2" t="s">
        <v>1294</v>
      </c>
      <c r="D832" s="111" t="s">
        <v>1302</v>
      </c>
      <c r="E832" s="237">
        <v>123</v>
      </c>
      <c r="F832" s="112" t="b">
        <v>0</v>
      </c>
      <c r="G832" s="255" t="b">
        <v>0</v>
      </c>
      <c r="H832" s="255" t="b">
        <v>0</v>
      </c>
      <c r="I832" s="255"/>
      <c r="J832" s="255"/>
      <c r="K832" s="255"/>
      <c r="L832" s="112">
        <f>M831</f>
        <v>2000000</v>
      </c>
      <c r="M832" s="112">
        <v>99999999</v>
      </c>
      <c r="N832" s="112">
        <f>O831</f>
        <v>2000000</v>
      </c>
      <c r="O832" s="112">
        <v>99999999</v>
      </c>
      <c r="P832" s="112" t="s">
        <v>1347</v>
      </c>
      <c r="Q832" s="112" t="s">
        <v>1329</v>
      </c>
      <c r="R832" s="112"/>
      <c r="S832" s="112"/>
      <c r="T832" s="112">
        <v>110000</v>
      </c>
      <c r="U832" s="112">
        <v>6.5000000000000002E-2</v>
      </c>
      <c r="V832" s="112"/>
      <c r="W832" s="112" t="b">
        <v>0</v>
      </c>
      <c r="X832" s="112"/>
      <c r="Y832" s="112"/>
      <c r="AH832" s="538"/>
      <c r="AN832" s="347"/>
    </row>
    <row r="833" spans="2:40" hidden="1" outlineLevel="2">
      <c r="B833" s="2" t="s">
        <v>1294</v>
      </c>
      <c r="D833" s="111" t="s">
        <v>1302</v>
      </c>
      <c r="E833" s="237">
        <v>132</v>
      </c>
      <c r="F833" s="112" t="b">
        <v>0</v>
      </c>
      <c r="G833" s="255" t="b">
        <v>0</v>
      </c>
      <c r="H833" s="255" t="b">
        <v>1</v>
      </c>
      <c r="I833" s="255"/>
      <c r="J833" s="255"/>
      <c r="K833" s="147"/>
      <c r="L833" s="112">
        <v>0</v>
      </c>
      <c r="M833" s="112">
        <v>600000</v>
      </c>
      <c r="N833" s="112"/>
      <c r="O833" s="112"/>
      <c r="P833" s="112" t="s">
        <v>1349</v>
      </c>
      <c r="Q833" s="112" t="s">
        <v>1334</v>
      </c>
      <c r="R833" s="112"/>
      <c r="S833" s="112"/>
      <c r="T833" s="112">
        <v>0</v>
      </c>
      <c r="U833" s="112">
        <v>0</v>
      </c>
      <c r="V833" s="112" t="s">
        <v>1330</v>
      </c>
      <c r="W833" s="112" t="b">
        <v>0</v>
      </c>
      <c r="X833" s="112" t="s">
        <v>1331</v>
      </c>
      <c r="Y833" s="112"/>
      <c r="AH833" s="539"/>
      <c r="AM833" s="540"/>
      <c r="AN833" s="347"/>
    </row>
    <row r="834" spans="2:40" hidden="1" outlineLevel="2">
      <c r="B834" s="2" t="s">
        <v>1294</v>
      </c>
      <c r="D834" s="111" t="s">
        <v>1302</v>
      </c>
      <c r="E834" s="237">
        <v>133</v>
      </c>
      <c r="F834" s="112" t="b">
        <v>0</v>
      </c>
      <c r="G834" s="255" t="b">
        <v>0</v>
      </c>
      <c r="H834" s="255" t="b">
        <v>1</v>
      </c>
      <c r="I834" s="255"/>
      <c r="J834" s="255"/>
      <c r="K834" s="147"/>
      <c r="L834" s="112">
        <v>600000</v>
      </c>
      <c r="M834" s="112">
        <v>749999.99</v>
      </c>
      <c r="N834" s="112"/>
      <c r="O834" s="112"/>
      <c r="P834" s="112" t="s">
        <v>1349</v>
      </c>
      <c r="Q834" s="112" t="s">
        <v>1334</v>
      </c>
      <c r="R834" s="112"/>
      <c r="S834" s="112"/>
      <c r="T834" s="112">
        <v>31070</v>
      </c>
      <c r="U834" s="112">
        <v>0.06</v>
      </c>
      <c r="V834" s="112" t="s">
        <v>1330</v>
      </c>
      <c r="W834" s="112" t="b">
        <v>0</v>
      </c>
      <c r="X834" s="112" t="s">
        <v>1331</v>
      </c>
      <c r="Y834" s="112" t="s">
        <v>1350</v>
      </c>
      <c r="AN834" s="347"/>
    </row>
    <row r="835" spans="2:40" hidden="1" outlineLevel="2">
      <c r="B835" s="2" t="s">
        <v>1294</v>
      </c>
      <c r="D835" s="111" t="s">
        <v>1302</v>
      </c>
      <c r="E835" s="237">
        <v>134</v>
      </c>
      <c r="F835" s="112" t="b">
        <v>0</v>
      </c>
      <c r="G835" s="255" t="b">
        <v>0</v>
      </c>
      <c r="H835" s="255" t="b">
        <v>1</v>
      </c>
      <c r="I835" s="255"/>
      <c r="J835" s="255"/>
      <c r="K835" s="147"/>
      <c r="L835" s="112">
        <v>750000</v>
      </c>
      <c r="M835" s="112">
        <v>960000</v>
      </c>
      <c r="N835" s="112">
        <v>750000</v>
      </c>
      <c r="O835" s="112">
        <v>960000</v>
      </c>
      <c r="P835" s="112" t="s">
        <v>1349</v>
      </c>
      <c r="Q835" s="112" t="s">
        <v>1329</v>
      </c>
      <c r="R835" s="112"/>
      <c r="S835" s="112"/>
      <c r="T835" s="112">
        <v>40070</v>
      </c>
      <c r="U835" s="112">
        <v>0.06</v>
      </c>
      <c r="V835" s="112"/>
      <c r="W835" s="112" t="b">
        <v>0</v>
      </c>
      <c r="X835" s="112"/>
      <c r="Y835" s="112"/>
    </row>
    <row r="836" spans="2:40" hidden="1" outlineLevel="2">
      <c r="B836" s="2" t="s">
        <v>1294</v>
      </c>
      <c r="D836" s="111" t="s">
        <v>1302</v>
      </c>
      <c r="E836" s="237">
        <v>135</v>
      </c>
      <c r="F836" s="112" t="b">
        <v>0</v>
      </c>
      <c r="G836" s="255" t="b">
        <v>0</v>
      </c>
      <c r="H836" s="255" t="b">
        <v>1</v>
      </c>
      <c r="I836" s="255"/>
      <c r="J836" s="255"/>
      <c r="K836" s="147"/>
      <c r="L836" s="112">
        <v>960000</v>
      </c>
      <c r="M836" s="112">
        <v>2000000</v>
      </c>
      <c r="N836" s="112">
        <f>O835</f>
        <v>960000</v>
      </c>
      <c r="O836" s="112">
        <v>2000000</v>
      </c>
      <c r="P836" s="112" t="s">
        <v>1349</v>
      </c>
      <c r="Q836" s="112" t="s">
        <v>1329</v>
      </c>
      <c r="R836" s="112"/>
      <c r="S836" s="112"/>
      <c r="T836" s="112">
        <v>52800</v>
      </c>
      <c r="U836" s="112">
        <v>5.5E-2</v>
      </c>
      <c r="V836" s="112"/>
      <c r="W836" s="112" t="b">
        <v>0</v>
      </c>
      <c r="X836" s="112"/>
      <c r="Y836" s="112"/>
    </row>
    <row r="837" spans="2:40" hidden="1" outlineLevel="2">
      <c r="B837" s="2" t="s">
        <v>1294</v>
      </c>
      <c r="D837" s="111" t="s">
        <v>1302</v>
      </c>
      <c r="E837" s="237">
        <v>136</v>
      </c>
      <c r="F837" s="112" t="b">
        <v>0</v>
      </c>
      <c r="G837" s="255" t="b">
        <v>0</v>
      </c>
      <c r="H837" s="255" t="b">
        <v>1</v>
      </c>
      <c r="I837" s="255"/>
      <c r="J837" s="255"/>
      <c r="K837" s="255"/>
      <c r="L837" s="112">
        <f>M836</f>
        <v>2000000</v>
      </c>
      <c r="M837" s="112">
        <v>99999999</v>
      </c>
      <c r="N837" s="112">
        <f>O836</f>
        <v>2000000</v>
      </c>
      <c r="O837" s="112">
        <v>99999999</v>
      </c>
      <c r="P837" s="112" t="s">
        <v>1349</v>
      </c>
      <c r="Q837" s="112" t="s">
        <v>1329</v>
      </c>
      <c r="R837" s="112"/>
      <c r="S837" s="112"/>
      <c r="T837" s="112">
        <v>110000</v>
      </c>
      <c r="U837" s="112">
        <v>6.5000000000000002E-2</v>
      </c>
      <c r="V837" s="112"/>
      <c r="W837" s="112" t="b">
        <v>0</v>
      </c>
      <c r="X837" s="112"/>
      <c r="Y837" s="112"/>
    </row>
    <row r="838" spans="2:40" hidden="1" outlineLevel="2">
      <c r="B838" s="2" t="s">
        <v>1294</v>
      </c>
      <c r="D838" s="111" t="s">
        <v>1302</v>
      </c>
      <c r="E838" s="237">
        <v>137</v>
      </c>
      <c r="F838" s="112"/>
      <c r="G838" s="255"/>
      <c r="H838" s="255"/>
      <c r="I838" s="255"/>
      <c r="J838" s="255"/>
      <c r="K838" s="255"/>
      <c r="L838" s="142"/>
      <c r="M838" s="142"/>
      <c r="N838" s="112">
        <v>0</v>
      </c>
      <c r="O838" s="112">
        <v>25000</v>
      </c>
      <c r="P838" s="112" t="s">
        <v>1351</v>
      </c>
      <c r="Q838" s="112" t="s">
        <v>1329</v>
      </c>
      <c r="R838" s="112"/>
      <c r="S838" s="112"/>
      <c r="T838" s="112">
        <v>0</v>
      </c>
      <c r="U838" s="112">
        <v>1.4E-2</v>
      </c>
      <c r="V838" s="112"/>
      <c r="W838" s="112" t="b">
        <v>0</v>
      </c>
      <c r="X838" s="112"/>
      <c r="Y838" s="112"/>
    </row>
    <row r="839" spans="2:40" hidden="1" outlineLevel="2">
      <c r="B839" s="2" t="s">
        <v>1294</v>
      </c>
      <c r="D839" s="111" t="s">
        <v>1302</v>
      </c>
      <c r="E839" s="237">
        <v>138</v>
      </c>
      <c r="F839" s="112"/>
      <c r="G839" s="255"/>
      <c r="H839" s="255"/>
      <c r="I839" s="255"/>
      <c r="J839" s="255"/>
      <c r="K839" s="255"/>
      <c r="L839" s="142"/>
      <c r="M839" s="142"/>
      <c r="N839" s="112">
        <f>O838</f>
        <v>25000</v>
      </c>
      <c r="O839" s="112">
        <v>130000</v>
      </c>
      <c r="P839" s="112" t="s">
        <v>1351</v>
      </c>
      <c r="Q839" s="112" t="s">
        <v>1329</v>
      </c>
      <c r="R839" s="112"/>
      <c r="S839" s="112"/>
      <c r="T839" s="112">
        <v>350</v>
      </c>
      <c r="U839" s="112">
        <v>2.4E-2</v>
      </c>
      <c r="V839" s="112"/>
      <c r="W839" s="112" t="b">
        <v>0</v>
      </c>
      <c r="X839" s="112"/>
      <c r="Y839" s="112"/>
    </row>
    <row r="840" spans="2:40" hidden="1" outlineLevel="2">
      <c r="B840" s="2" t="s">
        <v>1294</v>
      </c>
      <c r="D840" s="111" t="s">
        <v>1302</v>
      </c>
      <c r="E840" s="237">
        <v>139</v>
      </c>
      <c r="F840" s="112"/>
      <c r="G840" s="255"/>
      <c r="H840" s="255"/>
      <c r="I840" s="255"/>
      <c r="J840" s="255"/>
      <c r="K840" s="255"/>
      <c r="L840" s="142"/>
      <c r="M840" s="142"/>
      <c r="N840" s="112">
        <f>O839</f>
        <v>130000</v>
      </c>
      <c r="O840" s="112">
        <v>960000</v>
      </c>
      <c r="P840" s="112" t="s">
        <v>1351</v>
      </c>
      <c r="Q840" s="112" t="s">
        <v>1329</v>
      </c>
      <c r="R840" s="112"/>
      <c r="S840" s="112"/>
      <c r="T840" s="112">
        <v>2870</v>
      </c>
      <c r="U840" s="112">
        <v>0.06</v>
      </c>
      <c r="V840" s="112"/>
      <c r="W840" s="112" t="b">
        <v>0</v>
      </c>
      <c r="X840" s="112"/>
      <c r="Y840" s="112"/>
    </row>
    <row r="841" spans="2:40" hidden="1" outlineLevel="2">
      <c r="B841" s="2" t="s">
        <v>1294</v>
      </c>
      <c r="D841" s="111" t="s">
        <v>1302</v>
      </c>
      <c r="E841" s="237">
        <v>140</v>
      </c>
      <c r="F841" s="112"/>
      <c r="G841" s="255"/>
      <c r="H841" s="255"/>
      <c r="I841" s="255"/>
      <c r="J841" s="255"/>
      <c r="K841" s="255"/>
      <c r="L841" s="142"/>
      <c r="M841" s="142"/>
      <c r="N841" s="112">
        <f>O840</f>
        <v>960000</v>
      </c>
      <c r="O841" s="112">
        <v>2000000</v>
      </c>
      <c r="P841" s="112" t="s">
        <v>1351</v>
      </c>
      <c r="Q841" s="112" t="s">
        <v>1329</v>
      </c>
      <c r="R841" s="112"/>
      <c r="S841" s="112"/>
      <c r="T841" s="112">
        <v>52800</v>
      </c>
      <c r="U841" s="112">
        <v>5.5E-2</v>
      </c>
      <c r="V841" s="112"/>
      <c r="W841" s="112" t="b">
        <v>0</v>
      </c>
      <c r="X841" s="112"/>
      <c r="Y841" s="112"/>
    </row>
    <row r="842" spans="2:40" hidden="1" outlineLevel="2">
      <c r="B842" s="2" t="s">
        <v>1294</v>
      </c>
      <c r="D842" s="111" t="s">
        <v>1302</v>
      </c>
      <c r="E842" s="237">
        <v>141</v>
      </c>
      <c r="F842" s="112"/>
      <c r="G842" s="255"/>
      <c r="H842" s="255"/>
      <c r="I842" s="255"/>
      <c r="J842" s="255"/>
      <c r="K842" s="255"/>
      <c r="L842" s="142"/>
      <c r="M842" s="142"/>
      <c r="N842" s="112">
        <f>O841</f>
        <v>2000000</v>
      </c>
      <c r="O842" s="112">
        <v>99999999</v>
      </c>
      <c r="P842" s="112" t="s">
        <v>1351</v>
      </c>
      <c r="Q842" s="112" t="s">
        <v>1329</v>
      </c>
      <c r="R842" s="112"/>
      <c r="S842" s="112"/>
      <c r="T842" s="112">
        <v>110000</v>
      </c>
      <c r="U842" s="112">
        <v>6.5000000000000002E-2</v>
      </c>
      <c r="V842" s="112"/>
      <c r="W842" s="112" t="b">
        <v>0</v>
      </c>
      <c r="X842" s="112"/>
      <c r="Y842" s="112"/>
    </row>
    <row r="843" spans="2:40" hidden="1" outlineLevel="2">
      <c r="B843" s="2" t="s">
        <v>1294</v>
      </c>
      <c r="D843" s="113" t="s">
        <v>1303</v>
      </c>
      <c r="E843" s="237">
        <v>142</v>
      </c>
      <c r="F843" s="114" t="b">
        <v>0</v>
      </c>
      <c r="G843" s="257" t="b">
        <v>0</v>
      </c>
      <c r="H843" s="257" t="b">
        <v>0</v>
      </c>
      <c r="I843" s="257"/>
      <c r="J843" s="257"/>
      <c r="K843" s="257"/>
      <c r="L843" s="114">
        <v>0</v>
      </c>
      <c r="M843" s="114">
        <v>120000</v>
      </c>
      <c r="N843" s="114"/>
      <c r="O843" s="114"/>
      <c r="P843" s="114" t="s">
        <v>1352</v>
      </c>
      <c r="Q843" s="114" t="s">
        <v>1334</v>
      </c>
      <c r="R843" s="114">
        <v>100</v>
      </c>
      <c r="S843" s="114" t="s">
        <v>1299</v>
      </c>
      <c r="T843" s="114">
        <v>0</v>
      </c>
      <c r="U843" s="114">
        <v>1.4999999999999999E-2</v>
      </c>
      <c r="V843" s="114" t="s">
        <v>1353</v>
      </c>
      <c r="W843" s="114" t="b">
        <v>0</v>
      </c>
      <c r="X843" s="114" t="s">
        <v>1340</v>
      </c>
      <c r="Y843" s="114"/>
    </row>
    <row r="844" spans="2:40" hidden="1" outlineLevel="2">
      <c r="B844" s="2" t="s">
        <v>1294</v>
      </c>
      <c r="D844" s="113" t="s">
        <v>1303</v>
      </c>
      <c r="E844" s="237">
        <v>143</v>
      </c>
      <c r="F844" s="114" t="b">
        <v>0</v>
      </c>
      <c r="G844" s="257" t="b">
        <v>0</v>
      </c>
      <c r="H844" s="257" t="b">
        <v>0</v>
      </c>
      <c r="I844" s="257"/>
      <c r="J844" s="257"/>
      <c r="K844" s="257"/>
      <c r="L844" s="114">
        <f>M843</f>
        <v>120000</v>
      </c>
      <c r="M844" s="114">
        <v>200000</v>
      </c>
      <c r="N844" s="114"/>
      <c r="O844" s="114"/>
      <c r="P844" s="114" t="s">
        <v>1352</v>
      </c>
      <c r="Q844" s="114" t="s">
        <v>1334</v>
      </c>
      <c r="R844" s="114">
        <v>100</v>
      </c>
      <c r="S844" s="114" t="s">
        <v>1299</v>
      </c>
      <c r="T844" s="114">
        <v>1800</v>
      </c>
      <c r="U844" s="114">
        <v>4.0399999999999998E-2</v>
      </c>
      <c r="V844" s="114" t="s">
        <v>1353</v>
      </c>
      <c r="W844" s="114" t="b">
        <v>0</v>
      </c>
      <c r="X844" s="114" t="s">
        <v>1340</v>
      </c>
      <c r="Y844" s="114"/>
    </row>
    <row r="845" spans="2:40" hidden="1" outlineLevel="2">
      <c r="B845" s="2" t="s">
        <v>1294</v>
      </c>
      <c r="D845" s="113" t="s">
        <v>1303</v>
      </c>
      <c r="E845" s="237">
        <v>144</v>
      </c>
      <c r="F845" s="114" t="b">
        <v>0</v>
      </c>
      <c r="G845" s="257" t="b">
        <v>0</v>
      </c>
      <c r="H845" s="257" t="b">
        <v>0</v>
      </c>
      <c r="I845" s="257"/>
      <c r="J845" s="257"/>
      <c r="K845" s="257"/>
      <c r="L845" s="114">
        <f>M844</f>
        <v>200000</v>
      </c>
      <c r="M845" s="114">
        <v>360000</v>
      </c>
      <c r="N845" s="114"/>
      <c r="O845" s="114"/>
      <c r="P845" s="114" t="s">
        <v>1352</v>
      </c>
      <c r="Q845" s="114" t="s">
        <v>1334</v>
      </c>
      <c r="R845" s="114">
        <v>100</v>
      </c>
      <c r="S845" s="114" t="s">
        <v>1299</v>
      </c>
      <c r="T845" s="114">
        <v>5035</v>
      </c>
      <c r="U845" s="114">
        <v>3.7999999999999999E-2</v>
      </c>
      <c r="V845" s="114"/>
      <c r="W845" s="114" t="b">
        <v>0</v>
      </c>
      <c r="X845" s="114"/>
      <c r="Y845" s="114"/>
    </row>
    <row r="846" spans="2:40" hidden="1" outlineLevel="2">
      <c r="B846" s="2" t="s">
        <v>1294</v>
      </c>
      <c r="D846" s="113" t="s">
        <v>1303</v>
      </c>
      <c r="E846" s="237">
        <v>145</v>
      </c>
      <c r="F846" s="114" t="b">
        <v>0</v>
      </c>
      <c r="G846" s="257" t="b">
        <v>0</v>
      </c>
      <c r="H846" s="257" t="b">
        <v>0</v>
      </c>
      <c r="I846" s="257"/>
      <c r="J846" s="257"/>
      <c r="K846" s="257"/>
      <c r="L846" s="114">
        <f>M845</f>
        <v>360000</v>
      </c>
      <c r="M846" s="114">
        <v>725000</v>
      </c>
      <c r="N846" s="114"/>
      <c r="O846" s="114"/>
      <c r="P846" s="114" t="s">
        <v>1352</v>
      </c>
      <c r="Q846" s="114" t="s">
        <v>1334</v>
      </c>
      <c r="R846" s="114">
        <v>100</v>
      </c>
      <c r="S846" s="114" t="s">
        <v>1299</v>
      </c>
      <c r="T846" s="114">
        <v>11115</v>
      </c>
      <c r="U846" s="114">
        <v>4.7500000000000001E-2</v>
      </c>
      <c r="V846" s="114"/>
      <c r="W846" s="114" t="b">
        <v>0</v>
      </c>
      <c r="X846" s="114"/>
      <c r="Y846" s="114"/>
    </row>
    <row r="847" spans="2:40" hidden="1" outlineLevel="2">
      <c r="B847" s="2" t="s">
        <v>1294</v>
      </c>
      <c r="D847" s="113" t="s">
        <v>1303</v>
      </c>
      <c r="E847" s="237">
        <v>146</v>
      </c>
      <c r="F847" s="114" t="b">
        <v>0</v>
      </c>
      <c r="G847" s="257" t="b">
        <v>0</v>
      </c>
      <c r="H847" s="257" t="b">
        <v>0</v>
      </c>
      <c r="I847" s="257"/>
      <c r="J847" s="257"/>
      <c r="K847" s="257"/>
      <c r="L847" s="114">
        <f>M846</f>
        <v>725000</v>
      </c>
      <c r="M847" s="114">
        <v>99999999</v>
      </c>
      <c r="N847" s="114"/>
      <c r="O847" s="114"/>
      <c r="P847" s="114" t="s">
        <v>1352</v>
      </c>
      <c r="Q847" s="114" t="s">
        <v>1334</v>
      </c>
      <c r="R847" s="114">
        <v>100</v>
      </c>
      <c r="S847" s="114" t="s">
        <v>1299</v>
      </c>
      <c r="T847" s="114">
        <v>28453</v>
      </c>
      <c r="U847" s="114">
        <v>5.1500000000000004E-2</v>
      </c>
      <c r="V847" s="114"/>
      <c r="W847" s="114" t="b">
        <v>0</v>
      </c>
      <c r="X847" s="114"/>
      <c r="Y847" s="114"/>
    </row>
    <row r="848" spans="2:40" hidden="1" outlineLevel="2">
      <c r="B848" s="2" t="s">
        <v>1294</v>
      </c>
      <c r="D848" s="113" t="s">
        <v>1303</v>
      </c>
      <c r="E848" s="237">
        <v>147</v>
      </c>
      <c r="F848" s="114" t="b">
        <v>0</v>
      </c>
      <c r="G848" s="257" t="b">
        <v>0</v>
      </c>
      <c r="H848" s="257" t="b">
        <v>1</v>
      </c>
      <c r="I848" s="257"/>
      <c r="J848" s="257" t="b">
        <v>0</v>
      </c>
      <c r="K848" s="257"/>
      <c r="L848" s="114">
        <v>0</v>
      </c>
      <c r="M848" s="1340">
        <v>450000</v>
      </c>
      <c r="N848" s="114"/>
      <c r="O848" s="114"/>
      <c r="P848" s="114" t="s">
        <v>1354</v>
      </c>
      <c r="Q848" s="114" t="s">
        <v>1334</v>
      </c>
      <c r="R848" s="114">
        <v>100</v>
      </c>
      <c r="S848" s="114" t="s">
        <v>1299</v>
      </c>
      <c r="T848" s="114">
        <v>0</v>
      </c>
      <c r="U848" s="114">
        <v>0</v>
      </c>
      <c r="V848" s="114" t="s">
        <v>1330</v>
      </c>
      <c r="W848" s="114" t="b">
        <v>0</v>
      </c>
      <c r="X848" s="114" t="s">
        <v>1331</v>
      </c>
      <c r="Y848" s="114"/>
    </row>
    <row r="849" spans="2:54" hidden="1" outlineLevel="2">
      <c r="B849" s="2" t="s">
        <v>1294</v>
      </c>
      <c r="D849" s="113" t="s">
        <v>1303</v>
      </c>
      <c r="E849" s="237">
        <v>148</v>
      </c>
      <c r="F849" s="114" t="b">
        <v>0</v>
      </c>
      <c r="G849" s="257" t="b">
        <v>0</v>
      </c>
      <c r="H849" s="257" t="b">
        <v>1</v>
      </c>
      <c r="I849" s="257"/>
      <c r="J849" s="257" t="b">
        <v>0</v>
      </c>
      <c r="K849" s="257"/>
      <c r="L849" s="1340">
        <f>M848</f>
        <v>450000</v>
      </c>
      <c r="M849" s="1340">
        <v>600000</v>
      </c>
      <c r="N849" s="114"/>
      <c r="O849" s="114"/>
      <c r="P849" s="114" t="s">
        <v>1354</v>
      </c>
      <c r="Q849" s="114" t="s">
        <v>1334</v>
      </c>
      <c r="R849" s="114">
        <v>100</v>
      </c>
      <c r="S849" s="114" t="s">
        <v>1299</v>
      </c>
      <c r="T849" s="114">
        <v>0</v>
      </c>
      <c r="U849" s="1343">
        <v>0.15010000000000001</v>
      </c>
      <c r="V849" s="114" t="s">
        <v>1330</v>
      </c>
      <c r="W849" s="114" t="b">
        <v>0</v>
      </c>
      <c r="X849" s="114" t="s">
        <v>1331</v>
      </c>
      <c r="Y849" s="114"/>
    </row>
    <row r="850" spans="2:54" hidden="1" outlineLevel="2">
      <c r="B850" s="2" t="s">
        <v>1294</v>
      </c>
      <c r="D850" s="113" t="s">
        <v>1303</v>
      </c>
      <c r="E850" s="237">
        <v>149</v>
      </c>
      <c r="F850" s="114" t="b">
        <v>0</v>
      </c>
      <c r="G850" s="257" t="b">
        <v>0</v>
      </c>
      <c r="H850" s="257" t="b">
        <v>1</v>
      </c>
      <c r="I850" s="257"/>
      <c r="J850" s="257" t="b">
        <v>0</v>
      </c>
      <c r="K850" s="257"/>
      <c r="L850" s="1340">
        <f>M849</f>
        <v>600000</v>
      </c>
      <c r="M850" s="114">
        <v>725000</v>
      </c>
      <c r="N850" s="114"/>
      <c r="O850" s="114"/>
      <c r="P850" s="114" t="s">
        <v>1354</v>
      </c>
      <c r="Q850" s="114" t="s">
        <v>1334</v>
      </c>
      <c r="R850" s="114">
        <v>100</v>
      </c>
      <c r="S850" s="114" t="s">
        <v>1299</v>
      </c>
      <c r="T850" s="1340">
        <v>22515</v>
      </c>
      <c r="U850" s="114">
        <v>4.7500000000000001E-2</v>
      </c>
      <c r="V850" s="114"/>
      <c r="W850" s="114" t="b">
        <v>0</v>
      </c>
      <c r="X850" s="114"/>
      <c r="Y850" s="114"/>
    </row>
    <row r="851" spans="2:54" hidden="1" outlineLevel="2">
      <c r="B851" s="2" t="s">
        <v>1294</v>
      </c>
      <c r="D851" s="113" t="s">
        <v>1303</v>
      </c>
      <c r="E851" s="237">
        <v>150</v>
      </c>
      <c r="F851" s="114" t="b">
        <v>0</v>
      </c>
      <c r="G851" s="257" t="b">
        <v>0</v>
      </c>
      <c r="H851" s="257" t="b">
        <v>1</v>
      </c>
      <c r="I851" s="257"/>
      <c r="J851" s="257" t="b">
        <v>0</v>
      </c>
      <c r="K851" s="257"/>
      <c r="L851" s="114">
        <f>M850</f>
        <v>725000</v>
      </c>
      <c r="M851" s="114">
        <v>99999999</v>
      </c>
      <c r="N851" s="114"/>
      <c r="O851" s="114"/>
      <c r="P851" s="114" t="s">
        <v>1354</v>
      </c>
      <c r="Q851" s="114" t="s">
        <v>1334</v>
      </c>
      <c r="R851" s="114">
        <v>100</v>
      </c>
      <c r="S851" s="114" t="s">
        <v>1299</v>
      </c>
      <c r="T851" s="114">
        <v>28453</v>
      </c>
      <c r="U851" s="114">
        <v>5.1500000000000004E-2</v>
      </c>
      <c r="V851" s="114"/>
      <c r="W851" s="114" t="b">
        <v>0</v>
      </c>
      <c r="X851" s="114"/>
      <c r="Y851" s="114"/>
    </row>
    <row r="852" spans="2:54" hidden="1" outlineLevel="2">
      <c r="B852" s="2" t="s">
        <v>1294</v>
      </c>
      <c r="D852" s="113" t="s">
        <v>1303</v>
      </c>
      <c r="E852" s="237">
        <v>151</v>
      </c>
      <c r="F852" s="114" t="b">
        <v>0</v>
      </c>
      <c r="G852" s="257" t="b">
        <v>0</v>
      </c>
      <c r="H852" s="257" t="b">
        <v>1</v>
      </c>
      <c r="I852" s="257"/>
      <c r="J852" s="257" t="b">
        <v>1</v>
      </c>
      <c r="K852" s="257"/>
      <c r="L852" s="114">
        <v>0</v>
      </c>
      <c r="M852" s="114">
        <v>300000</v>
      </c>
      <c r="N852" s="114"/>
      <c r="O852" s="114"/>
      <c r="P852" s="114" t="s">
        <v>1355</v>
      </c>
      <c r="Q852" s="114" t="s">
        <v>1334</v>
      </c>
      <c r="R852" s="114">
        <v>100</v>
      </c>
      <c r="S852" s="114" t="s">
        <v>1299</v>
      </c>
      <c r="T852" s="114">
        <v>0</v>
      </c>
      <c r="U852" s="114">
        <v>0</v>
      </c>
      <c r="V852" s="114" t="s">
        <v>1330</v>
      </c>
      <c r="W852" s="114" t="b">
        <v>0</v>
      </c>
      <c r="X852" s="114" t="s">
        <v>1331</v>
      </c>
      <c r="Y852" s="114"/>
    </row>
    <row r="853" spans="2:54" hidden="1" outlineLevel="2">
      <c r="B853" s="2" t="s">
        <v>1294</v>
      </c>
      <c r="D853" s="113" t="s">
        <v>1303</v>
      </c>
      <c r="E853" s="237">
        <v>152</v>
      </c>
      <c r="F853" s="114" t="b">
        <v>0</v>
      </c>
      <c r="G853" s="257" t="b">
        <v>0</v>
      </c>
      <c r="H853" s="257" t="b">
        <v>1</v>
      </c>
      <c r="I853" s="257"/>
      <c r="J853" s="257" t="b">
        <v>1</v>
      </c>
      <c r="K853" s="257"/>
      <c r="L853" s="114">
        <f>M852</f>
        <v>300000</v>
      </c>
      <c r="M853" s="114">
        <v>400000</v>
      </c>
      <c r="N853" s="114"/>
      <c r="O853" s="114"/>
      <c r="P853" s="114" t="s">
        <v>1355</v>
      </c>
      <c r="Q853" s="114" t="s">
        <v>1334</v>
      </c>
      <c r="R853" s="114">
        <v>100</v>
      </c>
      <c r="S853" s="114" t="s">
        <v>1299</v>
      </c>
      <c r="T853" s="114">
        <v>0</v>
      </c>
      <c r="U853" s="114">
        <v>0.13009999999999999</v>
      </c>
      <c r="V853" s="114" t="s">
        <v>1330</v>
      </c>
      <c r="W853" s="114" t="b">
        <v>0</v>
      </c>
      <c r="X853" s="114" t="s">
        <v>1331</v>
      </c>
      <c r="Y853" s="114"/>
    </row>
    <row r="854" spans="2:54" hidden="1" outlineLevel="2">
      <c r="B854" s="2" t="s">
        <v>1294</v>
      </c>
      <c r="D854" s="113" t="s">
        <v>1303</v>
      </c>
      <c r="E854" s="237">
        <v>153</v>
      </c>
      <c r="F854" s="114" t="b">
        <v>0</v>
      </c>
      <c r="G854" s="257" t="b">
        <v>0</v>
      </c>
      <c r="H854" s="257" t="b">
        <v>1</v>
      </c>
      <c r="I854" s="257"/>
      <c r="J854" s="257" t="b">
        <v>1</v>
      </c>
      <c r="K854" s="257"/>
      <c r="L854" s="114">
        <f>M853</f>
        <v>400000</v>
      </c>
      <c r="M854" s="114">
        <v>725000</v>
      </c>
      <c r="N854" s="114"/>
      <c r="O854" s="114"/>
      <c r="P854" s="114" t="s">
        <v>1355</v>
      </c>
      <c r="Q854" s="114" t="s">
        <v>1334</v>
      </c>
      <c r="R854" s="114">
        <v>100</v>
      </c>
      <c r="S854" s="114" t="s">
        <v>1299</v>
      </c>
      <c r="T854" s="114">
        <v>13010</v>
      </c>
      <c r="U854" s="114">
        <v>4.7500000000000001E-2</v>
      </c>
      <c r="V854" s="114"/>
      <c r="W854" s="114" t="b">
        <v>0</v>
      </c>
      <c r="X854" s="114"/>
      <c r="Y854" s="114"/>
    </row>
    <row r="855" spans="2:54" hidden="1" outlineLevel="2">
      <c r="B855" s="2" t="s">
        <v>1294</v>
      </c>
      <c r="D855" s="113" t="s">
        <v>1303</v>
      </c>
      <c r="E855" s="237">
        <v>154</v>
      </c>
      <c r="F855" s="114" t="b">
        <v>0</v>
      </c>
      <c r="G855" s="257" t="b">
        <v>0</v>
      </c>
      <c r="H855" s="257" t="b">
        <v>1</v>
      </c>
      <c r="I855" s="257"/>
      <c r="J855" s="257" t="b">
        <v>1</v>
      </c>
      <c r="K855" s="257"/>
      <c r="L855" s="114">
        <f>M854</f>
        <v>725000</v>
      </c>
      <c r="M855" s="114">
        <v>99999999</v>
      </c>
      <c r="N855" s="114"/>
      <c r="O855" s="114"/>
      <c r="P855" s="114" t="s">
        <v>1355</v>
      </c>
      <c r="Q855" s="114" t="s">
        <v>1334</v>
      </c>
      <c r="R855" s="114">
        <v>100</v>
      </c>
      <c r="S855" s="114" t="s">
        <v>1299</v>
      </c>
      <c r="T855" s="114">
        <v>28453</v>
      </c>
      <c r="U855" s="114">
        <v>5.1500000000000004E-2</v>
      </c>
      <c r="V855" s="114"/>
      <c r="W855" s="114" t="b">
        <v>0</v>
      </c>
      <c r="X855" s="114"/>
      <c r="Y855" s="114"/>
    </row>
    <row r="856" spans="2:54" hidden="1" outlineLevel="2">
      <c r="B856" s="2" t="s">
        <v>1294</v>
      </c>
      <c r="D856" s="113" t="s">
        <v>1303</v>
      </c>
      <c r="E856" s="237">
        <v>155</v>
      </c>
      <c r="F856" s="114"/>
      <c r="G856" s="257"/>
      <c r="H856" s="257"/>
      <c r="I856" s="257"/>
      <c r="J856" s="257"/>
      <c r="K856" s="257"/>
      <c r="L856" s="114">
        <v>0</v>
      </c>
      <c r="M856" s="114">
        <v>120000</v>
      </c>
      <c r="N856" s="114"/>
      <c r="O856" s="114"/>
      <c r="P856" s="114" t="s">
        <v>1356</v>
      </c>
      <c r="Q856" s="114" t="s">
        <v>1334</v>
      </c>
      <c r="R856" s="114">
        <v>100</v>
      </c>
      <c r="S856" s="114" t="s">
        <v>1299</v>
      </c>
      <c r="T856" s="114">
        <v>0</v>
      </c>
      <c r="U856" s="114">
        <v>1.9E-2</v>
      </c>
      <c r="V856" s="114"/>
      <c r="W856" s="114" t="b">
        <v>0</v>
      </c>
      <c r="X856" s="114"/>
      <c r="Y856" s="114"/>
    </row>
    <row r="857" spans="2:54" hidden="1" outlineLevel="2">
      <c r="B857" s="2" t="s">
        <v>1294</v>
      </c>
      <c r="D857" s="113" t="s">
        <v>1303</v>
      </c>
      <c r="E857" s="237">
        <v>156</v>
      </c>
      <c r="F857" s="114"/>
      <c r="G857" s="257"/>
      <c r="H857" s="257"/>
      <c r="I857" s="257"/>
      <c r="J857" s="257"/>
      <c r="K857" s="257"/>
      <c r="L857" s="114">
        <f>M856</f>
        <v>120000</v>
      </c>
      <c r="M857" s="114">
        <v>150000</v>
      </c>
      <c r="N857" s="114"/>
      <c r="O857" s="114"/>
      <c r="P857" s="114" t="s">
        <v>1356</v>
      </c>
      <c r="Q857" s="114" t="s">
        <v>1334</v>
      </c>
      <c r="R857" s="114">
        <v>100</v>
      </c>
      <c r="S857" s="114" t="s">
        <v>1299</v>
      </c>
      <c r="T857" s="114">
        <v>2280</v>
      </c>
      <c r="U857" s="114">
        <v>2.8500000000000001E-2</v>
      </c>
      <c r="V857" s="114"/>
      <c r="W857" s="114" t="b">
        <v>0</v>
      </c>
      <c r="X857" s="114"/>
      <c r="Y857" s="114"/>
    </row>
    <row r="858" spans="2:54" hidden="1" outlineLevel="2">
      <c r="B858" s="2" t="s">
        <v>1294</v>
      </c>
      <c r="D858" s="113" t="s">
        <v>1303</v>
      </c>
      <c r="E858" s="237">
        <v>157</v>
      </c>
      <c r="F858" s="114"/>
      <c r="G858" s="257"/>
      <c r="H858" s="257"/>
      <c r="I858" s="257"/>
      <c r="J858" s="257"/>
      <c r="K858" s="257"/>
      <c r="L858" s="114">
        <f>M857</f>
        <v>150000</v>
      </c>
      <c r="M858" s="114">
        <v>360000</v>
      </c>
      <c r="N858" s="114"/>
      <c r="O858" s="114"/>
      <c r="P858" s="114" t="s">
        <v>1356</v>
      </c>
      <c r="Q858" s="114" t="s">
        <v>1334</v>
      </c>
      <c r="R858" s="114">
        <v>100</v>
      </c>
      <c r="S858" s="114" t="s">
        <v>1299</v>
      </c>
      <c r="T858" s="114">
        <v>3135</v>
      </c>
      <c r="U858" s="114">
        <v>3.7999999999999999E-2</v>
      </c>
      <c r="V858" s="114"/>
      <c r="W858" s="114" t="b">
        <v>0</v>
      </c>
      <c r="X858" s="114"/>
      <c r="Y858" s="114"/>
    </row>
    <row r="859" spans="2:54" hidden="1" outlineLevel="2">
      <c r="B859" s="2" t="s">
        <v>1294</v>
      </c>
      <c r="D859" s="113" t="s">
        <v>1303</v>
      </c>
      <c r="E859" s="237">
        <v>158</v>
      </c>
      <c r="F859" s="114"/>
      <c r="G859" s="257"/>
      <c r="H859" s="257"/>
      <c r="I859" s="257"/>
      <c r="J859" s="257"/>
      <c r="K859" s="257"/>
      <c r="L859" s="114">
        <f>M858</f>
        <v>360000</v>
      </c>
      <c r="M859" s="114">
        <v>725000</v>
      </c>
      <c r="N859" s="114"/>
      <c r="O859" s="114"/>
      <c r="P859" s="114" t="s">
        <v>1356</v>
      </c>
      <c r="Q859" s="114" t="s">
        <v>1334</v>
      </c>
      <c r="R859" s="114">
        <v>100</v>
      </c>
      <c r="S859" s="114" t="s">
        <v>1299</v>
      </c>
      <c r="T859" s="114">
        <v>11115</v>
      </c>
      <c r="U859" s="114">
        <v>4.7500000000000001E-2</v>
      </c>
      <c r="V859" s="114"/>
      <c r="W859" s="114" t="b">
        <v>0</v>
      </c>
      <c r="X859" s="114"/>
      <c r="Y859" s="114"/>
    </row>
    <row r="860" spans="2:54" hidden="1" outlineLevel="2">
      <c r="B860" s="2" t="s">
        <v>1294</v>
      </c>
      <c r="D860" s="113" t="s">
        <v>1303</v>
      </c>
      <c r="E860" s="237">
        <v>159</v>
      </c>
      <c r="F860" s="114"/>
      <c r="G860" s="257"/>
      <c r="H860" s="257"/>
      <c r="I860" s="257"/>
      <c r="J860" s="257"/>
      <c r="K860" s="257"/>
      <c r="L860" s="114">
        <f>M859</f>
        <v>725000</v>
      </c>
      <c r="M860" s="114">
        <v>99999999</v>
      </c>
      <c r="N860" s="114"/>
      <c r="O860" s="114"/>
      <c r="P860" s="114" t="s">
        <v>1356</v>
      </c>
      <c r="Q860" s="114" t="s">
        <v>1334</v>
      </c>
      <c r="R860" s="114">
        <v>100</v>
      </c>
      <c r="S860" s="114" t="s">
        <v>1299</v>
      </c>
      <c r="T860" s="114">
        <v>28453</v>
      </c>
      <c r="U860" s="114">
        <v>5.1500000000000004E-2</v>
      </c>
      <c r="V860" s="114"/>
      <c r="W860" s="114" t="b">
        <v>0</v>
      </c>
      <c r="X860" s="114"/>
      <c r="Y860" s="114"/>
    </row>
    <row r="861" spans="2:54" hidden="1" outlineLevel="2">
      <c r="B861" s="2" t="s">
        <v>860</v>
      </c>
      <c r="BB861" s="2">
        <f>BB858+10000</f>
        <v>10000</v>
      </c>
    </row>
    <row r="862" spans="2:54" hidden="1" outlineLevel="1" collapsed="1">
      <c r="B862" s="2" t="s">
        <v>851</v>
      </c>
      <c r="C862" s="132" t="s">
        <v>543</v>
      </c>
      <c r="D862" s="102" t="s">
        <v>1357</v>
      </c>
      <c r="E862" s="104"/>
      <c r="BB862" s="2">
        <f t="shared" ref="BB862:BB913" si="14">BB861+10000</f>
        <v>20000</v>
      </c>
    </row>
    <row r="863" spans="2:54" hidden="1" outlineLevel="2">
      <c r="B863" s="2" t="s">
        <v>833</v>
      </c>
      <c r="C863" s="132"/>
      <c r="D863" s="209" t="s">
        <v>843</v>
      </c>
      <c r="E863" s="209" t="s">
        <v>844</v>
      </c>
      <c r="F863" s="209" t="s">
        <v>845</v>
      </c>
      <c r="G863" s="210" t="s">
        <v>846</v>
      </c>
      <c r="H863" s="209" t="s">
        <v>847</v>
      </c>
      <c r="I863" s="210" t="s">
        <v>848</v>
      </c>
      <c r="J863" s="209" t="s">
        <v>849</v>
      </c>
      <c r="K863" s="209" t="s">
        <v>850</v>
      </c>
      <c r="L863" s="210" t="s">
        <v>8055</v>
      </c>
      <c r="M863" s="209" t="s">
        <v>8168</v>
      </c>
      <c r="N863" s="210" t="s">
        <v>8571</v>
      </c>
      <c r="O863" s="210" t="s">
        <v>8755</v>
      </c>
      <c r="P863" s="210" t="s">
        <v>8892</v>
      </c>
      <c r="BB863" s="2">
        <f t="shared" si="14"/>
        <v>30000</v>
      </c>
    </row>
    <row r="864" spans="2:54" hidden="1" outlineLevel="2">
      <c r="B864" s="2" t="s">
        <v>833</v>
      </c>
      <c r="D864" s="226" t="s">
        <v>254</v>
      </c>
      <c r="E864" s="225" t="s">
        <v>1358</v>
      </c>
      <c r="H864" s="225" t="s">
        <v>1358</v>
      </c>
      <c r="BB864" s="2">
        <f t="shared" si="14"/>
        <v>40000</v>
      </c>
    </row>
    <row r="865" spans="2:54" hidden="1" outlineLevel="2">
      <c r="B865" s="2" t="s">
        <v>853</v>
      </c>
      <c r="D865" s="111" t="s">
        <v>1295</v>
      </c>
      <c r="E865" s="1343">
        <v>172</v>
      </c>
      <c r="H865" s="112">
        <v>166</v>
      </c>
      <c r="BB865" s="2">
        <f t="shared" si="14"/>
        <v>50000</v>
      </c>
    </row>
    <row r="866" spans="2:54" hidden="1" outlineLevel="2">
      <c r="B866" s="2" t="s">
        <v>853</v>
      </c>
      <c r="D866" s="113" t="s">
        <v>1296</v>
      </c>
      <c r="E866" s="1340">
        <v>171.7</v>
      </c>
      <c r="H866" s="114">
        <v>165.4</v>
      </c>
      <c r="BB866" s="2">
        <f t="shared" si="14"/>
        <v>60000</v>
      </c>
    </row>
    <row r="867" spans="2:54" hidden="1" outlineLevel="2">
      <c r="B867" s="2" t="s">
        <v>853</v>
      </c>
      <c r="D867" s="111" t="s">
        <v>1297</v>
      </c>
      <c r="E867" s="1340">
        <v>172</v>
      </c>
      <c r="H867" s="112">
        <v>165</v>
      </c>
      <c r="BB867" s="2">
        <f t="shared" si="14"/>
        <v>70000</v>
      </c>
    </row>
    <row r="868" spans="2:54" hidden="1" outlineLevel="2">
      <c r="B868" s="2" t="s">
        <v>853</v>
      </c>
      <c r="D868" s="113" t="s">
        <v>1298</v>
      </c>
      <c r="E868" s="1340">
        <v>231.98</v>
      </c>
      <c r="H868" s="114">
        <v>224.32</v>
      </c>
      <c r="BB868" s="2">
        <f t="shared" si="14"/>
        <v>80000</v>
      </c>
    </row>
    <row r="869" spans="2:54" hidden="1" outlineLevel="2">
      <c r="B869" s="2" t="s">
        <v>853</v>
      </c>
      <c r="D869" s="111" t="s">
        <v>1300</v>
      </c>
      <c r="E869" s="1340">
        <v>192</v>
      </c>
      <c r="H869" s="112">
        <v>187</v>
      </c>
      <c r="BB869" s="2">
        <f t="shared" si="14"/>
        <v>90000</v>
      </c>
    </row>
    <row r="870" spans="2:54" hidden="1" outlineLevel="2">
      <c r="B870" s="2" t="s">
        <v>853</v>
      </c>
      <c r="D870" s="113" t="s">
        <v>1301</v>
      </c>
      <c r="E870" s="1340">
        <v>159.88</v>
      </c>
      <c r="H870" s="114">
        <v>152.19</v>
      </c>
      <c r="BB870" s="2">
        <f t="shared" si="14"/>
        <v>100000</v>
      </c>
    </row>
    <row r="871" spans="2:54" hidden="1" outlineLevel="2">
      <c r="B871" s="2" t="s">
        <v>853</v>
      </c>
      <c r="D871" s="111" t="s">
        <v>1302</v>
      </c>
      <c r="E871" s="1340">
        <v>131.9</v>
      </c>
      <c r="H871" s="112">
        <v>128.5</v>
      </c>
      <c r="BB871" s="2">
        <f t="shared" si="14"/>
        <v>110000</v>
      </c>
    </row>
    <row r="872" spans="2:54" hidden="1" outlineLevel="2">
      <c r="B872" s="2" t="s">
        <v>853</v>
      </c>
      <c r="D872" s="113" t="s">
        <v>1303</v>
      </c>
      <c r="E872" s="1340">
        <v>210.3</v>
      </c>
      <c r="H872" s="114">
        <v>203</v>
      </c>
      <c r="BB872" s="2">
        <f t="shared" si="14"/>
        <v>120000</v>
      </c>
    </row>
    <row r="873" spans="2:54" hidden="1" outlineLevel="2">
      <c r="B873" s="2" t="s">
        <v>860</v>
      </c>
      <c r="BB873" s="2">
        <f t="shared" si="14"/>
        <v>130000</v>
      </c>
    </row>
    <row r="874" spans="2:54" hidden="1" outlineLevel="1" collapsed="1">
      <c r="B874" s="2" t="s">
        <v>851</v>
      </c>
      <c r="C874" s="132" t="s">
        <v>544</v>
      </c>
      <c r="D874" s="102" t="s">
        <v>1359</v>
      </c>
      <c r="E874" s="103"/>
      <c r="F874" s="104"/>
      <c r="BB874" s="2">
        <f t="shared" si="14"/>
        <v>140000</v>
      </c>
    </row>
    <row r="875" spans="2:54" hidden="1" outlineLevel="2">
      <c r="B875" s="2" t="s">
        <v>833</v>
      </c>
      <c r="C875" s="132"/>
      <c r="D875" s="210" t="s">
        <v>843</v>
      </c>
      <c r="E875" s="210" t="s">
        <v>844</v>
      </c>
      <c r="F875" s="209" t="s">
        <v>845</v>
      </c>
      <c r="G875" s="210" t="s">
        <v>846</v>
      </c>
      <c r="H875" s="210" t="s">
        <v>847</v>
      </c>
      <c r="I875" s="210" t="s">
        <v>848</v>
      </c>
      <c r="J875" s="209" t="s">
        <v>849</v>
      </c>
      <c r="K875" s="209" t="s">
        <v>850</v>
      </c>
      <c r="L875" s="210" t="s">
        <v>8055</v>
      </c>
      <c r="M875" s="209" t="s">
        <v>8168</v>
      </c>
      <c r="N875" s="210" t="s">
        <v>8571</v>
      </c>
      <c r="O875" s="210" t="s">
        <v>8755</v>
      </c>
      <c r="P875" s="210" t="s">
        <v>8892</v>
      </c>
      <c r="BB875" s="2">
        <f t="shared" si="14"/>
        <v>150000</v>
      </c>
    </row>
    <row r="876" spans="2:54" hidden="1" outlineLevel="2">
      <c r="B876" s="2" t="s">
        <v>833</v>
      </c>
      <c r="D876" s="226" t="s">
        <v>254</v>
      </c>
      <c r="E876" s="226" t="s">
        <v>1310</v>
      </c>
      <c r="F876" s="226" t="s">
        <v>1311</v>
      </c>
      <c r="H876" s="226" t="s">
        <v>1310</v>
      </c>
      <c r="BB876" s="2">
        <f t="shared" si="14"/>
        <v>160000</v>
      </c>
    </row>
    <row r="877" spans="2:54" hidden="1" outlineLevel="2">
      <c r="B877" s="2" t="s">
        <v>874</v>
      </c>
      <c r="D877" s="138" t="s">
        <v>293</v>
      </c>
      <c r="E877" s="138" t="s">
        <v>1278</v>
      </c>
      <c r="F877" s="138" t="s">
        <v>1360</v>
      </c>
      <c r="H877" s="138" t="s">
        <v>1278</v>
      </c>
      <c r="BB877" s="2">
        <f t="shared" si="14"/>
        <v>170000</v>
      </c>
    </row>
    <row r="878" spans="2:54" hidden="1" outlineLevel="2">
      <c r="B878" s="2" t="s">
        <v>1294</v>
      </c>
      <c r="D878" s="111" t="s">
        <v>1295</v>
      </c>
      <c r="E878" s="1343">
        <v>172</v>
      </c>
      <c r="F878" s="112"/>
      <c r="H878" s="112">
        <v>166</v>
      </c>
      <c r="BB878" s="2">
        <f t="shared" si="14"/>
        <v>180000</v>
      </c>
    </row>
    <row r="879" spans="2:54" hidden="1" outlineLevel="2">
      <c r="B879" s="2" t="s">
        <v>1294</v>
      </c>
      <c r="D879" s="113" t="s">
        <v>1296</v>
      </c>
      <c r="E879" s="1340">
        <v>171.7</v>
      </c>
      <c r="F879" s="114" t="b">
        <v>1</v>
      </c>
      <c r="H879" s="114">
        <v>165.4</v>
      </c>
      <c r="BB879" s="2">
        <f t="shared" si="14"/>
        <v>190000</v>
      </c>
    </row>
    <row r="880" spans="2:54" hidden="1" outlineLevel="2">
      <c r="B880" s="2" t="s">
        <v>1294</v>
      </c>
      <c r="D880" s="111" t="s">
        <v>1297</v>
      </c>
      <c r="E880" s="1340">
        <v>172</v>
      </c>
      <c r="F880" s="112"/>
      <c r="H880" s="112">
        <v>165</v>
      </c>
      <c r="BB880" s="2">
        <f t="shared" si="14"/>
        <v>200000</v>
      </c>
    </row>
    <row r="881" spans="2:54" hidden="1" outlineLevel="2">
      <c r="B881" s="2" t="s">
        <v>1294</v>
      </c>
      <c r="D881" s="113" t="s">
        <v>1298</v>
      </c>
      <c r="E881" s="1340">
        <v>231.98</v>
      </c>
      <c r="F881" s="114" t="b">
        <v>1</v>
      </c>
      <c r="H881" s="114">
        <v>224.32</v>
      </c>
      <c r="BB881" s="2">
        <f t="shared" si="14"/>
        <v>210000</v>
      </c>
    </row>
    <row r="882" spans="2:54" hidden="1" outlineLevel="2">
      <c r="B882" s="2" t="s">
        <v>1294</v>
      </c>
      <c r="D882" s="111" t="s">
        <v>1300</v>
      </c>
      <c r="E882" s="1340">
        <v>192</v>
      </c>
      <c r="F882" s="112"/>
      <c r="H882" s="112">
        <v>187</v>
      </c>
      <c r="BB882" s="2">
        <f t="shared" si="14"/>
        <v>220000</v>
      </c>
    </row>
    <row r="883" spans="2:54" hidden="1" outlineLevel="2">
      <c r="B883" s="2" t="s">
        <v>1294</v>
      </c>
      <c r="D883" s="113" t="s">
        <v>1301</v>
      </c>
      <c r="E883" s="1340">
        <v>198.22</v>
      </c>
      <c r="F883" s="114"/>
      <c r="H883" s="114">
        <v>188.68</v>
      </c>
      <c r="BB883" s="2">
        <f t="shared" si="14"/>
        <v>230000</v>
      </c>
    </row>
    <row r="884" spans="2:54" hidden="1" outlineLevel="2">
      <c r="B884" s="2" t="s">
        <v>1294</v>
      </c>
      <c r="D884" s="111" t="s">
        <v>1302</v>
      </c>
      <c r="E884" s="1340">
        <v>131.9</v>
      </c>
      <c r="F884" s="112" t="b">
        <v>1</v>
      </c>
      <c r="H884" s="112">
        <v>128.5</v>
      </c>
      <c r="BB884" s="2">
        <f t="shared" si="14"/>
        <v>240000</v>
      </c>
    </row>
    <row r="885" spans="2:54" hidden="1" outlineLevel="2">
      <c r="B885" s="2" t="s">
        <v>1294</v>
      </c>
      <c r="D885" s="113" t="s">
        <v>1303</v>
      </c>
      <c r="E885" s="1340">
        <v>210.3</v>
      </c>
      <c r="F885" s="114"/>
      <c r="H885" s="114">
        <v>203</v>
      </c>
      <c r="BB885" s="2">
        <f t="shared" si="14"/>
        <v>250000</v>
      </c>
    </row>
    <row r="886" spans="2:54" hidden="1" outlineLevel="2">
      <c r="B886" s="2" t="s">
        <v>860</v>
      </c>
      <c r="BB886" s="2">
        <f t="shared" si="14"/>
        <v>260000</v>
      </c>
    </row>
    <row r="887" spans="2:54" hidden="1" outlineLevel="1" collapsed="1">
      <c r="B887" s="2" t="s">
        <v>851</v>
      </c>
      <c r="C887" s="132" t="s">
        <v>545</v>
      </c>
      <c r="D887" s="102" t="s">
        <v>1361</v>
      </c>
      <c r="E887" s="104"/>
      <c r="F887" s="31"/>
      <c r="BB887" s="2">
        <f t="shared" si="14"/>
        <v>270000</v>
      </c>
    </row>
    <row r="888" spans="2:54" hidden="1" outlineLevel="2">
      <c r="B888" s="2" t="s">
        <v>833</v>
      </c>
      <c r="C888" s="132"/>
      <c r="D888" s="209" t="s">
        <v>843</v>
      </c>
      <c r="E888" s="209" t="s">
        <v>844</v>
      </c>
      <c r="F888" s="209" t="s">
        <v>845</v>
      </c>
      <c r="G888" s="210" t="s">
        <v>846</v>
      </c>
      <c r="H888" s="209" t="s">
        <v>847</v>
      </c>
      <c r="I888" s="210" t="s">
        <v>848</v>
      </c>
      <c r="J888" s="209" t="s">
        <v>849</v>
      </c>
      <c r="K888" s="209" t="s">
        <v>850</v>
      </c>
      <c r="L888" s="210" t="s">
        <v>8055</v>
      </c>
      <c r="M888" s="209" t="s">
        <v>8168</v>
      </c>
      <c r="N888" s="210" t="s">
        <v>8571</v>
      </c>
      <c r="O888" s="210" t="s">
        <v>8755</v>
      </c>
      <c r="P888" s="210" t="s">
        <v>8892</v>
      </c>
      <c r="BB888" s="2">
        <f t="shared" si="14"/>
        <v>280000</v>
      </c>
    </row>
    <row r="889" spans="2:54" hidden="1" outlineLevel="2">
      <c r="B889" s="2" t="s">
        <v>833</v>
      </c>
      <c r="D889" s="226" t="s">
        <v>254</v>
      </c>
      <c r="E889" s="225" t="s">
        <v>1358</v>
      </c>
      <c r="F889" s="31"/>
      <c r="H889" s="225" t="s">
        <v>1358</v>
      </c>
      <c r="BB889" s="2">
        <f t="shared" si="14"/>
        <v>290000</v>
      </c>
    </row>
    <row r="890" spans="2:54" hidden="1" outlineLevel="2">
      <c r="B890" s="2" t="s">
        <v>853</v>
      </c>
      <c r="D890" s="111" t="s">
        <v>1295</v>
      </c>
      <c r="E890" s="1343">
        <v>34</v>
      </c>
      <c r="F890" s="31"/>
      <c r="H890" s="112">
        <v>33</v>
      </c>
      <c r="BB890" s="2">
        <f t="shared" si="14"/>
        <v>300000</v>
      </c>
    </row>
    <row r="891" spans="2:54" hidden="1" outlineLevel="2">
      <c r="B891" s="2" t="s">
        <v>853</v>
      </c>
      <c r="D891" s="113" t="s">
        <v>1296</v>
      </c>
      <c r="E891" s="1340">
        <v>17.600000000000001</v>
      </c>
      <c r="F891" s="31"/>
      <c r="H891" s="114">
        <v>17</v>
      </c>
      <c r="BB891" s="2">
        <f t="shared" si="14"/>
        <v>310000</v>
      </c>
    </row>
    <row r="892" spans="2:54" hidden="1" outlineLevel="2">
      <c r="B892" s="2" t="s">
        <v>853</v>
      </c>
      <c r="D892" s="111" t="s">
        <v>1297</v>
      </c>
      <c r="E892" s="1340">
        <v>40</v>
      </c>
      <c r="F892" s="31"/>
      <c r="H892" s="112">
        <v>39</v>
      </c>
      <c r="BB892" s="2">
        <f t="shared" si="14"/>
        <v>320000</v>
      </c>
    </row>
    <row r="893" spans="2:54" hidden="1" outlineLevel="2">
      <c r="B893" s="2" t="s">
        <v>853</v>
      </c>
      <c r="D893" s="113" t="s">
        <v>1298</v>
      </c>
      <c r="E893" s="1340">
        <v>48.12</v>
      </c>
      <c r="F893" s="31"/>
      <c r="H893" s="114">
        <v>46.54</v>
      </c>
      <c r="BB893" s="2">
        <f t="shared" si="14"/>
        <v>330000</v>
      </c>
    </row>
    <row r="894" spans="2:54" hidden="1" outlineLevel="2">
      <c r="B894" s="2" t="s">
        <v>853</v>
      </c>
      <c r="D894" s="111" t="s">
        <v>1300</v>
      </c>
      <c r="E894" s="1340">
        <v>34.5</v>
      </c>
      <c r="F894" s="31"/>
      <c r="H894" s="112">
        <v>33.5</v>
      </c>
      <c r="BB894" s="2">
        <f t="shared" si="14"/>
        <v>340000</v>
      </c>
    </row>
    <row r="895" spans="2:54" hidden="1" outlineLevel="2">
      <c r="B895" s="2" t="s">
        <v>853</v>
      </c>
      <c r="D895" s="113" t="s">
        <v>1301</v>
      </c>
      <c r="E895" s="1340">
        <v>37.4</v>
      </c>
      <c r="F895" s="31"/>
      <c r="H895" s="114">
        <v>35.6</v>
      </c>
      <c r="BB895" s="2">
        <f t="shared" si="14"/>
        <v>350000</v>
      </c>
    </row>
    <row r="896" spans="2:54" hidden="1" outlineLevel="2">
      <c r="B896" s="2" t="s">
        <v>853</v>
      </c>
      <c r="D896" s="111" t="s">
        <v>1302</v>
      </c>
      <c r="E896" s="1343">
        <v>18.8</v>
      </c>
      <c r="F896" s="31"/>
      <c r="H896" s="112">
        <v>18.239999999999998</v>
      </c>
      <c r="BB896" s="2">
        <f t="shared" si="14"/>
        <v>360000</v>
      </c>
    </row>
    <row r="897" spans="2:54" hidden="1" outlineLevel="2">
      <c r="B897" s="2" t="s">
        <v>853</v>
      </c>
      <c r="D897" s="113" t="s">
        <v>1303</v>
      </c>
      <c r="E897" s="1340">
        <v>47.4</v>
      </c>
      <c r="F897" s="31"/>
      <c r="H897" s="114">
        <v>45.75</v>
      </c>
      <c r="BB897" s="2">
        <f t="shared" si="14"/>
        <v>370000</v>
      </c>
    </row>
    <row r="898" spans="2:54" hidden="1" outlineLevel="2">
      <c r="B898" s="2" t="s">
        <v>860</v>
      </c>
      <c r="BB898" s="2">
        <f t="shared" si="14"/>
        <v>380000</v>
      </c>
    </row>
    <row r="899" spans="2:54" hidden="1" outlineLevel="1" collapsed="1">
      <c r="B899" s="2" t="s">
        <v>851</v>
      </c>
      <c r="C899" s="132" t="s">
        <v>1362</v>
      </c>
      <c r="D899" s="102" t="s">
        <v>1363</v>
      </c>
      <c r="E899" s="104"/>
      <c r="F899" s="31"/>
      <c r="BB899" s="2">
        <f t="shared" si="14"/>
        <v>390000</v>
      </c>
    </row>
    <row r="900" spans="2:54" hidden="1" outlineLevel="2">
      <c r="B900" s="2" t="s">
        <v>833</v>
      </c>
      <c r="C900" s="132"/>
      <c r="D900" s="209" t="s">
        <v>843</v>
      </c>
      <c r="E900" s="209" t="s">
        <v>844</v>
      </c>
      <c r="F900" s="209" t="s">
        <v>845</v>
      </c>
      <c r="G900" s="210" t="s">
        <v>846</v>
      </c>
      <c r="H900" s="209" t="s">
        <v>847</v>
      </c>
      <c r="I900" s="210" t="s">
        <v>848</v>
      </c>
      <c r="J900" s="210" t="s">
        <v>849</v>
      </c>
      <c r="K900" s="210" t="s">
        <v>850</v>
      </c>
      <c r="L900" s="210" t="s">
        <v>8055</v>
      </c>
      <c r="M900" s="209" t="s">
        <v>8168</v>
      </c>
      <c r="N900" s="210" t="s">
        <v>8571</v>
      </c>
      <c r="O900" s="210" t="s">
        <v>8755</v>
      </c>
      <c r="P900" s="210" t="s">
        <v>8892</v>
      </c>
      <c r="BB900" s="2">
        <f t="shared" si="14"/>
        <v>400000</v>
      </c>
    </row>
    <row r="901" spans="2:54" hidden="1" outlineLevel="2">
      <c r="B901" s="2" t="s">
        <v>833</v>
      </c>
      <c r="D901" s="226" t="s">
        <v>254</v>
      </c>
      <c r="E901" s="239" t="s">
        <v>1364</v>
      </c>
      <c r="F901" s="31"/>
      <c r="H901" s="239" t="s">
        <v>1364</v>
      </c>
      <c r="BB901" s="2">
        <f t="shared" si="14"/>
        <v>410000</v>
      </c>
    </row>
    <row r="902" spans="2:54" hidden="1" outlineLevel="2">
      <c r="B902" s="2" t="s">
        <v>853</v>
      </c>
      <c r="D902" s="111" t="s">
        <v>1295</v>
      </c>
      <c r="E902" s="232" t="s">
        <v>8037</v>
      </c>
      <c r="F902" s="31"/>
      <c r="H902" s="232" t="s">
        <v>8037</v>
      </c>
      <c r="BB902" s="2">
        <f t="shared" si="14"/>
        <v>420000</v>
      </c>
    </row>
    <row r="903" spans="2:54" hidden="1" outlineLevel="2">
      <c r="B903" s="2" t="s">
        <v>853</v>
      </c>
      <c r="D903" s="113" t="s">
        <v>1296</v>
      </c>
      <c r="E903" s="1340" t="s">
        <v>1367</v>
      </c>
      <c r="F903" s="31"/>
      <c r="H903" s="114" t="s">
        <v>1365</v>
      </c>
      <c r="BB903" s="2">
        <f t="shared" si="14"/>
        <v>430000</v>
      </c>
    </row>
    <row r="904" spans="2:54" hidden="1" outlineLevel="2">
      <c r="B904" s="2" t="s">
        <v>853</v>
      </c>
      <c r="D904" s="111" t="s">
        <v>1297</v>
      </c>
      <c r="E904" s="112" t="s">
        <v>1366</v>
      </c>
      <c r="F904" s="31"/>
      <c r="H904" s="112" t="s">
        <v>1366</v>
      </c>
      <c r="BB904" s="2">
        <f t="shared" si="14"/>
        <v>440000</v>
      </c>
    </row>
    <row r="905" spans="2:54" hidden="1" outlineLevel="2">
      <c r="B905" s="2" t="s">
        <v>853</v>
      </c>
      <c r="D905" s="113" t="s">
        <v>1298</v>
      </c>
      <c r="E905" s="114" t="s">
        <v>1367</v>
      </c>
      <c r="F905" s="31"/>
      <c r="H905" s="114" t="s">
        <v>1367</v>
      </c>
      <c r="BB905" s="2">
        <f t="shared" si="14"/>
        <v>450000</v>
      </c>
    </row>
    <row r="906" spans="2:54" hidden="1" outlineLevel="2">
      <c r="B906" s="2" t="s">
        <v>853</v>
      </c>
      <c r="D906" s="111" t="s">
        <v>1300</v>
      </c>
      <c r="E906" s="112" t="s">
        <v>1366</v>
      </c>
      <c r="F906" s="31"/>
      <c r="H906" s="112" t="s">
        <v>1366</v>
      </c>
      <c r="BB906" s="2">
        <f t="shared" si="14"/>
        <v>460000</v>
      </c>
    </row>
    <row r="907" spans="2:54" hidden="1" outlineLevel="2">
      <c r="B907" s="2" t="s">
        <v>853</v>
      </c>
      <c r="D907" s="113" t="s">
        <v>1301</v>
      </c>
      <c r="E907" s="114" t="s">
        <v>1368</v>
      </c>
      <c r="F907" s="31"/>
      <c r="H907" s="114" t="s">
        <v>1368</v>
      </c>
      <c r="BB907" s="2">
        <f t="shared" si="14"/>
        <v>470000</v>
      </c>
    </row>
    <row r="908" spans="2:54" hidden="1" outlineLevel="2">
      <c r="B908" s="2" t="s">
        <v>853</v>
      </c>
      <c r="D908" s="111" t="s">
        <v>1302</v>
      </c>
      <c r="E908" s="112" t="s">
        <v>1369</v>
      </c>
      <c r="F908" s="31"/>
      <c r="H908" s="112" t="s">
        <v>1369</v>
      </c>
      <c r="BB908" s="2">
        <f t="shared" si="14"/>
        <v>480000</v>
      </c>
    </row>
    <row r="909" spans="2:54" hidden="1" outlineLevel="2">
      <c r="B909" s="2" t="s">
        <v>853</v>
      </c>
      <c r="D909" s="113" t="s">
        <v>1303</v>
      </c>
      <c r="E909" s="114" t="s">
        <v>1367</v>
      </c>
      <c r="F909" s="31" t="s">
        <v>1370</v>
      </c>
      <c r="H909" s="114" t="s">
        <v>1367</v>
      </c>
      <c r="BB909" s="2">
        <f t="shared" si="14"/>
        <v>490000</v>
      </c>
    </row>
    <row r="910" spans="2:54" hidden="1" outlineLevel="2">
      <c r="B910" s="2" t="s">
        <v>860</v>
      </c>
      <c r="BB910" s="2">
        <f t="shared" si="14"/>
        <v>500000</v>
      </c>
    </row>
    <row r="911" spans="2:54" hidden="1" outlineLevel="1" collapsed="1">
      <c r="B911" s="2" t="s">
        <v>851</v>
      </c>
      <c r="C911" s="132" t="s">
        <v>505</v>
      </c>
      <c r="D911" s="102" t="s">
        <v>1371</v>
      </c>
      <c r="E911" s="103"/>
      <c r="F911" s="104"/>
      <c r="BB911" s="2">
        <f t="shared" si="14"/>
        <v>510000</v>
      </c>
    </row>
    <row r="912" spans="2:54" hidden="1" outlineLevel="2">
      <c r="B912" s="2" t="s">
        <v>833</v>
      </c>
      <c r="C912" s="132"/>
      <c r="D912" s="210" t="s">
        <v>843</v>
      </c>
      <c r="E912" s="210" t="s">
        <v>844</v>
      </c>
      <c r="F912" s="210" t="s">
        <v>845</v>
      </c>
      <c r="G912" s="210" t="s">
        <v>846</v>
      </c>
      <c r="H912" s="210" t="s">
        <v>847</v>
      </c>
      <c r="I912" s="210" t="s">
        <v>848</v>
      </c>
      <c r="J912" s="209" t="s">
        <v>849</v>
      </c>
      <c r="K912" s="210" t="s">
        <v>850</v>
      </c>
      <c r="L912" s="210" t="s">
        <v>8055</v>
      </c>
      <c r="M912" s="210" t="s">
        <v>8168</v>
      </c>
      <c r="N912" s="210" t="s">
        <v>8571</v>
      </c>
      <c r="O912" s="210" t="s">
        <v>8755</v>
      </c>
      <c r="P912" s="210" t="s">
        <v>8892</v>
      </c>
      <c r="BB912" s="2">
        <f t="shared" si="14"/>
        <v>520000</v>
      </c>
    </row>
    <row r="913" spans="2:54" hidden="1" outlineLevel="2">
      <c r="B913" s="2" t="s">
        <v>833</v>
      </c>
      <c r="D913" s="226" t="s">
        <v>254</v>
      </c>
      <c r="E913" s="226" t="s">
        <v>1215</v>
      </c>
      <c r="F913" s="226" t="s">
        <v>1311</v>
      </c>
      <c r="H913" s="226" t="s">
        <v>1311</v>
      </c>
      <c r="BB913" s="2">
        <f t="shared" si="14"/>
        <v>530000</v>
      </c>
    </row>
    <row r="914" spans="2:54" hidden="1" outlineLevel="2">
      <c r="B914" s="2" t="s">
        <v>874</v>
      </c>
      <c r="D914" s="138" t="s">
        <v>293</v>
      </c>
      <c r="E914" s="138" t="s">
        <v>1372</v>
      </c>
      <c r="F914" s="138" t="s">
        <v>1373</v>
      </c>
      <c r="H914" s="138" t="s">
        <v>1373</v>
      </c>
      <c r="BB914" s="2">
        <f t="shared" ref="BB914:BB924" si="15">BB913+10000</f>
        <v>540000</v>
      </c>
    </row>
    <row r="915" spans="2:54" hidden="1" outlineLevel="2">
      <c r="B915" s="2" t="s">
        <v>1294</v>
      </c>
      <c r="D915" s="111" t="s">
        <v>1295</v>
      </c>
      <c r="E915" s="111" t="b">
        <v>1</v>
      </c>
      <c r="F915" s="232">
        <v>0</v>
      </c>
      <c r="H915" s="232">
        <v>0</v>
      </c>
      <c r="BB915" s="2">
        <f t="shared" si="15"/>
        <v>550000</v>
      </c>
    </row>
    <row r="916" spans="2:54" hidden="1" outlineLevel="2">
      <c r="B916" s="2" t="s">
        <v>1294</v>
      </c>
      <c r="D916" s="113" t="s">
        <v>1295</v>
      </c>
      <c r="E916" s="113" t="b">
        <v>0</v>
      </c>
      <c r="F916" s="114">
        <v>0</v>
      </c>
      <c r="H916" s="114">
        <v>0</v>
      </c>
      <c r="BB916" s="2">
        <f t="shared" si="15"/>
        <v>560000</v>
      </c>
    </row>
    <row r="917" spans="2:54" hidden="1" outlineLevel="2">
      <c r="B917" s="2" t="s">
        <v>1294</v>
      </c>
      <c r="D917" s="111" t="s">
        <v>1296</v>
      </c>
      <c r="E917" s="111"/>
      <c r="F917" s="112">
        <v>0.08</v>
      </c>
      <c r="H917" s="112">
        <v>0.08</v>
      </c>
      <c r="BB917" s="2">
        <f t="shared" si="15"/>
        <v>570000</v>
      </c>
    </row>
    <row r="918" spans="2:54" hidden="1" outlineLevel="2">
      <c r="B918" s="2" t="s">
        <v>1294</v>
      </c>
      <c r="D918" s="113" t="s">
        <v>1297</v>
      </c>
      <c r="E918" s="113"/>
      <c r="F918" s="114">
        <v>0</v>
      </c>
      <c r="H918" s="114">
        <v>0</v>
      </c>
      <c r="BB918" s="2">
        <f t="shared" si="15"/>
        <v>580000</v>
      </c>
    </row>
    <row r="919" spans="2:54" hidden="1" outlineLevel="2">
      <c r="B919" s="2" t="s">
        <v>1294</v>
      </c>
      <c r="D919" s="111" t="s">
        <v>1298</v>
      </c>
      <c r="E919" s="111"/>
      <c r="F919" s="112">
        <v>7.0000000000000007E-2</v>
      </c>
      <c r="H919" s="112">
        <v>7.0000000000000007E-2</v>
      </c>
      <c r="BB919" s="2">
        <f t="shared" si="15"/>
        <v>590000</v>
      </c>
    </row>
    <row r="920" spans="2:54" hidden="1" outlineLevel="2">
      <c r="B920" s="2" t="s">
        <v>1294</v>
      </c>
      <c r="D920" s="113" t="s">
        <v>1300</v>
      </c>
      <c r="E920" s="113"/>
      <c r="F920" s="114">
        <v>7.0000000000000007E-2</v>
      </c>
      <c r="H920" s="114">
        <v>7.0000000000000007E-2</v>
      </c>
      <c r="BB920" s="2">
        <f t="shared" si="15"/>
        <v>600000</v>
      </c>
    </row>
    <row r="921" spans="2:54" hidden="1" outlineLevel="2">
      <c r="B921" s="2" t="s">
        <v>1294</v>
      </c>
      <c r="D921" s="111" t="s">
        <v>1301</v>
      </c>
      <c r="E921" s="111"/>
      <c r="F921" s="232">
        <v>0.08</v>
      </c>
      <c r="H921" s="232">
        <v>0.08</v>
      </c>
      <c r="BB921" s="2">
        <f t="shared" si="15"/>
        <v>610000</v>
      </c>
    </row>
    <row r="922" spans="2:54" hidden="1" outlineLevel="2">
      <c r="B922" s="2" t="s">
        <v>1294</v>
      </c>
      <c r="D922" s="113" t="s">
        <v>1302</v>
      </c>
      <c r="E922" s="113"/>
      <c r="F922" s="114">
        <v>0.08</v>
      </c>
      <c r="H922" s="114">
        <v>0.08</v>
      </c>
      <c r="BB922" s="2">
        <f t="shared" si="15"/>
        <v>620000</v>
      </c>
    </row>
    <row r="923" spans="2:54" hidden="1" outlineLevel="2">
      <c r="B923" s="2" t="s">
        <v>1294</v>
      </c>
      <c r="D923" s="111" t="s">
        <v>1303</v>
      </c>
      <c r="E923" s="111"/>
      <c r="F923" s="112">
        <v>7.0000000000000007E-2</v>
      </c>
      <c r="H923" s="112">
        <v>7.0000000000000007E-2</v>
      </c>
      <c r="BB923" s="2">
        <f t="shared" si="15"/>
        <v>630000</v>
      </c>
    </row>
    <row r="924" spans="2:54" hidden="1" outlineLevel="2">
      <c r="B924" s="2" t="s">
        <v>860</v>
      </c>
      <c r="BB924" s="2">
        <f t="shared" si="15"/>
        <v>640000</v>
      </c>
    </row>
    <row r="925" spans="2:54" collapsed="1">
      <c r="B925" s="2" t="s">
        <v>833</v>
      </c>
      <c r="C925" s="208" t="s">
        <v>1374</v>
      </c>
      <c r="D925" s="209" t="s">
        <v>843</v>
      </c>
      <c r="E925" s="209" t="s">
        <v>844</v>
      </c>
      <c r="F925" s="209" t="s">
        <v>845</v>
      </c>
      <c r="G925" s="210" t="s">
        <v>846</v>
      </c>
      <c r="H925" s="209" t="s">
        <v>847</v>
      </c>
      <c r="I925" s="210" t="s">
        <v>848</v>
      </c>
      <c r="J925" s="209" t="s">
        <v>849</v>
      </c>
      <c r="K925" s="210" t="s">
        <v>850</v>
      </c>
      <c r="L925" s="210" t="s">
        <v>8055</v>
      </c>
      <c r="M925" s="209" t="s">
        <v>8168</v>
      </c>
      <c r="N925" s="210" t="s">
        <v>8571</v>
      </c>
      <c r="O925" s="210" t="s">
        <v>8755</v>
      </c>
      <c r="P925" s="210" t="s">
        <v>8892</v>
      </c>
    </row>
    <row r="926" spans="2:54" hidden="1" outlineLevel="1">
      <c r="B926" s="2" t="s">
        <v>833</v>
      </c>
      <c r="C926" s="145" t="s">
        <v>834</v>
      </c>
      <c r="D926" s="145" t="s">
        <v>835</v>
      </c>
      <c r="E926" s="207" t="s">
        <v>836</v>
      </c>
      <c r="BB926" s="2">
        <f t="shared" ref="BB926:BB948" si="16">BB925+10000</f>
        <v>10000</v>
      </c>
    </row>
    <row r="927" spans="2:54" hidden="1" outlineLevel="1">
      <c r="B927" s="2" t="s">
        <v>837</v>
      </c>
      <c r="C927" s="138" t="s">
        <v>1375</v>
      </c>
      <c r="D927" s="114" t="s">
        <v>1376</v>
      </c>
      <c r="E927" s="114" t="s">
        <v>8038</v>
      </c>
      <c r="H927" s="223"/>
      <c r="BB927" s="2">
        <f t="shared" si="16"/>
        <v>20000</v>
      </c>
    </row>
    <row r="928" spans="2:54" hidden="1" outlineLevel="1">
      <c r="B928" s="2" t="s">
        <v>837</v>
      </c>
      <c r="C928" s="138" t="s">
        <v>8859</v>
      </c>
      <c r="D928" s="112" t="s">
        <v>8836</v>
      </c>
      <c r="E928" s="112" t="b">
        <v>0</v>
      </c>
      <c r="G928" s="210" t="s">
        <v>843</v>
      </c>
      <c r="H928" s="210" t="s">
        <v>844</v>
      </c>
      <c r="I928" s="210" t="s">
        <v>845</v>
      </c>
      <c r="J928" s="210" t="s">
        <v>846</v>
      </c>
      <c r="K928" s="210" t="s">
        <v>847</v>
      </c>
      <c r="L928" s="210" t="s">
        <v>848</v>
      </c>
      <c r="M928" s="209" t="s">
        <v>849</v>
      </c>
      <c r="N928" s="210" t="s">
        <v>850</v>
      </c>
      <c r="O928" s="210" t="s">
        <v>8055</v>
      </c>
      <c r="P928" s="210" t="s">
        <v>8168</v>
      </c>
      <c r="Q928" s="210" t="s">
        <v>8755</v>
      </c>
      <c r="R928" s="210" t="s">
        <v>8892</v>
      </c>
      <c r="AM928" s="2">
        <v>0</v>
      </c>
      <c r="AN928" s="2">
        <v>0</v>
      </c>
      <c r="AO928" s="2" t="b">
        <v>0</v>
      </c>
      <c r="AP928" s="2" t="b">
        <v>0</v>
      </c>
    </row>
    <row r="929" spans="2:54" hidden="1" outlineLevel="1">
      <c r="B929" s="2" t="s">
        <v>833</v>
      </c>
      <c r="C929" s="206"/>
      <c r="BB929" s="2">
        <f>BB927+10000</f>
        <v>30000</v>
      </c>
    </row>
    <row r="930" spans="2:54" hidden="1" outlineLevel="1" collapsed="1">
      <c r="B930" s="2" t="s">
        <v>851</v>
      </c>
      <c r="C930" s="132" t="s">
        <v>1377</v>
      </c>
      <c r="D930" s="102" t="s">
        <v>1378</v>
      </c>
      <c r="E930" s="103"/>
      <c r="F930" s="103"/>
      <c r="G930" s="103"/>
      <c r="H930" s="103"/>
      <c r="I930" s="103"/>
      <c r="J930" s="103"/>
      <c r="K930" s="103"/>
      <c r="L930" s="103"/>
      <c r="M930" s="104"/>
      <c r="BB930" s="2">
        <f t="shared" si="16"/>
        <v>40000</v>
      </c>
    </row>
    <row r="931" spans="2:54" hidden="1" outlineLevel="2">
      <c r="B931" s="2" t="s">
        <v>833</v>
      </c>
      <c r="C931" s="132"/>
      <c r="D931" s="209" t="s">
        <v>843</v>
      </c>
      <c r="E931" s="209" t="s">
        <v>844</v>
      </c>
      <c r="F931" s="209" t="s">
        <v>845</v>
      </c>
      <c r="G931" s="210" t="s">
        <v>846</v>
      </c>
      <c r="H931" s="209" t="s">
        <v>847</v>
      </c>
      <c r="I931" s="210" t="s">
        <v>848</v>
      </c>
      <c r="J931" s="209" t="s">
        <v>849</v>
      </c>
      <c r="K931" s="210" t="s">
        <v>850</v>
      </c>
      <c r="L931" s="210" t="s">
        <v>8055</v>
      </c>
      <c r="M931" s="209" t="s">
        <v>8168</v>
      </c>
      <c r="N931" s="210" t="s">
        <v>8571</v>
      </c>
      <c r="O931" s="210" t="s">
        <v>8755</v>
      </c>
      <c r="P931" s="210" t="s">
        <v>8892</v>
      </c>
      <c r="BB931" s="2">
        <f t="shared" si="16"/>
        <v>50000</v>
      </c>
    </row>
    <row r="932" spans="2:54" hidden="1" outlineLevel="2">
      <c r="B932" s="2" t="s">
        <v>853</v>
      </c>
      <c r="D932" s="113" t="s">
        <v>1144</v>
      </c>
      <c r="E932" s="113" t="b">
        <v>0</v>
      </c>
      <c r="F932" s="113"/>
      <c r="G932" s="113"/>
      <c r="H932" s="113"/>
      <c r="I932" s="113"/>
      <c r="J932" s="113"/>
      <c r="K932" s="113"/>
      <c r="L932" s="113"/>
      <c r="M932" s="114"/>
      <c r="BB932" s="2">
        <f t="shared" si="16"/>
        <v>60000</v>
      </c>
    </row>
    <row r="933" spans="2:54" hidden="1" outlineLevel="2">
      <c r="B933" s="2" t="s">
        <v>1145</v>
      </c>
      <c r="D933" s="113" t="s">
        <v>1146</v>
      </c>
      <c r="E933" s="113"/>
      <c r="F933" s="113"/>
      <c r="G933" s="113"/>
      <c r="H933" s="113"/>
      <c r="I933" s="113"/>
      <c r="J933" s="113"/>
      <c r="K933" s="113"/>
      <c r="L933" s="113"/>
      <c r="M933" s="114"/>
      <c r="BB933" s="2">
        <f t="shared" si="16"/>
        <v>70000</v>
      </c>
    </row>
    <row r="934" spans="2:54" hidden="1" outlineLevel="2">
      <c r="B934" s="2" t="s">
        <v>1147</v>
      </c>
      <c r="C934" s="124" t="s">
        <v>283</v>
      </c>
      <c r="D934" s="138" t="s">
        <v>1379</v>
      </c>
      <c r="E934" s="138" t="s">
        <v>293</v>
      </c>
      <c r="F934" s="138">
        <v>0</v>
      </c>
      <c r="G934" s="138">
        <v>300000</v>
      </c>
      <c r="H934" s="138">
        <v>500000</v>
      </c>
      <c r="I934" s="138">
        <v>600000</v>
      </c>
      <c r="J934" s="138">
        <v>750000</v>
      </c>
      <c r="K934" s="138">
        <v>1000000</v>
      </c>
      <c r="L934" s="138">
        <v>1500000</v>
      </c>
      <c r="M934" s="138">
        <v>2000000</v>
      </c>
      <c r="BB934" s="2">
        <f t="shared" si="16"/>
        <v>80000</v>
      </c>
    </row>
    <row r="935" spans="2:54" hidden="1" outlineLevel="2">
      <c r="B935" s="2" t="s">
        <v>1149</v>
      </c>
      <c r="D935" s="113" t="s">
        <v>1379</v>
      </c>
      <c r="E935" s="113" t="s">
        <v>1151</v>
      </c>
      <c r="F935" s="113" t="s">
        <v>1146</v>
      </c>
      <c r="G935" s="113"/>
      <c r="H935" s="113"/>
      <c r="I935" s="113"/>
      <c r="J935" s="113"/>
      <c r="K935" s="113"/>
      <c r="L935" s="113"/>
      <c r="M935" s="114"/>
      <c r="N935" s="259"/>
      <c r="BB935" s="2">
        <f t="shared" si="16"/>
        <v>90000</v>
      </c>
    </row>
    <row r="936" spans="2:54" hidden="1" outlineLevel="2">
      <c r="B936" s="2" t="s">
        <v>1152</v>
      </c>
      <c r="D936" s="226">
        <v>0</v>
      </c>
      <c r="E936" s="111" t="s">
        <v>1153</v>
      </c>
      <c r="F936" s="111">
        <v>0.36</v>
      </c>
      <c r="G936" s="111">
        <v>0.48</v>
      </c>
      <c r="H936" s="111">
        <v>0.71</v>
      </c>
      <c r="I936" s="111">
        <v>0.71</v>
      </c>
      <c r="J936" s="111">
        <v>0.71</v>
      </c>
      <c r="K936" s="111">
        <v>0.73</v>
      </c>
      <c r="L936" s="111">
        <v>0.75</v>
      </c>
      <c r="M936" s="112">
        <v>0.77</v>
      </c>
      <c r="N936" s="259"/>
      <c r="BB936" s="2">
        <f t="shared" si="16"/>
        <v>100000</v>
      </c>
    </row>
    <row r="937" spans="2:54" hidden="1" outlineLevel="2">
      <c r="B937" s="2" t="s">
        <v>1152</v>
      </c>
      <c r="D937" s="226">
        <v>80.010000000000005</v>
      </c>
      <c r="E937" s="113" t="s">
        <v>1153</v>
      </c>
      <c r="F937" s="260">
        <v>0.44</v>
      </c>
      <c r="G937" s="260">
        <v>0.56000000000000005</v>
      </c>
      <c r="H937" s="260">
        <v>0.74</v>
      </c>
      <c r="I937" s="260">
        <v>0.74</v>
      </c>
      <c r="J937" s="260">
        <v>0.74</v>
      </c>
      <c r="K937" s="260">
        <v>0.98</v>
      </c>
      <c r="L937" s="260">
        <v>1.04</v>
      </c>
      <c r="M937" s="261">
        <v>1.04</v>
      </c>
      <c r="BB937" s="2">
        <f t="shared" si="16"/>
        <v>110000</v>
      </c>
    </row>
    <row r="938" spans="2:54" hidden="1" outlineLevel="2">
      <c r="B938" s="2" t="s">
        <v>1152</v>
      </c>
      <c r="D938" s="226">
        <v>81.010000000000005</v>
      </c>
      <c r="E938" s="111" t="s">
        <v>1153</v>
      </c>
      <c r="F938" s="111">
        <v>0.44</v>
      </c>
      <c r="G938" s="111">
        <v>0.63</v>
      </c>
      <c r="H938" s="111">
        <v>0.86</v>
      </c>
      <c r="I938" s="111">
        <v>0.86</v>
      </c>
      <c r="J938" s="111">
        <v>0.88</v>
      </c>
      <c r="K938" s="111">
        <v>0.98</v>
      </c>
      <c r="L938" s="111">
        <v>1.04</v>
      </c>
      <c r="M938" s="112">
        <v>1.04</v>
      </c>
      <c r="BB938" s="2">
        <f t="shared" si="16"/>
        <v>120000</v>
      </c>
    </row>
    <row r="939" spans="2:54" hidden="1" outlineLevel="2">
      <c r="B939" s="2" t="s">
        <v>1152</v>
      </c>
      <c r="D939" s="226">
        <v>82.01</v>
      </c>
      <c r="E939" s="113" t="s">
        <v>1153</v>
      </c>
      <c r="F939" s="260">
        <v>0.62</v>
      </c>
      <c r="G939" s="260">
        <v>0.71</v>
      </c>
      <c r="H939" s="260">
        <v>0.98</v>
      </c>
      <c r="I939" s="260">
        <v>0.98</v>
      </c>
      <c r="J939" s="260">
        <v>1.03</v>
      </c>
      <c r="K939" s="260">
        <v>1.29</v>
      </c>
      <c r="L939" s="260">
        <v>1.32</v>
      </c>
      <c r="M939" s="261">
        <v>1.39</v>
      </c>
      <c r="BB939" s="2">
        <f t="shared" si="16"/>
        <v>130000</v>
      </c>
    </row>
    <row r="940" spans="2:54" hidden="1" outlineLevel="2">
      <c r="B940" s="2" t="s">
        <v>1152</v>
      </c>
      <c r="D940" s="226">
        <v>83.01</v>
      </c>
      <c r="E940" s="111" t="s">
        <v>1153</v>
      </c>
      <c r="F940" s="262">
        <v>0.64</v>
      </c>
      <c r="G940" s="262">
        <v>0.83</v>
      </c>
      <c r="H940" s="262">
        <v>1.07</v>
      </c>
      <c r="I940" s="262">
        <v>1.07</v>
      </c>
      <c r="J940" s="262">
        <v>1.1000000000000001</v>
      </c>
      <c r="K940" s="262">
        <v>1.34</v>
      </c>
      <c r="L940" s="262">
        <v>1.39</v>
      </c>
      <c r="M940" s="244">
        <v>1.39</v>
      </c>
      <c r="BB940" s="2">
        <f t="shared" si="16"/>
        <v>140000</v>
      </c>
    </row>
    <row r="941" spans="2:54" hidden="1" outlineLevel="2">
      <c r="B941" s="2" t="s">
        <v>1152</v>
      </c>
      <c r="D941" s="226">
        <v>84.01</v>
      </c>
      <c r="E941" s="113" t="s">
        <v>1153</v>
      </c>
      <c r="F941" s="260">
        <v>0.75</v>
      </c>
      <c r="G941" s="260">
        <v>0.92</v>
      </c>
      <c r="H941" s="260">
        <v>1.17</v>
      </c>
      <c r="I941" s="260">
        <v>1.17</v>
      </c>
      <c r="J941" s="260">
        <v>1.26</v>
      </c>
      <c r="K941" s="260">
        <v>1.57</v>
      </c>
      <c r="L941" s="260">
        <v>1.6</v>
      </c>
      <c r="M941" s="261">
        <v>1.7</v>
      </c>
      <c r="BB941" s="2">
        <f t="shared" si="16"/>
        <v>150000</v>
      </c>
    </row>
    <row r="942" spans="2:54" hidden="1" outlineLevel="2">
      <c r="B942" s="2" t="s">
        <v>1152</v>
      </c>
      <c r="D942" s="226">
        <v>85.01</v>
      </c>
      <c r="E942" s="111" t="s">
        <v>1153</v>
      </c>
      <c r="F942" s="262">
        <v>0.96</v>
      </c>
      <c r="G942" s="262">
        <v>1.07</v>
      </c>
      <c r="H942" s="262">
        <v>1.24</v>
      </c>
      <c r="I942" s="262">
        <v>1.29</v>
      </c>
      <c r="J942" s="262">
        <v>1.42</v>
      </c>
      <c r="K942" s="262">
        <v>1.68</v>
      </c>
      <c r="L942" s="262">
        <v>1.89</v>
      </c>
      <c r="M942" s="244">
        <v>1.93</v>
      </c>
      <c r="BB942" s="2">
        <f t="shared" si="16"/>
        <v>160000</v>
      </c>
    </row>
    <row r="943" spans="2:54" hidden="1" outlineLevel="2">
      <c r="B943" s="2" t="s">
        <v>1152</v>
      </c>
      <c r="D943" s="226">
        <v>86.01</v>
      </c>
      <c r="E943" s="113" t="s">
        <v>1153</v>
      </c>
      <c r="F943" s="260">
        <v>1.04</v>
      </c>
      <c r="G943" s="260">
        <v>1.18</v>
      </c>
      <c r="H943" s="260">
        <v>1.4</v>
      </c>
      <c r="I943" s="260">
        <v>1.45</v>
      </c>
      <c r="J943" s="260">
        <v>1.58</v>
      </c>
      <c r="K943" s="260">
        <v>1.88</v>
      </c>
      <c r="L943" s="260">
        <v>2.08</v>
      </c>
      <c r="M943" s="261">
        <v>2.08</v>
      </c>
      <c r="BB943" s="2">
        <f t="shared" si="16"/>
        <v>170000</v>
      </c>
    </row>
    <row r="944" spans="2:54" hidden="1" outlineLevel="2">
      <c r="B944" s="2" t="s">
        <v>1152</v>
      </c>
      <c r="C944" s="132"/>
      <c r="D944" s="226">
        <v>87.01</v>
      </c>
      <c r="E944" s="111" t="s">
        <v>1153</v>
      </c>
      <c r="F944" s="262">
        <v>1.19</v>
      </c>
      <c r="G944" s="262">
        <v>1.26</v>
      </c>
      <c r="H944" s="262">
        <v>1.55</v>
      </c>
      <c r="I944" s="262">
        <v>1.6</v>
      </c>
      <c r="J944" s="262">
        <v>1.71</v>
      </c>
      <c r="K944" s="262">
        <v>1.94</v>
      </c>
      <c r="L944" s="262">
        <v>2.08</v>
      </c>
      <c r="M944" s="244">
        <v>2.08</v>
      </c>
      <c r="BB944" s="2">
        <f t="shared" si="16"/>
        <v>180000</v>
      </c>
    </row>
    <row r="945" spans="2:54" hidden="1" outlineLevel="2">
      <c r="B945" s="2" t="s">
        <v>1152</v>
      </c>
      <c r="D945" s="226">
        <v>88.01</v>
      </c>
      <c r="E945" s="113" t="s">
        <v>1153</v>
      </c>
      <c r="F945" s="260">
        <v>1.36</v>
      </c>
      <c r="G945" s="260">
        <v>1.51</v>
      </c>
      <c r="H945" s="260">
        <v>1.81</v>
      </c>
      <c r="I945" s="260">
        <v>1.96</v>
      </c>
      <c r="J945" s="260">
        <v>2.02</v>
      </c>
      <c r="K945" s="260">
        <v>2.4300000000000002</v>
      </c>
      <c r="L945" s="260">
        <v>2.54</v>
      </c>
      <c r="M945" s="261">
        <v>2.71</v>
      </c>
      <c r="BB945" s="2">
        <f t="shared" si="16"/>
        <v>190000</v>
      </c>
    </row>
    <row r="946" spans="2:54" hidden="1" outlineLevel="2">
      <c r="B946" s="2" t="s">
        <v>1152</v>
      </c>
      <c r="D946" s="226">
        <v>89.01</v>
      </c>
      <c r="E946" s="111" t="s">
        <v>1153</v>
      </c>
      <c r="F946" s="262">
        <v>1.53</v>
      </c>
      <c r="G946" s="262">
        <v>1.81</v>
      </c>
      <c r="H946" s="262">
        <v>2.0699999999999998</v>
      </c>
      <c r="I946" s="262">
        <v>2.2200000000000002</v>
      </c>
      <c r="J946" s="262">
        <v>2.2400000000000002</v>
      </c>
      <c r="K946" s="262">
        <v>2.61</v>
      </c>
      <c r="L946" s="262">
        <v>2.63</v>
      </c>
      <c r="M946" s="244">
        <v>2.76</v>
      </c>
      <c r="BB946" s="2">
        <f t="shared" si="16"/>
        <v>200000</v>
      </c>
    </row>
    <row r="947" spans="2:54" hidden="1" outlineLevel="2">
      <c r="B947" s="2" t="s">
        <v>1152</v>
      </c>
      <c r="D947" s="226">
        <v>90.01</v>
      </c>
      <c r="E947" s="113" t="s">
        <v>1153</v>
      </c>
      <c r="F947" s="260">
        <v>2.0499999999999998</v>
      </c>
      <c r="G947" s="260">
        <v>2.4500000000000002</v>
      </c>
      <c r="H947" s="260">
        <v>3</v>
      </c>
      <c r="I947" s="260">
        <v>3.45</v>
      </c>
      <c r="J947" s="260">
        <v>3.49</v>
      </c>
      <c r="K947" s="260">
        <v>4.25</v>
      </c>
      <c r="L947" s="260">
        <v>4.42</v>
      </c>
      <c r="M947" s="261">
        <v>4.9400000000000004</v>
      </c>
      <c r="BB947" s="2">
        <f t="shared" si="16"/>
        <v>210000</v>
      </c>
    </row>
    <row r="948" spans="2:54" hidden="1" outlineLevel="2">
      <c r="B948" s="2" t="s">
        <v>1152</v>
      </c>
      <c r="D948" s="226">
        <v>91.01</v>
      </c>
      <c r="E948" s="111" t="s">
        <v>1153</v>
      </c>
      <c r="F948" s="262">
        <v>2.0499999999999998</v>
      </c>
      <c r="G948" s="262">
        <v>2.62</v>
      </c>
      <c r="H948" s="262">
        <v>3.07</v>
      </c>
      <c r="I948" s="262">
        <v>3.52</v>
      </c>
      <c r="J948" s="262">
        <v>3.64</v>
      </c>
      <c r="K948" s="262">
        <v>4.28</v>
      </c>
      <c r="L948" s="262">
        <v>4.42</v>
      </c>
      <c r="M948" s="244">
        <v>4.9400000000000004</v>
      </c>
      <c r="BB948" s="2">
        <f t="shared" si="16"/>
        <v>220000</v>
      </c>
    </row>
    <row r="949" spans="2:54" hidden="1" outlineLevel="2">
      <c r="B949" s="2" t="s">
        <v>1152</v>
      </c>
      <c r="D949" s="226">
        <v>92.01</v>
      </c>
      <c r="E949" s="113" t="s">
        <v>1153</v>
      </c>
      <c r="F949" s="260">
        <v>2.3199999999999998</v>
      </c>
      <c r="G949" s="260">
        <v>2.78</v>
      </c>
      <c r="H949" s="260">
        <v>3.3</v>
      </c>
      <c r="I949" s="260">
        <v>3.72</v>
      </c>
      <c r="J949" s="260">
        <v>3.95</v>
      </c>
      <c r="K949" s="260">
        <v>4.82</v>
      </c>
      <c r="L949" s="260">
        <v>5.08</v>
      </c>
      <c r="M949" s="261">
        <v>5.27</v>
      </c>
      <c r="BB949" s="2">
        <f t="shared" ref="BB949:BB1013" si="17">BB948+10000</f>
        <v>230000</v>
      </c>
    </row>
    <row r="950" spans="2:54" hidden="1" outlineLevel="2">
      <c r="B950" s="2" t="s">
        <v>1152</v>
      </c>
      <c r="D950" s="226">
        <v>93.01</v>
      </c>
      <c r="E950" s="111" t="s">
        <v>1153</v>
      </c>
      <c r="F950" s="262">
        <v>2.46</v>
      </c>
      <c r="G950" s="262">
        <v>2.81</v>
      </c>
      <c r="H950" s="262">
        <v>3.41</v>
      </c>
      <c r="I950" s="262">
        <v>4.08</v>
      </c>
      <c r="J950" s="262">
        <v>4.08</v>
      </c>
      <c r="K950" s="262">
        <v>4.82</v>
      </c>
      <c r="L950" s="262">
        <v>5.08</v>
      </c>
      <c r="M950" s="244">
        <v>5.27</v>
      </c>
      <c r="BB950" s="2">
        <f t="shared" si="17"/>
        <v>240000</v>
      </c>
    </row>
    <row r="951" spans="2:54" hidden="1" outlineLevel="2">
      <c r="B951" s="2" t="s">
        <v>1152</v>
      </c>
      <c r="C951" s="124" t="s">
        <v>291</v>
      </c>
      <c r="D951" s="226">
        <v>94.01</v>
      </c>
      <c r="E951" s="113" t="s">
        <v>1153</v>
      </c>
      <c r="F951" s="260">
        <v>2.67</v>
      </c>
      <c r="G951" s="260">
        <v>3.11</v>
      </c>
      <c r="H951" s="260">
        <v>3.67</v>
      </c>
      <c r="I951" s="260">
        <v>4.3</v>
      </c>
      <c r="J951" s="260">
        <v>4.3</v>
      </c>
      <c r="K951" s="260">
        <v>4.92</v>
      </c>
      <c r="L951" s="260">
        <v>5.08</v>
      </c>
      <c r="M951" s="261">
        <v>5.59</v>
      </c>
      <c r="BB951" s="2">
        <f t="shared" si="17"/>
        <v>250000</v>
      </c>
    </row>
    <row r="952" spans="2:54" hidden="1" outlineLevel="2">
      <c r="B952" s="2" t="s">
        <v>860</v>
      </c>
      <c r="BB952" s="2">
        <f t="shared" si="17"/>
        <v>260000</v>
      </c>
    </row>
    <row r="953" spans="2:54" hidden="1" outlineLevel="1" collapsed="1">
      <c r="B953" s="2" t="s">
        <v>870</v>
      </c>
      <c r="C953" s="132" t="s">
        <v>525</v>
      </c>
      <c r="D953" s="102" t="s">
        <v>1380</v>
      </c>
      <c r="E953" s="103"/>
      <c r="F953" s="104"/>
      <c r="BB953" s="2">
        <f t="shared" si="17"/>
        <v>270000</v>
      </c>
    </row>
    <row r="954" spans="2:54" hidden="1" outlineLevel="2">
      <c r="B954" s="2" t="s">
        <v>833</v>
      </c>
      <c r="C954" s="132"/>
      <c r="D954" s="209" t="s">
        <v>843</v>
      </c>
      <c r="E954" s="210" t="s">
        <v>844</v>
      </c>
      <c r="F954" s="210" t="s">
        <v>845</v>
      </c>
      <c r="G954" s="210" t="s">
        <v>846</v>
      </c>
      <c r="H954" s="210" t="s">
        <v>847</v>
      </c>
      <c r="I954" s="210" t="s">
        <v>848</v>
      </c>
      <c r="J954" s="209" t="s">
        <v>849</v>
      </c>
      <c r="K954" s="210" t="s">
        <v>850</v>
      </c>
      <c r="L954" s="210" t="s">
        <v>8055</v>
      </c>
      <c r="M954" s="210" t="s">
        <v>8168</v>
      </c>
      <c r="N954" s="210" t="s">
        <v>8571</v>
      </c>
      <c r="O954" s="210" t="s">
        <v>8755</v>
      </c>
      <c r="P954" s="210" t="s">
        <v>8892</v>
      </c>
      <c r="BB954" s="2">
        <f t="shared" si="17"/>
        <v>280000</v>
      </c>
    </row>
    <row r="955" spans="2:54" hidden="1" outlineLevel="2">
      <c r="B955" s="2" t="s">
        <v>833</v>
      </c>
      <c r="C955" s="132"/>
      <c r="D955" s="226" t="s">
        <v>1381</v>
      </c>
      <c r="E955" s="226" t="s">
        <v>1382</v>
      </c>
      <c r="F955" s="239" t="s">
        <v>1383</v>
      </c>
      <c r="G955" s="239" t="s">
        <v>1384</v>
      </c>
      <c r="H955" s="239" t="s">
        <v>1385</v>
      </c>
      <c r="I955" s="239" t="s">
        <v>1386</v>
      </c>
      <c r="J955" s="239" t="s">
        <v>161</v>
      </c>
      <c r="K955" s="239" t="s">
        <v>8042</v>
      </c>
      <c r="L955" s="239" t="s">
        <v>8043</v>
      </c>
      <c r="M955" s="239" t="s">
        <v>8044</v>
      </c>
      <c r="N955" s="239" t="s">
        <v>8045</v>
      </c>
      <c r="O955" s="239" t="s">
        <v>8828</v>
      </c>
      <c r="P955" s="239" t="s">
        <v>8829</v>
      </c>
      <c r="Q955" s="239" t="s">
        <v>1471</v>
      </c>
      <c r="R955" s="239" t="s">
        <v>8830</v>
      </c>
      <c r="S955" s="239" t="s">
        <v>1022</v>
      </c>
      <c r="BB955" s="2">
        <f t="shared" si="17"/>
        <v>290000</v>
      </c>
    </row>
    <row r="956" spans="2:54" hidden="1" outlineLevel="2">
      <c r="B956" s="2" t="s">
        <v>874</v>
      </c>
      <c r="D956" s="138" t="s">
        <v>1044</v>
      </c>
      <c r="E956" s="138" t="s">
        <v>293</v>
      </c>
      <c r="F956" s="138" t="s">
        <v>1387</v>
      </c>
      <c r="G956" s="138" t="s">
        <v>1388</v>
      </c>
      <c r="H956" s="138" t="s">
        <v>1389</v>
      </c>
      <c r="I956" s="138" t="s">
        <v>1390</v>
      </c>
      <c r="J956" s="138" t="s">
        <v>1391</v>
      </c>
      <c r="K956" s="138" t="s">
        <v>7964</v>
      </c>
      <c r="L956" s="138" t="s">
        <v>8040</v>
      </c>
      <c r="M956" s="138" t="s">
        <v>8039</v>
      </c>
      <c r="N956" s="138" t="s">
        <v>8090</v>
      </c>
      <c r="O956" s="138" t="s">
        <v>8831</v>
      </c>
      <c r="P956" s="138" t="s">
        <v>8798</v>
      </c>
      <c r="Q956" s="138" t="s">
        <v>8815</v>
      </c>
      <c r="R956" s="138" t="s">
        <v>8816</v>
      </c>
      <c r="S956" s="138" t="s">
        <v>8947</v>
      </c>
      <c r="BB956" s="2">
        <f t="shared" si="17"/>
        <v>300000</v>
      </c>
    </row>
    <row r="957" spans="2:54" hidden="1" outlineLevel="2">
      <c r="B957" s="2" t="s">
        <v>876</v>
      </c>
      <c r="D957" s="111" t="s">
        <v>1392</v>
      </c>
      <c r="E957" s="111" t="s">
        <v>1393</v>
      </c>
      <c r="F957" s="111">
        <v>0.8</v>
      </c>
      <c r="G957" s="112">
        <v>0.9</v>
      </c>
      <c r="H957" s="111">
        <v>0.9</v>
      </c>
      <c r="I957" s="111">
        <v>0.9</v>
      </c>
      <c r="J957" s="112">
        <v>0.8</v>
      </c>
      <c r="K957" s="111">
        <v>0.8</v>
      </c>
      <c r="L957" s="112">
        <v>0.9</v>
      </c>
      <c r="M957" s="111">
        <v>0.9</v>
      </c>
      <c r="N957" s="111">
        <v>0.9</v>
      </c>
      <c r="O957" s="637"/>
      <c r="P957" s="637"/>
      <c r="Q957" s="637"/>
      <c r="R957" s="637"/>
      <c r="S957" s="637" t="b">
        <v>1</v>
      </c>
      <c r="BB957" s="2">
        <f t="shared" si="17"/>
        <v>310000</v>
      </c>
    </row>
    <row r="958" spans="2:54" hidden="1" outlineLevel="2">
      <c r="B958" s="2" t="s">
        <v>876</v>
      </c>
      <c r="D958" s="113" t="s">
        <v>1394</v>
      </c>
      <c r="E958" s="113" t="s">
        <v>1395</v>
      </c>
      <c r="F958" s="113">
        <v>0.8</v>
      </c>
      <c r="G958" s="114">
        <v>0.95</v>
      </c>
      <c r="H958" s="113">
        <v>0.9</v>
      </c>
      <c r="I958" s="113">
        <v>0.9</v>
      </c>
      <c r="J958" s="114">
        <v>0.8</v>
      </c>
      <c r="K958" s="113">
        <v>0.8</v>
      </c>
      <c r="L958" s="114">
        <v>0.95</v>
      </c>
      <c r="M958" s="114">
        <v>0.95</v>
      </c>
      <c r="N958" s="114">
        <v>0.95</v>
      </c>
      <c r="O958" s="114"/>
      <c r="P958" s="114"/>
      <c r="Q958" s="114"/>
      <c r="R958" s="114"/>
      <c r="S958" s="114" t="b">
        <v>1</v>
      </c>
      <c r="BB958" s="2">
        <f t="shared" si="17"/>
        <v>320000</v>
      </c>
    </row>
    <row r="959" spans="2:54" hidden="1" outlineLevel="2">
      <c r="B959" s="2" t="s">
        <v>876</v>
      </c>
      <c r="D959" s="111" t="s">
        <v>1396</v>
      </c>
      <c r="E959" s="111" t="s">
        <v>1396</v>
      </c>
      <c r="F959" s="111">
        <v>0.8</v>
      </c>
      <c r="G959" s="112">
        <v>0.9</v>
      </c>
      <c r="H959" s="111">
        <v>0.9</v>
      </c>
      <c r="I959" s="111">
        <v>0.9</v>
      </c>
      <c r="J959" s="112">
        <v>0.8</v>
      </c>
      <c r="K959" s="111">
        <v>0.8</v>
      </c>
      <c r="L959" s="112">
        <v>0.9</v>
      </c>
      <c r="M959" s="111">
        <v>0.9</v>
      </c>
      <c r="N959" s="111">
        <v>0.9</v>
      </c>
      <c r="O959" s="111"/>
      <c r="P959" s="111"/>
      <c r="Q959" s="111"/>
      <c r="R959" s="111"/>
      <c r="S959" s="111" t="b">
        <v>1</v>
      </c>
      <c r="BB959" s="2">
        <f t="shared" si="17"/>
        <v>330000</v>
      </c>
    </row>
    <row r="960" spans="2:54" hidden="1" outlineLevel="2">
      <c r="B960" s="2" t="s">
        <v>876</v>
      </c>
      <c r="D960" s="921" t="s">
        <v>1397</v>
      </c>
      <c r="E960" s="921" t="s">
        <v>1397</v>
      </c>
      <c r="F960" s="921">
        <v>0.8</v>
      </c>
      <c r="G960" s="922">
        <v>0.9</v>
      </c>
      <c r="H960" s="111">
        <v>0.9</v>
      </c>
      <c r="I960" s="111">
        <v>0.9</v>
      </c>
      <c r="J960" s="112">
        <v>0.9</v>
      </c>
      <c r="K960" s="921">
        <v>0.8</v>
      </c>
      <c r="L960" s="922">
        <v>0.9</v>
      </c>
      <c r="M960" s="921">
        <v>0.9</v>
      </c>
      <c r="N960" s="921">
        <v>0.9</v>
      </c>
      <c r="O960" s="923">
        <v>1800000</v>
      </c>
      <c r="P960" s="923">
        <v>2000000</v>
      </c>
      <c r="Q960" s="923"/>
      <c r="R960" s="923"/>
      <c r="S960" s="923" t="b">
        <v>1</v>
      </c>
      <c r="BB960" s="2">
        <f>BB959+10000</f>
        <v>340000</v>
      </c>
    </row>
    <row r="961" spans="1:54" hidden="1" outlineLevel="2">
      <c r="B961" s="2" t="s">
        <v>876</v>
      </c>
      <c r="D961" s="111" t="s">
        <v>8940</v>
      </c>
      <c r="E961" s="111" t="s">
        <v>8942</v>
      </c>
      <c r="F961" s="111">
        <v>0.8</v>
      </c>
      <c r="G961" s="112">
        <v>0.95</v>
      </c>
      <c r="H961" s="111">
        <v>0.9</v>
      </c>
      <c r="I961" s="111">
        <v>0.9</v>
      </c>
      <c r="J961" s="112">
        <v>0.9</v>
      </c>
      <c r="K961" s="111">
        <v>0.8</v>
      </c>
      <c r="L961" s="112">
        <v>0.95</v>
      </c>
      <c r="M961" s="111">
        <v>0.95</v>
      </c>
      <c r="N961" s="111">
        <v>0.95</v>
      </c>
      <c r="O961" s="637"/>
      <c r="P961" s="637"/>
      <c r="Q961" s="637" t="b">
        <v>1</v>
      </c>
      <c r="R961" s="637">
        <v>2000000</v>
      </c>
      <c r="S961" s="637" t="b">
        <v>0</v>
      </c>
    </row>
    <row r="962" spans="1:54" hidden="1" outlineLevel="2">
      <c r="B962" s="2" t="s">
        <v>889</v>
      </c>
      <c r="C962" s="132"/>
      <c r="BB962" s="2">
        <f>BB960+10000</f>
        <v>350000</v>
      </c>
    </row>
    <row r="963" spans="1:54" hidden="1" outlineLevel="1" collapsed="1">
      <c r="A963" s="34"/>
      <c r="B963" s="2" t="s">
        <v>851</v>
      </c>
      <c r="C963" s="132" t="s">
        <v>1398</v>
      </c>
      <c r="D963" s="102" t="s">
        <v>1399</v>
      </c>
      <c r="E963" s="104"/>
      <c r="BB963" s="2">
        <f t="shared" si="17"/>
        <v>360000</v>
      </c>
    </row>
    <row r="964" spans="1:54" hidden="1" outlineLevel="2">
      <c r="B964" s="2" t="s">
        <v>833</v>
      </c>
      <c r="C964" s="132"/>
      <c r="D964" s="209" t="s">
        <v>843</v>
      </c>
      <c r="E964" s="209" t="s">
        <v>844</v>
      </c>
      <c r="F964" s="209" t="s">
        <v>845</v>
      </c>
      <c r="G964" s="210" t="s">
        <v>846</v>
      </c>
      <c r="H964" s="209" t="s">
        <v>847</v>
      </c>
      <c r="I964" s="210" t="s">
        <v>848</v>
      </c>
      <c r="J964" s="209" t="s">
        <v>849</v>
      </c>
      <c r="K964" s="210" t="s">
        <v>850</v>
      </c>
      <c r="L964" s="210" t="s">
        <v>8055</v>
      </c>
      <c r="M964" s="209" t="s">
        <v>8168</v>
      </c>
      <c r="N964" s="210" t="s">
        <v>8571</v>
      </c>
      <c r="O964" s="210" t="s">
        <v>8755</v>
      </c>
      <c r="P964" s="210" t="s">
        <v>8892</v>
      </c>
      <c r="BB964" s="2">
        <f t="shared" si="17"/>
        <v>370000</v>
      </c>
    </row>
    <row r="965" spans="1:54" hidden="1" outlineLevel="2">
      <c r="B965" s="2" t="s">
        <v>833</v>
      </c>
      <c r="C965" s="124"/>
      <c r="D965" s="226" t="s">
        <v>254</v>
      </c>
      <c r="E965" s="239" t="s">
        <v>1290</v>
      </c>
      <c r="BB965" s="2">
        <f t="shared" si="17"/>
        <v>380000</v>
      </c>
    </row>
    <row r="966" spans="1:54" hidden="1" outlineLevel="2">
      <c r="B966" s="2" t="s">
        <v>853</v>
      </c>
      <c r="C966" s="124" t="s">
        <v>475</v>
      </c>
      <c r="D966" s="111" t="s">
        <v>1295</v>
      </c>
      <c r="E966" s="147">
        <v>0</v>
      </c>
      <c r="BB966" s="2">
        <f t="shared" si="17"/>
        <v>390000</v>
      </c>
    </row>
    <row r="967" spans="1:54" hidden="1" outlineLevel="2">
      <c r="B967" s="2" t="s">
        <v>853</v>
      </c>
      <c r="D967" s="113" t="s">
        <v>1296</v>
      </c>
      <c r="E967" s="114">
        <v>0</v>
      </c>
      <c r="BB967" s="2">
        <f t="shared" si="17"/>
        <v>400000</v>
      </c>
    </row>
    <row r="968" spans="1:54" hidden="1" outlineLevel="2">
      <c r="B968" s="2" t="s">
        <v>853</v>
      </c>
      <c r="D968" s="111" t="s">
        <v>1297</v>
      </c>
      <c r="E968" s="112">
        <v>0.1</v>
      </c>
      <c r="BB968" s="2">
        <f t="shared" si="17"/>
        <v>410000</v>
      </c>
    </row>
    <row r="969" spans="1:54" hidden="1" outlineLevel="2">
      <c r="B969" s="2" t="s">
        <v>853</v>
      </c>
      <c r="D969" s="113" t="s">
        <v>1298</v>
      </c>
      <c r="E969" s="114">
        <v>0.09</v>
      </c>
      <c r="BB969" s="2">
        <f t="shared" si="17"/>
        <v>420000</v>
      </c>
    </row>
    <row r="970" spans="1:54" hidden="1" outlineLevel="2">
      <c r="B970" s="2" t="s">
        <v>853</v>
      </c>
      <c r="D970" s="111" t="s">
        <v>1300</v>
      </c>
      <c r="E970" s="112">
        <v>0.11</v>
      </c>
      <c r="BB970" s="2">
        <f t="shared" si="17"/>
        <v>430000</v>
      </c>
    </row>
    <row r="971" spans="1:54" hidden="1" outlineLevel="2">
      <c r="B971" s="2" t="s">
        <v>853</v>
      </c>
      <c r="D971" s="113" t="s">
        <v>1301</v>
      </c>
      <c r="E971" s="114">
        <v>0.1</v>
      </c>
      <c r="BB971" s="2">
        <f t="shared" si="17"/>
        <v>440000</v>
      </c>
    </row>
    <row r="972" spans="1:54" hidden="1" outlineLevel="2">
      <c r="B972" s="2" t="s">
        <v>853</v>
      </c>
      <c r="D972" s="111" t="s">
        <v>1302</v>
      </c>
      <c r="E972" s="112">
        <v>0.1</v>
      </c>
      <c r="BB972" s="2">
        <f t="shared" si="17"/>
        <v>450000</v>
      </c>
    </row>
    <row r="973" spans="1:54" hidden="1" outlineLevel="2">
      <c r="B973" s="2" t="s">
        <v>853</v>
      </c>
      <c r="C973" s="124"/>
      <c r="D973" s="113" t="s">
        <v>1303</v>
      </c>
      <c r="E973" s="114">
        <v>0.1</v>
      </c>
      <c r="BB973" s="2">
        <f t="shared" si="17"/>
        <v>460000</v>
      </c>
    </row>
    <row r="974" spans="1:54" hidden="1" outlineLevel="2">
      <c r="B974" s="2" t="s">
        <v>860</v>
      </c>
      <c r="BB974" s="2">
        <f t="shared" si="17"/>
        <v>470000</v>
      </c>
    </row>
    <row r="975" spans="1:54" hidden="1" outlineLevel="1" collapsed="1">
      <c r="B975" s="2" t="s">
        <v>870</v>
      </c>
      <c r="C975" s="132" t="s">
        <v>1400</v>
      </c>
      <c r="D975" s="102" t="s">
        <v>1401</v>
      </c>
      <c r="E975" s="103"/>
      <c r="F975" s="104"/>
      <c r="BB975" s="2">
        <f t="shared" si="17"/>
        <v>480000</v>
      </c>
    </row>
    <row r="976" spans="1:54" hidden="1" outlineLevel="2">
      <c r="B976" s="2" t="s">
        <v>833</v>
      </c>
      <c r="C976" s="132"/>
      <c r="D976" s="209" t="s">
        <v>843</v>
      </c>
      <c r="E976" s="209" t="s">
        <v>844</v>
      </c>
      <c r="F976" s="263" t="s">
        <v>845</v>
      </c>
      <c r="G976" s="210" t="s">
        <v>846</v>
      </c>
      <c r="H976" s="210" t="s">
        <v>847</v>
      </c>
      <c r="I976" s="210" t="s">
        <v>848</v>
      </c>
      <c r="J976" s="210" t="s">
        <v>849</v>
      </c>
      <c r="K976" s="210" t="s">
        <v>850</v>
      </c>
      <c r="L976" s="210" t="s">
        <v>8055</v>
      </c>
      <c r="M976" s="210" t="s">
        <v>8168</v>
      </c>
      <c r="N976" s="210" t="s">
        <v>8571</v>
      </c>
      <c r="O976" s="210" t="s">
        <v>8755</v>
      </c>
      <c r="P976" s="210" t="s">
        <v>8892</v>
      </c>
      <c r="BB976" s="2">
        <f t="shared" si="17"/>
        <v>490000</v>
      </c>
    </row>
    <row r="977" spans="2:54" hidden="1" outlineLevel="2">
      <c r="B977" s="2" t="s">
        <v>833</v>
      </c>
      <c r="C977" s="132"/>
      <c r="D977" s="226" t="s">
        <v>1402</v>
      </c>
      <c r="E977" s="226" t="s">
        <v>492</v>
      </c>
      <c r="F977" s="239" t="s">
        <v>1403</v>
      </c>
      <c r="BB977" s="2">
        <f t="shared" si="17"/>
        <v>500000</v>
      </c>
    </row>
    <row r="978" spans="2:54" hidden="1" outlineLevel="2">
      <c r="B978" s="2" t="s">
        <v>874</v>
      </c>
      <c r="D978" s="138" t="s">
        <v>1404</v>
      </c>
      <c r="E978" s="138" t="s">
        <v>293</v>
      </c>
      <c r="F978" s="138" t="s">
        <v>1405</v>
      </c>
      <c r="BB978" s="2">
        <f t="shared" si="17"/>
        <v>510000</v>
      </c>
    </row>
    <row r="979" spans="2:54" hidden="1" outlineLevel="2">
      <c r="B979" s="2" t="s">
        <v>876</v>
      </c>
      <c r="D979" s="111" t="s">
        <v>494</v>
      </c>
      <c r="E979" s="111" t="s">
        <v>493</v>
      </c>
      <c r="F979" s="112">
        <v>0</v>
      </c>
      <c r="BB979" s="2">
        <f t="shared" si="17"/>
        <v>520000</v>
      </c>
    </row>
    <row r="980" spans="2:54" hidden="1" outlineLevel="2">
      <c r="B980" s="2" t="s">
        <v>876</v>
      </c>
      <c r="D980" s="113" t="s">
        <v>496</v>
      </c>
      <c r="E980" s="113" t="s">
        <v>495</v>
      </c>
      <c r="F980" s="114">
        <v>0</v>
      </c>
      <c r="BB980" s="2">
        <f t="shared" si="17"/>
        <v>530000</v>
      </c>
    </row>
    <row r="981" spans="2:54" hidden="1" outlineLevel="2">
      <c r="B981" s="2" t="s">
        <v>876</v>
      </c>
      <c r="D981" s="111" t="s">
        <v>498</v>
      </c>
      <c r="E981" s="111" t="s">
        <v>497</v>
      </c>
      <c r="F981" s="112">
        <v>0</v>
      </c>
      <c r="BB981" s="2">
        <f t="shared" si="17"/>
        <v>540000</v>
      </c>
    </row>
    <row r="982" spans="2:54" hidden="1" outlineLevel="2">
      <c r="B982" s="2" t="s">
        <v>876</v>
      </c>
      <c r="D982" s="113" t="s">
        <v>499</v>
      </c>
      <c r="E982" s="113" t="s">
        <v>490</v>
      </c>
      <c r="F982" s="114">
        <v>0</v>
      </c>
      <c r="BB982" s="2">
        <f t="shared" si="17"/>
        <v>550000</v>
      </c>
    </row>
    <row r="983" spans="2:54" hidden="1" outlineLevel="2">
      <c r="B983" s="2" t="s">
        <v>889</v>
      </c>
      <c r="C983" s="132"/>
      <c r="BB983" s="2">
        <f t="shared" si="17"/>
        <v>560000</v>
      </c>
    </row>
    <row r="984" spans="2:54" hidden="1" outlineLevel="1" collapsed="1">
      <c r="B984" s="2" t="s">
        <v>870</v>
      </c>
      <c r="C984" s="132" t="s">
        <v>1406</v>
      </c>
      <c r="D984" s="102" t="s">
        <v>1407</v>
      </c>
      <c r="E984" s="103"/>
      <c r="F984" s="103"/>
      <c r="G984" s="103"/>
      <c r="H984" s="103"/>
      <c r="I984" s="104"/>
      <c r="BB984" s="2">
        <f t="shared" si="17"/>
        <v>570000</v>
      </c>
    </row>
    <row r="985" spans="2:54" hidden="1" outlineLevel="2">
      <c r="B985" s="2" t="s">
        <v>833</v>
      </c>
      <c r="C985" s="132"/>
      <c r="D985" s="209" t="s">
        <v>843</v>
      </c>
      <c r="E985" s="209" t="s">
        <v>844</v>
      </c>
      <c r="F985" s="263" t="s">
        <v>845</v>
      </c>
      <c r="G985" s="210" t="s">
        <v>846</v>
      </c>
      <c r="H985" s="210" t="s">
        <v>847</v>
      </c>
      <c r="I985" s="210" t="s">
        <v>848</v>
      </c>
      <c r="J985" s="210" t="s">
        <v>849</v>
      </c>
      <c r="K985" s="210" t="s">
        <v>850</v>
      </c>
      <c r="L985" s="210" t="s">
        <v>8055</v>
      </c>
      <c r="M985" s="210" t="s">
        <v>8168</v>
      </c>
      <c r="N985" s="210" t="s">
        <v>8571</v>
      </c>
      <c r="O985" s="210" t="s">
        <v>8755</v>
      </c>
      <c r="P985" s="210" t="s">
        <v>8892</v>
      </c>
      <c r="BB985" s="2">
        <f t="shared" si="17"/>
        <v>580000</v>
      </c>
    </row>
    <row r="986" spans="2:54" hidden="1" outlineLevel="2">
      <c r="B986" s="2" t="s">
        <v>833</v>
      </c>
      <c r="C986" s="132"/>
      <c r="D986" s="226" t="s">
        <v>1028</v>
      </c>
      <c r="E986" s="239" t="s">
        <v>1408</v>
      </c>
      <c r="F986" s="239" t="s">
        <v>1409</v>
      </c>
      <c r="G986" s="239" t="s">
        <v>1308</v>
      </c>
      <c r="H986" s="239" t="s">
        <v>1410</v>
      </c>
      <c r="I986" s="239" t="s">
        <v>1411</v>
      </c>
      <c r="BB986" s="2">
        <f t="shared" si="17"/>
        <v>590000</v>
      </c>
    </row>
    <row r="987" spans="2:54" hidden="1" outlineLevel="2">
      <c r="B987" s="2" t="s">
        <v>874</v>
      </c>
      <c r="C987" s="132"/>
      <c r="D987" s="138" t="s">
        <v>1050</v>
      </c>
      <c r="E987" s="138" t="s">
        <v>1412</v>
      </c>
      <c r="F987" s="138" t="s">
        <v>1413</v>
      </c>
      <c r="G987" s="138" t="s">
        <v>1320</v>
      </c>
      <c r="H987" s="138" t="s">
        <v>1414</v>
      </c>
      <c r="I987" s="138" t="s">
        <v>1415</v>
      </c>
      <c r="BB987" s="2">
        <f t="shared" si="17"/>
        <v>600000</v>
      </c>
    </row>
    <row r="988" spans="2:54" hidden="1" outlineLevel="2">
      <c r="B988" s="2" t="s">
        <v>876</v>
      </c>
      <c r="C988" s="124" t="s">
        <v>405</v>
      </c>
      <c r="D988" s="112" t="s">
        <v>430</v>
      </c>
      <c r="E988" s="111">
        <v>100</v>
      </c>
      <c r="F988" s="112" t="b">
        <v>1</v>
      </c>
      <c r="G988" s="112" t="b">
        <v>0</v>
      </c>
      <c r="H988" s="112">
        <v>0</v>
      </c>
      <c r="I988" s="112">
        <v>0</v>
      </c>
      <c r="BB988" s="2">
        <f t="shared" si="17"/>
        <v>610000</v>
      </c>
    </row>
    <row r="989" spans="2:54" hidden="1" outlineLevel="2">
      <c r="B989" s="2" t="s">
        <v>876</v>
      </c>
      <c r="C989" s="132"/>
      <c r="D989" s="114" t="s">
        <v>432</v>
      </c>
      <c r="E989" s="113">
        <v>101</v>
      </c>
      <c r="F989" s="114" t="b">
        <v>1</v>
      </c>
      <c r="G989" s="114" t="b">
        <v>0</v>
      </c>
      <c r="H989" s="114">
        <v>0</v>
      </c>
      <c r="I989" s="114">
        <v>0</v>
      </c>
      <c r="BB989" s="2">
        <f t="shared" si="17"/>
        <v>620000</v>
      </c>
    </row>
    <row r="990" spans="2:54" hidden="1" outlineLevel="2">
      <c r="B990" s="2" t="s">
        <v>876</v>
      </c>
      <c r="C990" s="132"/>
      <c r="D990" s="112" t="s">
        <v>429</v>
      </c>
      <c r="E990" s="111">
        <v>103</v>
      </c>
      <c r="F990" s="112" t="b">
        <v>1</v>
      </c>
      <c r="G990" s="112" t="b">
        <v>0</v>
      </c>
      <c r="H990" s="112">
        <v>0</v>
      </c>
      <c r="I990" s="112">
        <v>0</v>
      </c>
      <c r="BB990" s="2">
        <f t="shared" si="17"/>
        <v>630000</v>
      </c>
    </row>
    <row r="991" spans="2:54" hidden="1" outlineLevel="2">
      <c r="B991" s="2" t="s">
        <v>876</v>
      </c>
      <c r="C991" s="132"/>
      <c r="D991" s="114" t="s">
        <v>420</v>
      </c>
      <c r="E991" s="113">
        <v>104</v>
      </c>
      <c r="F991" s="114" t="b">
        <v>1</v>
      </c>
      <c r="G991" s="114" t="b">
        <v>0</v>
      </c>
      <c r="H991" s="114">
        <v>0</v>
      </c>
      <c r="I991" s="114">
        <v>0</v>
      </c>
      <c r="BB991" s="2">
        <f t="shared" si="17"/>
        <v>640000</v>
      </c>
    </row>
    <row r="992" spans="2:54" hidden="1" outlineLevel="2">
      <c r="B992" s="2" t="s">
        <v>876</v>
      </c>
      <c r="C992" s="132"/>
      <c r="D992" s="112" t="s">
        <v>1416</v>
      </c>
      <c r="E992" s="111">
        <v>120</v>
      </c>
      <c r="F992" s="112" t="b">
        <v>0</v>
      </c>
      <c r="G992" s="112" t="b">
        <v>0</v>
      </c>
      <c r="H992" s="112">
        <v>0</v>
      </c>
      <c r="I992" s="112">
        <v>0</v>
      </c>
      <c r="BB992" s="2">
        <f t="shared" si="17"/>
        <v>650000</v>
      </c>
    </row>
    <row r="993" spans="2:54" hidden="1" outlineLevel="2">
      <c r="B993" s="2" t="s">
        <v>876</v>
      </c>
      <c r="D993" s="114" t="s">
        <v>422</v>
      </c>
      <c r="E993" s="113">
        <v>140</v>
      </c>
      <c r="F993" s="114" t="b">
        <v>1</v>
      </c>
      <c r="G993" s="114" t="b">
        <v>0</v>
      </c>
      <c r="H993" s="114">
        <v>0</v>
      </c>
      <c r="I993" s="114">
        <v>0</v>
      </c>
      <c r="BB993" s="2">
        <f t="shared" si="17"/>
        <v>660000</v>
      </c>
    </row>
    <row r="994" spans="2:54" hidden="1" outlineLevel="2">
      <c r="B994" s="2" t="s">
        <v>876</v>
      </c>
      <c r="D994" s="112" t="s">
        <v>431</v>
      </c>
      <c r="E994" s="111">
        <v>160</v>
      </c>
      <c r="F994" s="112" t="b">
        <v>1</v>
      </c>
      <c r="G994" s="112" t="b">
        <v>0</v>
      </c>
      <c r="H994" s="112">
        <v>0</v>
      </c>
      <c r="I994" s="112">
        <v>0</v>
      </c>
      <c r="BB994" s="2">
        <f t="shared" si="17"/>
        <v>670000</v>
      </c>
    </row>
    <row r="995" spans="2:54" hidden="1" outlineLevel="2">
      <c r="B995" s="2" t="s">
        <v>876</v>
      </c>
      <c r="D995" s="114" t="s">
        <v>1417</v>
      </c>
      <c r="E995" s="113">
        <v>371</v>
      </c>
      <c r="F995" s="114" t="b">
        <v>0</v>
      </c>
      <c r="G995" s="114" t="b">
        <v>0</v>
      </c>
      <c r="H995" s="114">
        <v>0</v>
      </c>
      <c r="I995" s="114">
        <v>0</v>
      </c>
      <c r="BB995" s="2">
        <f t="shared" si="17"/>
        <v>680000</v>
      </c>
    </row>
    <row r="996" spans="2:54" hidden="1" outlineLevel="2">
      <c r="B996" s="2" t="s">
        <v>876</v>
      </c>
      <c r="D996" s="112" t="s">
        <v>1418</v>
      </c>
      <c r="E996" s="111">
        <v>180</v>
      </c>
      <c r="F996" s="112" t="b">
        <v>0</v>
      </c>
      <c r="G996" s="112" t="b">
        <v>1</v>
      </c>
      <c r="H996" s="112">
        <v>0</v>
      </c>
      <c r="I996" s="112">
        <v>0</v>
      </c>
      <c r="BB996" s="2">
        <f t="shared" si="17"/>
        <v>690000</v>
      </c>
    </row>
    <row r="997" spans="2:54" hidden="1" outlineLevel="2">
      <c r="B997" s="2" t="s">
        <v>876</v>
      </c>
      <c r="D997" s="114" t="s">
        <v>1419</v>
      </c>
      <c r="E997" s="113">
        <v>180</v>
      </c>
      <c r="F997" s="114" t="b">
        <v>0</v>
      </c>
      <c r="G997" s="114" t="b">
        <v>1</v>
      </c>
      <c r="H997" s="114">
        <v>0</v>
      </c>
      <c r="I997" s="114">
        <v>0</v>
      </c>
      <c r="BB997" s="2">
        <f t="shared" si="17"/>
        <v>700000</v>
      </c>
    </row>
    <row r="998" spans="2:54" hidden="1" outlineLevel="2">
      <c r="B998" s="2" t="s">
        <v>876</v>
      </c>
      <c r="D998" s="112" t="s">
        <v>1420</v>
      </c>
      <c r="E998" s="111">
        <v>180</v>
      </c>
      <c r="F998" s="112" t="b">
        <v>0</v>
      </c>
      <c r="G998" s="112" t="b">
        <v>1</v>
      </c>
      <c r="H998" s="112">
        <v>0</v>
      </c>
      <c r="I998" s="112">
        <v>0</v>
      </c>
      <c r="BB998" s="2">
        <f t="shared" si="17"/>
        <v>710000</v>
      </c>
    </row>
    <row r="999" spans="2:54" hidden="1" outlineLevel="2">
      <c r="B999" s="2" t="s">
        <v>876</v>
      </c>
      <c r="D999" s="114" t="s">
        <v>231</v>
      </c>
      <c r="E999" s="113">
        <v>180</v>
      </c>
      <c r="F999" s="114" t="b">
        <v>1</v>
      </c>
      <c r="G999" s="114" t="b">
        <v>1</v>
      </c>
      <c r="H999" s="114">
        <v>0</v>
      </c>
      <c r="I999" s="114">
        <v>0</v>
      </c>
      <c r="BB999" s="2">
        <f t="shared" si="17"/>
        <v>720000</v>
      </c>
    </row>
    <row r="1000" spans="2:54" hidden="1" outlineLevel="2">
      <c r="B1000" s="2" t="s">
        <v>876</v>
      </c>
      <c r="D1000" s="112" t="s">
        <v>1421</v>
      </c>
      <c r="E1000" s="111">
        <v>180</v>
      </c>
      <c r="F1000" s="112" t="b">
        <v>0</v>
      </c>
      <c r="G1000" s="112" t="b">
        <v>1</v>
      </c>
      <c r="H1000" s="112">
        <v>0</v>
      </c>
      <c r="I1000" s="112">
        <v>0</v>
      </c>
      <c r="BB1000" s="2">
        <f t="shared" si="17"/>
        <v>730000</v>
      </c>
    </row>
    <row r="1001" spans="2:54" hidden="1" outlineLevel="2">
      <c r="B1001" s="2" t="s">
        <v>876</v>
      </c>
      <c r="D1001" s="114" t="s">
        <v>1422</v>
      </c>
      <c r="E1001" s="113">
        <v>180</v>
      </c>
      <c r="F1001" s="114" t="b">
        <v>0</v>
      </c>
      <c r="G1001" s="114" t="b">
        <v>1</v>
      </c>
      <c r="H1001" s="114">
        <v>0</v>
      </c>
      <c r="I1001" s="114">
        <v>0</v>
      </c>
      <c r="BB1001" s="2">
        <f t="shared" si="17"/>
        <v>740000</v>
      </c>
    </row>
    <row r="1002" spans="2:54" hidden="1" outlineLevel="2">
      <c r="B1002" s="2" t="s">
        <v>876</v>
      </c>
      <c r="D1002" s="112" t="s">
        <v>423</v>
      </c>
      <c r="E1002" s="111">
        <v>185</v>
      </c>
      <c r="F1002" s="112" t="b">
        <v>1</v>
      </c>
      <c r="G1002" s="112" t="b">
        <v>1</v>
      </c>
      <c r="H1002" s="112">
        <v>0</v>
      </c>
      <c r="I1002" s="112">
        <v>0</v>
      </c>
      <c r="BB1002" s="2">
        <f t="shared" si="17"/>
        <v>750000</v>
      </c>
    </row>
    <row r="1003" spans="2:54" hidden="1" outlineLevel="2">
      <c r="B1003" s="2" t="s">
        <v>876</v>
      </c>
      <c r="D1003" s="114" t="s">
        <v>1423</v>
      </c>
      <c r="E1003" s="113">
        <v>190</v>
      </c>
      <c r="F1003" s="114" t="b">
        <v>0</v>
      </c>
      <c r="G1003" s="114" t="b">
        <v>1</v>
      </c>
      <c r="H1003" s="114">
        <v>0</v>
      </c>
      <c r="I1003" s="114">
        <v>0</v>
      </c>
      <c r="BB1003" s="2">
        <f t="shared" si="17"/>
        <v>760000</v>
      </c>
    </row>
    <row r="1004" spans="2:54" ht="16" hidden="1" outlineLevel="2">
      <c r="B1004" s="2" t="s">
        <v>876</v>
      </c>
      <c r="C1004" s="132"/>
      <c r="D1004" s="264" t="s">
        <v>1424</v>
      </c>
      <c r="E1004" s="111">
        <v>300</v>
      </c>
      <c r="F1004" s="112" t="b">
        <v>0</v>
      </c>
      <c r="G1004" s="112" t="b">
        <v>0</v>
      </c>
      <c r="H1004" s="112">
        <v>0</v>
      </c>
      <c r="I1004" s="112">
        <v>0</v>
      </c>
      <c r="BB1004" s="2">
        <f t="shared" si="17"/>
        <v>770000</v>
      </c>
    </row>
    <row r="1005" spans="2:54" ht="16" hidden="1" outlineLevel="2">
      <c r="B1005" s="2" t="s">
        <v>876</v>
      </c>
      <c r="C1005" s="132"/>
      <c r="D1005" s="265" t="s">
        <v>1425</v>
      </c>
      <c r="E1005" s="113">
        <v>301</v>
      </c>
      <c r="F1005" s="114" t="b">
        <v>0</v>
      </c>
      <c r="G1005" s="114" t="b">
        <v>0</v>
      </c>
      <c r="H1005" s="114">
        <v>0</v>
      </c>
      <c r="I1005" s="114">
        <v>0</v>
      </c>
      <c r="BB1005" s="2">
        <f t="shared" si="17"/>
        <v>780000</v>
      </c>
    </row>
    <row r="1006" spans="2:54" ht="16" hidden="1" outlineLevel="2">
      <c r="B1006" s="2" t="s">
        <v>876</v>
      </c>
      <c r="C1006" s="132"/>
      <c r="D1006" s="264" t="s">
        <v>1426</v>
      </c>
      <c r="E1006" s="111">
        <v>320</v>
      </c>
      <c r="F1006" s="112" t="b">
        <v>0</v>
      </c>
      <c r="G1006" s="112" t="b">
        <v>0</v>
      </c>
      <c r="H1006" s="112">
        <v>0</v>
      </c>
      <c r="I1006" s="112">
        <v>0</v>
      </c>
      <c r="BB1006" s="2">
        <f t="shared" si="17"/>
        <v>790000</v>
      </c>
    </row>
    <row r="1007" spans="2:54" ht="16" hidden="1" outlineLevel="2">
      <c r="B1007" s="2" t="s">
        <v>876</v>
      </c>
      <c r="C1007" s="132"/>
      <c r="D1007" s="265" t="s">
        <v>1427</v>
      </c>
      <c r="E1007" s="113">
        <v>321</v>
      </c>
      <c r="F1007" s="114" t="b">
        <v>0</v>
      </c>
      <c r="G1007" s="114" t="b">
        <v>0</v>
      </c>
      <c r="H1007" s="114">
        <v>0</v>
      </c>
      <c r="I1007" s="114">
        <v>0</v>
      </c>
      <c r="BB1007" s="2">
        <f t="shared" si="17"/>
        <v>800000</v>
      </c>
    </row>
    <row r="1008" spans="2:54" ht="16" hidden="1" outlineLevel="2">
      <c r="B1008" s="2" t="s">
        <v>876</v>
      </c>
      <c r="C1008" s="132"/>
      <c r="D1008" s="264" t="s">
        <v>1428</v>
      </c>
      <c r="E1008" s="111">
        <v>340</v>
      </c>
      <c r="F1008" s="112" t="b">
        <v>0</v>
      </c>
      <c r="G1008" s="112" t="b">
        <v>0</v>
      </c>
      <c r="H1008" s="112">
        <v>0</v>
      </c>
      <c r="I1008" s="112">
        <v>0</v>
      </c>
      <c r="BB1008" s="2">
        <f t="shared" si="17"/>
        <v>810000</v>
      </c>
    </row>
    <row r="1009" spans="2:54" ht="16" hidden="1" outlineLevel="2">
      <c r="B1009" s="2" t="s">
        <v>876</v>
      </c>
      <c r="C1009" s="132"/>
      <c r="D1009" s="265" t="s">
        <v>1429</v>
      </c>
      <c r="E1009" s="113">
        <v>341</v>
      </c>
      <c r="F1009" s="114" t="b">
        <v>0</v>
      </c>
      <c r="G1009" s="114" t="b">
        <v>0</v>
      </c>
      <c r="H1009" s="114">
        <v>0</v>
      </c>
      <c r="I1009" s="114">
        <v>0</v>
      </c>
      <c r="BB1009" s="2">
        <f t="shared" si="17"/>
        <v>820000</v>
      </c>
    </row>
    <row r="1010" spans="2:54" hidden="1" outlineLevel="2">
      <c r="B1010" s="2" t="s">
        <v>876</v>
      </c>
      <c r="C1010" s="132"/>
      <c r="D1010" s="264" t="s">
        <v>433</v>
      </c>
      <c r="E1010" s="111">
        <v>360</v>
      </c>
      <c r="F1010" s="112" t="b">
        <v>1</v>
      </c>
      <c r="G1010" s="112" t="b">
        <v>0</v>
      </c>
      <c r="H1010" s="112">
        <v>0</v>
      </c>
      <c r="I1010" s="112">
        <v>0</v>
      </c>
      <c r="BB1010" s="2">
        <f t="shared" si="17"/>
        <v>830000</v>
      </c>
    </row>
    <row r="1011" spans="2:54" hidden="1" outlineLevel="2">
      <c r="B1011" s="2" t="s">
        <v>876</v>
      </c>
      <c r="C1011" s="132"/>
      <c r="D1011" s="114" t="s">
        <v>1430</v>
      </c>
      <c r="E1011" s="113">
        <v>370</v>
      </c>
      <c r="F1011" s="114" t="b">
        <v>0</v>
      </c>
      <c r="G1011" s="114" t="b">
        <v>0</v>
      </c>
      <c r="H1011" s="114">
        <v>0</v>
      </c>
      <c r="I1011" s="114">
        <v>0</v>
      </c>
      <c r="BB1011" s="2">
        <f t="shared" si="17"/>
        <v>840000</v>
      </c>
    </row>
    <row r="1012" spans="2:54" hidden="1" outlineLevel="2">
      <c r="B1012" s="2" t="s">
        <v>889</v>
      </c>
      <c r="C1012" s="132"/>
      <c r="BB1012" s="2">
        <f t="shared" si="17"/>
        <v>850000</v>
      </c>
    </row>
    <row r="1013" spans="2:54" hidden="1" outlineLevel="1" collapsed="1">
      <c r="B1013" s="2" t="s">
        <v>870</v>
      </c>
      <c r="C1013" s="132" t="s">
        <v>1431</v>
      </c>
      <c r="D1013" s="102" t="s">
        <v>1432</v>
      </c>
      <c r="E1013" s="104"/>
      <c r="BB1013" s="2">
        <f t="shared" si="17"/>
        <v>860000</v>
      </c>
    </row>
    <row r="1014" spans="2:54" hidden="1" outlineLevel="2">
      <c r="B1014" s="2" t="s">
        <v>833</v>
      </c>
      <c r="C1014" s="132"/>
      <c r="D1014" s="209" t="s">
        <v>843</v>
      </c>
      <c r="E1014" s="209" t="s">
        <v>844</v>
      </c>
      <c r="F1014" s="263" t="s">
        <v>845</v>
      </c>
      <c r="G1014" s="210" t="s">
        <v>846</v>
      </c>
      <c r="H1014" s="210" t="s">
        <v>847</v>
      </c>
      <c r="I1014" s="210" t="s">
        <v>848</v>
      </c>
      <c r="J1014" s="210" t="s">
        <v>849</v>
      </c>
      <c r="K1014" s="210" t="s">
        <v>850</v>
      </c>
      <c r="L1014" s="210" t="s">
        <v>8055</v>
      </c>
      <c r="M1014" s="210" t="s">
        <v>8168</v>
      </c>
      <c r="N1014" s="210" t="s">
        <v>8571</v>
      </c>
      <c r="O1014" s="210" t="s">
        <v>8755</v>
      </c>
      <c r="P1014" s="210" t="s">
        <v>8892</v>
      </c>
      <c r="BB1014" s="2">
        <f t="shared" ref="BB1014:BB1038" si="18">BB1013+10000</f>
        <v>870000</v>
      </c>
    </row>
    <row r="1015" spans="2:54" hidden="1" outlineLevel="2">
      <c r="B1015" s="2" t="s">
        <v>833</v>
      </c>
      <c r="C1015" s="132"/>
      <c r="D1015" s="226" t="s">
        <v>1433</v>
      </c>
      <c r="E1015" s="239" t="s">
        <v>1434</v>
      </c>
      <c r="BB1015" s="2">
        <f t="shared" si="18"/>
        <v>880000</v>
      </c>
    </row>
    <row r="1016" spans="2:54" hidden="1" outlineLevel="2">
      <c r="B1016" s="2" t="s">
        <v>874</v>
      </c>
      <c r="C1016" s="132"/>
      <c r="D1016" s="138" t="s">
        <v>1435</v>
      </c>
      <c r="E1016" s="138" t="s">
        <v>1436</v>
      </c>
      <c r="BB1016" s="2">
        <f t="shared" si="18"/>
        <v>890000</v>
      </c>
    </row>
    <row r="1017" spans="2:54" hidden="1" outlineLevel="2">
      <c r="B1017" s="2" t="s">
        <v>876</v>
      </c>
      <c r="C1017" s="132"/>
      <c r="D1017" s="111" t="s">
        <v>1437</v>
      </c>
      <c r="E1017" s="112">
        <v>0</v>
      </c>
      <c r="BB1017" s="2">
        <f t="shared" si="18"/>
        <v>900000</v>
      </c>
    </row>
    <row r="1018" spans="2:54" hidden="1" outlineLevel="2">
      <c r="B1018" s="2" t="s">
        <v>876</v>
      </c>
      <c r="C1018" s="132"/>
      <c r="D1018" s="113" t="s">
        <v>1438</v>
      </c>
      <c r="E1018" s="114">
        <v>0</v>
      </c>
      <c r="BB1018" s="2">
        <f t="shared" si="18"/>
        <v>910000</v>
      </c>
    </row>
    <row r="1019" spans="2:54" hidden="1" outlineLevel="2">
      <c r="B1019" s="2" t="s">
        <v>876</v>
      </c>
      <c r="C1019" s="132"/>
      <c r="D1019" s="111" t="s">
        <v>1439</v>
      </c>
      <c r="E1019" s="112">
        <v>0</v>
      </c>
      <c r="BB1019" s="2">
        <f t="shared" si="18"/>
        <v>920000</v>
      </c>
    </row>
    <row r="1020" spans="2:54" hidden="1" outlineLevel="2">
      <c r="B1020" s="2" t="s">
        <v>876</v>
      </c>
      <c r="C1020" s="132"/>
      <c r="D1020" s="113" t="s">
        <v>1440</v>
      </c>
      <c r="E1020" s="114">
        <v>0</v>
      </c>
      <c r="BB1020" s="2">
        <f t="shared" si="18"/>
        <v>930000</v>
      </c>
    </row>
    <row r="1021" spans="2:54" hidden="1" outlineLevel="2">
      <c r="B1021" s="2" t="s">
        <v>876</v>
      </c>
      <c r="C1021" s="132"/>
      <c r="D1021" s="111" t="s">
        <v>1441</v>
      </c>
      <c r="E1021" s="112">
        <v>0</v>
      </c>
      <c r="BB1021" s="2">
        <f t="shared" si="18"/>
        <v>940000</v>
      </c>
    </row>
    <row r="1022" spans="2:54" hidden="1" outlineLevel="2">
      <c r="B1022" s="2" t="s">
        <v>876</v>
      </c>
      <c r="C1022" s="132"/>
      <c r="D1022" s="113" t="s">
        <v>1442</v>
      </c>
      <c r="E1022" s="114">
        <v>0</v>
      </c>
      <c r="BB1022" s="2">
        <f t="shared" si="18"/>
        <v>950000</v>
      </c>
    </row>
    <row r="1023" spans="2:54" hidden="1" outlineLevel="2">
      <c r="B1023" s="2" t="s">
        <v>876</v>
      </c>
      <c r="C1023" s="132"/>
      <c r="D1023" s="111" t="s">
        <v>1443</v>
      </c>
      <c r="E1023" s="112">
        <v>0</v>
      </c>
      <c r="BB1023" s="2">
        <f t="shared" si="18"/>
        <v>960000</v>
      </c>
    </row>
    <row r="1024" spans="2:54" hidden="1" outlineLevel="2">
      <c r="B1024" s="2" t="s">
        <v>876</v>
      </c>
      <c r="C1024" s="132"/>
      <c r="D1024" s="113" t="s">
        <v>1444</v>
      </c>
      <c r="E1024" s="114">
        <v>0</v>
      </c>
      <c r="BB1024" s="2">
        <f t="shared" si="18"/>
        <v>970000</v>
      </c>
    </row>
    <row r="1025" spans="2:54" hidden="1" outlineLevel="2">
      <c r="B1025" s="2" t="s">
        <v>876</v>
      </c>
      <c r="C1025" s="132"/>
      <c r="D1025" s="111" t="s">
        <v>1445</v>
      </c>
      <c r="E1025" s="112">
        <v>0</v>
      </c>
      <c r="BB1025" s="2">
        <f t="shared" si="18"/>
        <v>980000</v>
      </c>
    </row>
    <row r="1026" spans="2:54" hidden="1" outlineLevel="2">
      <c r="B1026" s="2" t="s">
        <v>876</v>
      </c>
      <c r="C1026" s="132"/>
      <c r="D1026" s="113" t="s">
        <v>1446</v>
      </c>
      <c r="E1026" s="114">
        <v>0</v>
      </c>
      <c r="BB1026" s="2">
        <f t="shared" si="18"/>
        <v>990000</v>
      </c>
    </row>
    <row r="1027" spans="2:54" hidden="1" outlineLevel="2">
      <c r="B1027" s="2" t="s">
        <v>876</v>
      </c>
      <c r="C1027" s="132"/>
      <c r="D1027" s="111" t="s">
        <v>1447</v>
      </c>
      <c r="E1027" s="112">
        <v>0</v>
      </c>
      <c r="BB1027" s="2">
        <f t="shared" si="18"/>
        <v>1000000</v>
      </c>
    </row>
    <row r="1028" spans="2:54" hidden="1" outlineLevel="2">
      <c r="B1028" s="2" t="s">
        <v>889</v>
      </c>
      <c r="C1028" s="132"/>
      <c r="BB1028" s="2">
        <f t="shared" si="18"/>
        <v>1010000</v>
      </c>
    </row>
    <row r="1029" spans="2:54" hidden="1" outlineLevel="1" collapsed="1">
      <c r="B1029" s="2" t="s">
        <v>870</v>
      </c>
      <c r="C1029" s="132" t="s">
        <v>1448</v>
      </c>
      <c r="D1029" s="102" t="s">
        <v>1449</v>
      </c>
      <c r="E1029" s="103"/>
      <c r="F1029" s="103"/>
      <c r="G1029" s="103"/>
      <c r="H1029" s="103"/>
      <c r="I1029" s="103"/>
      <c r="J1029" s="103"/>
      <c r="K1029" s="104"/>
      <c r="BB1029" s="2">
        <f t="shared" si="18"/>
        <v>1020000</v>
      </c>
    </row>
    <row r="1030" spans="2:54" hidden="1" outlineLevel="2">
      <c r="B1030" s="2" t="s">
        <v>833</v>
      </c>
      <c r="C1030" s="132"/>
      <c r="D1030" s="209" t="s">
        <v>843</v>
      </c>
      <c r="E1030" s="210" t="s">
        <v>844</v>
      </c>
      <c r="F1030" s="210" t="s">
        <v>845</v>
      </c>
      <c r="G1030" s="210" t="s">
        <v>846</v>
      </c>
      <c r="H1030" s="210" t="s">
        <v>847</v>
      </c>
      <c r="I1030" s="210" t="s">
        <v>848</v>
      </c>
      <c r="J1030" s="210" t="s">
        <v>849</v>
      </c>
      <c r="K1030" s="210" t="s">
        <v>850</v>
      </c>
      <c r="L1030" s="210" t="s">
        <v>8055</v>
      </c>
      <c r="M1030" s="210" t="s">
        <v>8168</v>
      </c>
      <c r="N1030" s="210" t="s">
        <v>8571</v>
      </c>
      <c r="O1030" s="210" t="s">
        <v>8755</v>
      </c>
      <c r="P1030" s="210" t="s">
        <v>8892</v>
      </c>
      <c r="BB1030" s="2">
        <f t="shared" si="18"/>
        <v>1030000</v>
      </c>
    </row>
    <row r="1031" spans="2:54" hidden="1" outlineLevel="2">
      <c r="B1031" s="2" t="s">
        <v>833</v>
      </c>
      <c r="C1031" s="132"/>
      <c r="D1031" s="226" t="s">
        <v>1450</v>
      </c>
      <c r="E1031" s="226" t="s">
        <v>1451</v>
      </c>
      <c r="F1031" s="226" t="s">
        <v>1308</v>
      </c>
      <c r="G1031" s="226" t="s">
        <v>254</v>
      </c>
      <c r="H1031" s="226" t="s">
        <v>1452</v>
      </c>
      <c r="I1031" s="226" t="s">
        <v>1453</v>
      </c>
      <c r="J1031" s="239" t="s">
        <v>1454</v>
      </c>
      <c r="K1031" s="239" t="s">
        <v>1455</v>
      </c>
      <c r="BB1031" s="2">
        <f t="shared" si="18"/>
        <v>1040000</v>
      </c>
    </row>
    <row r="1032" spans="2:54" hidden="1" outlineLevel="2">
      <c r="B1032" s="2" t="s">
        <v>874</v>
      </c>
      <c r="C1032" s="124" t="s">
        <v>392</v>
      </c>
      <c r="D1032" s="138" t="s">
        <v>1450</v>
      </c>
      <c r="E1032" s="138" t="s">
        <v>1451</v>
      </c>
      <c r="F1032" s="138" t="s">
        <v>1308</v>
      </c>
      <c r="G1032" s="138" t="s">
        <v>254</v>
      </c>
      <c r="H1032" s="138" t="s">
        <v>1452</v>
      </c>
      <c r="I1032" s="138" t="s">
        <v>1453</v>
      </c>
      <c r="J1032" s="138" t="s">
        <v>1454</v>
      </c>
      <c r="K1032" s="138" t="s">
        <v>1455</v>
      </c>
      <c r="BB1032" s="2">
        <f t="shared" si="18"/>
        <v>1050000</v>
      </c>
    </row>
    <row r="1033" spans="2:54" hidden="1" outlineLevel="2">
      <c r="B1033" s="2" t="s">
        <v>876</v>
      </c>
      <c r="C1033" s="132"/>
      <c r="D1033" s="112" t="s">
        <v>1456</v>
      </c>
      <c r="E1033" s="112" t="s">
        <v>1457</v>
      </c>
      <c r="F1033" s="112"/>
      <c r="G1033" s="111"/>
      <c r="H1033" s="111"/>
      <c r="I1033" s="112"/>
      <c r="J1033" s="112"/>
      <c r="K1033" s="112">
        <v>0</v>
      </c>
      <c r="BB1033" s="2">
        <f t="shared" si="18"/>
        <v>1060000</v>
      </c>
    </row>
    <row r="1034" spans="2:54" hidden="1" outlineLevel="2">
      <c r="B1034" s="2" t="s">
        <v>876</v>
      </c>
      <c r="C1034" s="132"/>
      <c r="D1034" s="113" t="s">
        <v>1456</v>
      </c>
      <c r="E1034" s="113" t="s">
        <v>1458</v>
      </c>
      <c r="F1034" s="113" t="b">
        <v>0</v>
      </c>
      <c r="G1034" s="113"/>
      <c r="H1034" s="113">
        <v>2000</v>
      </c>
      <c r="I1034" s="113">
        <v>2999</v>
      </c>
      <c r="J1034" s="113">
        <v>0.85</v>
      </c>
      <c r="K1034" s="114">
        <v>0</v>
      </c>
      <c r="BB1034" s="2">
        <f t="shared" si="18"/>
        <v>1070000</v>
      </c>
    </row>
    <row r="1035" spans="2:54" hidden="1" outlineLevel="2">
      <c r="B1035" s="2" t="s">
        <v>876</v>
      </c>
      <c r="C1035" s="132"/>
      <c r="D1035" s="112" t="s">
        <v>1456</v>
      </c>
      <c r="E1035" s="112" t="s">
        <v>1459</v>
      </c>
      <c r="F1035" s="112" t="b">
        <v>0</v>
      </c>
      <c r="G1035" s="111"/>
      <c r="H1035" s="111">
        <v>2000</v>
      </c>
      <c r="I1035" s="112">
        <v>2999</v>
      </c>
      <c r="J1035" s="112">
        <v>0.85</v>
      </c>
      <c r="K1035" s="112">
        <v>0</v>
      </c>
      <c r="BB1035" s="2">
        <f t="shared" si="18"/>
        <v>1080000</v>
      </c>
    </row>
    <row r="1036" spans="2:54" hidden="1" outlineLevel="2">
      <c r="B1036" s="2" t="s">
        <v>876</v>
      </c>
      <c r="C1036" s="132"/>
      <c r="D1036" s="113" t="s">
        <v>1456</v>
      </c>
      <c r="E1036" s="113"/>
      <c r="F1036" s="113"/>
      <c r="G1036" s="113"/>
      <c r="H1036" s="113"/>
      <c r="I1036" s="113"/>
      <c r="J1036" s="113"/>
      <c r="K1036" s="114">
        <v>0</v>
      </c>
      <c r="BB1036" s="2">
        <f t="shared" si="18"/>
        <v>1090000</v>
      </c>
    </row>
    <row r="1037" spans="2:54" hidden="1" outlineLevel="2">
      <c r="B1037" s="2" t="s">
        <v>876</v>
      </c>
      <c r="C1037" s="132"/>
      <c r="D1037" s="112" t="s">
        <v>1460</v>
      </c>
      <c r="E1037" s="112"/>
      <c r="F1037" s="112"/>
      <c r="G1037" s="111"/>
      <c r="H1037" s="111"/>
      <c r="I1037" s="112"/>
      <c r="J1037" s="112"/>
      <c r="K1037" s="112">
        <v>0</v>
      </c>
      <c r="BB1037" s="2">
        <f t="shared" si="18"/>
        <v>1100000</v>
      </c>
    </row>
    <row r="1038" spans="2:54" hidden="1" outlineLevel="2">
      <c r="B1038" s="2" t="s">
        <v>889</v>
      </c>
      <c r="C1038" s="132"/>
      <c r="BB1038" s="2">
        <f t="shared" si="18"/>
        <v>1110000</v>
      </c>
    </row>
    <row r="1039" spans="2:54" collapsed="1">
      <c r="B1039" s="2" t="s">
        <v>833</v>
      </c>
      <c r="C1039" s="246" t="s">
        <v>1461</v>
      </c>
      <c r="D1039" s="209" t="s">
        <v>843</v>
      </c>
      <c r="E1039" s="210" t="s">
        <v>844</v>
      </c>
      <c r="F1039" s="209" t="s">
        <v>845</v>
      </c>
      <c r="G1039" s="210" t="s">
        <v>846</v>
      </c>
      <c r="H1039" s="210" t="s">
        <v>847</v>
      </c>
      <c r="I1039" s="210" t="s">
        <v>848</v>
      </c>
      <c r="J1039" s="209" t="s">
        <v>849</v>
      </c>
      <c r="K1039" s="209" t="s">
        <v>850</v>
      </c>
      <c r="L1039" s="210" t="s">
        <v>8055</v>
      </c>
      <c r="M1039" s="210" t="s">
        <v>8168</v>
      </c>
      <c r="N1039" s="210" t="s">
        <v>8571</v>
      </c>
      <c r="O1039" s="210" t="s">
        <v>8755</v>
      </c>
      <c r="P1039" s="210" t="s">
        <v>8892</v>
      </c>
    </row>
    <row r="1040" spans="2:54" hidden="1" outlineLevel="1">
      <c r="B1040" s="2" t="s">
        <v>833</v>
      </c>
      <c r="C1040" s="145" t="s">
        <v>834</v>
      </c>
      <c r="D1040" s="145" t="s">
        <v>835</v>
      </c>
      <c r="E1040" s="207" t="s">
        <v>836</v>
      </c>
    </row>
    <row r="1041" spans="2:21" hidden="1" outlineLevel="1">
      <c r="B1041" s="2" t="s">
        <v>837</v>
      </c>
      <c r="C1041" s="138" t="s">
        <v>1462</v>
      </c>
      <c r="D1041" s="114" t="s">
        <v>1463</v>
      </c>
      <c r="E1041" s="112" t="s">
        <v>9085</v>
      </c>
      <c r="H1041" s="223"/>
    </row>
    <row r="1042" spans="2:21" hidden="1" outlineLevel="1">
      <c r="B1042" s="2" t="s">
        <v>833</v>
      </c>
      <c r="C1042" s="206"/>
    </row>
    <row r="1043" spans="2:21" hidden="1" outlineLevel="1" collapsed="1">
      <c r="B1043" s="2" t="s">
        <v>870</v>
      </c>
      <c r="C1043" s="132" t="s">
        <v>1464</v>
      </c>
      <c r="D1043" s="102" t="s">
        <v>1465</v>
      </c>
      <c r="E1043" s="103"/>
      <c r="F1043" s="103"/>
      <c r="G1043" s="103"/>
      <c r="H1043" s="103"/>
      <c r="I1043" s="103"/>
      <c r="J1043" s="103"/>
      <c r="K1043" s="103"/>
      <c r="L1043" s="103"/>
      <c r="M1043" s="103"/>
      <c r="N1043" s="103"/>
      <c r="O1043" s="103"/>
      <c r="P1043" s="104"/>
      <c r="Q1043" s="104"/>
    </row>
    <row r="1044" spans="2:21" hidden="1" outlineLevel="2">
      <c r="B1044" s="2" t="s">
        <v>833</v>
      </c>
      <c r="C1044" s="132"/>
      <c r="D1044" s="226" t="s">
        <v>1018</v>
      </c>
      <c r="E1044" s="239" t="s">
        <v>254</v>
      </c>
      <c r="F1044" s="239" t="s">
        <v>1466</v>
      </c>
      <c r="G1044" s="239" t="s">
        <v>818</v>
      </c>
      <c r="H1044" s="239" t="s">
        <v>1467</v>
      </c>
      <c r="I1044" s="239" t="s">
        <v>1468</v>
      </c>
      <c r="J1044" s="239" t="s">
        <v>819</v>
      </c>
      <c r="K1044" s="239" t="s">
        <v>1469</v>
      </c>
      <c r="L1044" s="239" t="s">
        <v>1470</v>
      </c>
      <c r="M1044" s="239" t="s">
        <v>1021</v>
      </c>
      <c r="N1044" s="239" t="s">
        <v>1471</v>
      </c>
      <c r="O1044" s="239" t="s">
        <v>8832</v>
      </c>
      <c r="P1044" s="239" t="s">
        <v>1472</v>
      </c>
      <c r="Q1044" s="239" t="s">
        <v>1223</v>
      </c>
    </row>
    <row r="1045" spans="2:21" hidden="1" outlineLevel="2">
      <c r="B1045" s="2" t="s">
        <v>874</v>
      </c>
      <c r="C1045" s="105" t="s">
        <v>472</v>
      </c>
      <c r="D1045" s="138" t="s">
        <v>1473</v>
      </c>
      <c r="E1045" s="138" t="s">
        <v>1038</v>
      </c>
      <c r="F1045" s="138" t="s">
        <v>1474</v>
      </c>
      <c r="G1045" s="138" t="s">
        <v>1040</v>
      </c>
      <c r="H1045" s="138" t="s">
        <v>1475</v>
      </c>
      <c r="I1045" s="138" t="s">
        <v>1476</v>
      </c>
      <c r="J1045" s="138" t="s">
        <v>1041</v>
      </c>
      <c r="K1045" s="138" t="s">
        <v>1477</v>
      </c>
      <c r="L1045" s="138" t="s">
        <v>1478</v>
      </c>
      <c r="M1045" s="138" t="s">
        <v>1042</v>
      </c>
      <c r="N1045" s="138" t="s">
        <v>1479</v>
      </c>
      <c r="O1045" s="138" t="s">
        <v>8833</v>
      </c>
      <c r="P1045" s="138" t="s">
        <v>1480</v>
      </c>
      <c r="Q1045" s="138" t="s">
        <v>1225</v>
      </c>
    </row>
    <row r="1046" spans="2:21" hidden="1" outlineLevel="2">
      <c r="B1046" s="2" t="s">
        <v>876</v>
      </c>
      <c r="C1046" s="132"/>
      <c r="D1046" s="266" t="s">
        <v>1481</v>
      </c>
      <c r="E1046" s="112" t="s">
        <v>210</v>
      </c>
      <c r="F1046" s="112" t="s">
        <v>1482</v>
      </c>
      <c r="G1046" s="112" t="s">
        <v>1483</v>
      </c>
      <c r="H1046" s="112" t="s">
        <v>1227</v>
      </c>
      <c r="I1046" s="112"/>
      <c r="J1046" s="112" t="b">
        <v>0</v>
      </c>
      <c r="K1046" s="112" t="s">
        <v>1484</v>
      </c>
      <c r="L1046" s="112" t="b">
        <v>1</v>
      </c>
      <c r="M1046" s="112"/>
      <c r="N1046" s="112"/>
      <c r="O1046" s="112"/>
      <c r="P1046" s="112" t="s">
        <v>1485</v>
      </c>
      <c r="Q1046" s="112" t="s">
        <v>1227</v>
      </c>
      <c r="T1046" s="267"/>
      <c r="U1046" s="267"/>
    </row>
    <row r="1047" spans="2:21" hidden="1" outlineLevel="2">
      <c r="B1047" s="2" t="s">
        <v>876</v>
      </c>
      <c r="C1047" s="132"/>
      <c r="D1047" s="268" t="s">
        <v>1486</v>
      </c>
      <c r="E1047" s="114" t="s">
        <v>210</v>
      </c>
      <c r="F1047" s="114" t="s">
        <v>1487</v>
      </c>
      <c r="G1047" s="269" t="s">
        <v>1483</v>
      </c>
      <c r="H1047" s="114" t="s">
        <v>1227</v>
      </c>
      <c r="I1047" s="114"/>
      <c r="J1047" s="114" t="b">
        <v>0</v>
      </c>
      <c r="K1047" s="114"/>
      <c r="L1047" s="114"/>
      <c r="M1047" s="114"/>
      <c r="N1047" s="114"/>
      <c r="O1047" s="114"/>
      <c r="P1047" s="114" t="s">
        <v>1485</v>
      </c>
      <c r="Q1047" s="114" t="s">
        <v>1227</v>
      </c>
      <c r="T1047" s="267"/>
      <c r="U1047" s="267"/>
    </row>
    <row r="1048" spans="2:21" hidden="1" outlineLevel="2">
      <c r="B1048" s="2" t="s">
        <v>876</v>
      </c>
      <c r="C1048" s="132"/>
      <c r="D1048" s="270" t="s">
        <v>1488</v>
      </c>
      <c r="E1048" s="112" t="s">
        <v>210</v>
      </c>
      <c r="F1048" s="112" t="s">
        <v>1489</v>
      </c>
      <c r="G1048" s="269" t="s">
        <v>1483</v>
      </c>
      <c r="H1048" s="112" t="s">
        <v>1227</v>
      </c>
      <c r="I1048" s="112"/>
      <c r="J1048" s="112" t="b">
        <v>0</v>
      </c>
      <c r="K1048" s="112"/>
      <c r="L1048" s="112"/>
      <c r="M1048" s="112"/>
      <c r="N1048" s="112"/>
      <c r="O1048" s="112"/>
      <c r="P1048" s="112" t="s">
        <v>1485</v>
      </c>
      <c r="Q1048" s="112" t="s">
        <v>1227</v>
      </c>
      <c r="T1048" s="267"/>
      <c r="U1048" s="267"/>
    </row>
    <row r="1049" spans="2:21" hidden="1" outlineLevel="2">
      <c r="B1049" s="2" t="s">
        <v>876</v>
      </c>
      <c r="C1049" s="132"/>
      <c r="D1049" s="268" t="s">
        <v>830</v>
      </c>
      <c r="E1049" s="114" t="s">
        <v>210</v>
      </c>
      <c r="F1049" s="114" t="s">
        <v>1490</v>
      </c>
      <c r="G1049" s="269" t="s">
        <v>1483</v>
      </c>
      <c r="H1049" s="114" t="s">
        <v>1227</v>
      </c>
      <c r="I1049" s="114"/>
      <c r="J1049" s="114" t="b">
        <v>0</v>
      </c>
      <c r="K1049" s="114"/>
      <c r="L1049" s="114"/>
      <c r="M1049" s="114"/>
      <c r="N1049" s="114"/>
      <c r="O1049" s="114"/>
      <c r="P1049" s="114" t="s">
        <v>1485</v>
      </c>
      <c r="Q1049" s="114" t="s">
        <v>1227</v>
      </c>
      <c r="T1049" s="267"/>
      <c r="U1049" s="267"/>
    </row>
    <row r="1050" spans="2:21" hidden="1" outlineLevel="2">
      <c r="B1050" s="2" t="s">
        <v>876</v>
      </c>
      <c r="C1050" s="132"/>
      <c r="D1050" s="270" t="s">
        <v>1491</v>
      </c>
      <c r="E1050" s="112" t="s">
        <v>210</v>
      </c>
      <c r="F1050" s="112" t="s">
        <v>1492</v>
      </c>
      <c r="G1050" s="269" t="s">
        <v>1493</v>
      </c>
      <c r="H1050" s="112" t="s">
        <v>1494</v>
      </c>
      <c r="I1050" s="112"/>
      <c r="J1050" s="112" t="b">
        <v>0</v>
      </c>
      <c r="K1050" s="112" t="s">
        <v>1484</v>
      </c>
      <c r="L1050" s="112" t="b">
        <v>1</v>
      </c>
      <c r="M1050" s="112"/>
      <c r="N1050" s="112"/>
      <c r="O1050" s="112"/>
      <c r="P1050" s="112" t="s">
        <v>1485</v>
      </c>
      <c r="Q1050" s="112" t="s">
        <v>1228</v>
      </c>
      <c r="T1050" s="267"/>
      <c r="U1050" s="267"/>
    </row>
    <row r="1051" spans="2:21" hidden="1" outlineLevel="2">
      <c r="B1051" s="2" t="s">
        <v>876</v>
      </c>
      <c r="C1051" s="132"/>
      <c r="D1051" s="268" t="s">
        <v>1495</v>
      </c>
      <c r="E1051" s="114" t="s">
        <v>210</v>
      </c>
      <c r="F1051" s="114" t="s">
        <v>1496</v>
      </c>
      <c r="G1051" s="114" t="s">
        <v>1483</v>
      </c>
      <c r="H1051" s="114" t="s">
        <v>1227</v>
      </c>
      <c r="I1051" s="114"/>
      <c r="J1051" s="114" t="b">
        <v>0</v>
      </c>
      <c r="K1051" s="114"/>
      <c r="L1051" s="114" t="b">
        <v>1</v>
      </c>
      <c r="M1051" s="114"/>
      <c r="N1051" s="114"/>
      <c r="O1051" s="114"/>
      <c r="P1051" s="114" t="s">
        <v>1485</v>
      </c>
      <c r="Q1051" s="114" t="s">
        <v>1227</v>
      </c>
      <c r="T1051" s="267"/>
      <c r="U1051" s="267"/>
    </row>
    <row r="1052" spans="2:21" hidden="1" outlineLevel="2">
      <c r="B1052" s="2" t="s">
        <v>876</v>
      </c>
      <c r="D1052" s="270" t="s">
        <v>1497</v>
      </c>
      <c r="E1052" s="112" t="s">
        <v>210</v>
      </c>
      <c r="F1052" s="112" t="s">
        <v>1498</v>
      </c>
      <c r="G1052" s="269" t="s">
        <v>1483</v>
      </c>
      <c r="H1052" s="112" t="s">
        <v>1227</v>
      </c>
      <c r="I1052" s="112"/>
      <c r="J1052" s="112" t="b">
        <v>0</v>
      </c>
      <c r="K1052" s="112"/>
      <c r="L1052" s="112"/>
      <c r="M1052" s="112"/>
      <c r="N1052" s="112"/>
      <c r="O1052" s="112"/>
      <c r="P1052" s="112" t="s">
        <v>1485</v>
      </c>
      <c r="Q1052" s="112" t="s">
        <v>1227</v>
      </c>
      <c r="T1052" s="267"/>
      <c r="U1052" s="267"/>
    </row>
    <row r="1053" spans="2:21" hidden="1" outlineLevel="2">
      <c r="B1053" s="2" t="s">
        <v>876</v>
      </c>
      <c r="D1053" s="268" t="s">
        <v>1499</v>
      </c>
      <c r="E1053" s="114" t="s">
        <v>210</v>
      </c>
      <c r="F1053" s="114" t="s">
        <v>1500</v>
      </c>
      <c r="G1053" s="269" t="s">
        <v>1483</v>
      </c>
      <c r="H1053" s="114" t="s">
        <v>1227</v>
      </c>
      <c r="I1053" s="114"/>
      <c r="J1053" s="114" t="b">
        <v>0</v>
      </c>
      <c r="K1053" s="114"/>
      <c r="L1053" s="114"/>
      <c r="M1053" s="114"/>
      <c r="N1053" s="114"/>
      <c r="O1053" s="114"/>
      <c r="P1053" s="114" t="s">
        <v>1485</v>
      </c>
      <c r="Q1053" s="114" t="s">
        <v>1227</v>
      </c>
      <c r="T1053" s="267"/>
      <c r="U1053" s="267"/>
    </row>
    <row r="1054" spans="2:21" hidden="1" outlineLevel="2">
      <c r="B1054" s="2" t="s">
        <v>876</v>
      </c>
      <c r="D1054" s="270" t="s">
        <v>1501</v>
      </c>
      <c r="E1054" s="112" t="s">
        <v>210</v>
      </c>
      <c r="F1054" s="112" t="s">
        <v>1502</v>
      </c>
      <c r="G1054" s="269" t="s">
        <v>1483</v>
      </c>
      <c r="H1054" s="112" t="s">
        <v>1227</v>
      </c>
      <c r="I1054" s="112"/>
      <c r="J1054" s="112" t="b">
        <v>0</v>
      </c>
      <c r="K1054" s="112"/>
      <c r="L1054" s="112"/>
      <c r="M1054" s="112"/>
      <c r="N1054" s="112"/>
      <c r="O1054" s="112"/>
      <c r="P1054" s="112" t="s">
        <v>1485</v>
      </c>
      <c r="Q1054" s="112" t="s">
        <v>1227</v>
      </c>
      <c r="T1054" s="267"/>
      <c r="U1054" s="267"/>
    </row>
    <row r="1055" spans="2:21" hidden="1" outlineLevel="2">
      <c r="B1055" s="2" t="s">
        <v>876</v>
      </c>
      <c r="D1055" s="268" t="s">
        <v>1503</v>
      </c>
      <c r="E1055" s="114" t="s">
        <v>210</v>
      </c>
      <c r="F1055" s="114" t="s">
        <v>1504</v>
      </c>
      <c r="G1055" s="221" t="s">
        <v>1483</v>
      </c>
      <c r="H1055" s="114" t="s">
        <v>1505</v>
      </c>
      <c r="I1055" s="114"/>
      <c r="J1055" s="114" t="b">
        <v>0</v>
      </c>
      <c r="K1055" s="114"/>
      <c r="L1055" s="114"/>
      <c r="M1055" s="114"/>
      <c r="N1055" s="114"/>
      <c r="O1055" s="114"/>
      <c r="P1055" s="114" t="s">
        <v>1485</v>
      </c>
      <c r="Q1055" s="114" t="s">
        <v>1228</v>
      </c>
      <c r="T1055" s="267"/>
      <c r="U1055" s="267"/>
    </row>
    <row r="1056" spans="2:21" hidden="1" outlineLevel="2">
      <c r="B1056" s="2" t="s">
        <v>876</v>
      </c>
      <c r="D1056" s="270" t="s">
        <v>1506</v>
      </c>
      <c r="E1056" s="112" t="s">
        <v>210</v>
      </c>
      <c r="F1056" s="112" t="s">
        <v>1507</v>
      </c>
      <c r="G1056" s="112" t="s">
        <v>1483</v>
      </c>
      <c r="H1056" s="112" t="s">
        <v>1494</v>
      </c>
      <c r="I1056" s="112"/>
      <c r="J1056" s="112" t="b">
        <v>0</v>
      </c>
      <c r="K1056" s="112"/>
      <c r="L1056" s="112"/>
      <c r="M1056" s="112"/>
      <c r="N1056" s="112"/>
      <c r="O1056" s="112"/>
      <c r="P1056" s="112" t="s">
        <v>1485</v>
      </c>
      <c r="Q1056" s="112" t="s">
        <v>1228</v>
      </c>
      <c r="T1056" s="267"/>
      <c r="U1056" s="267"/>
    </row>
    <row r="1057" spans="2:21" hidden="1" outlineLevel="2">
      <c r="B1057" s="2" t="s">
        <v>876</v>
      </c>
      <c r="D1057" s="268" t="s">
        <v>1508</v>
      </c>
      <c r="E1057" s="114" t="s">
        <v>210</v>
      </c>
      <c r="F1057" s="114" t="s">
        <v>1509</v>
      </c>
      <c r="G1057" s="114" t="s">
        <v>1483</v>
      </c>
      <c r="H1057" s="114" t="s">
        <v>1494</v>
      </c>
      <c r="I1057" s="114"/>
      <c r="J1057" s="114" t="b">
        <v>0</v>
      </c>
      <c r="K1057" s="114"/>
      <c r="L1057" s="114"/>
      <c r="M1057" s="114"/>
      <c r="N1057" s="114"/>
      <c r="O1057" s="114"/>
      <c r="P1057" s="114" t="s">
        <v>1485</v>
      </c>
      <c r="Q1057" s="114" t="s">
        <v>1228</v>
      </c>
      <c r="T1057" s="267"/>
      <c r="U1057" s="267"/>
    </row>
    <row r="1058" spans="2:21" hidden="1" outlineLevel="2">
      <c r="B1058" s="2" t="s">
        <v>876</v>
      </c>
      <c r="D1058" s="270" t="s">
        <v>1510</v>
      </c>
      <c r="E1058" s="112" t="s">
        <v>210</v>
      </c>
      <c r="F1058" s="112" t="s">
        <v>1511</v>
      </c>
      <c r="G1058" s="112" t="s">
        <v>1512</v>
      </c>
      <c r="H1058" s="112" t="s">
        <v>1505</v>
      </c>
      <c r="I1058" s="112"/>
      <c r="J1058" s="112" t="b">
        <v>0</v>
      </c>
      <c r="K1058" s="112"/>
      <c r="L1058" s="112"/>
      <c r="M1058" s="112"/>
      <c r="N1058" s="112"/>
      <c r="O1058" s="112"/>
      <c r="P1058" s="112" t="s">
        <v>1485</v>
      </c>
      <c r="Q1058" s="112" t="s">
        <v>1228</v>
      </c>
      <c r="T1058" s="267"/>
      <c r="U1058" s="267"/>
    </row>
    <row r="1059" spans="2:21" hidden="1" outlineLevel="2">
      <c r="B1059" s="2" t="s">
        <v>876</v>
      </c>
      <c r="D1059" s="268" t="s">
        <v>1513</v>
      </c>
      <c r="E1059" s="114" t="s">
        <v>210</v>
      </c>
      <c r="F1059" s="114" t="s">
        <v>1514</v>
      </c>
      <c r="G1059" s="114" t="s">
        <v>1512</v>
      </c>
      <c r="H1059" s="114" t="s">
        <v>1505</v>
      </c>
      <c r="I1059" s="114"/>
      <c r="J1059" s="114" t="b">
        <v>0</v>
      </c>
      <c r="K1059" s="114"/>
      <c r="L1059" s="114"/>
      <c r="M1059" s="114"/>
      <c r="N1059" s="114"/>
      <c r="O1059" s="114"/>
      <c r="P1059" s="114" t="s">
        <v>1485</v>
      </c>
      <c r="Q1059" s="114" t="s">
        <v>1228</v>
      </c>
      <c r="T1059" s="267"/>
      <c r="U1059" s="267"/>
    </row>
    <row r="1060" spans="2:21" hidden="1" outlineLevel="2">
      <c r="B1060" s="2" t="s">
        <v>876</v>
      </c>
      <c r="D1060" s="270" t="s">
        <v>1515</v>
      </c>
      <c r="E1060" s="112" t="s">
        <v>210</v>
      </c>
      <c r="F1060" s="112" t="s">
        <v>1516</v>
      </c>
      <c r="G1060" s="221" t="s">
        <v>1512</v>
      </c>
      <c r="H1060" s="112" t="s">
        <v>1505</v>
      </c>
      <c r="I1060" s="112"/>
      <c r="J1060" s="112" t="b">
        <v>0</v>
      </c>
      <c r="K1060" s="112"/>
      <c r="L1060" s="112" t="b">
        <v>1</v>
      </c>
      <c r="M1060" s="112"/>
      <c r="N1060" s="112"/>
      <c r="O1060" s="112"/>
      <c r="P1060" s="112" t="s">
        <v>1485</v>
      </c>
      <c r="Q1060" s="112" t="s">
        <v>1228</v>
      </c>
      <c r="T1060" s="267"/>
      <c r="U1060" s="267"/>
    </row>
    <row r="1061" spans="2:21" hidden="1" outlineLevel="2">
      <c r="B1061" s="2" t="s">
        <v>876</v>
      </c>
      <c r="D1061" s="268" t="s">
        <v>1517</v>
      </c>
      <c r="E1061" s="114" t="s">
        <v>210</v>
      </c>
      <c r="F1061" s="114" t="s">
        <v>1518</v>
      </c>
      <c r="G1061" s="114" t="s">
        <v>1512</v>
      </c>
      <c r="H1061" s="114" t="s">
        <v>1512</v>
      </c>
      <c r="I1061" s="114"/>
      <c r="J1061" s="114" t="b">
        <v>0</v>
      </c>
      <c r="K1061" s="114"/>
      <c r="L1061" s="114"/>
      <c r="M1061" s="114"/>
      <c r="N1061" s="114"/>
      <c r="O1061" s="114"/>
      <c r="P1061" s="114" t="s">
        <v>1485</v>
      </c>
      <c r="Q1061" s="114" t="s">
        <v>1228</v>
      </c>
      <c r="T1061" s="267"/>
      <c r="U1061" s="267"/>
    </row>
    <row r="1062" spans="2:21" hidden="1" outlineLevel="2">
      <c r="B1062" s="2" t="s">
        <v>876</v>
      </c>
      <c r="D1062" s="270" t="s">
        <v>1519</v>
      </c>
      <c r="E1062" s="112" t="s">
        <v>210</v>
      </c>
      <c r="F1062" s="112" t="s">
        <v>1520</v>
      </c>
      <c r="G1062" s="112" t="s">
        <v>1512</v>
      </c>
      <c r="H1062" s="112" t="s">
        <v>1505</v>
      </c>
      <c r="I1062" s="112"/>
      <c r="J1062" s="112" t="b">
        <v>0</v>
      </c>
      <c r="K1062" s="112"/>
      <c r="L1062" s="112"/>
      <c r="M1062" s="112"/>
      <c r="N1062" s="112"/>
      <c r="O1062" s="112"/>
      <c r="P1062" s="112" t="s">
        <v>1485</v>
      </c>
      <c r="Q1062" s="112" t="s">
        <v>1228</v>
      </c>
      <c r="T1062" s="267"/>
      <c r="U1062" s="267"/>
    </row>
    <row r="1063" spans="2:21" hidden="1" outlineLevel="2">
      <c r="B1063" s="2" t="s">
        <v>876</v>
      </c>
      <c r="D1063" s="268" t="s">
        <v>1521</v>
      </c>
      <c r="E1063" s="114" t="s">
        <v>210</v>
      </c>
      <c r="F1063" s="114" t="s">
        <v>1522</v>
      </c>
      <c r="G1063" s="114" t="s">
        <v>1512</v>
      </c>
      <c r="H1063" s="114" t="s">
        <v>1505</v>
      </c>
      <c r="I1063" s="114"/>
      <c r="J1063" s="114" t="b">
        <v>0</v>
      </c>
      <c r="K1063" s="114"/>
      <c r="L1063" s="114"/>
      <c r="M1063" s="114"/>
      <c r="N1063" s="114"/>
      <c r="O1063" s="114"/>
      <c r="P1063" s="114" t="s">
        <v>1485</v>
      </c>
      <c r="Q1063" s="114" t="s">
        <v>1228</v>
      </c>
      <c r="T1063" s="267"/>
      <c r="U1063" s="267"/>
    </row>
    <row r="1064" spans="2:21" hidden="1" outlineLevel="2">
      <c r="B1064" s="2" t="s">
        <v>876</v>
      </c>
      <c r="D1064" s="270" t="s">
        <v>1523</v>
      </c>
      <c r="E1064" s="112" t="s">
        <v>210</v>
      </c>
      <c r="F1064" s="112" t="s">
        <v>1524</v>
      </c>
      <c r="G1064" s="112" t="s">
        <v>1512</v>
      </c>
      <c r="H1064" s="112" t="s">
        <v>1505</v>
      </c>
      <c r="I1064" s="112"/>
      <c r="J1064" s="112" t="b">
        <v>0</v>
      </c>
      <c r="K1064" s="112"/>
      <c r="L1064" s="112" t="b">
        <v>1</v>
      </c>
      <c r="M1064" s="112"/>
      <c r="N1064" s="112"/>
      <c r="O1064" s="112"/>
      <c r="P1064" s="112" t="s">
        <v>1485</v>
      </c>
      <c r="Q1064" s="112" t="s">
        <v>1228</v>
      </c>
      <c r="T1064" s="267"/>
      <c r="U1064" s="267"/>
    </row>
    <row r="1065" spans="2:21" hidden="1" outlineLevel="2">
      <c r="B1065" s="2" t="s">
        <v>876</v>
      </c>
      <c r="D1065" s="268" t="s">
        <v>1525</v>
      </c>
      <c r="E1065" s="114" t="s">
        <v>210</v>
      </c>
      <c r="F1065" s="114" t="s">
        <v>1526</v>
      </c>
      <c r="G1065" s="114" t="s">
        <v>1512</v>
      </c>
      <c r="H1065" s="114" t="s">
        <v>1512</v>
      </c>
      <c r="I1065" s="114"/>
      <c r="J1065" s="114" t="b">
        <v>0</v>
      </c>
      <c r="K1065" s="114" t="s">
        <v>1484</v>
      </c>
      <c r="L1065" s="114" t="b">
        <v>1</v>
      </c>
      <c r="M1065" s="114"/>
      <c r="N1065" s="114"/>
      <c r="O1065" s="114"/>
      <c r="P1065" s="114" t="s">
        <v>1485</v>
      </c>
      <c r="Q1065" s="114" t="s">
        <v>1228</v>
      </c>
      <c r="T1065" s="267"/>
      <c r="U1065" s="267"/>
    </row>
    <row r="1066" spans="2:21" hidden="1" outlineLevel="2">
      <c r="B1066" s="2" t="s">
        <v>876</v>
      </c>
      <c r="D1066" s="270" t="s">
        <v>1527</v>
      </c>
      <c r="E1066" s="112" t="s">
        <v>210</v>
      </c>
      <c r="F1066" s="112" t="s">
        <v>1528</v>
      </c>
      <c r="G1066" s="112" t="s">
        <v>1493</v>
      </c>
      <c r="H1066" s="112" t="s">
        <v>1505</v>
      </c>
      <c r="I1066" s="112"/>
      <c r="J1066" s="112" t="b">
        <v>0</v>
      </c>
      <c r="K1066" s="112"/>
      <c r="L1066" s="112"/>
      <c r="M1066" s="112"/>
      <c r="N1066" s="112"/>
      <c r="O1066" s="112"/>
      <c r="P1066" s="112" t="s">
        <v>1485</v>
      </c>
      <c r="Q1066" s="112" t="s">
        <v>1228</v>
      </c>
      <c r="T1066" s="267"/>
      <c r="U1066" s="267"/>
    </row>
    <row r="1067" spans="2:21" hidden="1" outlineLevel="2">
      <c r="B1067" s="2" t="s">
        <v>876</v>
      </c>
      <c r="D1067" s="268" t="s">
        <v>1529</v>
      </c>
      <c r="E1067" s="114" t="s">
        <v>210</v>
      </c>
      <c r="F1067" s="114" t="s">
        <v>1530</v>
      </c>
      <c r="G1067" s="114" t="s">
        <v>1512</v>
      </c>
      <c r="H1067" s="114" t="s">
        <v>1505</v>
      </c>
      <c r="I1067" s="114"/>
      <c r="J1067" s="114" t="b">
        <v>0</v>
      </c>
      <c r="K1067" s="114"/>
      <c r="L1067" s="114" t="b">
        <v>1</v>
      </c>
      <c r="M1067" s="114"/>
      <c r="N1067" s="114"/>
      <c r="O1067" s="114"/>
      <c r="P1067" s="114" t="s">
        <v>1485</v>
      </c>
      <c r="Q1067" s="114" t="s">
        <v>1228</v>
      </c>
      <c r="T1067" s="267"/>
      <c r="U1067" s="267"/>
    </row>
    <row r="1068" spans="2:21" hidden="1" outlineLevel="2">
      <c r="B1068" s="2" t="s">
        <v>876</v>
      </c>
      <c r="D1068" s="270" t="s">
        <v>1531</v>
      </c>
      <c r="E1068" s="112" t="s">
        <v>210</v>
      </c>
      <c r="F1068" s="112" t="s">
        <v>1532</v>
      </c>
      <c r="G1068" s="112" t="s">
        <v>1533</v>
      </c>
      <c r="H1068" s="112" t="s">
        <v>1533</v>
      </c>
      <c r="I1068" s="112"/>
      <c r="J1068" s="112" t="b">
        <v>0</v>
      </c>
      <c r="K1068" s="112"/>
      <c r="L1068" s="112"/>
      <c r="M1068" s="112"/>
      <c r="N1068" s="112"/>
      <c r="O1068" s="112"/>
      <c r="P1068" s="112" t="s">
        <v>1485</v>
      </c>
      <c r="Q1068" s="112" t="s">
        <v>1228</v>
      </c>
      <c r="T1068" s="267"/>
      <c r="U1068" s="267"/>
    </row>
    <row r="1069" spans="2:21" hidden="1" outlineLevel="2">
      <c r="B1069" s="2" t="s">
        <v>876</v>
      </c>
      <c r="D1069" s="268" t="s">
        <v>1534</v>
      </c>
      <c r="E1069" s="114" t="s">
        <v>210</v>
      </c>
      <c r="F1069" s="114" t="s">
        <v>1535</v>
      </c>
      <c r="G1069" s="114" t="s">
        <v>1512</v>
      </c>
      <c r="H1069" s="114" t="s">
        <v>1505</v>
      </c>
      <c r="I1069" s="114"/>
      <c r="J1069" s="114" t="b">
        <v>0</v>
      </c>
      <c r="K1069" s="114"/>
      <c r="L1069" s="114"/>
      <c r="M1069" s="114"/>
      <c r="N1069" s="114"/>
      <c r="O1069" s="114"/>
      <c r="P1069" s="114" t="s">
        <v>1485</v>
      </c>
      <c r="Q1069" s="114" t="s">
        <v>1228</v>
      </c>
      <c r="T1069" s="267"/>
      <c r="U1069" s="267"/>
    </row>
    <row r="1070" spans="2:21" hidden="1" outlineLevel="2">
      <c r="B1070" s="2" t="s">
        <v>876</v>
      </c>
      <c r="D1070" s="270" t="s">
        <v>1536</v>
      </c>
      <c r="E1070" s="112" t="s">
        <v>210</v>
      </c>
      <c r="F1070" s="112" t="s">
        <v>1537</v>
      </c>
      <c r="G1070" s="112" t="s">
        <v>1493</v>
      </c>
      <c r="H1070" s="112" t="s">
        <v>1505</v>
      </c>
      <c r="I1070" s="112"/>
      <c r="J1070" s="112" t="b">
        <v>0</v>
      </c>
      <c r="K1070" s="112"/>
      <c r="L1070" s="112"/>
      <c r="M1070" s="112"/>
      <c r="N1070" s="112"/>
      <c r="O1070" s="112"/>
      <c r="P1070" s="112" t="s">
        <v>1485</v>
      </c>
      <c r="Q1070" s="112" t="s">
        <v>1228</v>
      </c>
      <c r="T1070" s="267"/>
      <c r="U1070" s="267"/>
    </row>
    <row r="1071" spans="2:21" hidden="1" outlineLevel="2">
      <c r="B1071" s="2" t="s">
        <v>876</v>
      </c>
      <c r="D1071" s="268" t="s">
        <v>1538</v>
      </c>
      <c r="E1071" s="114" t="s">
        <v>210</v>
      </c>
      <c r="F1071" s="114" t="s">
        <v>1539</v>
      </c>
      <c r="G1071" s="114" t="s">
        <v>1512</v>
      </c>
      <c r="H1071" s="114" t="s">
        <v>1505</v>
      </c>
      <c r="I1071" s="114"/>
      <c r="J1071" s="114" t="b">
        <v>0</v>
      </c>
      <c r="K1071" s="114"/>
      <c r="L1071" s="114"/>
      <c r="M1071" s="114"/>
      <c r="N1071" s="114"/>
      <c r="O1071" s="114"/>
      <c r="P1071" s="114" t="s">
        <v>1485</v>
      </c>
      <c r="Q1071" s="114" t="s">
        <v>1228</v>
      </c>
      <c r="T1071" s="267"/>
      <c r="U1071" s="267"/>
    </row>
    <row r="1072" spans="2:21" hidden="1" outlineLevel="2">
      <c r="B1072" s="2" t="s">
        <v>876</v>
      </c>
      <c r="D1072" s="270" t="s">
        <v>1540</v>
      </c>
      <c r="E1072" s="112" t="s">
        <v>210</v>
      </c>
      <c r="F1072" s="112" t="s">
        <v>1541</v>
      </c>
      <c r="G1072" s="112" t="s">
        <v>1483</v>
      </c>
      <c r="H1072" s="112" t="s">
        <v>1494</v>
      </c>
      <c r="I1072" s="112"/>
      <c r="J1072" s="112" t="b">
        <v>0</v>
      </c>
      <c r="K1072" s="112"/>
      <c r="L1072" s="112"/>
      <c r="M1072" s="112"/>
      <c r="N1072" s="112"/>
      <c r="O1072" s="112"/>
      <c r="P1072" s="112" t="s">
        <v>1485</v>
      </c>
      <c r="Q1072" s="112" t="s">
        <v>1228</v>
      </c>
      <c r="T1072" s="267"/>
      <c r="U1072" s="267"/>
    </row>
    <row r="1073" spans="2:21" hidden="1" outlineLevel="2">
      <c r="B1073" s="2" t="s">
        <v>876</v>
      </c>
      <c r="D1073" s="268" t="s">
        <v>1542</v>
      </c>
      <c r="E1073" s="114" t="s">
        <v>210</v>
      </c>
      <c r="F1073" s="114" t="s">
        <v>1543</v>
      </c>
      <c r="G1073" s="114" t="s">
        <v>1512</v>
      </c>
      <c r="H1073" s="114" t="s">
        <v>1512</v>
      </c>
      <c r="I1073" s="114"/>
      <c r="J1073" s="114" t="b">
        <v>0</v>
      </c>
      <c r="K1073" s="114"/>
      <c r="L1073" s="114"/>
      <c r="M1073" s="114"/>
      <c r="N1073" s="114"/>
      <c r="O1073" s="114"/>
      <c r="P1073" s="114" t="s">
        <v>1485</v>
      </c>
      <c r="Q1073" s="114" t="s">
        <v>1228</v>
      </c>
      <c r="T1073" s="267"/>
      <c r="U1073" s="267"/>
    </row>
    <row r="1074" spans="2:21" hidden="1" outlineLevel="2">
      <c r="B1074" s="2" t="s">
        <v>876</v>
      </c>
      <c r="D1074" s="270" t="s">
        <v>1544</v>
      </c>
      <c r="E1074" s="112" t="s">
        <v>210</v>
      </c>
      <c r="F1074" s="112" t="s">
        <v>1545</v>
      </c>
      <c r="G1074" s="112" t="s">
        <v>1483</v>
      </c>
      <c r="H1074" s="112" t="s">
        <v>1494</v>
      </c>
      <c r="I1074" s="112"/>
      <c r="J1074" s="112" t="b">
        <v>0</v>
      </c>
      <c r="K1074" s="112"/>
      <c r="L1074" s="112"/>
      <c r="M1074" s="112"/>
      <c r="N1074" s="112"/>
      <c r="O1074" s="112"/>
      <c r="P1074" s="112" t="s">
        <v>1485</v>
      </c>
      <c r="Q1074" s="112" t="s">
        <v>1228</v>
      </c>
      <c r="T1074" s="267"/>
      <c r="U1074" s="267"/>
    </row>
    <row r="1075" spans="2:21" hidden="1" outlineLevel="2">
      <c r="B1075" s="2" t="s">
        <v>876</v>
      </c>
      <c r="D1075" s="268" t="s">
        <v>1546</v>
      </c>
      <c r="E1075" s="114" t="s">
        <v>210</v>
      </c>
      <c r="F1075" s="114" t="s">
        <v>1547</v>
      </c>
      <c r="G1075" s="114" t="s">
        <v>1483</v>
      </c>
      <c r="H1075" s="114" t="s">
        <v>1494</v>
      </c>
      <c r="I1075" s="114"/>
      <c r="J1075" s="114" t="b">
        <v>0</v>
      </c>
      <c r="K1075" s="114"/>
      <c r="L1075" s="114"/>
      <c r="M1075" s="114"/>
      <c r="N1075" s="114"/>
      <c r="O1075" s="114"/>
      <c r="P1075" s="114" t="s">
        <v>1485</v>
      </c>
      <c r="Q1075" s="114" t="s">
        <v>1228</v>
      </c>
      <c r="T1075" s="267"/>
      <c r="U1075" s="267"/>
    </row>
    <row r="1076" spans="2:21" hidden="1" outlineLevel="2">
      <c r="B1076" s="2" t="s">
        <v>876</v>
      </c>
      <c r="D1076" s="270" t="s">
        <v>1548</v>
      </c>
      <c r="E1076" s="112" t="s">
        <v>210</v>
      </c>
      <c r="F1076" s="112" t="s">
        <v>1549</v>
      </c>
      <c r="G1076" s="112" t="s">
        <v>1483</v>
      </c>
      <c r="H1076" s="112" t="s">
        <v>1494</v>
      </c>
      <c r="I1076" s="112"/>
      <c r="J1076" s="112" t="b">
        <v>0</v>
      </c>
      <c r="K1076" s="112"/>
      <c r="L1076" s="112"/>
      <c r="M1076" s="112"/>
      <c r="N1076" s="112"/>
      <c r="O1076" s="112"/>
      <c r="P1076" s="112" t="s">
        <v>1485</v>
      </c>
      <c r="Q1076" s="112" t="s">
        <v>1228</v>
      </c>
      <c r="T1076" s="267"/>
      <c r="U1076" s="267"/>
    </row>
    <row r="1077" spans="2:21" hidden="1" outlineLevel="2">
      <c r="B1077" s="2" t="s">
        <v>876</v>
      </c>
      <c r="D1077" s="268" t="s">
        <v>1550</v>
      </c>
      <c r="E1077" s="114" t="s">
        <v>210</v>
      </c>
      <c r="F1077" s="114" t="s">
        <v>1551</v>
      </c>
      <c r="G1077" s="114" t="s">
        <v>1533</v>
      </c>
      <c r="H1077" s="114" t="s">
        <v>1533</v>
      </c>
      <c r="I1077" s="114"/>
      <c r="J1077" s="114" t="b">
        <v>0</v>
      </c>
      <c r="K1077" s="114" t="s">
        <v>1552</v>
      </c>
      <c r="L1077" s="114" t="b">
        <v>1</v>
      </c>
      <c r="M1077" s="114"/>
      <c r="N1077" s="114"/>
      <c r="O1077" s="114"/>
      <c r="P1077" s="114" t="s">
        <v>1485</v>
      </c>
      <c r="Q1077" s="114" t="s">
        <v>1228</v>
      </c>
      <c r="T1077" s="267"/>
      <c r="U1077" s="267"/>
    </row>
    <row r="1078" spans="2:21" hidden="1" outlineLevel="2">
      <c r="B1078" s="2" t="s">
        <v>876</v>
      </c>
      <c r="D1078" s="270" t="s">
        <v>1553</v>
      </c>
      <c r="E1078" s="112" t="s">
        <v>210</v>
      </c>
      <c r="F1078" s="112" t="s">
        <v>1554</v>
      </c>
      <c r="G1078" s="112" t="s">
        <v>1533</v>
      </c>
      <c r="H1078" s="112" t="s">
        <v>1533</v>
      </c>
      <c r="I1078" s="112"/>
      <c r="J1078" s="112" t="b">
        <v>0</v>
      </c>
      <c r="K1078" s="112" t="s">
        <v>1552</v>
      </c>
      <c r="L1078" s="112" t="b">
        <v>1</v>
      </c>
      <c r="M1078" s="112"/>
      <c r="N1078" s="112"/>
      <c r="O1078" s="112"/>
      <c r="P1078" s="112" t="s">
        <v>1485</v>
      </c>
      <c r="Q1078" s="112" t="s">
        <v>1228</v>
      </c>
      <c r="T1078" s="267"/>
      <c r="U1078" s="267"/>
    </row>
    <row r="1079" spans="2:21" hidden="1" outlineLevel="2">
      <c r="B1079" s="2" t="s">
        <v>876</v>
      </c>
      <c r="D1079" s="271" t="s">
        <v>1555</v>
      </c>
      <c r="E1079" s="114" t="s">
        <v>210</v>
      </c>
      <c r="F1079" s="114" t="s">
        <v>1556</v>
      </c>
      <c r="G1079" s="114" t="s">
        <v>1533</v>
      </c>
      <c r="H1079" s="114" t="s">
        <v>1533</v>
      </c>
      <c r="I1079" s="114"/>
      <c r="J1079" s="114" t="b">
        <v>0</v>
      </c>
      <c r="K1079" s="114" t="s">
        <v>1552</v>
      </c>
      <c r="L1079" s="114" t="b">
        <v>1</v>
      </c>
      <c r="M1079" s="114"/>
      <c r="N1079" s="114"/>
      <c r="O1079" s="114"/>
      <c r="P1079" s="114" t="s">
        <v>1485</v>
      </c>
      <c r="Q1079" s="114" t="s">
        <v>1228</v>
      </c>
      <c r="T1079" s="267"/>
      <c r="U1079" s="267"/>
    </row>
    <row r="1080" spans="2:21" hidden="1" outlineLevel="2">
      <c r="B1080" s="2" t="s">
        <v>876</v>
      </c>
      <c r="D1080" s="270">
        <v>2000</v>
      </c>
      <c r="E1080" s="112" t="s">
        <v>208</v>
      </c>
      <c r="F1080" s="112" t="s">
        <v>1557</v>
      </c>
      <c r="G1080" s="221" t="s">
        <v>1572</v>
      </c>
      <c r="H1080" s="112" t="s">
        <v>1227</v>
      </c>
      <c r="I1080" s="112"/>
      <c r="J1080" s="112" t="b">
        <v>0</v>
      </c>
      <c r="K1080" s="112"/>
      <c r="L1080" s="112"/>
      <c r="M1080" s="112"/>
      <c r="N1080" s="691" t="b">
        <v>1</v>
      </c>
      <c r="O1080" s="112"/>
      <c r="P1080" s="112" t="s">
        <v>1485</v>
      </c>
      <c r="Q1080" s="112" t="s">
        <v>1227</v>
      </c>
    </row>
    <row r="1081" spans="2:21" hidden="1" outlineLevel="2">
      <c r="B1081" s="2" t="s">
        <v>876</v>
      </c>
      <c r="D1081" s="270">
        <v>2006</v>
      </c>
      <c r="E1081" s="112" t="s">
        <v>208</v>
      </c>
      <c r="F1081" s="112" t="s">
        <v>1558</v>
      </c>
      <c r="G1081" s="112" t="s">
        <v>1533</v>
      </c>
      <c r="H1081" s="112" t="s">
        <v>1533</v>
      </c>
      <c r="I1081" s="112"/>
      <c r="J1081" s="112" t="b">
        <v>0</v>
      </c>
      <c r="K1081" s="112"/>
      <c r="L1081" s="112"/>
      <c r="M1081" s="112"/>
      <c r="N1081" s="112"/>
      <c r="O1081" s="112"/>
      <c r="P1081" s="112" t="s">
        <v>1485</v>
      </c>
      <c r="Q1081" s="112" t="s">
        <v>1227</v>
      </c>
    </row>
    <row r="1082" spans="2:21" hidden="1" outlineLevel="2">
      <c r="B1082" s="2" t="s">
        <v>876</v>
      </c>
      <c r="D1082" s="268">
        <v>2007</v>
      </c>
      <c r="E1082" s="114" t="s">
        <v>208</v>
      </c>
      <c r="F1082" s="114" t="s">
        <v>1559</v>
      </c>
      <c r="G1082" s="221" t="s">
        <v>1572</v>
      </c>
      <c r="H1082" s="114" t="s">
        <v>1227</v>
      </c>
      <c r="I1082" s="114"/>
      <c r="J1082" s="114" t="b">
        <v>0</v>
      </c>
      <c r="K1082" s="114"/>
      <c r="L1082" s="114"/>
      <c r="M1082" s="114"/>
      <c r="N1082" s="114"/>
      <c r="O1082" s="114"/>
      <c r="P1082" s="114" t="s">
        <v>1485</v>
      </c>
      <c r="Q1082" s="114" t="s">
        <v>1227</v>
      </c>
    </row>
    <row r="1083" spans="2:21" hidden="1" outlineLevel="2">
      <c r="B1083" s="2" t="s">
        <v>876</v>
      </c>
      <c r="D1083" s="270">
        <v>2008</v>
      </c>
      <c r="E1083" s="112" t="s">
        <v>208</v>
      </c>
      <c r="F1083" s="112" t="s">
        <v>1560</v>
      </c>
      <c r="G1083" s="221" t="s">
        <v>1572</v>
      </c>
      <c r="H1083" s="112" t="s">
        <v>1227</v>
      </c>
      <c r="I1083" s="112"/>
      <c r="J1083" s="112" t="b">
        <v>0</v>
      </c>
      <c r="K1083" s="112"/>
      <c r="L1083" s="112"/>
      <c r="M1083" s="112"/>
      <c r="N1083" s="112"/>
      <c r="O1083" s="112"/>
      <c r="P1083" s="112" t="s">
        <v>1485</v>
      </c>
      <c r="Q1083" s="112" t="s">
        <v>1227</v>
      </c>
    </row>
    <row r="1084" spans="2:21" hidden="1" outlineLevel="2">
      <c r="B1084" s="2" t="s">
        <v>876</v>
      </c>
      <c r="D1084" s="268">
        <v>2009</v>
      </c>
      <c r="E1084" s="114" t="s">
        <v>208</v>
      </c>
      <c r="F1084" s="114" t="s">
        <v>1561</v>
      </c>
      <c r="G1084" s="221" t="s">
        <v>1572</v>
      </c>
      <c r="H1084" s="114" t="s">
        <v>1227</v>
      </c>
      <c r="I1084" s="114"/>
      <c r="J1084" s="114" t="b">
        <v>0</v>
      </c>
      <c r="K1084" s="114"/>
      <c r="L1084" s="114"/>
      <c r="M1084" s="114"/>
      <c r="N1084" s="691" t="b">
        <v>1</v>
      </c>
      <c r="O1084" s="114"/>
      <c r="P1084" s="114" t="s">
        <v>1485</v>
      </c>
      <c r="Q1084" s="114" t="s">
        <v>1227</v>
      </c>
    </row>
    <row r="1085" spans="2:21" hidden="1" outlineLevel="2">
      <c r="B1085" s="2" t="s">
        <v>876</v>
      </c>
      <c r="D1085" s="270">
        <v>2010</v>
      </c>
      <c r="E1085" s="112" t="s">
        <v>208</v>
      </c>
      <c r="F1085" s="112" t="s">
        <v>1562</v>
      </c>
      <c r="G1085" s="221" t="s">
        <v>1572</v>
      </c>
      <c r="H1085" s="112" t="s">
        <v>1227</v>
      </c>
      <c r="I1085" s="112"/>
      <c r="J1085" s="112" t="b">
        <v>0</v>
      </c>
      <c r="K1085" s="112"/>
      <c r="L1085" s="112"/>
      <c r="M1085" s="112"/>
      <c r="N1085" s="691" t="b">
        <v>1</v>
      </c>
      <c r="O1085" s="112"/>
      <c r="P1085" s="112" t="s">
        <v>1485</v>
      </c>
      <c r="Q1085" s="112" t="s">
        <v>1227</v>
      </c>
    </row>
    <row r="1086" spans="2:21" hidden="1" outlineLevel="2">
      <c r="B1086" s="2" t="s">
        <v>876</v>
      </c>
      <c r="D1086" s="268">
        <v>2011</v>
      </c>
      <c r="E1086" s="114" t="s">
        <v>208</v>
      </c>
      <c r="F1086" s="114" t="s">
        <v>1563</v>
      </c>
      <c r="G1086" s="221" t="s">
        <v>1572</v>
      </c>
      <c r="H1086" s="114" t="s">
        <v>1227</v>
      </c>
      <c r="I1086" s="114"/>
      <c r="J1086" s="114" t="b">
        <v>0</v>
      </c>
      <c r="K1086" s="114"/>
      <c r="L1086" s="114"/>
      <c r="M1086" s="114"/>
      <c r="N1086" s="691" t="b">
        <v>1</v>
      </c>
      <c r="O1086" s="114"/>
      <c r="P1086" s="114" t="s">
        <v>1485</v>
      </c>
      <c r="Q1086" s="114" t="s">
        <v>1227</v>
      </c>
    </row>
    <row r="1087" spans="2:21" hidden="1" outlineLevel="2">
      <c r="B1087" s="2" t="s">
        <v>876</v>
      </c>
      <c r="D1087" s="270">
        <v>2015</v>
      </c>
      <c r="E1087" s="112" t="s">
        <v>208</v>
      </c>
      <c r="F1087" s="112" t="s">
        <v>1564</v>
      </c>
      <c r="G1087" s="221" t="s">
        <v>1572</v>
      </c>
      <c r="H1087" s="112" t="s">
        <v>1227</v>
      </c>
      <c r="I1087" s="112"/>
      <c r="J1087" s="112" t="b">
        <v>0</v>
      </c>
      <c r="K1087" s="112"/>
      <c r="L1087" s="112"/>
      <c r="M1087" s="112"/>
      <c r="N1087" s="691" t="b">
        <v>1</v>
      </c>
      <c r="O1087" s="112"/>
      <c r="P1087" s="112" t="s">
        <v>1485</v>
      </c>
      <c r="Q1087" s="112" t="s">
        <v>1227</v>
      </c>
    </row>
    <row r="1088" spans="2:21" hidden="1" outlineLevel="2">
      <c r="B1088" s="2" t="s">
        <v>876</v>
      </c>
      <c r="D1088" s="268">
        <v>2016</v>
      </c>
      <c r="E1088" s="114" t="s">
        <v>208</v>
      </c>
      <c r="F1088" s="114" t="s">
        <v>1565</v>
      </c>
      <c r="G1088" s="221" t="s">
        <v>1572</v>
      </c>
      <c r="H1088" s="114" t="s">
        <v>1227</v>
      </c>
      <c r="I1088" s="114"/>
      <c r="J1088" s="114" t="b">
        <v>0</v>
      </c>
      <c r="K1088" s="114"/>
      <c r="L1088" s="114"/>
      <c r="M1088" s="114"/>
      <c r="N1088" s="691" t="b">
        <v>1</v>
      </c>
      <c r="O1088" s="114"/>
      <c r="P1088" s="114" t="s">
        <v>1485</v>
      </c>
      <c r="Q1088" s="114" t="s">
        <v>1227</v>
      </c>
    </row>
    <row r="1089" spans="2:17" hidden="1" outlineLevel="2">
      <c r="B1089" s="2" t="s">
        <v>876</v>
      </c>
      <c r="D1089" s="270">
        <v>2017</v>
      </c>
      <c r="E1089" s="112" t="s">
        <v>208</v>
      </c>
      <c r="F1089" s="112" t="s">
        <v>1566</v>
      </c>
      <c r="G1089" s="221" t="s">
        <v>1572</v>
      </c>
      <c r="H1089" s="112" t="s">
        <v>1227</v>
      </c>
      <c r="I1089" s="112"/>
      <c r="J1089" s="112" t="b">
        <v>0</v>
      </c>
      <c r="K1089" s="112"/>
      <c r="L1089" s="112"/>
      <c r="M1089" s="112"/>
      <c r="N1089" s="112"/>
      <c r="O1089" s="112"/>
      <c r="P1089" s="112" t="s">
        <v>1485</v>
      </c>
      <c r="Q1089" s="112" t="s">
        <v>1227</v>
      </c>
    </row>
    <row r="1090" spans="2:17" hidden="1" outlineLevel="2">
      <c r="B1090" s="2" t="s">
        <v>876</v>
      </c>
      <c r="D1090" s="268">
        <v>2018</v>
      </c>
      <c r="E1090" s="114" t="s">
        <v>208</v>
      </c>
      <c r="F1090" s="114" t="s">
        <v>1567</v>
      </c>
      <c r="G1090" s="221" t="s">
        <v>1572</v>
      </c>
      <c r="H1090" s="114" t="s">
        <v>1227</v>
      </c>
      <c r="I1090" s="114"/>
      <c r="J1090" s="114" t="b">
        <v>0</v>
      </c>
      <c r="K1090" s="114"/>
      <c r="L1090" s="114"/>
      <c r="M1090" s="114"/>
      <c r="N1090" s="691" t="b">
        <v>1</v>
      </c>
      <c r="O1090" s="114"/>
      <c r="P1090" s="114" t="s">
        <v>1485</v>
      </c>
      <c r="Q1090" s="114" t="s">
        <v>1227</v>
      </c>
    </row>
    <row r="1091" spans="2:17" hidden="1" outlineLevel="2">
      <c r="B1091" s="2" t="s">
        <v>876</v>
      </c>
      <c r="D1091" s="270">
        <v>2019</v>
      </c>
      <c r="E1091" s="112" t="s">
        <v>208</v>
      </c>
      <c r="F1091" s="112" t="s">
        <v>1568</v>
      </c>
      <c r="G1091" s="221" t="s">
        <v>1572</v>
      </c>
      <c r="H1091" s="112" t="s">
        <v>1227</v>
      </c>
      <c r="I1091" s="112"/>
      <c r="J1091" s="112" t="b">
        <v>0</v>
      </c>
      <c r="K1091" s="112"/>
      <c r="L1091" s="112"/>
      <c r="M1091" s="112"/>
      <c r="N1091" s="112"/>
      <c r="O1091" s="112"/>
      <c r="P1091" s="112" t="s">
        <v>1485</v>
      </c>
      <c r="Q1091" s="112" t="s">
        <v>1227</v>
      </c>
    </row>
    <row r="1092" spans="2:17" hidden="1" outlineLevel="2">
      <c r="B1092" s="2" t="s">
        <v>876</v>
      </c>
      <c r="D1092" s="268">
        <v>2020</v>
      </c>
      <c r="E1092" s="114" t="s">
        <v>208</v>
      </c>
      <c r="F1092" s="114" t="s">
        <v>1569</v>
      </c>
      <c r="G1092" s="221" t="s">
        <v>1572</v>
      </c>
      <c r="H1092" s="114" t="s">
        <v>1227</v>
      </c>
      <c r="I1092" s="114"/>
      <c r="J1092" s="114" t="b">
        <v>0</v>
      </c>
      <c r="K1092" s="114"/>
      <c r="L1092" s="114"/>
      <c r="M1092" s="114"/>
      <c r="N1092" s="114"/>
      <c r="O1092" s="114"/>
      <c r="P1092" s="114" t="s">
        <v>1485</v>
      </c>
      <c r="Q1092" s="114" t="s">
        <v>1227</v>
      </c>
    </row>
    <row r="1093" spans="2:17" hidden="1" outlineLevel="2">
      <c r="B1093" s="2" t="s">
        <v>876</v>
      </c>
      <c r="D1093" s="270">
        <v>2021</v>
      </c>
      <c r="E1093" s="112" t="s">
        <v>208</v>
      </c>
      <c r="F1093" s="112" t="s">
        <v>1570</v>
      </c>
      <c r="G1093" s="221" t="s">
        <v>1572</v>
      </c>
      <c r="H1093" s="112" t="s">
        <v>1227</v>
      </c>
      <c r="I1093" s="112"/>
      <c r="J1093" s="112" t="b">
        <v>0</v>
      </c>
      <c r="K1093" s="112"/>
      <c r="L1093" s="112"/>
      <c r="M1093" s="112"/>
      <c r="N1093" s="691" t="b">
        <v>1</v>
      </c>
      <c r="O1093" s="112"/>
      <c r="P1093" s="112" t="s">
        <v>1485</v>
      </c>
      <c r="Q1093" s="112" t="s">
        <v>1227</v>
      </c>
    </row>
    <row r="1094" spans="2:17" hidden="1" outlineLevel="2">
      <c r="B1094" s="2" t="s">
        <v>876</v>
      </c>
      <c r="D1094" s="268">
        <v>2022</v>
      </c>
      <c r="E1094" s="114" t="s">
        <v>208</v>
      </c>
      <c r="F1094" s="114" t="s">
        <v>1571</v>
      </c>
      <c r="G1094" s="114" t="s">
        <v>1572</v>
      </c>
      <c r="H1094" s="114" t="s">
        <v>1227</v>
      </c>
      <c r="I1094" s="114"/>
      <c r="J1094" s="114" t="b">
        <v>0</v>
      </c>
      <c r="K1094" s="114"/>
      <c r="L1094" s="114"/>
      <c r="M1094" s="114"/>
      <c r="N1094" s="691" t="b">
        <v>1</v>
      </c>
      <c r="O1094" s="114"/>
      <c r="P1094" s="114" t="s">
        <v>1485</v>
      </c>
      <c r="Q1094" s="114" t="s">
        <v>1227</v>
      </c>
    </row>
    <row r="1095" spans="2:17" hidden="1" outlineLevel="2">
      <c r="B1095" s="2" t="s">
        <v>876</v>
      </c>
      <c r="D1095" s="270">
        <v>2023</v>
      </c>
      <c r="E1095" s="112" t="s">
        <v>208</v>
      </c>
      <c r="F1095" s="112" t="s">
        <v>1573</v>
      </c>
      <c r="G1095" s="112" t="s">
        <v>1572</v>
      </c>
      <c r="H1095" s="112" t="s">
        <v>1227</v>
      </c>
      <c r="I1095" s="112"/>
      <c r="J1095" s="112" t="b">
        <v>0</v>
      </c>
      <c r="K1095" s="112"/>
      <c r="L1095" s="112"/>
      <c r="M1095" s="112"/>
      <c r="N1095" s="691" t="b">
        <v>1</v>
      </c>
      <c r="O1095" s="691">
        <v>8</v>
      </c>
      <c r="P1095" s="112" t="s">
        <v>1485</v>
      </c>
      <c r="Q1095" s="112" t="s">
        <v>1227</v>
      </c>
    </row>
    <row r="1096" spans="2:17" hidden="1" outlineLevel="2">
      <c r="B1096" s="2" t="s">
        <v>876</v>
      </c>
      <c r="D1096" s="268">
        <v>2024</v>
      </c>
      <c r="E1096" s="114" t="s">
        <v>208</v>
      </c>
      <c r="F1096" s="114" t="s">
        <v>1574</v>
      </c>
      <c r="G1096" s="114" t="s">
        <v>1572</v>
      </c>
      <c r="H1096" s="114" t="s">
        <v>1227</v>
      </c>
      <c r="I1096" s="114"/>
      <c r="J1096" s="114" t="b">
        <v>0</v>
      </c>
      <c r="K1096" s="114"/>
      <c r="L1096" s="114"/>
      <c r="M1096" s="114"/>
      <c r="N1096" s="691" t="b">
        <v>1</v>
      </c>
      <c r="O1096" s="691">
        <v>6</v>
      </c>
      <c r="P1096" s="114" t="s">
        <v>1485</v>
      </c>
      <c r="Q1096" s="114" t="s">
        <v>1227</v>
      </c>
    </row>
    <row r="1097" spans="2:17" hidden="1" outlineLevel="2">
      <c r="B1097" s="2" t="s">
        <v>876</v>
      </c>
      <c r="D1097" s="270">
        <v>2025</v>
      </c>
      <c r="E1097" s="112" t="s">
        <v>208</v>
      </c>
      <c r="F1097" s="112" t="s">
        <v>1575</v>
      </c>
      <c r="G1097" s="112" t="s">
        <v>1572</v>
      </c>
      <c r="H1097" s="112" t="s">
        <v>1227</v>
      </c>
      <c r="I1097" s="112"/>
      <c r="J1097" s="112" t="b">
        <v>0</v>
      </c>
      <c r="K1097" s="112"/>
      <c r="L1097" s="112"/>
      <c r="M1097" s="112"/>
      <c r="N1097" s="691" t="b">
        <v>1</v>
      </c>
      <c r="O1097" s="1377">
        <v>6</v>
      </c>
      <c r="P1097" s="112" t="s">
        <v>1485</v>
      </c>
      <c r="Q1097" s="112" t="s">
        <v>1227</v>
      </c>
    </row>
    <row r="1098" spans="2:17" hidden="1" outlineLevel="2">
      <c r="B1098" s="2" t="s">
        <v>876</v>
      </c>
      <c r="D1098" s="268">
        <v>2026</v>
      </c>
      <c r="E1098" s="114" t="s">
        <v>208</v>
      </c>
      <c r="F1098" s="114" t="s">
        <v>1576</v>
      </c>
      <c r="G1098" s="114" t="s">
        <v>1572</v>
      </c>
      <c r="H1098" s="114" t="s">
        <v>1227</v>
      </c>
      <c r="I1098" s="114"/>
      <c r="J1098" s="114" t="b">
        <v>0</v>
      </c>
      <c r="K1098" s="114"/>
      <c r="L1098" s="114"/>
      <c r="M1098" s="114"/>
      <c r="N1098" s="691" t="b">
        <v>1</v>
      </c>
      <c r="O1098" s="1377">
        <v>6</v>
      </c>
      <c r="P1098" s="114" t="s">
        <v>1485</v>
      </c>
      <c r="Q1098" s="114" t="s">
        <v>1227</v>
      </c>
    </row>
    <row r="1099" spans="2:17" hidden="1" outlineLevel="2">
      <c r="B1099" s="2" t="s">
        <v>876</v>
      </c>
      <c r="D1099" s="270">
        <v>2027</v>
      </c>
      <c r="E1099" s="112" t="s">
        <v>208</v>
      </c>
      <c r="F1099" s="112" t="s">
        <v>1577</v>
      </c>
      <c r="G1099" s="112" t="s">
        <v>1572</v>
      </c>
      <c r="H1099" s="112" t="s">
        <v>1227</v>
      </c>
      <c r="I1099" s="112"/>
      <c r="J1099" s="112" t="b">
        <v>0</v>
      </c>
      <c r="K1099" s="112"/>
      <c r="L1099" s="112"/>
      <c r="M1099" s="112"/>
      <c r="N1099" s="691" t="b">
        <v>1</v>
      </c>
      <c r="O1099" s="691">
        <v>8</v>
      </c>
      <c r="P1099" s="112" t="s">
        <v>1485</v>
      </c>
      <c r="Q1099" s="112" t="s">
        <v>1227</v>
      </c>
    </row>
    <row r="1100" spans="2:17" hidden="1" outlineLevel="2">
      <c r="B1100" s="2" t="s">
        <v>876</v>
      </c>
      <c r="D1100" s="268">
        <v>2028</v>
      </c>
      <c r="E1100" s="114" t="s">
        <v>208</v>
      </c>
      <c r="F1100" s="114" t="s">
        <v>1578</v>
      </c>
      <c r="G1100" s="114" t="s">
        <v>1572</v>
      </c>
      <c r="H1100" s="114" t="s">
        <v>1227</v>
      </c>
      <c r="I1100" s="114"/>
      <c r="J1100" s="114" t="b">
        <v>0</v>
      </c>
      <c r="K1100" s="114"/>
      <c r="L1100" s="114"/>
      <c r="M1100" s="114"/>
      <c r="N1100" s="691" t="b">
        <v>1</v>
      </c>
      <c r="O1100" s="1377">
        <v>8</v>
      </c>
      <c r="P1100" s="114" t="s">
        <v>1485</v>
      </c>
      <c r="Q1100" s="114" t="s">
        <v>1227</v>
      </c>
    </row>
    <row r="1101" spans="2:17" hidden="1" outlineLevel="2">
      <c r="B1101" s="2" t="s">
        <v>876</v>
      </c>
      <c r="D1101" s="270">
        <v>2029</v>
      </c>
      <c r="E1101" s="112" t="s">
        <v>208</v>
      </c>
      <c r="F1101" s="112" t="s">
        <v>1579</v>
      </c>
      <c r="G1101" s="112" t="s">
        <v>1572</v>
      </c>
      <c r="H1101" s="112" t="s">
        <v>1227</v>
      </c>
      <c r="I1101" s="112"/>
      <c r="J1101" s="112" t="b">
        <v>0</v>
      </c>
      <c r="K1101" s="112"/>
      <c r="L1101" s="112"/>
      <c r="M1101" s="112"/>
      <c r="N1101" s="691" t="b">
        <v>1</v>
      </c>
      <c r="O1101" s="1377">
        <v>8</v>
      </c>
      <c r="P1101" s="112" t="s">
        <v>1485</v>
      </c>
      <c r="Q1101" s="112" t="s">
        <v>1227</v>
      </c>
    </row>
    <row r="1102" spans="2:17" hidden="1" outlineLevel="2">
      <c r="B1102" s="2" t="s">
        <v>876</v>
      </c>
      <c r="D1102" s="268">
        <v>2030</v>
      </c>
      <c r="E1102" s="114" t="s">
        <v>208</v>
      </c>
      <c r="F1102" s="114" t="s">
        <v>1580</v>
      </c>
      <c r="G1102" s="114" t="s">
        <v>1572</v>
      </c>
      <c r="H1102" s="114" t="s">
        <v>1227</v>
      </c>
      <c r="I1102" s="114"/>
      <c r="J1102" s="114" t="b">
        <v>0</v>
      </c>
      <c r="K1102" s="114"/>
      <c r="L1102" s="114"/>
      <c r="M1102" s="114"/>
      <c r="N1102" s="691" t="b">
        <v>1</v>
      </c>
      <c r="O1102" s="691">
        <v>8</v>
      </c>
      <c r="P1102" s="114" t="s">
        <v>1485</v>
      </c>
      <c r="Q1102" s="114" t="s">
        <v>1227</v>
      </c>
    </row>
    <row r="1103" spans="2:17" hidden="1" outlineLevel="2">
      <c r="B1103" s="2" t="s">
        <v>876</v>
      </c>
      <c r="D1103" s="270">
        <v>2031</v>
      </c>
      <c r="E1103" s="112" t="s">
        <v>208</v>
      </c>
      <c r="F1103" s="112" t="s">
        <v>1581</v>
      </c>
      <c r="G1103" s="112" t="s">
        <v>1572</v>
      </c>
      <c r="H1103" s="112" t="s">
        <v>1227</v>
      </c>
      <c r="I1103" s="112"/>
      <c r="J1103" s="112" t="b">
        <v>0</v>
      </c>
      <c r="K1103" s="112"/>
      <c r="L1103" s="112"/>
      <c r="M1103" s="112"/>
      <c r="N1103" s="691" t="b">
        <v>1</v>
      </c>
      <c r="O1103" s="112"/>
      <c r="P1103" s="112" t="s">
        <v>1485</v>
      </c>
      <c r="Q1103" s="112" t="s">
        <v>1227</v>
      </c>
    </row>
    <row r="1104" spans="2:17" hidden="1" outlineLevel="2">
      <c r="B1104" s="2" t="s">
        <v>876</v>
      </c>
      <c r="D1104" s="268">
        <v>2032</v>
      </c>
      <c r="E1104" s="114" t="s">
        <v>208</v>
      </c>
      <c r="F1104" s="114" t="s">
        <v>1582</v>
      </c>
      <c r="G1104" s="114" t="s">
        <v>1572</v>
      </c>
      <c r="H1104" s="114" t="s">
        <v>1227</v>
      </c>
      <c r="I1104" s="114"/>
      <c r="J1104" s="114" t="b">
        <v>0</v>
      </c>
      <c r="K1104" s="114"/>
      <c r="L1104" s="114"/>
      <c r="M1104" s="114"/>
      <c r="N1104" s="691" t="b">
        <v>1</v>
      </c>
      <c r="O1104" s="114"/>
      <c r="P1104" s="114" t="s">
        <v>1485</v>
      </c>
      <c r="Q1104" s="114" t="s">
        <v>1227</v>
      </c>
    </row>
    <row r="1105" spans="2:17" hidden="1" outlineLevel="2">
      <c r="B1105" s="2" t="s">
        <v>876</v>
      </c>
      <c r="D1105" s="270">
        <v>2033</v>
      </c>
      <c r="E1105" s="112" t="s">
        <v>208</v>
      </c>
      <c r="F1105" s="112" t="s">
        <v>1583</v>
      </c>
      <c r="G1105" s="112" t="s">
        <v>1572</v>
      </c>
      <c r="H1105" s="112" t="s">
        <v>1227</v>
      </c>
      <c r="I1105" s="112"/>
      <c r="J1105" s="112" t="b">
        <v>0</v>
      </c>
      <c r="K1105" s="112"/>
      <c r="L1105" s="112"/>
      <c r="M1105" s="112"/>
      <c r="N1105" s="691" t="b">
        <v>1</v>
      </c>
      <c r="O1105" s="112"/>
      <c r="P1105" s="112" t="s">
        <v>1485</v>
      </c>
      <c r="Q1105" s="112" t="s">
        <v>1227</v>
      </c>
    </row>
    <row r="1106" spans="2:17" hidden="1" outlineLevel="2">
      <c r="B1106" s="2" t="s">
        <v>876</v>
      </c>
      <c r="D1106" s="268">
        <v>2034</v>
      </c>
      <c r="E1106" s="114" t="s">
        <v>208</v>
      </c>
      <c r="F1106" s="114" t="s">
        <v>1584</v>
      </c>
      <c r="G1106" s="114" t="s">
        <v>1572</v>
      </c>
      <c r="H1106" s="114" t="s">
        <v>1227</v>
      </c>
      <c r="I1106" s="114"/>
      <c r="J1106" s="114" t="b">
        <v>0</v>
      </c>
      <c r="K1106" s="114"/>
      <c r="L1106" s="114"/>
      <c r="M1106" s="114"/>
      <c r="N1106" s="691" t="b">
        <v>1</v>
      </c>
      <c r="O1106" s="114"/>
      <c r="P1106" s="114" t="s">
        <v>1485</v>
      </c>
      <c r="Q1106" s="114" t="s">
        <v>1227</v>
      </c>
    </row>
    <row r="1107" spans="2:17" hidden="1" outlineLevel="2">
      <c r="B1107" s="2" t="s">
        <v>876</v>
      </c>
      <c r="D1107" s="270">
        <v>2035</v>
      </c>
      <c r="E1107" s="112" t="s">
        <v>208</v>
      </c>
      <c r="F1107" s="112" t="s">
        <v>1585</v>
      </c>
      <c r="G1107" s="112" t="s">
        <v>1572</v>
      </c>
      <c r="H1107" s="112" t="s">
        <v>1227</v>
      </c>
      <c r="I1107" s="112"/>
      <c r="J1107" s="112" t="b">
        <v>0</v>
      </c>
      <c r="K1107" s="112"/>
      <c r="L1107" s="112"/>
      <c r="M1107" s="112"/>
      <c r="N1107" s="691" t="b">
        <v>1</v>
      </c>
      <c r="O1107" s="112"/>
      <c r="P1107" s="112" t="s">
        <v>1485</v>
      </c>
      <c r="Q1107" s="112" t="s">
        <v>1227</v>
      </c>
    </row>
    <row r="1108" spans="2:17" hidden="1" outlineLevel="2">
      <c r="B1108" s="2" t="s">
        <v>876</v>
      </c>
      <c r="D1108" s="268">
        <v>2036</v>
      </c>
      <c r="E1108" s="114" t="s">
        <v>208</v>
      </c>
      <c r="F1108" s="114" t="s">
        <v>1586</v>
      </c>
      <c r="G1108" s="114" t="s">
        <v>1572</v>
      </c>
      <c r="H1108" s="114" t="s">
        <v>1227</v>
      </c>
      <c r="I1108" s="114"/>
      <c r="J1108" s="114" t="b">
        <v>0</v>
      </c>
      <c r="K1108" s="114"/>
      <c r="L1108" s="114"/>
      <c r="M1108" s="114"/>
      <c r="N1108" s="691" t="b">
        <v>1</v>
      </c>
      <c r="O1108" s="114"/>
      <c r="P1108" s="114" t="s">
        <v>1485</v>
      </c>
      <c r="Q1108" s="114" t="s">
        <v>1227</v>
      </c>
    </row>
    <row r="1109" spans="2:17" hidden="1" outlineLevel="2">
      <c r="B1109" s="2" t="s">
        <v>876</v>
      </c>
      <c r="D1109" s="270">
        <v>2037</v>
      </c>
      <c r="E1109" s="112" t="s">
        <v>208</v>
      </c>
      <c r="F1109" s="112" t="s">
        <v>1587</v>
      </c>
      <c r="G1109" s="112" t="s">
        <v>1572</v>
      </c>
      <c r="H1109" s="112" t="s">
        <v>1227</v>
      </c>
      <c r="I1109" s="112"/>
      <c r="J1109" s="112" t="b">
        <v>0</v>
      </c>
      <c r="K1109" s="112"/>
      <c r="L1109" s="112"/>
      <c r="M1109" s="112"/>
      <c r="N1109" s="691" t="b">
        <v>1</v>
      </c>
      <c r="O1109" s="112"/>
      <c r="P1109" s="112" t="s">
        <v>1485</v>
      </c>
      <c r="Q1109" s="112" t="s">
        <v>1227</v>
      </c>
    </row>
    <row r="1110" spans="2:17" hidden="1" outlineLevel="2">
      <c r="B1110" s="2" t="s">
        <v>876</v>
      </c>
      <c r="D1110" s="268">
        <v>2038</v>
      </c>
      <c r="E1110" s="114" t="s">
        <v>208</v>
      </c>
      <c r="F1110" s="114" t="s">
        <v>1588</v>
      </c>
      <c r="G1110" s="114" t="s">
        <v>1572</v>
      </c>
      <c r="H1110" s="114" t="s">
        <v>1227</v>
      </c>
      <c r="I1110" s="114"/>
      <c r="J1110" s="114" t="b">
        <v>0</v>
      </c>
      <c r="K1110" s="114"/>
      <c r="L1110" s="114"/>
      <c r="M1110" s="114"/>
      <c r="N1110" s="691" t="b">
        <v>1</v>
      </c>
      <c r="O1110" s="114"/>
      <c r="P1110" s="114" t="s">
        <v>1485</v>
      </c>
      <c r="Q1110" s="114" t="s">
        <v>1227</v>
      </c>
    </row>
    <row r="1111" spans="2:17" hidden="1" outlineLevel="2">
      <c r="B1111" s="2" t="s">
        <v>876</v>
      </c>
      <c r="D1111" s="270">
        <v>2039</v>
      </c>
      <c r="E1111" s="112" t="s">
        <v>208</v>
      </c>
      <c r="F1111" s="112" t="s">
        <v>1589</v>
      </c>
      <c r="G1111" s="112" t="s">
        <v>1572</v>
      </c>
      <c r="H1111" s="112" t="s">
        <v>1227</v>
      </c>
      <c r="I1111" s="112"/>
      <c r="J1111" s="112" t="b">
        <v>0</v>
      </c>
      <c r="K1111" s="112"/>
      <c r="L1111" s="112"/>
      <c r="M1111" s="112"/>
      <c r="N1111" s="691" t="b">
        <v>1</v>
      </c>
      <c r="O1111" s="112"/>
      <c r="P1111" s="112" t="s">
        <v>1485</v>
      </c>
      <c r="Q1111" s="112" t="s">
        <v>1227</v>
      </c>
    </row>
    <row r="1112" spans="2:17" hidden="1" outlineLevel="2">
      <c r="B1112" s="2" t="s">
        <v>876</v>
      </c>
      <c r="D1112" s="268">
        <v>2040</v>
      </c>
      <c r="E1112" s="114" t="s">
        <v>208</v>
      </c>
      <c r="F1112" s="114" t="s">
        <v>1590</v>
      </c>
      <c r="G1112" s="114" t="s">
        <v>1572</v>
      </c>
      <c r="H1112" s="114" t="s">
        <v>1227</v>
      </c>
      <c r="I1112" s="114"/>
      <c r="J1112" s="114" t="b">
        <v>0</v>
      </c>
      <c r="K1112" s="114"/>
      <c r="L1112" s="114"/>
      <c r="M1112" s="114"/>
      <c r="N1112" s="691" t="b">
        <v>1</v>
      </c>
      <c r="O1112" s="114"/>
      <c r="P1112" s="114" t="s">
        <v>1485</v>
      </c>
      <c r="Q1112" s="114" t="s">
        <v>1227</v>
      </c>
    </row>
    <row r="1113" spans="2:17" hidden="1" outlineLevel="2">
      <c r="B1113" s="2" t="s">
        <v>876</v>
      </c>
      <c r="D1113" s="270">
        <v>2041</v>
      </c>
      <c r="E1113" s="112" t="s">
        <v>208</v>
      </c>
      <c r="F1113" s="112" t="s">
        <v>1591</v>
      </c>
      <c r="G1113" s="112" t="s">
        <v>1572</v>
      </c>
      <c r="H1113" s="112" t="s">
        <v>1227</v>
      </c>
      <c r="I1113" s="112"/>
      <c r="J1113" s="112" t="b">
        <v>0</v>
      </c>
      <c r="K1113" s="112"/>
      <c r="L1113" s="112"/>
      <c r="M1113" s="112"/>
      <c r="N1113" s="691" t="b">
        <v>1</v>
      </c>
      <c r="O1113" s="112"/>
      <c r="P1113" s="112" t="s">
        <v>1485</v>
      </c>
      <c r="Q1113" s="112" t="s">
        <v>1227</v>
      </c>
    </row>
    <row r="1114" spans="2:17" hidden="1" outlineLevel="2">
      <c r="B1114" s="2" t="s">
        <v>876</v>
      </c>
      <c r="D1114" s="268">
        <v>2042</v>
      </c>
      <c r="E1114" s="114" t="s">
        <v>208</v>
      </c>
      <c r="F1114" s="114" t="s">
        <v>1592</v>
      </c>
      <c r="G1114" s="114" t="s">
        <v>1572</v>
      </c>
      <c r="H1114" s="114" t="s">
        <v>1227</v>
      </c>
      <c r="I1114" s="114"/>
      <c r="J1114" s="114" t="b">
        <v>0</v>
      </c>
      <c r="K1114" s="114"/>
      <c r="L1114" s="114"/>
      <c r="M1114" s="114"/>
      <c r="N1114" s="114"/>
      <c r="O1114" s="114"/>
      <c r="P1114" s="114" t="s">
        <v>1485</v>
      </c>
      <c r="Q1114" s="114" t="s">
        <v>1227</v>
      </c>
    </row>
    <row r="1115" spans="2:17" hidden="1" outlineLevel="2">
      <c r="B1115" s="2" t="s">
        <v>876</v>
      </c>
      <c r="D1115" s="270">
        <v>2043</v>
      </c>
      <c r="E1115" s="112" t="s">
        <v>208</v>
      </c>
      <c r="F1115" s="112" t="s">
        <v>1593</v>
      </c>
      <c r="G1115" s="112" t="s">
        <v>1572</v>
      </c>
      <c r="H1115" s="112" t="s">
        <v>1227</v>
      </c>
      <c r="I1115" s="112"/>
      <c r="J1115" s="112" t="b">
        <v>0</v>
      </c>
      <c r="K1115" s="112"/>
      <c r="L1115" s="112"/>
      <c r="M1115" s="112"/>
      <c r="N1115" s="112"/>
      <c r="O1115" s="112"/>
      <c r="P1115" s="112" t="s">
        <v>1485</v>
      </c>
      <c r="Q1115" s="112" t="s">
        <v>1227</v>
      </c>
    </row>
    <row r="1116" spans="2:17" hidden="1" outlineLevel="2">
      <c r="B1116" s="2" t="s">
        <v>876</v>
      </c>
      <c r="D1116" s="268">
        <v>2044</v>
      </c>
      <c r="E1116" s="114" t="s">
        <v>208</v>
      </c>
      <c r="F1116" s="114" t="s">
        <v>1594</v>
      </c>
      <c r="G1116" s="114" t="s">
        <v>1572</v>
      </c>
      <c r="H1116" s="114" t="s">
        <v>1227</v>
      </c>
      <c r="I1116" s="114"/>
      <c r="J1116" s="114" t="b">
        <v>0</v>
      </c>
      <c r="K1116" s="114"/>
      <c r="L1116" s="114"/>
      <c r="M1116" s="114"/>
      <c r="N1116" s="114"/>
      <c r="O1116" s="114"/>
      <c r="P1116" s="114" t="s">
        <v>1485</v>
      </c>
      <c r="Q1116" s="114" t="s">
        <v>1227</v>
      </c>
    </row>
    <row r="1117" spans="2:17" hidden="1" outlineLevel="2">
      <c r="B1117" s="2" t="s">
        <v>876</v>
      </c>
      <c r="D1117" s="270">
        <v>2045</v>
      </c>
      <c r="E1117" s="112" t="s">
        <v>208</v>
      </c>
      <c r="F1117" s="112" t="s">
        <v>1595</v>
      </c>
      <c r="G1117" s="112" t="s">
        <v>1572</v>
      </c>
      <c r="H1117" s="112" t="s">
        <v>1227</v>
      </c>
      <c r="I1117" s="112"/>
      <c r="J1117" s="112" t="b">
        <v>0</v>
      </c>
      <c r="K1117" s="112"/>
      <c r="L1117" s="112"/>
      <c r="M1117" s="112"/>
      <c r="N1117" s="691" t="b">
        <v>1</v>
      </c>
      <c r="O1117" s="112"/>
      <c r="P1117" s="112" t="s">
        <v>1485</v>
      </c>
      <c r="Q1117" s="112" t="s">
        <v>1227</v>
      </c>
    </row>
    <row r="1118" spans="2:17" hidden="1" outlineLevel="2">
      <c r="B1118" s="2" t="s">
        <v>876</v>
      </c>
      <c r="D1118" s="268">
        <v>2046</v>
      </c>
      <c r="E1118" s="114" t="s">
        <v>208</v>
      </c>
      <c r="F1118" s="114" t="s">
        <v>1596</v>
      </c>
      <c r="G1118" s="114" t="s">
        <v>1572</v>
      </c>
      <c r="H1118" s="114" t="s">
        <v>1227</v>
      </c>
      <c r="I1118" s="114"/>
      <c r="J1118" s="114" t="b">
        <v>0</v>
      </c>
      <c r="K1118" s="114"/>
      <c r="L1118" s="114"/>
      <c r="M1118" s="114"/>
      <c r="N1118" s="691" t="b">
        <v>1</v>
      </c>
      <c r="O1118" s="114"/>
      <c r="P1118" s="114" t="s">
        <v>1485</v>
      </c>
      <c r="Q1118" s="114" t="s">
        <v>1227</v>
      </c>
    </row>
    <row r="1119" spans="2:17" hidden="1" outlineLevel="2">
      <c r="B1119" s="2" t="s">
        <v>876</v>
      </c>
      <c r="D1119" s="270">
        <v>2047</v>
      </c>
      <c r="E1119" s="112" t="s">
        <v>208</v>
      </c>
      <c r="F1119" s="112" t="s">
        <v>1597</v>
      </c>
      <c r="G1119" s="112" t="s">
        <v>1572</v>
      </c>
      <c r="H1119" s="112" t="s">
        <v>1227</v>
      </c>
      <c r="I1119" s="112"/>
      <c r="J1119" s="112" t="b">
        <v>0</v>
      </c>
      <c r="K1119" s="112"/>
      <c r="L1119" s="112"/>
      <c r="M1119" s="112"/>
      <c r="N1119" s="691" t="b">
        <v>1</v>
      </c>
      <c r="O1119" s="112"/>
      <c r="P1119" s="112" t="s">
        <v>1485</v>
      </c>
      <c r="Q1119" s="112" t="s">
        <v>1227</v>
      </c>
    </row>
    <row r="1120" spans="2:17" hidden="1" outlineLevel="2">
      <c r="B1120" s="2" t="s">
        <v>876</v>
      </c>
      <c r="D1120" s="268">
        <v>2048</v>
      </c>
      <c r="E1120" s="114" t="s">
        <v>208</v>
      </c>
      <c r="F1120" s="114" t="s">
        <v>1598</v>
      </c>
      <c r="G1120" s="114" t="s">
        <v>1572</v>
      </c>
      <c r="H1120" s="114" t="s">
        <v>1227</v>
      </c>
      <c r="I1120" s="114"/>
      <c r="J1120" s="114" t="b">
        <v>0</v>
      </c>
      <c r="K1120" s="114"/>
      <c r="L1120" s="114"/>
      <c r="M1120" s="114"/>
      <c r="N1120" s="691" t="b">
        <v>1</v>
      </c>
      <c r="O1120" s="114"/>
      <c r="P1120" s="114" t="s">
        <v>1485</v>
      </c>
      <c r="Q1120" s="114" t="s">
        <v>1227</v>
      </c>
    </row>
    <row r="1121" spans="2:17" hidden="1" outlineLevel="2">
      <c r="B1121" s="2" t="s">
        <v>876</v>
      </c>
      <c r="D1121" s="270">
        <v>2049</v>
      </c>
      <c r="E1121" s="112" t="s">
        <v>208</v>
      </c>
      <c r="F1121" s="112" t="s">
        <v>1599</v>
      </c>
      <c r="G1121" s="112" t="s">
        <v>1572</v>
      </c>
      <c r="H1121" s="112" t="s">
        <v>1227</v>
      </c>
      <c r="I1121" s="112"/>
      <c r="J1121" s="112" t="b">
        <v>0</v>
      </c>
      <c r="K1121" s="112"/>
      <c r="L1121" s="112"/>
      <c r="M1121" s="112"/>
      <c r="N1121" s="691" t="b">
        <v>1</v>
      </c>
      <c r="O1121" s="112"/>
      <c r="P1121" s="112" t="s">
        <v>1485</v>
      </c>
      <c r="Q1121" s="112" t="s">
        <v>1227</v>
      </c>
    </row>
    <row r="1122" spans="2:17" hidden="1" outlineLevel="2">
      <c r="B1122" s="2" t="s">
        <v>876</v>
      </c>
      <c r="D1122" s="268">
        <v>2050</v>
      </c>
      <c r="E1122" s="114" t="s">
        <v>208</v>
      </c>
      <c r="F1122" s="114" t="s">
        <v>1600</v>
      </c>
      <c r="G1122" s="114" t="s">
        <v>1572</v>
      </c>
      <c r="H1122" s="114" t="s">
        <v>1227</v>
      </c>
      <c r="I1122" s="114"/>
      <c r="J1122" s="114" t="b">
        <v>0</v>
      </c>
      <c r="K1122" s="114"/>
      <c r="L1122" s="114"/>
      <c r="M1122" s="114"/>
      <c r="N1122" s="691" t="b">
        <v>1</v>
      </c>
      <c r="O1122" s="114"/>
      <c r="P1122" s="114" t="s">
        <v>1485</v>
      </c>
      <c r="Q1122" s="114" t="s">
        <v>1227</v>
      </c>
    </row>
    <row r="1123" spans="2:17" hidden="1" outlineLevel="2">
      <c r="B1123" s="2" t="s">
        <v>876</v>
      </c>
      <c r="D1123" s="270">
        <v>2060</v>
      </c>
      <c r="E1123" s="112" t="s">
        <v>208</v>
      </c>
      <c r="F1123" s="112" t="s">
        <v>1601</v>
      </c>
      <c r="G1123" s="221" t="s">
        <v>1572</v>
      </c>
      <c r="H1123" s="112" t="s">
        <v>1227</v>
      </c>
      <c r="I1123" s="112"/>
      <c r="J1123" s="112" t="b">
        <v>0</v>
      </c>
      <c r="K1123" s="112"/>
      <c r="L1123" s="112"/>
      <c r="M1123" s="112"/>
      <c r="N1123" s="691" t="b">
        <v>1</v>
      </c>
      <c r="O1123" s="112"/>
      <c r="P1123" s="112" t="s">
        <v>1485</v>
      </c>
      <c r="Q1123" s="112" t="s">
        <v>1227</v>
      </c>
    </row>
    <row r="1124" spans="2:17" hidden="1" outlineLevel="2">
      <c r="B1124" s="2" t="s">
        <v>876</v>
      </c>
      <c r="D1124" s="268">
        <v>2061</v>
      </c>
      <c r="E1124" s="114" t="s">
        <v>208</v>
      </c>
      <c r="F1124" s="114" t="s">
        <v>1602</v>
      </c>
      <c r="G1124" s="221" t="s">
        <v>1572</v>
      </c>
      <c r="H1124" s="114" t="s">
        <v>1227</v>
      </c>
      <c r="I1124" s="114"/>
      <c r="J1124" s="114" t="b">
        <v>0</v>
      </c>
      <c r="K1124" s="114"/>
      <c r="L1124" s="114"/>
      <c r="M1124" s="114"/>
      <c r="N1124" s="691" t="b">
        <v>1</v>
      </c>
      <c r="O1124" s="114"/>
      <c r="P1124" s="114" t="s">
        <v>1485</v>
      </c>
      <c r="Q1124" s="114" t="s">
        <v>1227</v>
      </c>
    </row>
    <row r="1125" spans="2:17" hidden="1" outlineLevel="2">
      <c r="B1125" s="2" t="s">
        <v>876</v>
      </c>
      <c r="D1125" s="270">
        <v>2062</v>
      </c>
      <c r="E1125" s="112" t="s">
        <v>208</v>
      </c>
      <c r="F1125" s="112" t="s">
        <v>1603</v>
      </c>
      <c r="G1125" s="112" t="s">
        <v>1572</v>
      </c>
      <c r="H1125" s="112" t="s">
        <v>1227</v>
      </c>
      <c r="I1125" s="112"/>
      <c r="J1125" s="112" t="b">
        <v>0</v>
      </c>
      <c r="K1125" s="112"/>
      <c r="L1125" s="112"/>
      <c r="M1125" s="112"/>
      <c r="N1125" s="691" t="b">
        <v>1</v>
      </c>
      <c r="O1125" s="1377" t="s">
        <v>1485</v>
      </c>
      <c r="P1125" s="112" t="s">
        <v>1485</v>
      </c>
      <c r="Q1125" s="112" t="s">
        <v>1227</v>
      </c>
    </row>
    <row r="1126" spans="2:17" hidden="1" outlineLevel="2">
      <c r="B1126" s="2" t="s">
        <v>876</v>
      </c>
      <c r="D1126" s="268">
        <v>2063</v>
      </c>
      <c r="E1126" s="114" t="s">
        <v>208</v>
      </c>
      <c r="F1126" s="114" t="s">
        <v>1604</v>
      </c>
      <c r="G1126" s="114" t="s">
        <v>1572</v>
      </c>
      <c r="H1126" s="114" t="s">
        <v>1227</v>
      </c>
      <c r="I1126" s="114"/>
      <c r="J1126" s="114" t="b">
        <v>0</v>
      </c>
      <c r="K1126" s="114"/>
      <c r="L1126" s="114"/>
      <c r="M1126" s="114"/>
      <c r="N1126" s="691" t="b">
        <v>1</v>
      </c>
      <c r="O1126" s="691">
        <v>6</v>
      </c>
      <c r="P1126" s="114" t="s">
        <v>1485</v>
      </c>
      <c r="Q1126" s="114" t="s">
        <v>1227</v>
      </c>
    </row>
    <row r="1127" spans="2:17" hidden="1" outlineLevel="2">
      <c r="B1127" s="2" t="s">
        <v>876</v>
      </c>
      <c r="D1127" s="270">
        <v>2064</v>
      </c>
      <c r="E1127" s="112" t="s">
        <v>208</v>
      </c>
      <c r="F1127" s="112" t="s">
        <v>1605</v>
      </c>
      <c r="G1127" s="112" t="s">
        <v>1572</v>
      </c>
      <c r="H1127" s="112" t="s">
        <v>1227</v>
      </c>
      <c r="I1127" s="112"/>
      <c r="J1127" s="112" t="b">
        <v>0</v>
      </c>
      <c r="K1127" s="112"/>
      <c r="L1127" s="112"/>
      <c r="M1127" s="112"/>
      <c r="N1127" s="691" t="b">
        <v>1</v>
      </c>
      <c r="O1127" s="112"/>
      <c r="P1127" s="112" t="s">
        <v>1485</v>
      </c>
      <c r="Q1127" s="112" t="s">
        <v>1227</v>
      </c>
    </row>
    <row r="1128" spans="2:17" hidden="1" outlineLevel="2">
      <c r="B1128" s="2" t="s">
        <v>876</v>
      </c>
      <c r="D1128" s="268">
        <v>2065</v>
      </c>
      <c r="E1128" s="114" t="s">
        <v>208</v>
      </c>
      <c r="F1128" s="114" t="s">
        <v>1606</v>
      </c>
      <c r="G1128" s="114" t="s">
        <v>1572</v>
      </c>
      <c r="H1128" s="114" t="s">
        <v>1227</v>
      </c>
      <c r="I1128" s="114"/>
      <c r="J1128" s="114" t="b">
        <v>0</v>
      </c>
      <c r="K1128" s="114"/>
      <c r="L1128" s="114"/>
      <c r="M1128" s="114"/>
      <c r="N1128" s="691" t="b">
        <v>1</v>
      </c>
      <c r="O1128" s="114"/>
      <c r="P1128" s="114" t="s">
        <v>1485</v>
      </c>
      <c r="Q1128" s="114" t="s">
        <v>1227</v>
      </c>
    </row>
    <row r="1129" spans="2:17" hidden="1" outlineLevel="2">
      <c r="B1129" s="2" t="s">
        <v>876</v>
      </c>
      <c r="D1129" s="270">
        <v>2066</v>
      </c>
      <c r="E1129" s="112" t="s">
        <v>208</v>
      </c>
      <c r="F1129" s="112" t="s">
        <v>1607</v>
      </c>
      <c r="G1129" s="112" t="s">
        <v>1572</v>
      </c>
      <c r="H1129" s="112" t="s">
        <v>1227</v>
      </c>
      <c r="I1129" s="112"/>
      <c r="J1129" s="112" t="b">
        <v>0</v>
      </c>
      <c r="K1129" s="112"/>
      <c r="L1129" s="112"/>
      <c r="M1129" s="112"/>
      <c r="N1129" s="691" t="b">
        <v>1</v>
      </c>
      <c r="O1129" s="112"/>
      <c r="P1129" s="112" t="s">
        <v>1485</v>
      </c>
      <c r="Q1129" s="112" t="s">
        <v>1227</v>
      </c>
    </row>
    <row r="1130" spans="2:17" hidden="1" outlineLevel="2">
      <c r="B1130" s="2" t="s">
        <v>876</v>
      </c>
      <c r="D1130" s="268">
        <v>2067</v>
      </c>
      <c r="E1130" s="114" t="s">
        <v>208</v>
      </c>
      <c r="F1130" s="114" t="s">
        <v>1608</v>
      </c>
      <c r="G1130" s="114" t="s">
        <v>1572</v>
      </c>
      <c r="H1130" s="114" t="s">
        <v>1227</v>
      </c>
      <c r="I1130" s="114"/>
      <c r="J1130" s="114" t="b">
        <v>0</v>
      </c>
      <c r="K1130" s="114"/>
      <c r="L1130" s="114"/>
      <c r="M1130" s="114"/>
      <c r="N1130" s="691" t="b">
        <v>1</v>
      </c>
      <c r="O1130" s="114"/>
      <c r="P1130" s="114" t="s">
        <v>1485</v>
      </c>
      <c r="Q1130" s="114" t="s">
        <v>1227</v>
      </c>
    </row>
    <row r="1131" spans="2:17" hidden="1" outlineLevel="2">
      <c r="B1131" s="2" t="s">
        <v>876</v>
      </c>
      <c r="D1131" s="270">
        <v>2068</v>
      </c>
      <c r="E1131" s="112" t="s">
        <v>208</v>
      </c>
      <c r="F1131" s="112" t="s">
        <v>1609</v>
      </c>
      <c r="G1131" s="112" t="s">
        <v>1572</v>
      </c>
      <c r="H1131" s="112" t="s">
        <v>1227</v>
      </c>
      <c r="I1131" s="112"/>
      <c r="J1131" s="112" t="b">
        <v>0</v>
      </c>
      <c r="K1131" s="112"/>
      <c r="L1131" s="112"/>
      <c r="M1131" s="112"/>
      <c r="N1131" s="691" t="b">
        <v>1</v>
      </c>
      <c r="O1131" s="112"/>
      <c r="P1131" s="112" t="s">
        <v>1485</v>
      </c>
      <c r="Q1131" s="112" t="s">
        <v>1227</v>
      </c>
    </row>
    <row r="1132" spans="2:17" hidden="1" outlineLevel="2">
      <c r="B1132" s="2" t="s">
        <v>876</v>
      </c>
      <c r="D1132" s="268">
        <v>2069</v>
      </c>
      <c r="E1132" s="114" t="s">
        <v>208</v>
      </c>
      <c r="F1132" s="114" t="s">
        <v>1610</v>
      </c>
      <c r="G1132" s="114" t="s">
        <v>1572</v>
      </c>
      <c r="H1132" s="114" t="s">
        <v>1227</v>
      </c>
      <c r="I1132" s="114"/>
      <c r="J1132" s="114" t="b">
        <v>0</v>
      </c>
      <c r="K1132" s="114"/>
      <c r="L1132" s="114"/>
      <c r="M1132" s="114"/>
      <c r="N1132" s="691" t="b">
        <v>1</v>
      </c>
      <c r="O1132" s="114"/>
      <c r="P1132" s="114" t="s">
        <v>1485</v>
      </c>
      <c r="Q1132" s="114" t="s">
        <v>1227</v>
      </c>
    </row>
    <row r="1133" spans="2:17" hidden="1" outlineLevel="2">
      <c r="B1133" s="2" t="s">
        <v>876</v>
      </c>
      <c r="D1133" s="270">
        <v>2070</v>
      </c>
      <c r="E1133" s="112" t="s">
        <v>208</v>
      </c>
      <c r="F1133" s="112" t="s">
        <v>1611</v>
      </c>
      <c r="G1133" s="112" t="s">
        <v>1572</v>
      </c>
      <c r="H1133" s="112" t="s">
        <v>1227</v>
      </c>
      <c r="I1133" s="112"/>
      <c r="J1133" s="112" t="b">
        <v>0</v>
      </c>
      <c r="K1133" s="112"/>
      <c r="L1133" s="112"/>
      <c r="M1133" s="112"/>
      <c r="N1133" s="691" t="b">
        <v>1</v>
      </c>
      <c r="O1133" s="112"/>
      <c r="P1133" s="112" t="s">
        <v>1485</v>
      </c>
      <c r="Q1133" s="112" t="s">
        <v>1227</v>
      </c>
    </row>
    <row r="1134" spans="2:17" hidden="1" outlineLevel="2">
      <c r="B1134" s="2" t="s">
        <v>876</v>
      </c>
      <c r="D1134" s="268">
        <v>2071</v>
      </c>
      <c r="E1134" s="114" t="s">
        <v>208</v>
      </c>
      <c r="F1134" s="114" t="s">
        <v>1612</v>
      </c>
      <c r="G1134" s="114" t="s">
        <v>1572</v>
      </c>
      <c r="H1134" s="114" t="s">
        <v>1227</v>
      </c>
      <c r="I1134" s="114"/>
      <c r="J1134" s="114" t="b">
        <v>0</v>
      </c>
      <c r="K1134" s="114"/>
      <c r="L1134" s="114"/>
      <c r="M1134" s="114"/>
      <c r="N1134" s="691" t="b">
        <v>1</v>
      </c>
      <c r="O1134" s="1377" t="s">
        <v>1485</v>
      </c>
      <c r="P1134" s="114" t="s">
        <v>1485</v>
      </c>
      <c r="Q1134" s="114" t="s">
        <v>1227</v>
      </c>
    </row>
    <row r="1135" spans="2:17" hidden="1" outlineLevel="2">
      <c r="B1135" s="2" t="s">
        <v>876</v>
      </c>
      <c r="D1135" s="270">
        <v>2072</v>
      </c>
      <c r="E1135" s="112" t="s">
        <v>208</v>
      </c>
      <c r="F1135" s="112" t="s">
        <v>1613</v>
      </c>
      <c r="G1135" s="112" t="s">
        <v>1572</v>
      </c>
      <c r="H1135" s="112" t="s">
        <v>1227</v>
      </c>
      <c r="I1135" s="112"/>
      <c r="J1135" s="112" t="b">
        <v>0</v>
      </c>
      <c r="K1135" s="112"/>
      <c r="L1135" s="112"/>
      <c r="M1135" s="112"/>
      <c r="N1135" s="691" t="b">
        <v>1</v>
      </c>
      <c r="O1135" s="112"/>
      <c r="P1135" s="112" t="s">
        <v>1485</v>
      </c>
      <c r="Q1135" s="112" t="s">
        <v>1227</v>
      </c>
    </row>
    <row r="1136" spans="2:17" hidden="1" outlineLevel="2">
      <c r="B1136" s="2" t="s">
        <v>876</v>
      </c>
      <c r="D1136" s="268">
        <v>2073</v>
      </c>
      <c r="E1136" s="114" t="s">
        <v>208</v>
      </c>
      <c r="F1136" s="114" t="s">
        <v>1614</v>
      </c>
      <c r="G1136" s="114" t="s">
        <v>1572</v>
      </c>
      <c r="H1136" s="114" t="s">
        <v>1227</v>
      </c>
      <c r="I1136" s="114"/>
      <c r="J1136" s="114" t="b">
        <v>0</v>
      </c>
      <c r="K1136" s="114"/>
      <c r="L1136" s="114"/>
      <c r="M1136" s="114"/>
      <c r="N1136" s="691" t="b">
        <v>1</v>
      </c>
      <c r="O1136" s="114"/>
      <c r="P1136" s="114" t="s">
        <v>1485</v>
      </c>
      <c r="Q1136" s="114" t="s">
        <v>1227</v>
      </c>
    </row>
    <row r="1137" spans="2:17" hidden="1" outlineLevel="2">
      <c r="B1137" s="2" t="s">
        <v>876</v>
      </c>
      <c r="D1137" s="270">
        <v>2074</v>
      </c>
      <c r="E1137" s="112" t="s">
        <v>208</v>
      </c>
      <c r="F1137" s="112" t="s">
        <v>1615</v>
      </c>
      <c r="G1137" s="112" t="s">
        <v>1572</v>
      </c>
      <c r="H1137" s="112" t="s">
        <v>1227</v>
      </c>
      <c r="I1137" s="112"/>
      <c r="J1137" s="112" t="b">
        <v>0</v>
      </c>
      <c r="K1137" s="112"/>
      <c r="L1137" s="112"/>
      <c r="M1137" s="112"/>
      <c r="N1137" s="691" t="b">
        <v>1</v>
      </c>
      <c r="O1137" s="112"/>
      <c r="P1137" s="112" t="s">
        <v>1485</v>
      </c>
      <c r="Q1137" s="112" t="s">
        <v>1227</v>
      </c>
    </row>
    <row r="1138" spans="2:17" hidden="1" outlineLevel="2">
      <c r="B1138" s="2" t="s">
        <v>876</v>
      </c>
      <c r="D1138" s="268">
        <v>2075</v>
      </c>
      <c r="E1138" s="114" t="s">
        <v>208</v>
      </c>
      <c r="F1138" s="114" t="s">
        <v>1616</v>
      </c>
      <c r="G1138" s="114" t="s">
        <v>1572</v>
      </c>
      <c r="H1138" s="114" t="s">
        <v>1227</v>
      </c>
      <c r="I1138" s="114"/>
      <c r="J1138" s="114" t="b">
        <v>0</v>
      </c>
      <c r="K1138" s="114"/>
      <c r="L1138" s="114"/>
      <c r="M1138" s="114"/>
      <c r="N1138" s="691" t="b">
        <v>1</v>
      </c>
      <c r="O1138" s="114"/>
      <c r="P1138" s="114" t="s">
        <v>1485</v>
      </c>
      <c r="Q1138" s="114" t="s">
        <v>1227</v>
      </c>
    </row>
    <row r="1139" spans="2:17" hidden="1" outlineLevel="2">
      <c r="B1139" s="2" t="s">
        <v>876</v>
      </c>
      <c r="D1139" s="270">
        <v>2076</v>
      </c>
      <c r="E1139" s="112" t="s">
        <v>208</v>
      </c>
      <c r="F1139" s="112" t="s">
        <v>1617</v>
      </c>
      <c r="G1139" s="112" t="s">
        <v>1572</v>
      </c>
      <c r="H1139" s="112" t="s">
        <v>1227</v>
      </c>
      <c r="I1139" s="112"/>
      <c r="J1139" s="112" t="b">
        <v>0</v>
      </c>
      <c r="K1139" s="112"/>
      <c r="L1139" s="112"/>
      <c r="M1139" s="112"/>
      <c r="N1139" s="691" t="b">
        <v>1</v>
      </c>
      <c r="O1139" s="112"/>
      <c r="P1139" s="112" t="s">
        <v>1485</v>
      </c>
      <c r="Q1139" s="112" t="s">
        <v>1227</v>
      </c>
    </row>
    <row r="1140" spans="2:17" hidden="1" outlineLevel="2">
      <c r="B1140" s="2" t="s">
        <v>876</v>
      </c>
      <c r="D1140" s="268">
        <v>2077</v>
      </c>
      <c r="E1140" s="114" t="s">
        <v>208</v>
      </c>
      <c r="F1140" s="114" t="s">
        <v>1618</v>
      </c>
      <c r="G1140" s="114" t="s">
        <v>1572</v>
      </c>
      <c r="H1140" s="114" t="s">
        <v>1227</v>
      </c>
      <c r="I1140" s="114"/>
      <c r="J1140" s="114" t="b">
        <v>0</v>
      </c>
      <c r="K1140" s="114"/>
      <c r="L1140" s="114"/>
      <c r="M1140" s="114"/>
      <c r="N1140" s="114"/>
      <c r="O1140" s="114"/>
      <c r="P1140" s="114" t="s">
        <v>1485</v>
      </c>
      <c r="Q1140" s="114" t="s">
        <v>1227</v>
      </c>
    </row>
    <row r="1141" spans="2:17" hidden="1" outlineLevel="2">
      <c r="B1141" s="2" t="s">
        <v>876</v>
      </c>
      <c r="D1141" s="270">
        <v>2079</v>
      </c>
      <c r="E1141" s="112" t="s">
        <v>208</v>
      </c>
      <c r="F1141" s="112" t="s">
        <v>1619</v>
      </c>
      <c r="G1141" s="112" t="s">
        <v>1572</v>
      </c>
      <c r="H1141" s="112" t="s">
        <v>1227</v>
      </c>
      <c r="I1141" s="112"/>
      <c r="J1141" s="112" t="b">
        <v>0</v>
      </c>
      <c r="K1141" s="112"/>
      <c r="L1141" s="112"/>
      <c r="M1141" s="112"/>
      <c r="N1141" s="112"/>
      <c r="O1141" s="112"/>
      <c r="P1141" s="112" t="s">
        <v>1485</v>
      </c>
      <c r="Q1141" s="112" t="s">
        <v>1227</v>
      </c>
    </row>
    <row r="1142" spans="2:17" hidden="1" outlineLevel="2">
      <c r="B1142" s="2" t="s">
        <v>876</v>
      </c>
      <c r="D1142" s="268">
        <v>2080</v>
      </c>
      <c r="E1142" s="114" t="s">
        <v>208</v>
      </c>
      <c r="F1142" s="114" t="s">
        <v>1620</v>
      </c>
      <c r="G1142" s="114" t="s">
        <v>1572</v>
      </c>
      <c r="H1142" s="114" t="s">
        <v>1227</v>
      </c>
      <c r="I1142" s="114"/>
      <c r="J1142" s="114" t="b">
        <v>0</v>
      </c>
      <c r="K1142" s="114"/>
      <c r="L1142" s="114"/>
      <c r="M1142" s="114"/>
      <c r="N1142" s="114"/>
      <c r="O1142" s="114"/>
      <c r="P1142" s="114" t="s">
        <v>1485</v>
      </c>
      <c r="Q1142" s="114" t="s">
        <v>1227</v>
      </c>
    </row>
    <row r="1143" spans="2:17" hidden="1" outlineLevel="2">
      <c r="B1143" s="2" t="s">
        <v>876</v>
      </c>
      <c r="D1143" s="270">
        <v>2081</v>
      </c>
      <c r="E1143" s="112" t="s">
        <v>208</v>
      </c>
      <c r="F1143" s="112" t="s">
        <v>1621</v>
      </c>
      <c r="G1143" s="112" t="s">
        <v>1572</v>
      </c>
      <c r="H1143" s="112" t="s">
        <v>1227</v>
      </c>
      <c r="I1143" s="112"/>
      <c r="J1143" s="112" t="b">
        <v>0</v>
      </c>
      <c r="K1143" s="112"/>
      <c r="L1143" s="112"/>
      <c r="M1143" s="112"/>
      <c r="N1143" s="112"/>
      <c r="O1143" s="112"/>
      <c r="P1143" s="112" t="s">
        <v>1485</v>
      </c>
      <c r="Q1143" s="112" t="s">
        <v>1227</v>
      </c>
    </row>
    <row r="1144" spans="2:17" hidden="1" outlineLevel="2">
      <c r="B1144" s="2" t="s">
        <v>876</v>
      </c>
      <c r="D1144" s="268">
        <v>2082</v>
      </c>
      <c r="E1144" s="114" t="s">
        <v>208</v>
      </c>
      <c r="F1144" s="114" t="s">
        <v>1622</v>
      </c>
      <c r="G1144" s="114" t="s">
        <v>1572</v>
      </c>
      <c r="H1144" s="114" t="s">
        <v>1227</v>
      </c>
      <c r="I1144" s="114"/>
      <c r="J1144" s="114" t="b">
        <v>0</v>
      </c>
      <c r="K1144" s="114"/>
      <c r="L1144" s="114"/>
      <c r="M1144" s="114"/>
      <c r="N1144" s="114"/>
      <c r="O1144" s="114"/>
      <c r="P1144" s="114" t="s">
        <v>1485</v>
      </c>
      <c r="Q1144" s="114" t="s">
        <v>1227</v>
      </c>
    </row>
    <row r="1145" spans="2:17" hidden="1" outlineLevel="2">
      <c r="B1145" s="2" t="s">
        <v>876</v>
      </c>
      <c r="D1145" s="270">
        <v>2083</v>
      </c>
      <c r="E1145" s="112" t="s">
        <v>208</v>
      </c>
      <c r="F1145" s="112" t="s">
        <v>1623</v>
      </c>
      <c r="G1145" s="112" t="s">
        <v>1572</v>
      </c>
      <c r="H1145" s="112" t="s">
        <v>1227</v>
      </c>
      <c r="I1145" s="112"/>
      <c r="J1145" s="112" t="b">
        <v>0</v>
      </c>
      <c r="K1145" s="112"/>
      <c r="L1145" s="112"/>
      <c r="M1145" s="112"/>
      <c r="N1145" s="112"/>
      <c r="O1145" s="112"/>
      <c r="P1145" s="112" t="s">
        <v>1485</v>
      </c>
      <c r="Q1145" s="112" t="s">
        <v>1227</v>
      </c>
    </row>
    <row r="1146" spans="2:17" hidden="1" outlineLevel="2">
      <c r="B1146" s="2" t="s">
        <v>876</v>
      </c>
      <c r="D1146" s="268">
        <v>2084</v>
      </c>
      <c r="E1146" s="114" t="s">
        <v>208</v>
      </c>
      <c r="F1146" s="114" t="s">
        <v>1624</v>
      </c>
      <c r="G1146" s="114" t="s">
        <v>1572</v>
      </c>
      <c r="H1146" s="114" t="s">
        <v>1227</v>
      </c>
      <c r="I1146" s="114"/>
      <c r="J1146" s="114" t="b">
        <v>0</v>
      </c>
      <c r="K1146" s="114"/>
      <c r="L1146" s="114"/>
      <c r="M1146" s="114"/>
      <c r="N1146" s="691" t="b">
        <v>1</v>
      </c>
      <c r="O1146" s="114"/>
      <c r="P1146" s="114" t="s">
        <v>1485</v>
      </c>
      <c r="Q1146" s="114" t="s">
        <v>1227</v>
      </c>
    </row>
    <row r="1147" spans="2:17" hidden="1" outlineLevel="2">
      <c r="B1147" s="2" t="s">
        <v>876</v>
      </c>
      <c r="D1147" s="270">
        <v>2085</v>
      </c>
      <c r="E1147" s="112" t="s">
        <v>208</v>
      </c>
      <c r="F1147" s="112" t="s">
        <v>1625</v>
      </c>
      <c r="G1147" s="112" t="s">
        <v>1572</v>
      </c>
      <c r="H1147" s="112" t="s">
        <v>1227</v>
      </c>
      <c r="I1147" s="112"/>
      <c r="J1147" s="112" t="b">
        <v>0</v>
      </c>
      <c r="K1147" s="112"/>
      <c r="L1147" s="112"/>
      <c r="M1147" s="112"/>
      <c r="N1147" s="691" t="b">
        <v>1</v>
      </c>
      <c r="O1147" s="112"/>
      <c r="P1147" s="112" t="s">
        <v>1485</v>
      </c>
      <c r="Q1147" s="112" t="s">
        <v>1227</v>
      </c>
    </row>
    <row r="1148" spans="2:17" hidden="1" outlineLevel="2">
      <c r="B1148" s="2" t="s">
        <v>876</v>
      </c>
      <c r="D1148" s="268">
        <v>2086</v>
      </c>
      <c r="E1148" s="114" t="s">
        <v>208</v>
      </c>
      <c r="F1148" s="114" t="s">
        <v>1626</v>
      </c>
      <c r="G1148" s="114" t="s">
        <v>1572</v>
      </c>
      <c r="H1148" s="114" t="s">
        <v>1227</v>
      </c>
      <c r="I1148" s="114"/>
      <c r="J1148" s="114" t="b">
        <v>0</v>
      </c>
      <c r="K1148" s="114"/>
      <c r="L1148" s="114"/>
      <c r="M1148" s="114"/>
      <c r="N1148" s="691" t="b">
        <v>1</v>
      </c>
      <c r="O1148" s="114"/>
      <c r="P1148" s="114" t="s">
        <v>1485</v>
      </c>
      <c r="Q1148" s="114" t="s">
        <v>1227</v>
      </c>
    </row>
    <row r="1149" spans="2:17" hidden="1" outlineLevel="2">
      <c r="B1149" s="2" t="s">
        <v>876</v>
      </c>
      <c r="D1149" s="270">
        <v>2087</v>
      </c>
      <c r="E1149" s="112" t="s">
        <v>208</v>
      </c>
      <c r="F1149" s="112" t="s">
        <v>1627</v>
      </c>
      <c r="G1149" s="112" t="s">
        <v>1572</v>
      </c>
      <c r="H1149" s="112" t="s">
        <v>1227</v>
      </c>
      <c r="I1149" s="112"/>
      <c r="J1149" s="112" t="b">
        <v>0</v>
      </c>
      <c r="K1149" s="112"/>
      <c r="L1149" s="112"/>
      <c r="M1149" s="112"/>
      <c r="N1149" s="691" t="b">
        <v>1</v>
      </c>
      <c r="O1149" s="112"/>
      <c r="P1149" s="112" t="s">
        <v>1485</v>
      </c>
      <c r="Q1149" s="112" t="s">
        <v>1227</v>
      </c>
    </row>
    <row r="1150" spans="2:17" hidden="1" outlineLevel="2">
      <c r="B1150" s="2" t="s">
        <v>876</v>
      </c>
      <c r="D1150" s="268">
        <v>2088</v>
      </c>
      <c r="E1150" s="114" t="s">
        <v>208</v>
      </c>
      <c r="F1150" s="114" t="s">
        <v>1628</v>
      </c>
      <c r="G1150" s="114" t="s">
        <v>1572</v>
      </c>
      <c r="H1150" s="114" t="s">
        <v>1227</v>
      </c>
      <c r="I1150" s="114"/>
      <c r="J1150" s="114" t="b">
        <v>0</v>
      </c>
      <c r="K1150" s="114"/>
      <c r="L1150" s="114"/>
      <c r="M1150" s="114"/>
      <c r="N1150" s="691" t="b">
        <v>1</v>
      </c>
      <c r="O1150" s="691">
        <v>8</v>
      </c>
      <c r="P1150" s="114" t="s">
        <v>1485</v>
      </c>
      <c r="Q1150" s="114" t="s">
        <v>1227</v>
      </c>
    </row>
    <row r="1151" spans="2:17" hidden="1" outlineLevel="2">
      <c r="B1151" s="2" t="s">
        <v>876</v>
      </c>
      <c r="D1151" s="270">
        <v>2089</v>
      </c>
      <c r="E1151" s="112" t="s">
        <v>208</v>
      </c>
      <c r="F1151" s="112" t="s">
        <v>1629</v>
      </c>
      <c r="G1151" s="112" t="s">
        <v>1572</v>
      </c>
      <c r="H1151" s="112" t="s">
        <v>1227</v>
      </c>
      <c r="I1151" s="112"/>
      <c r="J1151" s="112" t="b">
        <v>0</v>
      </c>
      <c r="K1151" s="112"/>
      <c r="L1151" s="112"/>
      <c r="M1151" s="112"/>
      <c r="N1151" s="691" t="b">
        <v>1</v>
      </c>
      <c r="O1151" s="112"/>
      <c r="P1151" s="112" t="s">
        <v>1485</v>
      </c>
      <c r="Q1151" s="112" t="s">
        <v>1227</v>
      </c>
    </row>
    <row r="1152" spans="2:17" hidden="1" outlineLevel="2">
      <c r="B1152" s="2" t="s">
        <v>876</v>
      </c>
      <c r="D1152" s="268">
        <v>2090</v>
      </c>
      <c r="E1152" s="114" t="s">
        <v>208</v>
      </c>
      <c r="F1152" s="114" t="s">
        <v>1630</v>
      </c>
      <c r="G1152" s="114" t="s">
        <v>1572</v>
      </c>
      <c r="H1152" s="114" t="s">
        <v>1227</v>
      </c>
      <c r="I1152" s="114"/>
      <c r="J1152" s="114" t="b">
        <v>0</v>
      </c>
      <c r="K1152" s="114"/>
      <c r="L1152" s="114"/>
      <c r="M1152" s="114"/>
      <c r="N1152" s="691" t="b">
        <v>1</v>
      </c>
      <c r="O1152" s="691">
        <v>6</v>
      </c>
      <c r="P1152" s="114" t="s">
        <v>1485</v>
      </c>
      <c r="Q1152" s="114" t="s">
        <v>1227</v>
      </c>
    </row>
    <row r="1153" spans="2:17" hidden="1" outlineLevel="2">
      <c r="B1153" s="2" t="s">
        <v>876</v>
      </c>
      <c r="D1153" s="270">
        <v>2092</v>
      </c>
      <c r="E1153" s="112" t="s">
        <v>208</v>
      </c>
      <c r="F1153" s="112" t="s">
        <v>1631</v>
      </c>
      <c r="G1153" s="112" t="s">
        <v>1572</v>
      </c>
      <c r="H1153" s="112" t="s">
        <v>1227</v>
      </c>
      <c r="I1153" s="112"/>
      <c r="J1153" s="112" t="b">
        <v>0</v>
      </c>
      <c r="K1153" s="112"/>
      <c r="L1153" s="112"/>
      <c r="M1153" s="112"/>
      <c r="N1153" s="691" t="b">
        <v>1</v>
      </c>
      <c r="O1153" s="112"/>
      <c r="P1153" s="112" t="s">
        <v>1485</v>
      </c>
      <c r="Q1153" s="112" t="s">
        <v>1227</v>
      </c>
    </row>
    <row r="1154" spans="2:17" hidden="1" outlineLevel="2">
      <c r="B1154" s="2" t="s">
        <v>876</v>
      </c>
      <c r="D1154" s="268">
        <v>2093</v>
      </c>
      <c r="E1154" s="114" t="s">
        <v>208</v>
      </c>
      <c r="F1154" s="114" t="s">
        <v>1632</v>
      </c>
      <c r="G1154" s="114" t="s">
        <v>1572</v>
      </c>
      <c r="H1154" s="114" t="s">
        <v>1227</v>
      </c>
      <c r="I1154" s="114"/>
      <c r="J1154" s="114" t="b">
        <v>0</v>
      </c>
      <c r="K1154" s="114"/>
      <c r="L1154" s="114"/>
      <c r="M1154" s="114"/>
      <c r="N1154" s="691" t="b">
        <v>1</v>
      </c>
      <c r="O1154" s="114"/>
      <c r="P1154" s="114" t="s">
        <v>1485</v>
      </c>
      <c r="Q1154" s="114" t="s">
        <v>1227</v>
      </c>
    </row>
    <row r="1155" spans="2:17" hidden="1" outlineLevel="2">
      <c r="B1155" s="2" t="s">
        <v>876</v>
      </c>
      <c r="D1155" s="270">
        <v>2094</v>
      </c>
      <c r="E1155" s="112" t="s">
        <v>208</v>
      </c>
      <c r="F1155" s="112" t="s">
        <v>1633</v>
      </c>
      <c r="G1155" s="112" t="s">
        <v>1572</v>
      </c>
      <c r="H1155" s="112" t="s">
        <v>1227</v>
      </c>
      <c r="I1155" s="112"/>
      <c r="J1155" s="112" t="b">
        <v>0</v>
      </c>
      <c r="K1155" s="112"/>
      <c r="L1155" s="112"/>
      <c r="M1155" s="112"/>
      <c r="N1155" s="691" t="b">
        <v>1</v>
      </c>
      <c r="O1155" s="112"/>
      <c r="P1155" s="112" t="s">
        <v>1485</v>
      </c>
      <c r="Q1155" s="112" t="s">
        <v>1227</v>
      </c>
    </row>
    <row r="1156" spans="2:17" hidden="1" outlineLevel="2">
      <c r="B1156" s="2" t="s">
        <v>876</v>
      </c>
      <c r="D1156" s="268">
        <v>2095</v>
      </c>
      <c r="E1156" s="114" t="s">
        <v>208</v>
      </c>
      <c r="F1156" s="114" t="s">
        <v>1634</v>
      </c>
      <c r="G1156" s="114" t="s">
        <v>1572</v>
      </c>
      <c r="H1156" s="114" t="s">
        <v>1227</v>
      </c>
      <c r="I1156" s="114"/>
      <c r="J1156" s="114" t="b">
        <v>0</v>
      </c>
      <c r="K1156" s="114"/>
      <c r="L1156" s="114"/>
      <c r="M1156" s="114"/>
      <c r="N1156" s="691" t="b">
        <v>1</v>
      </c>
      <c r="O1156" s="691">
        <v>6</v>
      </c>
      <c r="P1156" s="114" t="s">
        <v>1485</v>
      </c>
      <c r="Q1156" s="114" t="s">
        <v>1227</v>
      </c>
    </row>
    <row r="1157" spans="2:17" hidden="1" outlineLevel="2">
      <c r="B1157" s="2" t="s">
        <v>876</v>
      </c>
      <c r="D1157" s="270">
        <v>2096</v>
      </c>
      <c r="E1157" s="112" t="s">
        <v>208</v>
      </c>
      <c r="F1157" s="112" t="s">
        <v>1635</v>
      </c>
      <c r="G1157" s="112" t="s">
        <v>1572</v>
      </c>
      <c r="H1157" s="112" t="s">
        <v>1227</v>
      </c>
      <c r="I1157" s="112"/>
      <c r="J1157" s="112" t="b">
        <v>0</v>
      </c>
      <c r="K1157" s="112"/>
      <c r="L1157" s="112"/>
      <c r="M1157" s="112"/>
      <c r="N1157" s="691" t="b">
        <v>1</v>
      </c>
      <c r="O1157" s="112"/>
      <c r="P1157" s="112" t="s">
        <v>1485</v>
      </c>
      <c r="Q1157" s="112" t="s">
        <v>1227</v>
      </c>
    </row>
    <row r="1158" spans="2:17" hidden="1" outlineLevel="2">
      <c r="B1158" s="2" t="s">
        <v>876</v>
      </c>
      <c r="D1158" s="268">
        <v>2097</v>
      </c>
      <c r="E1158" s="114" t="s">
        <v>208</v>
      </c>
      <c r="F1158" s="114" t="s">
        <v>1636</v>
      </c>
      <c r="G1158" s="114" t="s">
        <v>1572</v>
      </c>
      <c r="H1158" s="114" t="s">
        <v>1227</v>
      </c>
      <c r="I1158" s="114"/>
      <c r="J1158" s="114" t="b">
        <v>0</v>
      </c>
      <c r="K1158" s="114"/>
      <c r="L1158" s="114"/>
      <c r="M1158" s="114"/>
      <c r="N1158" s="691" t="b">
        <v>1</v>
      </c>
      <c r="O1158" s="114"/>
      <c r="P1158" s="114" t="s">
        <v>1485</v>
      </c>
      <c r="Q1158" s="114" t="s">
        <v>1227</v>
      </c>
    </row>
    <row r="1159" spans="2:17" hidden="1" outlineLevel="2">
      <c r="B1159" s="2" t="s">
        <v>876</v>
      </c>
      <c r="D1159" s="270">
        <v>2099</v>
      </c>
      <c r="E1159" s="112" t="s">
        <v>208</v>
      </c>
      <c r="F1159" s="112" t="s">
        <v>1637</v>
      </c>
      <c r="G1159" s="112" t="s">
        <v>1572</v>
      </c>
      <c r="H1159" s="112" t="s">
        <v>1227</v>
      </c>
      <c r="I1159" s="112"/>
      <c r="J1159" s="112" t="b">
        <v>0</v>
      </c>
      <c r="K1159" s="112"/>
      <c r="L1159" s="112"/>
      <c r="M1159" s="112"/>
      <c r="N1159" s="691" t="b">
        <v>1</v>
      </c>
      <c r="O1159" s="112"/>
      <c r="P1159" s="112" t="s">
        <v>1485</v>
      </c>
      <c r="Q1159" s="112" t="s">
        <v>1227</v>
      </c>
    </row>
    <row r="1160" spans="2:17" hidden="1" outlineLevel="2">
      <c r="B1160" s="2" t="s">
        <v>876</v>
      </c>
      <c r="D1160" s="268">
        <v>2100</v>
      </c>
      <c r="E1160" s="114" t="s">
        <v>208</v>
      </c>
      <c r="F1160" s="114" t="s">
        <v>1638</v>
      </c>
      <c r="G1160" s="114" t="s">
        <v>1572</v>
      </c>
      <c r="H1160" s="114" t="s">
        <v>1227</v>
      </c>
      <c r="I1160" s="114"/>
      <c r="J1160" s="114" t="b">
        <v>0</v>
      </c>
      <c r="K1160" s="114"/>
      <c r="L1160" s="114"/>
      <c r="M1160" s="114"/>
      <c r="N1160" s="691" t="b">
        <v>1</v>
      </c>
      <c r="O1160" s="114"/>
      <c r="P1160" s="114" t="s">
        <v>1485</v>
      </c>
      <c r="Q1160" s="114" t="s">
        <v>1227</v>
      </c>
    </row>
    <row r="1161" spans="2:17" hidden="1" outlineLevel="2">
      <c r="B1161" s="2" t="s">
        <v>876</v>
      </c>
      <c r="D1161" s="270">
        <v>2101</v>
      </c>
      <c r="E1161" s="112" t="s">
        <v>208</v>
      </c>
      <c r="F1161" s="112" t="s">
        <v>1639</v>
      </c>
      <c r="G1161" s="112" t="s">
        <v>1572</v>
      </c>
      <c r="H1161" s="112" t="s">
        <v>1227</v>
      </c>
      <c r="I1161" s="112"/>
      <c r="J1161" s="112" t="b">
        <v>0</v>
      </c>
      <c r="K1161" s="112"/>
      <c r="L1161" s="112"/>
      <c r="M1161" s="112"/>
      <c r="N1161" s="691" t="b">
        <v>1</v>
      </c>
      <c r="O1161" s="112"/>
      <c r="P1161" s="112" t="s">
        <v>1485</v>
      </c>
      <c r="Q1161" s="112" t="s">
        <v>1227</v>
      </c>
    </row>
    <row r="1162" spans="2:17" hidden="1" outlineLevel="2">
      <c r="B1162" s="2" t="s">
        <v>876</v>
      </c>
      <c r="D1162" s="268">
        <v>2102</v>
      </c>
      <c r="E1162" s="114" t="s">
        <v>208</v>
      </c>
      <c r="F1162" s="114" t="s">
        <v>1640</v>
      </c>
      <c r="G1162" s="114" t="s">
        <v>1572</v>
      </c>
      <c r="H1162" s="114" t="s">
        <v>1227</v>
      </c>
      <c r="I1162" s="114"/>
      <c r="J1162" s="114" t="b">
        <v>0</v>
      </c>
      <c r="K1162" s="114"/>
      <c r="L1162" s="114"/>
      <c r="M1162" s="114"/>
      <c r="N1162" s="691" t="b">
        <v>1</v>
      </c>
      <c r="O1162" s="114"/>
      <c r="P1162" s="114" t="s">
        <v>1485</v>
      </c>
      <c r="Q1162" s="114" t="s">
        <v>1227</v>
      </c>
    </row>
    <row r="1163" spans="2:17" hidden="1" outlineLevel="2">
      <c r="B1163" s="2" t="s">
        <v>876</v>
      </c>
      <c r="D1163" s="270">
        <v>2103</v>
      </c>
      <c r="E1163" s="112" t="s">
        <v>208</v>
      </c>
      <c r="F1163" s="112" t="s">
        <v>1641</v>
      </c>
      <c r="G1163" s="112" t="s">
        <v>1572</v>
      </c>
      <c r="H1163" s="112" t="s">
        <v>1227</v>
      </c>
      <c r="I1163" s="112"/>
      <c r="J1163" s="112" t="b">
        <v>0</v>
      </c>
      <c r="K1163" s="112"/>
      <c r="L1163" s="112"/>
      <c r="M1163" s="112"/>
      <c r="N1163" s="691" t="b">
        <v>1</v>
      </c>
      <c r="O1163" s="112"/>
      <c r="P1163" s="112" t="s">
        <v>1485</v>
      </c>
      <c r="Q1163" s="112" t="s">
        <v>1227</v>
      </c>
    </row>
    <row r="1164" spans="2:17" hidden="1" outlineLevel="2">
      <c r="B1164" s="2" t="s">
        <v>876</v>
      </c>
      <c r="D1164" s="268">
        <v>2104</v>
      </c>
      <c r="E1164" s="114" t="s">
        <v>208</v>
      </c>
      <c r="F1164" s="114" t="s">
        <v>1490</v>
      </c>
      <c r="G1164" s="114" t="s">
        <v>1572</v>
      </c>
      <c r="H1164" s="114" t="s">
        <v>1227</v>
      </c>
      <c r="I1164" s="114"/>
      <c r="J1164" s="114" t="b">
        <v>0</v>
      </c>
      <c r="K1164" s="114"/>
      <c r="L1164" s="114"/>
      <c r="M1164" s="114"/>
      <c r="N1164" s="691" t="b">
        <v>1</v>
      </c>
      <c r="O1164" s="114"/>
      <c r="P1164" s="114" t="s">
        <v>1485</v>
      </c>
      <c r="Q1164" s="114" t="s">
        <v>1227</v>
      </c>
    </row>
    <row r="1165" spans="2:17" hidden="1" outlineLevel="2">
      <c r="B1165" s="2" t="s">
        <v>876</v>
      </c>
      <c r="D1165" s="270">
        <v>2105</v>
      </c>
      <c r="E1165" s="112" t="s">
        <v>208</v>
      </c>
      <c r="F1165" s="112" t="s">
        <v>1642</v>
      </c>
      <c r="G1165" s="112" t="s">
        <v>1572</v>
      </c>
      <c r="H1165" s="112" t="s">
        <v>1227</v>
      </c>
      <c r="I1165" s="112"/>
      <c r="J1165" s="112" t="b">
        <v>0</v>
      </c>
      <c r="K1165" s="112"/>
      <c r="L1165" s="112"/>
      <c r="M1165" s="112"/>
      <c r="N1165" s="691" t="b">
        <v>1</v>
      </c>
      <c r="O1165" s="112"/>
      <c r="P1165" s="112" t="s">
        <v>1485</v>
      </c>
      <c r="Q1165" s="112" t="s">
        <v>1227</v>
      </c>
    </row>
    <row r="1166" spans="2:17" hidden="1" outlineLevel="2">
      <c r="B1166" s="2" t="s">
        <v>876</v>
      </c>
      <c r="D1166" s="268">
        <v>2106</v>
      </c>
      <c r="E1166" s="114" t="s">
        <v>208</v>
      </c>
      <c r="F1166" s="114" t="s">
        <v>1643</v>
      </c>
      <c r="G1166" s="114" t="s">
        <v>1572</v>
      </c>
      <c r="H1166" s="114" t="s">
        <v>1227</v>
      </c>
      <c r="I1166" s="114"/>
      <c r="J1166" s="114" t="b">
        <v>0</v>
      </c>
      <c r="K1166" s="114"/>
      <c r="L1166" s="114"/>
      <c r="M1166" s="114"/>
      <c r="N1166" s="691" t="b">
        <v>1</v>
      </c>
      <c r="O1166" s="114"/>
      <c r="P1166" s="114" t="s">
        <v>1485</v>
      </c>
      <c r="Q1166" s="114" t="s">
        <v>1227</v>
      </c>
    </row>
    <row r="1167" spans="2:17" hidden="1" outlineLevel="2">
      <c r="B1167" s="2" t="s">
        <v>876</v>
      </c>
      <c r="D1167" s="270">
        <v>2107</v>
      </c>
      <c r="E1167" s="112" t="s">
        <v>208</v>
      </c>
      <c r="F1167" s="112" t="s">
        <v>1644</v>
      </c>
      <c r="G1167" s="112" t="s">
        <v>1572</v>
      </c>
      <c r="H1167" s="112" t="s">
        <v>1227</v>
      </c>
      <c r="I1167" s="112"/>
      <c r="J1167" s="112" t="b">
        <v>0</v>
      </c>
      <c r="K1167" s="112"/>
      <c r="L1167" s="112"/>
      <c r="M1167" s="112"/>
      <c r="N1167" s="691" t="b">
        <v>1</v>
      </c>
      <c r="O1167" s="112"/>
      <c r="P1167" s="112" t="s">
        <v>1485</v>
      </c>
      <c r="Q1167" s="112" t="s">
        <v>1227</v>
      </c>
    </row>
    <row r="1168" spans="2:17" hidden="1" outlineLevel="2">
      <c r="B1168" s="2" t="s">
        <v>876</v>
      </c>
      <c r="D1168" s="268">
        <v>2108</v>
      </c>
      <c r="E1168" s="114" t="s">
        <v>208</v>
      </c>
      <c r="F1168" s="114" t="s">
        <v>1645</v>
      </c>
      <c r="G1168" s="114" t="s">
        <v>1572</v>
      </c>
      <c r="H1168" s="114" t="s">
        <v>1227</v>
      </c>
      <c r="I1168" s="114"/>
      <c r="J1168" s="114" t="b">
        <v>0</v>
      </c>
      <c r="K1168" s="114"/>
      <c r="L1168" s="114"/>
      <c r="M1168" s="114"/>
      <c r="N1168" s="691" t="b">
        <v>1</v>
      </c>
      <c r="O1168" s="691">
        <v>8</v>
      </c>
      <c r="P1168" s="114" t="s">
        <v>1485</v>
      </c>
      <c r="Q1168" s="114" t="s">
        <v>1227</v>
      </c>
    </row>
    <row r="1169" spans="2:17" hidden="1" outlineLevel="2">
      <c r="B1169" s="2" t="s">
        <v>876</v>
      </c>
      <c r="D1169" s="270">
        <v>2110</v>
      </c>
      <c r="E1169" s="112" t="s">
        <v>208</v>
      </c>
      <c r="F1169" s="112" t="s">
        <v>1646</v>
      </c>
      <c r="G1169" s="112" t="s">
        <v>1572</v>
      </c>
      <c r="H1169" s="112" t="s">
        <v>1227</v>
      </c>
      <c r="I1169" s="112"/>
      <c r="J1169" s="112" t="b">
        <v>0</v>
      </c>
      <c r="K1169" s="112"/>
      <c r="L1169" s="112"/>
      <c r="M1169" s="112"/>
      <c r="N1169" s="691" t="b">
        <v>1</v>
      </c>
      <c r="O1169" s="691">
        <v>6</v>
      </c>
      <c r="P1169" s="112" t="s">
        <v>1485</v>
      </c>
      <c r="Q1169" s="112" t="s">
        <v>1227</v>
      </c>
    </row>
    <row r="1170" spans="2:17" hidden="1" outlineLevel="2">
      <c r="B1170" s="2" t="s">
        <v>876</v>
      </c>
      <c r="D1170" s="268">
        <v>2111</v>
      </c>
      <c r="E1170" s="114" t="s">
        <v>208</v>
      </c>
      <c r="F1170" s="114" t="s">
        <v>1647</v>
      </c>
      <c r="G1170" s="114" t="s">
        <v>1572</v>
      </c>
      <c r="H1170" s="114" t="s">
        <v>1227</v>
      </c>
      <c r="I1170" s="114"/>
      <c r="J1170" s="114" t="b">
        <v>0</v>
      </c>
      <c r="K1170" s="114"/>
      <c r="L1170" s="114"/>
      <c r="M1170" s="114"/>
      <c r="N1170" s="691" t="b">
        <v>1</v>
      </c>
      <c r="O1170" s="114"/>
      <c r="P1170" s="114" t="s">
        <v>1485</v>
      </c>
      <c r="Q1170" s="114" t="s">
        <v>1227</v>
      </c>
    </row>
    <row r="1171" spans="2:17" hidden="1" outlineLevel="2">
      <c r="B1171" s="2" t="s">
        <v>876</v>
      </c>
      <c r="D1171" s="270">
        <v>2112</v>
      </c>
      <c r="E1171" s="112" t="s">
        <v>208</v>
      </c>
      <c r="F1171" s="112" t="s">
        <v>1648</v>
      </c>
      <c r="G1171" s="112" t="s">
        <v>1572</v>
      </c>
      <c r="H1171" s="112" t="s">
        <v>1227</v>
      </c>
      <c r="I1171" s="112"/>
      <c r="J1171" s="112" t="b">
        <v>0</v>
      </c>
      <c r="K1171" s="112"/>
      <c r="L1171" s="112"/>
      <c r="M1171" s="112"/>
      <c r="N1171" s="691" t="b">
        <v>1</v>
      </c>
      <c r="O1171" s="112"/>
      <c r="P1171" s="112" t="s">
        <v>1485</v>
      </c>
      <c r="Q1171" s="112" t="s">
        <v>1227</v>
      </c>
    </row>
    <row r="1172" spans="2:17" hidden="1" outlineLevel="2">
      <c r="B1172" s="2" t="s">
        <v>876</v>
      </c>
      <c r="D1172" s="268">
        <v>2113</v>
      </c>
      <c r="E1172" s="114" t="s">
        <v>208</v>
      </c>
      <c r="F1172" s="114" t="s">
        <v>1649</v>
      </c>
      <c r="G1172" s="114" t="s">
        <v>1572</v>
      </c>
      <c r="H1172" s="114" t="s">
        <v>1227</v>
      </c>
      <c r="I1172" s="114"/>
      <c r="J1172" s="114" t="b">
        <v>0</v>
      </c>
      <c r="K1172" s="114"/>
      <c r="L1172" s="114"/>
      <c r="M1172" s="114"/>
      <c r="N1172" s="691" t="b">
        <v>1</v>
      </c>
      <c r="O1172" s="114"/>
      <c r="P1172" s="114" t="s">
        <v>1485</v>
      </c>
      <c r="Q1172" s="114" t="s">
        <v>1227</v>
      </c>
    </row>
    <row r="1173" spans="2:17" hidden="1" outlineLevel="2">
      <c r="B1173" s="2" t="s">
        <v>876</v>
      </c>
      <c r="D1173" s="270">
        <v>2114</v>
      </c>
      <c r="E1173" s="112" t="s">
        <v>208</v>
      </c>
      <c r="F1173" s="112" t="s">
        <v>1650</v>
      </c>
      <c r="G1173" s="112" t="s">
        <v>1572</v>
      </c>
      <c r="H1173" s="112" t="s">
        <v>1227</v>
      </c>
      <c r="I1173" s="112"/>
      <c r="J1173" s="112" t="b">
        <v>0</v>
      </c>
      <c r="K1173" s="112"/>
      <c r="L1173" s="112"/>
      <c r="M1173" s="112"/>
      <c r="N1173" s="691" t="b">
        <v>1</v>
      </c>
      <c r="O1173" s="112"/>
      <c r="P1173" s="112" t="s">
        <v>1485</v>
      </c>
      <c r="Q1173" s="112" t="s">
        <v>1227</v>
      </c>
    </row>
    <row r="1174" spans="2:17" hidden="1" outlineLevel="2">
      <c r="B1174" s="2" t="s">
        <v>876</v>
      </c>
      <c r="D1174" s="268">
        <v>2115</v>
      </c>
      <c r="E1174" s="114" t="s">
        <v>208</v>
      </c>
      <c r="F1174" s="114" t="s">
        <v>1651</v>
      </c>
      <c r="G1174" s="114" t="s">
        <v>1572</v>
      </c>
      <c r="H1174" s="114" t="s">
        <v>1227</v>
      </c>
      <c r="I1174" s="114"/>
      <c r="J1174" s="114" t="b">
        <v>0</v>
      </c>
      <c r="K1174" s="114"/>
      <c r="L1174" s="114"/>
      <c r="M1174" s="114"/>
      <c r="N1174" s="114"/>
      <c r="O1174" s="114"/>
      <c r="P1174" s="114" t="s">
        <v>1485</v>
      </c>
      <c r="Q1174" s="114" t="s">
        <v>1227</v>
      </c>
    </row>
    <row r="1175" spans="2:17" hidden="1" outlineLevel="2">
      <c r="B1175" s="2" t="s">
        <v>876</v>
      </c>
      <c r="D1175" s="270">
        <v>2116</v>
      </c>
      <c r="E1175" s="112" t="s">
        <v>208</v>
      </c>
      <c r="F1175" s="112" t="s">
        <v>1652</v>
      </c>
      <c r="G1175" s="112" t="s">
        <v>1572</v>
      </c>
      <c r="H1175" s="112" t="s">
        <v>1227</v>
      </c>
      <c r="I1175" s="112"/>
      <c r="J1175" s="112" t="b">
        <v>0</v>
      </c>
      <c r="K1175" s="112"/>
      <c r="L1175" s="112"/>
      <c r="M1175" s="112"/>
      <c r="N1175" s="112"/>
      <c r="O1175" s="112"/>
      <c r="P1175" s="112" t="s">
        <v>1485</v>
      </c>
      <c r="Q1175" s="112" t="s">
        <v>1227</v>
      </c>
    </row>
    <row r="1176" spans="2:17" hidden="1" outlineLevel="2">
      <c r="B1176" s="2" t="s">
        <v>876</v>
      </c>
      <c r="D1176" s="268">
        <v>2117</v>
      </c>
      <c r="E1176" s="114" t="s">
        <v>208</v>
      </c>
      <c r="F1176" s="114" t="s">
        <v>1653</v>
      </c>
      <c r="G1176" s="114" t="s">
        <v>1572</v>
      </c>
      <c r="H1176" s="114" t="s">
        <v>1227</v>
      </c>
      <c r="I1176" s="114"/>
      <c r="J1176" s="114" t="b">
        <v>0</v>
      </c>
      <c r="K1176" s="114"/>
      <c r="L1176" s="114"/>
      <c r="M1176" s="114"/>
      <c r="N1176" s="114"/>
      <c r="O1176" s="114"/>
      <c r="P1176" s="114" t="s">
        <v>1485</v>
      </c>
      <c r="Q1176" s="114" t="s">
        <v>1227</v>
      </c>
    </row>
    <row r="1177" spans="2:17" hidden="1" outlineLevel="2">
      <c r="B1177" s="2" t="s">
        <v>876</v>
      </c>
      <c r="D1177" s="270">
        <v>2118</v>
      </c>
      <c r="E1177" s="112" t="s">
        <v>208</v>
      </c>
      <c r="F1177" s="112" t="s">
        <v>1654</v>
      </c>
      <c r="G1177" s="112" t="s">
        <v>1572</v>
      </c>
      <c r="H1177" s="112" t="s">
        <v>1227</v>
      </c>
      <c r="I1177" s="112"/>
      <c r="J1177" s="112" t="b">
        <v>0</v>
      </c>
      <c r="K1177" s="112"/>
      <c r="L1177" s="112"/>
      <c r="M1177" s="112"/>
      <c r="N1177" s="112"/>
      <c r="O1177" s="112"/>
      <c r="P1177" s="112" t="s">
        <v>1485</v>
      </c>
      <c r="Q1177" s="112" t="s">
        <v>1227</v>
      </c>
    </row>
    <row r="1178" spans="2:17" hidden="1" outlineLevel="2">
      <c r="B1178" s="2" t="s">
        <v>876</v>
      </c>
      <c r="D1178" s="268">
        <v>2119</v>
      </c>
      <c r="E1178" s="114" t="s">
        <v>208</v>
      </c>
      <c r="F1178" s="114" t="s">
        <v>1655</v>
      </c>
      <c r="G1178" s="114" t="s">
        <v>1572</v>
      </c>
      <c r="H1178" s="114" t="s">
        <v>1227</v>
      </c>
      <c r="I1178" s="114"/>
      <c r="J1178" s="114" t="b">
        <v>0</v>
      </c>
      <c r="K1178" s="114"/>
      <c r="L1178" s="114"/>
      <c r="M1178" s="114"/>
      <c r="N1178" s="691" t="b">
        <v>1</v>
      </c>
      <c r="O1178" s="114"/>
      <c r="P1178" s="114" t="s">
        <v>1485</v>
      </c>
      <c r="Q1178" s="114" t="s">
        <v>1227</v>
      </c>
    </row>
    <row r="1179" spans="2:17" hidden="1" outlineLevel="2">
      <c r="B1179" s="2" t="s">
        <v>876</v>
      </c>
      <c r="D1179" s="270">
        <v>2120</v>
      </c>
      <c r="E1179" s="112" t="s">
        <v>208</v>
      </c>
      <c r="F1179" s="112" t="s">
        <v>1656</v>
      </c>
      <c r="G1179" s="112" t="s">
        <v>1572</v>
      </c>
      <c r="H1179" s="112" t="s">
        <v>1227</v>
      </c>
      <c r="I1179" s="112"/>
      <c r="J1179" s="112" t="b">
        <v>0</v>
      </c>
      <c r="K1179" s="112"/>
      <c r="L1179" s="112"/>
      <c r="M1179" s="112"/>
      <c r="N1179" s="112"/>
      <c r="O1179" s="112"/>
      <c r="P1179" s="112" t="s">
        <v>1485</v>
      </c>
      <c r="Q1179" s="112" t="s">
        <v>1227</v>
      </c>
    </row>
    <row r="1180" spans="2:17" hidden="1" outlineLevel="2">
      <c r="B1180" s="2" t="s">
        <v>876</v>
      </c>
      <c r="D1180" s="268">
        <v>2121</v>
      </c>
      <c r="E1180" s="114" t="s">
        <v>208</v>
      </c>
      <c r="F1180" s="114" t="s">
        <v>1657</v>
      </c>
      <c r="G1180" s="114" t="s">
        <v>1572</v>
      </c>
      <c r="H1180" s="114" t="s">
        <v>1227</v>
      </c>
      <c r="I1180" s="114"/>
      <c r="J1180" s="114" t="b">
        <v>0</v>
      </c>
      <c r="K1180" s="114"/>
      <c r="L1180" s="114"/>
      <c r="M1180" s="114"/>
      <c r="N1180" s="691" t="b">
        <v>1</v>
      </c>
      <c r="O1180" s="114"/>
      <c r="P1180" s="114" t="s">
        <v>1485</v>
      </c>
      <c r="Q1180" s="114" t="s">
        <v>1227</v>
      </c>
    </row>
    <row r="1181" spans="2:17" hidden="1" outlineLevel="2">
      <c r="B1181" s="2" t="s">
        <v>876</v>
      </c>
      <c r="D1181" s="270">
        <v>2122</v>
      </c>
      <c r="E1181" s="112" t="s">
        <v>208</v>
      </c>
      <c r="F1181" s="112" t="s">
        <v>1658</v>
      </c>
      <c r="G1181" s="112" t="s">
        <v>1572</v>
      </c>
      <c r="H1181" s="112" t="s">
        <v>1227</v>
      </c>
      <c r="I1181" s="112"/>
      <c r="J1181" s="112" t="b">
        <v>0</v>
      </c>
      <c r="K1181" s="112"/>
      <c r="L1181" s="112"/>
      <c r="M1181" s="112"/>
      <c r="N1181" s="691" t="b">
        <v>1</v>
      </c>
      <c r="O1181" s="112"/>
      <c r="P1181" s="112" t="s">
        <v>1485</v>
      </c>
      <c r="Q1181" s="112" t="s">
        <v>1227</v>
      </c>
    </row>
    <row r="1182" spans="2:17" hidden="1" outlineLevel="2">
      <c r="B1182" s="2" t="s">
        <v>876</v>
      </c>
      <c r="D1182" s="268">
        <v>2125</v>
      </c>
      <c r="E1182" s="114" t="s">
        <v>208</v>
      </c>
      <c r="F1182" s="114" t="s">
        <v>1659</v>
      </c>
      <c r="G1182" s="114" t="s">
        <v>1572</v>
      </c>
      <c r="H1182" s="114" t="s">
        <v>1227</v>
      </c>
      <c r="I1182" s="114"/>
      <c r="J1182" s="114" t="b">
        <v>0</v>
      </c>
      <c r="K1182" s="114"/>
      <c r="L1182" s="114"/>
      <c r="M1182" s="114"/>
      <c r="N1182" s="691" t="b">
        <v>1</v>
      </c>
      <c r="O1182" s="114"/>
      <c r="P1182" s="114" t="s">
        <v>1485</v>
      </c>
      <c r="Q1182" s="114" t="s">
        <v>1227</v>
      </c>
    </row>
    <row r="1183" spans="2:17" hidden="1" outlineLevel="2">
      <c r="B1183" s="2" t="s">
        <v>876</v>
      </c>
      <c r="D1183" s="270">
        <v>2126</v>
      </c>
      <c r="E1183" s="112" t="s">
        <v>208</v>
      </c>
      <c r="F1183" s="112" t="s">
        <v>1660</v>
      </c>
      <c r="G1183" s="112" t="s">
        <v>1572</v>
      </c>
      <c r="H1183" s="112" t="s">
        <v>1227</v>
      </c>
      <c r="I1183" s="112"/>
      <c r="J1183" s="112" t="b">
        <v>0</v>
      </c>
      <c r="K1183" s="112"/>
      <c r="L1183" s="112"/>
      <c r="M1183" s="112"/>
      <c r="N1183" s="691" t="b">
        <v>1</v>
      </c>
      <c r="O1183" s="112"/>
      <c r="P1183" s="112" t="s">
        <v>1485</v>
      </c>
      <c r="Q1183" s="112" t="s">
        <v>1227</v>
      </c>
    </row>
    <row r="1184" spans="2:17" hidden="1" outlineLevel="2">
      <c r="B1184" s="2" t="s">
        <v>876</v>
      </c>
      <c r="D1184" s="268">
        <v>2127</v>
      </c>
      <c r="E1184" s="114" t="s">
        <v>208</v>
      </c>
      <c r="F1184" s="114" t="s">
        <v>1661</v>
      </c>
      <c r="G1184" s="114" t="s">
        <v>1572</v>
      </c>
      <c r="H1184" s="114" t="s">
        <v>1227</v>
      </c>
      <c r="I1184" s="114"/>
      <c r="J1184" s="114" t="b">
        <v>0</v>
      </c>
      <c r="K1184" s="114"/>
      <c r="L1184" s="114"/>
      <c r="M1184" s="114"/>
      <c r="N1184" s="114"/>
      <c r="O1184" s="114"/>
      <c r="P1184" s="114" t="s">
        <v>1485</v>
      </c>
      <c r="Q1184" s="114" t="s">
        <v>1227</v>
      </c>
    </row>
    <row r="1185" spans="2:17" hidden="1" outlineLevel="2">
      <c r="B1185" s="2" t="s">
        <v>876</v>
      </c>
      <c r="D1185" s="270">
        <v>2128</v>
      </c>
      <c r="E1185" s="112" t="s">
        <v>208</v>
      </c>
      <c r="F1185" s="112" t="s">
        <v>1662</v>
      </c>
      <c r="G1185" s="112" t="s">
        <v>1572</v>
      </c>
      <c r="H1185" s="112" t="s">
        <v>1227</v>
      </c>
      <c r="I1185" s="112"/>
      <c r="J1185" s="112" t="b">
        <v>0</v>
      </c>
      <c r="K1185" s="112"/>
      <c r="L1185" s="112"/>
      <c r="M1185" s="112"/>
      <c r="N1185" s="112"/>
      <c r="O1185" s="112"/>
      <c r="P1185" s="112" t="s">
        <v>1485</v>
      </c>
      <c r="Q1185" s="112" t="s">
        <v>1227</v>
      </c>
    </row>
    <row r="1186" spans="2:17" hidden="1" outlineLevel="2">
      <c r="B1186" s="2" t="s">
        <v>876</v>
      </c>
      <c r="D1186" s="268">
        <v>2130</v>
      </c>
      <c r="E1186" s="114" t="s">
        <v>208</v>
      </c>
      <c r="F1186" s="114" t="s">
        <v>1663</v>
      </c>
      <c r="G1186" s="114" t="s">
        <v>1572</v>
      </c>
      <c r="H1186" s="114" t="s">
        <v>1227</v>
      </c>
      <c r="I1186" s="114"/>
      <c r="J1186" s="114" t="b">
        <v>0</v>
      </c>
      <c r="K1186" s="114"/>
      <c r="L1186" s="114"/>
      <c r="M1186" s="114"/>
      <c r="N1186" s="691" t="b">
        <v>1</v>
      </c>
      <c r="O1186" s="114"/>
      <c r="P1186" s="114" t="s">
        <v>1485</v>
      </c>
      <c r="Q1186" s="114" t="s">
        <v>1227</v>
      </c>
    </row>
    <row r="1187" spans="2:17" hidden="1" outlineLevel="2">
      <c r="B1187" s="2" t="s">
        <v>876</v>
      </c>
      <c r="D1187" s="270">
        <v>2131</v>
      </c>
      <c r="E1187" s="112" t="s">
        <v>208</v>
      </c>
      <c r="F1187" s="112" t="s">
        <v>1664</v>
      </c>
      <c r="G1187" s="112" t="s">
        <v>1572</v>
      </c>
      <c r="H1187" s="112" t="s">
        <v>1227</v>
      </c>
      <c r="I1187" s="112"/>
      <c r="J1187" s="112" t="b">
        <v>0</v>
      </c>
      <c r="K1187" s="112"/>
      <c r="L1187" s="112"/>
      <c r="M1187" s="112"/>
      <c r="N1187" s="691" t="b">
        <v>1</v>
      </c>
      <c r="O1187" s="112"/>
      <c r="P1187" s="112" t="s">
        <v>1485</v>
      </c>
      <c r="Q1187" s="112" t="s">
        <v>1227</v>
      </c>
    </row>
    <row r="1188" spans="2:17" hidden="1" outlineLevel="2">
      <c r="B1188" s="2" t="s">
        <v>876</v>
      </c>
      <c r="D1188" s="268">
        <v>2132</v>
      </c>
      <c r="E1188" s="114" t="s">
        <v>208</v>
      </c>
      <c r="F1188" s="114" t="s">
        <v>1665</v>
      </c>
      <c r="G1188" s="114" t="s">
        <v>1572</v>
      </c>
      <c r="H1188" s="114" t="s">
        <v>1227</v>
      </c>
      <c r="I1188" s="114"/>
      <c r="J1188" s="114" t="b">
        <v>0</v>
      </c>
      <c r="K1188" s="114"/>
      <c r="L1188" s="114"/>
      <c r="M1188" s="114"/>
      <c r="N1188" s="691" t="b">
        <v>1</v>
      </c>
      <c r="O1188" s="114"/>
      <c r="P1188" s="114" t="s">
        <v>1485</v>
      </c>
      <c r="Q1188" s="114" t="s">
        <v>1227</v>
      </c>
    </row>
    <row r="1189" spans="2:17" hidden="1" outlineLevel="2">
      <c r="B1189" s="2" t="s">
        <v>876</v>
      </c>
      <c r="D1189" s="270">
        <v>2133</v>
      </c>
      <c r="E1189" s="112" t="s">
        <v>208</v>
      </c>
      <c r="F1189" s="112" t="s">
        <v>1666</v>
      </c>
      <c r="G1189" s="112" t="s">
        <v>1572</v>
      </c>
      <c r="H1189" s="112" t="s">
        <v>1227</v>
      </c>
      <c r="I1189" s="112"/>
      <c r="J1189" s="112" t="b">
        <v>0</v>
      </c>
      <c r="K1189" s="112"/>
      <c r="L1189" s="112"/>
      <c r="M1189" s="112"/>
      <c r="N1189" s="691" t="b">
        <v>1</v>
      </c>
      <c r="O1189" s="112"/>
      <c r="P1189" s="112" t="s">
        <v>1485</v>
      </c>
      <c r="Q1189" s="112" t="s">
        <v>1227</v>
      </c>
    </row>
    <row r="1190" spans="2:17" hidden="1" outlineLevel="2">
      <c r="B1190" s="2" t="s">
        <v>876</v>
      </c>
      <c r="D1190" s="268">
        <v>2134</v>
      </c>
      <c r="E1190" s="114" t="s">
        <v>208</v>
      </c>
      <c r="F1190" s="114" t="s">
        <v>1667</v>
      </c>
      <c r="G1190" s="114" t="s">
        <v>1572</v>
      </c>
      <c r="H1190" s="114" t="s">
        <v>1227</v>
      </c>
      <c r="I1190" s="114"/>
      <c r="J1190" s="114" t="b">
        <v>0</v>
      </c>
      <c r="K1190" s="114"/>
      <c r="L1190" s="114"/>
      <c r="M1190" s="114"/>
      <c r="N1190" s="691" t="b">
        <v>1</v>
      </c>
      <c r="O1190" s="114"/>
      <c r="P1190" s="114" t="s">
        <v>1485</v>
      </c>
      <c r="Q1190" s="114" t="s">
        <v>1227</v>
      </c>
    </row>
    <row r="1191" spans="2:17" hidden="1" outlineLevel="2">
      <c r="B1191" s="2" t="s">
        <v>876</v>
      </c>
      <c r="D1191" s="270">
        <v>2135</v>
      </c>
      <c r="E1191" s="112" t="s">
        <v>208</v>
      </c>
      <c r="F1191" s="112" t="s">
        <v>1668</v>
      </c>
      <c r="G1191" s="112" t="s">
        <v>1572</v>
      </c>
      <c r="H1191" s="112" t="s">
        <v>1227</v>
      </c>
      <c r="I1191" s="112"/>
      <c r="J1191" s="112" t="b">
        <v>0</v>
      </c>
      <c r="K1191" s="112"/>
      <c r="L1191" s="112"/>
      <c r="M1191" s="112"/>
      <c r="N1191" s="691" t="b">
        <v>1</v>
      </c>
      <c r="O1191" s="112"/>
      <c r="P1191" s="112" t="s">
        <v>1485</v>
      </c>
      <c r="Q1191" s="112" t="s">
        <v>1227</v>
      </c>
    </row>
    <row r="1192" spans="2:17" hidden="1" outlineLevel="2">
      <c r="B1192" s="2" t="s">
        <v>876</v>
      </c>
      <c r="D1192" s="268">
        <v>2136</v>
      </c>
      <c r="E1192" s="114" t="s">
        <v>208</v>
      </c>
      <c r="F1192" s="114" t="s">
        <v>1669</v>
      </c>
      <c r="G1192" s="114" t="s">
        <v>1572</v>
      </c>
      <c r="H1192" s="114" t="s">
        <v>1227</v>
      </c>
      <c r="I1192" s="114"/>
      <c r="J1192" s="114" t="b">
        <v>0</v>
      </c>
      <c r="K1192" s="114"/>
      <c r="L1192" s="114"/>
      <c r="M1192" s="114"/>
      <c r="N1192" s="691" t="b">
        <v>1</v>
      </c>
      <c r="O1192" s="114"/>
      <c r="P1192" s="114" t="s">
        <v>1485</v>
      </c>
      <c r="Q1192" s="114" t="s">
        <v>1227</v>
      </c>
    </row>
    <row r="1193" spans="2:17" hidden="1" outlineLevel="2">
      <c r="B1193" s="2" t="s">
        <v>876</v>
      </c>
      <c r="D1193" s="270">
        <v>2137</v>
      </c>
      <c r="E1193" s="112" t="s">
        <v>208</v>
      </c>
      <c r="F1193" s="112" t="s">
        <v>1670</v>
      </c>
      <c r="G1193" s="112" t="s">
        <v>1572</v>
      </c>
      <c r="H1193" s="112" t="s">
        <v>1227</v>
      </c>
      <c r="I1193" s="112"/>
      <c r="J1193" s="112" t="b">
        <v>0</v>
      </c>
      <c r="K1193" s="112"/>
      <c r="L1193" s="112"/>
      <c r="M1193" s="112"/>
      <c r="N1193" s="691" t="b">
        <v>1</v>
      </c>
      <c r="O1193" s="112"/>
      <c r="P1193" s="112" t="s">
        <v>1485</v>
      </c>
      <c r="Q1193" s="112" t="s">
        <v>1227</v>
      </c>
    </row>
    <row r="1194" spans="2:17" hidden="1" outlineLevel="2">
      <c r="B1194" s="2" t="s">
        <v>876</v>
      </c>
      <c r="D1194" s="268">
        <v>2138</v>
      </c>
      <c r="E1194" s="114" t="s">
        <v>208</v>
      </c>
      <c r="F1194" s="114" t="s">
        <v>1671</v>
      </c>
      <c r="G1194" s="114" t="s">
        <v>1572</v>
      </c>
      <c r="H1194" s="114" t="s">
        <v>1227</v>
      </c>
      <c r="I1194" s="114"/>
      <c r="J1194" s="114" t="b">
        <v>0</v>
      </c>
      <c r="K1194" s="114"/>
      <c r="L1194" s="114"/>
      <c r="M1194" s="114"/>
      <c r="N1194" s="691" t="b">
        <v>1</v>
      </c>
      <c r="O1194" s="114"/>
      <c r="P1194" s="114" t="s">
        <v>1485</v>
      </c>
      <c r="Q1194" s="114" t="s">
        <v>1227</v>
      </c>
    </row>
    <row r="1195" spans="2:17" hidden="1" outlineLevel="2">
      <c r="B1195" s="2" t="s">
        <v>876</v>
      </c>
      <c r="D1195" s="270">
        <v>2140</v>
      </c>
      <c r="E1195" s="112" t="s">
        <v>208</v>
      </c>
      <c r="F1195" s="112" t="s">
        <v>1672</v>
      </c>
      <c r="G1195" s="112" t="s">
        <v>1572</v>
      </c>
      <c r="H1195" s="112" t="s">
        <v>1227</v>
      </c>
      <c r="I1195" s="112"/>
      <c r="J1195" s="112" t="b">
        <v>0</v>
      </c>
      <c r="K1195" s="112"/>
      <c r="L1195" s="112"/>
      <c r="M1195" s="112"/>
      <c r="N1195" s="691" t="b">
        <v>1</v>
      </c>
      <c r="O1195" s="112"/>
      <c r="P1195" s="112" t="s">
        <v>1485</v>
      </c>
      <c r="Q1195" s="112" t="s">
        <v>1227</v>
      </c>
    </row>
    <row r="1196" spans="2:17" hidden="1" outlineLevel="2">
      <c r="B1196" s="2" t="s">
        <v>876</v>
      </c>
      <c r="D1196" s="268">
        <v>2141</v>
      </c>
      <c r="E1196" s="114" t="s">
        <v>208</v>
      </c>
      <c r="F1196" s="114" t="s">
        <v>1673</v>
      </c>
      <c r="G1196" s="114" t="s">
        <v>1572</v>
      </c>
      <c r="H1196" s="114" t="s">
        <v>1227</v>
      </c>
      <c r="I1196" s="114"/>
      <c r="J1196" s="114" t="b">
        <v>0</v>
      </c>
      <c r="K1196" s="114"/>
      <c r="L1196" s="114"/>
      <c r="M1196" s="114"/>
      <c r="N1196" s="114"/>
      <c r="O1196" s="114"/>
      <c r="P1196" s="114" t="s">
        <v>1485</v>
      </c>
      <c r="Q1196" s="114" t="s">
        <v>1227</v>
      </c>
    </row>
    <row r="1197" spans="2:17" hidden="1" outlineLevel="2">
      <c r="B1197" s="2" t="s">
        <v>876</v>
      </c>
      <c r="D1197" s="270">
        <v>2142</v>
      </c>
      <c r="E1197" s="112" t="s">
        <v>208</v>
      </c>
      <c r="F1197" s="112" t="s">
        <v>1674</v>
      </c>
      <c r="G1197" s="112" t="s">
        <v>1572</v>
      </c>
      <c r="H1197" s="112" t="s">
        <v>1227</v>
      </c>
      <c r="I1197" s="112"/>
      <c r="J1197" s="112" t="b">
        <v>0</v>
      </c>
      <c r="K1197" s="112"/>
      <c r="L1197" s="112"/>
      <c r="M1197" s="112"/>
      <c r="N1197" s="112"/>
      <c r="O1197" s="112"/>
      <c r="P1197" s="112" t="s">
        <v>1485</v>
      </c>
      <c r="Q1197" s="112" t="s">
        <v>1227</v>
      </c>
    </row>
    <row r="1198" spans="2:17" hidden="1" outlineLevel="2">
      <c r="B1198" s="2" t="s">
        <v>876</v>
      </c>
      <c r="D1198" s="268">
        <v>2143</v>
      </c>
      <c r="E1198" s="114" t="s">
        <v>208</v>
      </c>
      <c r="F1198" s="114" t="s">
        <v>1675</v>
      </c>
      <c r="G1198" s="114" t="s">
        <v>1572</v>
      </c>
      <c r="H1198" s="114" t="s">
        <v>1227</v>
      </c>
      <c r="I1198" s="114"/>
      <c r="J1198" s="114" t="b">
        <v>0</v>
      </c>
      <c r="K1198" s="114"/>
      <c r="L1198" s="114"/>
      <c r="M1198" s="114"/>
      <c r="N1198" s="114"/>
      <c r="O1198" s="114"/>
      <c r="P1198" s="114" t="s">
        <v>1485</v>
      </c>
      <c r="Q1198" s="114" t="s">
        <v>1227</v>
      </c>
    </row>
    <row r="1199" spans="2:17" hidden="1" outlineLevel="2">
      <c r="B1199" s="2" t="s">
        <v>876</v>
      </c>
      <c r="D1199" s="270">
        <v>2144</v>
      </c>
      <c r="E1199" s="112" t="s">
        <v>208</v>
      </c>
      <c r="F1199" s="112" t="s">
        <v>1676</v>
      </c>
      <c r="G1199" s="112" t="s">
        <v>1572</v>
      </c>
      <c r="H1199" s="112" t="s">
        <v>1227</v>
      </c>
      <c r="I1199" s="112"/>
      <c r="J1199" s="112" t="b">
        <v>0</v>
      </c>
      <c r="K1199" s="112"/>
      <c r="L1199" s="112"/>
      <c r="M1199" s="112"/>
      <c r="N1199" s="112"/>
      <c r="O1199" s="112"/>
      <c r="P1199" s="112" t="s">
        <v>1485</v>
      </c>
      <c r="Q1199" s="112" t="s">
        <v>1227</v>
      </c>
    </row>
    <row r="1200" spans="2:17" hidden="1" outlineLevel="2">
      <c r="B1200" s="2" t="s">
        <v>876</v>
      </c>
      <c r="D1200" s="268">
        <v>2145</v>
      </c>
      <c r="E1200" s="114" t="s">
        <v>208</v>
      </c>
      <c r="F1200" s="114" t="s">
        <v>1677</v>
      </c>
      <c r="G1200" s="114" t="s">
        <v>1572</v>
      </c>
      <c r="H1200" s="114" t="s">
        <v>1227</v>
      </c>
      <c r="I1200" s="114"/>
      <c r="J1200" s="114" t="b">
        <v>0</v>
      </c>
      <c r="K1200" s="114"/>
      <c r="L1200" s="114"/>
      <c r="M1200" s="114"/>
      <c r="N1200" s="114"/>
      <c r="O1200" s="114"/>
      <c r="P1200" s="114" t="s">
        <v>1485</v>
      </c>
      <c r="Q1200" s="114" t="s">
        <v>1227</v>
      </c>
    </row>
    <row r="1201" spans="2:17" hidden="1" outlineLevel="2">
      <c r="B1201" s="2" t="s">
        <v>876</v>
      </c>
      <c r="D1201" s="270">
        <v>2146</v>
      </c>
      <c r="E1201" s="112" t="s">
        <v>208</v>
      </c>
      <c r="F1201" s="112" t="s">
        <v>1678</v>
      </c>
      <c r="G1201" s="112" t="s">
        <v>1572</v>
      </c>
      <c r="H1201" s="112" t="s">
        <v>1227</v>
      </c>
      <c r="I1201" s="112"/>
      <c r="J1201" s="112" t="b">
        <v>0</v>
      </c>
      <c r="K1201" s="112"/>
      <c r="L1201" s="112"/>
      <c r="M1201" s="112"/>
      <c r="N1201" s="112"/>
      <c r="O1201" s="112"/>
      <c r="P1201" s="112" t="s">
        <v>1485</v>
      </c>
      <c r="Q1201" s="112" t="s">
        <v>1227</v>
      </c>
    </row>
    <row r="1202" spans="2:17" hidden="1" outlineLevel="2">
      <c r="B1202" s="2" t="s">
        <v>876</v>
      </c>
      <c r="D1202" s="268">
        <v>2147</v>
      </c>
      <c r="E1202" s="114" t="s">
        <v>208</v>
      </c>
      <c r="F1202" s="114" t="s">
        <v>1679</v>
      </c>
      <c r="G1202" s="114" t="s">
        <v>1572</v>
      </c>
      <c r="H1202" s="114" t="s">
        <v>1227</v>
      </c>
      <c r="I1202" s="114"/>
      <c r="J1202" s="114" t="b">
        <v>0</v>
      </c>
      <c r="K1202" s="114"/>
      <c r="L1202" s="114"/>
      <c r="M1202" s="114"/>
      <c r="N1202" s="114"/>
      <c r="O1202" s="114"/>
      <c r="P1202" s="114" t="s">
        <v>1485</v>
      </c>
      <c r="Q1202" s="114" t="s">
        <v>1227</v>
      </c>
    </row>
    <row r="1203" spans="2:17" hidden="1" outlineLevel="2">
      <c r="B1203" s="2" t="s">
        <v>876</v>
      </c>
      <c r="D1203" s="270">
        <v>2148</v>
      </c>
      <c r="E1203" s="112" t="s">
        <v>208</v>
      </c>
      <c r="F1203" s="112" t="s">
        <v>1680</v>
      </c>
      <c r="G1203" s="112" t="s">
        <v>1572</v>
      </c>
      <c r="H1203" s="112" t="s">
        <v>1227</v>
      </c>
      <c r="I1203" s="112"/>
      <c r="J1203" s="112" t="b">
        <v>0</v>
      </c>
      <c r="K1203" s="112"/>
      <c r="L1203" s="112"/>
      <c r="M1203" s="112"/>
      <c r="N1203" s="112"/>
      <c r="O1203" s="112"/>
      <c r="P1203" s="112" t="s">
        <v>1485</v>
      </c>
      <c r="Q1203" s="112" t="s">
        <v>1227</v>
      </c>
    </row>
    <row r="1204" spans="2:17" hidden="1" outlineLevel="2">
      <c r="B1204" s="2" t="s">
        <v>876</v>
      </c>
      <c r="D1204" s="268">
        <v>2150</v>
      </c>
      <c r="E1204" s="114" t="s">
        <v>208</v>
      </c>
      <c r="F1204" s="114" t="s">
        <v>1681</v>
      </c>
      <c r="G1204" s="114" t="s">
        <v>1572</v>
      </c>
      <c r="H1204" s="114" t="s">
        <v>1227</v>
      </c>
      <c r="I1204" s="114"/>
      <c r="J1204" s="114" t="b">
        <v>0</v>
      </c>
      <c r="K1204" s="114"/>
      <c r="L1204" s="114"/>
      <c r="M1204" s="114"/>
      <c r="N1204" s="114"/>
      <c r="O1204" s="114"/>
      <c r="P1204" s="114" t="s">
        <v>1485</v>
      </c>
      <c r="Q1204" s="114" t="s">
        <v>1227</v>
      </c>
    </row>
    <row r="1205" spans="2:17" hidden="1" outlineLevel="2">
      <c r="B1205" s="2" t="s">
        <v>876</v>
      </c>
      <c r="D1205" s="270">
        <v>2151</v>
      </c>
      <c r="E1205" s="112" t="s">
        <v>208</v>
      </c>
      <c r="F1205" s="112" t="s">
        <v>1682</v>
      </c>
      <c r="G1205" s="112" t="s">
        <v>1572</v>
      </c>
      <c r="H1205" s="112" t="s">
        <v>1227</v>
      </c>
      <c r="I1205" s="112"/>
      <c r="J1205" s="112" t="b">
        <v>0</v>
      </c>
      <c r="K1205" s="112"/>
      <c r="L1205" s="112"/>
      <c r="M1205" s="112"/>
      <c r="N1205" s="112"/>
      <c r="O1205" s="112"/>
      <c r="P1205" s="112" t="s">
        <v>1485</v>
      </c>
      <c r="Q1205" s="112" t="s">
        <v>1227</v>
      </c>
    </row>
    <row r="1206" spans="2:17" hidden="1" outlineLevel="2">
      <c r="B1206" s="2" t="s">
        <v>876</v>
      </c>
      <c r="D1206" s="268">
        <v>2152</v>
      </c>
      <c r="E1206" s="114" t="s">
        <v>208</v>
      </c>
      <c r="F1206" s="114" t="s">
        <v>1683</v>
      </c>
      <c r="G1206" s="114" t="s">
        <v>1572</v>
      </c>
      <c r="H1206" s="114" t="s">
        <v>1227</v>
      </c>
      <c r="I1206" s="114"/>
      <c r="J1206" s="114" t="b">
        <v>0</v>
      </c>
      <c r="K1206" s="114"/>
      <c r="L1206" s="114"/>
      <c r="M1206" s="114"/>
      <c r="N1206" s="114"/>
      <c r="O1206" s="114"/>
      <c r="P1206" s="114" t="s">
        <v>1485</v>
      </c>
      <c r="Q1206" s="114" t="s">
        <v>1227</v>
      </c>
    </row>
    <row r="1207" spans="2:17" hidden="1" outlineLevel="2">
      <c r="B1207" s="2" t="s">
        <v>876</v>
      </c>
      <c r="D1207" s="270">
        <v>2153</v>
      </c>
      <c r="E1207" s="112" t="s">
        <v>208</v>
      </c>
      <c r="F1207" s="112" t="s">
        <v>1684</v>
      </c>
      <c r="G1207" s="112" t="s">
        <v>1572</v>
      </c>
      <c r="H1207" s="112" t="s">
        <v>1227</v>
      </c>
      <c r="I1207" s="112"/>
      <c r="J1207" s="112" t="b">
        <v>0</v>
      </c>
      <c r="K1207" s="112"/>
      <c r="L1207" s="112"/>
      <c r="M1207" s="112"/>
      <c r="N1207" s="112"/>
      <c r="O1207" s="112"/>
      <c r="P1207" s="112" t="s">
        <v>1485</v>
      </c>
      <c r="Q1207" s="112" t="s">
        <v>1227</v>
      </c>
    </row>
    <row r="1208" spans="2:17" hidden="1" outlineLevel="2">
      <c r="B1208" s="2" t="s">
        <v>876</v>
      </c>
      <c r="D1208" s="268">
        <v>2154</v>
      </c>
      <c r="E1208" s="114" t="s">
        <v>208</v>
      </c>
      <c r="F1208" s="114" t="s">
        <v>1685</v>
      </c>
      <c r="G1208" s="114" t="s">
        <v>1572</v>
      </c>
      <c r="H1208" s="114" t="s">
        <v>1227</v>
      </c>
      <c r="I1208" s="114"/>
      <c r="J1208" s="114" t="b">
        <v>0</v>
      </c>
      <c r="K1208" s="114"/>
      <c r="L1208" s="114"/>
      <c r="M1208" s="114"/>
      <c r="N1208" s="691" t="b">
        <v>1</v>
      </c>
      <c r="O1208" s="114"/>
      <c r="P1208" s="114" t="s">
        <v>1485</v>
      </c>
      <c r="Q1208" s="114" t="s">
        <v>1227</v>
      </c>
    </row>
    <row r="1209" spans="2:17" hidden="1" outlineLevel="2">
      <c r="B1209" s="2" t="s">
        <v>876</v>
      </c>
      <c r="D1209" s="270">
        <v>2155</v>
      </c>
      <c r="E1209" s="112" t="s">
        <v>208</v>
      </c>
      <c r="F1209" s="112" t="s">
        <v>1686</v>
      </c>
      <c r="G1209" s="112" t="s">
        <v>1572</v>
      </c>
      <c r="H1209" s="112" t="s">
        <v>1227</v>
      </c>
      <c r="I1209" s="112"/>
      <c r="J1209" s="112" t="b">
        <v>0</v>
      </c>
      <c r="K1209" s="112"/>
      <c r="L1209" s="112"/>
      <c r="M1209" s="112"/>
      <c r="N1209" s="112"/>
      <c r="O1209" s="112"/>
      <c r="P1209" s="112" t="s">
        <v>1485</v>
      </c>
      <c r="Q1209" s="112" t="s">
        <v>1227</v>
      </c>
    </row>
    <row r="1210" spans="2:17" hidden="1" outlineLevel="2">
      <c r="B1210" s="2" t="s">
        <v>876</v>
      </c>
      <c r="D1210" s="268">
        <v>2156</v>
      </c>
      <c r="E1210" s="114" t="s">
        <v>208</v>
      </c>
      <c r="F1210" s="114" t="s">
        <v>1687</v>
      </c>
      <c r="G1210" s="114" t="s">
        <v>1572</v>
      </c>
      <c r="H1210" s="114" t="s">
        <v>1227</v>
      </c>
      <c r="I1210" s="114"/>
      <c r="J1210" s="114" t="b">
        <v>0</v>
      </c>
      <c r="K1210" s="114"/>
      <c r="L1210" s="114"/>
      <c r="M1210" s="114"/>
      <c r="N1210" s="691" t="b">
        <v>1</v>
      </c>
      <c r="O1210" s="114"/>
      <c r="P1210" s="114" t="s">
        <v>1485</v>
      </c>
      <c r="Q1210" s="114" t="s">
        <v>1227</v>
      </c>
    </row>
    <row r="1211" spans="2:17" hidden="1" outlineLevel="2">
      <c r="B1211" s="2" t="s">
        <v>876</v>
      </c>
      <c r="D1211" s="270">
        <v>2157</v>
      </c>
      <c r="E1211" s="112" t="s">
        <v>208</v>
      </c>
      <c r="F1211" s="112" t="s">
        <v>1688</v>
      </c>
      <c r="G1211" s="112" t="s">
        <v>1572</v>
      </c>
      <c r="H1211" s="112" t="s">
        <v>1227</v>
      </c>
      <c r="I1211" s="112"/>
      <c r="J1211" s="112" t="b">
        <v>0</v>
      </c>
      <c r="K1211" s="112"/>
      <c r="L1211" s="112"/>
      <c r="M1211" s="112"/>
      <c r="N1211" s="691" t="b">
        <v>1</v>
      </c>
      <c r="O1211" s="112"/>
      <c r="P1211" s="112" t="s">
        <v>1485</v>
      </c>
      <c r="Q1211" s="112" t="s">
        <v>1227</v>
      </c>
    </row>
    <row r="1212" spans="2:17" hidden="1" outlineLevel="2">
      <c r="B1212" s="2" t="s">
        <v>876</v>
      </c>
      <c r="D1212" s="268">
        <v>2158</v>
      </c>
      <c r="E1212" s="114" t="s">
        <v>208</v>
      </c>
      <c r="F1212" s="114" t="s">
        <v>1689</v>
      </c>
      <c r="G1212" s="114" t="s">
        <v>1572</v>
      </c>
      <c r="H1212" s="114" t="s">
        <v>1227</v>
      </c>
      <c r="I1212" s="114"/>
      <c r="J1212" s="114" t="b">
        <v>0</v>
      </c>
      <c r="K1212" s="114"/>
      <c r="L1212" s="114"/>
      <c r="M1212" s="114"/>
      <c r="N1212" s="691" t="b">
        <v>1</v>
      </c>
      <c r="O1212" s="114"/>
      <c r="P1212" s="114" t="s">
        <v>1485</v>
      </c>
      <c r="Q1212" s="114" t="s">
        <v>1227</v>
      </c>
    </row>
    <row r="1213" spans="2:17" hidden="1" outlineLevel="2">
      <c r="B1213" s="2" t="s">
        <v>876</v>
      </c>
      <c r="D1213" s="270">
        <v>2159</v>
      </c>
      <c r="E1213" s="112" t="s">
        <v>208</v>
      </c>
      <c r="F1213" s="112" t="s">
        <v>1690</v>
      </c>
      <c r="G1213" s="112" t="s">
        <v>1572</v>
      </c>
      <c r="H1213" s="112" t="s">
        <v>1227</v>
      </c>
      <c r="I1213" s="112"/>
      <c r="J1213" s="112" t="b">
        <v>0</v>
      </c>
      <c r="K1213" s="112"/>
      <c r="L1213" s="112"/>
      <c r="M1213" s="112"/>
      <c r="N1213" s="691" t="b">
        <v>1</v>
      </c>
      <c r="O1213" s="112"/>
      <c r="P1213" s="112" t="s">
        <v>1485</v>
      </c>
      <c r="Q1213" s="112" t="s">
        <v>1227</v>
      </c>
    </row>
    <row r="1214" spans="2:17" hidden="1" outlineLevel="2">
      <c r="B1214" s="2" t="s">
        <v>876</v>
      </c>
      <c r="D1214" s="268">
        <v>2160</v>
      </c>
      <c r="E1214" s="114" t="s">
        <v>208</v>
      </c>
      <c r="F1214" s="114" t="s">
        <v>1691</v>
      </c>
      <c r="G1214" s="114" t="s">
        <v>1572</v>
      </c>
      <c r="H1214" s="114" t="s">
        <v>1227</v>
      </c>
      <c r="I1214" s="114"/>
      <c r="J1214" s="114" t="b">
        <v>0</v>
      </c>
      <c r="K1214" s="114"/>
      <c r="L1214" s="114"/>
      <c r="M1214" s="114"/>
      <c r="N1214" s="114"/>
      <c r="O1214" s="114"/>
      <c r="P1214" s="114" t="s">
        <v>1485</v>
      </c>
      <c r="Q1214" s="114" t="s">
        <v>1227</v>
      </c>
    </row>
    <row r="1215" spans="2:17" hidden="1" outlineLevel="2">
      <c r="B1215" s="2" t="s">
        <v>876</v>
      </c>
      <c r="D1215" s="270">
        <v>2161</v>
      </c>
      <c r="E1215" s="112" t="s">
        <v>208</v>
      </c>
      <c r="F1215" s="112" t="s">
        <v>1692</v>
      </c>
      <c r="G1215" s="112" t="s">
        <v>1572</v>
      </c>
      <c r="H1215" s="112" t="s">
        <v>1227</v>
      </c>
      <c r="I1215" s="112"/>
      <c r="J1215" s="112" t="b">
        <v>0</v>
      </c>
      <c r="K1215" s="112"/>
      <c r="L1215" s="112"/>
      <c r="M1215" s="112"/>
      <c r="N1215" s="112"/>
      <c r="O1215" s="112"/>
      <c r="P1215" s="112" t="s">
        <v>1485</v>
      </c>
      <c r="Q1215" s="112" t="s">
        <v>1227</v>
      </c>
    </row>
    <row r="1216" spans="2:17" hidden="1" outlineLevel="2">
      <c r="B1216" s="2" t="s">
        <v>876</v>
      </c>
      <c r="D1216" s="268">
        <v>2162</v>
      </c>
      <c r="E1216" s="114" t="s">
        <v>208</v>
      </c>
      <c r="F1216" s="114" t="s">
        <v>1693</v>
      </c>
      <c r="G1216" s="114" t="s">
        <v>1572</v>
      </c>
      <c r="H1216" s="114" t="s">
        <v>1227</v>
      </c>
      <c r="I1216" s="114"/>
      <c r="J1216" s="114" t="b">
        <v>0</v>
      </c>
      <c r="K1216" s="114"/>
      <c r="L1216" s="114"/>
      <c r="M1216" s="114"/>
      <c r="N1216" s="114"/>
      <c r="O1216" s="114"/>
      <c r="P1216" s="114" t="s">
        <v>1485</v>
      </c>
      <c r="Q1216" s="114" t="s">
        <v>1227</v>
      </c>
    </row>
    <row r="1217" spans="2:17" hidden="1" outlineLevel="2">
      <c r="B1217" s="2" t="s">
        <v>876</v>
      </c>
      <c r="D1217" s="270">
        <v>2163</v>
      </c>
      <c r="E1217" s="112" t="s">
        <v>208</v>
      </c>
      <c r="F1217" s="112" t="s">
        <v>1694</v>
      </c>
      <c r="G1217" s="112" t="s">
        <v>1572</v>
      </c>
      <c r="H1217" s="112" t="s">
        <v>1227</v>
      </c>
      <c r="I1217" s="112"/>
      <c r="J1217" s="112" t="b">
        <v>0</v>
      </c>
      <c r="K1217" s="112"/>
      <c r="L1217" s="112"/>
      <c r="M1217" s="112"/>
      <c r="N1217" s="112"/>
      <c r="O1217" s="112"/>
      <c r="P1217" s="112" t="s">
        <v>1485</v>
      </c>
      <c r="Q1217" s="112" t="s">
        <v>1227</v>
      </c>
    </row>
    <row r="1218" spans="2:17" hidden="1" outlineLevel="2">
      <c r="B1218" s="2" t="s">
        <v>876</v>
      </c>
      <c r="D1218" s="268">
        <v>2164</v>
      </c>
      <c r="E1218" s="114" t="s">
        <v>208</v>
      </c>
      <c r="F1218" s="114" t="s">
        <v>1695</v>
      </c>
      <c r="G1218" s="114" t="s">
        <v>1572</v>
      </c>
      <c r="H1218" s="114" t="s">
        <v>1227</v>
      </c>
      <c r="I1218" s="114"/>
      <c r="J1218" s="114" t="b">
        <v>0</v>
      </c>
      <c r="K1218" s="114"/>
      <c r="L1218" s="114"/>
      <c r="M1218" s="114"/>
      <c r="N1218" s="114"/>
      <c r="O1218" s="114"/>
      <c r="P1218" s="114" t="s">
        <v>1485</v>
      </c>
      <c r="Q1218" s="114" t="s">
        <v>1227</v>
      </c>
    </row>
    <row r="1219" spans="2:17" hidden="1" outlineLevel="2">
      <c r="B1219" s="2" t="s">
        <v>876</v>
      </c>
      <c r="D1219" s="270">
        <v>2165</v>
      </c>
      <c r="E1219" s="112" t="s">
        <v>208</v>
      </c>
      <c r="F1219" s="112" t="s">
        <v>1696</v>
      </c>
      <c r="G1219" s="112" t="s">
        <v>1572</v>
      </c>
      <c r="H1219" s="112" t="s">
        <v>1227</v>
      </c>
      <c r="I1219" s="112"/>
      <c r="J1219" s="112" t="b">
        <v>0</v>
      </c>
      <c r="K1219" s="112"/>
      <c r="L1219" s="112"/>
      <c r="M1219" s="112"/>
      <c r="N1219" s="112"/>
      <c r="O1219" s="112"/>
      <c r="P1219" s="112" t="s">
        <v>1485</v>
      </c>
      <c r="Q1219" s="112" t="s">
        <v>1227</v>
      </c>
    </row>
    <row r="1220" spans="2:17" hidden="1" outlineLevel="2">
      <c r="B1220" s="2" t="s">
        <v>876</v>
      </c>
      <c r="D1220" s="268">
        <v>2166</v>
      </c>
      <c r="E1220" s="114" t="s">
        <v>208</v>
      </c>
      <c r="F1220" s="114" t="s">
        <v>1697</v>
      </c>
      <c r="G1220" s="114" t="s">
        <v>1572</v>
      </c>
      <c r="H1220" s="114" t="s">
        <v>1227</v>
      </c>
      <c r="I1220" s="114"/>
      <c r="J1220" s="114" t="b">
        <v>0</v>
      </c>
      <c r="K1220" s="114"/>
      <c r="L1220" s="114"/>
      <c r="M1220" s="114"/>
      <c r="N1220" s="114"/>
      <c r="O1220" s="114"/>
      <c r="P1220" s="114" t="s">
        <v>1485</v>
      </c>
      <c r="Q1220" s="114" t="s">
        <v>1227</v>
      </c>
    </row>
    <row r="1221" spans="2:17" hidden="1" outlineLevel="2">
      <c r="B1221" s="2" t="s">
        <v>876</v>
      </c>
      <c r="D1221" s="270">
        <v>2167</v>
      </c>
      <c r="E1221" s="112" t="s">
        <v>208</v>
      </c>
      <c r="F1221" s="112" t="s">
        <v>1698</v>
      </c>
      <c r="G1221" s="112" t="s">
        <v>1572</v>
      </c>
      <c r="H1221" s="112" t="s">
        <v>1227</v>
      </c>
      <c r="I1221" s="112"/>
      <c r="J1221" s="112" t="b">
        <v>0</v>
      </c>
      <c r="K1221" s="112"/>
      <c r="L1221" s="112"/>
      <c r="M1221" s="112"/>
      <c r="N1221" s="112"/>
      <c r="O1221" s="112"/>
      <c r="P1221" s="112" t="s">
        <v>1485</v>
      </c>
      <c r="Q1221" s="112" t="s">
        <v>1227</v>
      </c>
    </row>
    <row r="1222" spans="2:17" hidden="1" outlineLevel="2">
      <c r="B1222" s="2" t="s">
        <v>876</v>
      </c>
      <c r="D1222" s="268">
        <v>2168</v>
      </c>
      <c r="E1222" s="114" t="s">
        <v>208</v>
      </c>
      <c r="F1222" s="114" t="s">
        <v>1699</v>
      </c>
      <c r="G1222" s="114" t="s">
        <v>1572</v>
      </c>
      <c r="H1222" s="114" t="s">
        <v>1227</v>
      </c>
      <c r="I1222" s="114"/>
      <c r="J1222" s="114" t="b">
        <v>0</v>
      </c>
      <c r="K1222" s="114"/>
      <c r="L1222" s="114"/>
      <c r="M1222" s="114"/>
      <c r="N1222" s="114"/>
      <c r="O1222" s="114"/>
      <c r="P1222" s="114" t="s">
        <v>1485</v>
      </c>
      <c r="Q1222" s="114" t="s">
        <v>1227</v>
      </c>
    </row>
    <row r="1223" spans="2:17" hidden="1" outlineLevel="2">
      <c r="B1223" s="2" t="s">
        <v>876</v>
      </c>
      <c r="D1223" s="270">
        <v>2170</v>
      </c>
      <c r="E1223" s="112" t="s">
        <v>208</v>
      </c>
      <c r="F1223" s="112" t="s">
        <v>1700</v>
      </c>
      <c r="G1223" s="112" t="s">
        <v>1572</v>
      </c>
      <c r="H1223" s="112" t="s">
        <v>1227</v>
      </c>
      <c r="I1223" s="112"/>
      <c r="J1223" s="112" t="b">
        <v>0</v>
      </c>
      <c r="K1223" s="112"/>
      <c r="L1223" s="112"/>
      <c r="M1223" s="112"/>
      <c r="N1223" s="112"/>
      <c r="O1223" s="112"/>
      <c r="P1223" s="112" t="s">
        <v>1485</v>
      </c>
      <c r="Q1223" s="112" t="s">
        <v>1227</v>
      </c>
    </row>
    <row r="1224" spans="2:17" hidden="1" outlineLevel="2">
      <c r="B1224" s="2" t="s">
        <v>876</v>
      </c>
      <c r="D1224" s="268">
        <v>2171</v>
      </c>
      <c r="E1224" s="114" t="s">
        <v>208</v>
      </c>
      <c r="F1224" s="114" t="s">
        <v>1701</v>
      </c>
      <c r="G1224" s="114" t="s">
        <v>1572</v>
      </c>
      <c r="H1224" s="114" t="s">
        <v>1227</v>
      </c>
      <c r="I1224" s="114"/>
      <c r="J1224" s="114" t="b">
        <v>0</v>
      </c>
      <c r="K1224" s="114"/>
      <c r="L1224" s="114"/>
      <c r="M1224" s="114"/>
      <c r="N1224" s="114"/>
      <c r="O1224" s="114"/>
      <c r="P1224" s="114" t="s">
        <v>1485</v>
      </c>
      <c r="Q1224" s="114" t="s">
        <v>1227</v>
      </c>
    </row>
    <row r="1225" spans="2:17" hidden="1" outlineLevel="2">
      <c r="B1225" s="2" t="s">
        <v>876</v>
      </c>
      <c r="D1225" s="270">
        <v>2172</v>
      </c>
      <c r="E1225" s="112" t="s">
        <v>208</v>
      </c>
      <c r="F1225" s="112" t="s">
        <v>1702</v>
      </c>
      <c r="G1225" s="112" t="s">
        <v>1572</v>
      </c>
      <c r="H1225" s="112" t="s">
        <v>1227</v>
      </c>
      <c r="I1225" s="112"/>
      <c r="J1225" s="112" t="b">
        <v>0</v>
      </c>
      <c r="K1225" s="112"/>
      <c r="L1225" s="112"/>
      <c r="M1225" s="112"/>
      <c r="N1225" s="112"/>
      <c r="O1225" s="112"/>
      <c r="P1225" s="112" t="s">
        <v>1485</v>
      </c>
      <c r="Q1225" s="112" t="s">
        <v>1227</v>
      </c>
    </row>
    <row r="1226" spans="2:17" hidden="1" outlineLevel="2">
      <c r="B1226" s="2" t="s">
        <v>876</v>
      </c>
      <c r="D1226" s="268">
        <v>2173</v>
      </c>
      <c r="E1226" s="114" t="s">
        <v>208</v>
      </c>
      <c r="F1226" s="114" t="s">
        <v>1703</v>
      </c>
      <c r="G1226" s="114" t="s">
        <v>1572</v>
      </c>
      <c r="H1226" s="114" t="s">
        <v>1227</v>
      </c>
      <c r="I1226" s="114"/>
      <c r="J1226" s="114" t="b">
        <v>0</v>
      </c>
      <c r="K1226" s="114"/>
      <c r="L1226" s="114"/>
      <c r="M1226" s="114"/>
      <c r="N1226" s="114"/>
      <c r="O1226" s="114"/>
      <c r="P1226" s="114" t="s">
        <v>1485</v>
      </c>
      <c r="Q1226" s="114" t="s">
        <v>1227</v>
      </c>
    </row>
    <row r="1227" spans="2:17" hidden="1" outlineLevel="2">
      <c r="B1227" s="2" t="s">
        <v>876</v>
      </c>
      <c r="D1227" s="270">
        <v>2174</v>
      </c>
      <c r="E1227" s="112" t="s">
        <v>208</v>
      </c>
      <c r="F1227" s="112" t="s">
        <v>1704</v>
      </c>
      <c r="G1227" s="112" t="s">
        <v>1572</v>
      </c>
      <c r="H1227" s="112" t="s">
        <v>1227</v>
      </c>
      <c r="I1227" s="112"/>
      <c r="J1227" s="112" t="b">
        <v>0</v>
      </c>
      <c r="K1227" s="112"/>
      <c r="L1227" s="112" t="b">
        <v>1</v>
      </c>
      <c r="M1227" s="112"/>
      <c r="N1227" s="112"/>
      <c r="O1227" s="112"/>
      <c r="P1227" s="112" t="s">
        <v>1485</v>
      </c>
      <c r="Q1227" s="112" t="s">
        <v>1227</v>
      </c>
    </row>
    <row r="1228" spans="2:17" hidden="1" outlineLevel="2">
      <c r="B1228" s="2" t="s">
        <v>876</v>
      </c>
      <c r="D1228" s="268">
        <v>2175</v>
      </c>
      <c r="E1228" s="114" t="s">
        <v>208</v>
      </c>
      <c r="F1228" s="114" t="s">
        <v>1705</v>
      </c>
      <c r="G1228" s="114" t="s">
        <v>1572</v>
      </c>
      <c r="H1228" s="114" t="s">
        <v>1227</v>
      </c>
      <c r="I1228" s="114"/>
      <c r="J1228" s="114" t="b">
        <v>0</v>
      </c>
      <c r="K1228" s="114"/>
      <c r="L1228" s="114"/>
      <c r="M1228" s="114"/>
      <c r="N1228" s="114"/>
      <c r="O1228" s="114"/>
      <c r="P1228" s="114" t="s">
        <v>1485</v>
      </c>
      <c r="Q1228" s="114" t="s">
        <v>1227</v>
      </c>
    </row>
    <row r="1229" spans="2:17" hidden="1" outlineLevel="2">
      <c r="B1229" s="2" t="s">
        <v>876</v>
      </c>
      <c r="D1229" s="270">
        <v>2176</v>
      </c>
      <c r="E1229" s="112" t="s">
        <v>208</v>
      </c>
      <c r="F1229" s="112" t="s">
        <v>1706</v>
      </c>
      <c r="G1229" s="112" t="s">
        <v>1572</v>
      </c>
      <c r="H1229" s="112" t="s">
        <v>1227</v>
      </c>
      <c r="I1229" s="112"/>
      <c r="J1229" s="112" t="b">
        <v>0</v>
      </c>
      <c r="K1229" s="112"/>
      <c r="L1229" s="112"/>
      <c r="M1229" s="112"/>
      <c r="N1229" s="112"/>
      <c r="O1229" s="112"/>
      <c r="P1229" s="112" t="s">
        <v>1485</v>
      </c>
      <c r="Q1229" s="112" t="s">
        <v>1227</v>
      </c>
    </row>
    <row r="1230" spans="2:17" hidden="1" outlineLevel="2">
      <c r="B1230" s="2" t="s">
        <v>876</v>
      </c>
      <c r="D1230" s="268">
        <v>2177</v>
      </c>
      <c r="E1230" s="114" t="s">
        <v>208</v>
      </c>
      <c r="F1230" s="114" t="s">
        <v>1707</v>
      </c>
      <c r="G1230" s="114" t="s">
        <v>1572</v>
      </c>
      <c r="H1230" s="114" t="s">
        <v>1227</v>
      </c>
      <c r="I1230" s="114"/>
      <c r="J1230" s="114" t="b">
        <v>0</v>
      </c>
      <c r="K1230" s="114"/>
      <c r="L1230" s="114"/>
      <c r="M1230" s="114"/>
      <c r="N1230" s="114"/>
      <c r="O1230" s="114"/>
      <c r="P1230" s="114" t="s">
        <v>1485</v>
      </c>
      <c r="Q1230" s="114" t="s">
        <v>1227</v>
      </c>
    </row>
    <row r="1231" spans="2:17" hidden="1" outlineLevel="2">
      <c r="B1231" s="2" t="s">
        <v>876</v>
      </c>
      <c r="D1231" s="270">
        <v>2178</v>
      </c>
      <c r="E1231" s="112" t="s">
        <v>208</v>
      </c>
      <c r="F1231" s="112" t="s">
        <v>1708</v>
      </c>
      <c r="G1231" s="112" t="s">
        <v>1572</v>
      </c>
      <c r="H1231" s="112" t="s">
        <v>1227</v>
      </c>
      <c r="I1231" s="112"/>
      <c r="J1231" s="112" t="b">
        <v>0</v>
      </c>
      <c r="K1231" s="112"/>
      <c r="L1231" s="112"/>
      <c r="M1231" s="112"/>
      <c r="N1231" s="691" t="b">
        <v>1</v>
      </c>
      <c r="O1231" s="112"/>
      <c r="P1231" s="112" t="s">
        <v>1485</v>
      </c>
      <c r="Q1231" s="112" t="s">
        <v>1227</v>
      </c>
    </row>
    <row r="1232" spans="2:17" hidden="1" outlineLevel="2">
      <c r="B1232" s="2" t="s">
        <v>876</v>
      </c>
      <c r="D1232" s="268">
        <v>2179</v>
      </c>
      <c r="E1232" s="114" t="s">
        <v>208</v>
      </c>
      <c r="F1232" s="114" t="s">
        <v>1709</v>
      </c>
      <c r="G1232" s="114" t="s">
        <v>1572</v>
      </c>
      <c r="H1232" s="114" t="s">
        <v>1227</v>
      </c>
      <c r="I1232" s="114"/>
      <c r="J1232" s="114" t="b">
        <v>0</v>
      </c>
      <c r="K1232" s="114"/>
      <c r="L1232" s="114"/>
      <c r="M1232" s="114"/>
      <c r="N1232" s="114"/>
      <c r="O1232" s="114"/>
      <c r="P1232" s="114" t="s">
        <v>1485</v>
      </c>
      <c r="Q1232" s="114" t="s">
        <v>1227</v>
      </c>
    </row>
    <row r="1233" spans="2:17" hidden="1" outlineLevel="2">
      <c r="B1233" s="2" t="s">
        <v>876</v>
      </c>
      <c r="D1233" s="270">
        <v>2190</v>
      </c>
      <c r="E1233" s="112" t="s">
        <v>208</v>
      </c>
      <c r="F1233" s="112" t="s">
        <v>1710</v>
      </c>
      <c r="G1233" s="112" t="s">
        <v>1572</v>
      </c>
      <c r="H1233" s="112" t="s">
        <v>1227</v>
      </c>
      <c r="I1233" s="112"/>
      <c r="J1233" s="112" t="b">
        <v>0</v>
      </c>
      <c r="K1233" s="112"/>
      <c r="L1233" s="112"/>
      <c r="M1233" s="112"/>
      <c r="N1233" s="112"/>
      <c r="O1233" s="112"/>
      <c r="P1233" s="112" t="s">
        <v>1485</v>
      </c>
      <c r="Q1233" s="112" t="s">
        <v>1227</v>
      </c>
    </row>
    <row r="1234" spans="2:17" hidden="1" outlineLevel="2">
      <c r="B1234" s="2" t="s">
        <v>876</v>
      </c>
      <c r="D1234" s="268">
        <v>2191</v>
      </c>
      <c r="E1234" s="114" t="s">
        <v>208</v>
      </c>
      <c r="F1234" s="114" t="s">
        <v>1711</v>
      </c>
      <c r="G1234" s="114" t="s">
        <v>1572</v>
      </c>
      <c r="H1234" s="114" t="s">
        <v>1227</v>
      </c>
      <c r="I1234" s="114"/>
      <c r="J1234" s="114" t="b">
        <v>0</v>
      </c>
      <c r="K1234" s="114"/>
      <c r="L1234" s="114"/>
      <c r="M1234" s="114"/>
      <c r="N1234" s="114"/>
      <c r="O1234" s="114"/>
      <c r="P1234" s="114" t="s">
        <v>1485</v>
      </c>
      <c r="Q1234" s="114" t="s">
        <v>1227</v>
      </c>
    </row>
    <row r="1235" spans="2:17" hidden="1" outlineLevel="2">
      <c r="B1235" s="2" t="s">
        <v>876</v>
      </c>
      <c r="D1235" s="270">
        <v>2192</v>
      </c>
      <c r="E1235" s="112" t="s">
        <v>208</v>
      </c>
      <c r="F1235" s="112" t="s">
        <v>1712</v>
      </c>
      <c r="G1235" s="112" t="s">
        <v>1572</v>
      </c>
      <c r="H1235" s="112" t="s">
        <v>1227</v>
      </c>
      <c r="I1235" s="112"/>
      <c r="J1235" s="112" t="b">
        <v>0</v>
      </c>
      <c r="K1235" s="112"/>
      <c r="L1235" s="112"/>
      <c r="M1235" s="112"/>
      <c r="N1235" s="112"/>
      <c r="O1235" s="112"/>
      <c r="P1235" s="112" t="s">
        <v>1485</v>
      </c>
      <c r="Q1235" s="112" t="s">
        <v>1227</v>
      </c>
    </row>
    <row r="1236" spans="2:17" hidden="1" outlineLevel="2">
      <c r="B1236" s="2" t="s">
        <v>876</v>
      </c>
      <c r="D1236" s="268">
        <v>2193</v>
      </c>
      <c r="E1236" s="114" t="s">
        <v>208</v>
      </c>
      <c r="F1236" s="114" t="s">
        <v>1713</v>
      </c>
      <c r="G1236" s="114" t="s">
        <v>1572</v>
      </c>
      <c r="H1236" s="114" t="s">
        <v>1227</v>
      </c>
      <c r="I1236" s="114"/>
      <c r="J1236" s="114" t="b">
        <v>0</v>
      </c>
      <c r="K1236" s="114"/>
      <c r="L1236" s="114"/>
      <c r="M1236" s="114"/>
      <c r="N1236" s="691" t="b">
        <v>1</v>
      </c>
      <c r="O1236" s="114"/>
      <c r="P1236" s="114" t="s">
        <v>1485</v>
      </c>
      <c r="Q1236" s="114" t="s">
        <v>1227</v>
      </c>
    </row>
    <row r="1237" spans="2:17" hidden="1" outlineLevel="2">
      <c r="B1237" s="2" t="s">
        <v>876</v>
      </c>
      <c r="D1237" s="270">
        <v>2194</v>
      </c>
      <c r="E1237" s="112" t="s">
        <v>208</v>
      </c>
      <c r="F1237" s="112" t="s">
        <v>1714</v>
      </c>
      <c r="G1237" s="112" t="s">
        <v>1572</v>
      </c>
      <c r="H1237" s="112" t="s">
        <v>1227</v>
      </c>
      <c r="I1237" s="112"/>
      <c r="J1237" s="112" t="b">
        <v>0</v>
      </c>
      <c r="K1237" s="112"/>
      <c r="L1237" s="112"/>
      <c r="M1237" s="112"/>
      <c r="N1237" s="112"/>
      <c r="O1237" s="112"/>
      <c r="P1237" s="112" t="s">
        <v>1485</v>
      </c>
      <c r="Q1237" s="112" t="s">
        <v>1227</v>
      </c>
    </row>
    <row r="1238" spans="2:17" hidden="1" outlineLevel="2">
      <c r="B1238" s="2" t="s">
        <v>876</v>
      </c>
      <c r="D1238" s="268">
        <v>2195</v>
      </c>
      <c r="E1238" s="114" t="s">
        <v>208</v>
      </c>
      <c r="F1238" s="114" t="s">
        <v>1715</v>
      </c>
      <c r="G1238" s="114" t="s">
        <v>1572</v>
      </c>
      <c r="H1238" s="114" t="s">
        <v>1227</v>
      </c>
      <c r="I1238" s="114"/>
      <c r="J1238" s="114" t="b">
        <v>0</v>
      </c>
      <c r="K1238" s="114"/>
      <c r="L1238" s="114"/>
      <c r="M1238" s="114"/>
      <c r="N1238" s="114"/>
      <c r="O1238" s="114"/>
      <c r="P1238" s="114" t="s">
        <v>1485</v>
      </c>
      <c r="Q1238" s="114" t="s">
        <v>1227</v>
      </c>
    </row>
    <row r="1239" spans="2:17" hidden="1" outlineLevel="2">
      <c r="B1239" s="2" t="s">
        <v>876</v>
      </c>
      <c r="D1239" s="270">
        <v>2196</v>
      </c>
      <c r="E1239" s="112" t="s">
        <v>208</v>
      </c>
      <c r="F1239" s="112" t="s">
        <v>1716</v>
      </c>
      <c r="G1239" s="112" t="s">
        <v>1572</v>
      </c>
      <c r="H1239" s="112" t="s">
        <v>1227</v>
      </c>
      <c r="I1239" s="112"/>
      <c r="J1239" s="112" t="b">
        <v>0</v>
      </c>
      <c r="K1239" s="112"/>
      <c r="L1239" s="112"/>
      <c r="M1239" s="112"/>
      <c r="N1239" s="112"/>
      <c r="O1239" s="112"/>
      <c r="P1239" s="112" t="s">
        <v>1485</v>
      </c>
      <c r="Q1239" s="112" t="s">
        <v>1227</v>
      </c>
    </row>
    <row r="1240" spans="2:17" hidden="1" outlineLevel="2">
      <c r="B1240" s="2" t="s">
        <v>876</v>
      </c>
      <c r="D1240" s="268">
        <v>2197</v>
      </c>
      <c r="E1240" s="114" t="s">
        <v>208</v>
      </c>
      <c r="F1240" s="114" t="s">
        <v>1717</v>
      </c>
      <c r="G1240" s="114" t="s">
        <v>1572</v>
      </c>
      <c r="H1240" s="114" t="s">
        <v>1227</v>
      </c>
      <c r="I1240" s="114"/>
      <c r="J1240" s="114" t="b">
        <v>0</v>
      </c>
      <c r="K1240" s="114"/>
      <c r="L1240" s="114"/>
      <c r="M1240" s="114"/>
      <c r="N1240" s="114"/>
      <c r="O1240" s="114"/>
      <c r="P1240" s="114" t="s">
        <v>1485</v>
      </c>
      <c r="Q1240" s="114" t="s">
        <v>1227</v>
      </c>
    </row>
    <row r="1241" spans="2:17" hidden="1" outlineLevel="2">
      <c r="B1241" s="2" t="s">
        <v>876</v>
      </c>
      <c r="D1241" s="270">
        <v>2198</v>
      </c>
      <c r="E1241" s="112" t="s">
        <v>208</v>
      </c>
      <c r="F1241" s="112" t="s">
        <v>1718</v>
      </c>
      <c r="G1241" s="112" t="s">
        <v>1572</v>
      </c>
      <c r="H1241" s="112" t="s">
        <v>1227</v>
      </c>
      <c r="I1241" s="112"/>
      <c r="J1241" s="112" t="b">
        <v>0</v>
      </c>
      <c r="K1241" s="112"/>
      <c r="L1241" s="112"/>
      <c r="M1241" s="112"/>
      <c r="N1241" s="112"/>
      <c r="O1241" s="112"/>
      <c r="P1241" s="112" t="s">
        <v>1485</v>
      </c>
      <c r="Q1241" s="112" t="s">
        <v>1227</v>
      </c>
    </row>
    <row r="1242" spans="2:17" hidden="1" outlineLevel="2">
      <c r="B1242" s="2" t="s">
        <v>876</v>
      </c>
      <c r="D1242" s="268">
        <v>2199</v>
      </c>
      <c r="E1242" s="114" t="s">
        <v>208</v>
      </c>
      <c r="F1242" s="114" t="s">
        <v>1719</v>
      </c>
      <c r="G1242" s="114" t="s">
        <v>1572</v>
      </c>
      <c r="H1242" s="114" t="s">
        <v>1227</v>
      </c>
      <c r="I1242" s="114"/>
      <c r="J1242" s="114" t="b">
        <v>0</v>
      </c>
      <c r="K1242" s="114"/>
      <c r="L1242" s="114"/>
      <c r="M1242" s="114"/>
      <c r="N1242" s="114"/>
      <c r="O1242" s="114"/>
      <c r="P1242" s="114" t="s">
        <v>1485</v>
      </c>
      <c r="Q1242" s="114" t="s">
        <v>1227</v>
      </c>
    </row>
    <row r="1243" spans="2:17" hidden="1" outlineLevel="2">
      <c r="B1243" s="2" t="s">
        <v>876</v>
      </c>
      <c r="D1243" s="270">
        <v>2200</v>
      </c>
      <c r="E1243" s="112" t="s">
        <v>208</v>
      </c>
      <c r="F1243" s="112" t="s">
        <v>1720</v>
      </c>
      <c r="G1243" s="112" t="s">
        <v>1572</v>
      </c>
      <c r="H1243" s="112" t="s">
        <v>1227</v>
      </c>
      <c r="I1243" s="112"/>
      <c r="J1243" s="112" t="b">
        <v>0</v>
      </c>
      <c r="K1243" s="112"/>
      <c r="L1243" s="112"/>
      <c r="M1243" s="112"/>
      <c r="N1243" s="112"/>
      <c r="O1243" s="112"/>
      <c r="P1243" s="112" t="s">
        <v>1485</v>
      </c>
      <c r="Q1243" s="112" t="s">
        <v>1227</v>
      </c>
    </row>
    <row r="1244" spans="2:17" hidden="1" outlineLevel="2">
      <c r="B1244" s="2" t="s">
        <v>876</v>
      </c>
      <c r="D1244" s="268">
        <v>2203</v>
      </c>
      <c r="E1244" s="114" t="s">
        <v>208</v>
      </c>
      <c r="F1244" s="114" t="s">
        <v>1721</v>
      </c>
      <c r="G1244" s="114" t="s">
        <v>1572</v>
      </c>
      <c r="H1244" s="114" t="s">
        <v>1227</v>
      </c>
      <c r="I1244" s="114"/>
      <c r="J1244" s="114" t="b">
        <v>0</v>
      </c>
      <c r="K1244" s="114"/>
      <c r="L1244" s="114"/>
      <c r="M1244" s="114"/>
      <c r="N1244" s="691" t="b">
        <v>1</v>
      </c>
      <c r="O1244" s="114"/>
      <c r="P1244" s="114" t="s">
        <v>1485</v>
      </c>
      <c r="Q1244" s="114" t="s">
        <v>1227</v>
      </c>
    </row>
    <row r="1245" spans="2:17" hidden="1" outlineLevel="2">
      <c r="B1245" s="2" t="s">
        <v>876</v>
      </c>
      <c r="D1245" s="270">
        <v>2204</v>
      </c>
      <c r="E1245" s="112" t="s">
        <v>208</v>
      </c>
      <c r="F1245" s="112" t="s">
        <v>1722</v>
      </c>
      <c r="G1245" s="112" t="s">
        <v>1572</v>
      </c>
      <c r="H1245" s="112" t="s">
        <v>1227</v>
      </c>
      <c r="I1245" s="112"/>
      <c r="J1245" s="112" t="b">
        <v>0</v>
      </c>
      <c r="K1245" s="112"/>
      <c r="L1245" s="112"/>
      <c r="M1245" s="112"/>
      <c r="N1245" s="112"/>
      <c r="O1245" s="112"/>
      <c r="P1245" s="112" t="s">
        <v>1485</v>
      </c>
      <c r="Q1245" s="112" t="s">
        <v>1227</v>
      </c>
    </row>
    <row r="1246" spans="2:17" hidden="1" outlineLevel="2">
      <c r="B1246" s="2" t="s">
        <v>876</v>
      </c>
      <c r="D1246" s="268">
        <v>2205</v>
      </c>
      <c r="E1246" s="114" t="s">
        <v>208</v>
      </c>
      <c r="F1246" s="114" t="s">
        <v>1723</v>
      </c>
      <c r="G1246" s="114" t="s">
        <v>1572</v>
      </c>
      <c r="H1246" s="114" t="s">
        <v>1227</v>
      </c>
      <c r="I1246" s="114"/>
      <c r="J1246" s="114" t="b">
        <v>0</v>
      </c>
      <c r="K1246" s="114"/>
      <c r="L1246" s="114"/>
      <c r="M1246" s="114"/>
      <c r="N1246" s="114"/>
      <c r="O1246" s="114"/>
      <c r="P1246" s="114" t="s">
        <v>1485</v>
      </c>
      <c r="Q1246" s="114" t="s">
        <v>1227</v>
      </c>
    </row>
    <row r="1247" spans="2:17" hidden="1" outlineLevel="2">
      <c r="B1247" s="2" t="s">
        <v>876</v>
      </c>
      <c r="D1247" s="270">
        <v>2206</v>
      </c>
      <c r="E1247" s="112" t="s">
        <v>208</v>
      </c>
      <c r="F1247" s="112" t="s">
        <v>1724</v>
      </c>
      <c r="G1247" s="112" t="s">
        <v>1572</v>
      </c>
      <c r="H1247" s="112" t="s">
        <v>1227</v>
      </c>
      <c r="I1247" s="112"/>
      <c r="J1247" s="112" t="b">
        <v>0</v>
      </c>
      <c r="K1247" s="112"/>
      <c r="L1247" s="112"/>
      <c r="M1247" s="112"/>
      <c r="N1247" s="112"/>
      <c r="O1247" s="112"/>
      <c r="P1247" s="112" t="s">
        <v>1485</v>
      </c>
      <c r="Q1247" s="112" t="s">
        <v>1227</v>
      </c>
    </row>
    <row r="1248" spans="2:17" hidden="1" outlineLevel="2">
      <c r="B1248" s="2" t="s">
        <v>876</v>
      </c>
      <c r="D1248" s="268">
        <v>2207</v>
      </c>
      <c r="E1248" s="114" t="s">
        <v>208</v>
      </c>
      <c r="F1248" s="114" t="s">
        <v>1725</v>
      </c>
      <c r="G1248" s="114" t="s">
        <v>1572</v>
      </c>
      <c r="H1248" s="114" t="s">
        <v>1227</v>
      </c>
      <c r="I1248" s="114"/>
      <c r="J1248" s="114" t="b">
        <v>0</v>
      </c>
      <c r="K1248" s="114"/>
      <c r="L1248" s="114"/>
      <c r="M1248" s="114"/>
      <c r="N1248" s="114"/>
      <c r="O1248" s="114"/>
      <c r="P1248" s="114" t="s">
        <v>1485</v>
      </c>
      <c r="Q1248" s="114" t="s">
        <v>1227</v>
      </c>
    </row>
    <row r="1249" spans="2:17" hidden="1" outlineLevel="2">
      <c r="B1249" s="2" t="s">
        <v>876</v>
      </c>
      <c r="D1249" s="270">
        <v>2208</v>
      </c>
      <c r="E1249" s="112" t="s">
        <v>208</v>
      </c>
      <c r="F1249" s="112" t="s">
        <v>1726</v>
      </c>
      <c r="G1249" s="112" t="s">
        <v>1572</v>
      </c>
      <c r="H1249" s="112" t="s">
        <v>1227</v>
      </c>
      <c r="I1249" s="112"/>
      <c r="J1249" s="112" t="b">
        <v>0</v>
      </c>
      <c r="K1249" s="112"/>
      <c r="L1249" s="112"/>
      <c r="M1249" s="112"/>
      <c r="N1249" s="112"/>
      <c r="O1249" s="112"/>
      <c r="P1249" s="112" t="s">
        <v>1485</v>
      </c>
      <c r="Q1249" s="112" t="s">
        <v>1227</v>
      </c>
    </row>
    <row r="1250" spans="2:17" hidden="1" outlineLevel="2">
      <c r="B1250" s="2" t="s">
        <v>876</v>
      </c>
      <c r="D1250" s="268">
        <v>2209</v>
      </c>
      <c r="E1250" s="114" t="s">
        <v>208</v>
      </c>
      <c r="F1250" s="114" t="s">
        <v>1727</v>
      </c>
      <c r="G1250" s="114" t="s">
        <v>1572</v>
      </c>
      <c r="H1250" s="114" t="s">
        <v>1227</v>
      </c>
      <c r="I1250" s="114"/>
      <c r="J1250" s="114" t="b">
        <v>0</v>
      </c>
      <c r="K1250" s="114"/>
      <c r="L1250" s="114"/>
      <c r="M1250" s="114"/>
      <c r="N1250" s="114"/>
      <c r="O1250" s="114"/>
      <c r="P1250" s="114" t="s">
        <v>1485</v>
      </c>
      <c r="Q1250" s="114" t="s">
        <v>1227</v>
      </c>
    </row>
    <row r="1251" spans="2:17" hidden="1" outlineLevel="2">
      <c r="B1251" s="2" t="s">
        <v>876</v>
      </c>
      <c r="D1251" s="270">
        <v>2210</v>
      </c>
      <c r="E1251" s="112" t="s">
        <v>208</v>
      </c>
      <c r="F1251" s="112" t="s">
        <v>1728</v>
      </c>
      <c r="G1251" s="112" t="s">
        <v>1572</v>
      </c>
      <c r="H1251" s="112" t="s">
        <v>1227</v>
      </c>
      <c r="I1251" s="112"/>
      <c r="J1251" s="112" t="b">
        <v>0</v>
      </c>
      <c r="K1251" s="112"/>
      <c r="L1251" s="112"/>
      <c r="M1251" s="112"/>
      <c r="N1251" s="112"/>
      <c r="O1251" s="112"/>
      <c r="P1251" s="112" t="s">
        <v>1485</v>
      </c>
      <c r="Q1251" s="112" t="s">
        <v>1227</v>
      </c>
    </row>
    <row r="1252" spans="2:17" hidden="1" outlineLevel="2">
      <c r="B1252" s="2" t="s">
        <v>876</v>
      </c>
      <c r="D1252" s="268">
        <v>2211</v>
      </c>
      <c r="E1252" s="114" t="s">
        <v>208</v>
      </c>
      <c r="F1252" s="114" t="s">
        <v>1729</v>
      </c>
      <c r="G1252" s="114" t="s">
        <v>1572</v>
      </c>
      <c r="H1252" s="114" t="s">
        <v>1227</v>
      </c>
      <c r="I1252" s="114"/>
      <c r="J1252" s="114" t="b">
        <v>0</v>
      </c>
      <c r="K1252" s="114"/>
      <c r="L1252" s="114"/>
      <c r="M1252" s="114"/>
      <c r="N1252" s="114"/>
      <c r="O1252" s="114"/>
      <c r="P1252" s="114" t="s">
        <v>1485</v>
      </c>
      <c r="Q1252" s="114" t="s">
        <v>1227</v>
      </c>
    </row>
    <row r="1253" spans="2:17" hidden="1" outlineLevel="2">
      <c r="B1253" s="2" t="s">
        <v>876</v>
      </c>
      <c r="D1253" s="270">
        <v>2212</v>
      </c>
      <c r="E1253" s="112" t="s">
        <v>208</v>
      </c>
      <c r="F1253" s="112" t="s">
        <v>1730</v>
      </c>
      <c r="G1253" s="112" t="s">
        <v>1572</v>
      </c>
      <c r="H1253" s="112" t="s">
        <v>1227</v>
      </c>
      <c r="I1253" s="112"/>
      <c r="J1253" s="112" t="b">
        <v>0</v>
      </c>
      <c r="K1253" s="112"/>
      <c r="L1253" s="112"/>
      <c r="M1253" s="112"/>
      <c r="N1253" s="112"/>
      <c r="O1253" s="112"/>
      <c r="P1253" s="112" t="s">
        <v>1485</v>
      </c>
      <c r="Q1253" s="112" t="s">
        <v>1227</v>
      </c>
    </row>
    <row r="1254" spans="2:17" hidden="1" outlineLevel="2">
      <c r="B1254" s="2" t="s">
        <v>876</v>
      </c>
      <c r="D1254" s="268">
        <v>2213</v>
      </c>
      <c r="E1254" s="114" t="s">
        <v>208</v>
      </c>
      <c r="F1254" s="114" t="s">
        <v>1731</v>
      </c>
      <c r="G1254" s="114" t="s">
        <v>1572</v>
      </c>
      <c r="H1254" s="114" t="s">
        <v>1227</v>
      </c>
      <c r="I1254" s="114"/>
      <c r="J1254" s="114" t="b">
        <v>0</v>
      </c>
      <c r="K1254" s="114"/>
      <c r="L1254" s="114"/>
      <c r="M1254" s="114"/>
      <c r="N1254" s="114"/>
      <c r="O1254" s="114"/>
      <c r="P1254" s="114" t="s">
        <v>1485</v>
      </c>
      <c r="Q1254" s="114" t="s">
        <v>1227</v>
      </c>
    </row>
    <row r="1255" spans="2:17" hidden="1" outlineLevel="2">
      <c r="B1255" s="2" t="s">
        <v>876</v>
      </c>
      <c r="D1255" s="270">
        <v>2214</v>
      </c>
      <c r="E1255" s="112" t="s">
        <v>208</v>
      </c>
      <c r="F1255" s="112" t="s">
        <v>1732</v>
      </c>
      <c r="G1255" s="112" t="s">
        <v>1572</v>
      </c>
      <c r="H1255" s="112" t="s">
        <v>1227</v>
      </c>
      <c r="I1255" s="112"/>
      <c r="J1255" s="112" t="b">
        <v>0</v>
      </c>
      <c r="K1255" s="112"/>
      <c r="L1255" s="112"/>
      <c r="M1255" s="112"/>
      <c r="N1255" s="112"/>
      <c r="O1255" s="112"/>
      <c r="P1255" s="112" t="s">
        <v>1485</v>
      </c>
      <c r="Q1255" s="112" t="s">
        <v>1227</v>
      </c>
    </row>
    <row r="1256" spans="2:17" hidden="1" outlineLevel="2">
      <c r="B1256" s="2" t="s">
        <v>876</v>
      </c>
      <c r="D1256" s="268">
        <v>2216</v>
      </c>
      <c r="E1256" s="114" t="s">
        <v>208</v>
      </c>
      <c r="F1256" s="114" t="s">
        <v>1733</v>
      </c>
      <c r="G1256" s="114" t="s">
        <v>1572</v>
      </c>
      <c r="H1256" s="114" t="s">
        <v>1227</v>
      </c>
      <c r="I1256" s="114"/>
      <c r="J1256" s="114" t="b">
        <v>0</v>
      </c>
      <c r="K1256" s="114"/>
      <c r="L1256" s="114"/>
      <c r="M1256" s="114"/>
      <c r="N1256" s="114"/>
      <c r="O1256" s="114"/>
      <c r="P1256" s="114" t="s">
        <v>1485</v>
      </c>
      <c r="Q1256" s="114" t="s">
        <v>1227</v>
      </c>
    </row>
    <row r="1257" spans="2:17" hidden="1" outlineLevel="2">
      <c r="B1257" s="2" t="s">
        <v>876</v>
      </c>
      <c r="D1257" s="270">
        <v>2217</v>
      </c>
      <c r="E1257" s="112" t="s">
        <v>208</v>
      </c>
      <c r="F1257" s="112" t="s">
        <v>1734</v>
      </c>
      <c r="G1257" s="112" t="s">
        <v>1572</v>
      </c>
      <c r="H1257" s="112" t="s">
        <v>1227</v>
      </c>
      <c r="I1257" s="112"/>
      <c r="J1257" s="112" t="b">
        <v>0</v>
      </c>
      <c r="K1257" s="112"/>
      <c r="L1257" s="112"/>
      <c r="M1257" s="112"/>
      <c r="N1257" s="112"/>
      <c r="O1257" s="112"/>
      <c r="P1257" s="112" t="s">
        <v>1485</v>
      </c>
      <c r="Q1257" s="112" t="s">
        <v>1227</v>
      </c>
    </row>
    <row r="1258" spans="2:17" hidden="1" outlineLevel="2">
      <c r="B1258" s="2" t="s">
        <v>876</v>
      </c>
      <c r="D1258" s="268">
        <v>2218</v>
      </c>
      <c r="E1258" s="114" t="s">
        <v>208</v>
      </c>
      <c r="F1258" s="114" t="s">
        <v>1735</v>
      </c>
      <c r="G1258" s="114" t="s">
        <v>1572</v>
      </c>
      <c r="H1258" s="114" t="s">
        <v>1227</v>
      </c>
      <c r="I1258" s="114"/>
      <c r="J1258" s="114" t="b">
        <v>0</v>
      </c>
      <c r="K1258" s="114"/>
      <c r="L1258" s="114"/>
      <c r="M1258" s="114"/>
      <c r="N1258" s="114"/>
      <c r="O1258" s="114"/>
      <c r="P1258" s="114" t="s">
        <v>1485</v>
      </c>
      <c r="Q1258" s="114" t="s">
        <v>1227</v>
      </c>
    </row>
    <row r="1259" spans="2:17" hidden="1" outlineLevel="2">
      <c r="B1259" s="2" t="s">
        <v>876</v>
      </c>
      <c r="D1259" s="270">
        <v>2219</v>
      </c>
      <c r="E1259" s="112" t="s">
        <v>208</v>
      </c>
      <c r="F1259" s="112" t="s">
        <v>1736</v>
      </c>
      <c r="G1259" s="112" t="s">
        <v>1572</v>
      </c>
      <c r="H1259" s="112" t="s">
        <v>1227</v>
      </c>
      <c r="I1259" s="112"/>
      <c r="J1259" s="112" t="b">
        <v>0</v>
      </c>
      <c r="K1259" s="112"/>
      <c r="L1259" s="112"/>
      <c r="M1259" s="112"/>
      <c r="N1259" s="691" t="b">
        <v>1</v>
      </c>
      <c r="O1259" s="112"/>
      <c r="P1259" s="112" t="s">
        <v>1485</v>
      </c>
      <c r="Q1259" s="112" t="s">
        <v>1227</v>
      </c>
    </row>
    <row r="1260" spans="2:17" hidden="1" outlineLevel="2">
      <c r="B1260" s="2" t="s">
        <v>876</v>
      </c>
      <c r="D1260" s="268">
        <v>2220</v>
      </c>
      <c r="E1260" s="114" t="s">
        <v>208</v>
      </c>
      <c r="F1260" s="114" t="s">
        <v>1737</v>
      </c>
      <c r="G1260" s="114" t="s">
        <v>1572</v>
      </c>
      <c r="H1260" s="114" t="s">
        <v>1227</v>
      </c>
      <c r="I1260" s="114"/>
      <c r="J1260" s="114" t="b">
        <v>0</v>
      </c>
      <c r="K1260" s="114"/>
      <c r="L1260" s="114"/>
      <c r="M1260" s="114"/>
      <c r="N1260" s="114"/>
      <c r="O1260" s="114"/>
      <c r="P1260" s="114" t="s">
        <v>1485</v>
      </c>
      <c r="Q1260" s="114" t="s">
        <v>1227</v>
      </c>
    </row>
    <row r="1261" spans="2:17" hidden="1" outlineLevel="2">
      <c r="B1261" s="2" t="s">
        <v>876</v>
      </c>
      <c r="D1261" s="270">
        <v>2221</v>
      </c>
      <c r="E1261" s="112" t="s">
        <v>208</v>
      </c>
      <c r="F1261" s="112" t="s">
        <v>1738</v>
      </c>
      <c r="G1261" s="112" t="s">
        <v>1572</v>
      </c>
      <c r="H1261" s="112" t="s">
        <v>1227</v>
      </c>
      <c r="I1261" s="112"/>
      <c r="J1261" s="112" t="b">
        <v>0</v>
      </c>
      <c r="K1261" s="112"/>
      <c r="L1261" s="112"/>
      <c r="M1261" s="112"/>
      <c r="N1261" s="691" t="b">
        <v>1</v>
      </c>
      <c r="O1261" s="112"/>
      <c r="P1261" s="112" t="s">
        <v>1485</v>
      </c>
      <c r="Q1261" s="112" t="s">
        <v>1227</v>
      </c>
    </row>
    <row r="1262" spans="2:17" hidden="1" outlineLevel="2">
      <c r="B1262" s="2" t="s">
        <v>876</v>
      </c>
      <c r="D1262" s="268">
        <v>2222</v>
      </c>
      <c r="E1262" s="114" t="s">
        <v>208</v>
      </c>
      <c r="F1262" s="114" t="s">
        <v>1739</v>
      </c>
      <c r="G1262" s="114" t="s">
        <v>1572</v>
      </c>
      <c r="H1262" s="114" t="s">
        <v>1227</v>
      </c>
      <c r="I1262" s="114"/>
      <c r="J1262" s="114" t="b">
        <v>0</v>
      </c>
      <c r="K1262" s="114"/>
      <c r="L1262" s="114"/>
      <c r="M1262" s="114"/>
      <c r="N1262" s="114"/>
      <c r="O1262" s="114"/>
      <c r="P1262" s="114" t="s">
        <v>1485</v>
      </c>
      <c r="Q1262" s="114" t="s">
        <v>1227</v>
      </c>
    </row>
    <row r="1263" spans="2:17" hidden="1" outlineLevel="2">
      <c r="B1263" s="2" t="s">
        <v>876</v>
      </c>
      <c r="D1263" s="270">
        <v>2223</v>
      </c>
      <c r="E1263" s="112" t="s">
        <v>208</v>
      </c>
      <c r="F1263" s="112" t="s">
        <v>1740</v>
      </c>
      <c r="G1263" s="112" t="s">
        <v>1572</v>
      </c>
      <c r="H1263" s="112" t="s">
        <v>1227</v>
      </c>
      <c r="I1263" s="112"/>
      <c r="J1263" s="112" t="b">
        <v>0</v>
      </c>
      <c r="K1263" s="112"/>
      <c r="L1263" s="112"/>
      <c r="M1263" s="112"/>
      <c r="N1263" s="112"/>
      <c r="O1263" s="112"/>
      <c r="P1263" s="112" t="s">
        <v>1485</v>
      </c>
      <c r="Q1263" s="112" t="s">
        <v>1227</v>
      </c>
    </row>
    <row r="1264" spans="2:17" hidden="1" outlineLevel="2">
      <c r="B1264" s="2" t="s">
        <v>876</v>
      </c>
      <c r="D1264" s="268">
        <v>2224</v>
      </c>
      <c r="E1264" s="114" t="s">
        <v>208</v>
      </c>
      <c r="F1264" s="114" t="s">
        <v>1741</v>
      </c>
      <c r="G1264" s="114" t="s">
        <v>1572</v>
      </c>
      <c r="H1264" s="114" t="s">
        <v>1227</v>
      </c>
      <c r="I1264" s="114"/>
      <c r="J1264" s="114" t="b">
        <v>0</v>
      </c>
      <c r="K1264" s="114"/>
      <c r="L1264" s="114"/>
      <c r="M1264" s="114"/>
      <c r="N1264" s="691" t="b">
        <v>1</v>
      </c>
      <c r="O1264" s="114"/>
      <c r="P1264" s="114" t="s">
        <v>1485</v>
      </c>
      <c r="Q1264" s="114" t="s">
        <v>1227</v>
      </c>
    </row>
    <row r="1265" spans="2:17" hidden="1" outlineLevel="2">
      <c r="B1265" s="2" t="s">
        <v>876</v>
      </c>
      <c r="D1265" s="270">
        <v>2225</v>
      </c>
      <c r="E1265" s="112" t="s">
        <v>208</v>
      </c>
      <c r="F1265" s="112" t="s">
        <v>1742</v>
      </c>
      <c r="G1265" s="112" t="s">
        <v>1572</v>
      </c>
      <c r="H1265" s="112" t="s">
        <v>1227</v>
      </c>
      <c r="I1265" s="112"/>
      <c r="J1265" s="112" t="b">
        <v>0</v>
      </c>
      <c r="K1265" s="112"/>
      <c r="L1265" s="112"/>
      <c r="M1265" s="112"/>
      <c r="N1265" s="112"/>
      <c r="O1265" s="112"/>
      <c r="P1265" s="112" t="s">
        <v>1485</v>
      </c>
      <c r="Q1265" s="112" t="s">
        <v>1227</v>
      </c>
    </row>
    <row r="1266" spans="2:17" hidden="1" outlineLevel="2">
      <c r="B1266" s="2" t="s">
        <v>876</v>
      </c>
      <c r="D1266" s="268">
        <v>2226</v>
      </c>
      <c r="E1266" s="114" t="s">
        <v>208</v>
      </c>
      <c r="F1266" s="114" t="s">
        <v>1743</v>
      </c>
      <c r="G1266" s="114" t="s">
        <v>1572</v>
      </c>
      <c r="H1266" s="114" t="s">
        <v>1227</v>
      </c>
      <c r="I1266" s="114"/>
      <c r="J1266" s="114" t="b">
        <v>0</v>
      </c>
      <c r="K1266" s="114"/>
      <c r="L1266" s="114"/>
      <c r="M1266" s="114"/>
      <c r="N1266" s="114"/>
      <c r="O1266" s="114"/>
      <c r="P1266" s="114" t="s">
        <v>1485</v>
      </c>
      <c r="Q1266" s="114" t="s">
        <v>1227</v>
      </c>
    </row>
    <row r="1267" spans="2:17" hidden="1" outlineLevel="2">
      <c r="B1267" s="2" t="s">
        <v>876</v>
      </c>
      <c r="D1267" s="270">
        <v>2227</v>
      </c>
      <c r="E1267" s="112" t="s">
        <v>208</v>
      </c>
      <c r="F1267" s="112" t="s">
        <v>1744</v>
      </c>
      <c r="G1267" s="112" t="s">
        <v>1572</v>
      </c>
      <c r="H1267" s="112" t="s">
        <v>1227</v>
      </c>
      <c r="I1267" s="112"/>
      <c r="J1267" s="112" t="b">
        <v>0</v>
      </c>
      <c r="K1267" s="112"/>
      <c r="L1267" s="112"/>
      <c r="M1267" s="112"/>
      <c r="N1267" s="112"/>
      <c r="O1267" s="112"/>
      <c r="P1267" s="112" t="s">
        <v>1485</v>
      </c>
      <c r="Q1267" s="112" t="s">
        <v>1227</v>
      </c>
    </row>
    <row r="1268" spans="2:17" hidden="1" outlineLevel="2">
      <c r="B1268" s="2" t="s">
        <v>876</v>
      </c>
      <c r="D1268" s="268">
        <v>2228</v>
      </c>
      <c r="E1268" s="114" t="s">
        <v>208</v>
      </c>
      <c r="F1268" s="114" t="s">
        <v>1745</v>
      </c>
      <c r="G1268" s="114" t="s">
        <v>1572</v>
      </c>
      <c r="H1268" s="114" t="s">
        <v>1227</v>
      </c>
      <c r="I1268" s="114"/>
      <c r="J1268" s="114" t="b">
        <v>0</v>
      </c>
      <c r="K1268" s="114"/>
      <c r="L1268" s="114"/>
      <c r="M1268" s="114"/>
      <c r="N1268" s="114"/>
      <c r="O1268" s="114"/>
      <c r="P1268" s="114" t="s">
        <v>1485</v>
      </c>
      <c r="Q1268" s="114" t="s">
        <v>1227</v>
      </c>
    </row>
    <row r="1269" spans="2:17" hidden="1" outlineLevel="2">
      <c r="B1269" s="2" t="s">
        <v>876</v>
      </c>
      <c r="D1269" s="270">
        <v>2229</v>
      </c>
      <c r="E1269" s="112" t="s">
        <v>208</v>
      </c>
      <c r="F1269" s="112" t="s">
        <v>1746</v>
      </c>
      <c r="G1269" s="112" t="s">
        <v>1572</v>
      </c>
      <c r="H1269" s="112" t="s">
        <v>1227</v>
      </c>
      <c r="I1269" s="112"/>
      <c r="J1269" s="112" t="b">
        <v>0</v>
      </c>
      <c r="K1269" s="112"/>
      <c r="L1269" s="112"/>
      <c r="M1269" s="112"/>
      <c r="N1269" s="691" t="b">
        <v>1</v>
      </c>
      <c r="O1269" s="112"/>
      <c r="P1269" s="112" t="s">
        <v>1485</v>
      </c>
      <c r="Q1269" s="112" t="s">
        <v>1227</v>
      </c>
    </row>
    <row r="1270" spans="2:17" hidden="1" outlineLevel="2">
      <c r="B1270" s="2" t="s">
        <v>876</v>
      </c>
      <c r="D1270" s="268">
        <v>2230</v>
      </c>
      <c r="E1270" s="114" t="s">
        <v>208</v>
      </c>
      <c r="F1270" s="114" t="s">
        <v>1747</v>
      </c>
      <c r="G1270" s="114" t="s">
        <v>1572</v>
      </c>
      <c r="H1270" s="114" t="s">
        <v>1227</v>
      </c>
      <c r="I1270" s="114"/>
      <c r="J1270" s="114" t="b">
        <v>0</v>
      </c>
      <c r="K1270" s="114"/>
      <c r="L1270" s="114"/>
      <c r="M1270" s="114"/>
      <c r="N1270" s="691" t="b">
        <v>1</v>
      </c>
      <c r="O1270" s="114"/>
      <c r="P1270" s="114" t="s">
        <v>1485</v>
      </c>
      <c r="Q1270" s="114" t="s">
        <v>1227</v>
      </c>
    </row>
    <row r="1271" spans="2:17" hidden="1" outlineLevel="2">
      <c r="B1271" s="2" t="s">
        <v>876</v>
      </c>
      <c r="D1271" s="270">
        <v>2231</v>
      </c>
      <c r="E1271" s="112" t="s">
        <v>208</v>
      </c>
      <c r="F1271" s="112" t="s">
        <v>1748</v>
      </c>
      <c r="G1271" s="112" t="s">
        <v>1572</v>
      </c>
      <c r="H1271" s="112" t="s">
        <v>1227</v>
      </c>
      <c r="I1271" s="112"/>
      <c r="J1271" s="112" t="b">
        <v>0</v>
      </c>
      <c r="K1271" s="112"/>
      <c r="L1271" s="112"/>
      <c r="M1271" s="112"/>
      <c r="N1271" s="112"/>
      <c r="O1271" s="112"/>
      <c r="P1271" s="112" t="s">
        <v>1485</v>
      </c>
      <c r="Q1271" s="112" t="s">
        <v>1227</v>
      </c>
    </row>
    <row r="1272" spans="2:17" hidden="1" outlineLevel="2">
      <c r="B1272" s="2" t="s">
        <v>876</v>
      </c>
      <c r="D1272" s="268">
        <v>2232</v>
      </c>
      <c r="E1272" s="114" t="s">
        <v>208</v>
      </c>
      <c r="F1272" s="114" t="s">
        <v>1749</v>
      </c>
      <c r="G1272" s="114" t="s">
        <v>1572</v>
      </c>
      <c r="H1272" s="114" t="s">
        <v>1227</v>
      </c>
      <c r="I1272" s="114"/>
      <c r="J1272" s="114" t="b">
        <v>0</v>
      </c>
      <c r="K1272" s="114"/>
      <c r="L1272" s="114"/>
      <c r="M1272" s="114"/>
      <c r="N1272" s="114"/>
      <c r="O1272" s="114"/>
      <c r="P1272" s="114" t="s">
        <v>1485</v>
      </c>
      <c r="Q1272" s="114" t="s">
        <v>1227</v>
      </c>
    </row>
    <row r="1273" spans="2:17" hidden="1" outlineLevel="2">
      <c r="B1273" s="2" t="s">
        <v>876</v>
      </c>
      <c r="D1273" s="270">
        <v>2233</v>
      </c>
      <c r="E1273" s="112" t="s">
        <v>208</v>
      </c>
      <c r="F1273" s="112" t="s">
        <v>1750</v>
      </c>
      <c r="G1273" s="112" t="s">
        <v>1572</v>
      </c>
      <c r="H1273" s="112" t="s">
        <v>1227</v>
      </c>
      <c r="I1273" s="112"/>
      <c r="J1273" s="112" t="b">
        <v>0</v>
      </c>
      <c r="K1273" s="112"/>
      <c r="L1273" s="112"/>
      <c r="M1273" s="112"/>
      <c r="N1273" s="112"/>
      <c r="O1273" s="112"/>
      <c r="P1273" s="112" t="s">
        <v>1485</v>
      </c>
      <c r="Q1273" s="112" t="s">
        <v>1227</v>
      </c>
    </row>
    <row r="1274" spans="2:17" hidden="1" outlineLevel="2">
      <c r="B1274" s="2" t="s">
        <v>876</v>
      </c>
      <c r="D1274" s="268">
        <v>2234</v>
      </c>
      <c r="E1274" s="114" t="s">
        <v>208</v>
      </c>
      <c r="F1274" s="114" t="s">
        <v>1751</v>
      </c>
      <c r="G1274" s="114" t="s">
        <v>1572</v>
      </c>
      <c r="H1274" s="114" t="s">
        <v>1227</v>
      </c>
      <c r="I1274" s="114"/>
      <c r="J1274" s="114" t="b">
        <v>0</v>
      </c>
      <c r="K1274" s="114"/>
      <c r="L1274" s="114"/>
      <c r="M1274" s="114"/>
      <c r="N1274" s="114"/>
      <c r="O1274" s="114"/>
      <c r="P1274" s="114" t="s">
        <v>1485</v>
      </c>
      <c r="Q1274" s="114" t="s">
        <v>1227</v>
      </c>
    </row>
    <row r="1275" spans="2:17" hidden="1" outlineLevel="2">
      <c r="B1275" s="2" t="s">
        <v>876</v>
      </c>
      <c r="D1275" s="270">
        <v>2250</v>
      </c>
      <c r="E1275" s="112" t="s">
        <v>208</v>
      </c>
      <c r="F1275" s="112" t="s">
        <v>1752</v>
      </c>
      <c r="G1275" s="112" t="s">
        <v>1572</v>
      </c>
      <c r="H1275" s="112" t="s">
        <v>1227</v>
      </c>
      <c r="I1275" s="112"/>
      <c r="J1275" s="112" t="b">
        <v>0</v>
      </c>
      <c r="K1275" s="112"/>
      <c r="L1275" s="112"/>
      <c r="M1275" s="112"/>
      <c r="N1275" s="112"/>
      <c r="O1275" s="112"/>
      <c r="P1275" s="112" t="s">
        <v>1485</v>
      </c>
      <c r="Q1275" s="112" t="s">
        <v>1227</v>
      </c>
    </row>
    <row r="1276" spans="2:17" hidden="1" outlineLevel="2">
      <c r="B1276" s="2" t="s">
        <v>876</v>
      </c>
      <c r="D1276" s="268">
        <v>2251</v>
      </c>
      <c r="E1276" s="114" t="s">
        <v>208</v>
      </c>
      <c r="F1276" s="114" t="s">
        <v>1753</v>
      </c>
      <c r="G1276" s="114" t="s">
        <v>1572</v>
      </c>
      <c r="H1276" s="114" t="s">
        <v>1227</v>
      </c>
      <c r="I1276" s="114"/>
      <c r="J1276" s="114" t="b">
        <v>0</v>
      </c>
      <c r="K1276" s="114"/>
      <c r="L1276" s="114"/>
      <c r="M1276" s="114"/>
      <c r="N1276" s="114"/>
      <c r="O1276" s="114"/>
      <c r="P1276" s="114" t="s">
        <v>1485</v>
      </c>
      <c r="Q1276" s="114" t="s">
        <v>1227</v>
      </c>
    </row>
    <row r="1277" spans="2:17" hidden="1" outlineLevel="2">
      <c r="B1277" s="2" t="s">
        <v>876</v>
      </c>
      <c r="D1277" s="270">
        <v>2256</v>
      </c>
      <c r="E1277" s="112" t="s">
        <v>208</v>
      </c>
      <c r="F1277" s="112" t="s">
        <v>1754</v>
      </c>
      <c r="G1277" s="112" t="s">
        <v>1572</v>
      </c>
      <c r="H1277" s="112" t="s">
        <v>1227</v>
      </c>
      <c r="I1277" s="112"/>
      <c r="J1277" s="112" t="b">
        <v>0</v>
      </c>
      <c r="K1277" s="112"/>
      <c r="L1277" s="112"/>
      <c r="M1277" s="112"/>
      <c r="N1277" s="112"/>
      <c r="O1277" s="112"/>
      <c r="P1277" s="112" t="s">
        <v>1485</v>
      </c>
      <c r="Q1277" s="112" t="s">
        <v>1227</v>
      </c>
    </row>
    <row r="1278" spans="2:17" hidden="1" outlineLevel="2">
      <c r="B1278" s="2" t="s">
        <v>876</v>
      </c>
      <c r="D1278" s="268">
        <v>2257</v>
      </c>
      <c r="E1278" s="114" t="s">
        <v>208</v>
      </c>
      <c r="F1278" s="114" t="s">
        <v>1755</v>
      </c>
      <c r="G1278" s="114" t="s">
        <v>1572</v>
      </c>
      <c r="H1278" s="114" t="s">
        <v>1227</v>
      </c>
      <c r="I1278" s="114"/>
      <c r="J1278" s="114" t="b">
        <v>0</v>
      </c>
      <c r="K1278" s="114"/>
      <c r="L1278" s="114"/>
      <c r="M1278" s="114"/>
      <c r="N1278" s="114"/>
      <c r="O1278" s="114"/>
      <c r="P1278" s="114" t="s">
        <v>1485</v>
      </c>
      <c r="Q1278" s="114" t="s">
        <v>1227</v>
      </c>
    </row>
    <row r="1279" spans="2:17" hidden="1" outlineLevel="2">
      <c r="B1279" s="2" t="s">
        <v>876</v>
      </c>
      <c r="D1279" s="270">
        <v>2258</v>
      </c>
      <c r="E1279" s="112" t="s">
        <v>208</v>
      </c>
      <c r="F1279" s="112" t="s">
        <v>1756</v>
      </c>
      <c r="G1279" s="112" t="s">
        <v>1572</v>
      </c>
      <c r="H1279" s="112" t="s">
        <v>1227</v>
      </c>
      <c r="I1279" s="112"/>
      <c r="J1279" s="112" t="b">
        <v>0</v>
      </c>
      <c r="K1279" s="112"/>
      <c r="L1279" s="112"/>
      <c r="M1279" s="112"/>
      <c r="N1279" s="112"/>
      <c r="O1279" s="112"/>
      <c r="P1279" s="112" t="s">
        <v>1485</v>
      </c>
      <c r="Q1279" s="112" t="s">
        <v>1227</v>
      </c>
    </row>
    <row r="1280" spans="2:17" hidden="1" outlineLevel="2">
      <c r="B1280" s="2" t="s">
        <v>876</v>
      </c>
      <c r="D1280" s="268">
        <v>2259</v>
      </c>
      <c r="E1280" s="114" t="s">
        <v>208</v>
      </c>
      <c r="F1280" s="114" t="s">
        <v>1757</v>
      </c>
      <c r="G1280" s="114" t="s">
        <v>1572</v>
      </c>
      <c r="H1280" s="114" t="s">
        <v>1227</v>
      </c>
      <c r="I1280" s="114"/>
      <c r="J1280" s="114" t="b">
        <v>0</v>
      </c>
      <c r="K1280" s="114" t="s">
        <v>1758</v>
      </c>
      <c r="L1280" s="114" t="b">
        <v>1</v>
      </c>
      <c r="M1280" s="114"/>
      <c r="N1280" s="114"/>
      <c r="O1280" s="114"/>
      <c r="P1280" s="114" t="s">
        <v>1485</v>
      </c>
      <c r="Q1280" s="114" t="s">
        <v>1227</v>
      </c>
    </row>
    <row r="1281" spans="2:17" hidden="1" outlineLevel="2">
      <c r="B1281" s="2" t="s">
        <v>876</v>
      </c>
      <c r="D1281" s="270">
        <v>2260</v>
      </c>
      <c r="E1281" s="112" t="s">
        <v>208</v>
      </c>
      <c r="F1281" s="112" t="s">
        <v>1759</v>
      </c>
      <c r="G1281" s="112" t="s">
        <v>1572</v>
      </c>
      <c r="H1281" s="112" t="s">
        <v>1227</v>
      </c>
      <c r="I1281" s="112"/>
      <c r="J1281" s="112" t="b">
        <v>0</v>
      </c>
      <c r="K1281" s="112"/>
      <c r="L1281" s="112"/>
      <c r="M1281" s="112"/>
      <c r="N1281" s="112"/>
      <c r="O1281" s="112"/>
      <c r="P1281" s="112" t="s">
        <v>1485</v>
      </c>
      <c r="Q1281" s="112" t="s">
        <v>1227</v>
      </c>
    </row>
    <row r="1282" spans="2:17" hidden="1" outlineLevel="2">
      <c r="B1282" s="2" t="s">
        <v>876</v>
      </c>
      <c r="D1282" s="268">
        <v>2261</v>
      </c>
      <c r="E1282" s="114" t="s">
        <v>208</v>
      </c>
      <c r="F1282" s="114" t="s">
        <v>1760</v>
      </c>
      <c r="G1282" s="114" t="s">
        <v>1572</v>
      </c>
      <c r="H1282" s="114" t="s">
        <v>1227</v>
      </c>
      <c r="I1282" s="114"/>
      <c r="J1282" s="114" t="b">
        <v>0</v>
      </c>
      <c r="K1282" s="114"/>
      <c r="L1282" s="114"/>
      <c r="M1282" s="114"/>
      <c r="N1282" s="114"/>
      <c r="O1282" s="114"/>
      <c r="P1282" s="114" t="s">
        <v>1485</v>
      </c>
      <c r="Q1282" s="114" t="s">
        <v>1227</v>
      </c>
    </row>
    <row r="1283" spans="2:17" hidden="1" outlineLevel="2">
      <c r="B1283" s="2" t="s">
        <v>876</v>
      </c>
      <c r="D1283" s="270">
        <v>2262</v>
      </c>
      <c r="E1283" s="112" t="s">
        <v>208</v>
      </c>
      <c r="F1283" s="112" t="s">
        <v>1761</v>
      </c>
      <c r="G1283" s="112" t="s">
        <v>1572</v>
      </c>
      <c r="H1283" s="112" t="s">
        <v>1227</v>
      </c>
      <c r="I1283" s="112"/>
      <c r="J1283" s="112" t="b">
        <v>0</v>
      </c>
      <c r="K1283" s="112"/>
      <c r="L1283" s="112"/>
      <c r="M1283" s="112"/>
      <c r="N1283" s="112"/>
      <c r="O1283" s="112"/>
      <c r="P1283" s="112" t="s">
        <v>1485</v>
      </c>
      <c r="Q1283" s="112" t="s">
        <v>1227</v>
      </c>
    </row>
    <row r="1284" spans="2:17" hidden="1" outlineLevel="2">
      <c r="B1284" s="2" t="s">
        <v>876</v>
      </c>
      <c r="D1284" s="268">
        <v>2263</v>
      </c>
      <c r="E1284" s="114" t="s">
        <v>208</v>
      </c>
      <c r="F1284" s="114" t="s">
        <v>1762</v>
      </c>
      <c r="G1284" s="114" t="s">
        <v>1572</v>
      </c>
      <c r="H1284" s="114" t="s">
        <v>1227</v>
      </c>
      <c r="I1284" s="114"/>
      <c r="J1284" s="114" t="b">
        <v>0</v>
      </c>
      <c r="K1284" s="114"/>
      <c r="L1284" s="114"/>
      <c r="M1284" s="114"/>
      <c r="N1284" s="114"/>
      <c r="O1284" s="114"/>
      <c r="P1284" s="114" t="s">
        <v>1485</v>
      </c>
      <c r="Q1284" s="114" t="s">
        <v>1227</v>
      </c>
    </row>
    <row r="1285" spans="2:17" hidden="1" outlineLevel="2">
      <c r="B1285" s="2" t="s">
        <v>876</v>
      </c>
      <c r="D1285" s="270">
        <v>2264</v>
      </c>
      <c r="E1285" s="112" t="s">
        <v>208</v>
      </c>
      <c r="F1285" s="112" t="s">
        <v>1763</v>
      </c>
      <c r="G1285" s="112" t="s">
        <v>1572</v>
      </c>
      <c r="H1285" s="112" t="s">
        <v>1227</v>
      </c>
      <c r="I1285" s="112"/>
      <c r="J1285" s="112" t="b">
        <v>0</v>
      </c>
      <c r="K1285" s="112"/>
      <c r="L1285" s="112"/>
      <c r="M1285" s="112"/>
      <c r="N1285" s="112"/>
      <c r="O1285" s="112"/>
      <c r="P1285" s="112" t="s">
        <v>1485</v>
      </c>
      <c r="Q1285" s="112" t="s">
        <v>1227</v>
      </c>
    </row>
    <row r="1286" spans="2:17" hidden="1" outlineLevel="2">
      <c r="B1286" s="2" t="s">
        <v>876</v>
      </c>
      <c r="D1286" s="268">
        <v>2265</v>
      </c>
      <c r="E1286" s="114" t="s">
        <v>208</v>
      </c>
      <c r="F1286" s="114" t="s">
        <v>1764</v>
      </c>
      <c r="G1286" s="114" t="s">
        <v>1572</v>
      </c>
      <c r="H1286" s="114" t="s">
        <v>1227</v>
      </c>
      <c r="I1286" s="114"/>
      <c r="J1286" s="114" t="b">
        <v>0</v>
      </c>
      <c r="K1286" s="114"/>
      <c r="L1286" s="114"/>
      <c r="M1286" s="114"/>
      <c r="N1286" s="114"/>
      <c r="O1286" s="114"/>
      <c r="P1286" s="114" t="s">
        <v>1485</v>
      </c>
      <c r="Q1286" s="114" t="s">
        <v>1227</v>
      </c>
    </row>
    <row r="1287" spans="2:17" hidden="1" outlineLevel="2">
      <c r="B1287" s="2" t="s">
        <v>876</v>
      </c>
      <c r="D1287" s="270">
        <v>2267</v>
      </c>
      <c r="E1287" s="112" t="s">
        <v>208</v>
      </c>
      <c r="F1287" s="112" t="s">
        <v>1765</v>
      </c>
      <c r="G1287" s="112" t="s">
        <v>1572</v>
      </c>
      <c r="H1287" s="112" t="s">
        <v>1227</v>
      </c>
      <c r="I1287" s="112"/>
      <c r="J1287" s="112" t="b">
        <v>0</v>
      </c>
      <c r="K1287" s="112"/>
      <c r="L1287" s="112"/>
      <c r="M1287" s="112"/>
      <c r="N1287" s="112"/>
      <c r="O1287" s="112"/>
      <c r="P1287" s="112" t="s">
        <v>1485</v>
      </c>
      <c r="Q1287" s="112" t="s">
        <v>1227</v>
      </c>
    </row>
    <row r="1288" spans="2:17" hidden="1" outlineLevel="2">
      <c r="B1288" s="2" t="s">
        <v>876</v>
      </c>
      <c r="D1288" s="268">
        <v>2278</v>
      </c>
      <c r="E1288" s="114" t="s">
        <v>208</v>
      </c>
      <c r="F1288" s="114" t="s">
        <v>1766</v>
      </c>
      <c r="G1288" s="114" t="s">
        <v>1572</v>
      </c>
      <c r="H1288" s="114" t="s">
        <v>1227</v>
      </c>
      <c r="I1288" s="114"/>
      <c r="J1288" s="114" t="b">
        <v>0</v>
      </c>
      <c r="K1288" s="114"/>
      <c r="L1288" s="114"/>
      <c r="M1288" s="114"/>
      <c r="N1288" s="114"/>
      <c r="O1288" s="114"/>
      <c r="P1288" s="114" t="s">
        <v>1485</v>
      </c>
      <c r="Q1288" s="114" t="s">
        <v>1227</v>
      </c>
    </row>
    <row r="1289" spans="2:17" hidden="1" outlineLevel="2">
      <c r="B1289" s="2" t="s">
        <v>876</v>
      </c>
      <c r="D1289" s="270">
        <v>2280</v>
      </c>
      <c r="E1289" s="112" t="s">
        <v>208</v>
      </c>
      <c r="F1289" s="112" t="s">
        <v>1767</v>
      </c>
      <c r="G1289" s="112" t="s">
        <v>1572</v>
      </c>
      <c r="H1289" s="112" t="s">
        <v>1227</v>
      </c>
      <c r="I1289" s="112"/>
      <c r="J1289" s="112" t="b">
        <v>0</v>
      </c>
      <c r="K1289" s="112"/>
      <c r="L1289" s="112"/>
      <c r="M1289" s="112"/>
      <c r="N1289" s="112"/>
      <c r="O1289" s="112"/>
      <c r="P1289" s="112" t="s">
        <v>1485</v>
      </c>
      <c r="Q1289" s="112" t="s">
        <v>1227</v>
      </c>
    </row>
    <row r="1290" spans="2:17" hidden="1" outlineLevel="2">
      <c r="B1290" s="2" t="s">
        <v>876</v>
      </c>
      <c r="D1290" s="268">
        <v>2281</v>
      </c>
      <c r="E1290" s="114" t="s">
        <v>208</v>
      </c>
      <c r="F1290" s="114" t="s">
        <v>1768</v>
      </c>
      <c r="G1290" s="114" t="s">
        <v>1572</v>
      </c>
      <c r="H1290" s="114" t="s">
        <v>1227</v>
      </c>
      <c r="I1290" s="114"/>
      <c r="J1290" s="114" t="b">
        <v>0</v>
      </c>
      <c r="K1290" s="114"/>
      <c r="L1290" s="114"/>
      <c r="M1290" s="114"/>
      <c r="N1290" s="114"/>
      <c r="O1290" s="114"/>
      <c r="P1290" s="114" t="s">
        <v>1485</v>
      </c>
      <c r="Q1290" s="114" t="s">
        <v>1227</v>
      </c>
    </row>
    <row r="1291" spans="2:17" hidden="1" outlineLevel="2">
      <c r="B1291" s="2" t="s">
        <v>876</v>
      </c>
      <c r="D1291" s="270">
        <v>2282</v>
      </c>
      <c r="E1291" s="112" t="s">
        <v>208</v>
      </c>
      <c r="F1291" s="112" t="s">
        <v>1769</v>
      </c>
      <c r="G1291" s="112" t="s">
        <v>1572</v>
      </c>
      <c r="H1291" s="112" t="s">
        <v>1227</v>
      </c>
      <c r="I1291" s="112"/>
      <c r="J1291" s="112" t="b">
        <v>0</v>
      </c>
      <c r="K1291" s="112"/>
      <c r="L1291" s="112"/>
      <c r="M1291" s="112"/>
      <c r="N1291" s="112"/>
      <c r="O1291" s="112"/>
      <c r="P1291" s="112" t="s">
        <v>1485</v>
      </c>
      <c r="Q1291" s="112" t="s">
        <v>1227</v>
      </c>
    </row>
    <row r="1292" spans="2:17" hidden="1" outlineLevel="2">
      <c r="B1292" s="2" t="s">
        <v>876</v>
      </c>
      <c r="D1292" s="268">
        <v>2283</v>
      </c>
      <c r="E1292" s="114" t="s">
        <v>208</v>
      </c>
      <c r="F1292" s="114" t="s">
        <v>1770</v>
      </c>
      <c r="G1292" s="114" t="s">
        <v>1572</v>
      </c>
      <c r="H1292" s="114" t="s">
        <v>1227</v>
      </c>
      <c r="I1292" s="114"/>
      <c r="J1292" s="114" t="b">
        <v>0</v>
      </c>
      <c r="K1292" s="114"/>
      <c r="L1292" s="114"/>
      <c r="M1292" s="114"/>
      <c r="N1292" s="114"/>
      <c r="O1292" s="114"/>
      <c r="P1292" s="114" t="s">
        <v>1485</v>
      </c>
      <c r="Q1292" s="114" t="s">
        <v>1227</v>
      </c>
    </row>
    <row r="1293" spans="2:17" hidden="1" outlineLevel="2">
      <c r="B1293" s="2" t="s">
        <v>876</v>
      </c>
      <c r="D1293" s="270">
        <v>2284</v>
      </c>
      <c r="E1293" s="112" t="s">
        <v>208</v>
      </c>
      <c r="F1293" s="112" t="s">
        <v>1771</v>
      </c>
      <c r="G1293" s="112" t="s">
        <v>1572</v>
      </c>
      <c r="H1293" s="112" t="s">
        <v>1227</v>
      </c>
      <c r="I1293" s="112"/>
      <c r="J1293" s="112" t="b">
        <v>0</v>
      </c>
      <c r="K1293" s="112"/>
      <c r="L1293" s="112"/>
      <c r="M1293" s="112"/>
      <c r="N1293" s="112"/>
      <c r="O1293" s="112"/>
      <c r="P1293" s="112" t="s">
        <v>1485</v>
      </c>
      <c r="Q1293" s="112" t="s">
        <v>1227</v>
      </c>
    </row>
    <row r="1294" spans="2:17" hidden="1" outlineLevel="2">
      <c r="B1294" s="2" t="s">
        <v>876</v>
      </c>
      <c r="D1294" s="268">
        <v>2285</v>
      </c>
      <c r="E1294" s="114" t="s">
        <v>208</v>
      </c>
      <c r="F1294" s="114" t="s">
        <v>1772</v>
      </c>
      <c r="G1294" s="114" t="s">
        <v>1572</v>
      </c>
      <c r="H1294" s="114" t="s">
        <v>1227</v>
      </c>
      <c r="I1294" s="114"/>
      <c r="J1294" s="114" t="b">
        <v>0</v>
      </c>
      <c r="K1294" s="114"/>
      <c r="L1294" s="114"/>
      <c r="M1294" s="114"/>
      <c r="N1294" s="114"/>
      <c r="O1294" s="114"/>
      <c r="P1294" s="114" t="s">
        <v>1485</v>
      </c>
      <c r="Q1294" s="114" t="s">
        <v>1227</v>
      </c>
    </row>
    <row r="1295" spans="2:17" hidden="1" outlineLevel="2">
      <c r="B1295" s="2" t="s">
        <v>876</v>
      </c>
      <c r="D1295" s="270">
        <v>2286</v>
      </c>
      <c r="E1295" s="112" t="s">
        <v>208</v>
      </c>
      <c r="F1295" s="112" t="s">
        <v>1773</v>
      </c>
      <c r="G1295" s="112" t="s">
        <v>1572</v>
      </c>
      <c r="H1295" s="112" t="s">
        <v>1227</v>
      </c>
      <c r="I1295" s="112"/>
      <c r="J1295" s="112" t="b">
        <v>0</v>
      </c>
      <c r="K1295" s="112"/>
      <c r="L1295" s="112"/>
      <c r="M1295" s="112"/>
      <c r="N1295" s="112"/>
      <c r="O1295" s="112"/>
      <c r="P1295" s="112" t="s">
        <v>1485</v>
      </c>
      <c r="Q1295" s="112" t="s">
        <v>1227</v>
      </c>
    </row>
    <row r="1296" spans="2:17" hidden="1" outlineLevel="2">
      <c r="B1296" s="2" t="s">
        <v>876</v>
      </c>
      <c r="D1296" s="268">
        <v>2287</v>
      </c>
      <c r="E1296" s="114" t="s">
        <v>208</v>
      </c>
      <c r="F1296" s="114" t="s">
        <v>1774</v>
      </c>
      <c r="G1296" s="114" t="s">
        <v>1572</v>
      </c>
      <c r="H1296" s="114" t="s">
        <v>1227</v>
      </c>
      <c r="I1296" s="114"/>
      <c r="J1296" s="114" t="b">
        <v>0</v>
      </c>
      <c r="K1296" s="114"/>
      <c r="L1296" s="114"/>
      <c r="M1296" s="114"/>
      <c r="N1296" s="114"/>
      <c r="O1296" s="114"/>
      <c r="P1296" s="114" t="s">
        <v>1485</v>
      </c>
      <c r="Q1296" s="114" t="s">
        <v>1227</v>
      </c>
    </row>
    <row r="1297" spans="2:17" hidden="1" outlineLevel="2">
      <c r="B1297" s="2" t="s">
        <v>876</v>
      </c>
      <c r="D1297" s="270">
        <v>2289</v>
      </c>
      <c r="E1297" s="112" t="s">
        <v>208</v>
      </c>
      <c r="F1297" s="112" t="s">
        <v>1775</v>
      </c>
      <c r="G1297" s="112" t="s">
        <v>1572</v>
      </c>
      <c r="H1297" s="112" t="s">
        <v>1227</v>
      </c>
      <c r="I1297" s="112"/>
      <c r="J1297" s="112" t="b">
        <v>0</v>
      </c>
      <c r="K1297" s="112"/>
      <c r="L1297" s="112"/>
      <c r="M1297" s="112"/>
      <c r="N1297" s="112"/>
      <c r="O1297" s="112"/>
      <c r="P1297" s="112" t="s">
        <v>1485</v>
      </c>
      <c r="Q1297" s="112" t="s">
        <v>1227</v>
      </c>
    </row>
    <row r="1298" spans="2:17" hidden="1" outlineLevel="2">
      <c r="B1298" s="2" t="s">
        <v>876</v>
      </c>
      <c r="D1298" s="268">
        <v>2290</v>
      </c>
      <c r="E1298" s="114" t="s">
        <v>208</v>
      </c>
      <c r="F1298" s="114" t="s">
        <v>1776</v>
      </c>
      <c r="G1298" s="114" t="s">
        <v>1572</v>
      </c>
      <c r="H1298" s="114" t="s">
        <v>1227</v>
      </c>
      <c r="I1298" s="114"/>
      <c r="J1298" s="114" t="b">
        <v>0</v>
      </c>
      <c r="K1298" s="114"/>
      <c r="L1298" s="114"/>
      <c r="M1298" s="114"/>
      <c r="N1298" s="114"/>
      <c r="O1298" s="114"/>
      <c r="P1298" s="114" t="s">
        <v>1485</v>
      </c>
      <c r="Q1298" s="114" t="s">
        <v>1227</v>
      </c>
    </row>
    <row r="1299" spans="2:17" hidden="1" outlineLevel="2">
      <c r="B1299" s="2" t="s">
        <v>876</v>
      </c>
      <c r="D1299" s="270">
        <v>2291</v>
      </c>
      <c r="E1299" s="112" t="s">
        <v>208</v>
      </c>
      <c r="F1299" s="112" t="s">
        <v>1777</v>
      </c>
      <c r="G1299" s="112" t="s">
        <v>1572</v>
      </c>
      <c r="H1299" s="112" t="s">
        <v>1227</v>
      </c>
      <c r="I1299" s="112"/>
      <c r="J1299" s="112" t="b">
        <v>0</v>
      </c>
      <c r="K1299" s="112"/>
      <c r="L1299" s="112"/>
      <c r="M1299" s="112"/>
      <c r="N1299" s="112"/>
      <c r="O1299" s="112"/>
      <c r="P1299" s="112" t="s">
        <v>1485</v>
      </c>
      <c r="Q1299" s="112" t="s">
        <v>1227</v>
      </c>
    </row>
    <row r="1300" spans="2:17" hidden="1" outlineLevel="2">
      <c r="B1300" s="2" t="s">
        <v>876</v>
      </c>
      <c r="D1300" s="268">
        <v>2292</v>
      </c>
      <c r="E1300" s="114" t="s">
        <v>208</v>
      </c>
      <c r="F1300" s="114" t="s">
        <v>1778</v>
      </c>
      <c r="G1300" s="114" t="s">
        <v>1572</v>
      </c>
      <c r="H1300" s="114" t="s">
        <v>1227</v>
      </c>
      <c r="I1300" s="114"/>
      <c r="J1300" s="114" t="b">
        <v>0</v>
      </c>
      <c r="K1300" s="114"/>
      <c r="L1300" s="114"/>
      <c r="M1300" s="114"/>
      <c r="N1300" s="114"/>
      <c r="O1300" s="114"/>
      <c r="P1300" s="114" t="s">
        <v>1485</v>
      </c>
      <c r="Q1300" s="114" t="s">
        <v>1227</v>
      </c>
    </row>
    <row r="1301" spans="2:17" hidden="1" outlineLevel="2">
      <c r="B1301" s="2" t="s">
        <v>876</v>
      </c>
      <c r="D1301" s="270">
        <v>2293</v>
      </c>
      <c r="E1301" s="112" t="s">
        <v>208</v>
      </c>
      <c r="F1301" s="112" t="s">
        <v>1779</v>
      </c>
      <c r="G1301" s="112" t="s">
        <v>1572</v>
      </c>
      <c r="H1301" s="112" t="s">
        <v>1227</v>
      </c>
      <c r="I1301" s="112"/>
      <c r="J1301" s="112" t="b">
        <v>0</v>
      </c>
      <c r="K1301" s="112"/>
      <c r="L1301" s="112"/>
      <c r="M1301" s="112"/>
      <c r="N1301" s="112"/>
      <c r="O1301" s="112"/>
      <c r="P1301" s="112" t="s">
        <v>1485</v>
      </c>
      <c r="Q1301" s="112" t="s">
        <v>1227</v>
      </c>
    </row>
    <row r="1302" spans="2:17" hidden="1" outlineLevel="2">
      <c r="B1302" s="2" t="s">
        <v>876</v>
      </c>
      <c r="D1302" s="268">
        <v>2294</v>
      </c>
      <c r="E1302" s="114" t="s">
        <v>208</v>
      </c>
      <c r="F1302" s="114" t="s">
        <v>1780</v>
      </c>
      <c r="G1302" s="114" t="s">
        <v>1572</v>
      </c>
      <c r="H1302" s="114" t="s">
        <v>1227</v>
      </c>
      <c r="I1302" s="114"/>
      <c r="J1302" s="114" t="b">
        <v>0</v>
      </c>
      <c r="K1302" s="114"/>
      <c r="L1302" s="114"/>
      <c r="M1302" s="114"/>
      <c r="N1302" s="114"/>
      <c r="O1302" s="114"/>
      <c r="P1302" s="114" t="s">
        <v>1485</v>
      </c>
      <c r="Q1302" s="114" t="s">
        <v>1227</v>
      </c>
    </row>
    <row r="1303" spans="2:17" hidden="1" outlineLevel="2">
      <c r="B1303" s="2" t="s">
        <v>876</v>
      </c>
      <c r="D1303" s="270">
        <v>2295</v>
      </c>
      <c r="E1303" s="112" t="s">
        <v>208</v>
      </c>
      <c r="F1303" s="112" t="s">
        <v>1781</v>
      </c>
      <c r="G1303" s="112" t="s">
        <v>1572</v>
      </c>
      <c r="H1303" s="112" t="s">
        <v>1227</v>
      </c>
      <c r="I1303" s="112"/>
      <c r="J1303" s="112" t="b">
        <v>0</v>
      </c>
      <c r="K1303" s="112"/>
      <c r="L1303" s="112"/>
      <c r="M1303" s="112"/>
      <c r="N1303" s="112"/>
      <c r="O1303" s="112"/>
      <c r="P1303" s="112" t="s">
        <v>1485</v>
      </c>
      <c r="Q1303" s="112" t="s">
        <v>1227</v>
      </c>
    </row>
    <row r="1304" spans="2:17" hidden="1" outlineLevel="2">
      <c r="B1304" s="2" t="s">
        <v>876</v>
      </c>
      <c r="D1304" s="268">
        <v>2296</v>
      </c>
      <c r="E1304" s="114" t="s">
        <v>208</v>
      </c>
      <c r="F1304" s="114" t="s">
        <v>1782</v>
      </c>
      <c r="G1304" s="114" t="s">
        <v>1572</v>
      </c>
      <c r="H1304" s="114" t="s">
        <v>1227</v>
      </c>
      <c r="I1304" s="114"/>
      <c r="J1304" s="114" t="b">
        <v>0</v>
      </c>
      <c r="K1304" s="114"/>
      <c r="L1304" s="114"/>
      <c r="M1304" s="114"/>
      <c r="N1304" s="114"/>
      <c r="O1304" s="114"/>
      <c r="P1304" s="114" t="s">
        <v>1485</v>
      </c>
      <c r="Q1304" s="114" t="s">
        <v>1227</v>
      </c>
    </row>
    <row r="1305" spans="2:17" hidden="1" outlineLevel="2">
      <c r="B1305" s="2" t="s">
        <v>876</v>
      </c>
      <c r="D1305" s="270">
        <v>2297</v>
      </c>
      <c r="E1305" s="112" t="s">
        <v>208</v>
      </c>
      <c r="F1305" s="112" t="s">
        <v>1783</v>
      </c>
      <c r="G1305" s="112" t="s">
        <v>1572</v>
      </c>
      <c r="H1305" s="112" t="s">
        <v>1227</v>
      </c>
      <c r="I1305" s="112"/>
      <c r="J1305" s="112" t="b">
        <v>0</v>
      </c>
      <c r="K1305" s="112"/>
      <c r="L1305" s="112"/>
      <c r="M1305" s="112"/>
      <c r="N1305" s="112"/>
      <c r="O1305" s="112"/>
      <c r="P1305" s="112" t="s">
        <v>1485</v>
      </c>
      <c r="Q1305" s="112" t="s">
        <v>1227</v>
      </c>
    </row>
    <row r="1306" spans="2:17" hidden="1" outlineLevel="2">
      <c r="B1306" s="2" t="s">
        <v>876</v>
      </c>
      <c r="D1306" s="268">
        <v>2298</v>
      </c>
      <c r="E1306" s="114" t="s">
        <v>208</v>
      </c>
      <c r="F1306" s="114" t="s">
        <v>1784</v>
      </c>
      <c r="G1306" s="114" t="s">
        <v>1572</v>
      </c>
      <c r="H1306" s="114" t="s">
        <v>1227</v>
      </c>
      <c r="I1306" s="114"/>
      <c r="J1306" s="114" t="b">
        <v>0</v>
      </c>
      <c r="K1306" s="114"/>
      <c r="L1306" s="114"/>
      <c r="M1306" s="114"/>
      <c r="N1306" s="114"/>
      <c r="O1306" s="114"/>
      <c r="P1306" s="114" t="s">
        <v>1485</v>
      </c>
      <c r="Q1306" s="114" t="s">
        <v>1227</v>
      </c>
    </row>
    <row r="1307" spans="2:17" hidden="1" outlineLevel="2">
      <c r="B1307" s="2" t="s">
        <v>876</v>
      </c>
      <c r="D1307" s="270">
        <v>2299</v>
      </c>
      <c r="E1307" s="112" t="s">
        <v>208</v>
      </c>
      <c r="F1307" s="112" t="s">
        <v>1785</v>
      </c>
      <c r="G1307" s="112" t="s">
        <v>1572</v>
      </c>
      <c r="H1307" s="112" t="s">
        <v>1227</v>
      </c>
      <c r="I1307" s="112"/>
      <c r="J1307" s="112" t="b">
        <v>0</v>
      </c>
      <c r="K1307" s="112"/>
      <c r="L1307" s="112"/>
      <c r="M1307" s="112"/>
      <c r="N1307" s="112"/>
      <c r="O1307" s="112"/>
      <c r="P1307" s="112" t="s">
        <v>1485</v>
      </c>
      <c r="Q1307" s="112" t="s">
        <v>1227</v>
      </c>
    </row>
    <row r="1308" spans="2:17" hidden="1" outlineLevel="2">
      <c r="B1308" s="2" t="s">
        <v>876</v>
      </c>
      <c r="D1308" s="268">
        <v>2300</v>
      </c>
      <c r="E1308" s="114" t="s">
        <v>208</v>
      </c>
      <c r="F1308" s="114" t="s">
        <v>1786</v>
      </c>
      <c r="G1308" s="114" t="s">
        <v>1572</v>
      </c>
      <c r="H1308" s="114" t="s">
        <v>1227</v>
      </c>
      <c r="I1308" s="114"/>
      <c r="J1308" s="114" t="b">
        <v>0</v>
      </c>
      <c r="K1308" s="114"/>
      <c r="L1308" s="114"/>
      <c r="M1308" s="114"/>
      <c r="N1308" s="114"/>
      <c r="O1308" s="114"/>
      <c r="P1308" s="114" t="s">
        <v>1485</v>
      </c>
      <c r="Q1308" s="114" t="s">
        <v>1227</v>
      </c>
    </row>
    <row r="1309" spans="2:17" hidden="1" outlineLevel="2">
      <c r="B1309" s="2" t="s">
        <v>876</v>
      </c>
      <c r="D1309" s="270">
        <v>2302</v>
      </c>
      <c r="E1309" s="112" t="s">
        <v>208</v>
      </c>
      <c r="F1309" s="112" t="s">
        <v>1787</v>
      </c>
      <c r="G1309" s="112" t="s">
        <v>1572</v>
      </c>
      <c r="H1309" s="112" t="s">
        <v>1227</v>
      </c>
      <c r="I1309" s="112"/>
      <c r="J1309" s="112" t="b">
        <v>0</v>
      </c>
      <c r="K1309" s="112"/>
      <c r="L1309" s="112"/>
      <c r="M1309" s="112"/>
      <c r="N1309" s="112"/>
      <c r="O1309" s="112"/>
      <c r="P1309" s="112" t="s">
        <v>1485</v>
      </c>
      <c r="Q1309" s="112" t="s">
        <v>1227</v>
      </c>
    </row>
    <row r="1310" spans="2:17" hidden="1" outlineLevel="2">
      <c r="B1310" s="2" t="s">
        <v>876</v>
      </c>
      <c r="D1310" s="268">
        <v>2303</v>
      </c>
      <c r="E1310" s="114" t="s">
        <v>208</v>
      </c>
      <c r="F1310" s="114" t="s">
        <v>1788</v>
      </c>
      <c r="G1310" s="114" t="s">
        <v>1572</v>
      </c>
      <c r="H1310" s="114" t="s">
        <v>1227</v>
      </c>
      <c r="I1310" s="114"/>
      <c r="J1310" s="114" t="b">
        <v>0</v>
      </c>
      <c r="K1310" s="114"/>
      <c r="L1310" s="114"/>
      <c r="M1310" s="114"/>
      <c r="N1310" s="114"/>
      <c r="O1310" s="114"/>
      <c r="P1310" s="114" t="s">
        <v>1485</v>
      </c>
      <c r="Q1310" s="114" t="s">
        <v>1227</v>
      </c>
    </row>
    <row r="1311" spans="2:17" hidden="1" outlineLevel="2">
      <c r="B1311" s="2" t="s">
        <v>876</v>
      </c>
      <c r="D1311" s="270">
        <v>2304</v>
      </c>
      <c r="E1311" s="112" t="s">
        <v>208</v>
      </c>
      <c r="F1311" s="112" t="s">
        <v>1789</v>
      </c>
      <c r="G1311" s="112" t="s">
        <v>1572</v>
      </c>
      <c r="H1311" s="112" t="s">
        <v>1227</v>
      </c>
      <c r="I1311" s="112"/>
      <c r="J1311" s="112" t="b">
        <v>0</v>
      </c>
      <c r="K1311" s="112"/>
      <c r="L1311" s="112"/>
      <c r="M1311" s="112"/>
      <c r="N1311" s="112"/>
      <c r="O1311" s="112"/>
      <c r="P1311" s="112" t="s">
        <v>1485</v>
      </c>
      <c r="Q1311" s="112" t="s">
        <v>1227</v>
      </c>
    </row>
    <row r="1312" spans="2:17" hidden="1" outlineLevel="2">
      <c r="B1312" s="2" t="s">
        <v>876</v>
      </c>
      <c r="D1312" s="268">
        <v>2305</v>
      </c>
      <c r="E1312" s="114" t="s">
        <v>208</v>
      </c>
      <c r="F1312" s="114" t="s">
        <v>1790</v>
      </c>
      <c r="G1312" s="114" t="s">
        <v>1572</v>
      </c>
      <c r="H1312" s="114" t="s">
        <v>1227</v>
      </c>
      <c r="I1312" s="114"/>
      <c r="J1312" s="114" t="b">
        <v>0</v>
      </c>
      <c r="K1312" s="114"/>
      <c r="L1312" s="114"/>
      <c r="M1312" s="114"/>
      <c r="N1312" s="114"/>
      <c r="O1312" s="114"/>
      <c r="P1312" s="114" t="s">
        <v>1485</v>
      </c>
      <c r="Q1312" s="114" t="s">
        <v>1227</v>
      </c>
    </row>
    <row r="1313" spans="2:17" hidden="1" outlineLevel="2">
      <c r="B1313" s="2" t="s">
        <v>876</v>
      </c>
      <c r="D1313" s="270">
        <v>2306</v>
      </c>
      <c r="E1313" s="112" t="s">
        <v>208</v>
      </c>
      <c r="F1313" s="112" t="s">
        <v>1791</v>
      </c>
      <c r="G1313" s="112" t="s">
        <v>1572</v>
      </c>
      <c r="H1313" s="112" t="s">
        <v>1227</v>
      </c>
      <c r="I1313" s="112"/>
      <c r="J1313" s="112" t="b">
        <v>0</v>
      </c>
      <c r="K1313" s="112"/>
      <c r="L1313" s="112"/>
      <c r="M1313" s="112"/>
      <c r="N1313" s="112"/>
      <c r="O1313" s="112"/>
      <c r="P1313" s="112" t="s">
        <v>1485</v>
      </c>
      <c r="Q1313" s="112" t="s">
        <v>1227</v>
      </c>
    </row>
    <row r="1314" spans="2:17" hidden="1" outlineLevel="2">
      <c r="B1314" s="2" t="s">
        <v>876</v>
      </c>
      <c r="D1314" s="268">
        <v>2307</v>
      </c>
      <c r="E1314" s="114" t="s">
        <v>208</v>
      </c>
      <c r="F1314" s="114" t="s">
        <v>1792</v>
      </c>
      <c r="G1314" s="114" t="s">
        <v>1572</v>
      </c>
      <c r="H1314" s="114" t="s">
        <v>1227</v>
      </c>
      <c r="I1314" s="114"/>
      <c r="J1314" s="114" t="b">
        <v>0</v>
      </c>
      <c r="K1314" s="114"/>
      <c r="L1314" s="114"/>
      <c r="M1314" s="114"/>
      <c r="N1314" s="114"/>
      <c r="O1314" s="114"/>
      <c r="P1314" s="114" t="s">
        <v>1485</v>
      </c>
      <c r="Q1314" s="114" t="s">
        <v>1227</v>
      </c>
    </row>
    <row r="1315" spans="2:17" hidden="1" outlineLevel="2">
      <c r="B1315" s="2" t="s">
        <v>876</v>
      </c>
      <c r="D1315" s="270">
        <v>2308</v>
      </c>
      <c r="E1315" s="112" t="s">
        <v>208</v>
      </c>
      <c r="F1315" s="112" t="s">
        <v>1793</v>
      </c>
      <c r="G1315" s="112" t="s">
        <v>1533</v>
      </c>
      <c r="H1315" s="112" t="s">
        <v>1533</v>
      </c>
      <c r="I1315" s="112"/>
      <c r="J1315" s="112" t="b">
        <v>0</v>
      </c>
      <c r="K1315" s="112"/>
      <c r="L1315" s="112"/>
      <c r="M1315" s="112"/>
      <c r="N1315" s="112"/>
      <c r="O1315" s="112"/>
      <c r="P1315" s="112" t="s">
        <v>1485</v>
      </c>
      <c r="Q1315" s="112" t="s">
        <v>1227</v>
      </c>
    </row>
    <row r="1316" spans="2:17" hidden="1" outlineLevel="2">
      <c r="B1316" s="2" t="s">
        <v>876</v>
      </c>
      <c r="D1316" s="268">
        <v>2309</v>
      </c>
      <c r="E1316" s="114" t="s">
        <v>208</v>
      </c>
      <c r="F1316" s="114" t="s">
        <v>1794</v>
      </c>
      <c r="G1316" s="114" t="s">
        <v>1533</v>
      </c>
      <c r="H1316" s="114" t="s">
        <v>1505</v>
      </c>
      <c r="I1316" s="114"/>
      <c r="J1316" s="114" t="b">
        <v>0</v>
      </c>
      <c r="K1316" s="114"/>
      <c r="L1316" s="114"/>
      <c r="M1316" s="114"/>
      <c r="N1316" s="114"/>
      <c r="O1316" s="114"/>
      <c r="P1316" s="114" t="s">
        <v>1485</v>
      </c>
      <c r="Q1316" s="114" t="s">
        <v>1228</v>
      </c>
    </row>
    <row r="1317" spans="2:17" hidden="1" outlineLevel="2">
      <c r="B1317" s="2" t="s">
        <v>876</v>
      </c>
      <c r="D1317" s="270">
        <v>2311</v>
      </c>
      <c r="E1317" s="112" t="s">
        <v>208</v>
      </c>
      <c r="F1317" s="112" t="s">
        <v>1795</v>
      </c>
      <c r="G1317" s="112" t="s">
        <v>1512</v>
      </c>
      <c r="H1317" s="112" t="s">
        <v>1505</v>
      </c>
      <c r="I1317" s="112"/>
      <c r="J1317" s="112" t="b">
        <v>0</v>
      </c>
      <c r="K1317" s="112"/>
      <c r="L1317" s="112" t="b">
        <v>1</v>
      </c>
      <c r="M1317" s="112"/>
      <c r="N1317" s="112"/>
      <c r="O1317" s="112"/>
      <c r="P1317" s="112" t="s">
        <v>1485</v>
      </c>
      <c r="Q1317" s="112" t="s">
        <v>1228</v>
      </c>
    </row>
    <row r="1318" spans="2:17" hidden="1" outlineLevel="2">
      <c r="B1318" s="2" t="s">
        <v>876</v>
      </c>
      <c r="D1318" s="268">
        <v>2312</v>
      </c>
      <c r="E1318" s="114" t="s">
        <v>208</v>
      </c>
      <c r="F1318" s="114" t="s">
        <v>1796</v>
      </c>
      <c r="G1318" s="114" t="s">
        <v>1512</v>
      </c>
      <c r="H1318" s="114" t="s">
        <v>1505</v>
      </c>
      <c r="I1318" s="114"/>
      <c r="J1318" s="114" t="b">
        <v>0</v>
      </c>
      <c r="K1318" s="114"/>
      <c r="L1318" s="114"/>
      <c r="M1318" s="114"/>
      <c r="N1318" s="114"/>
      <c r="O1318" s="114"/>
      <c r="P1318" s="114" t="s">
        <v>1485</v>
      </c>
      <c r="Q1318" s="114" t="s">
        <v>1228</v>
      </c>
    </row>
    <row r="1319" spans="2:17" hidden="1" outlineLevel="2">
      <c r="B1319" s="2" t="s">
        <v>876</v>
      </c>
      <c r="D1319" s="270">
        <v>2315</v>
      </c>
      <c r="E1319" s="112" t="s">
        <v>208</v>
      </c>
      <c r="F1319" s="112" t="s">
        <v>1797</v>
      </c>
      <c r="G1319" s="112" t="s">
        <v>1572</v>
      </c>
      <c r="H1319" s="112" t="s">
        <v>1227</v>
      </c>
      <c r="I1319" s="112"/>
      <c r="J1319" s="112" t="b">
        <v>0</v>
      </c>
      <c r="K1319" s="112"/>
      <c r="L1319" s="112"/>
      <c r="M1319" s="112"/>
      <c r="N1319" s="112"/>
      <c r="O1319" s="112"/>
      <c r="P1319" s="112" t="s">
        <v>1485</v>
      </c>
      <c r="Q1319" s="112" t="s">
        <v>1227</v>
      </c>
    </row>
    <row r="1320" spans="2:17" hidden="1" outlineLevel="2">
      <c r="B1320" s="2" t="s">
        <v>876</v>
      </c>
      <c r="D1320" s="268">
        <v>2316</v>
      </c>
      <c r="E1320" s="114" t="s">
        <v>208</v>
      </c>
      <c r="F1320" s="114" t="s">
        <v>1798</v>
      </c>
      <c r="G1320" s="114" t="s">
        <v>1572</v>
      </c>
      <c r="H1320" s="114" t="s">
        <v>1227</v>
      </c>
      <c r="I1320" s="114"/>
      <c r="J1320" s="114" t="b">
        <v>0</v>
      </c>
      <c r="K1320" s="114"/>
      <c r="L1320" s="114"/>
      <c r="M1320" s="114"/>
      <c r="N1320" s="114"/>
      <c r="O1320" s="114"/>
      <c r="P1320" s="114" t="s">
        <v>1485</v>
      </c>
      <c r="Q1320" s="114" t="s">
        <v>1227</v>
      </c>
    </row>
    <row r="1321" spans="2:17" hidden="1" outlineLevel="2">
      <c r="B1321" s="2" t="s">
        <v>876</v>
      </c>
      <c r="D1321" s="270">
        <v>2317</v>
      </c>
      <c r="E1321" s="112" t="s">
        <v>208</v>
      </c>
      <c r="F1321" s="112" t="s">
        <v>1799</v>
      </c>
      <c r="G1321" s="112" t="s">
        <v>1572</v>
      </c>
      <c r="H1321" s="112" t="s">
        <v>1227</v>
      </c>
      <c r="I1321" s="112"/>
      <c r="J1321" s="112" t="b">
        <v>0</v>
      </c>
      <c r="K1321" s="112"/>
      <c r="L1321" s="112"/>
      <c r="M1321" s="112"/>
      <c r="N1321" s="112"/>
      <c r="O1321" s="112"/>
      <c r="P1321" s="112" t="s">
        <v>1485</v>
      </c>
      <c r="Q1321" s="112" t="s">
        <v>1227</v>
      </c>
    </row>
    <row r="1322" spans="2:17" hidden="1" outlineLevel="2">
      <c r="B1322" s="2" t="s">
        <v>876</v>
      </c>
      <c r="D1322" s="268">
        <v>2318</v>
      </c>
      <c r="E1322" s="114" t="s">
        <v>208</v>
      </c>
      <c r="F1322" s="114" t="s">
        <v>1800</v>
      </c>
      <c r="G1322" s="114" t="s">
        <v>1572</v>
      </c>
      <c r="H1322" s="114" t="s">
        <v>1227</v>
      </c>
      <c r="I1322" s="114"/>
      <c r="J1322" s="114" t="b">
        <v>0</v>
      </c>
      <c r="K1322" s="114"/>
      <c r="L1322" s="114"/>
      <c r="M1322" s="114"/>
      <c r="N1322" s="114"/>
      <c r="O1322" s="114"/>
      <c r="P1322" s="114" t="s">
        <v>1485</v>
      </c>
      <c r="Q1322" s="114" t="s">
        <v>1228</v>
      </c>
    </row>
    <row r="1323" spans="2:17" hidden="1" outlineLevel="2">
      <c r="B1323" s="2" t="s">
        <v>876</v>
      </c>
      <c r="D1323" s="270">
        <v>2319</v>
      </c>
      <c r="E1323" s="112" t="s">
        <v>208</v>
      </c>
      <c r="F1323" s="112" t="s">
        <v>1801</v>
      </c>
      <c r="G1323" s="112" t="s">
        <v>1572</v>
      </c>
      <c r="H1323" s="112" t="s">
        <v>1227</v>
      </c>
      <c r="I1323" s="112"/>
      <c r="J1323" s="112" t="b">
        <v>0</v>
      </c>
      <c r="K1323" s="112"/>
      <c r="L1323" s="112"/>
      <c r="M1323" s="112"/>
      <c r="N1323" s="112"/>
      <c r="O1323" s="112"/>
      <c r="P1323" s="112" t="s">
        <v>1485</v>
      </c>
      <c r="Q1323" s="112" t="s">
        <v>1227</v>
      </c>
    </row>
    <row r="1324" spans="2:17" hidden="1" outlineLevel="2">
      <c r="B1324" s="2" t="s">
        <v>876</v>
      </c>
      <c r="D1324" s="268">
        <v>2320</v>
      </c>
      <c r="E1324" s="114" t="s">
        <v>208</v>
      </c>
      <c r="F1324" s="114" t="s">
        <v>1802</v>
      </c>
      <c r="G1324" s="114" t="s">
        <v>1572</v>
      </c>
      <c r="H1324" s="114" t="s">
        <v>1227</v>
      </c>
      <c r="I1324" s="114"/>
      <c r="J1324" s="114" t="b">
        <v>0</v>
      </c>
      <c r="K1324" s="114"/>
      <c r="L1324" s="114"/>
      <c r="M1324" s="114"/>
      <c r="N1324" s="114"/>
      <c r="O1324" s="114"/>
      <c r="P1324" s="114" t="s">
        <v>1485</v>
      </c>
      <c r="Q1324" s="114" t="s">
        <v>1227</v>
      </c>
    </row>
    <row r="1325" spans="2:17" hidden="1" outlineLevel="2">
      <c r="B1325" s="2" t="s">
        <v>876</v>
      </c>
      <c r="D1325" s="270">
        <v>2321</v>
      </c>
      <c r="E1325" s="112" t="s">
        <v>208</v>
      </c>
      <c r="F1325" s="112" t="s">
        <v>1803</v>
      </c>
      <c r="G1325" s="112" t="s">
        <v>1572</v>
      </c>
      <c r="H1325" s="112" t="s">
        <v>1227</v>
      </c>
      <c r="I1325" s="112"/>
      <c r="J1325" s="112" t="b">
        <v>0</v>
      </c>
      <c r="K1325" s="112"/>
      <c r="L1325" s="112"/>
      <c r="M1325" s="112"/>
      <c r="N1325" s="112"/>
      <c r="O1325" s="112"/>
      <c r="P1325" s="112" t="s">
        <v>1485</v>
      </c>
      <c r="Q1325" s="112" t="s">
        <v>1227</v>
      </c>
    </row>
    <row r="1326" spans="2:17" hidden="1" outlineLevel="2">
      <c r="B1326" s="2" t="s">
        <v>876</v>
      </c>
      <c r="D1326" s="268">
        <v>2322</v>
      </c>
      <c r="E1326" s="114" t="s">
        <v>208</v>
      </c>
      <c r="F1326" s="114" t="s">
        <v>1804</v>
      </c>
      <c r="G1326" s="114" t="s">
        <v>1572</v>
      </c>
      <c r="H1326" s="114" t="s">
        <v>1227</v>
      </c>
      <c r="I1326" s="114"/>
      <c r="J1326" s="114" t="b">
        <v>0</v>
      </c>
      <c r="K1326" s="114"/>
      <c r="L1326" s="114"/>
      <c r="M1326" s="114"/>
      <c r="N1326" s="114"/>
      <c r="O1326" s="114"/>
      <c r="P1326" s="114" t="s">
        <v>1485</v>
      </c>
      <c r="Q1326" s="114" t="s">
        <v>1227</v>
      </c>
    </row>
    <row r="1327" spans="2:17" hidden="1" outlineLevel="2">
      <c r="B1327" s="2" t="s">
        <v>876</v>
      </c>
      <c r="D1327" s="270">
        <v>2323</v>
      </c>
      <c r="E1327" s="112" t="s">
        <v>208</v>
      </c>
      <c r="F1327" s="112" t="s">
        <v>1805</v>
      </c>
      <c r="G1327" s="112" t="s">
        <v>1572</v>
      </c>
      <c r="H1327" s="112" t="s">
        <v>1227</v>
      </c>
      <c r="I1327" s="112"/>
      <c r="J1327" s="112" t="b">
        <v>0</v>
      </c>
      <c r="K1327" s="112"/>
      <c r="L1327" s="112"/>
      <c r="M1327" s="112"/>
      <c r="N1327" s="112"/>
      <c r="O1327" s="112"/>
      <c r="P1327" s="112" t="s">
        <v>1485</v>
      </c>
      <c r="Q1327" s="112" t="s">
        <v>1227</v>
      </c>
    </row>
    <row r="1328" spans="2:17" hidden="1" outlineLevel="2">
      <c r="B1328" s="2" t="s">
        <v>876</v>
      </c>
      <c r="D1328" s="268">
        <v>2324</v>
      </c>
      <c r="E1328" s="114" t="s">
        <v>208</v>
      </c>
      <c r="F1328" s="114" t="s">
        <v>1806</v>
      </c>
      <c r="G1328" s="114" t="s">
        <v>1572</v>
      </c>
      <c r="H1328" s="114" t="s">
        <v>1227</v>
      </c>
      <c r="I1328" s="114"/>
      <c r="J1328" s="114" t="b">
        <v>0</v>
      </c>
      <c r="K1328" s="114"/>
      <c r="L1328" s="114"/>
      <c r="M1328" s="114"/>
      <c r="N1328" s="114"/>
      <c r="O1328" s="114"/>
      <c r="P1328" s="114" t="s">
        <v>1485</v>
      </c>
      <c r="Q1328" s="114" t="s">
        <v>1228</v>
      </c>
    </row>
    <row r="1329" spans="2:17" hidden="1" outlineLevel="2">
      <c r="B1329" s="2" t="s">
        <v>876</v>
      </c>
      <c r="D1329" s="270">
        <v>2325</v>
      </c>
      <c r="E1329" s="112" t="s">
        <v>208</v>
      </c>
      <c r="F1329" s="112" t="s">
        <v>1807</v>
      </c>
      <c r="G1329" s="112" t="s">
        <v>1572</v>
      </c>
      <c r="H1329" s="112" t="s">
        <v>1227</v>
      </c>
      <c r="I1329" s="112"/>
      <c r="J1329" s="112" t="b">
        <v>0</v>
      </c>
      <c r="K1329" s="112" t="s">
        <v>1484</v>
      </c>
      <c r="L1329" s="112" t="b">
        <v>1</v>
      </c>
      <c r="M1329" s="112"/>
      <c r="N1329" s="112"/>
      <c r="O1329" s="112"/>
      <c r="P1329" s="112" t="s">
        <v>1485</v>
      </c>
      <c r="Q1329" s="112" t="s">
        <v>1227</v>
      </c>
    </row>
    <row r="1330" spans="2:17" hidden="1" outlineLevel="2">
      <c r="B1330" s="2" t="s">
        <v>876</v>
      </c>
      <c r="D1330" s="268">
        <v>2326</v>
      </c>
      <c r="E1330" s="114" t="s">
        <v>208</v>
      </c>
      <c r="F1330" s="114" t="s">
        <v>1808</v>
      </c>
      <c r="G1330" s="114" t="s">
        <v>1493</v>
      </c>
      <c r="H1330" s="114" t="s">
        <v>1505</v>
      </c>
      <c r="I1330" s="114"/>
      <c r="J1330" s="114" t="b">
        <v>0</v>
      </c>
      <c r="K1330" s="114"/>
      <c r="L1330" s="114"/>
      <c r="M1330" s="114"/>
      <c r="N1330" s="114"/>
      <c r="O1330" s="114"/>
      <c r="P1330" s="114" t="s">
        <v>1485</v>
      </c>
      <c r="Q1330" s="114" t="s">
        <v>1228</v>
      </c>
    </row>
    <row r="1331" spans="2:17" hidden="1" outlineLevel="2">
      <c r="B1331" s="2" t="s">
        <v>876</v>
      </c>
      <c r="D1331" s="270">
        <v>2327</v>
      </c>
      <c r="E1331" s="112" t="s">
        <v>208</v>
      </c>
      <c r="F1331" s="112" t="s">
        <v>1809</v>
      </c>
      <c r="G1331" s="112" t="s">
        <v>1572</v>
      </c>
      <c r="H1331" s="112" t="s">
        <v>1227</v>
      </c>
      <c r="I1331" s="112"/>
      <c r="J1331" s="112" t="b">
        <v>0</v>
      </c>
      <c r="K1331" s="112"/>
      <c r="L1331" s="112"/>
      <c r="M1331" s="112"/>
      <c r="N1331" s="112"/>
      <c r="O1331" s="112"/>
      <c r="P1331" s="112" t="s">
        <v>1485</v>
      </c>
      <c r="Q1331" s="112" t="s">
        <v>1227</v>
      </c>
    </row>
    <row r="1332" spans="2:17" hidden="1" outlineLevel="2">
      <c r="B1332" s="2" t="s">
        <v>876</v>
      </c>
      <c r="D1332" s="268">
        <v>2328</v>
      </c>
      <c r="E1332" s="114" t="s">
        <v>208</v>
      </c>
      <c r="F1332" s="114" t="s">
        <v>1810</v>
      </c>
      <c r="G1332" s="114" t="s">
        <v>1512</v>
      </c>
      <c r="H1332" s="114" t="s">
        <v>1505</v>
      </c>
      <c r="I1332" s="114"/>
      <c r="J1332" s="114" t="b">
        <v>0</v>
      </c>
      <c r="K1332" s="114" t="s">
        <v>1484</v>
      </c>
      <c r="L1332" s="114" t="b">
        <v>1</v>
      </c>
      <c r="M1332" s="114"/>
      <c r="N1332" s="114"/>
      <c r="O1332" s="114"/>
      <c r="P1332" s="114" t="s">
        <v>1485</v>
      </c>
      <c r="Q1332" s="114" t="s">
        <v>1228</v>
      </c>
    </row>
    <row r="1333" spans="2:17" hidden="1" outlineLevel="2">
      <c r="B1333" s="2" t="s">
        <v>876</v>
      </c>
      <c r="D1333" s="270">
        <v>2329</v>
      </c>
      <c r="E1333" s="112" t="s">
        <v>208</v>
      </c>
      <c r="F1333" s="112" t="s">
        <v>1811</v>
      </c>
      <c r="G1333" s="112" t="s">
        <v>1512</v>
      </c>
      <c r="H1333" s="112" t="s">
        <v>1505</v>
      </c>
      <c r="I1333" s="112"/>
      <c r="J1333" s="112" t="b">
        <v>0</v>
      </c>
      <c r="K1333" s="112"/>
      <c r="L1333" s="112"/>
      <c r="M1333" s="112"/>
      <c r="N1333" s="112"/>
      <c r="O1333" s="112"/>
      <c r="P1333" s="112" t="s">
        <v>1485</v>
      </c>
      <c r="Q1333" s="112" t="s">
        <v>1228</v>
      </c>
    </row>
    <row r="1334" spans="2:17" hidden="1" outlineLevel="2">
      <c r="B1334" s="2" t="s">
        <v>876</v>
      </c>
      <c r="D1334" s="268">
        <v>2330</v>
      </c>
      <c r="E1334" s="114" t="s">
        <v>208</v>
      </c>
      <c r="F1334" s="114" t="s">
        <v>1812</v>
      </c>
      <c r="G1334" s="114" t="s">
        <v>1483</v>
      </c>
      <c r="H1334" s="114" t="s">
        <v>1494</v>
      </c>
      <c r="I1334" s="114"/>
      <c r="J1334" s="114" t="b">
        <v>0</v>
      </c>
      <c r="K1334" s="114" t="s">
        <v>1484</v>
      </c>
      <c r="L1334" s="114" t="b">
        <v>1</v>
      </c>
      <c r="M1334" s="114"/>
      <c r="N1334" s="114"/>
      <c r="O1334" s="114"/>
      <c r="P1334" s="114" t="s">
        <v>1485</v>
      </c>
      <c r="Q1334" s="114" t="s">
        <v>1228</v>
      </c>
    </row>
    <row r="1335" spans="2:17" hidden="1" outlineLevel="2">
      <c r="B1335" s="2" t="s">
        <v>876</v>
      </c>
      <c r="D1335" s="270">
        <v>2333</v>
      </c>
      <c r="E1335" s="112" t="s">
        <v>208</v>
      </c>
      <c r="F1335" s="112" t="s">
        <v>1813</v>
      </c>
      <c r="G1335" s="112" t="s">
        <v>1493</v>
      </c>
      <c r="H1335" s="112" t="s">
        <v>1505</v>
      </c>
      <c r="I1335" s="112"/>
      <c r="J1335" s="112" t="b">
        <v>0</v>
      </c>
      <c r="K1335" s="112" t="s">
        <v>1484</v>
      </c>
      <c r="L1335" s="112" t="b">
        <v>1</v>
      </c>
      <c r="M1335" s="112"/>
      <c r="N1335" s="112"/>
      <c r="O1335" s="112"/>
      <c r="P1335" s="112" t="s">
        <v>1485</v>
      </c>
      <c r="Q1335" s="112" t="s">
        <v>1228</v>
      </c>
    </row>
    <row r="1336" spans="2:17" hidden="1" outlineLevel="2">
      <c r="B1336" s="2" t="s">
        <v>876</v>
      </c>
      <c r="D1336" s="268">
        <v>2334</v>
      </c>
      <c r="E1336" s="114" t="s">
        <v>208</v>
      </c>
      <c r="F1336" s="114" t="s">
        <v>1814</v>
      </c>
      <c r="G1336" s="114" t="s">
        <v>1483</v>
      </c>
      <c r="H1336" s="114" t="s">
        <v>1494</v>
      </c>
      <c r="I1336" s="114"/>
      <c r="J1336" s="114" t="b">
        <v>0</v>
      </c>
      <c r="K1336" s="114"/>
      <c r="L1336" s="114"/>
      <c r="M1336" s="114"/>
      <c r="N1336" s="114"/>
      <c r="O1336" s="114"/>
      <c r="P1336" s="114" t="s">
        <v>1485</v>
      </c>
      <c r="Q1336" s="114" t="s">
        <v>1228</v>
      </c>
    </row>
    <row r="1337" spans="2:17" hidden="1" outlineLevel="2">
      <c r="B1337" s="2" t="s">
        <v>876</v>
      </c>
      <c r="D1337" s="270">
        <v>2335</v>
      </c>
      <c r="E1337" s="112" t="s">
        <v>208</v>
      </c>
      <c r="F1337" s="112" t="s">
        <v>1815</v>
      </c>
      <c r="G1337" s="112" t="s">
        <v>1483</v>
      </c>
      <c r="H1337" s="112" t="s">
        <v>1494</v>
      </c>
      <c r="I1337" s="112"/>
      <c r="J1337" s="112" t="b">
        <v>0</v>
      </c>
      <c r="K1337" s="112"/>
      <c r="L1337" s="112"/>
      <c r="M1337" s="112"/>
      <c r="N1337" s="112"/>
      <c r="O1337" s="112"/>
      <c r="P1337" s="112" t="s">
        <v>1485</v>
      </c>
      <c r="Q1337" s="112" t="s">
        <v>1228</v>
      </c>
    </row>
    <row r="1338" spans="2:17" hidden="1" outlineLevel="2">
      <c r="B1338" s="2" t="s">
        <v>876</v>
      </c>
      <c r="D1338" s="268">
        <v>2336</v>
      </c>
      <c r="E1338" s="114" t="s">
        <v>208</v>
      </c>
      <c r="F1338" s="114" t="s">
        <v>1816</v>
      </c>
      <c r="G1338" s="114" t="s">
        <v>1493</v>
      </c>
      <c r="H1338" s="114" t="s">
        <v>1505</v>
      </c>
      <c r="I1338" s="114"/>
      <c r="J1338" s="114" t="b">
        <v>0</v>
      </c>
      <c r="K1338" s="114"/>
      <c r="L1338" s="114"/>
      <c r="M1338" s="114"/>
      <c r="N1338" s="114"/>
      <c r="O1338" s="114"/>
      <c r="P1338" s="114" t="s">
        <v>1485</v>
      </c>
      <c r="Q1338" s="114" t="s">
        <v>1228</v>
      </c>
    </row>
    <row r="1339" spans="2:17" hidden="1" outlineLevel="2">
      <c r="B1339" s="2" t="s">
        <v>876</v>
      </c>
      <c r="D1339" s="270">
        <v>2337</v>
      </c>
      <c r="E1339" s="112" t="s">
        <v>208</v>
      </c>
      <c r="F1339" s="112" t="s">
        <v>1817</v>
      </c>
      <c r="G1339" s="112" t="s">
        <v>1493</v>
      </c>
      <c r="H1339" s="112" t="s">
        <v>1505</v>
      </c>
      <c r="I1339" s="112"/>
      <c r="J1339" s="112" t="b">
        <v>0</v>
      </c>
      <c r="K1339" s="112"/>
      <c r="L1339" s="112"/>
      <c r="M1339" s="112"/>
      <c r="N1339" s="112"/>
      <c r="O1339" s="112"/>
      <c r="P1339" s="112" t="s">
        <v>1485</v>
      </c>
      <c r="Q1339" s="112" t="s">
        <v>1228</v>
      </c>
    </row>
    <row r="1340" spans="2:17" hidden="1" outlineLevel="2">
      <c r="B1340" s="2" t="s">
        <v>876</v>
      </c>
      <c r="D1340" s="268">
        <v>2338</v>
      </c>
      <c r="E1340" s="114" t="s">
        <v>208</v>
      </c>
      <c r="F1340" s="114" t="s">
        <v>1818</v>
      </c>
      <c r="G1340" s="114" t="s">
        <v>1512</v>
      </c>
      <c r="H1340" s="114" t="s">
        <v>1505</v>
      </c>
      <c r="I1340" s="114"/>
      <c r="J1340" s="114" t="b">
        <v>0</v>
      </c>
      <c r="K1340" s="114"/>
      <c r="L1340" s="114"/>
      <c r="M1340" s="114"/>
      <c r="N1340" s="114"/>
      <c r="O1340" s="114"/>
      <c r="P1340" s="114" t="s">
        <v>1485</v>
      </c>
      <c r="Q1340" s="114" t="s">
        <v>1228</v>
      </c>
    </row>
    <row r="1341" spans="2:17" hidden="1" outlineLevel="2">
      <c r="B1341" s="2" t="s">
        <v>876</v>
      </c>
      <c r="D1341" s="270">
        <v>2339</v>
      </c>
      <c r="E1341" s="112" t="s">
        <v>208</v>
      </c>
      <c r="F1341" s="112" t="s">
        <v>1819</v>
      </c>
      <c r="G1341" s="221" t="s">
        <v>1512</v>
      </c>
      <c r="H1341" s="112" t="s">
        <v>1505</v>
      </c>
      <c r="I1341" s="112"/>
      <c r="J1341" s="112" t="b">
        <v>0</v>
      </c>
      <c r="K1341" s="112"/>
      <c r="L1341" s="112"/>
      <c r="M1341" s="112"/>
      <c r="N1341" s="112"/>
      <c r="O1341" s="112"/>
      <c r="P1341" s="112" t="s">
        <v>1485</v>
      </c>
      <c r="Q1341" s="112" t="s">
        <v>1228</v>
      </c>
    </row>
    <row r="1342" spans="2:17" hidden="1" outlineLevel="2">
      <c r="B1342" s="2" t="s">
        <v>876</v>
      </c>
      <c r="D1342" s="268">
        <v>2340</v>
      </c>
      <c r="E1342" s="114" t="s">
        <v>208</v>
      </c>
      <c r="F1342" s="114" t="s">
        <v>1820</v>
      </c>
      <c r="G1342" s="114" t="s">
        <v>1483</v>
      </c>
      <c r="H1342" s="114" t="s">
        <v>1494</v>
      </c>
      <c r="I1342" s="114"/>
      <c r="J1342" s="114" t="b">
        <v>0</v>
      </c>
      <c r="K1342" s="114"/>
      <c r="L1342" s="114"/>
      <c r="M1342" s="114"/>
      <c r="N1342" s="114"/>
      <c r="O1342" s="114"/>
      <c r="P1342" s="114" t="s">
        <v>1485</v>
      </c>
      <c r="Q1342" s="114" t="s">
        <v>1228</v>
      </c>
    </row>
    <row r="1343" spans="2:17" hidden="1" outlineLevel="2">
      <c r="B1343" s="2" t="s">
        <v>876</v>
      </c>
      <c r="D1343" s="270">
        <v>2341</v>
      </c>
      <c r="E1343" s="112" t="s">
        <v>208</v>
      </c>
      <c r="F1343" s="112" t="s">
        <v>1821</v>
      </c>
      <c r="G1343" s="112" t="s">
        <v>1512</v>
      </c>
      <c r="H1343" s="112" t="s">
        <v>1505</v>
      </c>
      <c r="I1343" s="112"/>
      <c r="J1343" s="112" t="b">
        <v>0</v>
      </c>
      <c r="K1343" s="112"/>
      <c r="L1343" s="112"/>
      <c r="M1343" s="112"/>
      <c r="N1343" s="112"/>
      <c r="O1343" s="112"/>
      <c r="P1343" s="112" t="s">
        <v>1485</v>
      </c>
      <c r="Q1343" s="112" t="s">
        <v>1228</v>
      </c>
    </row>
    <row r="1344" spans="2:17" hidden="1" outlineLevel="2">
      <c r="B1344" s="2" t="s">
        <v>876</v>
      </c>
      <c r="D1344" s="268">
        <v>2342</v>
      </c>
      <c r="E1344" s="114" t="s">
        <v>208</v>
      </c>
      <c r="F1344" s="114" t="s">
        <v>1822</v>
      </c>
      <c r="G1344" s="114" t="s">
        <v>1512</v>
      </c>
      <c r="H1344" s="114" t="s">
        <v>1505</v>
      </c>
      <c r="I1344" s="114"/>
      <c r="J1344" s="114" t="b">
        <v>0</v>
      </c>
      <c r="K1344" s="114"/>
      <c r="L1344" s="114"/>
      <c r="M1344" s="114"/>
      <c r="N1344" s="114"/>
      <c r="O1344" s="114"/>
      <c r="P1344" s="114" t="s">
        <v>1485</v>
      </c>
      <c r="Q1344" s="114" t="s">
        <v>1228</v>
      </c>
    </row>
    <row r="1345" spans="2:17" hidden="1" outlineLevel="2">
      <c r="B1345" s="2" t="s">
        <v>876</v>
      </c>
      <c r="D1345" s="270">
        <v>2343</v>
      </c>
      <c r="E1345" s="112" t="s">
        <v>208</v>
      </c>
      <c r="F1345" s="112" t="s">
        <v>1823</v>
      </c>
      <c r="G1345" s="112" t="s">
        <v>1493</v>
      </c>
      <c r="H1345" s="112" t="s">
        <v>1505</v>
      </c>
      <c r="I1345" s="112"/>
      <c r="J1345" s="112" t="b">
        <v>0</v>
      </c>
      <c r="K1345" s="112" t="s">
        <v>1484</v>
      </c>
      <c r="L1345" s="112" t="b">
        <v>1</v>
      </c>
      <c r="M1345" s="112"/>
      <c r="N1345" s="112"/>
      <c r="O1345" s="112"/>
      <c r="P1345" s="112" t="s">
        <v>1485</v>
      </c>
      <c r="Q1345" s="112" t="s">
        <v>1228</v>
      </c>
    </row>
    <row r="1346" spans="2:17" hidden="1" outlineLevel="2">
      <c r="B1346" s="2" t="s">
        <v>876</v>
      </c>
      <c r="D1346" s="268">
        <v>2344</v>
      </c>
      <c r="E1346" s="114" t="s">
        <v>208</v>
      </c>
      <c r="F1346" s="114" t="s">
        <v>1824</v>
      </c>
      <c r="G1346" s="114" t="s">
        <v>1512</v>
      </c>
      <c r="H1346" s="114" t="s">
        <v>1512</v>
      </c>
      <c r="I1346" s="114"/>
      <c r="J1346" s="114" t="b">
        <v>0</v>
      </c>
      <c r="K1346" s="114"/>
      <c r="L1346" s="114"/>
      <c r="M1346" s="114"/>
      <c r="N1346" s="114"/>
      <c r="O1346" s="114"/>
      <c r="P1346" s="114" t="s">
        <v>1485</v>
      </c>
      <c r="Q1346" s="114" t="s">
        <v>1228</v>
      </c>
    </row>
    <row r="1347" spans="2:17" hidden="1" outlineLevel="2">
      <c r="B1347" s="2" t="s">
        <v>876</v>
      </c>
      <c r="D1347" s="270">
        <v>2345</v>
      </c>
      <c r="E1347" s="112" t="s">
        <v>208</v>
      </c>
      <c r="F1347" s="112" t="s">
        <v>1825</v>
      </c>
      <c r="G1347" s="112" t="s">
        <v>1512</v>
      </c>
      <c r="H1347" s="112" t="s">
        <v>1505</v>
      </c>
      <c r="I1347" s="112"/>
      <c r="J1347" s="112" t="b">
        <v>0</v>
      </c>
      <c r="K1347" s="112"/>
      <c r="L1347" s="112"/>
      <c r="M1347" s="112"/>
      <c r="N1347" s="112"/>
      <c r="O1347" s="112"/>
      <c r="P1347" s="112" t="s">
        <v>1485</v>
      </c>
      <c r="Q1347" s="112" t="s">
        <v>1228</v>
      </c>
    </row>
    <row r="1348" spans="2:17" hidden="1" outlineLevel="2">
      <c r="B1348" s="2" t="s">
        <v>876</v>
      </c>
      <c r="D1348" s="268">
        <v>2346</v>
      </c>
      <c r="E1348" s="114" t="s">
        <v>208</v>
      </c>
      <c r="F1348" s="114" t="s">
        <v>1826</v>
      </c>
      <c r="G1348" s="114" t="s">
        <v>1493</v>
      </c>
      <c r="H1348" s="114" t="s">
        <v>1505</v>
      </c>
      <c r="I1348" s="114"/>
      <c r="J1348" s="114" t="b">
        <v>0</v>
      </c>
      <c r="K1348" s="114"/>
      <c r="L1348" s="114"/>
      <c r="M1348" s="114"/>
      <c r="N1348" s="114"/>
      <c r="O1348" s="114"/>
      <c r="P1348" s="114" t="s">
        <v>1485</v>
      </c>
      <c r="Q1348" s="114" t="s">
        <v>1228</v>
      </c>
    </row>
    <row r="1349" spans="2:17" hidden="1" outlineLevel="2">
      <c r="B1349" s="2" t="s">
        <v>876</v>
      </c>
      <c r="D1349" s="270">
        <v>2347</v>
      </c>
      <c r="E1349" s="112" t="s">
        <v>208</v>
      </c>
      <c r="F1349" s="112" t="s">
        <v>1827</v>
      </c>
      <c r="G1349" s="112" t="s">
        <v>1512</v>
      </c>
      <c r="H1349" s="112" t="s">
        <v>1505</v>
      </c>
      <c r="I1349" s="112"/>
      <c r="J1349" s="112" t="b">
        <v>0</v>
      </c>
      <c r="K1349" s="112"/>
      <c r="L1349" s="112" t="b">
        <v>1</v>
      </c>
      <c r="M1349" s="112"/>
      <c r="N1349" s="112"/>
      <c r="O1349" s="112"/>
      <c r="P1349" s="112" t="s">
        <v>1485</v>
      </c>
      <c r="Q1349" s="112" t="s">
        <v>1228</v>
      </c>
    </row>
    <row r="1350" spans="2:17" hidden="1" outlineLevel="2">
      <c r="B1350" s="2" t="s">
        <v>876</v>
      </c>
      <c r="D1350" s="268">
        <v>2350</v>
      </c>
      <c r="E1350" s="114" t="s">
        <v>208</v>
      </c>
      <c r="F1350" s="114" t="s">
        <v>1828</v>
      </c>
      <c r="G1350" s="114" t="s">
        <v>1483</v>
      </c>
      <c r="H1350" s="114" t="s">
        <v>1494</v>
      </c>
      <c r="I1350" s="114"/>
      <c r="J1350" s="114" t="b">
        <v>0</v>
      </c>
      <c r="K1350" s="114"/>
      <c r="L1350" s="114"/>
      <c r="M1350" s="114"/>
      <c r="N1350" s="114"/>
      <c r="O1350" s="114"/>
      <c r="P1350" s="114" t="s">
        <v>1485</v>
      </c>
      <c r="Q1350" s="114" t="s">
        <v>1228</v>
      </c>
    </row>
    <row r="1351" spans="2:17" hidden="1" outlineLevel="2">
      <c r="B1351" s="2" t="s">
        <v>876</v>
      </c>
      <c r="D1351" s="270">
        <v>2352</v>
      </c>
      <c r="E1351" s="112" t="s">
        <v>208</v>
      </c>
      <c r="F1351" s="112" t="s">
        <v>1829</v>
      </c>
      <c r="G1351" s="112" t="s">
        <v>1493</v>
      </c>
      <c r="H1351" s="112" t="s">
        <v>1505</v>
      </c>
      <c r="I1351" s="112"/>
      <c r="J1351" s="112" t="b">
        <v>0</v>
      </c>
      <c r="K1351" s="112"/>
      <c r="L1351" s="112"/>
      <c r="M1351" s="112"/>
      <c r="N1351" s="112"/>
      <c r="O1351" s="112"/>
      <c r="P1351" s="112" t="s">
        <v>1485</v>
      </c>
      <c r="Q1351" s="112" t="s">
        <v>1228</v>
      </c>
    </row>
    <row r="1352" spans="2:17" hidden="1" outlineLevel="2">
      <c r="B1352" s="2" t="s">
        <v>876</v>
      </c>
      <c r="D1352" s="268">
        <v>2353</v>
      </c>
      <c r="E1352" s="114" t="s">
        <v>208</v>
      </c>
      <c r="F1352" s="114" t="s">
        <v>1830</v>
      </c>
      <c r="G1352" s="114" t="s">
        <v>1512</v>
      </c>
      <c r="H1352" s="114" t="s">
        <v>1512</v>
      </c>
      <c r="I1352" s="114"/>
      <c r="J1352" s="114" t="b">
        <v>0</v>
      </c>
      <c r="K1352" s="114"/>
      <c r="L1352" s="114"/>
      <c r="M1352" s="114"/>
      <c r="N1352" s="114"/>
      <c r="O1352" s="114"/>
      <c r="P1352" s="114" t="s">
        <v>1485</v>
      </c>
      <c r="Q1352" s="114" t="s">
        <v>1228</v>
      </c>
    </row>
    <row r="1353" spans="2:17" hidden="1" outlineLevel="2">
      <c r="B1353" s="2" t="s">
        <v>876</v>
      </c>
      <c r="D1353" s="270">
        <v>2354</v>
      </c>
      <c r="E1353" s="112" t="s">
        <v>208</v>
      </c>
      <c r="F1353" s="112" t="s">
        <v>1831</v>
      </c>
      <c r="G1353" s="112" t="s">
        <v>1493</v>
      </c>
      <c r="H1353" s="112" t="s">
        <v>1505</v>
      </c>
      <c r="I1353" s="112"/>
      <c r="J1353" s="112" t="b">
        <v>0</v>
      </c>
      <c r="K1353" s="112"/>
      <c r="L1353" s="112" t="b">
        <v>1</v>
      </c>
      <c r="M1353" s="112"/>
      <c r="N1353" s="112"/>
      <c r="O1353" s="112"/>
      <c r="P1353" s="112" t="s">
        <v>1485</v>
      </c>
      <c r="Q1353" s="112" t="s">
        <v>1228</v>
      </c>
    </row>
    <row r="1354" spans="2:17" hidden="1" outlineLevel="2">
      <c r="B1354" s="2" t="s">
        <v>876</v>
      </c>
      <c r="D1354" s="268">
        <v>2355</v>
      </c>
      <c r="E1354" s="114" t="s">
        <v>208</v>
      </c>
      <c r="F1354" s="114" t="s">
        <v>1832</v>
      </c>
      <c r="G1354" s="114" t="s">
        <v>1512</v>
      </c>
      <c r="H1354" s="114" t="s">
        <v>1505</v>
      </c>
      <c r="I1354" s="114"/>
      <c r="J1354" s="114" t="b">
        <v>0</v>
      </c>
      <c r="K1354" s="114"/>
      <c r="L1354" s="114"/>
      <c r="M1354" s="114"/>
      <c r="N1354" s="114"/>
      <c r="O1354" s="114"/>
      <c r="P1354" s="114" t="s">
        <v>1485</v>
      </c>
      <c r="Q1354" s="114" t="s">
        <v>1228</v>
      </c>
    </row>
    <row r="1355" spans="2:17" hidden="1" outlineLevel="2">
      <c r="B1355" s="2" t="s">
        <v>876</v>
      </c>
      <c r="D1355" s="270">
        <v>2356</v>
      </c>
      <c r="E1355" s="112" t="s">
        <v>208</v>
      </c>
      <c r="F1355" s="112" t="s">
        <v>1833</v>
      </c>
      <c r="G1355" s="112" t="s">
        <v>1512</v>
      </c>
      <c r="H1355" s="112" t="s">
        <v>1505</v>
      </c>
      <c r="I1355" s="112"/>
      <c r="J1355" s="112" t="b">
        <v>0</v>
      </c>
      <c r="K1355" s="112"/>
      <c r="L1355" s="112"/>
      <c r="M1355" s="112"/>
      <c r="N1355" s="112"/>
      <c r="O1355" s="112"/>
      <c r="P1355" s="112" t="s">
        <v>1485</v>
      </c>
      <c r="Q1355" s="112" t="s">
        <v>1228</v>
      </c>
    </row>
    <row r="1356" spans="2:17" hidden="1" outlineLevel="2">
      <c r="B1356" s="2" t="s">
        <v>876</v>
      </c>
      <c r="D1356" s="268">
        <v>2357</v>
      </c>
      <c r="E1356" s="114" t="s">
        <v>208</v>
      </c>
      <c r="F1356" s="114" t="s">
        <v>1834</v>
      </c>
      <c r="G1356" s="269" t="s">
        <v>1493</v>
      </c>
      <c r="H1356" s="114" t="s">
        <v>1505</v>
      </c>
      <c r="I1356" s="114"/>
      <c r="J1356" s="114" t="b">
        <v>0</v>
      </c>
      <c r="K1356" s="114"/>
      <c r="L1356" s="114"/>
      <c r="M1356" s="114"/>
      <c r="N1356" s="114"/>
      <c r="O1356" s="114"/>
      <c r="P1356" s="114" t="s">
        <v>1485</v>
      </c>
      <c r="Q1356" s="114" t="s">
        <v>1228</v>
      </c>
    </row>
    <row r="1357" spans="2:17" hidden="1" outlineLevel="2">
      <c r="B1357" s="2" t="s">
        <v>876</v>
      </c>
      <c r="D1357" s="270">
        <v>2358</v>
      </c>
      <c r="E1357" s="112" t="s">
        <v>208</v>
      </c>
      <c r="F1357" s="112" t="s">
        <v>1835</v>
      </c>
      <c r="G1357" s="112" t="s">
        <v>1493</v>
      </c>
      <c r="H1357" s="112" t="s">
        <v>1505</v>
      </c>
      <c r="I1357" s="112"/>
      <c r="J1357" s="112" t="b">
        <v>0</v>
      </c>
      <c r="K1357" s="112"/>
      <c r="L1357" s="112"/>
      <c r="M1357" s="112"/>
      <c r="N1357" s="112"/>
      <c r="O1357" s="112"/>
      <c r="P1357" s="112" t="s">
        <v>1485</v>
      </c>
      <c r="Q1357" s="112" t="s">
        <v>1228</v>
      </c>
    </row>
    <row r="1358" spans="2:17" hidden="1" outlineLevel="2">
      <c r="B1358" s="2" t="s">
        <v>876</v>
      </c>
      <c r="D1358" s="268">
        <v>2359</v>
      </c>
      <c r="E1358" s="114" t="s">
        <v>208</v>
      </c>
      <c r="F1358" s="114" t="s">
        <v>1816</v>
      </c>
      <c r="G1358" s="114" t="s">
        <v>1512</v>
      </c>
      <c r="H1358" s="114" t="s">
        <v>1512</v>
      </c>
      <c r="I1358" s="114"/>
      <c r="J1358" s="114" t="b">
        <v>0</v>
      </c>
      <c r="K1358" s="114"/>
      <c r="L1358" s="114" t="b">
        <v>1</v>
      </c>
      <c r="M1358" s="114"/>
      <c r="N1358" s="114"/>
      <c r="O1358" s="114"/>
      <c r="P1358" s="114" t="s">
        <v>1485</v>
      </c>
      <c r="Q1358" s="114" t="s">
        <v>1228</v>
      </c>
    </row>
    <row r="1359" spans="2:17" hidden="1" outlineLevel="2">
      <c r="B1359" s="2" t="s">
        <v>876</v>
      </c>
      <c r="D1359" s="270">
        <v>2360</v>
      </c>
      <c r="E1359" s="112" t="s">
        <v>208</v>
      </c>
      <c r="F1359" s="112" t="s">
        <v>1836</v>
      </c>
      <c r="G1359" s="112" t="s">
        <v>1512</v>
      </c>
      <c r="H1359" s="112" t="s">
        <v>1505</v>
      </c>
      <c r="I1359" s="112"/>
      <c r="J1359" s="112" t="b">
        <v>0</v>
      </c>
      <c r="K1359" s="112" t="s">
        <v>1484</v>
      </c>
      <c r="L1359" s="112" t="b">
        <v>1</v>
      </c>
      <c r="M1359" s="112"/>
      <c r="N1359" s="112"/>
      <c r="O1359" s="112"/>
      <c r="P1359" s="112" t="s">
        <v>1485</v>
      </c>
      <c r="Q1359" s="112" t="s">
        <v>1228</v>
      </c>
    </row>
    <row r="1360" spans="2:17" hidden="1" outlineLevel="2">
      <c r="B1360" s="2" t="s">
        <v>876</v>
      </c>
      <c r="D1360" s="270">
        <v>2360</v>
      </c>
      <c r="E1360" s="112" t="s">
        <v>208</v>
      </c>
      <c r="F1360" s="112" t="s">
        <v>7852</v>
      </c>
      <c r="G1360" s="112" t="s">
        <v>1512</v>
      </c>
      <c r="H1360" s="112" t="s">
        <v>1505</v>
      </c>
      <c r="I1360" s="112"/>
      <c r="J1360" s="112" t="b">
        <v>0</v>
      </c>
      <c r="K1360" s="112" t="s">
        <v>1484</v>
      </c>
      <c r="L1360" s="112" t="b">
        <v>1</v>
      </c>
      <c r="M1360" s="112"/>
      <c r="N1360" s="112"/>
      <c r="O1360" s="112"/>
      <c r="P1360" s="112" t="s">
        <v>1485</v>
      </c>
      <c r="Q1360" s="112" t="s">
        <v>1228</v>
      </c>
    </row>
    <row r="1361" spans="2:17" hidden="1" outlineLevel="2">
      <c r="B1361" s="2" t="s">
        <v>876</v>
      </c>
      <c r="D1361" s="270">
        <v>2360</v>
      </c>
      <c r="E1361" s="112" t="s">
        <v>208</v>
      </c>
      <c r="F1361" s="112" t="s">
        <v>7853</v>
      </c>
      <c r="G1361" s="112" t="s">
        <v>1512</v>
      </c>
      <c r="H1361" s="112" t="s">
        <v>1505</v>
      </c>
      <c r="I1361" s="112"/>
      <c r="J1361" s="112" t="b">
        <v>0</v>
      </c>
      <c r="K1361" s="112" t="s">
        <v>1484</v>
      </c>
      <c r="L1361" s="112" t="b">
        <v>1</v>
      </c>
      <c r="M1361" s="112"/>
      <c r="N1361" s="112"/>
      <c r="O1361" s="112"/>
      <c r="P1361" s="112" t="s">
        <v>1485</v>
      </c>
      <c r="Q1361" s="112" t="s">
        <v>1228</v>
      </c>
    </row>
    <row r="1362" spans="2:17" hidden="1" outlineLevel="2">
      <c r="B1362" s="2" t="s">
        <v>876</v>
      </c>
      <c r="D1362" s="270">
        <v>2360</v>
      </c>
      <c r="E1362" s="112" t="s">
        <v>208</v>
      </c>
      <c r="F1362" s="112" t="s">
        <v>7854</v>
      </c>
      <c r="G1362" s="112" t="s">
        <v>1512</v>
      </c>
      <c r="H1362" s="112" t="s">
        <v>1505</v>
      </c>
      <c r="I1362" s="112"/>
      <c r="J1362" s="112" t="b">
        <v>0</v>
      </c>
      <c r="K1362" s="112" t="s">
        <v>1484</v>
      </c>
      <c r="L1362" s="112" t="b">
        <v>1</v>
      </c>
      <c r="M1362" s="112"/>
      <c r="N1362" s="112"/>
      <c r="O1362" s="112"/>
      <c r="P1362" s="112" t="s">
        <v>1485</v>
      </c>
      <c r="Q1362" s="112" t="s">
        <v>1228</v>
      </c>
    </row>
    <row r="1363" spans="2:17" hidden="1" outlineLevel="2">
      <c r="B1363" s="2" t="s">
        <v>876</v>
      </c>
      <c r="D1363" s="270">
        <v>2360</v>
      </c>
      <c r="E1363" s="112" t="s">
        <v>208</v>
      </c>
      <c r="F1363" s="112" t="s">
        <v>7855</v>
      </c>
      <c r="G1363" s="112" t="s">
        <v>1512</v>
      </c>
      <c r="H1363" s="112" t="s">
        <v>1505</v>
      </c>
      <c r="I1363" s="112"/>
      <c r="J1363" s="112" t="b">
        <v>0</v>
      </c>
      <c r="K1363" s="112" t="s">
        <v>1484</v>
      </c>
      <c r="L1363" s="112" t="b">
        <v>1</v>
      </c>
      <c r="M1363" s="112"/>
      <c r="N1363" s="112"/>
      <c r="O1363" s="112"/>
      <c r="P1363" s="112" t="s">
        <v>1485</v>
      </c>
      <c r="Q1363" s="112" t="s">
        <v>1228</v>
      </c>
    </row>
    <row r="1364" spans="2:17" hidden="1" outlineLevel="2">
      <c r="B1364" s="2" t="s">
        <v>876</v>
      </c>
      <c r="D1364" s="270">
        <v>2360</v>
      </c>
      <c r="E1364" s="112" t="s">
        <v>208</v>
      </c>
      <c r="F1364" s="112" t="s">
        <v>7856</v>
      </c>
      <c r="G1364" s="112" t="s">
        <v>1512</v>
      </c>
      <c r="H1364" s="112" t="s">
        <v>1505</v>
      </c>
      <c r="I1364" s="112"/>
      <c r="J1364" s="112" t="b">
        <v>0</v>
      </c>
      <c r="K1364" s="112" t="s">
        <v>1484</v>
      </c>
      <c r="L1364" s="112" t="b">
        <v>1</v>
      </c>
      <c r="M1364" s="112"/>
      <c r="N1364" s="112"/>
      <c r="O1364" s="112"/>
      <c r="P1364" s="112" t="s">
        <v>1485</v>
      </c>
      <c r="Q1364" s="112" t="s">
        <v>1228</v>
      </c>
    </row>
    <row r="1365" spans="2:17" hidden="1" outlineLevel="2">
      <c r="B1365" s="2" t="s">
        <v>876</v>
      </c>
      <c r="D1365" s="270">
        <v>2360</v>
      </c>
      <c r="E1365" s="112" t="s">
        <v>208</v>
      </c>
      <c r="F1365" s="112" t="s">
        <v>7857</v>
      </c>
      <c r="G1365" s="112" t="s">
        <v>1512</v>
      </c>
      <c r="H1365" s="112" t="s">
        <v>1505</v>
      </c>
      <c r="I1365" s="112"/>
      <c r="J1365" s="112" t="b">
        <v>0</v>
      </c>
      <c r="K1365" s="112" t="s">
        <v>1484</v>
      </c>
      <c r="L1365" s="112" t="b">
        <v>1</v>
      </c>
      <c r="M1365" s="112"/>
      <c r="N1365" s="112"/>
      <c r="O1365" s="112"/>
      <c r="P1365" s="112" t="s">
        <v>1485</v>
      </c>
      <c r="Q1365" s="112" t="s">
        <v>1228</v>
      </c>
    </row>
    <row r="1366" spans="2:17" hidden="1" outlineLevel="2">
      <c r="B1366" s="2" t="s">
        <v>876</v>
      </c>
      <c r="D1366" s="270">
        <v>2360</v>
      </c>
      <c r="E1366" s="112" t="s">
        <v>208</v>
      </c>
      <c r="F1366" s="112" t="s">
        <v>7858</v>
      </c>
      <c r="G1366" s="112" t="s">
        <v>1512</v>
      </c>
      <c r="H1366" s="112" t="s">
        <v>1505</v>
      </c>
      <c r="I1366" s="112"/>
      <c r="J1366" s="112" t="b">
        <v>0</v>
      </c>
      <c r="K1366" s="112" t="s">
        <v>1484</v>
      </c>
      <c r="L1366" s="112" t="b">
        <v>1</v>
      </c>
      <c r="M1366" s="112"/>
      <c r="N1366" s="112"/>
      <c r="O1366" s="112"/>
      <c r="P1366" s="112" t="s">
        <v>1485</v>
      </c>
      <c r="Q1366" s="112" t="s">
        <v>1228</v>
      </c>
    </row>
    <row r="1367" spans="2:17" hidden="1" outlineLevel="2">
      <c r="B1367" s="2" t="s">
        <v>876</v>
      </c>
      <c r="D1367" s="270">
        <v>2360</v>
      </c>
      <c r="E1367" s="112" t="s">
        <v>208</v>
      </c>
      <c r="F1367" s="112" t="s">
        <v>7859</v>
      </c>
      <c r="G1367" s="112" t="s">
        <v>1512</v>
      </c>
      <c r="H1367" s="112" t="s">
        <v>1505</v>
      </c>
      <c r="I1367" s="112"/>
      <c r="J1367" s="112" t="b">
        <v>0</v>
      </c>
      <c r="K1367" s="112" t="s">
        <v>1484</v>
      </c>
      <c r="L1367" s="112" t="b">
        <v>1</v>
      </c>
      <c r="M1367" s="112"/>
      <c r="N1367" s="112"/>
      <c r="O1367" s="112"/>
      <c r="P1367" s="112" t="s">
        <v>1485</v>
      </c>
      <c r="Q1367" s="112" t="s">
        <v>1228</v>
      </c>
    </row>
    <row r="1368" spans="2:17" hidden="1" outlineLevel="2">
      <c r="B1368" s="2" t="s">
        <v>876</v>
      </c>
      <c r="D1368" s="270">
        <v>2360</v>
      </c>
      <c r="E1368" s="112" t="s">
        <v>208</v>
      </c>
      <c r="F1368" s="112" t="s">
        <v>7860</v>
      </c>
      <c r="G1368" s="112" t="s">
        <v>1512</v>
      </c>
      <c r="H1368" s="112" t="s">
        <v>1505</v>
      </c>
      <c r="I1368" s="112"/>
      <c r="J1368" s="112" t="b">
        <v>0</v>
      </c>
      <c r="K1368" s="112" t="s">
        <v>1484</v>
      </c>
      <c r="L1368" s="112" t="b">
        <v>1</v>
      </c>
      <c r="M1368" s="112"/>
      <c r="N1368" s="112"/>
      <c r="O1368" s="112"/>
      <c r="P1368" s="112" t="s">
        <v>1485</v>
      </c>
      <c r="Q1368" s="112" t="s">
        <v>1228</v>
      </c>
    </row>
    <row r="1369" spans="2:17" hidden="1" outlineLevel="2">
      <c r="B1369" s="2" t="s">
        <v>876</v>
      </c>
      <c r="D1369" s="270">
        <v>2360</v>
      </c>
      <c r="E1369" s="112" t="s">
        <v>208</v>
      </c>
      <c r="F1369" s="112" t="s">
        <v>7861</v>
      </c>
      <c r="G1369" s="112" t="s">
        <v>1493</v>
      </c>
      <c r="H1369" s="112" t="s">
        <v>1505</v>
      </c>
      <c r="I1369" s="112"/>
      <c r="J1369" s="112" t="b">
        <v>0</v>
      </c>
      <c r="K1369" s="112" t="s">
        <v>1484</v>
      </c>
      <c r="L1369" s="112" t="b">
        <v>1</v>
      </c>
      <c r="M1369" s="112"/>
      <c r="N1369" s="112"/>
      <c r="O1369" s="112"/>
      <c r="P1369" s="112" t="s">
        <v>1485</v>
      </c>
      <c r="Q1369" s="112" t="s">
        <v>1228</v>
      </c>
    </row>
    <row r="1370" spans="2:17" hidden="1" outlineLevel="2">
      <c r="B1370" s="2" t="s">
        <v>876</v>
      </c>
      <c r="D1370" s="270">
        <v>2360</v>
      </c>
      <c r="E1370" s="112" t="s">
        <v>208</v>
      </c>
      <c r="F1370" s="112" t="s">
        <v>7862</v>
      </c>
      <c r="G1370" s="112" t="s">
        <v>1512</v>
      </c>
      <c r="H1370" s="112" t="s">
        <v>1505</v>
      </c>
      <c r="I1370" s="112"/>
      <c r="J1370" s="112" t="b">
        <v>0</v>
      </c>
      <c r="K1370" s="112" t="s">
        <v>1484</v>
      </c>
      <c r="L1370" s="112" t="b">
        <v>1</v>
      </c>
      <c r="M1370" s="112"/>
      <c r="N1370" s="112"/>
      <c r="O1370" s="112"/>
      <c r="P1370" s="112" t="s">
        <v>1485</v>
      </c>
      <c r="Q1370" s="112" t="s">
        <v>1228</v>
      </c>
    </row>
    <row r="1371" spans="2:17" hidden="1" outlineLevel="2">
      <c r="B1371" s="2" t="s">
        <v>876</v>
      </c>
      <c r="D1371" s="270">
        <v>2360</v>
      </c>
      <c r="E1371" s="112" t="s">
        <v>208</v>
      </c>
      <c r="F1371" s="112" t="s">
        <v>7863</v>
      </c>
      <c r="G1371" s="112" t="s">
        <v>1512</v>
      </c>
      <c r="H1371" s="112" t="s">
        <v>1505</v>
      </c>
      <c r="I1371" s="112"/>
      <c r="J1371" s="112" t="b">
        <v>0</v>
      </c>
      <c r="K1371" s="112" t="s">
        <v>1484</v>
      </c>
      <c r="L1371" s="112" t="b">
        <v>1</v>
      </c>
      <c r="M1371" s="112"/>
      <c r="N1371" s="112"/>
      <c r="O1371" s="112"/>
      <c r="P1371" s="112" t="s">
        <v>1485</v>
      </c>
      <c r="Q1371" s="112" t="s">
        <v>1228</v>
      </c>
    </row>
    <row r="1372" spans="2:17" hidden="1" outlineLevel="2">
      <c r="B1372" s="2" t="s">
        <v>876</v>
      </c>
      <c r="D1372" s="270">
        <v>2360</v>
      </c>
      <c r="E1372" s="112" t="s">
        <v>208</v>
      </c>
      <c r="F1372" s="112" t="s">
        <v>7864</v>
      </c>
      <c r="G1372" s="112" t="s">
        <v>1512</v>
      </c>
      <c r="H1372" s="112" t="s">
        <v>1505</v>
      </c>
      <c r="I1372" s="112"/>
      <c r="J1372" s="112" t="b">
        <v>0</v>
      </c>
      <c r="K1372" s="112" t="s">
        <v>1484</v>
      </c>
      <c r="L1372" s="112" t="b">
        <v>1</v>
      </c>
      <c r="M1372" s="112"/>
      <c r="N1372" s="112"/>
      <c r="O1372" s="112"/>
      <c r="P1372" s="112" t="s">
        <v>1485</v>
      </c>
      <c r="Q1372" s="112" t="s">
        <v>1228</v>
      </c>
    </row>
    <row r="1373" spans="2:17" hidden="1" outlineLevel="2">
      <c r="B1373" s="2" t="s">
        <v>876</v>
      </c>
      <c r="D1373" s="270">
        <v>2360</v>
      </c>
      <c r="E1373" s="112" t="s">
        <v>208</v>
      </c>
      <c r="F1373" s="112" t="s">
        <v>7865</v>
      </c>
      <c r="G1373" s="112" t="s">
        <v>1512</v>
      </c>
      <c r="H1373" s="112" t="s">
        <v>1505</v>
      </c>
      <c r="I1373" s="112"/>
      <c r="J1373" s="112" t="b">
        <v>0</v>
      </c>
      <c r="K1373" s="112" t="s">
        <v>1484</v>
      </c>
      <c r="L1373" s="112" t="b">
        <v>1</v>
      </c>
      <c r="M1373" s="112"/>
      <c r="N1373" s="112"/>
      <c r="O1373" s="112"/>
      <c r="P1373" s="112" t="s">
        <v>1485</v>
      </c>
      <c r="Q1373" s="112" t="s">
        <v>1228</v>
      </c>
    </row>
    <row r="1374" spans="2:17" hidden="1" outlineLevel="2">
      <c r="B1374" s="2" t="s">
        <v>876</v>
      </c>
      <c r="D1374" s="270">
        <v>2360</v>
      </c>
      <c r="E1374" s="112" t="s">
        <v>208</v>
      </c>
      <c r="F1374" s="112" t="s">
        <v>7866</v>
      </c>
      <c r="G1374" s="112" t="s">
        <v>1512</v>
      </c>
      <c r="H1374" s="112" t="s">
        <v>1505</v>
      </c>
      <c r="I1374" s="112"/>
      <c r="J1374" s="112" t="b">
        <v>0</v>
      </c>
      <c r="K1374" s="112" t="s">
        <v>1484</v>
      </c>
      <c r="L1374" s="112" t="b">
        <v>1</v>
      </c>
      <c r="M1374" s="112"/>
      <c r="N1374" s="112"/>
      <c r="O1374" s="112"/>
      <c r="P1374" s="112" t="s">
        <v>1485</v>
      </c>
      <c r="Q1374" s="112" t="s">
        <v>1228</v>
      </c>
    </row>
    <row r="1375" spans="2:17" hidden="1" outlineLevel="2">
      <c r="B1375" s="2" t="s">
        <v>876</v>
      </c>
      <c r="D1375" s="270">
        <v>2360</v>
      </c>
      <c r="E1375" s="112" t="s">
        <v>208</v>
      </c>
      <c r="F1375" s="112" t="s">
        <v>7867</v>
      </c>
      <c r="G1375" s="112" t="s">
        <v>1512</v>
      </c>
      <c r="H1375" s="112" t="s">
        <v>1505</v>
      </c>
      <c r="I1375" s="112"/>
      <c r="J1375" s="112" t="b">
        <v>0</v>
      </c>
      <c r="K1375" s="112" t="s">
        <v>1484</v>
      </c>
      <c r="L1375" s="112" t="b">
        <v>1</v>
      </c>
      <c r="M1375" s="112"/>
      <c r="N1375" s="112"/>
      <c r="O1375" s="112"/>
      <c r="P1375" s="112" t="s">
        <v>1485</v>
      </c>
      <c r="Q1375" s="112" t="s">
        <v>1228</v>
      </c>
    </row>
    <row r="1376" spans="2:17" hidden="1" outlineLevel="2">
      <c r="B1376" s="2" t="s">
        <v>876</v>
      </c>
      <c r="D1376" s="270">
        <v>2360</v>
      </c>
      <c r="E1376" s="112" t="s">
        <v>208</v>
      </c>
      <c r="F1376" s="112" t="s">
        <v>7868</v>
      </c>
      <c r="G1376" s="112" t="s">
        <v>1512</v>
      </c>
      <c r="H1376" s="112" t="s">
        <v>1505</v>
      </c>
      <c r="I1376" s="112"/>
      <c r="J1376" s="112" t="b">
        <v>0</v>
      </c>
      <c r="K1376" s="112" t="s">
        <v>1484</v>
      </c>
      <c r="L1376" s="112" t="b">
        <v>1</v>
      </c>
      <c r="M1376" s="112"/>
      <c r="N1376" s="112"/>
      <c r="O1376" s="112"/>
      <c r="P1376" s="112" t="s">
        <v>1485</v>
      </c>
      <c r="Q1376" s="112" t="s">
        <v>1228</v>
      </c>
    </row>
    <row r="1377" spans="2:17" hidden="1" outlineLevel="2">
      <c r="B1377" s="2" t="s">
        <v>876</v>
      </c>
      <c r="D1377" s="270">
        <v>2360</v>
      </c>
      <c r="E1377" s="112" t="s">
        <v>208</v>
      </c>
      <c r="F1377" s="112" t="s">
        <v>7869</v>
      </c>
      <c r="G1377" s="112" t="s">
        <v>1512</v>
      </c>
      <c r="H1377" s="112" t="s">
        <v>1505</v>
      </c>
      <c r="I1377" s="112"/>
      <c r="J1377" s="112" t="b">
        <v>0</v>
      </c>
      <c r="K1377" s="112" t="s">
        <v>1484</v>
      </c>
      <c r="L1377" s="112" t="b">
        <v>1</v>
      </c>
      <c r="M1377" s="112"/>
      <c r="N1377" s="112"/>
      <c r="O1377" s="112"/>
      <c r="P1377" s="112" t="s">
        <v>1485</v>
      </c>
      <c r="Q1377" s="112" t="s">
        <v>1228</v>
      </c>
    </row>
    <row r="1378" spans="2:17" hidden="1" outlineLevel="2">
      <c r="B1378" s="2" t="s">
        <v>876</v>
      </c>
      <c r="D1378" s="270">
        <v>2360</v>
      </c>
      <c r="E1378" s="112" t="s">
        <v>208</v>
      </c>
      <c r="F1378" s="112" t="s">
        <v>7870</v>
      </c>
      <c r="G1378" s="112" t="s">
        <v>1512</v>
      </c>
      <c r="H1378" s="112" t="s">
        <v>1505</v>
      </c>
      <c r="I1378" s="112"/>
      <c r="J1378" s="112" t="b">
        <v>0</v>
      </c>
      <c r="K1378" s="112" t="s">
        <v>1484</v>
      </c>
      <c r="L1378" s="112" t="b">
        <v>1</v>
      </c>
      <c r="M1378" s="112"/>
      <c r="N1378" s="112"/>
      <c r="O1378" s="112"/>
      <c r="P1378" s="112" t="s">
        <v>1485</v>
      </c>
      <c r="Q1378" s="112" t="s">
        <v>1228</v>
      </c>
    </row>
    <row r="1379" spans="2:17" hidden="1" outlineLevel="2">
      <c r="B1379" s="2" t="s">
        <v>876</v>
      </c>
      <c r="D1379" s="268">
        <v>2361</v>
      </c>
      <c r="E1379" s="114" t="s">
        <v>208</v>
      </c>
      <c r="F1379" s="114" t="s">
        <v>1837</v>
      </c>
      <c r="G1379" s="221" t="s">
        <v>1512</v>
      </c>
      <c r="H1379" s="114" t="s">
        <v>1505</v>
      </c>
      <c r="I1379" s="114"/>
      <c r="J1379" s="114" t="b">
        <v>0</v>
      </c>
      <c r="K1379" s="114"/>
      <c r="L1379" s="114" t="b">
        <v>1</v>
      </c>
      <c r="M1379" s="114"/>
      <c r="N1379" s="114"/>
      <c r="O1379" s="114"/>
      <c r="P1379" s="114" t="s">
        <v>1485</v>
      </c>
      <c r="Q1379" s="114" t="s">
        <v>1228</v>
      </c>
    </row>
    <row r="1380" spans="2:17" hidden="1" outlineLevel="2">
      <c r="B1380" s="2" t="s">
        <v>876</v>
      </c>
      <c r="D1380" s="270">
        <v>2365</v>
      </c>
      <c r="E1380" s="112" t="s">
        <v>208</v>
      </c>
      <c r="F1380" s="112" t="s">
        <v>1838</v>
      </c>
      <c r="G1380" s="112" t="s">
        <v>1512</v>
      </c>
      <c r="H1380" s="112" t="s">
        <v>1505</v>
      </c>
      <c r="I1380" s="112"/>
      <c r="J1380" s="112" t="b">
        <v>0</v>
      </c>
      <c r="K1380" s="112"/>
      <c r="L1380" s="112"/>
      <c r="M1380" s="112"/>
      <c r="N1380" s="112"/>
      <c r="O1380" s="112"/>
      <c r="P1380" s="112" t="s">
        <v>1485</v>
      </c>
      <c r="Q1380" s="112" t="s">
        <v>1228</v>
      </c>
    </row>
    <row r="1381" spans="2:17" hidden="1" outlineLevel="2">
      <c r="B1381" s="2" t="s">
        <v>876</v>
      </c>
      <c r="D1381" s="268">
        <v>2369</v>
      </c>
      <c r="E1381" s="114" t="s">
        <v>208</v>
      </c>
      <c r="F1381" s="114" t="s">
        <v>1839</v>
      </c>
      <c r="G1381" s="114" t="s">
        <v>1512</v>
      </c>
      <c r="H1381" s="114" t="s">
        <v>1505</v>
      </c>
      <c r="I1381" s="114"/>
      <c r="J1381" s="114" t="b">
        <v>0</v>
      </c>
      <c r="K1381" s="114"/>
      <c r="L1381" s="114" t="b">
        <v>1</v>
      </c>
      <c r="M1381" s="114"/>
      <c r="N1381" s="114"/>
      <c r="O1381" s="114"/>
      <c r="P1381" s="114" t="s">
        <v>1485</v>
      </c>
      <c r="Q1381" s="114" t="s">
        <v>1228</v>
      </c>
    </row>
    <row r="1382" spans="2:17" hidden="1" outlineLevel="2">
      <c r="B1382" s="2" t="s">
        <v>876</v>
      </c>
      <c r="D1382" s="270">
        <v>2370</v>
      </c>
      <c r="E1382" s="112" t="s">
        <v>208</v>
      </c>
      <c r="F1382" s="112" t="s">
        <v>1840</v>
      </c>
      <c r="G1382" s="269" t="s">
        <v>1493</v>
      </c>
      <c r="H1382" s="112" t="s">
        <v>1505</v>
      </c>
      <c r="I1382" s="112"/>
      <c r="J1382" s="112" t="b">
        <v>0</v>
      </c>
      <c r="K1382" s="112"/>
      <c r="L1382" s="112"/>
      <c r="M1382" s="112"/>
      <c r="N1382" s="112"/>
      <c r="O1382" s="112"/>
      <c r="P1382" s="112" t="s">
        <v>1485</v>
      </c>
      <c r="Q1382" s="112" t="s">
        <v>1228</v>
      </c>
    </row>
    <row r="1383" spans="2:17" hidden="1" outlineLevel="2">
      <c r="B1383" s="2" t="s">
        <v>876</v>
      </c>
      <c r="D1383" s="268">
        <v>2371</v>
      </c>
      <c r="E1383" s="114" t="s">
        <v>208</v>
      </c>
      <c r="F1383" s="114" t="s">
        <v>1841</v>
      </c>
      <c r="G1383" s="114" t="s">
        <v>1512</v>
      </c>
      <c r="H1383" s="114" t="s">
        <v>1512</v>
      </c>
      <c r="I1383" s="114"/>
      <c r="J1383" s="114" t="b">
        <v>0</v>
      </c>
      <c r="K1383" s="114" t="s">
        <v>1484</v>
      </c>
      <c r="L1383" s="114" t="b">
        <v>1</v>
      </c>
      <c r="M1383" s="114"/>
      <c r="N1383" s="114"/>
      <c r="O1383" s="114"/>
      <c r="P1383" s="114" t="s">
        <v>1485</v>
      </c>
      <c r="Q1383" s="114" t="s">
        <v>1228</v>
      </c>
    </row>
    <row r="1384" spans="2:17" hidden="1" outlineLevel="2">
      <c r="B1384" s="2" t="s">
        <v>876</v>
      </c>
      <c r="D1384" s="270">
        <v>2372</v>
      </c>
      <c r="E1384" s="112" t="s">
        <v>208</v>
      </c>
      <c r="F1384" s="112" t="s">
        <v>1842</v>
      </c>
      <c r="G1384" s="269" t="s">
        <v>1493</v>
      </c>
      <c r="H1384" s="112" t="s">
        <v>1505</v>
      </c>
      <c r="I1384" s="112"/>
      <c r="J1384" s="112" t="b">
        <v>0</v>
      </c>
      <c r="K1384" s="112"/>
      <c r="L1384" s="112"/>
      <c r="M1384" s="112"/>
      <c r="N1384" s="112"/>
      <c r="O1384" s="112"/>
      <c r="P1384" s="112" t="s">
        <v>1485</v>
      </c>
      <c r="Q1384" s="112" t="s">
        <v>1228</v>
      </c>
    </row>
    <row r="1385" spans="2:17" hidden="1" outlineLevel="2">
      <c r="B1385" s="2" t="s">
        <v>876</v>
      </c>
      <c r="D1385" s="268">
        <v>2379</v>
      </c>
      <c r="E1385" s="114" t="s">
        <v>208</v>
      </c>
      <c r="F1385" s="114" t="s">
        <v>1843</v>
      </c>
      <c r="G1385" s="114" t="s">
        <v>1512</v>
      </c>
      <c r="H1385" s="114" t="s">
        <v>1505</v>
      </c>
      <c r="I1385" s="114"/>
      <c r="J1385" s="114" t="b">
        <v>0</v>
      </c>
      <c r="K1385" s="114"/>
      <c r="L1385" s="114"/>
      <c r="M1385" s="114"/>
      <c r="N1385" s="114"/>
      <c r="O1385" s="114"/>
      <c r="P1385" s="114" t="s">
        <v>1485</v>
      </c>
      <c r="Q1385" s="114" t="s">
        <v>1228</v>
      </c>
    </row>
    <row r="1386" spans="2:17" hidden="1" outlineLevel="2">
      <c r="B1386" s="2" t="s">
        <v>876</v>
      </c>
      <c r="D1386" s="270">
        <v>2380</v>
      </c>
      <c r="E1386" s="112" t="s">
        <v>208</v>
      </c>
      <c r="F1386" s="112" t="s">
        <v>1844</v>
      </c>
      <c r="G1386" s="112" t="s">
        <v>1493</v>
      </c>
      <c r="H1386" s="112" t="s">
        <v>1505</v>
      </c>
      <c r="I1386" s="112"/>
      <c r="J1386" s="112" t="b">
        <v>0</v>
      </c>
      <c r="K1386" s="112" t="s">
        <v>1484</v>
      </c>
      <c r="L1386" s="112" t="b">
        <v>1</v>
      </c>
      <c r="M1386" s="112"/>
      <c r="N1386" s="112"/>
      <c r="O1386" s="112"/>
      <c r="P1386" s="112" t="s">
        <v>1485</v>
      </c>
      <c r="Q1386" s="112" t="s">
        <v>1228</v>
      </c>
    </row>
    <row r="1387" spans="2:17" hidden="1" outlineLevel="2">
      <c r="B1387" s="2" t="s">
        <v>876</v>
      </c>
      <c r="D1387" s="268">
        <v>2381</v>
      </c>
      <c r="E1387" s="114" t="s">
        <v>208</v>
      </c>
      <c r="F1387" s="114" t="s">
        <v>1845</v>
      </c>
      <c r="G1387" s="114" t="s">
        <v>1512</v>
      </c>
      <c r="H1387" s="114" t="s">
        <v>1505</v>
      </c>
      <c r="I1387" s="114"/>
      <c r="J1387" s="114" t="b">
        <v>0</v>
      </c>
      <c r="K1387" s="114"/>
      <c r="L1387" s="114"/>
      <c r="M1387" s="114"/>
      <c r="N1387" s="114"/>
      <c r="O1387" s="114"/>
      <c r="P1387" s="114" t="s">
        <v>1485</v>
      </c>
      <c r="Q1387" s="114" t="s">
        <v>1228</v>
      </c>
    </row>
    <row r="1388" spans="2:17" hidden="1" outlineLevel="2">
      <c r="B1388" s="2" t="s">
        <v>876</v>
      </c>
      <c r="D1388" s="270">
        <v>2382</v>
      </c>
      <c r="E1388" s="112" t="s">
        <v>208</v>
      </c>
      <c r="F1388" s="112" t="s">
        <v>1846</v>
      </c>
      <c r="G1388" s="221" t="s">
        <v>1512</v>
      </c>
      <c r="H1388" s="112" t="s">
        <v>1505</v>
      </c>
      <c r="I1388" s="112"/>
      <c r="J1388" s="112" t="b">
        <v>0</v>
      </c>
      <c r="K1388" s="112" t="s">
        <v>1484</v>
      </c>
      <c r="L1388" s="112" t="b">
        <v>1</v>
      </c>
      <c r="M1388" s="112"/>
      <c r="N1388" s="112"/>
      <c r="O1388" s="112"/>
      <c r="P1388" s="112" t="s">
        <v>1485</v>
      </c>
      <c r="Q1388" s="112" t="s">
        <v>1228</v>
      </c>
    </row>
    <row r="1389" spans="2:17" hidden="1" outlineLevel="2">
      <c r="B1389" s="2" t="s">
        <v>876</v>
      </c>
      <c r="D1389" s="268">
        <v>2386</v>
      </c>
      <c r="E1389" s="114" t="s">
        <v>208</v>
      </c>
      <c r="F1389" s="114" t="s">
        <v>1847</v>
      </c>
      <c r="G1389" s="114" t="s">
        <v>1512</v>
      </c>
      <c r="H1389" s="114" t="s">
        <v>1505</v>
      </c>
      <c r="I1389" s="114"/>
      <c r="J1389" s="114" t="b">
        <v>0</v>
      </c>
      <c r="K1389" s="114"/>
      <c r="L1389" s="114" t="b">
        <v>1</v>
      </c>
      <c r="M1389" s="114"/>
      <c r="N1389" s="114"/>
      <c r="O1389" s="114"/>
      <c r="P1389" s="114" t="s">
        <v>1485</v>
      </c>
      <c r="Q1389" s="114" t="s">
        <v>1228</v>
      </c>
    </row>
    <row r="1390" spans="2:17" hidden="1" outlineLevel="2">
      <c r="B1390" s="2" t="s">
        <v>876</v>
      </c>
      <c r="D1390" s="270">
        <v>2387</v>
      </c>
      <c r="E1390" s="112" t="s">
        <v>208</v>
      </c>
      <c r="F1390" s="112" t="s">
        <v>1848</v>
      </c>
      <c r="G1390" s="112" t="s">
        <v>1512</v>
      </c>
      <c r="H1390" s="112" t="s">
        <v>1505</v>
      </c>
      <c r="I1390" s="112"/>
      <c r="J1390" s="112" t="b">
        <v>0</v>
      </c>
      <c r="K1390" s="112"/>
      <c r="L1390" s="112" t="b">
        <v>1</v>
      </c>
      <c r="M1390" s="112"/>
      <c r="N1390" s="112"/>
      <c r="O1390" s="112"/>
      <c r="P1390" s="112" t="s">
        <v>1485</v>
      </c>
      <c r="Q1390" s="112" t="s">
        <v>1228</v>
      </c>
    </row>
    <row r="1391" spans="2:17" hidden="1" outlineLevel="2">
      <c r="B1391" s="2" t="s">
        <v>876</v>
      </c>
      <c r="D1391" s="268">
        <v>2388</v>
      </c>
      <c r="E1391" s="114" t="s">
        <v>208</v>
      </c>
      <c r="F1391" s="114" t="s">
        <v>1849</v>
      </c>
      <c r="G1391" s="114" t="s">
        <v>1493</v>
      </c>
      <c r="H1391" s="114" t="s">
        <v>1505</v>
      </c>
      <c r="I1391" s="114"/>
      <c r="J1391" s="114" t="b">
        <v>0</v>
      </c>
      <c r="K1391" s="114"/>
      <c r="L1391" s="114"/>
      <c r="M1391" s="114"/>
      <c r="N1391" s="114"/>
      <c r="O1391" s="114"/>
      <c r="P1391" s="114" t="s">
        <v>1485</v>
      </c>
      <c r="Q1391" s="114" t="s">
        <v>1228</v>
      </c>
    </row>
    <row r="1392" spans="2:17" hidden="1" outlineLevel="2">
      <c r="B1392" s="2" t="s">
        <v>876</v>
      </c>
      <c r="D1392" s="270">
        <v>2390</v>
      </c>
      <c r="E1392" s="112" t="s">
        <v>208</v>
      </c>
      <c r="F1392" s="112" t="s">
        <v>1850</v>
      </c>
      <c r="G1392" s="112" t="s">
        <v>1493</v>
      </c>
      <c r="H1392" s="112" t="s">
        <v>1505</v>
      </c>
      <c r="I1392" s="112"/>
      <c r="J1392" s="112" t="b">
        <v>0</v>
      </c>
      <c r="K1392" s="112" t="s">
        <v>1484</v>
      </c>
      <c r="L1392" s="112" t="b">
        <v>1</v>
      </c>
      <c r="M1392" s="112"/>
      <c r="N1392" s="112"/>
      <c r="O1392" s="112"/>
      <c r="P1392" s="112" t="s">
        <v>1485</v>
      </c>
      <c r="Q1392" s="112" t="s">
        <v>1228</v>
      </c>
    </row>
    <row r="1393" spans="2:17" hidden="1" outlineLevel="2">
      <c r="B1393" s="2" t="s">
        <v>876</v>
      </c>
      <c r="D1393" s="268">
        <v>2395</v>
      </c>
      <c r="E1393" s="114" t="s">
        <v>208</v>
      </c>
      <c r="F1393" s="114" t="s">
        <v>1851</v>
      </c>
      <c r="G1393" s="221" t="s">
        <v>1512</v>
      </c>
      <c r="H1393" s="114" t="s">
        <v>1505</v>
      </c>
      <c r="I1393" s="114"/>
      <c r="J1393" s="114" t="b">
        <v>0</v>
      </c>
      <c r="K1393" s="114"/>
      <c r="L1393" s="114" t="b">
        <v>1</v>
      </c>
      <c r="M1393" s="114"/>
      <c r="N1393" s="114"/>
      <c r="O1393" s="114"/>
      <c r="P1393" s="114" t="s">
        <v>1485</v>
      </c>
      <c r="Q1393" s="114" t="s">
        <v>1228</v>
      </c>
    </row>
    <row r="1394" spans="2:17" hidden="1" outlineLevel="2">
      <c r="B1394" s="2" t="s">
        <v>876</v>
      </c>
      <c r="D1394" s="270">
        <v>2396</v>
      </c>
      <c r="E1394" s="112" t="s">
        <v>208</v>
      </c>
      <c r="F1394" s="112" t="s">
        <v>1852</v>
      </c>
      <c r="G1394" s="112" t="s">
        <v>1512</v>
      </c>
      <c r="H1394" s="112" t="s">
        <v>1505</v>
      </c>
      <c r="I1394" s="112"/>
      <c r="J1394" s="112" t="b">
        <v>0</v>
      </c>
      <c r="K1394" s="112"/>
      <c r="L1394" s="112"/>
      <c r="M1394" s="112"/>
      <c r="N1394" s="112"/>
      <c r="O1394" s="112"/>
      <c r="P1394" s="112" t="s">
        <v>1485</v>
      </c>
      <c r="Q1394" s="112" t="s">
        <v>1228</v>
      </c>
    </row>
    <row r="1395" spans="2:17" hidden="1" outlineLevel="2">
      <c r="B1395" s="2" t="s">
        <v>876</v>
      </c>
      <c r="D1395" s="268">
        <v>2397</v>
      </c>
      <c r="E1395" s="114" t="s">
        <v>208</v>
      </c>
      <c r="F1395" s="114" t="s">
        <v>1853</v>
      </c>
      <c r="G1395" s="114" t="s">
        <v>1512</v>
      </c>
      <c r="H1395" s="114" t="s">
        <v>1505</v>
      </c>
      <c r="I1395" s="114"/>
      <c r="J1395" s="114" t="b">
        <v>0</v>
      </c>
      <c r="K1395" s="114"/>
      <c r="L1395" s="114"/>
      <c r="M1395" s="114"/>
      <c r="N1395" s="114"/>
      <c r="O1395" s="114"/>
      <c r="P1395" s="114" t="s">
        <v>1485</v>
      </c>
      <c r="Q1395" s="114" t="s">
        <v>1228</v>
      </c>
    </row>
    <row r="1396" spans="2:17" hidden="1" outlineLevel="2">
      <c r="B1396" s="2" t="s">
        <v>876</v>
      </c>
      <c r="D1396" s="270">
        <v>2398</v>
      </c>
      <c r="E1396" s="112" t="s">
        <v>208</v>
      </c>
      <c r="F1396" s="112" t="s">
        <v>1854</v>
      </c>
      <c r="G1396" s="112" t="s">
        <v>1512</v>
      </c>
      <c r="H1396" s="112" t="s">
        <v>1505</v>
      </c>
      <c r="I1396" s="112"/>
      <c r="J1396" s="112" t="b">
        <v>0</v>
      </c>
      <c r="K1396" s="112"/>
      <c r="L1396" s="112"/>
      <c r="M1396" s="112"/>
      <c r="N1396" s="112"/>
      <c r="O1396" s="112"/>
      <c r="P1396" s="112" t="s">
        <v>1485</v>
      </c>
      <c r="Q1396" s="112" t="s">
        <v>1228</v>
      </c>
    </row>
    <row r="1397" spans="2:17" hidden="1" outlineLevel="2">
      <c r="B1397" s="2" t="s">
        <v>876</v>
      </c>
      <c r="D1397" s="268">
        <v>2399</v>
      </c>
      <c r="E1397" s="114" t="s">
        <v>208</v>
      </c>
      <c r="F1397" s="114" t="s">
        <v>1855</v>
      </c>
      <c r="G1397" s="114" t="s">
        <v>1512</v>
      </c>
      <c r="H1397" s="114" t="s">
        <v>1505</v>
      </c>
      <c r="I1397" s="114"/>
      <c r="J1397" s="114" t="b">
        <v>0</v>
      </c>
      <c r="K1397" s="114"/>
      <c r="L1397" s="114" t="b">
        <v>1</v>
      </c>
      <c r="M1397" s="114"/>
      <c r="N1397" s="114"/>
      <c r="O1397" s="114"/>
      <c r="P1397" s="114" t="s">
        <v>1485</v>
      </c>
      <c r="Q1397" s="114" t="s">
        <v>1228</v>
      </c>
    </row>
    <row r="1398" spans="2:17" hidden="1" outlineLevel="2">
      <c r="B1398" s="2" t="s">
        <v>876</v>
      </c>
      <c r="D1398" s="270">
        <v>2400</v>
      </c>
      <c r="E1398" s="112" t="s">
        <v>208</v>
      </c>
      <c r="F1398" s="112" t="s">
        <v>1856</v>
      </c>
      <c r="G1398" s="269" t="s">
        <v>1493</v>
      </c>
      <c r="H1398" s="112" t="s">
        <v>1512</v>
      </c>
      <c r="I1398" s="112"/>
      <c r="J1398" s="112" t="b">
        <v>0</v>
      </c>
      <c r="K1398" s="112"/>
      <c r="L1398" s="112"/>
      <c r="M1398" s="112"/>
      <c r="N1398" s="112"/>
      <c r="O1398" s="112"/>
      <c r="P1398" s="112" t="s">
        <v>1485</v>
      </c>
      <c r="Q1398" s="112" t="s">
        <v>1228</v>
      </c>
    </row>
    <row r="1399" spans="2:17" hidden="1" outlineLevel="2">
      <c r="B1399" s="2" t="s">
        <v>876</v>
      </c>
      <c r="D1399" s="268">
        <v>2401</v>
      </c>
      <c r="E1399" s="114" t="s">
        <v>208</v>
      </c>
      <c r="F1399" s="114" t="s">
        <v>1857</v>
      </c>
      <c r="G1399" s="221" t="s">
        <v>1512</v>
      </c>
      <c r="H1399" s="114" t="s">
        <v>1505</v>
      </c>
      <c r="I1399" s="114"/>
      <c r="J1399" s="114" t="b">
        <v>0</v>
      </c>
      <c r="K1399" s="114"/>
      <c r="L1399" s="114"/>
      <c r="M1399" s="114"/>
      <c r="N1399" s="114"/>
      <c r="O1399" s="114"/>
      <c r="P1399" s="114" t="s">
        <v>1485</v>
      </c>
      <c r="Q1399" s="114" t="s">
        <v>1228</v>
      </c>
    </row>
    <row r="1400" spans="2:17" hidden="1" outlineLevel="2">
      <c r="B1400" s="2" t="s">
        <v>876</v>
      </c>
      <c r="D1400" s="270">
        <v>2402</v>
      </c>
      <c r="E1400" s="112" t="s">
        <v>208</v>
      </c>
      <c r="F1400" s="112" t="s">
        <v>1858</v>
      </c>
      <c r="G1400" s="112" t="s">
        <v>1512</v>
      </c>
      <c r="H1400" s="112" t="s">
        <v>1505</v>
      </c>
      <c r="I1400" s="112"/>
      <c r="J1400" s="112" t="b">
        <v>0</v>
      </c>
      <c r="K1400" s="112"/>
      <c r="L1400" s="112"/>
      <c r="M1400" s="112"/>
      <c r="N1400" s="112"/>
      <c r="O1400" s="112"/>
      <c r="P1400" s="112" t="s">
        <v>1485</v>
      </c>
      <c r="Q1400" s="112" t="s">
        <v>1228</v>
      </c>
    </row>
    <row r="1401" spans="2:17" hidden="1" outlineLevel="2">
      <c r="B1401" s="2" t="s">
        <v>876</v>
      </c>
      <c r="D1401" s="268">
        <v>2403</v>
      </c>
      <c r="E1401" s="114" t="s">
        <v>208</v>
      </c>
      <c r="F1401" s="114" t="s">
        <v>1859</v>
      </c>
      <c r="G1401" s="114" t="s">
        <v>1512</v>
      </c>
      <c r="H1401" s="114" t="s">
        <v>1505</v>
      </c>
      <c r="I1401" s="114"/>
      <c r="J1401" s="114" t="b">
        <v>0</v>
      </c>
      <c r="K1401" s="114"/>
      <c r="L1401" s="114" t="b">
        <v>1</v>
      </c>
      <c r="M1401" s="114"/>
      <c r="N1401" s="114"/>
      <c r="O1401" s="114"/>
      <c r="P1401" s="114" t="s">
        <v>1485</v>
      </c>
      <c r="Q1401" s="114" t="s">
        <v>1228</v>
      </c>
    </row>
    <row r="1402" spans="2:17" hidden="1" outlineLevel="2">
      <c r="B1402" s="2" t="s">
        <v>876</v>
      </c>
      <c r="D1402" s="270">
        <v>2404</v>
      </c>
      <c r="E1402" s="112" t="s">
        <v>208</v>
      </c>
      <c r="F1402" s="112" t="s">
        <v>1860</v>
      </c>
      <c r="G1402" s="112" t="s">
        <v>1512</v>
      </c>
      <c r="H1402" s="112" t="s">
        <v>1505</v>
      </c>
      <c r="I1402" s="112"/>
      <c r="J1402" s="112" t="b">
        <v>0</v>
      </c>
      <c r="K1402" s="112"/>
      <c r="L1402" s="112"/>
      <c r="M1402" s="112"/>
      <c r="N1402" s="112"/>
      <c r="O1402" s="112"/>
      <c r="P1402" s="112" t="s">
        <v>1485</v>
      </c>
      <c r="Q1402" s="112" t="s">
        <v>1228</v>
      </c>
    </row>
    <row r="1403" spans="2:17" hidden="1" outlineLevel="2">
      <c r="B1403" s="2" t="s">
        <v>876</v>
      </c>
      <c r="D1403" s="268">
        <v>2405</v>
      </c>
      <c r="E1403" s="114" t="s">
        <v>208</v>
      </c>
      <c r="F1403" s="114" t="s">
        <v>1861</v>
      </c>
      <c r="G1403" s="114" t="s">
        <v>1512</v>
      </c>
      <c r="H1403" s="114" t="s">
        <v>1505</v>
      </c>
      <c r="I1403" s="114"/>
      <c r="J1403" s="114" t="b">
        <v>0</v>
      </c>
      <c r="K1403" s="114"/>
      <c r="L1403" s="114" t="b">
        <v>1</v>
      </c>
      <c r="M1403" s="114"/>
      <c r="N1403" s="114"/>
      <c r="O1403" s="114"/>
      <c r="P1403" s="114" t="s">
        <v>1485</v>
      </c>
      <c r="Q1403" s="114" t="s">
        <v>1228</v>
      </c>
    </row>
    <row r="1404" spans="2:17" hidden="1" outlineLevel="2">
      <c r="B1404" s="2" t="s">
        <v>876</v>
      </c>
      <c r="D1404" s="270">
        <v>2406</v>
      </c>
      <c r="E1404" s="112" t="s">
        <v>208</v>
      </c>
      <c r="F1404" s="112" t="s">
        <v>1862</v>
      </c>
      <c r="G1404" s="112" t="s">
        <v>1512</v>
      </c>
      <c r="H1404" s="112" t="s">
        <v>1512</v>
      </c>
      <c r="I1404" s="112"/>
      <c r="J1404" s="112" t="b">
        <v>0</v>
      </c>
      <c r="K1404" s="112"/>
      <c r="L1404" s="112"/>
      <c r="M1404" s="112"/>
      <c r="N1404" s="112"/>
      <c r="O1404" s="112"/>
      <c r="P1404" s="112" t="s">
        <v>1485</v>
      </c>
      <c r="Q1404" s="112" t="s">
        <v>1228</v>
      </c>
    </row>
    <row r="1405" spans="2:17" hidden="1" outlineLevel="2">
      <c r="B1405" s="2" t="s">
        <v>876</v>
      </c>
      <c r="D1405" s="268">
        <v>2408</v>
      </c>
      <c r="E1405" s="114" t="s">
        <v>208</v>
      </c>
      <c r="F1405" s="114" t="s">
        <v>1863</v>
      </c>
      <c r="G1405" s="114" t="s">
        <v>1512</v>
      </c>
      <c r="H1405" s="114" t="s">
        <v>1505</v>
      </c>
      <c r="I1405" s="114"/>
      <c r="J1405" s="114" t="b">
        <v>0</v>
      </c>
      <c r="K1405" s="114"/>
      <c r="L1405" s="114"/>
      <c r="M1405" s="114"/>
      <c r="N1405" s="114"/>
      <c r="O1405" s="114"/>
      <c r="P1405" s="114" t="s">
        <v>1485</v>
      </c>
      <c r="Q1405" s="114" t="s">
        <v>1228</v>
      </c>
    </row>
    <row r="1406" spans="2:17" hidden="1" outlineLevel="2">
      <c r="B1406" s="2" t="s">
        <v>876</v>
      </c>
      <c r="D1406" s="270">
        <v>2409</v>
      </c>
      <c r="E1406" s="112" t="s">
        <v>208</v>
      </c>
      <c r="F1406" s="112" t="s">
        <v>1864</v>
      </c>
      <c r="G1406" s="221" t="s">
        <v>1512</v>
      </c>
      <c r="H1406" s="112" t="s">
        <v>1505</v>
      </c>
      <c r="I1406" s="112"/>
      <c r="J1406" s="112" t="b">
        <v>0</v>
      </c>
      <c r="K1406" s="112"/>
      <c r="L1406" s="112" t="b">
        <v>1</v>
      </c>
      <c r="M1406" s="112"/>
      <c r="N1406" s="112"/>
      <c r="O1406" s="112"/>
      <c r="P1406" s="112" t="s">
        <v>1485</v>
      </c>
      <c r="Q1406" s="112" t="s">
        <v>1228</v>
      </c>
    </row>
    <row r="1407" spans="2:17" hidden="1" outlineLevel="2">
      <c r="B1407" s="2" t="s">
        <v>876</v>
      </c>
      <c r="D1407" s="268">
        <v>2410</v>
      </c>
      <c r="E1407" s="114" t="s">
        <v>208</v>
      </c>
      <c r="F1407" s="114" t="s">
        <v>1865</v>
      </c>
      <c r="G1407" s="114" t="s">
        <v>1512</v>
      </c>
      <c r="H1407" s="114" t="s">
        <v>1505</v>
      </c>
      <c r="I1407" s="114"/>
      <c r="J1407" s="114" t="b">
        <v>0</v>
      </c>
      <c r="K1407" s="114"/>
      <c r="L1407" s="114"/>
      <c r="M1407" s="114"/>
      <c r="N1407" s="114"/>
      <c r="O1407" s="114"/>
      <c r="P1407" s="114" t="s">
        <v>1485</v>
      </c>
      <c r="Q1407" s="114" t="s">
        <v>1228</v>
      </c>
    </row>
    <row r="1408" spans="2:17" hidden="1" outlineLevel="2">
      <c r="B1408" s="2" t="s">
        <v>876</v>
      </c>
      <c r="D1408" s="270">
        <v>2411</v>
      </c>
      <c r="E1408" s="112" t="s">
        <v>208</v>
      </c>
      <c r="F1408" s="112" t="s">
        <v>1866</v>
      </c>
      <c r="G1408" s="112" t="s">
        <v>1512</v>
      </c>
      <c r="H1408" s="112" t="s">
        <v>1505</v>
      </c>
      <c r="I1408" s="112"/>
      <c r="J1408" s="112" t="b">
        <v>0</v>
      </c>
      <c r="K1408" s="112"/>
      <c r="L1408" s="112" t="b">
        <v>1</v>
      </c>
      <c r="M1408" s="112"/>
      <c r="N1408" s="112"/>
      <c r="O1408" s="112"/>
      <c r="P1408" s="112" t="s">
        <v>1485</v>
      </c>
      <c r="Q1408" s="112" t="s">
        <v>1228</v>
      </c>
    </row>
    <row r="1409" spans="2:17" hidden="1" outlineLevel="2">
      <c r="B1409" s="2" t="s">
        <v>876</v>
      </c>
      <c r="D1409" s="268">
        <v>2415</v>
      </c>
      <c r="E1409" s="114" t="s">
        <v>208</v>
      </c>
      <c r="F1409" s="114" t="s">
        <v>1867</v>
      </c>
      <c r="G1409" s="114" t="s">
        <v>1512</v>
      </c>
      <c r="H1409" s="114" t="s">
        <v>1505</v>
      </c>
      <c r="I1409" s="114"/>
      <c r="J1409" s="114" t="b">
        <v>0</v>
      </c>
      <c r="K1409" s="114"/>
      <c r="L1409" s="114"/>
      <c r="M1409" s="114"/>
      <c r="N1409" s="114"/>
      <c r="O1409" s="114"/>
      <c r="P1409" s="114" t="s">
        <v>1485</v>
      </c>
      <c r="Q1409" s="114" t="s">
        <v>1228</v>
      </c>
    </row>
    <row r="1410" spans="2:17" hidden="1" outlineLevel="2">
      <c r="B1410" s="2" t="s">
        <v>876</v>
      </c>
      <c r="D1410" s="270">
        <v>2420</v>
      </c>
      <c r="E1410" s="112" t="s">
        <v>208</v>
      </c>
      <c r="F1410" s="112" t="s">
        <v>1757</v>
      </c>
      <c r="G1410" s="112" t="s">
        <v>1493</v>
      </c>
      <c r="H1410" s="112" t="s">
        <v>1505</v>
      </c>
      <c r="I1410" s="112"/>
      <c r="J1410" s="112" t="b">
        <v>0</v>
      </c>
      <c r="K1410" s="112"/>
      <c r="L1410" s="112"/>
      <c r="M1410" s="112"/>
      <c r="N1410" s="112"/>
      <c r="O1410" s="112"/>
      <c r="P1410" s="112" t="s">
        <v>1485</v>
      </c>
      <c r="Q1410" s="112" t="s">
        <v>1228</v>
      </c>
    </row>
    <row r="1411" spans="2:17" hidden="1" outlineLevel="2">
      <c r="B1411" s="2" t="s">
        <v>876</v>
      </c>
      <c r="D1411" s="268">
        <v>2421</v>
      </c>
      <c r="E1411" s="114" t="s">
        <v>208</v>
      </c>
      <c r="F1411" s="114" t="s">
        <v>1868</v>
      </c>
      <c r="G1411" s="114" t="s">
        <v>1512</v>
      </c>
      <c r="H1411" s="114" t="s">
        <v>1505</v>
      </c>
      <c r="I1411" s="114"/>
      <c r="J1411" s="114" t="b">
        <v>0</v>
      </c>
      <c r="K1411" s="114"/>
      <c r="L1411" s="114"/>
      <c r="M1411" s="114"/>
      <c r="N1411" s="114"/>
      <c r="O1411" s="114"/>
      <c r="P1411" s="114" t="s">
        <v>1485</v>
      </c>
      <c r="Q1411" s="114" t="s">
        <v>1228</v>
      </c>
    </row>
    <row r="1412" spans="2:17" hidden="1" outlineLevel="2">
      <c r="B1412" s="2" t="s">
        <v>876</v>
      </c>
      <c r="D1412" s="270">
        <v>2422</v>
      </c>
      <c r="E1412" s="112" t="s">
        <v>208</v>
      </c>
      <c r="F1412" s="112" t="s">
        <v>1842</v>
      </c>
      <c r="G1412" s="112" t="s">
        <v>1493</v>
      </c>
      <c r="H1412" s="112" t="s">
        <v>1505</v>
      </c>
      <c r="I1412" s="112"/>
      <c r="J1412" s="112" t="b">
        <v>0</v>
      </c>
      <c r="K1412" s="112"/>
      <c r="L1412" s="112"/>
      <c r="M1412" s="112"/>
      <c r="N1412" s="112"/>
      <c r="O1412" s="112"/>
      <c r="P1412" s="112" t="s">
        <v>1485</v>
      </c>
      <c r="Q1412" s="112" t="s">
        <v>1228</v>
      </c>
    </row>
    <row r="1413" spans="2:17" hidden="1" outlineLevel="2">
      <c r="B1413" s="2" t="s">
        <v>876</v>
      </c>
      <c r="D1413" s="268">
        <v>2423</v>
      </c>
      <c r="E1413" s="114" t="s">
        <v>208</v>
      </c>
      <c r="F1413" s="114" t="s">
        <v>1869</v>
      </c>
      <c r="G1413" s="114" t="s">
        <v>1493</v>
      </c>
      <c r="H1413" s="114" t="s">
        <v>1505</v>
      </c>
      <c r="I1413" s="114"/>
      <c r="J1413" s="114" t="b">
        <v>0</v>
      </c>
      <c r="K1413" s="114"/>
      <c r="L1413" s="114"/>
      <c r="M1413" s="114"/>
      <c r="N1413" s="114"/>
      <c r="O1413" s="114"/>
      <c r="P1413" s="114" t="s">
        <v>1485</v>
      </c>
      <c r="Q1413" s="114" t="s">
        <v>1228</v>
      </c>
    </row>
    <row r="1414" spans="2:17" hidden="1" outlineLevel="2">
      <c r="B1414" s="2" t="s">
        <v>876</v>
      </c>
      <c r="D1414" s="270">
        <v>2424</v>
      </c>
      <c r="E1414" s="112" t="s">
        <v>208</v>
      </c>
      <c r="F1414" s="112" t="s">
        <v>1870</v>
      </c>
      <c r="G1414" s="112" t="s">
        <v>1493</v>
      </c>
      <c r="H1414" s="112" t="s">
        <v>1505</v>
      </c>
      <c r="I1414" s="112"/>
      <c r="J1414" s="112" t="b">
        <v>0</v>
      </c>
      <c r="K1414" s="112"/>
      <c r="L1414" s="112" t="b">
        <v>1</v>
      </c>
      <c r="M1414" s="112"/>
      <c r="N1414" s="112"/>
      <c r="O1414" s="112"/>
      <c r="P1414" s="112" t="s">
        <v>1485</v>
      </c>
      <c r="Q1414" s="112" t="s">
        <v>1228</v>
      </c>
    </row>
    <row r="1415" spans="2:17" hidden="1" outlineLevel="2">
      <c r="B1415" s="2" t="s">
        <v>876</v>
      </c>
      <c r="D1415" s="268">
        <v>2425</v>
      </c>
      <c r="E1415" s="114" t="s">
        <v>208</v>
      </c>
      <c r="F1415" s="114" t="s">
        <v>1871</v>
      </c>
      <c r="G1415" s="114" t="s">
        <v>1512</v>
      </c>
      <c r="H1415" s="114" t="s">
        <v>1505</v>
      </c>
      <c r="I1415" s="114"/>
      <c r="J1415" s="114" t="b">
        <v>0</v>
      </c>
      <c r="K1415" s="114"/>
      <c r="L1415" s="114"/>
      <c r="M1415" s="114"/>
      <c r="N1415" s="114"/>
      <c r="O1415" s="114"/>
      <c r="P1415" s="114" t="s">
        <v>1485</v>
      </c>
      <c r="Q1415" s="114" t="s">
        <v>1228</v>
      </c>
    </row>
    <row r="1416" spans="2:17" hidden="1" outlineLevel="2">
      <c r="B1416" s="2" t="s">
        <v>876</v>
      </c>
      <c r="D1416" s="270">
        <v>2426</v>
      </c>
      <c r="E1416" s="112" t="s">
        <v>208</v>
      </c>
      <c r="F1416" s="112" t="s">
        <v>1872</v>
      </c>
      <c r="G1416" s="112" t="s">
        <v>1493</v>
      </c>
      <c r="H1416" s="112" t="s">
        <v>1505</v>
      </c>
      <c r="I1416" s="112"/>
      <c r="J1416" s="112" t="b">
        <v>0</v>
      </c>
      <c r="K1416" s="112"/>
      <c r="L1416" s="112"/>
      <c r="M1416" s="112"/>
      <c r="N1416" s="112"/>
      <c r="O1416" s="112"/>
      <c r="P1416" s="112" t="s">
        <v>1485</v>
      </c>
      <c r="Q1416" s="112" t="s">
        <v>1228</v>
      </c>
    </row>
    <row r="1417" spans="2:17" hidden="1" outlineLevel="2">
      <c r="B1417" s="2" t="s">
        <v>876</v>
      </c>
      <c r="D1417" s="268">
        <v>2427</v>
      </c>
      <c r="E1417" s="114" t="s">
        <v>208</v>
      </c>
      <c r="F1417" s="114" t="s">
        <v>1873</v>
      </c>
      <c r="G1417" s="269" t="s">
        <v>1493</v>
      </c>
      <c r="H1417" s="114" t="s">
        <v>1505</v>
      </c>
      <c r="I1417" s="114"/>
      <c r="J1417" s="114" t="b">
        <v>0</v>
      </c>
      <c r="K1417" s="114"/>
      <c r="L1417" s="114"/>
      <c r="M1417" s="114"/>
      <c r="N1417" s="114"/>
      <c r="O1417" s="114"/>
      <c r="P1417" s="114" t="s">
        <v>1485</v>
      </c>
      <c r="Q1417" s="114" t="s">
        <v>1228</v>
      </c>
    </row>
    <row r="1418" spans="2:17" hidden="1" outlineLevel="2">
      <c r="B1418" s="2" t="s">
        <v>876</v>
      </c>
      <c r="D1418" s="270">
        <v>2428</v>
      </c>
      <c r="E1418" s="112" t="s">
        <v>208</v>
      </c>
      <c r="F1418" s="112" t="s">
        <v>1874</v>
      </c>
      <c r="G1418" s="112" t="s">
        <v>1483</v>
      </c>
      <c r="H1418" s="112" t="s">
        <v>1494</v>
      </c>
      <c r="I1418" s="112"/>
      <c r="J1418" s="112" t="b">
        <v>0</v>
      </c>
      <c r="K1418" s="112"/>
      <c r="L1418" s="112"/>
      <c r="M1418" s="112"/>
      <c r="N1418" s="112"/>
      <c r="O1418" s="112"/>
      <c r="P1418" s="112" t="s">
        <v>1485</v>
      </c>
      <c r="Q1418" s="112" t="s">
        <v>1228</v>
      </c>
    </row>
    <row r="1419" spans="2:17" hidden="1" outlineLevel="2">
      <c r="B1419" s="2" t="s">
        <v>876</v>
      </c>
      <c r="D1419" s="268">
        <v>2429</v>
      </c>
      <c r="E1419" s="114" t="s">
        <v>208</v>
      </c>
      <c r="F1419" s="114" t="s">
        <v>1875</v>
      </c>
      <c r="G1419" s="114" t="s">
        <v>1483</v>
      </c>
      <c r="H1419" s="114" t="s">
        <v>1494</v>
      </c>
      <c r="I1419" s="114"/>
      <c r="J1419" s="114" t="b">
        <v>0</v>
      </c>
      <c r="K1419" s="114"/>
      <c r="L1419" s="114"/>
      <c r="M1419" s="114"/>
      <c r="N1419" s="114"/>
      <c r="O1419" s="114"/>
      <c r="P1419" s="114" t="s">
        <v>1485</v>
      </c>
      <c r="Q1419" s="114" t="s">
        <v>1228</v>
      </c>
    </row>
    <row r="1420" spans="2:17" hidden="1" outlineLevel="2">
      <c r="B1420" s="2" t="s">
        <v>876</v>
      </c>
      <c r="D1420" s="270">
        <v>2430</v>
      </c>
      <c r="E1420" s="112" t="s">
        <v>208</v>
      </c>
      <c r="F1420" s="112" t="s">
        <v>1876</v>
      </c>
      <c r="G1420" s="112" t="s">
        <v>1483</v>
      </c>
      <c r="H1420" s="112" t="s">
        <v>1494</v>
      </c>
      <c r="I1420" s="112"/>
      <c r="J1420" s="112" t="b">
        <v>0</v>
      </c>
      <c r="K1420" s="112"/>
      <c r="L1420" s="112"/>
      <c r="M1420" s="112"/>
      <c r="N1420" s="112"/>
      <c r="O1420" s="112"/>
      <c r="P1420" s="112" t="s">
        <v>1485</v>
      </c>
      <c r="Q1420" s="112" t="s">
        <v>1228</v>
      </c>
    </row>
    <row r="1421" spans="2:17" hidden="1" outlineLevel="2">
      <c r="B1421" s="2" t="s">
        <v>876</v>
      </c>
      <c r="D1421" s="268">
        <v>2431</v>
      </c>
      <c r="E1421" s="114" t="s">
        <v>208</v>
      </c>
      <c r="F1421" s="114" t="s">
        <v>1877</v>
      </c>
      <c r="G1421" s="114" t="s">
        <v>1483</v>
      </c>
      <c r="H1421" s="114" t="s">
        <v>1494</v>
      </c>
      <c r="I1421" s="114"/>
      <c r="J1421" s="114" t="b">
        <v>0</v>
      </c>
      <c r="K1421" s="114"/>
      <c r="L1421" s="114"/>
      <c r="M1421" s="114"/>
      <c r="N1421" s="114"/>
      <c r="O1421" s="114"/>
      <c r="P1421" s="114" t="s">
        <v>1485</v>
      </c>
      <c r="Q1421" s="114" t="s">
        <v>1228</v>
      </c>
    </row>
    <row r="1422" spans="2:17" hidden="1" outlineLevel="2">
      <c r="B1422" s="2" t="s">
        <v>876</v>
      </c>
      <c r="D1422" s="270">
        <v>2439</v>
      </c>
      <c r="E1422" s="112" t="s">
        <v>208</v>
      </c>
      <c r="F1422" s="112" t="s">
        <v>1878</v>
      </c>
      <c r="G1422" s="112" t="s">
        <v>1493</v>
      </c>
      <c r="H1422" s="112" t="s">
        <v>1505</v>
      </c>
      <c r="I1422" s="112"/>
      <c r="J1422" s="112" t="b">
        <v>0</v>
      </c>
      <c r="K1422" s="112"/>
      <c r="L1422" s="112"/>
      <c r="M1422" s="112"/>
      <c r="N1422" s="112"/>
      <c r="O1422" s="112"/>
      <c r="P1422" s="112" t="s">
        <v>1485</v>
      </c>
      <c r="Q1422" s="112" t="s">
        <v>1228</v>
      </c>
    </row>
    <row r="1423" spans="2:17" hidden="1" outlineLevel="2">
      <c r="B1423" s="2" t="s">
        <v>876</v>
      </c>
      <c r="D1423" s="268">
        <v>2440</v>
      </c>
      <c r="E1423" s="114" t="s">
        <v>208</v>
      </c>
      <c r="F1423" s="114" t="s">
        <v>1879</v>
      </c>
      <c r="G1423" s="114" t="s">
        <v>1493</v>
      </c>
      <c r="H1423" s="114" t="s">
        <v>1494</v>
      </c>
      <c r="I1423" s="114"/>
      <c r="J1423" s="114" t="b">
        <v>0</v>
      </c>
      <c r="K1423" s="114"/>
      <c r="L1423" s="114"/>
      <c r="M1423" s="114"/>
      <c r="N1423" s="114"/>
      <c r="O1423" s="114"/>
      <c r="P1423" s="114" t="s">
        <v>1485</v>
      </c>
      <c r="Q1423" s="114" t="s">
        <v>1228</v>
      </c>
    </row>
    <row r="1424" spans="2:17" hidden="1" outlineLevel="2">
      <c r="B1424" s="2" t="s">
        <v>876</v>
      </c>
      <c r="D1424" s="270">
        <v>2441</v>
      </c>
      <c r="E1424" s="112" t="s">
        <v>208</v>
      </c>
      <c r="F1424" s="112" t="s">
        <v>1880</v>
      </c>
      <c r="G1424" s="112" t="s">
        <v>1493</v>
      </c>
      <c r="H1424" s="112" t="s">
        <v>1505</v>
      </c>
      <c r="I1424" s="112"/>
      <c r="J1424" s="112" t="b">
        <v>0</v>
      </c>
      <c r="K1424" s="112"/>
      <c r="L1424" s="112"/>
      <c r="M1424" s="112"/>
      <c r="N1424" s="112"/>
      <c r="O1424" s="112"/>
      <c r="P1424" s="112" t="s">
        <v>1485</v>
      </c>
      <c r="Q1424" s="112" t="s">
        <v>1228</v>
      </c>
    </row>
    <row r="1425" spans="2:17" hidden="1" outlineLevel="2">
      <c r="B1425" s="2" t="s">
        <v>876</v>
      </c>
      <c r="D1425" s="268">
        <v>2443</v>
      </c>
      <c r="E1425" s="114" t="s">
        <v>208</v>
      </c>
      <c r="F1425" s="114" t="s">
        <v>1881</v>
      </c>
      <c r="G1425" s="114" t="s">
        <v>1483</v>
      </c>
      <c r="H1425" s="114" t="s">
        <v>1494</v>
      </c>
      <c r="I1425" s="114"/>
      <c r="J1425" s="114" t="b">
        <v>0</v>
      </c>
      <c r="K1425" s="114"/>
      <c r="L1425" s="114"/>
      <c r="M1425" s="114"/>
      <c r="N1425" s="114"/>
      <c r="O1425" s="114"/>
      <c r="P1425" s="114" t="s">
        <v>1485</v>
      </c>
      <c r="Q1425" s="114" t="s">
        <v>1228</v>
      </c>
    </row>
    <row r="1426" spans="2:17" hidden="1" outlineLevel="2">
      <c r="B1426" s="2" t="s">
        <v>876</v>
      </c>
      <c r="D1426" s="270">
        <v>2444</v>
      </c>
      <c r="E1426" s="112" t="s">
        <v>208</v>
      </c>
      <c r="F1426" s="112" t="s">
        <v>1882</v>
      </c>
      <c r="G1426" s="112" t="s">
        <v>1572</v>
      </c>
      <c r="H1426" s="112" t="s">
        <v>1227</v>
      </c>
      <c r="I1426" s="112"/>
      <c r="J1426" s="112" t="b">
        <v>0</v>
      </c>
      <c r="K1426" s="112"/>
      <c r="L1426" s="112"/>
      <c r="M1426" s="112"/>
      <c r="N1426" s="112"/>
      <c r="O1426" s="112"/>
      <c r="P1426" s="112" t="s">
        <v>1485</v>
      </c>
      <c r="Q1426" s="112" t="s">
        <v>1227</v>
      </c>
    </row>
    <row r="1427" spans="2:17" hidden="1" outlineLevel="2">
      <c r="B1427" s="2" t="s">
        <v>876</v>
      </c>
      <c r="D1427" s="268">
        <v>2445</v>
      </c>
      <c r="E1427" s="114" t="s">
        <v>208</v>
      </c>
      <c r="F1427" s="114" t="s">
        <v>1883</v>
      </c>
      <c r="G1427" s="114" t="s">
        <v>1493</v>
      </c>
      <c r="H1427" s="114" t="s">
        <v>1505</v>
      </c>
      <c r="I1427" s="114"/>
      <c r="J1427" s="114" t="b">
        <v>0</v>
      </c>
      <c r="K1427" s="114"/>
      <c r="L1427" s="114"/>
      <c r="M1427" s="114"/>
      <c r="N1427" s="114"/>
      <c r="O1427" s="114"/>
      <c r="P1427" s="114" t="s">
        <v>1485</v>
      </c>
      <c r="Q1427" s="114" t="s">
        <v>1228</v>
      </c>
    </row>
    <row r="1428" spans="2:17" hidden="1" outlineLevel="2">
      <c r="B1428" s="2" t="s">
        <v>876</v>
      </c>
      <c r="D1428" s="270">
        <v>2446</v>
      </c>
      <c r="E1428" s="112" t="s">
        <v>208</v>
      </c>
      <c r="F1428" s="112" t="s">
        <v>1884</v>
      </c>
      <c r="G1428" s="112" t="s">
        <v>1483</v>
      </c>
      <c r="H1428" s="112" t="s">
        <v>1494</v>
      </c>
      <c r="I1428" s="112"/>
      <c r="J1428" s="112" t="b">
        <v>0</v>
      </c>
      <c r="K1428" s="112"/>
      <c r="L1428" s="112"/>
      <c r="M1428" s="112"/>
      <c r="N1428" s="112"/>
      <c r="O1428" s="112"/>
      <c r="P1428" s="112" t="s">
        <v>1485</v>
      </c>
      <c r="Q1428" s="112" t="s">
        <v>1228</v>
      </c>
    </row>
    <row r="1429" spans="2:17" hidden="1" outlineLevel="2">
      <c r="B1429" s="2" t="s">
        <v>876</v>
      </c>
      <c r="D1429" s="268">
        <v>2447</v>
      </c>
      <c r="E1429" s="114" t="s">
        <v>208</v>
      </c>
      <c r="F1429" s="114" t="s">
        <v>1885</v>
      </c>
      <c r="G1429" s="114" t="s">
        <v>1483</v>
      </c>
      <c r="H1429" s="114" t="s">
        <v>1494</v>
      </c>
      <c r="I1429" s="114"/>
      <c r="J1429" s="114" t="b">
        <v>0</v>
      </c>
      <c r="K1429" s="114"/>
      <c r="L1429" s="114"/>
      <c r="M1429" s="114"/>
      <c r="N1429" s="114"/>
      <c r="O1429" s="114"/>
      <c r="P1429" s="114" t="s">
        <v>1485</v>
      </c>
      <c r="Q1429" s="114" t="s">
        <v>1228</v>
      </c>
    </row>
    <row r="1430" spans="2:17" hidden="1" outlineLevel="2">
      <c r="B1430" s="2" t="s">
        <v>876</v>
      </c>
      <c r="D1430" s="270">
        <v>2448</v>
      </c>
      <c r="E1430" s="112" t="s">
        <v>208</v>
      </c>
      <c r="F1430" s="112" t="s">
        <v>1886</v>
      </c>
      <c r="G1430" s="112" t="s">
        <v>1483</v>
      </c>
      <c r="H1430" s="112" t="s">
        <v>1494</v>
      </c>
      <c r="I1430" s="112"/>
      <c r="J1430" s="112" t="b">
        <v>0</v>
      </c>
      <c r="K1430" s="112"/>
      <c r="L1430" s="112"/>
      <c r="M1430" s="112"/>
      <c r="N1430" s="112"/>
      <c r="O1430" s="112"/>
      <c r="P1430" s="112" t="s">
        <v>1485</v>
      </c>
      <c r="Q1430" s="112" t="s">
        <v>1228</v>
      </c>
    </row>
    <row r="1431" spans="2:17" hidden="1" outlineLevel="2">
      <c r="B1431" s="2" t="s">
        <v>876</v>
      </c>
      <c r="D1431" s="268">
        <v>2449</v>
      </c>
      <c r="E1431" s="114" t="s">
        <v>208</v>
      </c>
      <c r="F1431" s="114" t="s">
        <v>1887</v>
      </c>
      <c r="G1431" s="114" t="s">
        <v>1512</v>
      </c>
      <c r="H1431" s="114" t="s">
        <v>1505</v>
      </c>
      <c r="I1431" s="114"/>
      <c r="J1431" s="114" t="b">
        <v>0</v>
      </c>
      <c r="K1431" s="114"/>
      <c r="L1431" s="114"/>
      <c r="M1431" s="114"/>
      <c r="N1431" s="114"/>
      <c r="O1431" s="114"/>
      <c r="P1431" s="114"/>
      <c r="Q1431" s="114" t="s">
        <v>1228</v>
      </c>
    </row>
    <row r="1432" spans="2:17" hidden="1" outlineLevel="2">
      <c r="B1432" s="2" t="s">
        <v>876</v>
      </c>
      <c r="D1432" s="270">
        <v>2450</v>
      </c>
      <c r="E1432" s="112" t="s">
        <v>208</v>
      </c>
      <c r="F1432" s="112" t="s">
        <v>1888</v>
      </c>
      <c r="G1432" s="112" t="s">
        <v>1483</v>
      </c>
      <c r="H1432" s="112" t="s">
        <v>1494</v>
      </c>
      <c r="I1432" s="112"/>
      <c r="J1432" s="112" t="b">
        <v>0</v>
      </c>
      <c r="K1432" s="112"/>
      <c r="L1432" s="112"/>
      <c r="M1432" s="112"/>
      <c r="N1432" s="112"/>
      <c r="O1432" s="112"/>
      <c r="P1432" s="112"/>
      <c r="Q1432" s="112" t="s">
        <v>1228</v>
      </c>
    </row>
    <row r="1433" spans="2:17" hidden="1" outlineLevel="2">
      <c r="B1433" s="2" t="s">
        <v>876</v>
      </c>
      <c r="D1433" s="268">
        <v>2452</v>
      </c>
      <c r="E1433" s="114" t="s">
        <v>208</v>
      </c>
      <c r="F1433" s="114" t="s">
        <v>1889</v>
      </c>
      <c r="G1433" s="114" t="s">
        <v>1483</v>
      </c>
      <c r="H1433" s="114" t="s">
        <v>1494</v>
      </c>
      <c r="I1433" s="114"/>
      <c r="J1433" s="114" t="b">
        <v>0</v>
      </c>
      <c r="K1433" s="114"/>
      <c r="L1433" s="114"/>
      <c r="M1433" s="114"/>
      <c r="N1433" s="114"/>
      <c r="O1433" s="114"/>
      <c r="P1433" s="114"/>
      <c r="Q1433" s="114" t="s">
        <v>1228</v>
      </c>
    </row>
    <row r="1434" spans="2:17" hidden="1" outlineLevel="2">
      <c r="B1434" s="2" t="s">
        <v>876</v>
      </c>
      <c r="D1434" s="270">
        <v>2453</v>
      </c>
      <c r="E1434" s="112" t="s">
        <v>208</v>
      </c>
      <c r="F1434" s="112" t="s">
        <v>1890</v>
      </c>
      <c r="G1434" s="112" t="s">
        <v>1512</v>
      </c>
      <c r="H1434" s="112" t="s">
        <v>1505</v>
      </c>
      <c r="I1434" s="112"/>
      <c r="J1434" s="112" t="b">
        <v>0</v>
      </c>
      <c r="K1434" s="112"/>
      <c r="L1434" s="112"/>
      <c r="M1434" s="112"/>
      <c r="N1434" s="112"/>
      <c r="O1434" s="112"/>
      <c r="P1434" s="112"/>
      <c r="Q1434" s="112" t="s">
        <v>1228</v>
      </c>
    </row>
    <row r="1435" spans="2:17" hidden="1" outlineLevel="2">
      <c r="B1435" s="2" t="s">
        <v>876</v>
      </c>
      <c r="D1435" s="268">
        <v>2454</v>
      </c>
      <c r="E1435" s="114" t="s">
        <v>208</v>
      </c>
      <c r="F1435" s="114" t="s">
        <v>1891</v>
      </c>
      <c r="G1435" s="114" t="s">
        <v>1493</v>
      </c>
      <c r="H1435" s="114" t="s">
        <v>1505</v>
      </c>
      <c r="I1435" s="114"/>
      <c r="J1435" s="114" t="b">
        <v>0</v>
      </c>
      <c r="K1435" s="114"/>
      <c r="L1435" s="114"/>
      <c r="M1435" s="114"/>
      <c r="N1435" s="114"/>
      <c r="O1435" s="114"/>
      <c r="P1435" s="114"/>
      <c r="Q1435" s="114" t="s">
        <v>1228</v>
      </c>
    </row>
    <row r="1436" spans="2:17" hidden="1" outlineLevel="2">
      <c r="B1436" s="2" t="s">
        <v>876</v>
      </c>
      <c r="D1436" s="270">
        <v>2455</v>
      </c>
      <c r="E1436" s="112" t="s">
        <v>208</v>
      </c>
      <c r="F1436" s="112" t="s">
        <v>1892</v>
      </c>
      <c r="G1436" s="269" t="s">
        <v>1493</v>
      </c>
      <c r="H1436" s="112" t="s">
        <v>1505</v>
      </c>
      <c r="I1436" s="112"/>
      <c r="J1436" s="112" t="b">
        <v>0</v>
      </c>
      <c r="K1436" s="112"/>
      <c r="L1436" s="112"/>
      <c r="M1436" s="112"/>
      <c r="N1436" s="112"/>
      <c r="O1436" s="112"/>
      <c r="P1436" s="112"/>
      <c r="Q1436" s="112" t="s">
        <v>1228</v>
      </c>
    </row>
    <row r="1437" spans="2:17" hidden="1" outlineLevel="2">
      <c r="B1437" s="2" t="s">
        <v>876</v>
      </c>
      <c r="D1437" s="268">
        <v>2456</v>
      </c>
      <c r="E1437" s="114" t="s">
        <v>208</v>
      </c>
      <c r="F1437" s="114" t="s">
        <v>1893</v>
      </c>
      <c r="G1437" s="114" t="s">
        <v>1483</v>
      </c>
      <c r="H1437" s="114" t="s">
        <v>1494</v>
      </c>
      <c r="I1437" s="114"/>
      <c r="J1437" s="114" t="b">
        <v>0</v>
      </c>
      <c r="K1437" s="114"/>
      <c r="L1437" s="114"/>
      <c r="M1437" s="114"/>
      <c r="N1437" s="114"/>
      <c r="O1437" s="114"/>
      <c r="P1437" s="114"/>
      <c r="Q1437" s="114" t="s">
        <v>1228</v>
      </c>
    </row>
    <row r="1438" spans="2:17" hidden="1" outlineLevel="2">
      <c r="B1438" s="2" t="s">
        <v>876</v>
      </c>
      <c r="D1438" s="270">
        <v>2460</v>
      </c>
      <c r="E1438" s="112" t="s">
        <v>208</v>
      </c>
      <c r="F1438" s="112" t="s">
        <v>1894</v>
      </c>
      <c r="G1438" s="112" t="s">
        <v>1483</v>
      </c>
      <c r="H1438" s="112" t="s">
        <v>1494</v>
      </c>
      <c r="I1438" s="112"/>
      <c r="J1438" s="112" t="b">
        <v>0</v>
      </c>
      <c r="K1438" s="112"/>
      <c r="L1438" s="112"/>
      <c r="M1438" s="112"/>
      <c r="N1438" s="112"/>
      <c r="O1438" s="112"/>
      <c r="P1438" s="112"/>
      <c r="Q1438" s="112" t="s">
        <v>1228</v>
      </c>
    </row>
    <row r="1439" spans="2:17" hidden="1" outlineLevel="2">
      <c r="B1439" s="2" t="s">
        <v>876</v>
      </c>
      <c r="D1439" s="268">
        <v>2462</v>
      </c>
      <c r="E1439" s="114" t="s">
        <v>208</v>
      </c>
      <c r="F1439" s="114" t="s">
        <v>1895</v>
      </c>
      <c r="G1439" s="114" t="s">
        <v>1512</v>
      </c>
      <c r="H1439" s="114" t="s">
        <v>1505</v>
      </c>
      <c r="I1439" s="114"/>
      <c r="J1439" s="114" t="b">
        <v>0</v>
      </c>
      <c r="K1439" s="114"/>
      <c r="L1439" s="114"/>
      <c r="M1439" s="114"/>
      <c r="N1439" s="114"/>
      <c r="O1439" s="114"/>
      <c r="P1439" s="114"/>
      <c r="Q1439" s="114" t="s">
        <v>1228</v>
      </c>
    </row>
    <row r="1440" spans="2:17" hidden="1" outlineLevel="2">
      <c r="B1440" s="2" t="s">
        <v>876</v>
      </c>
      <c r="D1440" s="270">
        <v>2463</v>
      </c>
      <c r="E1440" s="112" t="s">
        <v>208</v>
      </c>
      <c r="F1440" s="112" t="s">
        <v>1896</v>
      </c>
      <c r="G1440" s="269" t="s">
        <v>1493</v>
      </c>
      <c r="H1440" s="112" t="s">
        <v>1505</v>
      </c>
      <c r="I1440" s="112"/>
      <c r="J1440" s="112" t="b">
        <v>0</v>
      </c>
      <c r="K1440" s="112"/>
      <c r="L1440" s="112"/>
      <c r="M1440" s="112"/>
      <c r="N1440" s="112"/>
      <c r="O1440" s="112"/>
      <c r="P1440" s="112"/>
      <c r="Q1440" s="112" t="s">
        <v>1228</v>
      </c>
    </row>
    <row r="1441" spans="2:17" hidden="1" outlineLevel="2">
      <c r="B1441" s="2" t="s">
        <v>876</v>
      </c>
      <c r="D1441" s="268">
        <v>2464</v>
      </c>
      <c r="E1441" s="114" t="s">
        <v>208</v>
      </c>
      <c r="F1441" s="114" t="s">
        <v>1897</v>
      </c>
      <c r="G1441" s="114" t="s">
        <v>1493</v>
      </c>
      <c r="H1441" s="114" t="s">
        <v>1505</v>
      </c>
      <c r="I1441" s="114"/>
      <c r="J1441" s="114" t="b">
        <v>0</v>
      </c>
      <c r="K1441" s="114"/>
      <c r="L1441" s="114"/>
      <c r="M1441" s="114"/>
      <c r="N1441" s="114"/>
      <c r="O1441" s="114"/>
      <c r="P1441" s="114"/>
      <c r="Q1441" s="114" t="s">
        <v>1228</v>
      </c>
    </row>
    <row r="1442" spans="2:17" hidden="1" outlineLevel="2">
      <c r="B1442" s="2" t="s">
        <v>876</v>
      </c>
      <c r="D1442" s="270">
        <v>2465</v>
      </c>
      <c r="E1442" s="112" t="s">
        <v>208</v>
      </c>
      <c r="F1442" s="112" t="s">
        <v>1898</v>
      </c>
      <c r="G1442" s="112" t="s">
        <v>1512</v>
      </c>
      <c r="H1442" s="112" t="s">
        <v>1505</v>
      </c>
      <c r="I1442" s="112"/>
      <c r="J1442" s="112" t="b">
        <v>0</v>
      </c>
      <c r="K1442" s="112"/>
      <c r="L1442" s="112"/>
      <c r="M1442" s="112"/>
      <c r="N1442" s="112"/>
      <c r="O1442" s="112"/>
      <c r="P1442" s="112"/>
      <c r="Q1442" s="112" t="s">
        <v>1228</v>
      </c>
    </row>
    <row r="1443" spans="2:17" hidden="1" outlineLevel="2">
      <c r="B1443" s="2" t="s">
        <v>876</v>
      </c>
      <c r="D1443" s="268">
        <v>2466</v>
      </c>
      <c r="E1443" s="114" t="s">
        <v>208</v>
      </c>
      <c r="F1443" s="114" t="s">
        <v>1899</v>
      </c>
      <c r="G1443" s="269" t="s">
        <v>1493</v>
      </c>
      <c r="H1443" s="114" t="s">
        <v>1505</v>
      </c>
      <c r="I1443" s="114"/>
      <c r="J1443" s="114" t="b">
        <v>0</v>
      </c>
      <c r="K1443" s="114"/>
      <c r="L1443" s="114"/>
      <c r="M1443" s="114"/>
      <c r="N1443" s="114"/>
      <c r="O1443" s="114"/>
      <c r="P1443" s="114"/>
      <c r="Q1443" s="114" t="s">
        <v>1228</v>
      </c>
    </row>
    <row r="1444" spans="2:17" hidden="1" outlineLevel="2">
      <c r="B1444" s="2" t="s">
        <v>876</v>
      </c>
      <c r="D1444" s="270">
        <v>2469</v>
      </c>
      <c r="E1444" s="112" t="s">
        <v>208</v>
      </c>
      <c r="F1444" s="112" t="s">
        <v>1900</v>
      </c>
      <c r="G1444" s="112" t="s">
        <v>1493</v>
      </c>
      <c r="H1444" s="112" t="s">
        <v>1505</v>
      </c>
      <c r="I1444" s="112"/>
      <c r="J1444" s="112" t="b">
        <v>0</v>
      </c>
      <c r="K1444" s="112"/>
      <c r="L1444" s="112"/>
      <c r="M1444" s="112"/>
      <c r="N1444" s="112"/>
      <c r="O1444" s="112"/>
      <c r="P1444" s="112"/>
      <c r="Q1444" s="112" t="s">
        <v>1228</v>
      </c>
    </row>
    <row r="1445" spans="2:17" hidden="1" outlineLevel="2">
      <c r="B1445" s="2" t="s">
        <v>876</v>
      </c>
      <c r="D1445" s="268">
        <v>2470</v>
      </c>
      <c r="E1445" s="114" t="s">
        <v>208</v>
      </c>
      <c r="F1445" s="114" t="s">
        <v>1901</v>
      </c>
      <c r="G1445" s="114" t="s">
        <v>1493</v>
      </c>
      <c r="H1445" s="114" t="s">
        <v>1494</v>
      </c>
      <c r="I1445" s="114"/>
      <c r="J1445" s="114" t="b">
        <v>0</v>
      </c>
      <c r="K1445" s="114"/>
      <c r="L1445" s="114"/>
      <c r="M1445" s="114"/>
      <c r="N1445" s="114"/>
      <c r="O1445" s="114"/>
      <c r="P1445" s="114"/>
      <c r="Q1445" s="114" t="s">
        <v>1228</v>
      </c>
    </row>
    <row r="1446" spans="2:17" hidden="1" outlineLevel="2">
      <c r="B1446" s="2" t="s">
        <v>876</v>
      </c>
      <c r="D1446" s="270">
        <v>2471</v>
      </c>
      <c r="E1446" s="112" t="s">
        <v>208</v>
      </c>
      <c r="F1446" s="112" t="s">
        <v>1902</v>
      </c>
      <c r="G1446" s="112" t="s">
        <v>1493</v>
      </c>
      <c r="H1446" s="112" t="s">
        <v>1505</v>
      </c>
      <c r="I1446" s="112"/>
      <c r="J1446" s="112" t="b">
        <v>0</v>
      </c>
      <c r="K1446" s="112"/>
      <c r="L1446" s="112"/>
      <c r="M1446" s="112"/>
      <c r="N1446" s="112"/>
      <c r="O1446" s="112"/>
      <c r="P1446" s="112"/>
      <c r="Q1446" s="112" t="s">
        <v>1228</v>
      </c>
    </row>
    <row r="1447" spans="2:17" hidden="1" outlineLevel="2">
      <c r="B1447" s="2" t="s">
        <v>876</v>
      </c>
      <c r="D1447" s="268">
        <v>2472</v>
      </c>
      <c r="E1447" s="114" t="s">
        <v>208</v>
      </c>
      <c r="F1447" s="114" t="s">
        <v>1903</v>
      </c>
      <c r="G1447" s="114" t="s">
        <v>1512</v>
      </c>
      <c r="H1447" s="114" t="s">
        <v>1505</v>
      </c>
      <c r="I1447" s="114"/>
      <c r="J1447" s="114" t="b">
        <v>0</v>
      </c>
      <c r="K1447" s="114"/>
      <c r="L1447" s="114"/>
      <c r="M1447" s="114"/>
      <c r="N1447" s="114"/>
      <c r="O1447" s="114"/>
      <c r="P1447" s="114"/>
      <c r="Q1447" s="114" t="s">
        <v>1228</v>
      </c>
    </row>
    <row r="1448" spans="2:17" hidden="1" outlineLevel="2">
      <c r="B1448" s="2" t="s">
        <v>876</v>
      </c>
      <c r="D1448" s="270">
        <v>2473</v>
      </c>
      <c r="E1448" s="112" t="s">
        <v>208</v>
      </c>
      <c r="F1448" s="112" t="s">
        <v>1904</v>
      </c>
      <c r="G1448" s="112" t="s">
        <v>1512</v>
      </c>
      <c r="H1448" s="112" t="s">
        <v>1512</v>
      </c>
      <c r="I1448" s="112"/>
      <c r="J1448" s="112" t="b">
        <v>0</v>
      </c>
      <c r="K1448" s="112"/>
      <c r="L1448" s="112"/>
      <c r="M1448" s="112"/>
      <c r="N1448" s="112"/>
      <c r="O1448" s="112"/>
      <c r="P1448" s="112"/>
      <c r="Q1448" s="112" t="s">
        <v>1228</v>
      </c>
    </row>
    <row r="1449" spans="2:17" hidden="1" outlineLevel="2">
      <c r="B1449" s="2" t="s">
        <v>876</v>
      </c>
      <c r="D1449" s="268">
        <v>2474</v>
      </c>
      <c r="E1449" s="114" t="s">
        <v>208</v>
      </c>
      <c r="F1449" s="114" t="s">
        <v>1905</v>
      </c>
      <c r="G1449" s="114" t="s">
        <v>1493</v>
      </c>
      <c r="H1449" s="114" t="s">
        <v>1505</v>
      </c>
      <c r="I1449" s="114"/>
      <c r="J1449" s="114" t="b">
        <v>0</v>
      </c>
      <c r="K1449" s="114"/>
      <c r="L1449" s="114"/>
      <c r="M1449" s="114"/>
      <c r="N1449" s="114"/>
      <c r="O1449" s="114"/>
      <c r="P1449" s="114"/>
      <c r="Q1449" s="114" t="s">
        <v>1228</v>
      </c>
    </row>
    <row r="1450" spans="2:17" hidden="1" outlineLevel="2">
      <c r="B1450" s="2" t="s">
        <v>876</v>
      </c>
      <c r="D1450" s="270">
        <v>2475</v>
      </c>
      <c r="E1450" s="112" t="s">
        <v>208</v>
      </c>
      <c r="F1450" s="112" t="s">
        <v>1906</v>
      </c>
      <c r="G1450" s="112" t="s">
        <v>1512</v>
      </c>
      <c r="H1450" s="112" t="s">
        <v>1505</v>
      </c>
      <c r="I1450" s="112"/>
      <c r="J1450" s="112" t="b">
        <v>0</v>
      </c>
      <c r="K1450" s="112"/>
      <c r="L1450" s="112"/>
      <c r="M1450" s="112"/>
      <c r="N1450" s="112"/>
      <c r="O1450" s="112"/>
      <c r="P1450" s="112"/>
      <c r="Q1450" s="112" t="s">
        <v>1228</v>
      </c>
    </row>
    <row r="1451" spans="2:17" hidden="1" outlineLevel="2">
      <c r="B1451" s="2" t="s">
        <v>876</v>
      </c>
      <c r="D1451" s="268">
        <v>2476</v>
      </c>
      <c r="E1451" s="114" t="s">
        <v>208</v>
      </c>
      <c r="F1451" s="114" t="s">
        <v>1907</v>
      </c>
      <c r="G1451" s="221" t="s">
        <v>1512</v>
      </c>
      <c r="H1451" s="114" t="s">
        <v>1505</v>
      </c>
      <c r="I1451" s="114"/>
      <c r="J1451" s="114" t="b">
        <v>0</v>
      </c>
      <c r="K1451" s="114"/>
      <c r="L1451" s="114"/>
      <c r="M1451" s="114"/>
      <c r="N1451" s="114"/>
      <c r="O1451" s="114"/>
      <c r="P1451" s="114"/>
      <c r="Q1451" s="114" t="s">
        <v>1228</v>
      </c>
    </row>
    <row r="1452" spans="2:17" hidden="1" outlineLevel="2">
      <c r="B1452" s="2" t="s">
        <v>876</v>
      </c>
      <c r="D1452" s="270">
        <v>2477</v>
      </c>
      <c r="E1452" s="112" t="s">
        <v>208</v>
      </c>
      <c r="F1452" s="112" t="s">
        <v>1908</v>
      </c>
      <c r="G1452" s="112" t="s">
        <v>1572</v>
      </c>
      <c r="H1452" s="112" t="s">
        <v>1227</v>
      </c>
      <c r="I1452" s="112"/>
      <c r="J1452" s="112" t="b">
        <v>0</v>
      </c>
      <c r="K1452" s="112"/>
      <c r="L1452" s="112"/>
      <c r="M1452" s="112"/>
      <c r="N1452" s="112"/>
      <c r="O1452" s="112"/>
      <c r="P1452" s="112"/>
      <c r="Q1452" s="112" t="s">
        <v>1227</v>
      </c>
    </row>
    <row r="1453" spans="2:17" hidden="1" outlineLevel="2">
      <c r="B1453" s="2" t="s">
        <v>876</v>
      </c>
      <c r="D1453" s="268">
        <v>2478</v>
      </c>
      <c r="E1453" s="114" t="s">
        <v>208</v>
      </c>
      <c r="F1453" s="114" t="s">
        <v>1909</v>
      </c>
      <c r="G1453" s="114" t="s">
        <v>1572</v>
      </c>
      <c r="H1453" s="114" t="s">
        <v>1227</v>
      </c>
      <c r="I1453" s="114"/>
      <c r="J1453" s="114" t="b">
        <v>0</v>
      </c>
      <c r="K1453" s="114"/>
      <c r="L1453" s="114"/>
      <c r="M1453" s="114"/>
      <c r="N1453" s="114"/>
      <c r="O1453" s="114"/>
      <c r="P1453" s="114"/>
      <c r="Q1453" s="114" t="s">
        <v>1227</v>
      </c>
    </row>
    <row r="1454" spans="2:17" hidden="1" outlineLevel="2">
      <c r="B1454" s="2" t="s">
        <v>876</v>
      </c>
      <c r="D1454" s="270">
        <v>2479</v>
      </c>
      <c r="E1454" s="112" t="s">
        <v>208</v>
      </c>
      <c r="F1454" s="112" t="s">
        <v>1910</v>
      </c>
      <c r="G1454" s="112" t="s">
        <v>1493</v>
      </c>
      <c r="H1454" s="112" t="s">
        <v>1227</v>
      </c>
      <c r="I1454" s="112"/>
      <c r="J1454" s="112" t="b">
        <v>0</v>
      </c>
      <c r="K1454" s="112"/>
      <c r="L1454" s="112"/>
      <c r="M1454" s="112"/>
      <c r="N1454" s="112"/>
      <c r="O1454" s="112"/>
      <c r="P1454" s="112"/>
      <c r="Q1454" s="112" t="s">
        <v>1227</v>
      </c>
    </row>
    <row r="1455" spans="2:17" hidden="1" outlineLevel="2">
      <c r="B1455" s="2" t="s">
        <v>876</v>
      </c>
      <c r="D1455" s="268">
        <v>2480</v>
      </c>
      <c r="E1455" s="114" t="s">
        <v>208</v>
      </c>
      <c r="F1455" s="114" t="s">
        <v>1911</v>
      </c>
      <c r="G1455" s="114" t="s">
        <v>1483</v>
      </c>
      <c r="H1455" s="114" t="s">
        <v>1494</v>
      </c>
      <c r="I1455" s="114"/>
      <c r="J1455" s="114" t="b">
        <v>0</v>
      </c>
      <c r="K1455" s="114"/>
      <c r="L1455" s="114"/>
      <c r="M1455" s="114"/>
      <c r="N1455" s="114"/>
      <c r="O1455" s="114"/>
      <c r="P1455" s="114"/>
      <c r="Q1455" s="114" t="s">
        <v>1228</v>
      </c>
    </row>
    <row r="1456" spans="2:17" hidden="1" outlineLevel="2">
      <c r="B1456" s="2" t="s">
        <v>876</v>
      </c>
      <c r="D1456" s="270">
        <v>2481</v>
      </c>
      <c r="E1456" s="112" t="s">
        <v>208</v>
      </c>
      <c r="F1456" s="112" t="s">
        <v>1912</v>
      </c>
      <c r="G1456" s="112" t="s">
        <v>1572</v>
      </c>
      <c r="H1456" s="112" t="s">
        <v>1227</v>
      </c>
      <c r="I1456" s="112"/>
      <c r="J1456" s="112" t="b">
        <v>0</v>
      </c>
      <c r="K1456" s="112"/>
      <c r="L1456" s="112"/>
      <c r="M1456" s="112"/>
      <c r="N1456" s="691" t="b">
        <v>1</v>
      </c>
      <c r="O1456" s="112"/>
      <c r="P1456" s="112"/>
      <c r="Q1456" s="112" t="s">
        <v>1227</v>
      </c>
    </row>
    <row r="1457" spans="2:17" hidden="1" outlineLevel="2">
      <c r="B1457" s="2" t="s">
        <v>876</v>
      </c>
      <c r="D1457" s="268">
        <v>2482</v>
      </c>
      <c r="E1457" s="114" t="s">
        <v>208</v>
      </c>
      <c r="F1457" s="114" t="s">
        <v>1913</v>
      </c>
      <c r="G1457" s="269" t="s">
        <v>1493</v>
      </c>
      <c r="H1457" s="114" t="s">
        <v>1512</v>
      </c>
      <c r="I1457" s="114"/>
      <c r="J1457" s="114" t="b">
        <v>0</v>
      </c>
      <c r="K1457" s="114"/>
      <c r="L1457" s="114"/>
      <c r="M1457" s="114"/>
      <c r="N1457" s="114"/>
      <c r="O1457" s="114"/>
      <c r="P1457" s="114"/>
      <c r="Q1457" s="114" t="s">
        <v>1228</v>
      </c>
    </row>
    <row r="1458" spans="2:17" hidden="1" outlineLevel="2">
      <c r="B1458" s="2" t="s">
        <v>876</v>
      </c>
      <c r="D1458" s="270">
        <v>2483</v>
      </c>
      <c r="E1458" s="112" t="s">
        <v>208</v>
      </c>
      <c r="F1458" s="112" t="s">
        <v>1914</v>
      </c>
      <c r="G1458" s="112" t="s">
        <v>1493</v>
      </c>
      <c r="H1458" s="112" t="s">
        <v>1505</v>
      </c>
      <c r="I1458" s="112"/>
      <c r="J1458" s="112" t="b">
        <v>0</v>
      </c>
      <c r="K1458" s="112"/>
      <c r="L1458" s="112"/>
      <c r="M1458" s="112"/>
      <c r="N1458" s="112"/>
      <c r="O1458" s="112"/>
      <c r="P1458" s="112"/>
      <c r="Q1458" s="112" t="s">
        <v>1228</v>
      </c>
    </row>
    <row r="1459" spans="2:17" hidden="1" outlineLevel="2">
      <c r="B1459" s="2" t="s">
        <v>876</v>
      </c>
      <c r="D1459" s="268">
        <v>2484</v>
      </c>
      <c r="E1459" s="114" t="s">
        <v>208</v>
      </c>
      <c r="F1459" s="114" t="s">
        <v>1842</v>
      </c>
      <c r="G1459" s="114" t="s">
        <v>1483</v>
      </c>
      <c r="H1459" s="114" t="s">
        <v>1494</v>
      </c>
      <c r="I1459" s="114"/>
      <c r="J1459" s="114" t="b">
        <v>0</v>
      </c>
      <c r="K1459" s="114"/>
      <c r="L1459" s="114"/>
      <c r="M1459" s="114"/>
      <c r="N1459" s="114"/>
      <c r="O1459" s="114"/>
      <c r="P1459" s="114"/>
      <c r="Q1459" s="114" t="s">
        <v>1228</v>
      </c>
    </row>
    <row r="1460" spans="2:17" hidden="1" outlineLevel="2">
      <c r="B1460" s="2" t="s">
        <v>876</v>
      </c>
      <c r="D1460" s="270">
        <v>2485</v>
      </c>
      <c r="E1460" s="112" t="s">
        <v>208</v>
      </c>
      <c r="F1460" s="112" t="s">
        <v>1915</v>
      </c>
      <c r="G1460" s="112" t="s">
        <v>1572</v>
      </c>
      <c r="H1460" s="112" t="s">
        <v>1227</v>
      </c>
      <c r="I1460" s="112"/>
      <c r="J1460" s="112" t="b">
        <v>0</v>
      </c>
      <c r="K1460" s="112"/>
      <c r="L1460" s="112"/>
      <c r="M1460" s="112"/>
      <c r="N1460" s="112"/>
      <c r="O1460" s="112"/>
      <c r="P1460" s="112"/>
      <c r="Q1460" s="112" t="s">
        <v>1227</v>
      </c>
    </row>
    <row r="1461" spans="2:17" hidden="1" outlineLevel="2">
      <c r="B1461" s="2" t="s">
        <v>876</v>
      </c>
      <c r="D1461" s="268">
        <v>2486</v>
      </c>
      <c r="E1461" s="114" t="s">
        <v>208</v>
      </c>
      <c r="F1461" s="114" t="s">
        <v>1916</v>
      </c>
      <c r="G1461" s="114" t="s">
        <v>1572</v>
      </c>
      <c r="H1461" s="114" t="s">
        <v>1227</v>
      </c>
      <c r="I1461" s="114"/>
      <c r="J1461" s="114" t="b">
        <v>0</v>
      </c>
      <c r="K1461" s="114"/>
      <c r="L1461" s="114"/>
      <c r="M1461" s="114"/>
      <c r="N1461" s="114"/>
      <c r="O1461" s="114"/>
      <c r="P1461" s="114"/>
      <c r="Q1461" s="114" t="s">
        <v>1227</v>
      </c>
    </row>
    <row r="1462" spans="2:17" hidden="1" outlineLevel="2">
      <c r="B1462" s="2" t="s">
        <v>876</v>
      </c>
      <c r="D1462" s="270">
        <v>2487</v>
      </c>
      <c r="E1462" s="112" t="s">
        <v>208</v>
      </c>
      <c r="F1462" s="112" t="s">
        <v>1917</v>
      </c>
      <c r="G1462" s="269" t="s">
        <v>1572</v>
      </c>
      <c r="H1462" s="112" t="s">
        <v>1494</v>
      </c>
      <c r="I1462" s="112"/>
      <c r="J1462" s="112" t="b">
        <v>0</v>
      </c>
      <c r="K1462" s="112"/>
      <c r="L1462" s="112"/>
      <c r="M1462" s="112"/>
      <c r="N1462" s="112"/>
      <c r="O1462" s="112"/>
      <c r="P1462" s="112"/>
      <c r="Q1462" s="112" t="s">
        <v>1227</v>
      </c>
    </row>
    <row r="1463" spans="2:17" hidden="1" outlineLevel="2">
      <c r="B1463" s="2" t="s">
        <v>876</v>
      </c>
      <c r="D1463" s="268">
        <v>2488</v>
      </c>
      <c r="E1463" s="114" t="s">
        <v>208</v>
      </c>
      <c r="F1463" s="114" t="s">
        <v>1918</v>
      </c>
      <c r="G1463" s="114" t="s">
        <v>1572</v>
      </c>
      <c r="H1463" s="114" t="s">
        <v>1227</v>
      </c>
      <c r="I1463" s="114"/>
      <c r="J1463" s="114" t="b">
        <v>0</v>
      </c>
      <c r="K1463" s="114"/>
      <c r="L1463" s="114"/>
      <c r="M1463" s="114"/>
      <c r="N1463" s="114"/>
      <c r="O1463" s="114"/>
      <c r="P1463" s="114"/>
      <c r="Q1463" s="114" t="s">
        <v>1227</v>
      </c>
    </row>
    <row r="1464" spans="2:17" hidden="1" outlineLevel="2">
      <c r="B1464" s="2" t="s">
        <v>876</v>
      </c>
      <c r="D1464" s="270">
        <v>2489</v>
      </c>
      <c r="E1464" s="112" t="s">
        <v>208</v>
      </c>
      <c r="F1464" s="112" t="s">
        <v>1919</v>
      </c>
      <c r="G1464" s="112" t="s">
        <v>1572</v>
      </c>
      <c r="H1464" s="112" t="s">
        <v>1227</v>
      </c>
      <c r="I1464" s="112"/>
      <c r="J1464" s="112" t="b">
        <v>0</v>
      </c>
      <c r="K1464" s="112"/>
      <c r="L1464" s="112"/>
      <c r="M1464" s="112"/>
      <c r="N1464" s="112"/>
      <c r="O1464" s="112"/>
      <c r="P1464" s="112"/>
      <c r="Q1464" s="112" t="s">
        <v>1227</v>
      </c>
    </row>
    <row r="1465" spans="2:17" hidden="1" outlineLevel="2">
      <c r="B1465" s="2" t="s">
        <v>876</v>
      </c>
      <c r="D1465" s="268">
        <v>2490</v>
      </c>
      <c r="E1465" s="114" t="s">
        <v>208</v>
      </c>
      <c r="F1465" s="114" t="s">
        <v>1920</v>
      </c>
      <c r="G1465" s="269" t="s">
        <v>1493</v>
      </c>
      <c r="H1465" s="114" t="s">
        <v>1505</v>
      </c>
      <c r="I1465" s="114"/>
      <c r="J1465" s="114" t="b">
        <v>0</v>
      </c>
      <c r="K1465" s="114"/>
      <c r="L1465" s="114"/>
      <c r="M1465" s="114"/>
      <c r="N1465" s="114"/>
      <c r="O1465" s="114"/>
      <c r="P1465" s="114"/>
      <c r="Q1465" s="114" t="s">
        <v>1228</v>
      </c>
    </row>
    <row r="1466" spans="2:17" hidden="1" outlineLevel="2">
      <c r="B1466" s="2" t="s">
        <v>876</v>
      </c>
      <c r="D1466" s="270">
        <v>2500</v>
      </c>
      <c r="E1466" s="112" t="s">
        <v>208</v>
      </c>
      <c r="F1466" s="112" t="s">
        <v>1921</v>
      </c>
      <c r="G1466" s="112" t="s">
        <v>1572</v>
      </c>
      <c r="H1466" s="112" t="s">
        <v>1227</v>
      </c>
      <c r="I1466" s="112"/>
      <c r="J1466" s="112" t="b">
        <v>0</v>
      </c>
      <c r="K1466" s="112"/>
      <c r="L1466" s="112"/>
      <c r="M1466" s="112"/>
      <c r="N1466" s="112"/>
      <c r="O1466" s="112"/>
      <c r="P1466" s="112"/>
      <c r="Q1466" s="112" t="s">
        <v>1227</v>
      </c>
    </row>
    <row r="1467" spans="2:17" hidden="1" outlineLevel="2">
      <c r="B1467" s="2" t="s">
        <v>876</v>
      </c>
      <c r="D1467" s="268">
        <v>2502</v>
      </c>
      <c r="E1467" s="114" t="s">
        <v>208</v>
      </c>
      <c r="F1467" s="114" t="s">
        <v>1922</v>
      </c>
      <c r="G1467" s="114" t="s">
        <v>1572</v>
      </c>
      <c r="H1467" s="114" t="s">
        <v>1227</v>
      </c>
      <c r="I1467" s="114"/>
      <c r="J1467" s="114" t="b">
        <v>0</v>
      </c>
      <c r="K1467" s="114"/>
      <c r="L1467" s="114"/>
      <c r="M1467" s="114"/>
      <c r="N1467" s="114"/>
      <c r="O1467" s="114"/>
      <c r="P1467" s="114"/>
      <c r="Q1467" s="114" t="s">
        <v>1227</v>
      </c>
    </row>
    <row r="1468" spans="2:17" hidden="1" outlineLevel="2">
      <c r="B1468" s="2" t="s">
        <v>876</v>
      </c>
      <c r="D1468" s="270">
        <v>2505</v>
      </c>
      <c r="E1468" s="112" t="s">
        <v>208</v>
      </c>
      <c r="F1468" s="112" t="s">
        <v>1923</v>
      </c>
      <c r="G1468" s="112" t="s">
        <v>1572</v>
      </c>
      <c r="H1468" s="112" t="s">
        <v>1227</v>
      </c>
      <c r="I1468" s="112"/>
      <c r="J1468" s="112" t="b">
        <v>0</v>
      </c>
      <c r="K1468" s="112"/>
      <c r="L1468" s="112"/>
      <c r="M1468" s="112"/>
      <c r="N1468" s="112"/>
      <c r="O1468" s="112"/>
      <c r="P1468" s="112"/>
      <c r="Q1468" s="112" t="s">
        <v>1227</v>
      </c>
    </row>
    <row r="1469" spans="2:17" hidden="1" outlineLevel="2">
      <c r="B1469" s="2" t="s">
        <v>876</v>
      </c>
      <c r="D1469" s="268">
        <v>2506</v>
      </c>
      <c r="E1469" s="114" t="s">
        <v>208</v>
      </c>
      <c r="F1469" s="114" t="s">
        <v>1924</v>
      </c>
      <c r="G1469" s="114" t="s">
        <v>1572</v>
      </c>
      <c r="H1469" s="114" t="s">
        <v>1227</v>
      </c>
      <c r="I1469" s="114"/>
      <c r="J1469" s="114" t="b">
        <v>0</v>
      </c>
      <c r="K1469" s="114"/>
      <c r="L1469" s="114"/>
      <c r="M1469" s="114"/>
      <c r="N1469" s="114"/>
      <c r="O1469" s="114"/>
      <c r="P1469" s="114"/>
      <c r="Q1469" s="114" t="s">
        <v>1227</v>
      </c>
    </row>
    <row r="1470" spans="2:17" hidden="1" outlineLevel="2">
      <c r="B1470" s="2" t="s">
        <v>876</v>
      </c>
      <c r="D1470" s="270">
        <v>2508</v>
      </c>
      <c r="E1470" s="112" t="s">
        <v>208</v>
      </c>
      <c r="F1470" s="112" t="s">
        <v>1925</v>
      </c>
      <c r="G1470" s="112" t="s">
        <v>1572</v>
      </c>
      <c r="H1470" s="112" t="s">
        <v>1227</v>
      </c>
      <c r="I1470" s="112"/>
      <c r="J1470" s="112" t="b">
        <v>0</v>
      </c>
      <c r="K1470" s="112"/>
      <c r="L1470" s="112"/>
      <c r="M1470" s="112"/>
      <c r="N1470" s="112"/>
      <c r="O1470" s="112"/>
      <c r="P1470" s="112"/>
      <c r="Q1470" s="112" t="s">
        <v>1227</v>
      </c>
    </row>
    <row r="1471" spans="2:17" hidden="1" outlineLevel="2">
      <c r="B1471" s="2" t="s">
        <v>876</v>
      </c>
      <c r="D1471" s="268">
        <v>2515</v>
      </c>
      <c r="E1471" s="114" t="s">
        <v>208</v>
      </c>
      <c r="F1471" s="114" t="s">
        <v>1926</v>
      </c>
      <c r="G1471" s="114" t="s">
        <v>1572</v>
      </c>
      <c r="H1471" s="114" t="s">
        <v>1227</v>
      </c>
      <c r="I1471" s="114"/>
      <c r="J1471" s="114" t="b">
        <v>0</v>
      </c>
      <c r="K1471" s="114"/>
      <c r="L1471" s="114"/>
      <c r="M1471" s="114"/>
      <c r="N1471" s="691" t="b">
        <v>1</v>
      </c>
      <c r="O1471" s="114"/>
      <c r="P1471" s="114"/>
      <c r="Q1471" s="114" t="s">
        <v>1227</v>
      </c>
    </row>
    <row r="1472" spans="2:17" hidden="1" outlineLevel="2">
      <c r="B1472" s="2" t="s">
        <v>876</v>
      </c>
      <c r="D1472" s="270">
        <v>2516</v>
      </c>
      <c r="E1472" s="112" t="s">
        <v>208</v>
      </c>
      <c r="F1472" s="112" t="s">
        <v>1927</v>
      </c>
      <c r="G1472" s="112" t="s">
        <v>1572</v>
      </c>
      <c r="H1472" s="112" t="s">
        <v>1227</v>
      </c>
      <c r="I1472" s="112"/>
      <c r="J1472" s="112" t="b">
        <v>0</v>
      </c>
      <c r="K1472" s="112"/>
      <c r="L1472" s="112"/>
      <c r="M1472" s="112"/>
      <c r="N1472" s="112"/>
      <c r="O1472" s="112"/>
      <c r="P1472" s="112"/>
      <c r="Q1472" s="112" t="s">
        <v>1227</v>
      </c>
    </row>
    <row r="1473" spans="2:17" hidden="1" outlineLevel="2">
      <c r="B1473" s="2" t="s">
        <v>876</v>
      </c>
      <c r="D1473" s="268">
        <v>2517</v>
      </c>
      <c r="E1473" s="114" t="s">
        <v>208</v>
      </c>
      <c r="F1473" s="114" t="s">
        <v>1928</v>
      </c>
      <c r="G1473" s="114" t="s">
        <v>1572</v>
      </c>
      <c r="H1473" s="114" t="s">
        <v>1227</v>
      </c>
      <c r="I1473" s="114"/>
      <c r="J1473" s="114" t="b">
        <v>0</v>
      </c>
      <c r="K1473" s="114"/>
      <c r="L1473" s="114"/>
      <c r="M1473" s="114"/>
      <c r="N1473" s="114"/>
      <c r="O1473" s="114"/>
      <c r="P1473" s="114"/>
      <c r="Q1473" s="114" t="s">
        <v>1227</v>
      </c>
    </row>
    <row r="1474" spans="2:17" hidden="1" outlineLevel="2">
      <c r="B1474" s="2" t="s">
        <v>876</v>
      </c>
      <c r="D1474" s="270">
        <v>2518</v>
      </c>
      <c r="E1474" s="112" t="s">
        <v>208</v>
      </c>
      <c r="F1474" s="112" t="s">
        <v>1929</v>
      </c>
      <c r="G1474" s="112" t="s">
        <v>1572</v>
      </c>
      <c r="H1474" s="112" t="s">
        <v>1227</v>
      </c>
      <c r="I1474" s="112"/>
      <c r="J1474" s="112" t="b">
        <v>0</v>
      </c>
      <c r="K1474" s="112"/>
      <c r="L1474" s="112"/>
      <c r="M1474" s="112"/>
      <c r="N1474" s="112"/>
      <c r="O1474" s="112"/>
      <c r="P1474" s="112"/>
      <c r="Q1474" s="112" t="s">
        <v>1227</v>
      </c>
    </row>
    <row r="1475" spans="2:17" hidden="1" outlineLevel="2">
      <c r="B1475" s="2" t="s">
        <v>876</v>
      </c>
      <c r="D1475" s="268">
        <v>2519</v>
      </c>
      <c r="E1475" s="114" t="s">
        <v>208</v>
      </c>
      <c r="F1475" s="114" t="s">
        <v>1930</v>
      </c>
      <c r="G1475" s="114" t="s">
        <v>1572</v>
      </c>
      <c r="H1475" s="114" t="s">
        <v>1227</v>
      </c>
      <c r="I1475" s="114"/>
      <c r="J1475" s="114" t="b">
        <v>0</v>
      </c>
      <c r="K1475" s="114"/>
      <c r="L1475" s="114"/>
      <c r="M1475" s="114"/>
      <c r="N1475" s="114"/>
      <c r="O1475" s="114"/>
      <c r="P1475" s="114"/>
      <c r="Q1475" s="114" t="s">
        <v>1227</v>
      </c>
    </row>
    <row r="1476" spans="2:17" hidden="1" outlineLevel="2">
      <c r="B1476" s="2" t="s">
        <v>876</v>
      </c>
      <c r="D1476" s="270">
        <v>2525</v>
      </c>
      <c r="E1476" s="112" t="s">
        <v>208</v>
      </c>
      <c r="F1476" s="112" t="s">
        <v>1931</v>
      </c>
      <c r="G1476" s="112" t="s">
        <v>1572</v>
      </c>
      <c r="H1476" s="112" t="s">
        <v>1227</v>
      </c>
      <c r="I1476" s="112"/>
      <c r="J1476" s="112" t="b">
        <v>0</v>
      </c>
      <c r="K1476" s="112"/>
      <c r="L1476" s="112"/>
      <c r="M1476" s="112"/>
      <c r="N1476" s="112"/>
      <c r="O1476" s="112"/>
      <c r="P1476" s="112"/>
      <c r="Q1476" s="112" t="s">
        <v>1227</v>
      </c>
    </row>
    <row r="1477" spans="2:17" hidden="1" outlineLevel="2">
      <c r="B1477" s="2" t="s">
        <v>876</v>
      </c>
      <c r="D1477" s="268">
        <v>2526</v>
      </c>
      <c r="E1477" s="114" t="s">
        <v>208</v>
      </c>
      <c r="F1477" s="114" t="s">
        <v>1932</v>
      </c>
      <c r="G1477" s="114" t="s">
        <v>1572</v>
      </c>
      <c r="H1477" s="114" t="s">
        <v>1227</v>
      </c>
      <c r="I1477" s="114"/>
      <c r="J1477" s="114" t="b">
        <v>0</v>
      </c>
      <c r="K1477" s="114" t="s">
        <v>1484</v>
      </c>
      <c r="L1477" s="114" t="b">
        <v>1</v>
      </c>
      <c r="M1477" s="114"/>
      <c r="N1477" s="114"/>
      <c r="O1477" s="114"/>
      <c r="P1477" s="114"/>
      <c r="Q1477" s="114" t="s">
        <v>1227</v>
      </c>
    </row>
    <row r="1478" spans="2:17" hidden="1" outlineLevel="2">
      <c r="B1478" s="2" t="s">
        <v>876</v>
      </c>
      <c r="D1478" s="270">
        <v>2527</v>
      </c>
      <c r="E1478" s="112" t="s">
        <v>208</v>
      </c>
      <c r="F1478" s="112" t="s">
        <v>1933</v>
      </c>
      <c r="G1478" s="112" t="s">
        <v>1572</v>
      </c>
      <c r="H1478" s="112" t="s">
        <v>1227</v>
      </c>
      <c r="I1478" s="112"/>
      <c r="J1478" s="112" t="b">
        <v>0</v>
      </c>
      <c r="K1478" s="112"/>
      <c r="L1478" s="112"/>
      <c r="M1478" s="112"/>
      <c r="N1478" s="112"/>
      <c r="O1478" s="112"/>
      <c r="P1478" s="112"/>
      <c r="Q1478" s="112" t="s">
        <v>1227</v>
      </c>
    </row>
    <row r="1479" spans="2:17" hidden="1" outlineLevel="2">
      <c r="B1479" s="2" t="s">
        <v>876</v>
      </c>
      <c r="D1479" s="268">
        <v>2528</v>
      </c>
      <c r="E1479" s="114" t="s">
        <v>208</v>
      </c>
      <c r="F1479" s="114" t="s">
        <v>1934</v>
      </c>
      <c r="G1479" s="114" t="s">
        <v>1572</v>
      </c>
      <c r="H1479" s="114" t="s">
        <v>1227</v>
      </c>
      <c r="I1479" s="114"/>
      <c r="J1479" s="114" t="b">
        <v>0</v>
      </c>
      <c r="K1479" s="114"/>
      <c r="L1479" s="114"/>
      <c r="M1479" s="114"/>
      <c r="N1479" s="114"/>
      <c r="O1479" s="114"/>
      <c r="P1479" s="114"/>
      <c r="Q1479" s="114" t="s">
        <v>1227</v>
      </c>
    </row>
    <row r="1480" spans="2:17" hidden="1" outlineLevel="2">
      <c r="B1480" s="2" t="s">
        <v>876</v>
      </c>
      <c r="D1480" s="270">
        <v>2529</v>
      </c>
      <c r="E1480" s="112" t="s">
        <v>208</v>
      </c>
      <c r="F1480" s="112" t="s">
        <v>1935</v>
      </c>
      <c r="G1480" s="112" t="s">
        <v>1572</v>
      </c>
      <c r="H1480" s="112" t="s">
        <v>1227</v>
      </c>
      <c r="I1480" s="112"/>
      <c r="J1480" s="112" t="b">
        <v>0</v>
      </c>
      <c r="K1480" s="112"/>
      <c r="L1480" s="112"/>
      <c r="M1480" s="112"/>
      <c r="N1480" s="112"/>
      <c r="O1480" s="112"/>
      <c r="P1480" s="112"/>
      <c r="Q1480" s="112" t="s">
        <v>1227</v>
      </c>
    </row>
    <row r="1481" spans="2:17" hidden="1" outlineLevel="2">
      <c r="B1481" s="2" t="s">
        <v>876</v>
      </c>
      <c r="D1481" s="268">
        <v>2530</v>
      </c>
      <c r="E1481" s="114" t="s">
        <v>208</v>
      </c>
      <c r="F1481" s="114" t="s">
        <v>1936</v>
      </c>
      <c r="G1481" s="114" t="s">
        <v>1572</v>
      </c>
      <c r="H1481" s="114" t="s">
        <v>1227</v>
      </c>
      <c r="I1481" s="114"/>
      <c r="J1481" s="114" t="b">
        <v>0</v>
      </c>
      <c r="K1481" s="114"/>
      <c r="L1481" s="114"/>
      <c r="M1481" s="114"/>
      <c r="N1481" s="114"/>
      <c r="O1481" s="114"/>
      <c r="P1481" s="114"/>
      <c r="Q1481" s="114" t="s">
        <v>1227</v>
      </c>
    </row>
    <row r="1482" spans="2:17" hidden="1" outlineLevel="2">
      <c r="B1482" s="2" t="s">
        <v>876</v>
      </c>
      <c r="D1482" s="270">
        <v>2533</v>
      </c>
      <c r="E1482" s="112" t="s">
        <v>208</v>
      </c>
      <c r="F1482" s="112" t="s">
        <v>1937</v>
      </c>
      <c r="G1482" s="112" t="s">
        <v>1572</v>
      </c>
      <c r="H1482" s="112" t="s">
        <v>1227</v>
      </c>
      <c r="I1482" s="112"/>
      <c r="J1482" s="112" t="b">
        <v>0</v>
      </c>
      <c r="K1482" s="112"/>
      <c r="L1482" s="112"/>
      <c r="M1482" s="112"/>
      <c r="N1482" s="112"/>
      <c r="O1482" s="112"/>
      <c r="P1482" s="112"/>
      <c r="Q1482" s="112" t="s">
        <v>1227</v>
      </c>
    </row>
    <row r="1483" spans="2:17" hidden="1" outlineLevel="2">
      <c r="B1483" s="2" t="s">
        <v>876</v>
      </c>
      <c r="D1483" s="268">
        <v>2534</v>
      </c>
      <c r="E1483" s="114" t="s">
        <v>208</v>
      </c>
      <c r="F1483" s="114" t="s">
        <v>1938</v>
      </c>
      <c r="G1483" s="114" t="s">
        <v>1572</v>
      </c>
      <c r="H1483" s="114" t="s">
        <v>1227</v>
      </c>
      <c r="I1483" s="114"/>
      <c r="J1483" s="114" t="b">
        <v>0</v>
      </c>
      <c r="K1483" s="114"/>
      <c r="L1483" s="114"/>
      <c r="M1483" s="114"/>
      <c r="N1483" s="114"/>
      <c r="O1483" s="114"/>
      <c r="P1483" s="114"/>
      <c r="Q1483" s="114" t="s">
        <v>1227</v>
      </c>
    </row>
    <row r="1484" spans="2:17" hidden="1" outlineLevel="2">
      <c r="B1484" s="2" t="s">
        <v>876</v>
      </c>
      <c r="D1484" s="270">
        <v>2535</v>
      </c>
      <c r="E1484" s="112" t="s">
        <v>208</v>
      </c>
      <c r="F1484" s="112" t="s">
        <v>1939</v>
      </c>
      <c r="G1484" s="112" t="s">
        <v>1483</v>
      </c>
      <c r="H1484" s="112" t="s">
        <v>1494</v>
      </c>
      <c r="I1484" s="112"/>
      <c r="J1484" s="112" t="b">
        <v>0</v>
      </c>
      <c r="K1484" s="112"/>
      <c r="L1484" s="112"/>
      <c r="M1484" s="112"/>
      <c r="N1484" s="112"/>
      <c r="O1484" s="112"/>
      <c r="P1484" s="112"/>
      <c r="Q1484" s="112" t="s">
        <v>1228</v>
      </c>
    </row>
    <row r="1485" spans="2:17" hidden="1" outlineLevel="2">
      <c r="B1485" s="2" t="s">
        <v>876</v>
      </c>
      <c r="D1485" s="268">
        <v>2536</v>
      </c>
      <c r="E1485" s="114" t="s">
        <v>208</v>
      </c>
      <c r="F1485" s="114" t="s">
        <v>1940</v>
      </c>
      <c r="G1485" s="269" t="s">
        <v>1483</v>
      </c>
      <c r="H1485" s="114" t="s">
        <v>1494</v>
      </c>
      <c r="I1485" s="114"/>
      <c r="J1485" s="114" t="b">
        <v>0</v>
      </c>
      <c r="K1485" s="114"/>
      <c r="L1485" s="114"/>
      <c r="M1485" s="114"/>
      <c r="N1485" s="114"/>
      <c r="O1485" s="114"/>
      <c r="P1485" s="114"/>
      <c r="Q1485" s="114" t="s">
        <v>1228</v>
      </c>
    </row>
    <row r="1486" spans="2:17" hidden="1" outlineLevel="2">
      <c r="B1486" s="2" t="s">
        <v>876</v>
      </c>
      <c r="D1486" s="270">
        <v>2537</v>
      </c>
      <c r="E1486" s="112" t="s">
        <v>208</v>
      </c>
      <c r="F1486" s="112" t="s">
        <v>1941</v>
      </c>
      <c r="G1486" s="112" t="s">
        <v>1493</v>
      </c>
      <c r="H1486" s="112" t="s">
        <v>1494</v>
      </c>
      <c r="I1486" s="112"/>
      <c r="J1486" s="112" t="b">
        <v>0</v>
      </c>
      <c r="K1486" s="112"/>
      <c r="L1486" s="112"/>
      <c r="M1486" s="112"/>
      <c r="N1486" s="112"/>
      <c r="O1486" s="112"/>
      <c r="P1486" s="112"/>
      <c r="Q1486" s="112" t="s">
        <v>1228</v>
      </c>
    </row>
    <row r="1487" spans="2:17" hidden="1" outlineLevel="2">
      <c r="B1487" s="2" t="s">
        <v>876</v>
      </c>
      <c r="D1487" s="268">
        <v>2538</v>
      </c>
      <c r="E1487" s="114" t="s">
        <v>208</v>
      </c>
      <c r="F1487" s="114" t="s">
        <v>1942</v>
      </c>
      <c r="G1487" s="269" t="s">
        <v>1483</v>
      </c>
      <c r="H1487" s="114" t="s">
        <v>1494</v>
      </c>
      <c r="I1487" s="114"/>
      <c r="J1487" s="114" t="b">
        <v>0</v>
      </c>
      <c r="K1487" s="114"/>
      <c r="L1487" s="114"/>
      <c r="M1487" s="114"/>
      <c r="N1487" s="114"/>
      <c r="O1487" s="114"/>
      <c r="P1487" s="114"/>
      <c r="Q1487" s="114" t="s">
        <v>1228</v>
      </c>
    </row>
    <row r="1488" spans="2:17" hidden="1" outlineLevel="2">
      <c r="B1488" s="2" t="s">
        <v>876</v>
      </c>
      <c r="D1488" s="270">
        <v>2539</v>
      </c>
      <c r="E1488" s="112" t="s">
        <v>208</v>
      </c>
      <c r="F1488" s="112" t="s">
        <v>1943</v>
      </c>
      <c r="G1488" s="269" t="s">
        <v>1483</v>
      </c>
      <c r="H1488" s="112" t="s">
        <v>1494</v>
      </c>
      <c r="I1488" s="112"/>
      <c r="J1488" s="112" t="b">
        <v>0</v>
      </c>
      <c r="K1488" s="112"/>
      <c r="L1488" s="112"/>
      <c r="M1488" s="112"/>
      <c r="N1488" s="112"/>
      <c r="O1488" s="112"/>
      <c r="P1488" s="112"/>
      <c r="Q1488" s="112" t="s">
        <v>1228</v>
      </c>
    </row>
    <row r="1489" spans="2:17" hidden="1" outlineLevel="2">
      <c r="B1489" s="2" t="s">
        <v>876</v>
      </c>
      <c r="D1489" s="268">
        <v>2540</v>
      </c>
      <c r="E1489" s="114" t="s">
        <v>208</v>
      </c>
      <c r="F1489" s="114" t="s">
        <v>1944</v>
      </c>
      <c r="G1489" s="269" t="s">
        <v>1483</v>
      </c>
      <c r="H1489" s="114" t="s">
        <v>1494</v>
      </c>
      <c r="I1489" s="114"/>
      <c r="J1489" s="114" t="b">
        <v>0</v>
      </c>
      <c r="K1489" s="114"/>
      <c r="L1489" s="114"/>
      <c r="M1489" s="114"/>
      <c r="N1489" s="114"/>
      <c r="O1489" s="114"/>
      <c r="P1489" s="114"/>
      <c r="Q1489" s="114" t="s">
        <v>1228</v>
      </c>
    </row>
    <row r="1490" spans="2:17" hidden="1" outlineLevel="2">
      <c r="B1490" s="2" t="s">
        <v>876</v>
      </c>
      <c r="D1490" s="270">
        <v>2541</v>
      </c>
      <c r="E1490" s="112" t="s">
        <v>208</v>
      </c>
      <c r="F1490" s="112" t="s">
        <v>1945</v>
      </c>
      <c r="G1490" s="112" t="s">
        <v>1483</v>
      </c>
      <c r="H1490" s="112" t="s">
        <v>1227</v>
      </c>
      <c r="I1490" s="112"/>
      <c r="J1490" s="112" t="b">
        <v>0</v>
      </c>
      <c r="K1490" s="112"/>
      <c r="L1490" s="112"/>
      <c r="M1490" s="112"/>
      <c r="N1490" s="112"/>
      <c r="O1490" s="112"/>
      <c r="P1490" s="112"/>
      <c r="Q1490" s="112" t="s">
        <v>1227</v>
      </c>
    </row>
    <row r="1491" spans="2:17" hidden="1" outlineLevel="2">
      <c r="B1491" s="2" t="s">
        <v>876</v>
      </c>
      <c r="D1491" s="268">
        <v>2545</v>
      </c>
      <c r="E1491" s="114" t="s">
        <v>208</v>
      </c>
      <c r="F1491" s="114" t="s">
        <v>1946</v>
      </c>
      <c r="G1491" s="269" t="s">
        <v>1493</v>
      </c>
      <c r="H1491" s="114" t="s">
        <v>1505</v>
      </c>
      <c r="I1491" s="114"/>
      <c r="J1491" s="114" t="b">
        <v>0</v>
      </c>
      <c r="K1491" s="114"/>
      <c r="L1491" s="114"/>
      <c r="M1491" s="114"/>
      <c r="N1491" s="114"/>
      <c r="O1491" s="114"/>
      <c r="P1491" s="114"/>
      <c r="Q1491" s="114" t="s">
        <v>1228</v>
      </c>
    </row>
    <row r="1492" spans="2:17" hidden="1" outlineLevel="2">
      <c r="B1492" s="2" t="s">
        <v>876</v>
      </c>
      <c r="D1492" s="270">
        <v>2546</v>
      </c>
      <c r="E1492" s="112" t="s">
        <v>208</v>
      </c>
      <c r="F1492" s="112" t="s">
        <v>1947</v>
      </c>
      <c r="G1492" s="112" t="s">
        <v>1493</v>
      </c>
      <c r="H1492" s="112" t="s">
        <v>1494</v>
      </c>
      <c r="I1492" s="112"/>
      <c r="J1492" s="112" t="b">
        <v>0</v>
      </c>
      <c r="K1492" s="112"/>
      <c r="L1492" s="112"/>
      <c r="M1492" s="112"/>
      <c r="N1492" s="112"/>
      <c r="O1492" s="112"/>
      <c r="P1492" s="112"/>
      <c r="Q1492" s="112" t="s">
        <v>1228</v>
      </c>
    </row>
    <row r="1493" spans="2:17" hidden="1" outlineLevel="2">
      <c r="B1493" s="2" t="s">
        <v>876</v>
      </c>
      <c r="D1493" s="268">
        <v>2548</v>
      </c>
      <c r="E1493" s="114" t="s">
        <v>208</v>
      </c>
      <c r="F1493" s="114" t="s">
        <v>1948</v>
      </c>
      <c r="G1493" s="114" t="s">
        <v>1483</v>
      </c>
      <c r="H1493" s="114" t="s">
        <v>1494</v>
      </c>
      <c r="I1493" s="114"/>
      <c r="J1493" s="114" t="b">
        <v>0</v>
      </c>
      <c r="K1493" s="114"/>
      <c r="L1493" s="114"/>
      <c r="M1493" s="114"/>
      <c r="N1493" s="114"/>
      <c r="O1493" s="114"/>
      <c r="P1493" s="114"/>
      <c r="Q1493" s="114" t="s">
        <v>1228</v>
      </c>
    </row>
    <row r="1494" spans="2:17" hidden="1" outlineLevel="2">
      <c r="B1494" s="2" t="s">
        <v>876</v>
      </c>
      <c r="D1494" s="270">
        <v>2549</v>
      </c>
      <c r="E1494" s="112" t="s">
        <v>208</v>
      </c>
      <c r="F1494" s="112" t="s">
        <v>1949</v>
      </c>
      <c r="G1494" s="112" t="s">
        <v>1483</v>
      </c>
      <c r="H1494" s="112" t="s">
        <v>1494</v>
      </c>
      <c r="I1494" s="112"/>
      <c r="J1494" s="112" t="b">
        <v>0</v>
      </c>
      <c r="K1494" s="112"/>
      <c r="L1494" s="112"/>
      <c r="M1494" s="112"/>
      <c r="N1494" s="112"/>
      <c r="O1494" s="112"/>
      <c r="P1494" s="112"/>
      <c r="Q1494" s="112" t="s">
        <v>1228</v>
      </c>
    </row>
    <row r="1495" spans="2:17" hidden="1" outlineLevel="2">
      <c r="B1495" s="2" t="s">
        <v>876</v>
      </c>
      <c r="D1495" s="268">
        <v>2550</v>
      </c>
      <c r="E1495" s="114" t="s">
        <v>208</v>
      </c>
      <c r="F1495" s="114" t="s">
        <v>1950</v>
      </c>
      <c r="G1495" s="114" t="s">
        <v>1483</v>
      </c>
      <c r="H1495" s="114" t="s">
        <v>1494</v>
      </c>
      <c r="I1495" s="114"/>
      <c r="J1495" s="114" t="b">
        <v>0</v>
      </c>
      <c r="K1495" s="114"/>
      <c r="L1495" s="114"/>
      <c r="M1495" s="114"/>
      <c r="N1495" s="114"/>
      <c r="O1495" s="114"/>
      <c r="P1495" s="114"/>
      <c r="Q1495" s="114" t="s">
        <v>1228</v>
      </c>
    </row>
    <row r="1496" spans="2:17" hidden="1" outlineLevel="2">
      <c r="B1496" s="2" t="s">
        <v>876</v>
      </c>
      <c r="D1496" s="270">
        <v>2551</v>
      </c>
      <c r="E1496" s="112" t="s">
        <v>208</v>
      </c>
      <c r="F1496" s="112" t="s">
        <v>1951</v>
      </c>
      <c r="G1496" s="112" t="s">
        <v>1493</v>
      </c>
      <c r="H1496" s="112" t="s">
        <v>1494</v>
      </c>
      <c r="I1496" s="112"/>
      <c r="J1496" s="112" t="b">
        <v>0</v>
      </c>
      <c r="K1496" s="112"/>
      <c r="L1496" s="112"/>
      <c r="M1496" s="112"/>
      <c r="N1496" s="112"/>
      <c r="O1496" s="112"/>
      <c r="P1496" s="112"/>
      <c r="Q1496" s="112" t="s">
        <v>1228</v>
      </c>
    </row>
    <row r="1497" spans="2:17" hidden="1" outlineLevel="2">
      <c r="B1497" s="2" t="s">
        <v>876</v>
      </c>
      <c r="D1497" s="268">
        <v>2555</v>
      </c>
      <c r="E1497" s="114" t="s">
        <v>208</v>
      </c>
      <c r="F1497" s="114" t="s">
        <v>1952</v>
      </c>
      <c r="G1497" s="114" t="s">
        <v>1512</v>
      </c>
      <c r="H1497" s="114" t="s">
        <v>1505</v>
      </c>
      <c r="I1497" s="114"/>
      <c r="J1497" s="114" t="b">
        <v>0</v>
      </c>
      <c r="K1497" s="114"/>
      <c r="L1497" s="114"/>
      <c r="M1497" s="114"/>
      <c r="N1497" s="114"/>
      <c r="O1497" s="114"/>
      <c r="P1497" s="114"/>
      <c r="Q1497" s="114" t="s">
        <v>1228</v>
      </c>
    </row>
    <row r="1498" spans="2:17" hidden="1" outlineLevel="2">
      <c r="B1498" s="2" t="s">
        <v>876</v>
      </c>
      <c r="D1498" s="270">
        <v>2556</v>
      </c>
      <c r="E1498" s="112" t="s">
        <v>208</v>
      </c>
      <c r="F1498" s="112" t="s">
        <v>1953</v>
      </c>
      <c r="G1498" s="112" t="s">
        <v>1572</v>
      </c>
      <c r="H1498" s="112" t="s">
        <v>1227</v>
      </c>
      <c r="I1498" s="112"/>
      <c r="J1498" s="112" t="b">
        <v>0</v>
      </c>
      <c r="K1498" s="112"/>
      <c r="L1498" s="112"/>
      <c r="M1498" s="112"/>
      <c r="N1498" s="112"/>
      <c r="O1498" s="112"/>
      <c r="P1498" s="112"/>
      <c r="Q1498" s="112" t="s">
        <v>1228</v>
      </c>
    </row>
    <row r="1499" spans="2:17" hidden="1" outlineLevel="2">
      <c r="B1499" s="2" t="s">
        <v>876</v>
      </c>
      <c r="D1499" s="268">
        <v>2557</v>
      </c>
      <c r="E1499" s="114" t="s">
        <v>208</v>
      </c>
      <c r="F1499" s="114" t="s">
        <v>1954</v>
      </c>
      <c r="G1499" s="114" t="s">
        <v>1572</v>
      </c>
      <c r="H1499" s="114" t="s">
        <v>1227</v>
      </c>
      <c r="I1499" s="114"/>
      <c r="J1499" s="114" t="b">
        <v>0</v>
      </c>
      <c r="K1499" s="114"/>
      <c r="L1499" s="114"/>
      <c r="M1499" s="114"/>
      <c r="N1499" s="114"/>
      <c r="O1499" s="114"/>
      <c r="P1499" s="114"/>
      <c r="Q1499" s="114" t="s">
        <v>1228</v>
      </c>
    </row>
    <row r="1500" spans="2:17" hidden="1" outlineLevel="2">
      <c r="B1500" s="2" t="s">
        <v>876</v>
      </c>
      <c r="D1500" s="270">
        <v>2558</v>
      </c>
      <c r="E1500" s="112" t="s">
        <v>208</v>
      </c>
      <c r="F1500" s="112" t="s">
        <v>1955</v>
      </c>
      <c r="G1500" s="112" t="s">
        <v>1572</v>
      </c>
      <c r="H1500" s="112" t="s">
        <v>1227</v>
      </c>
      <c r="I1500" s="112"/>
      <c r="J1500" s="112" t="b">
        <v>0</v>
      </c>
      <c r="K1500" s="112"/>
      <c r="L1500" s="112"/>
      <c r="M1500" s="112"/>
      <c r="N1500" s="112"/>
      <c r="O1500" s="112"/>
      <c r="P1500" s="112"/>
      <c r="Q1500" s="112" t="s">
        <v>1227</v>
      </c>
    </row>
    <row r="1501" spans="2:17" hidden="1" outlineLevel="2">
      <c r="B1501" s="2" t="s">
        <v>876</v>
      </c>
      <c r="D1501" s="268">
        <v>2559</v>
      </c>
      <c r="E1501" s="114" t="s">
        <v>208</v>
      </c>
      <c r="F1501" s="114" t="s">
        <v>1956</v>
      </c>
      <c r="G1501" s="114" t="s">
        <v>1572</v>
      </c>
      <c r="H1501" s="114" t="s">
        <v>1227</v>
      </c>
      <c r="I1501" s="114"/>
      <c r="J1501" s="114" t="b">
        <v>0</v>
      </c>
      <c r="K1501" s="114"/>
      <c r="L1501" s="114"/>
      <c r="M1501" s="114"/>
      <c r="N1501" s="114"/>
      <c r="O1501" s="114"/>
      <c r="P1501" s="114"/>
      <c r="Q1501" s="114" t="s">
        <v>1227</v>
      </c>
    </row>
    <row r="1502" spans="2:17" hidden="1" outlineLevel="2">
      <c r="B1502" s="2" t="s">
        <v>876</v>
      </c>
      <c r="D1502" s="270">
        <v>2560</v>
      </c>
      <c r="E1502" s="112" t="s">
        <v>208</v>
      </c>
      <c r="F1502" s="112" t="s">
        <v>1957</v>
      </c>
      <c r="G1502" s="112" t="s">
        <v>1572</v>
      </c>
      <c r="H1502" s="112" t="s">
        <v>1227</v>
      </c>
      <c r="I1502" s="112"/>
      <c r="J1502" s="112" t="b">
        <v>0</v>
      </c>
      <c r="K1502" s="112"/>
      <c r="L1502" s="112"/>
      <c r="M1502" s="112"/>
      <c r="N1502" s="112"/>
      <c r="O1502" s="112"/>
      <c r="P1502" s="112"/>
      <c r="Q1502" s="112" t="s">
        <v>1227</v>
      </c>
    </row>
    <row r="1503" spans="2:17" hidden="1" outlineLevel="2">
      <c r="B1503" s="2" t="s">
        <v>876</v>
      </c>
      <c r="D1503" s="268">
        <v>2563</v>
      </c>
      <c r="E1503" s="114" t="s">
        <v>208</v>
      </c>
      <c r="F1503" s="114" t="s">
        <v>1958</v>
      </c>
      <c r="G1503" s="114" t="s">
        <v>1572</v>
      </c>
      <c r="H1503" s="114" t="s">
        <v>1227</v>
      </c>
      <c r="I1503" s="114"/>
      <c r="J1503" s="114" t="b">
        <v>0</v>
      </c>
      <c r="K1503" s="114"/>
      <c r="L1503" s="114"/>
      <c r="M1503" s="114"/>
      <c r="N1503" s="114"/>
      <c r="O1503" s="114"/>
      <c r="P1503" s="114"/>
      <c r="Q1503" s="114" t="s">
        <v>1227</v>
      </c>
    </row>
    <row r="1504" spans="2:17" hidden="1" outlineLevel="2">
      <c r="B1504" s="2" t="s">
        <v>876</v>
      </c>
      <c r="D1504" s="270">
        <v>2564</v>
      </c>
      <c r="E1504" s="112" t="s">
        <v>208</v>
      </c>
      <c r="F1504" s="112" t="s">
        <v>1959</v>
      </c>
      <c r="G1504" s="112" t="s">
        <v>1572</v>
      </c>
      <c r="H1504" s="112" t="s">
        <v>1227</v>
      </c>
      <c r="I1504" s="112"/>
      <c r="J1504" s="112" t="b">
        <v>0</v>
      </c>
      <c r="K1504" s="112"/>
      <c r="L1504" s="112"/>
      <c r="M1504" s="112"/>
      <c r="N1504" s="112"/>
      <c r="O1504" s="112"/>
      <c r="P1504" s="112"/>
      <c r="Q1504" s="112" t="s">
        <v>1227</v>
      </c>
    </row>
    <row r="1505" spans="2:17" hidden="1" outlineLevel="2">
      <c r="B1505" s="2" t="s">
        <v>876</v>
      </c>
      <c r="D1505" s="268">
        <v>2565</v>
      </c>
      <c r="E1505" s="114" t="s">
        <v>208</v>
      </c>
      <c r="F1505" s="114" t="s">
        <v>1960</v>
      </c>
      <c r="G1505" s="114" t="s">
        <v>1572</v>
      </c>
      <c r="H1505" s="114" t="s">
        <v>1227</v>
      </c>
      <c r="I1505" s="114"/>
      <c r="J1505" s="114" t="b">
        <v>0</v>
      </c>
      <c r="K1505" s="114"/>
      <c r="L1505" s="114"/>
      <c r="M1505" s="114"/>
      <c r="N1505" s="114"/>
      <c r="O1505" s="114"/>
      <c r="P1505" s="114"/>
      <c r="Q1505" s="114" t="s">
        <v>1227</v>
      </c>
    </row>
    <row r="1506" spans="2:17" hidden="1" outlineLevel="2">
      <c r="B1506" s="2" t="s">
        <v>876</v>
      </c>
      <c r="D1506" s="270">
        <v>2566</v>
      </c>
      <c r="E1506" s="112" t="s">
        <v>208</v>
      </c>
      <c r="F1506" s="112" t="s">
        <v>1961</v>
      </c>
      <c r="G1506" s="112" t="s">
        <v>1572</v>
      </c>
      <c r="H1506" s="112" t="s">
        <v>1227</v>
      </c>
      <c r="I1506" s="112"/>
      <c r="J1506" s="112" t="b">
        <v>0</v>
      </c>
      <c r="K1506" s="112"/>
      <c r="L1506" s="112"/>
      <c r="M1506" s="112"/>
      <c r="N1506" s="112"/>
      <c r="O1506" s="112"/>
      <c r="P1506" s="112"/>
      <c r="Q1506" s="112" t="s">
        <v>1227</v>
      </c>
    </row>
    <row r="1507" spans="2:17" hidden="1" outlineLevel="2">
      <c r="B1507" s="2" t="s">
        <v>876</v>
      </c>
      <c r="D1507" s="268">
        <v>2567</v>
      </c>
      <c r="E1507" s="114" t="s">
        <v>208</v>
      </c>
      <c r="F1507" s="114" t="s">
        <v>1962</v>
      </c>
      <c r="G1507" s="114" t="s">
        <v>1572</v>
      </c>
      <c r="H1507" s="114" t="s">
        <v>1227</v>
      </c>
      <c r="I1507" s="114"/>
      <c r="J1507" s="114" t="b">
        <v>0</v>
      </c>
      <c r="K1507" s="114"/>
      <c r="L1507" s="114"/>
      <c r="M1507" s="114"/>
      <c r="N1507" s="114"/>
      <c r="O1507" s="114"/>
      <c r="P1507" s="114"/>
      <c r="Q1507" s="114" t="s">
        <v>1227</v>
      </c>
    </row>
    <row r="1508" spans="2:17" hidden="1" outlineLevel="2">
      <c r="B1508" s="2" t="s">
        <v>876</v>
      </c>
      <c r="D1508" s="270">
        <v>2568</v>
      </c>
      <c r="E1508" s="112" t="s">
        <v>208</v>
      </c>
      <c r="F1508" s="112" t="s">
        <v>1963</v>
      </c>
      <c r="G1508" s="112" t="s">
        <v>1572</v>
      </c>
      <c r="H1508" s="112" t="s">
        <v>1227</v>
      </c>
      <c r="I1508" s="112"/>
      <c r="J1508" s="112" t="b">
        <v>0</v>
      </c>
      <c r="K1508" s="112"/>
      <c r="L1508" s="112"/>
      <c r="M1508" s="112"/>
      <c r="N1508" s="112"/>
      <c r="O1508" s="112"/>
      <c r="P1508" s="112"/>
      <c r="Q1508" s="112" t="s">
        <v>1227</v>
      </c>
    </row>
    <row r="1509" spans="2:17" hidden="1" outlineLevel="2">
      <c r="B1509" s="2" t="s">
        <v>876</v>
      </c>
      <c r="D1509" s="268">
        <v>2569</v>
      </c>
      <c r="E1509" s="114" t="s">
        <v>208</v>
      </c>
      <c r="F1509" s="114" t="s">
        <v>1964</v>
      </c>
      <c r="G1509" s="114" t="s">
        <v>1572</v>
      </c>
      <c r="H1509" s="114" t="s">
        <v>1227</v>
      </c>
      <c r="I1509" s="114"/>
      <c r="J1509" s="114" t="b">
        <v>0</v>
      </c>
      <c r="K1509" s="114"/>
      <c r="L1509" s="114"/>
      <c r="M1509" s="114"/>
      <c r="N1509" s="114"/>
      <c r="O1509" s="114"/>
      <c r="P1509" s="114"/>
      <c r="Q1509" s="114" t="s">
        <v>1227</v>
      </c>
    </row>
    <row r="1510" spans="2:17" hidden="1" outlineLevel="2">
      <c r="B1510" s="2" t="s">
        <v>876</v>
      </c>
      <c r="D1510" s="270">
        <v>2570</v>
      </c>
      <c r="E1510" s="112" t="s">
        <v>208</v>
      </c>
      <c r="F1510" s="112" t="s">
        <v>1965</v>
      </c>
      <c r="G1510" s="112" t="s">
        <v>1572</v>
      </c>
      <c r="H1510" s="112" t="s">
        <v>1227</v>
      </c>
      <c r="I1510" s="112"/>
      <c r="J1510" s="112" t="b">
        <v>0</v>
      </c>
      <c r="K1510" s="112"/>
      <c r="L1510" s="112"/>
      <c r="M1510" s="112"/>
      <c r="N1510" s="112"/>
      <c r="O1510" s="112"/>
      <c r="P1510" s="112"/>
      <c r="Q1510" s="112" t="s">
        <v>1227</v>
      </c>
    </row>
    <row r="1511" spans="2:17" hidden="1" outlineLevel="2">
      <c r="B1511" s="2" t="s">
        <v>876</v>
      </c>
      <c r="D1511" s="268">
        <v>2571</v>
      </c>
      <c r="E1511" s="114" t="s">
        <v>208</v>
      </c>
      <c r="F1511" s="114" t="s">
        <v>1966</v>
      </c>
      <c r="G1511" s="114" t="s">
        <v>1572</v>
      </c>
      <c r="H1511" s="114" t="s">
        <v>1227</v>
      </c>
      <c r="I1511" s="114"/>
      <c r="J1511" s="114" t="b">
        <v>0</v>
      </c>
      <c r="K1511" s="114"/>
      <c r="L1511" s="114"/>
      <c r="M1511" s="114"/>
      <c r="N1511" s="114"/>
      <c r="O1511" s="114"/>
      <c r="P1511" s="114"/>
      <c r="Q1511" s="114" t="s">
        <v>1227</v>
      </c>
    </row>
    <row r="1512" spans="2:17" hidden="1" outlineLevel="2">
      <c r="B1512" s="2" t="s">
        <v>876</v>
      </c>
      <c r="D1512" s="270">
        <v>2572</v>
      </c>
      <c r="E1512" s="112" t="s">
        <v>208</v>
      </c>
      <c r="F1512" s="112" t="s">
        <v>1967</v>
      </c>
      <c r="G1512" s="112" t="s">
        <v>1572</v>
      </c>
      <c r="H1512" s="112" t="s">
        <v>1227</v>
      </c>
      <c r="I1512" s="112"/>
      <c r="J1512" s="112" t="b">
        <v>0</v>
      </c>
      <c r="K1512" s="112"/>
      <c r="L1512" s="112"/>
      <c r="M1512" s="112"/>
      <c r="N1512" s="112"/>
      <c r="O1512" s="112"/>
      <c r="P1512" s="112"/>
      <c r="Q1512" s="112" t="s">
        <v>1227</v>
      </c>
    </row>
    <row r="1513" spans="2:17" hidden="1" outlineLevel="2">
      <c r="B1513" s="2" t="s">
        <v>876</v>
      </c>
      <c r="D1513" s="268">
        <v>2573</v>
      </c>
      <c r="E1513" s="114" t="s">
        <v>208</v>
      </c>
      <c r="F1513" s="114" t="s">
        <v>1968</v>
      </c>
      <c r="G1513" s="114" t="s">
        <v>1572</v>
      </c>
      <c r="H1513" s="114" t="s">
        <v>1227</v>
      </c>
      <c r="I1513" s="114"/>
      <c r="J1513" s="114" t="b">
        <v>0</v>
      </c>
      <c r="K1513" s="114"/>
      <c r="L1513" s="114"/>
      <c r="M1513" s="114"/>
      <c r="N1513" s="114"/>
      <c r="O1513" s="114"/>
      <c r="P1513" s="114"/>
      <c r="Q1513" s="114" t="s">
        <v>1227</v>
      </c>
    </row>
    <row r="1514" spans="2:17" hidden="1" outlineLevel="2">
      <c r="B1514" s="2" t="s">
        <v>876</v>
      </c>
      <c r="D1514" s="270">
        <v>2574</v>
      </c>
      <c r="E1514" s="112" t="s">
        <v>208</v>
      </c>
      <c r="F1514" s="112" t="s">
        <v>1969</v>
      </c>
      <c r="G1514" s="112" t="s">
        <v>1572</v>
      </c>
      <c r="H1514" s="112" t="s">
        <v>1227</v>
      </c>
      <c r="I1514" s="112"/>
      <c r="J1514" s="112" t="b">
        <v>0</v>
      </c>
      <c r="K1514" s="112"/>
      <c r="L1514" s="112"/>
      <c r="M1514" s="112"/>
      <c r="N1514" s="112"/>
      <c r="O1514" s="112"/>
      <c r="P1514" s="112"/>
      <c r="Q1514" s="112" t="s">
        <v>1227</v>
      </c>
    </row>
    <row r="1515" spans="2:17" hidden="1" outlineLevel="2">
      <c r="B1515" s="2" t="s">
        <v>876</v>
      </c>
      <c r="D1515" s="268">
        <v>2575</v>
      </c>
      <c r="E1515" s="114" t="s">
        <v>208</v>
      </c>
      <c r="F1515" s="114" t="s">
        <v>1970</v>
      </c>
      <c r="G1515" s="114" t="s">
        <v>1572</v>
      </c>
      <c r="H1515" s="114" t="s">
        <v>1227</v>
      </c>
      <c r="I1515" s="114"/>
      <c r="J1515" s="114" t="b">
        <v>0</v>
      </c>
      <c r="K1515" s="114"/>
      <c r="L1515" s="114"/>
      <c r="M1515" s="114"/>
      <c r="N1515" s="114"/>
      <c r="O1515" s="114"/>
      <c r="P1515" s="114"/>
      <c r="Q1515" s="114" t="s">
        <v>1227</v>
      </c>
    </row>
    <row r="1516" spans="2:17" hidden="1" outlineLevel="2">
      <c r="B1516" s="2" t="s">
        <v>876</v>
      </c>
      <c r="D1516" s="270">
        <v>2576</v>
      </c>
      <c r="E1516" s="112" t="s">
        <v>208</v>
      </c>
      <c r="F1516" s="112" t="s">
        <v>1971</v>
      </c>
      <c r="G1516" s="112" t="s">
        <v>1572</v>
      </c>
      <c r="H1516" s="112" t="s">
        <v>1227</v>
      </c>
      <c r="I1516" s="112"/>
      <c r="J1516" s="112" t="b">
        <v>0</v>
      </c>
      <c r="K1516" s="112"/>
      <c r="L1516" s="112"/>
      <c r="M1516" s="112"/>
      <c r="N1516" s="112"/>
      <c r="O1516" s="112"/>
      <c r="P1516" s="112"/>
      <c r="Q1516" s="112" t="s">
        <v>1227</v>
      </c>
    </row>
    <row r="1517" spans="2:17" hidden="1" outlineLevel="2">
      <c r="B1517" s="2" t="s">
        <v>876</v>
      </c>
      <c r="D1517" s="268">
        <v>2577</v>
      </c>
      <c r="E1517" s="114" t="s">
        <v>208</v>
      </c>
      <c r="F1517" s="114" t="s">
        <v>1972</v>
      </c>
      <c r="G1517" s="114" t="s">
        <v>1483</v>
      </c>
      <c r="H1517" s="114" t="s">
        <v>1494</v>
      </c>
      <c r="I1517" s="114"/>
      <c r="J1517" s="114" t="b">
        <v>0</v>
      </c>
      <c r="K1517" s="114"/>
      <c r="L1517" s="114"/>
      <c r="M1517" s="114"/>
      <c r="N1517" s="114"/>
      <c r="O1517" s="114"/>
      <c r="P1517" s="114"/>
      <c r="Q1517" s="114" t="s">
        <v>1228</v>
      </c>
    </row>
    <row r="1518" spans="2:17" hidden="1" outlineLevel="2">
      <c r="B1518" s="2" t="s">
        <v>876</v>
      </c>
      <c r="D1518" s="270">
        <v>2578</v>
      </c>
      <c r="E1518" s="112" t="s">
        <v>208</v>
      </c>
      <c r="F1518" s="112" t="s">
        <v>1973</v>
      </c>
      <c r="G1518" s="112" t="s">
        <v>1493</v>
      </c>
      <c r="H1518" s="112" t="s">
        <v>1505</v>
      </c>
      <c r="I1518" s="112"/>
      <c r="J1518" s="112" t="b">
        <v>0</v>
      </c>
      <c r="K1518" s="112"/>
      <c r="L1518" s="112"/>
      <c r="M1518" s="112"/>
      <c r="N1518" s="112"/>
      <c r="O1518" s="112"/>
      <c r="P1518" s="112"/>
      <c r="Q1518" s="112" t="s">
        <v>1228</v>
      </c>
    </row>
    <row r="1519" spans="2:17" hidden="1" outlineLevel="2">
      <c r="B1519" s="2" t="s">
        <v>876</v>
      </c>
      <c r="D1519" s="268">
        <v>2579</v>
      </c>
      <c r="E1519" s="114" t="s">
        <v>208</v>
      </c>
      <c r="F1519" s="114" t="s">
        <v>1974</v>
      </c>
      <c r="G1519" s="269" t="s">
        <v>1483</v>
      </c>
      <c r="H1519" s="114" t="s">
        <v>1505</v>
      </c>
      <c r="I1519" s="114"/>
      <c r="J1519" s="114" t="b">
        <v>0</v>
      </c>
      <c r="K1519" s="114"/>
      <c r="L1519" s="114"/>
      <c r="M1519" s="114"/>
      <c r="N1519" s="114"/>
      <c r="O1519" s="114"/>
      <c r="P1519" s="114"/>
      <c r="Q1519" s="114" t="s">
        <v>1228</v>
      </c>
    </row>
    <row r="1520" spans="2:17" hidden="1" outlineLevel="2">
      <c r="B1520" s="2" t="s">
        <v>876</v>
      </c>
      <c r="D1520" s="270">
        <v>2580</v>
      </c>
      <c r="E1520" s="112" t="s">
        <v>208</v>
      </c>
      <c r="F1520" s="112" t="s">
        <v>1975</v>
      </c>
      <c r="G1520" s="112" t="s">
        <v>1483</v>
      </c>
      <c r="H1520" s="112" t="s">
        <v>1494</v>
      </c>
      <c r="I1520" s="112"/>
      <c r="J1520" s="112" t="b">
        <v>0</v>
      </c>
      <c r="K1520" s="112"/>
      <c r="L1520" s="112"/>
      <c r="M1520" s="112"/>
      <c r="N1520" s="112"/>
      <c r="O1520" s="112"/>
      <c r="P1520" s="112"/>
      <c r="Q1520" s="112" t="s">
        <v>1228</v>
      </c>
    </row>
    <row r="1521" spans="2:17" hidden="1" outlineLevel="2">
      <c r="B1521" s="2" t="s">
        <v>876</v>
      </c>
      <c r="D1521" s="268">
        <v>2581</v>
      </c>
      <c r="E1521" s="114" t="s">
        <v>208</v>
      </c>
      <c r="F1521" s="114" t="s">
        <v>1976</v>
      </c>
      <c r="G1521" s="269" t="s">
        <v>1493</v>
      </c>
      <c r="H1521" s="114" t="s">
        <v>1505</v>
      </c>
      <c r="I1521" s="114"/>
      <c r="J1521" s="114" t="b">
        <v>0</v>
      </c>
      <c r="K1521" s="114"/>
      <c r="L1521" s="114"/>
      <c r="M1521" s="114"/>
      <c r="N1521" s="114"/>
      <c r="O1521" s="114"/>
      <c r="P1521" s="114"/>
      <c r="Q1521" s="114" t="s">
        <v>1228</v>
      </c>
    </row>
    <row r="1522" spans="2:17" hidden="1" outlineLevel="2">
      <c r="B1522" s="2" t="s">
        <v>876</v>
      </c>
      <c r="D1522" s="270">
        <v>2582</v>
      </c>
      <c r="E1522" s="112" t="s">
        <v>208</v>
      </c>
      <c r="F1522" s="112" t="s">
        <v>1977</v>
      </c>
      <c r="G1522" s="112" t="s">
        <v>1483</v>
      </c>
      <c r="H1522" s="112" t="s">
        <v>1494</v>
      </c>
      <c r="I1522" s="112"/>
      <c r="J1522" s="112" t="b">
        <v>0</v>
      </c>
      <c r="K1522" s="112"/>
      <c r="L1522" s="112"/>
      <c r="M1522" s="112"/>
      <c r="N1522" s="112"/>
      <c r="O1522" s="112"/>
      <c r="P1522" s="112"/>
      <c r="Q1522" s="112" t="s">
        <v>1228</v>
      </c>
    </row>
    <row r="1523" spans="2:17" hidden="1" outlineLevel="2">
      <c r="B1523" s="2" t="s">
        <v>876</v>
      </c>
      <c r="D1523" s="268">
        <v>2583</v>
      </c>
      <c r="E1523" s="114" t="s">
        <v>208</v>
      </c>
      <c r="F1523" s="114" t="s">
        <v>1978</v>
      </c>
      <c r="G1523" s="114" t="s">
        <v>1512</v>
      </c>
      <c r="H1523" s="114" t="s">
        <v>1505</v>
      </c>
      <c r="I1523" s="114"/>
      <c r="J1523" s="114" t="b">
        <v>0</v>
      </c>
      <c r="K1523" s="114"/>
      <c r="L1523" s="114"/>
      <c r="M1523" s="114"/>
      <c r="N1523" s="114"/>
      <c r="O1523" s="114"/>
      <c r="P1523" s="114"/>
      <c r="Q1523" s="114" t="s">
        <v>1228</v>
      </c>
    </row>
    <row r="1524" spans="2:17" hidden="1" outlineLevel="2">
      <c r="B1524" s="2" t="s">
        <v>876</v>
      </c>
      <c r="D1524" s="270">
        <v>2584</v>
      </c>
      <c r="E1524" s="112" t="s">
        <v>208</v>
      </c>
      <c r="F1524" s="112" t="s">
        <v>1979</v>
      </c>
      <c r="G1524" s="112" t="s">
        <v>1512</v>
      </c>
      <c r="H1524" s="112" t="s">
        <v>1505</v>
      </c>
      <c r="I1524" s="112"/>
      <c r="J1524" s="112" t="b">
        <v>0</v>
      </c>
      <c r="K1524" s="112"/>
      <c r="L1524" s="112"/>
      <c r="M1524" s="112"/>
      <c r="N1524" s="112"/>
      <c r="O1524" s="112"/>
      <c r="P1524" s="112"/>
      <c r="Q1524" s="112" t="s">
        <v>1228</v>
      </c>
    </row>
    <row r="1525" spans="2:17" hidden="1" outlineLevel="2">
      <c r="B1525" s="2" t="s">
        <v>876</v>
      </c>
      <c r="D1525" s="268">
        <v>2585</v>
      </c>
      <c r="E1525" s="114" t="s">
        <v>208</v>
      </c>
      <c r="F1525" s="114" t="s">
        <v>1980</v>
      </c>
      <c r="G1525" s="114" t="s">
        <v>1512</v>
      </c>
      <c r="H1525" s="114" t="s">
        <v>1505</v>
      </c>
      <c r="I1525" s="114"/>
      <c r="J1525" s="114" t="b">
        <v>0</v>
      </c>
      <c r="K1525" s="114" t="s">
        <v>1484</v>
      </c>
      <c r="L1525" s="114" t="b">
        <v>1</v>
      </c>
      <c r="M1525" s="114"/>
      <c r="N1525" s="114"/>
      <c r="O1525" s="114"/>
      <c r="P1525" s="114"/>
      <c r="Q1525" s="114" t="s">
        <v>1228</v>
      </c>
    </row>
    <row r="1526" spans="2:17" hidden="1" outlineLevel="2">
      <c r="B1526" s="2" t="s">
        <v>876</v>
      </c>
      <c r="D1526" s="270">
        <v>2586</v>
      </c>
      <c r="E1526" s="112" t="s">
        <v>208</v>
      </c>
      <c r="F1526" s="112" t="s">
        <v>1981</v>
      </c>
      <c r="G1526" s="112" t="s">
        <v>1512</v>
      </c>
      <c r="H1526" s="112" t="s">
        <v>1505</v>
      </c>
      <c r="I1526" s="112"/>
      <c r="J1526" s="112" t="b">
        <v>0</v>
      </c>
      <c r="K1526" s="112"/>
      <c r="L1526" s="112"/>
      <c r="M1526" s="112"/>
      <c r="N1526" s="112"/>
      <c r="O1526" s="112"/>
      <c r="P1526" s="112"/>
      <c r="Q1526" s="112" t="s">
        <v>1228</v>
      </c>
    </row>
    <row r="1527" spans="2:17" hidden="1" outlineLevel="2">
      <c r="B1527" s="2" t="s">
        <v>876</v>
      </c>
      <c r="D1527" s="268">
        <v>2587</v>
      </c>
      <c r="E1527" s="114" t="s">
        <v>208</v>
      </c>
      <c r="F1527" s="114" t="s">
        <v>1982</v>
      </c>
      <c r="G1527" s="114" t="s">
        <v>1493</v>
      </c>
      <c r="H1527" s="114" t="s">
        <v>1505</v>
      </c>
      <c r="I1527" s="114"/>
      <c r="J1527" s="114" t="b">
        <v>0</v>
      </c>
      <c r="K1527" s="114"/>
      <c r="L1527" s="114"/>
      <c r="M1527" s="114"/>
      <c r="N1527" s="114"/>
      <c r="O1527" s="114"/>
      <c r="P1527" s="114"/>
      <c r="Q1527" s="114" t="s">
        <v>1228</v>
      </c>
    </row>
    <row r="1528" spans="2:17" hidden="1" outlineLevel="2">
      <c r="B1528" s="2" t="s">
        <v>876</v>
      </c>
      <c r="D1528" s="270">
        <v>2588</v>
      </c>
      <c r="E1528" s="112" t="s">
        <v>208</v>
      </c>
      <c r="F1528" s="112" t="s">
        <v>1983</v>
      </c>
      <c r="G1528" s="112" t="s">
        <v>1512</v>
      </c>
      <c r="H1528" s="112" t="s">
        <v>1505</v>
      </c>
      <c r="I1528" s="112"/>
      <c r="J1528" s="112" t="b">
        <v>0</v>
      </c>
      <c r="K1528" s="112"/>
      <c r="L1528" s="112"/>
      <c r="M1528" s="112"/>
      <c r="N1528" s="112"/>
      <c r="O1528" s="112"/>
      <c r="P1528" s="112"/>
      <c r="Q1528" s="112" t="s">
        <v>1228</v>
      </c>
    </row>
    <row r="1529" spans="2:17" hidden="1" outlineLevel="2">
      <c r="B1529" s="2" t="s">
        <v>876</v>
      </c>
      <c r="D1529" s="268">
        <v>2590</v>
      </c>
      <c r="E1529" s="114" t="s">
        <v>208</v>
      </c>
      <c r="F1529" s="114" t="s">
        <v>1984</v>
      </c>
      <c r="G1529" s="114" t="s">
        <v>1493</v>
      </c>
      <c r="H1529" s="114" t="s">
        <v>1505</v>
      </c>
      <c r="I1529" s="114"/>
      <c r="J1529" s="114" t="b">
        <v>0</v>
      </c>
      <c r="K1529" s="114"/>
      <c r="L1529" s="114"/>
      <c r="M1529" s="114"/>
      <c r="N1529" s="114"/>
      <c r="O1529" s="114"/>
      <c r="P1529" s="114"/>
      <c r="Q1529" s="114" t="s">
        <v>1228</v>
      </c>
    </row>
    <row r="1530" spans="2:17" hidden="1" outlineLevel="2">
      <c r="B1530" s="2" t="s">
        <v>876</v>
      </c>
      <c r="D1530" s="270">
        <v>2594</v>
      </c>
      <c r="E1530" s="112" t="s">
        <v>208</v>
      </c>
      <c r="F1530" s="112" t="s">
        <v>1985</v>
      </c>
      <c r="G1530" s="112" t="s">
        <v>1493</v>
      </c>
      <c r="H1530" s="112" t="s">
        <v>1505</v>
      </c>
      <c r="I1530" s="112"/>
      <c r="J1530" s="112" t="b">
        <v>0</v>
      </c>
      <c r="K1530" s="112"/>
      <c r="L1530" s="112"/>
      <c r="M1530" s="112"/>
      <c r="N1530" s="112"/>
      <c r="O1530" s="112"/>
      <c r="P1530" s="112"/>
      <c r="Q1530" s="112" t="s">
        <v>1228</v>
      </c>
    </row>
    <row r="1531" spans="2:17" hidden="1" outlineLevel="2">
      <c r="B1531" s="2" t="s">
        <v>876</v>
      </c>
      <c r="D1531" s="268">
        <v>2600</v>
      </c>
      <c r="E1531" s="114" t="s">
        <v>205</v>
      </c>
      <c r="F1531" s="114" t="s">
        <v>1986</v>
      </c>
      <c r="G1531" s="114" t="s">
        <v>1572</v>
      </c>
      <c r="H1531" s="114" t="s">
        <v>1227</v>
      </c>
      <c r="I1531" s="114"/>
      <c r="J1531" s="114" t="b">
        <v>0</v>
      </c>
      <c r="K1531" s="114"/>
      <c r="L1531" s="114"/>
      <c r="M1531" s="114"/>
      <c r="N1531" s="691" t="b">
        <v>1</v>
      </c>
      <c r="O1531" s="114"/>
      <c r="P1531" s="114"/>
      <c r="Q1531" s="114" t="s">
        <v>1227</v>
      </c>
    </row>
    <row r="1532" spans="2:17" hidden="1" outlineLevel="2">
      <c r="B1532" s="2" t="s">
        <v>876</v>
      </c>
      <c r="D1532" s="270">
        <v>2601</v>
      </c>
      <c r="E1532" s="112" t="s">
        <v>205</v>
      </c>
      <c r="F1532" s="112" t="s">
        <v>1987</v>
      </c>
      <c r="G1532" s="269" t="s">
        <v>1572</v>
      </c>
      <c r="H1532" s="112" t="s">
        <v>1227</v>
      </c>
      <c r="I1532" s="112"/>
      <c r="J1532" s="112" t="b">
        <v>0</v>
      </c>
      <c r="K1532" s="112"/>
      <c r="L1532" s="112"/>
      <c r="M1532" s="112"/>
      <c r="N1532" s="112"/>
      <c r="O1532" s="112"/>
      <c r="P1532" s="112"/>
      <c r="Q1532" s="112" t="s">
        <v>1227</v>
      </c>
    </row>
    <row r="1533" spans="2:17" hidden="1" outlineLevel="2">
      <c r="B1533" s="2" t="s">
        <v>876</v>
      </c>
      <c r="D1533" s="268">
        <v>2602</v>
      </c>
      <c r="E1533" s="114" t="s">
        <v>205</v>
      </c>
      <c r="F1533" s="114" t="s">
        <v>1988</v>
      </c>
      <c r="G1533" s="114" t="s">
        <v>1572</v>
      </c>
      <c r="H1533" s="114" t="s">
        <v>1227</v>
      </c>
      <c r="I1533" s="114"/>
      <c r="J1533" s="114" t="b">
        <v>0</v>
      </c>
      <c r="K1533" s="114"/>
      <c r="L1533" s="114"/>
      <c r="M1533" s="114"/>
      <c r="N1533" s="114"/>
      <c r="O1533" s="114"/>
      <c r="P1533" s="114"/>
      <c r="Q1533" s="114" t="s">
        <v>1227</v>
      </c>
    </row>
    <row r="1534" spans="2:17" hidden="1" outlineLevel="2">
      <c r="B1534" s="2" t="s">
        <v>876</v>
      </c>
      <c r="D1534" s="270">
        <v>2603</v>
      </c>
      <c r="E1534" s="112" t="s">
        <v>205</v>
      </c>
      <c r="F1534" s="112" t="s">
        <v>1989</v>
      </c>
      <c r="G1534" s="112" t="s">
        <v>1572</v>
      </c>
      <c r="H1534" s="112" t="s">
        <v>1227</v>
      </c>
      <c r="I1534" s="112"/>
      <c r="J1534" s="112" t="b">
        <v>0</v>
      </c>
      <c r="K1534" s="112"/>
      <c r="L1534" s="112"/>
      <c r="M1534" s="112"/>
      <c r="N1534" s="691" t="b">
        <v>1</v>
      </c>
      <c r="O1534" s="112"/>
      <c r="P1534" s="112"/>
      <c r="Q1534" s="112" t="s">
        <v>1227</v>
      </c>
    </row>
    <row r="1535" spans="2:17" hidden="1" outlineLevel="2">
      <c r="B1535" s="2" t="s">
        <v>876</v>
      </c>
      <c r="D1535" s="268">
        <v>2604</v>
      </c>
      <c r="E1535" s="114" t="s">
        <v>205</v>
      </c>
      <c r="F1535" s="114" t="s">
        <v>1990</v>
      </c>
      <c r="G1535" s="114" t="s">
        <v>1572</v>
      </c>
      <c r="H1535" s="114" t="s">
        <v>1227</v>
      </c>
      <c r="I1535" s="114"/>
      <c r="J1535" s="114" t="b">
        <v>0</v>
      </c>
      <c r="K1535" s="114"/>
      <c r="L1535" s="114"/>
      <c r="M1535" s="114"/>
      <c r="N1535" s="114"/>
      <c r="O1535" s="114"/>
      <c r="P1535" s="114"/>
      <c r="Q1535" s="114" t="s">
        <v>1227</v>
      </c>
    </row>
    <row r="1536" spans="2:17" hidden="1" outlineLevel="2">
      <c r="B1536" s="2" t="s">
        <v>876</v>
      </c>
      <c r="D1536" s="270">
        <v>2605</v>
      </c>
      <c r="E1536" s="112" t="s">
        <v>205</v>
      </c>
      <c r="F1536" s="112" t="s">
        <v>1991</v>
      </c>
      <c r="G1536" s="112" t="s">
        <v>1572</v>
      </c>
      <c r="H1536" s="112" t="s">
        <v>1227</v>
      </c>
      <c r="I1536" s="112"/>
      <c r="J1536" s="112" t="b">
        <v>0</v>
      </c>
      <c r="K1536" s="112"/>
      <c r="L1536" s="112"/>
      <c r="M1536" s="112"/>
      <c r="N1536" s="112"/>
      <c r="O1536" s="112"/>
      <c r="P1536" s="112"/>
      <c r="Q1536" s="112" t="s">
        <v>1227</v>
      </c>
    </row>
    <row r="1537" spans="2:17" hidden="1" outlineLevel="2">
      <c r="B1537" s="2" t="s">
        <v>876</v>
      </c>
      <c r="D1537" s="268">
        <v>2606</v>
      </c>
      <c r="E1537" s="114" t="s">
        <v>205</v>
      </c>
      <c r="F1537" s="114" t="s">
        <v>1586</v>
      </c>
      <c r="G1537" s="114" t="s">
        <v>1572</v>
      </c>
      <c r="H1537" s="114" t="s">
        <v>1227</v>
      </c>
      <c r="I1537" s="114"/>
      <c r="J1537" s="114" t="b">
        <v>0</v>
      </c>
      <c r="K1537" s="114"/>
      <c r="L1537" s="114"/>
      <c r="M1537" s="114"/>
      <c r="N1537" s="114"/>
      <c r="O1537" s="114"/>
      <c r="P1537" s="114"/>
      <c r="Q1537" s="114" t="s">
        <v>1227</v>
      </c>
    </row>
    <row r="1538" spans="2:17" hidden="1" outlineLevel="2">
      <c r="B1538" s="2" t="s">
        <v>876</v>
      </c>
      <c r="D1538" s="270">
        <v>2607</v>
      </c>
      <c r="E1538" s="112" t="s">
        <v>205</v>
      </c>
      <c r="F1538" s="112" t="s">
        <v>1992</v>
      </c>
      <c r="G1538" s="112" t="s">
        <v>1572</v>
      </c>
      <c r="H1538" s="112" t="s">
        <v>1227</v>
      </c>
      <c r="I1538" s="112"/>
      <c r="J1538" s="112" t="b">
        <v>0</v>
      </c>
      <c r="K1538" s="112"/>
      <c r="L1538" s="112"/>
      <c r="M1538" s="112"/>
      <c r="N1538" s="112"/>
      <c r="O1538" s="112"/>
      <c r="P1538" s="112"/>
      <c r="Q1538" s="112" t="s">
        <v>1227</v>
      </c>
    </row>
    <row r="1539" spans="2:17" hidden="1" outlineLevel="2">
      <c r="B1539" s="2" t="s">
        <v>876</v>
      </c>
      <c r="D1539" s="268">
        <v>2609</v>
      </c>
      <c r="E1539" s="114" t="s">
        <v>205</v>
      </c>
      <c r="F1539" s="114" t="s">
        <v>1993</v>
      </c>
      <c r="G1539" s="114" t="s">
        <v>1572</v>
      </c>
      <c r="H1539" s="114" t="s">
        <v>1227</v>
      </c>
      <c r="I1539" s="114"/>
      <c r="J1539" s="114" t="b">
        <v>0</v>
      </c>
      <c r="K1539" s="114"/>
      <c r="L1539" s="114"/>
      <c r="M1539" s="114"/>
      <c r="N1539" s="114"/>
      <c r="O1539" s="114"/>
      <c r="P1539" s="114"/>
      <c r="Q1539" s="114" t="s">
        <v>1227</v>
      </c>
    </row>
    <row r="1540" spans="2:17" hidden="1" outlineLevel="2">
      <c r="B1540" s="2" t="s">
        <v>876</v>
      </c>
      <c r="D1540" s="270">
        <v>2611</v>
      </c>
      <c r="E1540" s="112" t="s">
        <v>205</v>
      </c>
      <c r="F1540" s="112" t="s">
        <v>1994</v>
      </c>
      <c r="G1540" s="112" t="s">
        <v>1572</v>
      </c>
      <c r="H1540" s="112" t="s">
        <v>1227</v>
      </c>
      <c r="I1540" s="112"/>
      <c r="J1540" s="112" t="b">
        <v>0</v>
      </c>
      <c r="K1540" s="112"/>
      <c r="L1540" s="112"/>
      <c r="M1540" s="112"/>
      <c r="N1540" s="112"/>
      <c r="O1540" s="112"/>
      <c r="P1540" s="112"/>
      <c r="Q1540" s="112" t="s">
        <v>1227</v>
      </c>
    </row>
    <row r="1541" spans="2:17" hidden="1" outlineLevel="2">
      <c r="B1541" s="2" t="s">
        <v>876</v>
      </c>
      <c r="D1541" s="268">
        <v>2612</v>
      </c>
      <c r="E1541" s="114" t="s">
        <v>205</v>
      </c>
      <c r="F1541" s="114" t="s">
        <v>1995</v>
      </c>
      <c r="G1541" s="114" t="s">
        <v>1572</v>
      </c>
      <c r="H1541" s="114" t="s">
        <v>1227</v>
      </c>
      <c r="I1541" s="114"/>
      <c r="J1541" s="114" t="b">
        <v>0</v>
      </c>
      <c r="K1541" s="114"/>
      <c r="L1541" s="114"/>
      <c r="M1541" s="114"/>
      <c r="N1541" s="691" t="b">
        <v>1</v>
      </c>
      <c r="O1541" s="114"/>
      <c r="P1541" s="114"/>
      <c r="Q1541" s="114" t="s">
        <v>1227</v>
      </c>
    </row>
    <row r="1542" spans="2:17" hidden="1" outlineLevel="2">
      <c r="B1542" s="2" t="s">
        <v>876</v>
      </c>
      <c r="D1542" s="270">
        <v>2614</v>
      </c>
      <c r="E1542" s="112" t="s">
        <v>205</v>
      </c>
      <c r="F1542" s="112" t="s">
        <v>1996</v>
      </c>
      <c r="G1542" s="112" t="s">
        <v>1572</v>
      </c>
      <c r="H1542" s="112" t="s">
        <v>1227</v>
      </c>
      <c r="I1542" s="112"/>
      <c r="J1542" s="112" t="b">
        <v>0</v>
      </c>
      <c r="K1542" s="112"/>
      <c r="L1542" s="112"/>
      <c r="M1542" s="112"/>
      <c r="N1542" s="112"/>
      <c r="O1542" s="112"/>
      <c r="P1542" s="112"/>
      <c r="Q1542" s="112" t="s">
        <v>1227</v>
      </c>
    </row>
    <row r="1543" spans="2:17" hidden="1" outlineLevel="2">
      <c r="B1543" s="2" t="s">
        <v>876</v>
      </c>
      <c r="D1543" s="268">
        <v>2615</v>
      </c>
      <c r="E1543" s="114" t="s">
        <v>205</v>
      </c>
      <c r="F1543" s="114" t="s">
        <v>1997</v>
      </c>
      <c r="G1543" s="114" t="s">
        <v>1572</v>
      </c>
      <c r="H1543" s="114" t="s">
        <v>1227</v>
      </c>
      <c r="I1543" s="114"/>
      <c r="J1543" s="114" t="b">
        <v>0</v>
      </c>
      <c r="K1543" s="114"/>
      <c r="L1543" s="114"/>
      <c r="M1543" s="114"/>
      <c r="N1543" s="114"/>
      <c r="O1543" s="114"/>
      <c r="P1543" s="114"/>
      <c r="Q1543" s="114" t="s">
        <v>1227</v>
      </c>
    </row>
    <row r="1544" spans="2:17" hidden="1" outlineLevel="2">
      <c r="B1544" s="2" t="s">
        <v>876</v>
      </c>
      <c r="D1544" s="270">
        <v>2617</v>
      </c>
      <c r="E1544" s="112" t="s">
        <v>205</v>
      </c>
      <c r="F1544" s="112" t="s">
        <v>1998</v>
      </c>
      <c r="G1544" s="112" t="s">
        <v>1572</v>
      </c>
      <c r="H1544" s="112" t="s">
        <v>1227</v>
      </c>
      <c r="I1544" s="112"/>
      <c r="J1544" s="112" t="b">
        <v>0</v>
      </c>
      <c r="K1544" s="112"/>
      <c r="L1544" s="112"/>
      <c r="M1544" s="112"/>
      <c r="N1544" s="112"/>
      <c r="O1544" s="112"/>
      <c r="P1544" s="112"/>
      <c r="Q1544" s="112" t="s">
        <v>1227</v>
      </c>
    </row>
    <row r="1545" spans="2:17" hidden="1" outlineLevel="2">
      <c r="B1545" s="2" t="s">
        <v>876</v>
      </c>
      <c r="D1545" s="268">
        <v>2618</v>
      </c>
      <c r="E1545" s="114" t="s">
        <v>205</v>
      </c>
      <c r="F1545" s="114" t="s">
        <v>1999</v>
      </c>
      <c r="G1545" s="114" t="s">
        <v>1572</v>
      </c>
      <c r="H1545" s="114" t="s">
        <v>1227</v>
      </c>
      <c r="I1545" s="114"/>
      <c r="J1545" s="114" t="b">
        <v>0</v>
      </c>
      <c r="K1545" s="114"/>
      <c r="L1545" s="114"/>
      <c r="M1545" s="114"/>
      <c r="N1545" s="114"/>
      <c r="O1545" s="114"/>
      <c r="P1545" s="114"/>
      <c r="Q1545" s="114" t="s">
        <v>1227</v>
      </c>
    </row>
    <row r="1546" spans="2:17" hidden="1" outlineLevel="2">
      <c r="B1546" s="2" t="s">
        <v>876</v>
      </c>
      <c r="D1546" s="270">
        <v>2619</v>
      </c>
      <c r="E1546" s="112" t="s">
        <v>208</v>
      </c>
      <c r="F1546" s="112" t="s">
        <v>2000</v>
      </c>
      <c r="G1546" s="112" t="s">
        <v>1572</v>
      </c>
      <c r="H1546" s="112" t="s">
        <v>1227</v>
      </c>
      <c r="I1546" s="112"/>
      <c r="J1546" s="112" t="b">
        <v>0</v>
      </c>
      <c r="K1546" s="112"/>
      <c r="L1546" s="112"/>
      <c r="M1546" s="112"/>
      <c r="N1546" s="112"/>
      <c r="O1546" s="112"/>
      <c r="P1546" s="112"/>
      <c r="Q1546" s="112" t="s">
        <v>1227</v>
      </c>
    </row>
    <row r="1547" spans="2:17" hidden="1" outlineLevel="2">
      <c r="B1547" s="2" t="s">
        <v>876</v>
      </c>
      <c r="D1547" s="268">
        <v>2620</v>
      </c>
      <c r="E1547" s="114" t="s">
        <v>208</v>
      </c>
      <c r="F1547" s="114" t="s">
        <v>2001</v>
      </c>
      <c r="G1547" s="114" t="s">
        <v>1572</v>
      </c>
      <c r="H1547" s="114" t="s">
        <v>1227</v>
      </c>
      <c r="I1547" s="114"/>
      <c r="J1547" s="114" t="b">
        <v>0</v>
      </c>
      <c r="K1547" s="114"/>
      <c r="L1547" s="114"/>
      <c r="M1547" s="114"/>
      <c r="N1547" s="114"/>
      <c r="O1547" s="114"/>
      <c r="P1547" s="114"/>
      <c r="Q1547" s="114" t="s">
        <v>1227</v>
      </c>
    </row>
    <row r="1548" spans="2:17" hidden="1" outlineLevel="2">
      <c r="B1548" s="2" t="s">
        <v>876</v>
      </c>
      <c r="D1548" s="270">
        <v>2621</v>
      </c>
      <c r="E1548" s="112" t="s">
        <v>208</v>
      </c>
      <c r="F1548" s="112" t="s">
        <v>2002</v>
      </c>
      <c r="G1548" s="112" t="s">
        <v>1493</v>
      </c>
      <c r="H1548" s="112" t="s">
        <v>1505</v>
      </c>
      <c r="I1548" s="112"/>
      <c r="J1548" s="112" t="b">
        <v>0</v>
      </c>
      <c r="K1548" s="112"/>
      <c r="L1548" s="112"/>
      <c r="M1548" s="112"/>
      <c r="N1548" s="112"/>
      <c r="O1548" s="112"/>
      <c r="P1548" s="112"/>
      <c r="Q1548" s="112" t="s">
        <v>1227</v>
      </c>
    </row>
    <row r="1549" spans="2:17" hidden="1" outlineLevel="2">
      <c r="B1549" s="2" t="s">
        <v>876</v>
      </c>
      <c r="D1549" s="268">
        <v>2622</v>
      </c>
      <c r="E1549" s="114" t="s">
        <v>208</v>
      </c>
      <c r="F1549" s="114" t="s">
        <v>2003</v>
      </c>
      <c r="G1549" s="114" t="s">
        <v>1512</v>
      </c>
      <c r="H1549" s="114" t="s">
        <v>1505</v>
      </c>
      <c r="I1549" s="114"/>
      <c r="J1549" s="114" t="b">
        <v>0</v>
      </c>
      <c r="K1549" s="114"/>
      <c r="L1549" s="114"/>
      <c r="M1549" s="114"/>
      <c r="N1549" s="114"/>
      <c r="O1549" s="114"/>
      <c r="P1549" s="114"/>
      <c r="Q1549" s="114" t="s">
        <v>1228</v>
      </c>
    </row>
    <row r="1550" spans="2:17" hidden="1" outlineLevel="2">
      <c r="B1550" s="2" t="s">
        <v>876</v>
      </c>
      <c r="D1550" s="270">
        <v>2623</v>
      </c>
      <c r="E1550" s="112" t="s">
        <v>208</v>
      </c>
      <c r="F1550" s="112" t="s">
        <v>2004</v>
      </c>
      <c r="G1550" s="112" t="s">
        <v>1512</v>
      </c>
      <c r="H1550" s="112" t="s">
        <v>1505</v>
      </c>
      <c r="I1550" s="112"/>
      <c r="J1550" s="112" t="b">
        <v>0</v>
      </c>
      <c r="K1550" s="112"/>
      <c r="L1550" s="112" t="b">
        <v>1</v>
      </c>
      <c r="M1550" s="112"/>
      <c r="N1550" s="112"/>
      <c r="O1550" s="112"/>
      <c r="P1550" s="112"/>
      <c r="Q1550" s="112" t="s">
        <v>1228</v>
      </c>
    </row>
    <row r="1551" spans="2:17" hidden="1" outlineLevel="2">
      <c r="B1551" s="2" t="s">
        <v>876</v>
      </c>
      <c r="D1551" s="268">
        <v>2624</v>
      </c>
      <c r="E1551" s="114" t="s">
        <v>208</v>
      </c>
      <c r="F1551" s="114" t="s">
        <v>2005</v>
      </c>
      <c r="G1551" s="114" t="s">
        <v>1533</v>
      </c>
      <c r="H1551" s="114" t="s">
        <v>1505</v>
      </c>
      <c r="I1551" s="114"/>
      <c r="J1551" s="114" t="b">
        <v>0</v>
      </c>
      <c r="K1551" s="114"/>
      <c r="L1551" s="114"/>
      <c r="M1551" s="114"/>
      <c r="N1551" s="114"/>
      <c r="O1551" s="114"/>
      <c r="P1551" s="114"/>
      <c r="Q1551" s="114" t="s">
        <v>1228</v>
      </c>
    </row>
    <row r="1552" spans="2:17" hidden="1" outlineLevel="2">
      <c r="B1552" s="2" t="s">
        <v>876</v>
      </c>
      <c r="D1552" s="270">
        <v>2625</v>
      </c>
      <c r="E1552" s="112" t="s">
        <v>208</v>
      </c>
      <c r="F1552" s="112" t="s">
        <v>2006</v>
      </c>
      <c r="G1552" s="112" t="s">
        <v>1512</v>
      </c>
      <c r="H1552" s="112" t="s">
        <v>1505</v>
      </c>
      <c r="I1552" s="112"/>
      <c r="J1552" s="112" t="b">
        <v>0</v>
      </c>
      <c r="K1552" s="112"/>
      <c r="L1552" s="112"/>
      <c r="M1552" s="112"/>
      <c r="N1552" s="112"/>
      <c r="O1552" s="112"/>
      <c r="P1552" s="112"/>
      <c r="Q1552" s="112" t="s">
        <v>1228</v>
      </c>
    </row>
    <row r="1553" spans="2:17" hidden="1" outlineLevel="2">
      <c r="B1553" s="2" t="s">
        <v>876</v>
      </c>
      <c r="D1553" s="268">
        <v>2626</v>
      </c>
      <c r="E1553" s="114" t="s">
        <v>208</v>
      </c>
      <c r="F1553" s="114" t="s">
        <v>2007</v>
      </c>
      <c r="G1553" s="114" t="s">
        <v>1493</v>
      </c>
      <c r="H1553" s="114" t="s">
        <v>1505</v>
      </c>
      <c r="I1553" s="114"/>
      <c r="J1553" s="114" t="b">
        <v>0</v>
      </c>
      <c r="K1553" s="114"/>
      <c r="L1553" s="114"/>
      <c r="M1553" s="114"/>
      <c r="N1553" s="114"/>
      <c r="O1553" s="114"/>
      <c r="P1553" s="114"/>
      <c r="Q1553" s="114" t="s">
        <v>1228</v>
      </c>
    </row>
    <row r="1554" spans="2:17" hidden="1" outlineLevel="2">
      <c r="B1554" s="2" t="s">
        <v>876</v>
      </c>
      <c r="D1554" s="270">
        <v>2627</v>
      </c>
      <c r="E1554" s="112" t="s">
        <v>208</v>
      </c>
      <c r="F1554" s="112" t="s">
        <v>2008</v>
      </c>
      <c r="G1554" s="112" t="s">
        <v>1493</v>
      </c>
      <c r="H1554" s="112" t="s">
        <v>1505</v>
      </c>
      <c r="I1554" s="112"/>
      <c r="J1554" s="112" t="b">
        <v>0</v>
      </c>
      <c r="K1554" s="112"/>
      <c r="L1554" s="112"/>
      <c r="M1554" s="112"/>
      <c r="N1554" s="112"/>
      <c r="O1554" s="112"/>
      <c r="P1554" s="112"/>
      <c r="Q1554" s="112" t="s">
        <v>1228</v>
      </c>
    </row>
    <row r="1555" spans="2:17" hidden="1" outlineLevel="2">
      <c r="B1555" s="2" t="s">
        <v>876</v>
      </c>
      <c r="D1555" s="268">
        <v>2628</v>
      </c>
      <c r="E1555" s="114" t="s">
        <v>208</v>
      </c>
      <c r="F1555" s="114" t="s">
        <v>2009</v>
      </c>
      <c r="G1555" s="114" t="s">
        <v>1512</v>
      </c>
      <c r="H1555" s="114" t="s">
        <v>1505</v>
      </c>
      <c r="I1555" s="114"/>
      <c r="J1555" s="114" t="b">
        <v>0</v>
      </c>
      <c r="K1555" s="114"/>
      <c r="L1555" s="114"/>
      <c r="M1555" s="114"/>
      <c r="N1555" s="114"/>
      <c r="O1555" s="114"/>
      <c r="P1555" s="114"/>
      <c r="Q1555" s="114" t="s">
        <v>1228</v>
      </c>
    </row>
    <row r="1556" spans="2:17" hidden="1" outlineLevel="2">
      <c r="B1556" s="2" t="s">
        <v>876</v>
      </c>
      <c r="D1556" s="270">
        <v>2629</v>
      </c>
      <c r="E1556" s="112" t="s">
        <v>208</v>
      </c>
      <c r="F1556" s="112" t="s">
        <v>2010</v>
      </c>
      <c r="G1556" s="221" t="s">
        <v>1512</v>
      </c>
      <c r="H1556" s="112" t="s">
        <v>1505</v>
      </c>
      <c r="I1556" s="112"/>
      <c r="J1556" s="112" t="b">
        <v>0</v>
      </c>
      <c r="K1556" s="112"/>
      <c r="L1556" s="112"/>
      <c r="M1556" s="112"/>
      <c r="N1556" s="112"/>
      <c r="O1556" s="112"/>
      <c r="P1556" s="112"/>
      <c r="Q1556" s="112" t="s">
        <v>1228</v>
      </c>
    </row>
    <row r="1557" spans="2:17" hidden="1" outlineLevel="2">
      <c r="B1557" s="2" t="s">
        <v>876</v>
      </c>
      <c r="D1557" s="268">
        <v>2630</v>
      </c>
      <c r="E1557" s="114" t="s">
        <v>208</v>
      </c>
      <c r="F1557" s="114" t="s">
        <v>2011</v>
      </c>
      <c r="G1557" s="114" t="s">
        <v>1493</v>
      </c>
      <c r="H1557" s="114" t="s">
        <v>1505</v>
      </c>
      <c r="I1557" s="114"/>
      <c r="J1557" s="114" t="b">
        <v>0</v>
      </c>
      <c r="K1557" s="114"/>
      <c r="L1557" s="114"/>
      <c r="M1557" s="114"/>
      <c r="N1557" s="114"/>
      <c r="O1557" s="114"/>
      <c r="P1557" s="114"/>
      <c r="Q1557" s="114" t="s">
        <v>1228</v>
      </c>
    </row>
    <row r="1558" spans="2:17" hidden="1" outlineLevel="2">
      <c r="B1558" s="2" t="s">
        <v>876</v>
      </c>
      <c r="D1558" s="270">
        <v>2631</v>
      </c>
      <c r="E1558" s="112" t="s">
        <v>208</v>
      </c>
      <c r="F1558" s="112" t="s">
        <v>2012</v>
      </c>
      <c r="G1558" s="112" t="s">
        <v>1512</v>
      </c>
      <c r="H1558" s="112" t="s">
        <v>1512</v>
      </c>
      <c r="I1558" s="112"/>
      <c r="J1558" s="112" t="b">
        <v>0</v>
      </c>
      <c r="K1558" s="112"/>
      <c r="L1558" s="112"/>
      <c r="M1558" s="112"/>
      <c r="N1558" s="112"/>
      <c r="O1558" s="112"/>
      <c r="P1558" s="112"/>
      <c r="Q1558" s="112" t="s">
        <v>1228</v>
      </c>
    </row>
    <row r="1559" spans="2:17" hidden="1" outlineLevel="2">
      <c r="B1559" s="2" t="s">
        <v>876</v>
      </c>
      <c r="D1559" s="268">
        <v>2632</v>
      </c>
      <c r="E1559" s="114" t="s">
        <v>208</v>
      </c>
      <c r="F1559" s="114" t="s">
        <v>2013</v>
      </c>
      <c r="G1559" s="114" t="s">
        <v>1512</v>
      </c>
      <c r="H1559" s="114" t="s">
        <v>1505</v>
      </c>
      <c r="I1559" s="114"/>
      <c r="J1559" s="114" t="b">
        <v>0</v>
      </c>
      <c r="K1559" s="114"/>
      <c r="L1559" s="114"/>
      <c r="M1559" s="114"/>
      <c r="N1559" s="114"/>
      <c r="O1559" s="114"/>
      <c r="P1559" s="114"/>
      <c r="Q1559" s="114" t="s">
        <v>1228</v>
      </c>
    </row>
    <row r="1560" spans="2:17" hidden="1" outlineLevel="2">
      <c r="B1560" s="2" t="s">
        <v>876</v>
      </c>
      <c r="D1560" s="270">
        <v>2633</v>
      </c>
      <c r="E1560" s="112" t="s">
        <v>208</v>
      </c>
      <c r="F1560" s="112" t="s">
        <v>2014</v>
      </c>
      <c r="G1560" s="112" t="s">
        <v>1512</v>
      </c>
      <c r="H1560" s="112" t="s">
        <v>1505</v>
      </c>
      <c r="I1560" s="112"/>
      <c r="J1560" s="112" t="b">
        <v>0</v>
      </c>
      <c r="K1560" s="112"/>
      <c r="L1560" s="112" t="b">
        <v>1</v>
      </c>
      <c r="M1560" s="112"/>
      <c r="N1560" s="112"/>
      <c r="O1560" s="112"/>
      <c r="P1560" s="112"/>
      <c r="Q1560" s="112" t="s">
        <v>1228</v>
      </c>
    </row>
    <row r="1561" spans="2:17" hidden="1" outlineLevel="2">
      <c r="B1561" s="2" t="s">
        <v>876</v>
      </c>
      <c r="D1561" s="268">
        <v>2640</v>
      </c>
      <c r="E1561" s="114" t="s">
        <v>208</v>
      </c>
      <c r="F1561" s="114" t="s">
        <v>2015</v>
      </c>
      <c r="G1561" s="114" t="s">
        <v>1483</v>
      </c>
      <c r="H1561" s="114" t="s">
        <v>1494</v>
      </c>
      <c r="I1561" s="114"/>
      <c r="J1561" s="114" t="b">
        <v>0</v>
      </c>
      <c r="K1561" s="114"/>
      <c r="L1561" s="114"/>
      <c r="M1561" s="114"/>
      <c r="N1561" s="114"/>
      <c r="O1561" s="114"/>
      <c r="P1561" s="114"/>
      <c r="Q1561" s="114" t="s">
        <v>1228</v>
      </c>
    </row>
    <row r="1562" spans="2:17" hidden="1" outlineLevel="2">
      <c r="B1562" s="2" t="s">
        <v>876</v>
      </c>
      <c r="D1562" s="270">
        <v>2641</v>
      </c>
      <c r="E1562" s="112" t="s">
        <v>208</v>
      </c>
      <c r="F1562" s="112" t="s">
        <v>2016</v>
      </c>
      <c r="G1562" s="269" t="s">
        <v>1483</v>
      </c>
      <c r="H1562" s="112" t="s">
        <v>1494</v>
      </c>
      <c r="I1562" s="112"/>
      <c r="J1562" s="112" t="b">
        <v>0</v>
      </c>
      <c r="K1562" s="112"/>
      <c r="L1562" s="112"/>
      <c r="M1562" s="112"/>
      <c r="N1562" s="112"/>
      <c r="O1562" s="112"/>
      <c r="P1562" s="112"/>
      <c r="Q1562" s="112" t="s">
        <v>1228</v>
      </c>
    </row>
    <row r="1563" spans="2:17" hidden="1" outlineLevel="2">
      <c r="B1563" s="2" t="s">
        <v>876</v>
      </c>
      <c r="D1563" s="268">
        <v>2642</v>
      </c>
      <c r="E1563" s="114" t="s">
        <v>208</v>
      </c>
      <c r="F1563" s="114" t="s">
        <v>2017</v>
      </c>
      <c r="G1563" s="114" t="s">
        <v>1493</v>
      </c>
      <c r="H1563" s="114" t="s">
        <v>1505</v>
      </c>
      <c r="I1563" s="114"/>
      <c r="J1563" s="114" t="b">
        <v>0</v>
      </c>
      <c r="K1563" s="114"/>
      <c r="L1563" s="114"/>
      <c r="M1563" s="114"/>
      <c r="N1563" s="114"/>
      <c r="O1563" s="114"/>
      <c r="P1563" s="114"/>
      <c r="Q1563" s="114" t="s">
        <v>1228</v>
      </c>
    </row>
    <row r="1564" spans="2:17" hidden="1" outlineLevel="2">
      <c r="B1564" s="2" t="s">
        <v>876</v>
      </c>
      <c r="D1564" s="270">
        <v>2643</v>
      </c>
      <c r="E1564" s="112" t="s">
        <v>208</v>
      </c>
      <c r="F1564" s="112" t="s">
        <v>2018</v>
      </c>
      <c r="G1564" s="221" t="s">
        <v>1493</v>
      </c>
      <c r="H1564" s="112" t="s">
        <v>1512</v>
      </c>
      <c r="I1564" s="112"/>
      <c r="J1564" s="112" t="b">
        <v>0</v>
      </c>
      <c r="K1564" s="112"/>
      <c r="L1564" s="112"/>
      <c r="M1564" s="112"/>
      <c r="N1564" s="112"/>
      <c r="O1564" s="112"/>
      <c r="P1564" s="112"/>
      <c r="Q1564" s="112" t="s">
        <v>1228</v>
      </c>
    </row>
    <row r="1565" spans="2:17" hidden="1" outlineLevel="2">
      <c r="B1565" s="2" t="s">
        <v>876</v>
      </c>
      <c r="D1565" s="268">
        <v>2644</v>
      </c>
      <c r="E1565" s="114" t="s">
        <v>208</v>
      </c>
      <c r="F1565" s="114" t="s">
        <v>2019</v>
      </c>
      <c r="G1565" s="114" t="s">
        <v>1512</v>
      </c>
      <c r="H1565" s="114" t="s">
        <v>1512</v>
      </c>
      <c r="I1565" s="114"/>
      <c r="J1565" s="114" t="b">
        <v>0</v>
      </c>
      <c r="K1565" s="114"/>
      <c r="L1565" s="114"/>
      <c r="M1565" s="114"/>
      <c r="N1565" s="114"/>
      <c r="O1565" s="114"/>
      <c r="P1565" s="114"/>
      <c r="Q1565" s="114" t="s">
        <v>1228</v>
      </c>
    </row>
    <row r="1566" spans="2:17" hidden="1" outlineLevel="2">
      <c r="B1566" s="2" t="s">
        <v>876</v>
      </c>
      <c r="D1566" s="270">
        <v>2645</v>
      </c>
      <c r="E1566" s="112" t="s">
        <v>208</v>
      </c>
      <c r="F1566" s="112" t="s">
        <v>2020</v>
      </c>
      <c r="G1566" s="112" t="s">
        <v>1512</v>
      </c>
      <c r="H1566" s="112" t="s">
        <v>1505</v>
      </c>
      <c r="I1566" s="112"/>
      <c r="J1566" s="112" t="b">
        <v>0</v>
      </c>
      <c r="K1566" s="112"/>
      <c r="L1566" s="112"/>
      <c r="M1566" s="112"/>
      <c r="N1566" s="112"/>
      <c r="O1566" s="112"/>
      <c r="P1566" s="112"/>
      <c r="Q1566" s="112" t="s">
        <v>1228</v>
      </c>
    </row>
    <row r="1567" spans="2:17" hidden="1" outlineLevel="2">
      <c r="B1567" s="2" t="s">
        <v>876</v>
      </c>
      <c r="D1567" s="268">
        <v>2646</v>
      </c>
      <c r="E1567" s="114" t="s">
        <v>208</v>
      </c>
      <c r="F1567" s="114" t="s">
        <v>2021</v>
      </c>
      <c r="G1567" s="114" t="s">
        <v>1493</v>
      </c>
      <c r="H1567" s="114" t="s">
        <v>1505</v>
      </c>
      <c r="I1567" s="114"/>
      <c r="J1567" s="114" t="b">
        <v>0</v>
      </c>
      <c r="K1567" s="114"/>
      <c r="L1567" s="114"/>
      <c r="M1567" s="114"/>
      <c r="N1567" s="114"/>
      <c r="O1567" s="114"/>
      <c r="P1567" s="114"/>
      <c r="Q1567" s="114" t="s">
        <v>1228</v>
      </c>
    </row>
    <row r="1568" spans="2:17" hidden="1" outlineLevel="2">
      <c r="B1568" s="2" t="s">
        <v>876</v>
      </c>
      <c r="D1568" s="270">
        <v>2647</v>
      </c>
      <c r="E1568" s="112" t="s">
        <v>208</v>
      </c>
      <c r="F1568" s="112" t="s">
        <v>2022</v>
      </c>
      <c r="G1568" s="269" t="s">
        <v>1493</v>
      </c>
      <c r="H1568" s="112" t="s">
        <v>1505</v>
      </c>
      <c r="I1568" s="112"/>
      <c r="J1568" s="112" t="b">
        <v>0</v>
      </c>
      <c r="K1568" s="112"/>
      <c r="L1568" s="112"/>
      <c r="M1568" s="112"/>
      <c r="N1568" s="112"/>
      <c r="O1568" s="112"/>
      <c r="P1568" s="112"/>
      <c r="Q1568" s="112" t="s">
        <v>1228</v>
      </c>
    </row>
    <row r="1569" spans="2:17" hidden="1" outlineLevel="2">
      <c r="B1569" s="2" t="s">
        <v>876</v>
      </c>
      <c r="D1569" s="268">
        <v>2648</v>
      </c>
      <c r="E1569" s="114" t="s">
        <v>208</v>
      </c>
      <c r="F1569" s="114" t="s">
        <v>2023</v>
      </c>
      <c r="G1569" s="114" t="s">
        <v>1493</v>
      </c>
      <c r="H1569" s="114" t="s">
        <v>1505</v>
      </c>
      <c r="I1569" s="114"/>
      <c r="J1569" s="114" t="b">
        <v>0</v>
      </c>
      <c r="K1569" s="114"/>
      <c r="L1569" s="114"/>
      <c r="M1569" s="114"/>
      <c r="N1569" s="114"/>
      <c r="O1569" s="114"/>
      <c r="P1569" s="114"/>
      <c r="Q1569" s="114" t="s">
        <v>1228</v>
      </c>
    </row>
    <row r="1570" spans="2:17" hidden="1" outlineLevel="2">
      <c r="B1570" s="2" t="s">
        <v>876</v>
      </c>
      <c r="D1570" s="270">
        <v>2649</v>
      </c>
      <c r="E1570" s="112" t="s">
        <v>208</v>
      </c>
      <c r="F1570" s="112" t="s">
        <v>2024</v>
      </c>
      <c r="G1570" s="112" t="s">
        <v>1512</v>
      </c>
      <c r="H1570" s="112" t="s">
        <v>1505</v>
      </c>
      <c r="I1570" s="112"/>
      <c r="J1570" s="112" t="b">
        <v>0</v>
      </c>
      <c r="K1570" s="112"/>
      <c r="L1570" s="112" t="b">
        <v>1</v>
      </c>
      <c r="M1570" s="112"/>
      <c r="N1570" s="112"/>
      <c r="O1570" s="112"/>
      <c r="P1570" s="112"/>
      <c r="Q1570" s="112" t="s">
        <v>1228</v>
      </c>
    </row>
    <row r="1571" spans="2:17" hidden="1" outlineLevel="2">
      <c r="B1571" s="2" t="s">
        <v>876</v>
      </c>
      <c r="D1571" s="268">
        <v>2650</v>
      </c>
      <c r="E1571" s="114" t="s">
        <v>208</v>
      </c>
      <c r="F1571" s="114" t="s">
        <v>2025</v>
      </c>
      <c r="G1571" s="114" t="s">
        <v>1483</v>
      </c>
      <c r="H1571" s="114" t="s">
        <v>1494</v>
      </c>
      <c r="I1571" s="114"/>
      <c r="J1571" s="114" t="b">
        <v>0</v>
      </c>
      <c r="K1571" s="114"/>
      <c r="L1571" s="114"/>
      <c r="M1571" s="114"/>
      <c r="N1571" s="114"/>
      <c r="O1571" s="114"/>
      <c r="P1571" s="114"/>
      <c r="Q1571" s="114" t="s">
        <v>1228</v>
      </c>
    </row>
    <row r="1572" spans="2:17" hidden="1" outlineLevel="2">
      <c r="B1572" s="2" t="s">
        <v>876</v>
      </c>
      <c r="D1572" s="270">
        <v>2651</v>
      </c>
      <c r="E1572" s="112" t="s">
        <v>208</v>
      </c>
      <c r="F1572" s="112" t="s">
        <v>2026</v>
      </c>
      <c r="G1572" s="112" t="s">
        <v>1483</v>
      </c>
      <c r="H1572" s="112" t="s">
        <v>1494</v>
      </c>
      <c r="I1572" s="112"/>
      <c r="J1572" s="112" t="b">
        <v>0</v>
      </c>
      <c r="K1572" s="112"/>
      <c r="L1572" s="112"/>
      <c r="M1572" s="112"/>
      <c r="N1572" s="112"/>
      <c r="O1572" s="112"/>
      <c r="P1572" s="112"/>
      <c r="Q1572" s="112" t="s">
        <v>1228</v>
      </c>
    </row>
    <row r="1573" spans="2:17" hidden="1" outlineLevel="2">
      <c r="B1573" s="2" t="s">
        <v>876</v>
      </c>
      <c r="D1573" s="268">
        <v>2652</v>
      </c>
      <c r="E1573" s="114" t="s">
        <v>208</v>
      </c>
      <c r="F1573" s="114" t="s">
        <v>2027</v>
      </c>
      <c r="G1573" s="269" t="s">
        <v>1493</v>
      </c>
      <c r="H1573" s="114" t="s">
        <v>1512</v>
      </c>
      <c r="I1573" s="114"/>
      <c r="J1573" s="114" t="b">
        <v>0</v>
      </c>
      <c r="K1573" s="114"/>
      <c r="L1573" s="114"/>
      <c r="M1573" s="114"/>
      <c r="N1573" s="114"/>
      <c r="O1573" s="114"/>
      <c r="P1573" s="114"/>
      <c r="Q1573" s="114" t="s">
        <v>1228</v>
      </c>
    </row>
    <row r="1574" spans="2:17" hidden="1" outlineLevel="2">
      <c r="B1574" s="2" t="s">
        <v>876</v>
      </c>
      <c r="D1574" s="270">
        <v>2653</v>
      </c>
      <c r="E1574" s="112" t="s">
        <v>208</v>
      </c>
      <c r="F1574" s="112" t="s">
        <v>2028</v>
      </c>
      <c r="G1574" s="112" t="s">
        <v>1512</v>
      </c>
      <c r="H1574" s="112" t="s">
        <v>1505</v>
      </c>
      <c r="I1574" s="112"/>
      <c r="J1574" s="112" t="b">
        <v>0</v>
      </c>
      <c r="K1574" s="112"/>
      <c r="L1574" s="112"/>
      <c r="M1574" s="112"/>
      <c r="N1574" s="112"/>
      <c r="O1574" s="112"/>
      <c r="P1574" s="112"/>
      <c r="Q1574" s="112" t="s">
        <v>1228</v>
      </c>
    </row>
    <row r="1575" spans="2:17" hidden="1" outlineLevel="2">
      <c r="B1575" s="2" t="s">
        <v>876</v>
      </c>
      <c r="D1575" s="268">
        <v>2655</v>
      </c>
      <c r="E1575" s="114" t="s">
        <v>208</v>
      </c>
      <c r="F1575" s="114" t="s">
        <v>2029</v>
      </c>
      <c r="G1575" s="114" t="s">
        <v>1512</v>
      </c>
      <c r="H1575" s="114" t="s">
        <v>1505</v>
      </c>
      <c r="I1575" s="114"/>
      <c r="J1575" s="114" t="b">
        <v>0</v>
      </c>
      <c r="K1575" s="114"/>
      <c r="L1575" s="114"/>
      <c r="M1575" s="114"/>
      <c r="N1575" s="114"/>
      <c r="O1575" s="114"/>
      <c r="P1575" s="114"/>
      <c r="Q1575" s="114" t="s">
        <v>1228</v>
      </c>
    </row>
    <row r="1576" spans="2:17" hidden="1" outlineLevel="2">
      <c r="B1576" s="2" t="s">
        <v>876</v>
      </c>
      <c r="D1576" s="270">
        <v>2656</v>
      </c>
      <c r="E1576" s="112" t="s">
        <v>208</v>
      </c>
      <c r="F1576" s="112" t="s">
        <v>2030</v>
      </c>
      <c r="G1576" s="112" t="s">
        <v>1512</v>
      </c>
      <c r="H1576" s="112" t="s">
        <v>1505</v>
      </c>
      <c r="I1576" s="112"/>
      <c r="J1576" s="112" t="b">
        <v>0</v>
      </c>
      <c r="K1576" s="112"/>
      <c r="L1576" s="112"/>
      <c r="M1576" s="112"/>
      <c r="N1576" s="112"/>
      <c r="O1576" s="112"/>
      <c r="P1576" s="112"/>
      <c r="Q1576" s="112" t="s">
        <v>1228</v>
      </c>
    </row>
    <row r="1577" spans="2:17" hidden="1" outlineLevel="2">
      <c r="B1577" s="2" t="s">
        <v>876</v>
      </c>
      <c r="D1577" s="268">
        <v>2658</v>
      </c>
      <c r="E1577" s="114" t="s">
        <v>208</v>
      </c>
      <c r="F1577" s="114" t="s">
        <v>2031</v>
      </c>
      <c r="G1577" s="114" t="s">
        <v>1512</v>
      </c>
      <c r="H1577" s="114" t="s">
        <v>1512</v>
      </c>
      <c r="I1577" s="114"/>
      <c r="J1577" s="114" t="b">
        <v>0</v>
      </c>
      <c r="K1577" s="114"/>
      <c r="L1577" s="114"/>
      <c r="M1577" s="114"/>
      <c r="N1577" s="114"/>
      <c r="O1577" s="114"/>
      <c r="P1577" s="114"/>
      <c r="Q1577" s="114" t="s">
        <v>1228</v>
      </c>
    </row>
    <row r="1578" spans="2:17" hidden="1" outlineLevel="2">
      <c r="B1578" s="2" t="s">
        <v>876</v>
      </c>
      <c r="D1578" s="270">
        <v>2659</v>
      </c>
      <c r="E1578" s="112" t="s">
        <v>208</v>
      </c>
      <c r="F1578" s="112" t="s">
        <v>2032</v>
      </c>
      <c r="G1578" s="112" t="s">
        <v>1512</v>
      </c>
      <c r="H1578" s="112" t="s">
        <v>1505</v>
      </c>
      <c r="I1578" s="112"/>
      <c r="J1578" s="112" t="b">
        <v>0</v>
      </c>
      <c r="K1578" s="112"/>
      <c r="L1578" s="112"/>
      <c r="M1578" s="112"/>
      <c r="N1578" s="112"/>
      <c r="O1578" s="112"/>
      <c r="P1578" s="112"/>
      <c r="Q1578" s="112" t="s">
        <v>1228</v>
      </c>
    </row>
    <row r="1579" spans="2:17" hidden="1" outlineLevel="2">
      <c r="B1579" s="2" t="s">
        <v>876</v>
      </c>
      <c r="D1579" s="268">
        <v>2660</v>
      </c>
      <c r="E1579" s="114" t="s">
        <v>208</v>
      </c>
      <c r="F1579" s="114" t="s">
        <v>2033</v>
      </c>
      <c r="G1579" s="114" t="s">
        <v>1512</v>
      </c>
      <c r="H1579" s="114" t="s">
        <v>1512</v>
      </c>
      <c r="I1579" s="114"/>
      <c r="J1579" s="114" t="b">
        <v>0</v>
      </c>
      <c r="K1579" s="114"/>
      <c r="L1579" s="114"/>
      <c r="M1579" s="114"/>
      <c r="N1579" s="114"/>
      <c r="O1579" s="114"/>
      <c r="P1579" s="114"/>
      <c r="Q1579" s="114" t="s">
        <v>1228</v>
      </c>
    </row>
    <row r="1580" spans="2:17" hidden="1" outlineLevel="2">
      <c r="B1580" s="2" t="s">
        <v>876</v>
      </c>
      <c r="D1580" s="270">
        <v>2661</v>
      </c>
      <c r="E1580" s="112" t="s">
        <v>208</v>
      </c>
      <c r="F1580" s="112" t="s">
        <v>2034</v>
      </c>
      <c r="G1580" s="112" t="s">
        <v>1512</v>
      </c>
      <c r="H1580" s="112" t="s">
        <v>1512</v>
      </c>
      <c r="I1580" s="112"/>
      <c r="J1580" s="112" t="b">
        <v>0</v>
      </c>
      <c r="K1580" s="112"/>
      <c r="L1580" s="112"/>
      <c r="M1580" s="112"/>
      <c r="N1580" s="112"/>
      <c r="O1580" s="112"/>
      <c r="P1580" s="112"/>
      <c r="Q1580" s="112" t="s">
        <v>1228</v>
      </c>
    </row>
    <row r="1581" spans="2:17" hidden="1" outlineLevel="2">
      <c r="B1581" s="2" t="s">
        <v>876</v>
      </c>
      <c r="D1581" s="268">
        <v>2663</v>
      </c>
      <c r="E1581" s="114" t="s">
        <v>208</v>
      </c>
      <c r="F1581" s="114" t="s">
        <v>2035</v>
      </c>
      <c r="G1581" s="114" t="s">
        <v>1493</v>
      </c>
      <c r="H1581" s="114" t="s">
        <v>1505</v>
      </c>
      <c r="I1581" s="114"/>
      <c r="J1581" s="114" t="b">
        <v>0</v>
      </c>
      <c r="K1581" s="114"/>
      <c r="L1581" s="114"/>
      <c r="M1581" s="114"/>
      <c r="N1581" s="114"/>
      <c r="O1581" s="114"/>
      <c r="P1581" s="114"/>
      <c r="Q1581" s="114" t="s">
        <v>1228</v>
      </c>
    </row>
    <row r="1582" spans="2:17" hidden="1" outlineLevel="2">
      <c r="B1582" s="2" t="s">
        <v>876</v>
      </c>
      <c r="D1582" s="270">
        <v>2665</v>
      </c>
      <c r="E1582" s="112" t="s">
        <v>208</v>
      </c>
      <c r="F1582" s="112" t="s">
        <v>2036</v>
      </c>
      <c r="G1582" s="112" t="s">
        <v>1493</v>
      </c>
      <c r="H1582" s="112" t="s">
        <v>1505</v>
      </c>
      <c r="I1582" s="112"/>
      <c r="J1582" s="112" t="b">
        <v>0</v>
      </c>
      <c r="K1582" s="112"/>
      <c r="L1582" s="112"/>
      <c r="M1582" s="112"/>
      <c r="N1582" s="112"/>
      <c r="O1582" s="112"/>
      <c r="P1582" s="112"/>
      <c r="Q1582" s="112" t="s">
        <v>1228</v>
      </c>
    </row>
    <row r="1583" spans="2:17" hidden="1" outlineLevel="2">
      <c r="B1583" s="2" t="s">
        <v>876</v>
      </c>
      <c r="D1583" s="268">
        <v>2666</v>
      </c>
      <c r="E1583" s="114" t="s">
        <v>208</v>
      </c>
      <c r="F1583" s="114" t="s">
        <v>2037</v>
      </c>
      <c r="G1583" s="114" t="s">
        <v>1493</v>
      </c>
      <c r="H1583" s="114" t="s">
        <v>1505</v>
      </c>
      <c r="I1583" s="114"/>
      <c r="J1583" s="114" t="b">
        <v>0</v>
      </c>
      <c r="K1583" s="114"/>
      <c r="L1583" s="114"/>
      <c r="M1583" s="114"/>
      <c r="N1583" s="114"/>
      <c r="O1583" s="114"/>
      <c r="P1583" s="114"/>
      <c r="Q1583" s="114" t="s">
        <v>1228</v>
      </c>
    </row>
    <row r="1584" spans="2:17" hidden="1" outlineLevel="2">
      <c r="B1584" s="2" t="s">
        <v>876</v>
      </c>
      <c r="D1584" s="270">
        <v>2668</v>
      </c>
      <c r="E1584" s="112" t="s">
        <v>208</v>
      </c>
      <c r="F1584" s="112" t="s">
        <v>2038</v>
      </c>
      <c r="G1584" s="112" t="s">
        <v>1512</v>
      </c>
      <c r="H1584" s="112" t="s">
        <v>1512</v>
      </c>
      <c r="I1584" s="112"/>
      <c r="J1584" s="112" t="b">
        <v>0</v>
      </c>
      <c r="K1584" s="112"/>
      <c r="L1584" s="112"/>
      <c r="M1584" s="112"/>
      <c r="N1584" s="112"/>
      <c r="O1584" s="112"/>
      <c r="P1584" s="112"/>
      <c r="Q1584" s="112" t="s">
        <v>1228</v>
      </c>
    </row>
    <row r="1585" spans="2:17" hidden="1" outlineLevel="2">
      <c r="B1585" s="2" t="s">
        <v>876</v>
      </c>
      <c r="D1585" s="268">
        <v>2669</v>
      </c>
      <c r="E1585" s="114" t="s">
        <v>208</v>
      </c>
      <c r="F1585" s="114" t="s">
        <v>2039</v>
      </c>
      <c r="G1585" s="114" t="s">
        <v>1512</v>
      </c>
      <c r="H1585" s="114" t="s">
        <v>1505</v>
      </c>
      <c r="I1585" s="114"/>
      <c r="J1585" s="114" t="b">
        <v>0</v>
      </c>
      <c r="K1585" s="114"/>
      <c r="L1585" s="114" t="b">
        <v>1</v>
      </c>
      <c r="M1585" s="114"/>
      <c r="N1585" s="114"/>
      <c r="O1585" s="114"/>
      <c r="P1585" s="114"/>
      <c r="Q1585" s="114" t="s">
        <v>1228</v>
      </c>
    </row>
    <row r="1586" spans="2:17" hidden="1" outlineLevel="2">
      <c r="B1586" s="2" t="s">
        <v>876</v>
      </c>
      <c r="D1586" s="270">
        <v>2671</v>
      </c>
      <c r="E1586" s="112" t="s">
        <v>208</v>
      </c>
      <c r="F1586" s="112" t="s">
        <v>2040</v>
      </c>
      <c r="G1586" s="112" t="s">
        <v>1493</v>
      </c>
      <c r="H1586" s="112" t="s">
        <v>1505</v>
      </c>
      <c r="I1586" s="112"/>
      <c r="J1586" s="112" t="b">
        <v>0</v>
      </c>
      <c r="K1586" s="112" t="s">
        <v>1484</v>
      </c>
      <c r="L1586" s="112" t="b">
        <v>1</v>
      </c>
      <c r="M1586" s="112"/>
      <c r="N1586" s="112"/>
      <c r="O1586" s="112"/>
      <c r="P1586" s="112"/>
      <c r="Q1586" s="112" t="s">
        <v>1228</v>
      </c>
    </row>
    <row r="1587" spans="2:17" hidden="1" outlineLevel="2">
      <c r="B1587" s="2" t="s">
        <v>876</v>
      </c>
      <c r="D1587" s="268">
        <v>2672</v>
      </c>
      <c r="E1587" s="114" t="s">
        <v>208</v>
      </c>
      <c r="F1587" s="114" t="s">
        <v>2041</v>
      </c>
      <c r="G1587" s="114" t="s">
        <v>1512</v>
      </c>
      <c r="H1587" s="114" t="s">
        <v>1505</v>
      </c>
      <c r="I1587" s="114"/>
      <c r="J1587" s="114" t="b">
        <v>0</v>
      </c>
      <c r="K1587" s="114"/>
      <c r="L1587" s="114"/>
      <c r="M1587" s="114"/>
      <c r="N1587" s="114"/>
      <c r="O1587" s="114"/>
      <c r="P1587" s="114"/>
      <c r="Q1587" s="114" t="s">
        <v>1228</v>
      </c>
    </row>
    <row r="1588" spans="2:17" hidden="1" outlineLevel="2">
      <c r="B1588" s="2" t="s">
        <v>876</v>
      </c>
      <c r="D1588" s="270">
        <v>2675</v>
      </c>
      <c r="E1588" s="112" t="s">
        <v>208</v>
      </c>
      <c r="F1588" s="112" t="s">
        <v>2042</v>
      </c>
      <c r="G1588" s="112" t="s">
        <v>1512</v>
      </c>
      <c r="H1588" s="112" t="s">
        <v>1505</v>
      </c>
      <c r="I1588" s="112"/>
      <c r="J1588" s="112" t="b">
        <v>0</v>
      </c>
      <c r="K1588" s="112"/>
      <c r="L1588" s="112"/>
      <c r="M1588" s="112"/>
      <c r="N1588" s="112"/>
      <c r="O1588" s="112"/>
      <c r="P1588" s="112"/>
      <c r="Q1588" s="112" t="s">
        <v>1228</v>
      </c>
    </row>
    <row r="1589" spans="2:17" hidden="1" outlineLevel="2">
      <c r="B1589" s="2" t="s">
        <v>876</v>
      </c>
      <c r="D1589" s="270" t="s">
        <v>2043</v>
      </c>
      <c r="E1589" s="112" t="s">
        <v>208</v>
      </c>
      <c r="F1589" s="112" t="s">
        <v>2044</v>
      </c>
      <c r="G1589" s="112" t="s">
        <v>2045</v>
      </c>
      <c r="H1589" s="112" t="s">
        <v>1505</v>
      </c>
      <c r="I1589" s="112"/>
      <c r="J1589" s="112" t="b">
        <v>0</v>
      </c>
      <c r="K1589" s="112"/>
      <c r="L1589" s="112"/>
      <c r="M1589" s="112"/>
      <c r="N1589" s="112"/>
      <c r="O1589" s="112"/>
      <c r="P1589" s="112"/>
      <c r="Q1589" s="112" t="s">
        <v>1228</v>
      </c>
    </row>
    <row r="1590" spans="2:17" hidden="1" outlineLevel="2">
      <c r="B1590" s="2" t="s">
        <v>876</v>
      </c>
      <c r="D1590" s="268">
        <v>2680</v>
      </c>
      <c r="E1590" s="114" t="s">
        <v>208</v>
      </c>
      <c r="F1590" s="114" t="s">
        <v>2046</v>
      </c>
      <c r="G1590" s="114" t="s">
        <v>1483</v>
      </c>
      <c r="H1590" s="114" t="s">
        <v>1494</v>
      </c>
      <c r="I1590" s="114"/>
      <c r="J1590" s="114" t="b">
        <v>0</v>
      </c>
      <c r="K1590" s="114"/>
      <c r="L1590" s="114"/>
      <c r="M1590" s="114"/>
      <c r="N1590" s="114"/>
      <c r="O1590" s="114"/>
      <c r="P1590" s="114"/>
      <c r="Q1590" s="114" t="s">
        <v>1228</v>
      </c>
    </row>
    <row r="1591" spans="2:17" hidden="1" outlineLevel="2">
      <c r="B1591" s="2" t="s">
        <v>876</v>
      </c>
      <c r="D1591" s="270">
        <v>2681</v>
      </c>
      <c r="E1591" s="112" t="s">
        <v>208</v>
      </c>
      <c r="F1591" s="112" t="s">
        <v>2047</v>
      </c>
      <c r="G1591" s="112" t="s">
        <v>1512</v>
      </c>
      <c r="H1591" s="112" t="s">
        <v>1505</v>
      </c>
      <c r="I1591" s="112"/>
      <c r="J1591" s="112" t="b">
        <v>0</v>
      </c>
      <c r="K1591" s="112"/>
      <c r="L1591" s="112"/>
      <c r="M1591" s="112"/>
      <c r="N1591" s="112"/>
      <c r="O1591" s="112"/>
      <c r="P1591" s="112"/>
      <c r="Q1591" s="112" t="s">
        <v>1228</v>
      </c>
    </row>
    <row r="1592" spans="2:17" hidden="1" outlineLevel="2">
      <c r="B1592" s="2" t="s">
        <v>876</v>
      </c>
      <c r="D1592" s="268">
        <v>2700</v>
      </c>
      <c r="E1592" s="114" t="s">
        <v>208</v>
      </c>
      <c r="F1592" s="114" t="s">
        <v>2048</v>
      </c>
      <c r="G1592" s="269" t="s">
        <v>1493</v>
      </c>
      <c r="H1592" s="114" t="s">
        <v>1505</v>
      </c>
      <c r="I1592" s="114"/>
      <c r="J1592" s="114" t="b">
        <v>0</v>
      </c>
      <c r="K1592" s="114"/>
      <c r="L1592" s="114"/>
      <c r="M1592" s="114"/>
      <c r="N1592" s="114"/>
      <c r="O1592" s="114"/>
      <c r="P1592" s="114"/>
      <c r="Q1592" s="114" t="s">
        <v>1228</v>
      </c>
    </row>
    <row r="1593" spans="2:17" hidden="1" outlineLevel="2">
      <c r="B1593" s="2" t="s">
        <v>876</v>
      </c>
      <c r="D1593" s="270">
        <v>2701</v>
      </c>
      <c r="E1593" s="112" t="s">
        <v>208</v>
      </c>
      <c r="F1593" s="112" t="s">
        <v>2049</v>
      </c>
      <c r="G1593" s="112" t="s">
        <v>1512</v>
      </c>
      <c r="H1593" s="112" t="s">
        <v>1505</v>
      </c>
      <c r="I1593" s="112"/>
      <c r="J1593" s="112" t="b">
        <v>0</v>
      </c>
      <c r="K1593" s="112"/>
      <c r="L1593" s="112"/>
      <c r="M1593" s="112"/>
      <c r="N1593" s="112"/>
      <c r="O1593" s="112"/>
      <c r="P1593" s="112"/>
      <c r="Q1593" s="112" t="s">
        <v>1228</v>
      </c>
    </row>
    <row r="1594" spans="2:17" hidden="1" outlineLevel="2">
      <c r="B1594" s="2" t="s">
        <v>876</v>
      </c>
      <c r="D1594" s="268">
        <v>2702</v>
      </c>
      <c r="E1594" s="114" t="s">
        <v>208</v>
      </c>
      <c r="F1594" s="114" t="s">
        <v>2050</v>
      </c>
      <c r="G1594" s="114" t="s">
        <v>1512</v>
      </c>
      <c r="H1594" s="114" t="s">
        <v>1505</v>
      </c>
      <c r="I1594" s="114"/>
      <c r="J1594" s="114" t="b">
        <v>0</v>
      </c>
      <c r="K1594" s="114"/>
      <c r="L1594" s="114"/>
      <c r="M1594" s="114"/>
      <c r="N1594" s="114"/>
      <c r="O1594" s="114"/>
      <c r="P1594" s="114"/>
      <c r="Q1594" s="114" t="s">
        <v>1228</v>
      </c>
    </row>
    <row r="1595" spans="2:17" hidden="1" outlineLevel="2">
      <c r="B1595" s="2" t="s">
        <v>876</v>
      </c>
      <c r="D1595" s="270">
        <v>2703</v>
      </c>
      <c r="E1595" s="112" t="s">
        <v>208</v>
      </c>
      <c r="F1595" s="112" t="s">
        <v>2051</v>
      </c>
      <c r="G1595" s="112" t="s">
        <v>1512</v>
      </c>
      <c r="H1595" s="112" t="s">
        <v>1505</v>
      </c>
      <c r="I1595" s="112"/>
      <c r="J1595" s="112" t="b">
        <v>0</v>
      </c>
      <c r="K1595" s="112"/>
      <c r="L1595" s="112"/>
      <c r="M1595" s="112"/>
      <c r="N1595" s="112"/>
      <c r="O1595" s="112"/>
      <c r="P1595" s="112"/>
      <c r="Q1595" s="112" t="s">
        <v>1228</v>
      </c>
    </row>
    <row r="1596" spans="2:17" hidden="1" outlineLevel="2">
      <c r="B1596" s="2" t="s">
        <v>876</v>
      </c>
      <c r="D1596" s="268">
        <v>2705</v>
      </c>
      <c r="E1596" s="114" t="s">
        <v>208</v>
      </c>
      <c r="F1596" s="114" t="s">
        <v>2052</v>
      </c>
      <c r="G1596" s="114" t="s">
        <v>1493</v>
      </c>
      <c r="H1596" s="114" t="s">
        <v>1505</v>
      </c>
      <c r="I1596" s="114"/>
      <c r="J1596" s="114" t="b">
        <v>0</v>
      </c>
      <c r="K1596" s="114"/>
      <c r="L1596" s="114"/>
      <c r="M1596" s="114"/>
      <c r="N1596" s="114"/>
      <c r="O1596" s="114"/>
      <c r="P1596" s="114"/>
      <c r="Q1596" s="114" t="s">
        <v>1228</v>
      </c>
    </row>
    <row r="1597" spans="2:17" hidden="1" outlineLevel="2">
      <c r="B1597" s="2" t="s">
        <v>876</v>
      </c>
      <c r="D1597" s="270">
        <v>2706</v>
      </c>
      <c r="E1597" s="112" t="s">
        <v>208</v>
      </c>
      <c r="F1597" s="112" t="s">
        <v>2053</v>
      </c>
      <c r="G1597" s="112" t="s">
        <v>1512</v>
      </c>
      <c r="H1597" s="112" t="s">
        <v>1505</v>
      </c>
      <c r="I1597" s="112"/>
      <c r="J1597" s="112" t="b">
        <v>0</v>
      </c>
      <c r="K1597" s="112"/>
      <c r="L1597" s="112"/>
      <c r="M1597" s="112"/>
      <c r="N1597" s="112"/>
      <c r="O1597" s="112"/>
      <c r="P1597" s="112"/>
      <c r="Q1597" s="112" t="s">
        <v>1228</v>
      </c>
    </row>
    <row r="1598" spans="2:17" hidden="1" outlineLevel="2">
      <c r="B1598" s="2" t="s">
        <v>876</v>
      </c>
      <c r="D1598" s="268">
        <v>2707</v>
      </c>
      <c r="E1598" s="114" t="s">
        <v>208</v>
      </c>
      <c r="F1598" s="114" t="s">
        <v>2054</v>
      </c>
      <c r="G1598" s="114" t="s">
        <v>1512</v>
      </c>
      <c r="H1598" s="114" t="s">
        <v>1505</v>
      </c>
      <c r="I1598" s="114"/>
      <c r="J1598" s="114" t="b">
        <v>0</v>
      </c>
      <c r="K1598" s="114"/>
      <c r="L1598" s="114"/>
      <c r="M1598" s="114"/>
      <c r="N1598" s="114"/>
      <c r="O1598" s="114"/>
      <c r="P1598" s="114"/>
      <c r="Q1598" s="114" t="s">
        <v>1228</v>
      </c>
    </row>
    <row r="1599" spans="2:17" hidden="1" outlineLevel="2">
      <c r="B1599" s="2" t="s">
        <v>876</v>
      </c>
      <c r="D1599" s="270">
        <v>2710</v>
      </c>
      <c r="E1599" s="112" t="s">
        <v>208</v>
      </c>
      <c r="F1599" s="112" t="s">
        <v>2055</v>
      </c>
      <c r="G1599" s="112" t="s">
        <v>1493</v>
      </c>
      <c r="H1599" s="112" t="s">
        <v>1505</v>
      </c>
      <c r="I1599" s="112"/>
      <c r="J1599" s="112" t="b">
        <v>0</v>
      </c>
      <c r="K1599" s="112"/>
      <c r="L1599" s="112"/>
      <c r="M1599" s="112"/>
      <c r="N1599" s="112"/>
      <c r="O1599" s="112"/>
      <c r="P1599" s="112"/>
      <c r="Q1599" s="112" t="s">
        <v>1228</v>
      </c>
    </row>
    <row r="1600" spans="2:17" hidden="1" outlineLevel="2">
      <c r="B1600" s="2" t="s">
        <v>876</v>
      </c>
      <c r="D1600" s="268">
        <v>2711</v>
      </c>
      <c r="E1600" s="114" t="s">
        <v>208</v>
      </c>
      <c r="F1600" s="114" t="s">
        <v>2056</v>
      </c>
      <c r="G1600" s="114" t="s">
        <v>1493</v>
      </c>
      <c r="H1600" s="114" t="s">
        <v>1505</v>
      </c>
      <c r="I1600" s="114"/>
      <c r="J1600" s="114" t="b">
        <v>0</v>
      </c>
      <c r="K1600" s="114"/>
      <c r="L1600" s="114"/>
      <c r="M1600" s="114"/>
      <c r="N1600" s="114"/>
      <c r="O1600" s="114"/>
      <c r="P1600" s="114"/>
      <c r="Q1600" s="114" t="s">
        <v>1228</v>
      </c>
    </row>
    <row r="1601" spans="2:17" hidden="1" outlineLevel="2">
      <c r="B1601" s="2" t="s">
        <v>876</v>
      </c>
      <c r="D1601" s="270">
        <v>2712</v>
      </c>
      <c r="E1601" s="112" t="s">
        <v>208</v>
      </c>
      <c r="F1601" s="112" t="s">
        <v>2057</v>
      </c>
      <c r="G1601" s="221" t="s">
        <v>1512</v>
      </c>
      <c r="H1601" s="112" t="s">
        <v>1505</v>
      </c>
      <c r="I1601" s="112"/>
      <c r="J1601" s="112" t="b">
        <v>0</v>
      </c>
      <c r="K1601" s="112"/>
      <c r="L1601" s="112"/>
      <c r="M1601" s="112"/>
      <c r="N1601" s="112"/>
      <c r="O1601" s="112"/>
      <c r="P1601" s="112"/>
      <c r="Q1601" s="112" t="s">
        <v>1228</v>
      </c>
    </row>
    <row r="1602" spans="2:17" hidden="1" outlineLevel="2">
      <c r="B1602" s="2" t="s">
        <v>876</v>
      </c>
      <c r="D1602" s="268">
        <v>2713</v>
      </c>
      <c r="E1602" s="114" t="s">
        <v>208</v>
      </c>
      <c r="F1602" s="114" t="s">
        <v>2058</v>
      </c>
      <c r="G1602" s="114" t="s">
        <v>1512</v>
      </c>
      <c r="H1602" s="114" t="s">
        <v>1512</v>
      </c>
      <c r="I1602" s="114"/>
      <c r="J1602" s="114" t="b">
        <v>0</v>
      </c>
      <c r="K1602" s="114"/>
      <c r="L1602" s="114"/>
      <c r="M1602" s="114"/>
      <c r="N1602" s="114"/>
      <c r="O1602" s="114"/>
      <c r="P1602" s="114"/>
      <c r="Q1602" s="114" t="s">
        <v>1228</v>
      </c>
    </row>
    <row r="1603" spans="2:17" hidden="1" outlineLevel="2">
      <c r="B1603" s="2" t="s">
        <v>876</v>
      </c>
      <c r="D1603" s="270">
        <v>2714</v>
      </c>
      <c r="E1603" s="112" t="s">
        <v>208</v>
      </c>
      <c r="F1603" s="112" t="s">
        <v>2059</v>
      </c>
      <c r="G1603" s="112" t="s">
        <v>1493</v>
      </c>
      <c r="H1603" s="112" t="s">
        <v>1505</v>
      </c>
      <c r="I1603" s="112"/>
      <c r="J1603" s="112" t="b">
        <v>0</v>
      </c>
      <c r="K1603" s="112"/>
      <c r="L1603" s="112"/>
      <c r="M1603" s="112"/>
      <c r="N1603" s="112"/>
      <c r="O1603" s="112"/>
      <c r="P1603" s="112"/>
      <c r="Q1603" s="112" t="s">
        <v>1228</v>
      </c>
    </row>
    <row r="1604" spans="2:17" hidden="1" outlineLevel="2">
      <c r="B1604" s="2" t="s">
        <v>876</v>
      </c>
      <c r="D1604" s="268">
        <v>2715</v>
      </c>
      <c r="E1604" s="114" t="s">
        <v>208</v>
      </c>
      <c r="F1604" s="114" t="s">
        <v>2060</v>
      </c>
      <c r="G1604" s="114" t="s">
        <v>1512</v>
      </c>
      <c r="H1604" s="114" t="s">
        <v>1505</v>
      </c>
      <c r="I1604" s="114"/>
      <c r="J1604" s="114" t="b">
        <v>0</v>
      </c>
      <c r="K1604" s="114"/>
      <c r="L1604" s="114"/>
      <c r="M1604" s="114"/>
      <c r="N1604" s="114"/>
      <c r="O1604" s="114"/>
      <c r="P1604" s="114"/>
      <c r="Q1604" s="114" t="s">
        <v>1228</v>
      </c>
    </row>
    <row r="1605" spans="2:17" hidden="1" outlineLevel="2">
      <c r="B1605" s="2" t="s">
        <v>876</v>
      </c>
      <c r="D1605" s="270">
        <v>2716</v>
      </c>
      <c r="E1605" s="112" t="s">
        <v>208</v>
      </c>
      <c r="F1605" s="112" t="s">
        <v>2061</v>
      </c>
      <c r="G1605" s="112" t="s">
        <v>1512</v>
      </c>
      <c r="H1605" s="112" t="s">
        <v>1505</v>
      </c>
      <c r="I1605" s="112"/>
      <c r="J1605" s="112" t="b">
        <v>0</v>
      </c>
      <c r="K1605" s="112"/>
      <c r="L1605" s="112"/>
      <c r="M1605" s="112"/>
      <c r="N1605" s="112"/>
      <c r="O1605" s="112"/>
      <c r="P1605" s="112"/>
      <c r="Q1605" s="112" t="s">
        <v>1228</v>
      </c>
    </row>
    <row r="1606" spans="2:17" hidden="1" outlineLevel="2">
      <c r="B1606" s="2" t="s">
        <v>876</v>
      </c>
      <c r="D1606" s="268">
        <v>2717</v>
      </c>
      <c r="E1606" s="114" t="s">
        <v>208</v>
      </c>
      <c r="F1606" s="114" t="s">
        <v>2062</v>
      </c>
      <c r="G1606" s="114" t="s">
        <v>1512</v>
      </c>
      <c r="H1606" s="114" t="s">
        <v>1505</v>
      </c>
      <c r="I1606" s="114"/>
      <c r="J1606" s="114" t="b">
        <v>0</v>
      </c>
      <c r="K1606" s="114"/>
      <c r="L1606" s="114"/>
      <c r="M1606" s="114"/>
      <c r="N1606" s="114"/>
      <c r="O1606" s="114"/>
      <c r="P1606" s="114"/>
      <c r="Q1606" s="114" t="s">
        <v>1228</v>
      </c>
    </row>
    <row r="1607" spans="2:17" hidden="1" outlineLevel="2">
      <c r="B1607" s="2" t="s">
        <v>876</v>
      </c>
      <c r="D1607" s="270">
        <v>2720</v>
      </c>
      <c r="E1607" s="112" t="s">
        <v>208</v>
      </c>
      <c r="F1607" s="112" t="s">
        <v>2063</v>
      </c>
      <c r="G1607" s="112" t="s">
        <v>1493</v>
      </c>
      <c r="H1607" s="112" t="s">
        <v>1505</v>
      </c>
      <c r="I1607" s="112"/>
      <c r="J1607" s="112" t="b">
        <v>0</v>
      </c>
      <c r="K1607" s="112"/>
      <c r="L1607" s="112"/>
      <c r="M1607" s="112"/>
      <c r="N1607" s="112"/>
      <c r="O1607" s="112"/>
      <c r="P1607" s="112"/>
      <c r="Q1607" s="112" t="s">
        <v>1228</v>
      </c>
    </row>
    <row r="1608" spans="2:17" hidden="1" outlineLevel="2">
      <c r="B1608" s="2" t="s">
        <v>876</v>
      </c>
      <c r="D1608" s="268">
        <v>2721</v>
      </c>
      <c r="E1608" s="114" t="s">
        <v>208</v>
      </c>
      <c r="F1608" s="114" t="s">
        <v>2064</v>
      </c>
      <c r="G1608" s="114" t="s">
        <v>1512</v>
      </c>
      <c r="H1608" s="114" t="s">
        <v>1505</v>
      </c>
      <c r="I1608" s="114"/>
      <c r="J1608" s="114" t="b">
        <v>0</v>
      </c>
      <c r="K1608" s="114"/>
      <c r="L1608" s="114"/>
      <c r="M1608" s="114"/>
      <c r="N1608" s="114"/>
      <c r="O1608" s="114"/>
      <c r="P1608" s="114"/>
      <c r="Q1608" s="114" t="s">
        <v>1228</v>
      </c>
    </row>
    <row r="1609" spans="2:17" hidden="1" outlineLevel="2">
      <c r="B1609" s="2" t="s">
        <v>876</v>
      </c>
      <c r="D1609" s="270">
        <v>2722</v>
      </c>
      <c r="E1609" s="112" t="s">
        <v>208</v>
      </c>
      <c r="F1609" s="112" t="s">
        <v>2065</v>
      </c>
      <c r="G1609" s="112" t="s">
        <v>1512</v>
      </c>
      <c r="H1609" s="112" t="s">
        <v>1505</v>
      </c>
      <c r="I1609" s="112"/>
      <c r="J1609" s="112" t="b">
        <v>0</v>
      </c>
      <c r="K1609" s="112"/>
      <c r="L1609" s="112"/>
      <c r="M1609" s="112"/>
      <c r="N1609" s="112"/>
      <c r="O1609" s="112"/>
      <c r="P1609" s="112"/>
      <c r="Q1609" s="112" t="s">
        <v>1228</v>
      </c>
    </row>
    <row r="1610" spans="2:17" hidden="1" outlineLevel="2">
      <c r="B1610" s="2" t="s">
        <v>876</v>
      </c>
      <c r="D1610" s="268">
        <v>2725</v>
      </c>
      <c r="E1610" s="114" t="s">
        <v>208</v>
      </c>
      <c r="F1610" s="114" t="s">
        <v>2066</v>
      </c>
      <c r="G1610" s="114" t="s">
        <v>1512</v>
      </c>
      <c r="H1610" s="114" t="s">
        <v>1505</v>
      </c>
      <c r="I1610" s="114"/>
      <c r="J1610" s="114" t="b">
        <v>0</v>
      </c>
      <c r="K1610" s="114"/>
      <c r="L1610" s="114"/>
      <c r="M1610" s="114"/>
      <c r="N1610" s="114"/>
      <c r="O1610" s="114"/>
      <c r="P1610" s="114"/>
      <c r="Q1610" s="114" t="s">
        <v>1228</v>
      </c>
    </row>
    <row r="1611" spans="2:17" hidden="1" outlineLevel="2">
      <c r="B1611" s="2" t="s">
        <v>876</v>
      </c>
      <c r="D1611" s="270">
        <v>2726</v>
      </c>
      <c r="E1611" s="112" t="s">
        <v>208</v>
      </c>
      <c r="F1611" s="112" t="s">
        <v>2067</v>
      </c>
      <c r="G1611" s="112" t="s">
        <v>1512</v>
      </c>
      <c r="H1611" s="112" t="s">
        <v>1505</v>
      </c>
      <c r="I1611" s="112"/>
      <c r="J1611" s="112" t="b">
        <v>0</v>
      </c>
      <c r="K1611" s="112"/>
      <c r="L1611" s="112" t="b">
        <v>1</v>
      </c>
      <c r="M1611" s="112"/>
      <c r="N1611" s="112"/>
      <c r="O1611" s="112"/>
      <c r="P1611" s="112"/>
      <c r="Q1611" s="112" t="s">
        <v>1228</v>
      </c>
    </row>
    <row r="1612" spans="2:17" hidden="1" outlineLevel="2">
      <c r="B1612" s="2" t="s">
        <v>876</v>
      </c>
      <c r="D1612" s="268">
        <v>2727</v>
      </c>
      <c r="E1612" s="114" t="s">
        <v>208</v>
      </c>
      <c r="F1612" s="114" t="s">
        <v>2068</v>
      </c>
      <c r="G1612" s="114" t="s">
        <v>1512</v>
      </c>
      <c r="H1612" s="114" t="s">
        <v>1505</v>
      </c>
      <c r="I1612" s="114"/>
      <c r="J1612" s="114" t="b">
        <v>0</v>
      </c>
      <c r="K1612" s="114"/>
      <c r="L1612" s="114" t="b">
        <v>1</v>
      </c>
      <c r="M1612" s="114"/>
      <c r="N1612" s="114"/>
      <c r="O1612" s="114"/>
      <c r="P1612" s="114"/>
      <c r="Q1612" s="114" t="s">
        <v>1228</v>
      </c>
    </row>
    <row r="1613" spans="2:17" hidden="1" outlineLevel="2">
      <c r="B1613" s="2" t="s">
        <v>876</v>
      </c>
      <c r="D1613" s="270">
        <v>2729</v>
      </c>
      <c r="E1613" s="112" t="s">
        <v>208</v>
      </c>
      <c r="F1613" s="112" t="s">
        <v>2069</v>
      </c>
      <c r="G1613" s="112" t="s">
        <v>1512</v>
      </c>
      <c r="H1613" s="112" t="s">
        <v>1505</v>
      </c>
      <c r="I1613" s="112"/>
      <c r="J1613" s="112" t="b">
        <v>0</v>
      </c>
      <c r="K1613" s="112"/>
      <c r="L1613" s="112"/>
      <c r="M1613" s="112"/>
      <c r="N1613" s="112"/>
      <c r="O1613" s="112"/>
      <c r="P1613" s="112"/>
      <c r="Q1613" s="112" t="s">
        <v>1228</v>
      </c>
    </row>
    <row r="1614" spans="2:17" hidden="1" outlineLevel="2">
      <c r="B1614" s="2" t="s">
        <v>876</v>
      </c>
      <c r="D1614" s="268">
        <v>2730</v>
      </c>
      <c r="E1614" s="114" t="s">
        <v>208</v>
      </c>
      <c r="F1614" s="114" t="s">
        <v>2070</v>
      </c>
      <c r="G1614" s="114" t="s">
        <v>1512</v>
      </c>
      <c r="H1614" s="114" t="s">
        <v>1505</v>
      </c>
      <c r="I1614" s="114"/>
      <c r="J1614" s="114" t="b">
        <v>0</v>
      </c>
      <c r="K1614" s="114"/>
      <c r="L1614" s="114"/>
      <c r="M1614" s="114"/>
      <c r="N1614" s="114"/>
      <c r="O1614" s="114"/>
      <c r="P1614" s="114"/>
      <c r="Q1614" s="114" t="s">
        <v>1228</v>
      </c>
    </row>
    <row r="1615" spans="2:17" hidden="1" outlineLevel="2">
      <c r="B1615" s="2" t="s">
        <v>876</v>
      </c>
      <c r="D1615" s="270">
        <v>2731</v>
      </c>
      <c r="E1615" s="112" t="s">
        <v>208</v>
      </c>
      <c r="F1615" s="112" t="s">
        <v>2071</v>
      </c>
      <c r="G1615" s="112" t="s">
        <v>1483</v>
      </c>
      <c r="H1615" s="112" t="s">
        <v>1494</v>
      </c>
      <c r="I1615" s="112"/>
      <c r="J1615" s="112" t="b">
        <v>0</v>
      </c>
      <c r="K1615" s="112"/>
      <c r="L1615" s="112"/>
      <c r="M1615" s="112"/>
      <c r="N1615" s="112"/>
      <c r="O1615" s="112"/>
      <c r="P1615" s="112"/>
      <c r="Q1615" s="112" t="s">
        <v>1228</v>
      </c>
    </row>
    <row r="1616" spans="2:17" hidden="1" outlineLevel="2">
      <c r="B1616" s="2" t="s">
        <v>876</v>
      </c>
      <c r="D1616" s="268">
        <v>2732</v>
      </c>
      <c r="E1616" s="114" t="s">
        <v>208</v>
      </c>
      <c r="F1616" s="114" t="s">
        <v>2072</v>
      </c>
      <c r="G1616" s="114" t="s">
        <v>1512</v>
      </c>
      <c r="H1616" s="114" t="s">
        <v>1505</v>
      </c>
      <c r="I1616" s="114"/>
      <c r="J1616" s="114" t="b">
        <v>0</v>
      </c>
      <c r="K1616" s="114"/>
      <c r="L1616" s="114"/>
      <c r="M1616" s="114"/>
      <c r="N1616" s="114"/>
      <c r="O1616" s="114"/>
      <c r="P1616" s="114"/>
      <c r="Q1616" s="114" t="s">
        <v>1228</v>
      </c>
    </row>
    <row r="1617" spans="2:17" hidden="1" outlineLevel="2">
      <c r="B1617" s="2" t="s">
        <v>876</v>
      </c>
      <c r="D1617" s="270">
        <v>2733</v>
      </c>
      <c r="E1617" s="112" t="s">
        <v>208</v>
      </c>
      <c r="F1617" s="112" t="s">
        <v>2073</v>
      </c>
      <c r="G1617" s="112" t="s">
        <v>1512</v>
      </c>
      <c r="H1617" s="112" t="s">
        <v>1505</v>
      </c>
      <c r="I1617" s="112"/>
      <c r="J1617" s="112" t="b">
        <v>0</v>
      </c>
      <c r="K1617" s="112"/>
      <c r="L1617" s="112"/>
      <c r="M1617" s="112"/>
      <c r="N1617" s="112"/>
      <c r="O1617" s="112"/>
      <c r="P1617" s="112"/>
      <c r="Q1617" s="112" t="s">
        <v>1228</v>
      </c>
    </row>
    <row r="1618" spans="2:17" hidden="1" outlineLevel="2">
      <c r="B1618" s="2" t="s">
        <v>876</v>
      </c>
      <c r="D1618" s="268">
        <v>2734</v>
      </c>
      <c r="E1618" s="114" t="s">
        <v>208</v>
      </c>
      <c r="F1618" s="114" t="s">
        <v>2074</v>
      </c>
      <c r="G1618" s="114" t="s">
        <v>1512</v>
      </c>
      <c r="H1618" s="114" t="s">
        <v>1505</v>
      </c>
      <c r="I1618" s="114"/>
      <c r="J1618" s="114" t="b">
        <v>0</v>
      </c>
      <c r="K1618" s="114"/>
      <c r="L1618" s="114"/>
      <c r="M1618" s="114"/>
      <c r="N1618" s="114"/>
      <c r="O1618" s="114"/>
      <c r="P1618" s="114"/>
      <c r="Q1618" s="114" t="s">
        <v>1228</v>
      </c>
    </row>
    <row r="1619" spans="2:17" hidden="1" outlineLevel="2">
      <c r="B1619" s="2" t="s">
        <v>876</v>
      </c>
      <c r="D1619" s="270">
        <v>2735</v>
      </c>
      <c r="E1619" s="112" t="s">
        <v>208</v>
      </c>
      <c r="F1619" s="112" t="s">
        <v>2075</v>
      </c>
      <c r="G1619" s="112" t="s">
        <v>1512</v>
      </c>
      <c r="H1619" s="112" t="s">
        <v>1512</v>
      </c>
      <c r="I1619" s="112"/>
      <c r="J1619" s="112" t="b">
        <v>0</v>
      </c>
      <c r="K1619" s="112"/>
      <c r="L1619" s="112"/>
      <c r="M1619" s="112"/>
      <c r="N1619" s="112"/>
      <c r="O1619" s="112"/>
      <c r="P1619" s="112"/>
      <c r="Q1619" s="112" t="s">
        <v>1228</v>
      </c>
    </row>
    <row r="1620" spans="2:17" hidden="1" outlineLevel="2">
      <c r="B1620" s="2" t="s">
        <v>876</v>
      </c>
      <c r="D1620" s="268">
        <v>2736</v>
      </c>
      <c r="E1620" s="114" t="s">
        <v>208</v>
      </c>
      <c r="F1620" s="114" t="s">
        <v>2076</v>
      </c>
      <c r="G1620" s="114" t="s">
        <v>1512</v>
      </c>
      <c r="H1620" s="114" t="s">
        <v>1505</v>
      </c>
      <c r="I1620" s="114"/>
      <c r="J1620" s="114" t="b">
        <v>0</v>
      </c>
      <c r="K1620" s="114"/>
      <c r="L1620" s="114"/>
      <c r="M1620" s="114"/>
      <c r="N1620" s="114"/>
      <c r="O1620" s="114"/>
      <c r="P1620" s="114"/>
      <c r="Q1620" s="114" t="s">
        <v>1228</v>
      </c>
    </row>
    <row r="1621" spans="2:17" hidden="1" outlineLevel="2">
      <c r="B1621" s="2" t="s">
        <v>876</v>
      </c>
      <c r="D1621" s="270">
        <v>2737</v>
      </c>
      <c r="E1621" s="112" t="s">
        <v>208</v>
      </c>
      <c r="F1621" s="112" t="s">
        <v>2077</v>
      </c>
      <c r="G1621" s="112" t="s">
        <v>1512</v>
      </c>
      <c r="H1621" s="112" t="s">
        <v>1512</v>
      </c>
      <c r="I1621" s="112"/>
      <c r="J1621" s="112" t="b">
        <v>0</v>
      </c>
      <c r="K1621" s="112"/>
      <c r="L1621" s="112"/>
      <c r="M1621" s="112"/>
      <c r="N1621" s="112"/>
      <c r="O1621" s="112"/>
      <c r="P1621" s="112"/>
      <c r="Q1621" s="112" t="s">
        <v>1228</v>
      </c>
    </row>
    <row r="1622" spans="2:17" hidden="1" outlineLevel="2">
      <c r="B1622" s="2" t="s">
        <v>876</v>
      </c>
      <c r="D1622" s="268">
        <v>2738</v>
      </c>
      <c r="E1622" s="114" t="s">
        <v>208</v>
      </c>
      <c r="F1622" s="114" t="s">
        <v>2078</v>
      </c>
      <c r="G1622" s="691" t="s">
        <v>1493</v>
      </c>
      <c r="H1622" s="114" t="s">
        <v>1505</v>
      </c>
      <c r="I1622" s="114"/>
      <c r="J1622" s="114" t="b">
        <v>0</v>
      </c>
      <c r="K1622" s="114"/>
      <c r="L1622" s="114"/>
      <c r="M1622" s="114"/>
      <c r="N1622" s="114"/>
      <c r="O1622" s="114"/>
      <c r="P1622" s="114"/>
      <c r="Q1622" s="114" t="s">
        <v>1228</v>
      </c>
    </row>
    <row r="1623" spans="2:17" hidden="1" outlineLevel="2">
      <c r="B1623" s="2" t="s">
        <v>876</v>
      </c>
      <c r="D1623" s="270">
        <v>2739</v>
      </c>
      <c r="E1623" s="112" t="s">
        <v>208</v>
      </c>
      <c r="F1623" s="112" t="s">
        <v>2079</v>
      </c>
      <c r="G1623" s="221" t="s">
        <v>1512</v>
      </c>
      <c r="H1623" s="112" t="s">
        <v>1505</v>
      </c>
      <c r="I1623" s="112"/>
      <c r="J1623" s="112" t="b">
        <v>0</v>
      </c>
      <c r="K1623" s="112"/>
      <c r="L1623" s="112"/>
      <c r="M1623" s="112"/>
      <c r="N1623" s="112"/>
      <c r="O1623" s="112"/>
      <c r="P1623" s="112"/>
      <c r="Q1623" s="112" t="s">
        <v>1228</v>
      </c>
    </row>
    <row r="1624" spans="2:17" hidden="1" outlineLevel="2">
      <c r="B1624" s="2" t="s">
        <v>876</v>
      </c>
      <c r="D1624" s="268">
        <v>2745</v>
      </c>
      <c r="E1624" s="114" t="s">
        <v>208</v>
      </c>
      <c r="F1624" s="114" t="s">
        <v>2080</v>
      </c>
      <c r="G1624" s="114" t="s">
        <v>1572</v>
      </c>
      <c r="H1624" s="114" t="s">
        <v>1227</v>
      </c>
      <c r="I1624" s="114"/>
      <c r="J1624" s="114" t="b">
        <v>0</v>
      </c>
      <c r="K1624" s="114"/>
      <c r="L1624" s="114"/>
      <c r="M1624" s="114"/>
      <c r="N1624" s="114"/>
      <c r="O1624" s="114"/>
      <c r="P1624" s="114"/>
      <c r="Q1624" s="114" t="s">
        <v>1227</v>
      </c>
    </row>
    <row r="1625" spans="2:17" hidden="1" outlineLevel="2">
      <c r="B1625" s="2" t="s">
        <v>876</v>
      </c>
      <c r="D1625" s="270">
        <v>2747</v>
      </c>
      <c r="E1625" s="112" t="s">
        <v>208</v>
      </c>
      <c r="F1625" s="112" t="s">
        <v>2081</v>
      </c>
      <c r="G1625" s="112" t="s">
        <v>1572</v>
      </c>
      <c r="H1625" s="112" t="s">
        <v>1227</v>
      </c>
      <c r="I1625" s="112"/>
      <c r="J1625" s="112" t="b">
        <v>0</v>
      </c>
      <c r="K1625" s="112"/>
      <c r="L1625" s="112"/>
      <c r="M1625" s="112"/>
      <c r="N1625" s="112"/>
      <c r="O1625" s="112"/>
      <c r="P1625" s="112"/>
      <c r="Q1625" s="112" t="s">
        <v>1227</v>
      </c>
    </row>
    <row r="1626" spans="2:17" hidden="1" outlineLevel="2">
      <c r="B1626" s="2" t="s">
        <v>876</v>
      </c>
      <c r="D1626" s="268">
        <v>2748</v>
      </c>
      <c r="E1626" s="114" t="s">
        <v>208</v>
      </c>
      <c r="F1626" s="114" t="s">
        <v>2082</v>
      </c>
      <c r="G1626" s="114" t="s">
        <v>1572</v>
      </c>
      <c r="H1626" s="114" t="s">
        <v>1227</v>
      </c>
      <c r="I1626" s="114"/>
      <c r="J1626" s="114" t="b">
        <v>0</v>
      </c>
      <c r="K1626" s="114"/>
      <c r="L1626" s="114"/>
      <c r="M1626" s="114"/>
      <c r="N1626" s="691" t="b">
        <v>1</v>
      </c>
      <c r="O1626" s="114"/>
      <c r="P1626" s="114"/>
      <c r="Q1626" s="114" t="s">
        <v>1227</v>
      </c>
    </row>
    <row r="1627" spans="2:17" hidden="1" outlineLevel="2">
      <c r="B1627" s="2" t="s">
        <v>876</v>
      </c>
      <c r="D1627" s="270">
        <v>2749</v>
      </c>
      <c r="E1627" s="112" t="s">
        <v>208</v>
      </c>
      <c r="F1627" s="112" t="s">
        <v>2083</v>
      </c>
      <c r="G1627" s="112" t="s">
        <v>1572</v>
      </c>
      <c r="H1627" s="112" t="s">
        <v>1227</v>
      </c>
      <c r="I1627" s="112"/>
      <c r="J1627" s="112" t="b">
        <v>0</v>
      </c>
      <c r="K1627" s="112"/>
      <c r="L1627" s="112"/>
      <c r="M1627" s="112"/>
      <c r="N1627" s="112"/>
      <c r="O1627" s="112"/>
      <c r="P1627" s="112"/>
      <c r="Q1627" s="112" t="s">
        <v>1227</v>
      </c>
    </row>
    <row r="1628" spans="2:17" hidden="1" outlineLevel="2">
      <c r="B1628" s="2" t="s">
        <v>876</v>
      </c>
      <c r="D1628" s="268">
        <v>2750</v>
      </c>
      <c r="E1628" s="114" t="s">
        <v>208</v>
      </c>
      <c r="F1628" s="114" t="s">
        <v>2084</v>
      </c>
      <c r="G1628" s="114" t="s">
        <v>1572</v>
      </c>
      <c r="H1628" s="114" t="s">
        <v>1227</v>
      </c>
      <c r="I1628" s="114"/>
      <c r="J1628" s="114" t="b">
        <v>0</v>
      </c>
      <c r="K1628" s="114"/>
      <c r="L1628" s="114"/>
      <c r="M1628" s="114"/>
      <c r="N1628" s="114"/>
      <c r="O1628" s="114"/>
      <c r="P1628" s="114"/>
      <c r="Q1628" s="114" t="s">
        <v>1227</v>
      </c>
    </row>
    <row r="1629" spans="2:17" hidden="1" outlineLevel="2">
      <c r="B1629" s="2" t="s">
        <v>876</v>
      </c>
      <c r="D1629" s="270">
        <v>2752</v>
      </c>
      <c r="E1629" s="112" t="s">
        <v>208</v>
      </c>
      <c r="F1629" s="112" t="s">
        <v>2085</v>
      </c>
      <c r="G1629" s="112" t="s">
        <v>1572</v>
      </c>
      <c r="H1629" s="112" t="s">
        <v>1227</v>
      </c>
      <c r="I1629" s="112"/>
      <c r="J1629" s="112" t="b">
        <v>0</v>
      </c>
      <c r="K1629" s="112"/>
      <c r="L1629" s="112"/>
      <c r="M1629" s="112"/>
      <c r="N1629" s="112"/>
      <c r="O1629" s="112"/>
      <c r="P1629" s="112"/>
      <c r="Q1629" s="112" t="s">
        <v>1227</v>
      </c>
    </row>
    <row r="1630" spans="2:17" hidden="1" outlineLevel="2">
      <c r="B1630" s="2" t="s">
        <v>876</v>
      </c>
      <c r="D1630" s="268">
        <v>2753</v>
      </c>
      <c r="E1630" s="114" t="s">
        <v>208</v>
      </c>
      <c r="F1630" s="114" t="s">
        <v>2086</v>
      </c>
      <c r="G1630" s="114" t="s">
        <v>1572</v>
      </c>
      <c r="H1630" s="114" t="s">
        <v>1227</v>
      </c>
      <c r="I1630" s="114"/>
      <c r="J1630" s="114" t="b">
        <v>0</v>
      </c>
      <c r="K1630" s="114"/>
      <c r="L1630" s="114"/>
      <c r="M1630" s="114"/>
      <c r="N1630" s="114"/>
      <c r="O1630" s="114"/>
      <c r="P1630" s="114"/>
      <c r="Q1630" s="114" t="s">
        <v>1227</v>
      </c>
    </row>
    <row r="1631" spans="2:17" hidden="1" outlineLevel="2">
      <c r="B1631" s="2" t="s">
        <v>876</v>
      </c>
      <c r="D1631" s="270">
        <v>2754</v>
      </c>
      <c r="E1631" s="112" t="s">
        <v>208</v>
      </c>
      <c r="F1631" s="112" t="s">
        <v>2087</v>
      </c>
      <c r="G1631" s="112" t="s">
        <v>1572</v>
      </c>
      <c r="H1631" s="112" t="s">
        <v>1227</v>
      </c>
      <c r="I1631" s="112"/>
      <c r="J1631" s="112" t="b">
        <v>0</v>
      </c>
      <c r="K1631" s="112"/>
      <c r="L1631" s="112"/>
      <c r="M1631" s="112"/>
      <c r="N1631" s="112"/>
      <c r="O1631" s="112"/>
      <c r="P1631" s="112"/>
      <c r="Q1631" s="112" t="s">
        <v>1227</v>
      </c>
    </row>
    <row r="1632" spans="2:17" hidden="1" outlineLevel="2">
      <c r="B1632" s="2" t="s">
        <v>876</v>
      </c>
      <c r="D1632" s="268">
        <v>2756</v>
      </c>
      <c r="E1632" s="114" t="s">
        <v>208</v>
      </c>
      <c r="F1632" s="114" t="s">
        <v>2088</v>
      </c>
      <c r="G1632" s="114" t="s">
        <v>1572</v>
      </c>
      <c r="H1632" s="114" t="s">
        <v>1227</v>
      </c>
      <c r="I1632" s="114"/>
      <c r="J1632" s="114" t="b">
        <v>0</v>
      </c>
      <c r="K1632" s="114"/>
      <c r="L1632" s="114"/>
      <c r="M1632" s="114"/>
      <c r="N1632" s="114"/>
      <c r="O1632" s="114"/>
      <c r="P1632" s="114"/>
      <c r="Q1632" s="114" t="s">
        <v>1227</v>
      </c>
    </row>
    <row r="1633" spans="2:17" hidden="1" outlineLevel="2">
      <c r="B1633" s="2" t="s">
        <v>876</v>
      </c>
      <c r="D1633" s="270">
        <v>2757</v>
      </c>
      <c r="E1633" s="112" t="s">
        <v>208</v>
      </c>
      <c r="F1633" s="112" t="s">
        <v>2089</v>
      </c>
      <c r="G1633" s="112" t="s">
        <v>1572</v>
      </c>
      <c r="H1633" s="112" t="s">
        <v>1227</v>
      </c>
      <c r="I1633" s="112"/>
      <c r="J1633" s="112" t="b">
        <v>0</v>
      </c>
      <c r="K1633" s="112"/>
      <c r="L1633" s="112"/>
      <c r="M1633" s="112"/>
      <c r="N1633" s="112"/>
      <c r="O1633" s="112"/>
      <c r="P1633" s="112"/>
      <c r="Q1633" s="112" t="s">
        <v>1227</v>
      </c>
    </row>
    <row r="1634" spans="2:17" hidden="1" outlineLevel="2">
      <c r="B1634" s="2" t="s">
        <v>876</v>
      </c>
      <c r="D1634" s="268">
        <v>2758</v>
      </c>
      <c r="E1634" s="114" t="s">
        <v>208</v>
      </c>
      <c r="F1634" s="114" t="s">
        <v>2090</v>
      </c>
      <c r="G1634" s="114" t="s">
        <v>1572</v>
      </c>
      <c r="H1634" s="114" t="s">
        <v>1227</v>
      </c>
      <c r="I1634" s="114"/>
      <c r="J1634" s="114" t="b">
        <v>0</v>
      </c>
      <c r="K1634" s="114"/>
      <c r="L1634" s="114"/>
      <c r="M1634" s="114"/>
      <c r="N1634" s="114"/>
      <c r="O1634" s="114"/>
      <c r="P1634" s="114"/>
      <c r="Q1634" s="114" t="s">
        <v>1227</v>
      </c>
    </row>
    <row r="1635" spans="2:17" hidden="1" outlineLevel="2">
      <c r="B1635" s="2" t="s">
        <v>876</v>
      </c>
      <c r="D1635" s="270">
        <v>2759</v>
      </c>
      <c r="E1635" s="112" t="s">
        <v>208</v>
      </c>
      <c r="F1635" s="112" t="s">
        <v>2091</v>
      </c>
      <c r="G1635" s="112" t="s">
        <v>1572</v>
      </c>
      <c r="H1635" s="112" t="s">
        <v>1227</v>
      </c>
      <c r="I1635" s="112"/>
      <c r="J1635" s="112" t="b">
        <v>0</v>
      </c>
      <c r="K1635" s="112"/>
      <c r="L1635" s="112"/>
      <c r="M1635" s="112"/>
      <c r="N1635" s="112"/>
      <c r="O1635" s="112"/>
      <c r="P1635" s="112"/>
      <c r="Q1635" s="112" t="s">
        <v>1227</v>
      </c>
    </row>
    <row r="1636" spans="2:17" hidden="1" outlineLevel="2">
      <c r="B1636" s="2" t="s">
        <v>876</v>
      </c>
      <c r="D1636" s="268">
        <v>2760</v>
      </c>
      <c r="E1636" s="114" t="s">
        <v>208</v>
      </c>
      <c r="F1636" s="114" t="s">
        <v>2092</v>
      </c>
      <c r="G1636" s="114" t="s">
        <v>1572</v>
      </c>
      <c r="H1636" s="114" t="s">
        <v>1227</v>
      </c>
      <c r="I1636" s="114"/>
      <c r="J1636" s="114" t="b">
        <v>0</v>
      </c>
      <c r="K1636" s="114"/>
      <c r="L1636" s="114"/>
      <c r="M1636" s="114"/>
      <c r="N1636" s="114"/>
      <c r="O1636" s="114"/>
      <c r="P1636" s="114"/>
      <c r="Q1636" s="114" t="s">
        <v>1227</v>
      </c>
    </row>
    <row r="1637" spans="2:17" hidden="1" outlineLevel="2">
      <c r="B1637" s="2" t="s">
        <v>876</v>
      </c>
      <c r="D1637" s="270">
        <v>2761</v>
      </c>
      <c r="E1637" s="112" t="s">
        <v>208</v>
      </c>
      <c r="F1637" s="112" t="s">
        <v>2093</v>
      </c>
      <c r="G1637" s="112" t="s">
        <v>1572</v>
      </c>
      <c r="H1637" s="112" t="s">
        <v>1227</v>
      </c>
      <c r="I1637" s="112"/>
      <c r="J1637" s="112" t="b">
        <v>0</v>
      </c>
      <c r="K1637" s="112"/>
      <c r="L1637" s="112"/>
      <c r="M1637" s="112"/>
      <c r="N1637" s="112"/>
      <c r="O1637" s="112"/>
      <c r="P1637" s="112"/>
      <c r="Q1637" s="112" t="s">
        <v>1227</v>
      </c>
    </row>
    <row r="1638" spans="2:17" hidden="1" outlineLevel="2">
      <c r="B1638" s="2" t="s">
        <v>876</v>
      </c>
      <c r="D1638" s="268">
        <v>2762</v>
      </c>
      <c r="E1638" s="114" t="s">
        <v>208</v>
      </c>
      <c r="F1638" s="114" t="s">
        <v>2094</v>
      </c>
      <c r="G1638" s="114" t="s">
        <v>1572</v>
      </c>
      <c r="H1638" s="114" t="s">
        <v>1227</v>
      </c>
      <c r="I1638" s="114"/>
      <c r="J1638" s="114" t="b">
        <v>0</v>
      </c>
      <c r="K1638" s="114"/>
      <c r="L1638" s="114"/>
      <c r="M1638" s="114"/>
      <c r="N1638" s="114"/>
      <c r="O1638" s="114"/>
      <c r="P1638" s="114"/>
      <c r="Q1638" s="114" t="s">
        <v>1227</v>
      </c>
    </row>
    <row r="1639" spans="2:17" hidden="1" outlineLevel="2">
      <c r="B1639" s="2" t="s">
        <v>876</v>
      </c>
      <c r="D1639" s="270">
        <v>2763</v>
      </c>
      <c r="E1639" s="112" t="s">
        <v>208</v>
      </c>
      <c r="F1639" s="112" t="s">
        <v>2095</v>
      </c>
      <c r="G1639" s="112" t="s">
        <v>1572</v>
      </c>
      <c r="H1639" s="112" t="s">
        <v>1227</v>
      </c>
      <c r="I1639" s="112"/>
      <c r="J1639" s="112" t="b">
        <v>0</v>
      </c>
      <c r="K1639" s="112"/>
      <c r="L1639" s="112"/>
      <c r="M1639" s="112"/>
      <c r="N1639" s="112"/>
      <c r="O1639" s="112"/>
      <c r="P1639" s="112"/>
      <c r="Q1639" s="112" t="s">
        <v>1227</v>
      </c>
    </row>
    <row r="1640" spans="2:17" hidden="1" outlineLevel="2">
      <c r="B1640" s="2" t="s">
        <v>876</v>
      </c>
      <c r="D1640" s="268">
        <v>2765</v>
      </c>
      <c r="E1640" s="114" t="s">
        <v>208</v>
      </c>
      <c r="F1640" s="114" t="s">
        <v>2096</v>
      </c>
      <c r="G1640" s="114" t="s">
        <v>1572</v>
      </c>
      <c r="H1640" s="114" t="s">
        <v>1227</v>
      </c>
      <c r="I1640" s="114"/>
      <c r="J1640" s="114" t="b">
        <v>0</v>
      </c>
      <c r="K1640" s="114"/>
      <c r="L1640" s="114"/>
      <c r="M1640" s="114"/>
      <c r="N1640" s="114"/>
      <c r="O1640" s="114"/>
      <c r="P1640" s="114"/>
      <c r="Q1640" s="114" t="s">
        <v>1227</v>
      </c>
    </row>
    <row r="1641" spans="2:17" hidden="1" outlineLevel="2">
      <c r="B1641" s="2" t="s">
        <v>876</v>
      </c>
      <c r="D1641" s="270">
        <v>2766</v>
      </c>
      <c r="E1641" s="112" t="s">
        <v>208</v>
      </c>
      <c r="F1641" s="112" t="s">
        <v>2097</v>
      </c>
      <c r="G1641" s="112" t="s">
        <v>1572</v>
      </c>
      <c r="H1641" s="112" t="s">
        <v>1227</v>
      </c>
      <c r="I1641" s="112"/>
      <c r="J1641" s="112" t="b">
        <v>0</v>
      </c>
      <c r="K1641" s="112"/>
      <c r="L1641" s="112"/>
      <c r="M1641" s="112"/>
      <c r="N1641" s="112"/>
      <c r="O1641" s="112"/>
      <c r="P1641" s="112"/>
      <c r="Q1641" s="112" t="s">
        <v>1227</v>
      </c>
    </row>
    <row r="1642" spans="2:17" hidden="1" outlineLevel="2">
      <c r="B1642" s="2" t="s">
        <v>876</v>
      </c>
      <c r="D1642" s="268">
        <v>2767</v>
      </c>
      <c r="E1642" s="114" t="s">
        <v>208</v>
      </c>
      <c r="F1642" s="114" t="s">
        <v>2098</v>
      </c>
      <c r="G1642" s="114" t="s">
        <v>1572</v>
      </c>
      <c r="H1642" s="114" t="s">
        <v>1227</v>
      </c>
      <c r="I1642" s="114"/>
      <c r="J1642" s="114" t="b">
        <v>0</v>
      </c>
      <c r="K1642" s="114"/>
      <c r="L1642" s="114"/>
      <c r="M1642" s="114"/>
      <c r="N1642" s="114"/>
      <c r="O1642" s="114"/>
      <c r="P1642" s="114"/>
      <c r="Q1642" s="114" t="s">
        <v>1227</v>
      </c>
    </row>
    <row r="1643" spans="2:17" hidden="1" outlineLevel="2">
      <c r="B1643" s="2" t="s">
        <v>876</v>
      </c>
      <c r="D1643" s="270">
        <v>2768</v>
      </c>
      <c r="E1643" s="112" t="s">
        <v>208</v>
      </c>
      <c r="F1643" s="112" t="s">
        <v>2099</v>
      </c>
      <c r="G1643" s="112" t="s">
        <v>1572</v>
      </c>
      <c r="H1643" s="112" t="s">
        <v>1227</v>
      </c>
      <c r="I1643" s="112"/>
      <c r="J1643" s="112" t="b">
        <v>0</v>
      </c>
      <c r="K1643" s="112"/>
      <c r="L1643" s="112"/>
      <c r="M1643" s="112"/>
      <c r="N1643" s="112"/>
      <c r="O1643" s="112"/>
      <c r="P1643" s="112"/>
      <c r="Q1643" s="112" t="s">
        <v>1227</v>
      </c>
    </row>
    <row r="1644" spans="2:17" hidden="1" outlineLevel="2">
      <c r="B1644" s="2" t="s">
        <v>876</v>
      </c>
      <c r="D1644" s="268">
        <v>2769</v>
      </c>
      <c r="E1644" s="114" t="s">
        <v>208</v>
      </c>
      <c r="F1644" s="114" t="s">
        <v>2100</v>
      </c>
      <c r="G1644" s="114" t="s">
        <v>1572</v>
      </c>
      <c r="H1644" s="114" t="s">
        <v>1227</v>
      </c>
      <c r="I1644" s="114"/>
      <c r="J1644" s="114" t="b">
        <v>0</v>
      </c>
      <c r="K1644" s="114"/>
      <c r="L1644" s="114"/>
      <c r="M1644" s="114"/>
      <c r="N1644" s="114"/>
      <c r="O1644" s="114"/>
      <c r="P1644" s="114"/>
      <c r="Q1644" s="114" t="s">
        <v>1227</v>
      </c>
    </row>
    <row r="1645" spans="2:17" hidden="1" outlineLevel="2">
      <c r="B1645" s="2" t="s">
        <v>876</v>
      </c>
      <c r="D1645" s="270">
        <v>2770</v>
      </c>
      <c r="E1645" s="112" t="s">
        <v>208</v>
      </c>
      <c r="F1645" s="112" t="s">
        <v>2101</v>
      </c>
      <c r="G1645" s="112" t="s">
        <v>1572</v>
      </c>
      <c r="H1645" s="112" t="s">
        <v>1227</v>
      </c>
      <c r="I1645" s="112"/>
      <c r="J1645" s="112" t="b">
        <v>0</v>
      </c>
      <c r="K1645" s="112"/>
      <c r="L1645" s="112"/>
      <c r="M1645" s="112"/>
      <c r="N1645" s="112"/>
      <c r="O1645" s="112"/>
      <c r="P1645" s="112"/>
      <c r="Q1645" s="112" t="s">
        <v>1227</v>
      </c>
    </row>
    <row r="1646" spans="2:17" hidden="1" outlineLevel="2">
      <c r="B1646" s="2" t="s">
        <v>876</v>
      </c>
      <c r="D1646" s="268">
        <v>2773</v>
      </c>
      <c r="E1646" s="114" t="s">
        <v>208</v>
      </c>
      <c r="F1646" s="114" t="s">
        <v>2102</v>
      </c>
      <c r="G1646" s="114" t="s">
        <v>1572</v>
      </c>
      <c r="H1646" s="114" t="s">
        <v>1227</v>
      </c>
      <c r="I1646" s="114"/>
      <c r="J1646" s="114" t="b">
        <v>0</v>
      </c>
      <c r="K1646" s="114"/>
      <c r="L1646" s="114"/>
      <c r="M1646" s="114"/>
      <c r="N1646" s="114"/>
      <c r="O1646" s="114"/>
      <c r="P1646" s="114"/>
      <c r="Q1646" s="114" t="s">
        <v>1227</v>
      </c>
    </row>
    <row r="1647" spans="2:17" hidden="1" outlineLevel="2">
      <c r="B1647" s="2" t="s">
        <v>876</v>
      </c>
      <c r="D1647" s="270">
        <v>2774</v>
      </c>
      <c r="E1647" s="112" t="s">
        <v>208</v>
      </c>
      <c r="F1647" s="112" t="s">
        <v>2103</v>
      </c>
      <c r="G1647" s="112" t="s">
        <v>1572</v>
      </c>
      <c r="H1647" s="112" t="s">
        <v>1227</v>
      </c>
      <c r="I1647" s="112"/>
      <c r="J1647" s="112" t="b">
        <v>0</v>
      </c>
      <c r="K1647" s="112"/>
      <c r="L1647" s="112"/>
      <c r="M1647" s="112"/>
      <c r="N1647" s="112"/>
      <c r="O1647" s="112"/>
      <c r="P1647" s="112"/>
      <c r="Q1647" s="112" t="s">
        <v>1227</v>
      </c>
    </row>
    <row r="1648" spans="2:17" hidden="1" outlineLevel="2">
      <c r="B1648" s="2" t="s">
        <v>876</v>
      </c>
      <c r="D1648" s="268">
        <v>2775</v>
      </c>
      <c r="E1648" s="114" t="s">
        <v>208</v>
      </c>
      <c r="F1648" s="114" t="s">
        <v>2104</v>
      </c>
      <c r="G1648" s="114" t="s">
        <v>1572</v>
      </c>
      <c r="H1648" s="114" t="s">
        <v>1227</v>
      </c>
      <c r="I1648" s="114"/>
      <c r="J1648" s="114" t="b">
        <v>0</v>
      </c>
      <c r="K1648" s="114"/>
      <c r="L1648" s="114"/>
      <c r="M1648" s="114"/>
      <c r="N1648" s="114"/>
      <c r="O1648" s="114"/>
      <c r="P1648" s="114"/>
      <c r="Q1648" s="114" t="s">
        <v>1227</v>
      </c>
    </row>
    <row r="1649" spans="2:17" hidden="1" outlineLevel="2">
      <c r="B1649" s="2" t="s">
        <v>876</v>
      </c>
      <c r="D1649" s="270">
        <v>2776</v>
      </c>
      <c r="E1649" s="112" t="s">
        <v>208</v>
      </c>
      <c r="F1649" s="112" t="s">
        <v>2105</v>
      </c>
      <c r="G1649" s="112" t="s">
        <v>1572</v>
      </c>
      <c r="H1649" s="112" t="s">
        <v>1227</v>
      </c>
      <c r="I1649" s="112"/>
      <c r="J1649" s="112" t="b">
        <v>0</v>
      </c>
      <c r="K1649" s="112"/>
      <c r="L1649" s="112"/>
      <c r="M1649" s="112"/>
      <c r="N1649" s="112"/>
      <c r="O1649" s="112"/>
      <c r="P1649" s="112"/>
      <c r="Q1649" s="112" t="s">
        <v>1227</v>
      </c>
    </row>
    <row r="1650" spans="2:17" hidden="1" outlineLevel="2">
      <c r="B1650" s="2" t="s">
        <v>876</v>
      </c>
      <c r="D1650" s="268">
        <v>2777</v>
      </c>
      <c r="E1650" s="114" t="s">
        <v>208</v>
      </c>
      <c r="F1650" s="114" t="s">
        <v>2106</v>
      </c>
      <c r="G1650" s="114" t="s">
        <v>1572</v>
      </c>
      <c r="H1650" s="114" t="s">
        <v>1227</v>
      </c>
      <c r="I1650" s="114"/>
      <c r="J1650" s="114" t="b">
        <v>0</v>
      </c>
      <c r="K1650" s="114"/>
      <c r="L1650" s="114"/>
      <c r="M1650" s="114"/>
      <c r="N1650" s="114"/>
      <c r="O1650" s="114"/>
      <c r="P1650" s="114"/>
      <c r="Q1650" s="114" t="s">
        <v>1227</v>
      </c>
    </row>
    <row r="1651" spans="2:17" hidden="1" outlineLevel="2">
      <c r="B1651" s="2" t="s">
        <v>876</v>
      </c>
      <c r="D1651" s="270">
        <v>2778</v>
      </c>
      <c r="E1651" s="112" t="s">
        <v>208</v>
      </c>
      <c r="F1651" s="112" t="s">
        <v>2107</v>
      </c>
      <c r="G1651" s="112" t="s">
        <v>1572</v>
      </c>
      <c r="H1651" s="112" t="s">
        <v>1227</v>
      </c>
      <c r="I1651" s="112"/>
      <c r="J1651" s="112" t="b">
        <v>0</v>
      </c>
      <c r="K1651" s="112"/>
      <c r="L1651" s="112"/>
      <c r="M1651" s="112"/>
      <c r="N1651" s="112"/>
      <c r="O1651" s="112"/>
      <c r="P1651" s="112"/>
      <c r="Q1651" s="112" t="s">
        <v>1227</v>
      </c>
    </row>
    <row r="1652" spans="2:17" hidden="1" outlineLevel="2">
      <c r="B1652" s="2" t="s">
        <v>876</v>
      </c>
      <c r="D1652" s="268">
        <v>2779</v>
      </c>
      <c r="E1652" s="114" t="s">
        <v>208</v>
      </c>
      <c r="F1652" s="114" t="s">
        <v>2108</v>
      </c>
      <c r="G1652" s="114" t="s">
        <v>1572</v>
      </c>
      <c r="H1652" s="114" t="s">
        <v>1227</v>
      </c>
      <c r="I1652" s="114"/>
      <c r="J1652" s="114" t="b">
        <v>0</v>
      </c>
      <c r="K1652" s="114"/>
      <c r="L1652" s="114"/>
      <c r="M1652" s="114"/>
      <c r="N1652" s="114"/>
      <c r="O1652" s="114"/>
      <c r="P1652" s="114"/>
      <c r="Q1652" s="114" t="s">
        <v>1227</v>
      </c>
    </row>
    <row r="1653" spans="2:17" hidden="1" outlineLevel="2">
      <c r="B1653" s="2" t="s">
        <v>876</v>
      </c>
      <c r="D1653" s="270">
        <v>2780</v>
      </c>
      <c r="E1653" s="112" t="s">
        <v>208</v>
      </c>
      <c r="F1653" s="112" t="s">
        <v>2109</v>
      </c>
      <c r="G1653" s="112" t="s">
        <v>1572</v>
      </c>
      <c r="H1653" s="112" t="s">
        <v>1227</v>
      </c>
      <c r="I1653" s="112"/>
      <c r="J1653" s="112" t="b">
        <v>0</v>
      </c>
      <c r="K1653" s="112"/>
      <c r="L1653" s="112"/>
      <c r="M1653" s="112"/>
      <c r="N1653" s="112"/>
      <c r="O1653" s="112"/>
      <c r="P1653" s="112"/>
      <c r="Q1653" s="112" t="s">
        <v>1227</v>
      </c>
    </row>
    <row r="1654" spans="2:17" hidden="1" outlineLevel="2">
      <c r="B1654" s="2" t="s">
        <v>876</v>
      </c>
      <c r="D1654" s="268">
        <v>2782</v>
      </c>
      <c r="E1654" s="114" t="s">
        <v>208</v>
      </c>
      <c r="F1654" s="114" t="s">
        <v>2110</v>
      </c>
      <c r="G1654" s="114" t="s">
        <v>1572</v>
      </c>
      <c r="H1654" s="114" t="s">
        <v>1227</v>
      </c>
      <c r="I1654" s="114"/>
      <c r="J1654" s="114" t="b">
        <v>0</v>
      </c>
      <c r="K1654" s="114"/>
      <c r="L1654" s="114"/>
      <c r="M1654" s="114"/>
      <c r="N1654" s="114"/>
      <c r="O1654" s="114"/>
      <c r="P1654" s="114"/>
      <c r="Q1654" s="114" t="s">
        <v>1227</v>
      </c>
    </row>
    <row r="1655" spans="2:17" hidden="1" outlineLevel="2">
      <c r="B1655" s="2" t="s">
        <v>876</v>
      </c>
      <c r="D1655" s="270">
        <v>2783</v>
      </c>
      <c r="E1655" s="112" t="s">
        <v>208</v>
      </c>
      <c r="F1655" s="112" t="s">
        <v>2111</v>
      </c>
      <c r="G1655" s="112" t="s">
        <v>1572</v>
      </c>
      <c r="H1655" s="112" t="s">
        <v>1227</v>
      </c>
      <c r="I1655" s="112"/>
      <c r="J1655" s="112" t="b">
        <v>0</v>
      </c>
      <c r="K1655" s="112"/>
      <c r="L1655" s="112"/>
      <c r="M1655" s="112"/>
      <c r="N1655" s="112"/>
      <c r="O1655" s="112"/>
      <c r="P1655" s="112"/>
      <c r="Q1655" s="112" t="s">
        <v>1227</v>
      </c>
    </row>
    <row r="1656" spans="2:17" hidden="1" outlineLevel="2">
      <c r="B1656" s="2" t="s">
        <v>876</v>
      </c>
      <c r="D1656" s="268">
        <v>2784</v>
      </c>
      <c r="E1656" s="114" t="s">
        <v>208</v>
      </c>
      <c r="F1656" s="114" t="s">
        <v>2112</v>
      </c>
      <c r="G1656" s="114" t="s">
        <v>1572</v>
      </c>
      <c r="H1656" s="114" t="s">
        <v>1227</v>
      </c>
      <c r="I1656" s="114"/>
      <c r="J1656" s="114" t="b">
        <v>0</v>
      </c>
      <c r="K1656" s="114"/>
      <c r="L1656" s="114"/>
      <c r="M1656" s="114"/>
      <c r="N1656" s="114"/>
      <c r="O1656" s="114"/>
      <c r="P1656" s="114"/>
      <c r="Q1656" s="114" t="s">
        <v>1227</v>
      </c>
    </row>
    <row r="1657" spans="2:17" hidden="1" outlineLevel="2">
      <c r="B1657" s="2" t="s">
        <v>876</v>
      </c>
      <c r="D1657" s="270">
        <v>2785</v>
      </c>
      <c r="E1657" s="112" t="s">
        <v>208</v>
      </c>
      <c r="F1657" s="112" t="s">
        <v>2113</v>
      </c>
      <c r="G1657" s="112" t="s">
        <v>1572</v>
      </c>
      <c r="H1657" s="112" t="s">
        <v>1227</v>
      </c>
      <c r="I1657" s="112"/>
      <c r="J1657" s="112" t="b">
        <v>0</v>
      </c>
      <c r="K1657" s="112"/>
      <c r="L1657" s="112"/>
      <c r="M1657" s="112"/>
      <c r="N1657" s="112"/>
      <c r="O1657" s="112"/>
      <c r="P1657" s="112"/>
      <c r="Q1657" s="112" t="s">
        <v>1227</v>
      </c>
    </row>
    <row r="1658" spans="2:17" hidden="1" outlineLevel="2">
      <c r="B1658" s="2" t="s">
        <v>876</v>
      </c>
      <c r="D1658" s="268">
        <v>2786</v>
      </c>
      <c r="E1658" s="114" t="s">
        <v>208</v>
      </c>
      <c r="F1658" s="114" t="s">
        <v>2114</v>
      </c>
      <c r="G1658" s="114" t="s">
        <v>1512</v>
      </c>
      <c r="H1658" s="114" t="s">
        <v>1505</v>
      </c>
      <c r="I1658" s="114"/>
      <c r="J1658" s="114" t="b">
        <v>0</v>
      </c>
      <c r="K1658" s="114"/>
      <c r="L1658" s="114"/>
      <c r="M1658" s="114"/>
      <c r="N1658" s="114"/>
      <c r="O1658" s="114"/>
      <c r="P1658" s="114"/>
      <c r="Q1658" s="114" t="s">
        <v>1228</v>
      </c>
    </row>
    <row r="1659" spans="2:17" hidden="1" outlineLevel="2">
      <c r="B1659" s="2" t="s">
        <v>876</v>
      </c>
      <c r="D1659" s="270">
        <v>2787</v>
      </c>
      <c r="E1659" s="112" t="s">
        <v>208</v>
      </c>
      <c r="F1659" s="112" t="s">
        <v>2115</v>
      </c>
      <c r="G1659" s="112" t="s">
        <v>1512</v>
      </c>
      <c r="H1659" s="112" t="s">
        <v>1505</v>
      </c>
      <c r="I1659" s="112"/>
      <c r="J1659" s="112" t="b">
        <v>0</v>
      </c>
      <c r="K1659" s="112"/>
      <c r="L1659" s="112"/>
      <c r="M1659" s="112"/>
      <c r="N1659" s="112"/>
      <c r="O1659" s="112"/>
      <c r="P1659" s="112"/>
      <c r="Q1659" s="112" t="s">
        <v>1228</v>
      </c>
    </row>
    <row r="1660" spans="2:17" hidden="1" outlineLevel="2">
      <c r="B1660" s="2" t="s">
        <v>876</v>
      </c>
      <c r="D1660" s="268">
        <v>2790</v>
      </c>
      <c r="E1660" s="114" t="s">
        <v>208</v>
      </c>
      <c r="F1660" s="114" t="s">
        <v>2116</v>
      </c>
      <c r="G1660" s="114" t="s">
        <v>1493</v>
      </c>
      <c r="H1660" s="114" t="s">
        <v>1494</v>
      </c>
      <c r="I1660" s="114"/>
      <c r="J1660" s="114" t="b">
        <v>0</v>
      </c>
      <c r="K1660" s="114" t="s">
        <v>1484</v>
      </c>
      <c r="L1660" s="114" t="b">
        <v>1</v>
      </c>
      <c r="M1660" s="114"/>
      <c r="N1660" s="114"/>
      <c r="O1660" s="114"/>
      <c r="P1660" s="114"/>
      <c r="Q1660" s="114" t="s">
        <v>1228</v>
      </c>
    </row>
    <row r="1661" spans="2:17" hidden="1" outlineLevel="2">
      <c r="B1661" s="2" t="s">
        <v>876</v>
      </c>
      <c r="D1661" s="270">
        <v>2791</v>
      </c>
      <c r="E1661" s="112" t="s">
        <v>208</v>
      </c>
      <c r="F1661" s="112" t="s">
        <v>2117</v>
      </c>
      <c r="G1661" s="112" t="s">
        <v>1512</v>
      </c>
      <c r="H1661" s="112" t="s">
        <v>1512</v>
      </c>
      <c r="I1661" s="112"/>
      <c r="J1661" s="112" t="b">
        <v>0</v>
      </c>
      <c r="K1661" s="112"/>
      <c r="L1661" s="112"/>
      <c r="M1661" s="112"/>
      <c r="N1661" s="112"/>
      <c r="O1661" s="112"/>
      <c r="P1661" s="112"/>
      <c r="Q1661" s="112" t="s">
        <v>1228</v>
      </c>
    </row>
    <row r="1662" spans="2:17" hidden="1" outlineLevel="2">
      <c r="B1662" s="2" t="s">
        <v>876</v>
      </c>
      <c r="D1662" s="268">
        <v>2792</v>
      </c>
      <c r="E1662" s="114" t="s">
        <v>208</v>
      </c>
      <c r="F1662" s="114" t="s">
        <v>2118</v>
      </c>
      <c r="G1662" s="114" t="s">
        <v>1512</v>
      </c>
      <c r="H1662" s="114" t="s">
        <v>1505</v>
      </c>
      <c r="I1662" s="114"/>
      <c r="J1662" s="114" t="b">
        <v>0</v>
      </c>
      <c r="K1662" s="114"/>
      <c r="L1662" s="114" t="b">
        <v>1</v>
      </c>
      <c r="M1662" s="114"/>
      <c r="N1662" s="114"/>
      <c r="O1662" s="114"/>
      <c r="P1662" s="114"/>
      <c r="Q1662" s="114" t="s">
        <v>1228</v>
      </c>
    </row>
    <row r="1663" spans="2:17" hidden="1" outlineLevel="2">
      <c r="B1663" s="2" t="s">
        <v>876</v>
      </c>
      <c r="D1663" s="270">
        <v>2793</v>
      </c>
      <c r="E1663" s="112" t="s">
        <v>208</v>
      </c>
      <c r="F1663" s="112" t="s">
        <v>2119</v>
      </c>
      <c r="G1663" s="221" t="s">
        <v>1512</v>
      </c>
      <c r="H1663" s="112" t="s">
        <v>1505</v>
      </c>
      <c r="I1663" s="112"/>
      <c r="J1663" s="112" t="b">
        <v>0</v>
      </c>
      <c r="K1663" s="112"/>
      <c r="L1663" s="112" t="b">
        <v>1</v>
      </c>
      <c r="M1663" s="112"/>
      <c r="N1663" s="112"/>
      <c r="O1663" s="112"/>
      <c r="P1663" s="112"/>
      <c r="Q1663" s="112" t="s">
        <v>1228</v>
      </c>
    </row>
    <row r="1664" spans="2:17" hidden="1" outlineLevel="2">
      <c r="B1664" s="2" t="s">
        <v>876</v>
      </c>
      <c r="D1664" s="268">
        <v>2794</v>
      </c>
      <c r="E1664" s="114" t="s">
        <v>208</v>
      </c>
      <c r="F1664" s="114" t="s">
        <v>2120</v>
      </c>
      <c r="G1664" s="269" t="s">
        <v>1493</v>
      </c>
      <c r="H1664" s="114" t="s">
        <v>1512</v>
      </c>
      <c r="I1664" s="114"/>
      <c r="J1664" s="114" t="b">
        <v>0</v>
      </c>
      <c r="K1664" s="114"/>
      <c r="L1664" s="114"/>
      <c r="M1664" s="114"/>
      <c r="N1664" s="114"/>
      <c r="O1664" s="114"/>
      <c r="P1664" s="114"/>
      <c r="Q1664" s="114" t="s">
        <v>1228</v>
      </c>
    </row>
    <row r="1665" spans="2:17" hidden="1" outlineLevel="2">
      <c r="B1665" s="2" t="s">
        <v>876</v>
      </c>
      <c r="D1665" s="270">
        <v>2795</v>
      </c>
      <c r="E1665" s="112" t="s">
        <v>208</v>
      </c>
      <c r="F1665" s="112" t="s">
        <v>2121</v>
      </c>
      <c r="G1665" s="112" t="s">
        <v>1483</v>
      </c>
      <c r="H1665" s="112" t="s">
        <v>1494</v>
      </c>
      <c r="I1665" s="112"/>
      <c r="J1665" s="112" t="b">
        <v>0</v>
      </c>
      <c r="K1665" s="112"/>
      <c r="L1665" s="112"/>
      <c r="M1665" s="112"/>
      <c r="N1665" s="112"/>
      <c r="O1665" s="112"/>
      <c r="P1665" s="112"/>
      <c r="Q1665" s="112" t="s">
        <v>1228</v>
      </c>
    </row>
    <row r="1666" spans="2:17" hidden="1" outlineLevel="2">
      <c r="B1666" s="2" t="s">
        <v>876</v>
      </c>
      <c r="D1666" s="268">
        <v>2797</v>
      </c>
      <c r="E1666" s="114" t="s">
        <v>208</v>
      </c>
      <c r="F1666" s="114" t="s">
        <v>2122</v>
      </c>
      <c r="G1666" s="114" t="s">
        <v>1512</v>
      </c>
      <c r="H1666" s="114" t="s">
        <v>1505</v>
      </c>
      <c r="I1666" s="114"/>
      <c r="J1666" s="114" t="b">
        <v>0</v>
      </c>
      <c r="K1666" s="114"/>
      <c r="L1666" s="114" t="b">
        <v>1</v>
      </c>
      <c r="M1666" s="114"/>
      <c r="N1666" s="114"/>
      <c r="O1666" s="114"/>
      <c r="P1666" s="114"/>
      <c r="Q1666" s="114" t="s">
        <v>1228</v>
      </c>
    </row>
    <row r="1667" spans="2:17" hidden="1" outlineLevel="2">
      <c r="B1667" s="2" t="s">
        <v>876</v>
      </c>
      <c r="D1667" s="270">
        <v>2798</v>
      </c>
      <c r="E1667" s="112" t="s">
        <v>208</v>
      </c>
      <c r="F1667" s="112" t="s">
        <v>2123</v>
      </c>
      <c r="G1667" s="112" t="s">
        <v>1493</v>
      </c>
      <c r="H1667" s="112" t="s">
        <v>1505</v>
      </c>
      <c r="I1667" s="112"/>
      <c r="J1667" s="112" t="b">
        <v>0</v>
      </c>
      <c r="K1667" s="112"/>
      <c r="L1667" s="112"/>
      <c r="M1667" s="112"/>
      <c r="N1667" s="112"/>
      <c r="O1667" s="112"/>
      <c r="P1667" s="112"/>
      <c r="Q1667" s="112" t="s">
        <v>1228</v>
      </c>
    </row>
    <row r="1668" spans="2:17" hidden="1" outlineLevel="2">
      <c r="B1668" s="2" t="s">
        <v>876</v>
      </c>
      <c r="D1668" s="268">
        <v>2799</v>
      </c>
      <c r="E1668" s="114" t="s">
        <v>208</v>
      </c>
      <c r="F1668" s="114" t="s">
        <v>2124</v>
      </c>
      <c r="G1668" s="114" t="s">
        <v>1512</v>
      </c>
      <c r="H1668" s="114" t="s">
        <v>1505</v>
      </c>
      <c r="I1668" s="114"/>
      <c r="J1668" s="114" t="b">
        <v>0</v>
      </c>
      <c r="K1668" s="114"/>
      <c r="L1668" s="114"/>
      <c r="M1668" s="114"/>
      <c r="N1668" s="114"/>
      <c r="O1668" s="114"/>
      <c r="P1668" s="114"/>
      <c r="Q1668" s="114" t="s">
        <v>1228</v>
      </c>
    </row>
    <row r="1669" spans="2:17" hidden="1" outlineLevel="2">
      <c r="B1669" s="2" t="s">
        <v>876</v>
      </c>
      <c r="D1669" s="270">
        <v>2800</v>
      </c>
      <c r="E1669" s="112" t="s">
        <v>208</v>
      </c>
      <c r="F1669" s="112" t="s">
        <v>2125</v>
      </c>
      <c r="G1669" s="112" t="s">
        <v>1483</v>
      </c>
      <c r="H1669" s="112" t="s">
        <v>1494</v>
      </c>
      <c r="I1669" s="112"/>
      <c r="J1669" s="112" t="b">
        <v>0</v>
      </c>
      <c r="K1669" s="112" t="s">
        <v>1484</v>
      </c>
      <c r="L1669" s="112" t="b">
        <v>1</v>
      </c>
      <c r="M1669" s="112"/>
      <c r="N1669" s="112"/>
      <c r="O1669" s="112"/>
      <c r="P1669" s="112"/>
      <c r="Q1669" s="112" t="s">
        <v>1228</v>
      </c>
    </row>
    <row r="1670" spans="2:17" hidden="1" outlineLevel="2">
      <c r="B1670" s="2" t="s">
        <v>876</v>
      </c>
      <c r="D1670" s="268">
        <v>2803</v>
      </c>
      <c r="E1670" s="114" t="s">
        <v>208</v>
      </c>
      <c r="F1670" s="114" t="s">
        <v>2126</v>
      </c>
      <c r="G1670" s="221" t="s">
        <v>1512</v>
      </c>
      <c r="H1670" s="114" t="s">
        <v>1512</v>
      </c>
      <c r="I1670" s="114"/>
      <c r="J1670" s="114" t="b">
        <v>0</v>
      </c>
      <c r="K1670" s="114"/>
      <c r="L1670" s="114"/>
      <c r="M1670" s="114"/>
      <c r="N1670" s="114"/>
      <c r="O1670" s="114"/>
      <c r="P1670" s="114"/>
      <c r="Q1670" s="114" t="s">
        <v>1228</v>
      </c>
    </row>
    <row r="1671" spans="2:17" hidden="1" outlineLevel="2">
      <c r="B1671" s="2" t="s">
        <v>876</v>
      </c>
      <c r="D1671" s="270">
        <v>2804</v>
      </c>
      <c r="E1671" s="112" t="s">
        <v>208</v>
      </c>
      <c r="F1671" s="112" t="s">
        <v>2127</v>
      </c>
      <c r="G1671" s="112" t="s">
        <v>1512</v>
      </c>
      <c r="H1671" s="112" t="s">
        <v>1505</v>
      </c>
      <c r="I1671" s="112"/>
      <c r="J1671" s="112" t="b">
        <v>0</v>
      </c>
      <c r="K1671" s="112"/>
      <c r="L1671" s="112" t="b">
        <v>1</v>
      </c>
      <c r="M1671" s="112"/>
      <c r="N1671" s="112"/>
      <c r="O1671" s="112"/>
      <c r="P1671" s="112"/>
      <c r="Q1671" s="112" t="s">
        <v>1228</v>
      </c>
    </row>
    <row r="1672" spans="2:17" hidden="1" outlineLevel="2">
      <c r="B1672" s="2" t="s">
        <v>876</v>
      </c>
      <c r="D1672" s="268">
        <v>2805</v>
      </c>
      <c r="E1672" s="114" t="s">
        <v>208</v>
      </c>
      <c r="F1672" s="114" t="s">
        <v>2128</v>
      </c>
      <c r="G1672" s="114" t="s">
        <v>1512</v>
      </c>
      <c r="H1672" s="114" t="s">
        <v>1505</v>
      </c>
      <c r="I1672" s="114"/>
      <c r="J1672" s="114" t="b">
        <v>0</v>
      </c>
      <c r="K1672" s="114"/>
      <c r="L1672" s="114"/>
      <c r="M1672" s="114"/>
      <c r="N1672" s="114"/>
      <c r="O1672" s="114"/>
      <c r="P1672" s="114"/>
      <c r="Q1672" s="114" t="s">
        <v>1228</v>
      </c>
    </row>
    <row r="1673" spans="2:17" hidden="1" outlineLevel="2">
      <c r="B1673" s="2" t="s">
        <v>876</v>
      </c>
      <c r="D1673" s="270">
        <v>2806</v>
      </c>
      <c r="E1673" s="112" t="s">
        <v>208</v>
      </c>
      <c r="F1673" s="112" t="s">
        <v>2129</v>
      </c>
      <c r="G1673" s="221" t="s">
        <v>1512</v>
      </c>
      <c r="H1673" s="112" t="s">
        <v>1505</v>
      </c>
      <c r="I1673" s="112"/>
      <c r="J1673" s="112" t="b">
        <v>0</v>
      </c>
      <c r="K1673" s="112"/>
      <c r="L1673" s="112"/>
      <c r="M1673" s="112"/>
      <c r="N1673" s="112"/>
      <c r="O1673" s="112"/>
      <c r="P1673" s="112"/>
      <c r="Q1673" s="112" t="s">
        <v>1228</v>
      </c>
    </row>
    <row r="1674" spans="2:17" hidden="1" outlineLevel="2">
      <c r="B1674" s="2" t="s">
        <v>876</v>
      </c>
      <c r="D1674" s="268">
        <v>2807</v>
      </c>
      <c r="E1674" s="114" t="s">
        <v>208</v>
      </c>
      <c r="F1674" s="114" t="s">
        <v>2130</v>
      </c>
      <c r="G1674" s="114" t="s">
        <v>1512</v>
      </c>
      <c r="H1674" s="114" t="s">
        <v>1505</v>
      </c>
      <c r="I1674" s="114"/>
      <c r="J1674" s="114" t="b">
        <v>0</v>
      </c>
      <c r="K1674" s="114"/>
      <c r="L1674" s="114" t="b">
        <v>1</v>
      </c>
      <c r="M1674" s="114"/>
      <c r="N1674" s="114"/>
      <c r="O1674" s="114"/>
      <c r="P1674" s="114"/>
      <c r="Q1674" s="114" t="s">
        <v>1228</v>
      </c>
    </row>
    <row r="1675" spans="2:17" hidden="1" outlineLevel="2">
      <c r="B1675" s="2" t="s">
        <v>876</v>
      </c>
      <c r="D1675" s="270">
        <v>2808</v>
      </c>
      <c r="E1675" s="112" t="s">
        <v>208</v>
      </c>
      <c r="F1675" s="112" t="s">
        <v>2131</v>
      </c>
      <c r="G1675" s="112" t="s">
        <v>1512</v>
      </c>
      <c r="H1675" s="112" t="s">
        <v>1505</v>
      </c>
      <c r="I1675" s="112"/>
      <c r="J1675" s="112" t="b">
        <v>0</v>
      </c>
      <c r="K1675" s="112"/>
      <c r="L1675" s="112" t="b">
        <v>1</v>
      </c>
      <c r="M1675" s="112"/>
      <c r="N1675" s="112"/>
      <c r="O1675" s="112"/>
      <c r="P1675" s="112"/>
      <c r="Q1675" s="112" t="s">
        <v>1228</v>
      </c>
    </row>
    <row r="1676" spans="2:17" hidden="1" outlineLevel="2">
      <c r="B1676" s="2" t="s">
        <v>876</v>
      </c>
      <c r="D1676" s="268">
        <v>2809</v>
      </c>
      <c r="E1676" s="114" t="s">
        <v>208</v>
      </c>
      <c r="F1676" s="114" t="s">
        <v>2132</v>
      </c>
      <c r="G1676" s="114" t="s">
        <v>1512</v>
      </c>
      <c r="H1676" s="114" t="s">
        <v>1505</v>
      </c>
      <c r="I1676" s="114"/>
      <c r="J1676" s="114" t="b">
        <v>0</v>
      </c>
      <c r="K1676" s="114"/>
      <c r="L1676" s="114"/>
      <c r="M1676" s="114"/>
      <c r="N1676" s="114"/>
      <c r="O1676" s="114"/>
      <c r="P1676" s="114"/>
      <c r="Q1676" s="114" t="s">
        <v>1228</v>
      </c>
    </row>
    <row r="1677" spans="2:17" hidden="1" outlineLevel="2">
      <c r="B1677" s="2" t="s">
        <v>876</v>
      </c>
      <c r="D1677" s="270">
        <v>2810</v>
      </c>
      <c r="E1677" s="112" t="s">
        <v>208</v>
      </c>
      <c r="F1677" s="112" t="s">
        <v>2133</v>
      </c>
      <c r="G1677" s="112" t="s">
        <v>1493</v>
      </c>
      <c r="H1677" s="112" t="s">
        <v>1505</v>
      </c>
      <c r="I1677" s="112"/>
      <c r="J1677" s="112" t="b">
        <v>0</v>
      </c>
      <c r="K1677" s="112"/>
      <c r="L1677" s="112" t="b">
        <v>1</v>
      </c>
      <c r="M1677" s="112"/>
      <c r="N1677" s="112"/>
      <c r="O1677" s="112"/>
      <c r="P1677" s="112"/>
      <c r="Q1677" s="112" t="s">
        <v>1228</v>
      </c>
    </row>
    <row r="1678" spans="2:17" hidden="1" outlineLevel="2">
      <c r="B1678" s="2" t="s">
        <v>876</v>
      </c>
      <c r="D1678" s="272">
        <v>2817</v>
      </c>
      <c r="E1678" s="114" t="s">
        <v>208</v>
      </c>
      <c r="F1678" s="114" t="s">
        <v>2134</v>
      </c>
      <c r="G1678" s="114" t="s">
        <v>1512</v>
      </c>
      <c r="H1678" s="114" t="s">
        <v>1505</v>
      </c>
      <c r="I1678" s="114"/>
      <c r="J1678" s="114" t="b">
        <v>0</v>
      </c>
      <c r="K1678" s="114"/>
      <c r="L1678" s="114"/>
      <c r="M1678" s="114"/>
      <c r="N1678" s="114"/>
      <c r="O1678" s="114"/>
      <c r="P1678" s="114"/>
      <c r="Q1678" s="114" t="s">
        <v>1228</v>
      </c>
    </row>
    <row r="1679" spans="2:17" hidden="1" outlineLevel="2">
      <c r="B1679" s="2" t="s">
        <v>876</v>
      </c>
      <c r="D1679" s="270">
        <v>2818</v>
      </c>
      <c r="E1679" s="112" t="s">
        <v>208</v>
      </c>
      <c r="F1679" s="112" t="s">
        <v>2135</v>
      </c>
      <c r="G1679" s="112" t="s">
        <v>1512</v>
      </c>
      <c r="H1679" s="112" t="s">
        <v>1505</v>
      </c>
      <c r="I1679" s="112"/>
      <c r="J1679" s="112" t="b">
        <v>0</v>
      </c>
      <c r="K1679" s="112"/>
      <c r="L1679" s="112"/>
      <c r="M1679" s="112"/>
      <c r="N1679" s="112"/>
      <c r="O1679" s="112"/>
      <c r="P1679" s="112"/>
      <c r="Q1679" s="112" t="s">
        <v>1228</v>
      </c>
    </row>
    <row r="1680" spans="2:17" hidden="1" outlineLevel="2">
      <c r="B1680" s="2" t="s">
        <v>876</v>
      </c>
      <c r="D1680" s="268">
        <v>2820</v>
      </c>
      <c r="E1680" s="114" t="s">
        <v>208</v>
      </c>
      <c r="F1680" s="114" t="s">
        <v>2136</v>
      </c>
      <c r="G1680" s="114" t="s">
        <v>1493</v>
      </c>
      <c r="H1680" s="114" t="s">
        <v>1505</v>
      </c>
      <c r="I1680" s="114"/>
      <c r="J1680" s="114" t="b">
        <v>0</v>
      </c>
      <c r="K1680" s="114"/>
      <c r="L1680" s="114"/>
      <c r="M1680" s="114"/>
      <c r="N1680" s="114"/>
      <c r="O1680" s="114"/>
      <c r="P1680" s="114"/>
      <c r="Q1680" s="114" t="s">
        <v>1228</v>
      </c>
    </row>
    <row r="1681" spans="2:17" hidden="1" outlineLevel="2">
      <c r="B1681" s="2" t="s">
        <v>876</v>
      </c>
      <c r="D1681" s="270">
        <v>2821</v>
      </c>
      <c r="E1681" s="112" t="s">
        <v>208</v>
      </c>
      <c r="F1681" s="112" t="s">
        <v>2137</v>
      </c>
      <c r="G1681" s="112" t="s">
        <v>1493</v>
      </c>
      <c r="H1681" s="112" t="s">
        <v>1505</v>
      </c>
      <c r="I1681" s="112"/>
      <c r="J1681" s="112" t="b">
        <v>0</v>
      </c>
      <c r="K1681" s="112"/>
      <c r="L1681" s="112"/>
      <c r="M1681" s="112"/>
      <c r="N1681" s="112"/>
      <c r="O1681" s="112"/>
      <c r="P1681" s="112"/>
      <c r="Q1681" s="112" t="s">
        <v>1228</v>
      </c>
    </row>
    <row r="1682" spans="2:17" hidden="1" outlineLevel="2">
      <c r="B1682" s="2" t="s">
        <v>876</v>
      </c>
      <c r="D1682" s="268" t="s">
        <v>2138</v>
      </c>
      <c r="E1682" s="114" t="s">
        <v>208</v>
      </c>
      <c r="F1682" s="114" t="s">
        <v>2139</v>
      </c>
      <c r="G1682" s="114" t="s">
        <v>1512</v>
      </c>
      <c r="H1682" s="114" t="s">
        <v>1505</v>
      </c>
      <c r="I1682" s="114"/>
      <c r="J1682" s="114" t="b">
        <v>0</v>
      </c>
      <c r="K1682" s="114"/>
      <c r="L1682" s="114"/>
      <c r="M1682" s="114"/>
      <c r="N1682" s="114"/>
      <c r="O1682" s="114"/>
      <c r="P1682" s="114"/>
      <c r="Q1682" s="114" t="s">
        <v>1228</v>
      </c>
    </row>
    <row r="1683" spans="2:17" hidden="1" outlineLevel="2">
      <c r="B1683" s="2" t="s">
        <v>876</v>
      </c>
      <c r="D1683" s="270">
        <v>2823</v>
      </c>
      <c r="E1683" s="112" t="s">
        <v>208</v>
      </c>
      <c r="F1683" s="112" t="s">
        <v>2140</v>
      </c>
      <c r="G1683" s="112" t="s">
        <v>1512</v>
      </c>
      <c r="H1683" s="112" t="s">
        <v>1505</v>
      </c>
      <c r="I1683" s="112"/>
      <c r="J1683" s="112" t="b">
        <v>0</v>
      </c>
      <c r="K1683" s="112"/>
      <c r="L1683" s="112" t="b">
        <v>1</v>
      </c>
      <c r="M1683" s="112"/>
      <c r="N1683" s="112"/>
      <c r="O1683" s="112"/>
      <c r="P1683" s="112"/>
      <c r="Q1683" s="112" t="s">
        <v>1228</v>
      </c>
    </row>
    <row r="1684" spans="2:17" hidden="1" outlineLevel="2">
      <c r="B1684" s="2" t="s">
        <v>876</v>
      </c>
      <c r="D1684" s="268">
        <v>2824</v>
      </c>
      <c r="E1684" s="114" t="s">
        <v>208</v>
      </c>
      <c r="F1684" s="114" t="s">
        <v>2141</v>
      </c>
      <c r="G1684" s="114" t="s">
        <v>1493</v>
      </c>
      <c r="H1684" s="114" t="s">
        <v>1505</v>
      </c>
      <c r="I1684" s="114"/>
      <c r="J1684" s="114" t="b">
        <v>0</v>
      </c>
      <c r="K1684" s="114"/>
      <c r="L1684" s="114"/>
      <c r="M1684" s="114"/>
      <c r="N1684" s="114"/>
      <c r="O1684" s="114"/>
      <c r="P1684" s="114"/>
      <c r="Q1684" s="114" t="s">
        <v>1228</v>
      </c>
    </row>
    <row r="1685" spans="2:17" hidden="1" outlineLevel="2">
      <c r="B1685" s="2" t="s">
        <v>876</v>
      </c>
      <c r="D1685" s="270">
        <v>2825</v>
      </c>
      <c r="E1685" s="112" t="s">
        <v>208</v>
      </c>
      <c r="F1685" s="112" t="s">
        <v>2142</v>
      </c>
      <c r="G1685" s="112" t="s">
        <v>1512</v>
      </c>
      <c r="H1685" s="112" t="s">
        <v>1505</v>
      </c>
      <c r="I1685" s="112"/>
      <c r="J1685" s="112" t="b">
        <v>0</v>
      </c>
      <c r="K1685" s="112"/>
      <c r="L1685" s="112"/>
      <c r="M1685" s="112"/>
      <c r="N1685" s="112"/>
      <c r="O1685" s="112"/>
      <c r="P1685" s="112"/>
      <c r="Q1685" s="112" t="s">
        <v>1228</v>
      </c>
    </row>
    <row r="1686" spans="2:17" hidden="1" outlineLevel="2">
      <c r="B1686" s="2" t="s">
        <v>876</v>
      </c>
      <c r="D1686" s="268">
        <v>2826</v>
      </c>
      <c r="E1686" s="114" t="s">
        <v>208</v>
      </c>
      <c r="F1686" s="114" t="s">
        <v>2143</v>
      </c>
      <c r="G1686" s="114" t="s">
        <v>1512</v>
      </c>
      <c r="H1686" s="114" t="s">
        <v>1505</v>
      </c>
      <c r="I1686" s="114"/>
      <c r="J1686" s="114" t="b">
        <v>0</v>
      </c>
      <c r="K1686" s="114"/>
      <c r="L1686" s="114"/>
      <c r="M1686" s="114"/>
      <c r="N1686" s="114"/>
      <c r="O1686" s="114"/>
      <c r="P1686" s="114"/>
      <c r="Q1686" s="114" t="s">
        <v>1228</v>
      </c>
    </row>
    <row r="1687" spans="2:17" hidden="1" outlineLevel="2">
      <c r="B1687" s="2" t="s">
        <v>876</v>
      </c>
      <c r="D1687" s="270">
        <v>2827</v>
      </c>
      <c r="E1687" s="112" t="s">
        <v>208</v>
      </c>
      <c r="F1687" s="112" t="s">
        <v>2144</v>
      </c>
      <c r="G1687" s="112" t="s">
        <v>1493</v>
      </c>
      <c r="H1687" s="112" t="s">
        <v>1505</v>
      </c>
      <c r="I1687" s="112"/>
      <c r="J1687" s="112" t="b">
        <v>0</v>
      </c>
      <c r="K1687" s="112"/>
      <c r="L1687" s="112"/>
      <c r="M1687" s="112"/>
      <c r="N1687" s="112"/>
      <c r="O1687" s="112"/>
      <c r="P1687" s="112"/>
      <c r="Q1687" s="112" t="s">
        <v>1228</v>
      </c>
    </row>
    <row r="1688" spans="2:17" hidden="1" outlineLevel="2">
      <c r="B1688" s="2" t="s">
        <v>876</v>
      </c>
      <c r="D1688" s="268">
        <v>2828</v>
      </c>
      <c r="E1688" s="114" t="s">
        <v>208</v>
      </c>
      <c r="F1688" s="114" t="s">
        <v>2145</v>
      </c>
      <c r="G1688" s="114" t="s">
        <v>1512</v>
      </c>
      <c r="H1688" s="114" t="s">
        <v>1512</v>
      </c>
      <c r="I1688" s="114"/>
      <c r="J1688" s="114" t="b">
        <v>0</v>
      </c>
      <c r="K1688" s="114"/>
      <c r="L1688" s="114" t="b">
        <v>1</v>
      </c>
      <c r="M1688" s="114"/>
      <c r="N1688" s="114"/>
      <c r="O1688" s="114"/>
      <c r="P1688" s="114"/>
      <c r="Q1688" s="114" t="s">
        <v>1228</v>
      </c>
    </row>
    <row r="1689" spans="2:17" hidden="1" outlineLevel="2">
      <c r="B1689" s="2" t="s">
        <v>876</v>
      </c>
      <c r="D1689" s="270">
        <v>2829</v>
      </c>
      <c r="E1689" s="112" t="s">
        <v>208</v>
      </c>
      <c r="F1689" s="112" t="s">
        <v>2146</v>
      </c>
      <c r="G1689" s="112" t="s">
        <v>1493</v>
      </c>
      <c r="H1689" s="112" t="s">
        <v>1505</v>
      </c>
      <c r="I1689" s="112"/>
      <c r="J1689" s="112" t="b">
        <v>0</v>
      </c>
      <c r="K1689" s="112"/>
      <c r="L1689" s="112"/>
      <c r="M1689" s="112"/>
      <c r="N1689" s="112"/>
      <c r="O1689" s="112"/>
      <c r="P1689" s="112"/>
      <c r="Q1689" s="112" t="s">
        <v>1228</v>
      </c>
    </row>
    <row r="1690" spans="2:17" hidden="1" outlineLevel="2">
      <c r="B1690" s="2" t="s">
        <v>876</v>
      </c>
      <c r="D1690" s="268">
        <v>2830</v>
      </c>
      <c r="E1690" s="114" t="s">
        <v>208</v>
      </c>
      <c r="F1690" s="114" t="s">
        <v>2147</v>
      </c>
      <c r="G1690" s="114" t="s">
        <v>1483</v>
      </c>
      <c r="H1690" s="114" t="s">
        <v>1494</v>
      </c>
      <c r="I1690" s="114"/>
      <c r="J1690" s="114" t="b">
        <v>0</v>
      </c>
      <c r="K1690" s="114"/>
      <c r="L1690" s="114"/>
      <c r="M1690" s="114"/>
      <c r="N1690" s="114"/>
      <c r="O1690" s="114"/>
      <c r="P1690" s="114"/>
      <c r="Q1690" s="114" t="s">
        <v>1228</v>
      </c>
    </row>
    <row r="1691" spans="2:17" hidden="1" outlineLevel="2">
      <c r="B1691" s="2" t="s">
        <v>876</v>
      </c>
      <c r="D1691" s="270">
        <v>2831</v>
      </c>
      <c r="E1691" s="112" t="s">
        <v>208</v>
      </c>
      <c r="F1691" s="112" t="s">
        <v>2139</v>
      </c>
      <c r="G1691" s="221" t="s">
        <v>1512</v>
      </c>
      <c r="H1691" s="112" t="s">
        <v>1505</v>
      </c>
      <c r="I1691" s="112"/>
      <c r="J1691" s="112" t="b">
        <v>0</v>
      </c>
      <c r="K1691" s="112"/>
      <c r="L1691" s="112"/>
      <c r="M1691" s="112"/>
      <c r="N1691" s="112"/>
      <c r="O1691" s="112"/>
      <c r="P1691" s="112"/>
      <c r="Q1691" s="112" t="s">
        <v>1228</v>
      </c>
    </row>
    <row r="1692" spans="2:17" hidden="1" outlineLevel="2">
      <c r="B1692" s="2" t="s">
        <v>876</v>
      </c>
      <c r="D1692" s="268">
        <v>2832</v>
      </c>
      <c r="E1692" s="114" t="s">
        <v>208</v>
      </c>
      <c r="F1692" s="114" t="s">
        <v>2148</v>
      </c>
      <c r="G1692" s="114" t="s">
        <v>1512</v>
      </c>
      <c r="H1692" s="114" t="s">
        <v>1505</v>
      </c>
      <c r="I1692" s="114"/>
      <c r="J1692" s="114" t="b">
        <v>0</v>
      </c>
      <c r="K1692" s="114"/>
      <c r="L1692" s="114" t="b">
        <v>1</v>
      </c>
      <c r="M1692" s="114"/>
      <c r="N1692" s="114"/>
      <c r="O1692" s="114"/>
      <c r="P1692" s="114"/>
      <c r="Q1692" s="114" t="s">
        <v>1228</v>
      </c>
    </row>
    <row r="1693" spans="2:17" hidden="1" outlineLevel="2">
      <c r="B1693" s="2" t="s">
        <v>876</v>
      </c>
      <c r="D1693" s="270">
        <v>2833</v>
      </c>
      <c r="E1693" s="112" t="s">
        <v>208</v>
      </c>
      <c r="F1693" s="112" t="s">
        <v>2149</v>
      </c>
      <c r="G1693" s="112" t="s">
        <v>1512</v>
      </c>
      <c r="H1693" s="112" t="s">
        <v>1505</v>
      </c>
      <c r="I1693" s="112"/>
      <c r="J1693" s="112" t="b">
        <v>0</v>
      </c>
      <c r="K1693" s="112"/>
      <c r="L1693" s="112" t="b">
        <v>1</v>
      </c>
      <c r="M1693" s="112"/>
      <c r="N1693" s="112"/>
      <c r="O1693" s="112"/>
      <c r="P1693" s="112"/>
      <c r="Q1693" s="112" t="s">
        <v>1228</v>
      </c>
    </row>
    <row r="1694" spans="2:17" hidden="1" outlineLevel="2">
      <c r="B1694" s="2" t="s">
        <v>876</v>
      </c>
      <c r="D1694" s="268">
        <v>2834</v>
      </c>
      <c r="E1694" s="114" t="s">
        <v>208</v>
      </c>
      <c r="F1694" s="114" t="s">
        <v>2150</v>
      </c>
      <c r="G1694" s="114" t="s">
        <v>1512</v>
      </c>
      <c r="H1694" s="114" t="s">
        <v>1533</v>
      </c>
      <c r="I1694" s="114"/>
      <c r="J1694" s="114" t="b">
        <v>0</v>
      </c>
      <c r="K1694" s="114" t="s">
        <v>1552</v>
      </c>
      <c r="L1694" s="114" t="b">
        <v>1</v>
      </c>
      <c r="M1694" s="114"/>
      <c r="N1694" s="114"/>
      <c r="O1694" s="114"/>
      <c r="P1694" s="114"/>
      <c r="Q1694" s="114" t="s">
        <v>1228</v>
      </c>
    </row>
    <row r="1695" spans="2:17" hidden="1" outlineLevel="2">
      <c r="B1695" s="2" t="s">
        <v>876</v>
      </c>
      <c r="D1695" s="270">
        <v>2835</v>
      </c>
      <c r="E1695" s="112" t="s">
        <v>208</v>
      </c>
      <c r="F1695" s="112" t="s">
        <v>2151</v>
      </c>
      <c r="G1695" s="112" t="s">
        <v>1533</v>
      </c>
      <c r="H1695" s="112" t="s">
        <v>1533</v>
      </c>
      <c r="I1695" s="112"/>
      <c r="J1695" s="112" t="b">
        <v>1</v>
      </c>
      <c r="K1695" s="112" t="s">
        <v>1552</v>
      </c>
      <c r="L1695" s="112" t="b">
        <v>1</v>
      </c>
      <c r="M1695" s="112"/>
      <c r="N1695" s="112"/>
      <c r="O1695" s="112"/>
      <c r="P1695" s="112"/>
      <c r="Q1695" s="112" t="s">
        <v>1228</v>
      </c>
    </row>
    <row r="1696" spans="2:17" hidden="1" outlineLevel="2">
      <c r="B1696" s="2" t="s">
        <v>876</v>
      </c>
      <c r="D1696" s="268">
        <v>2836</v>
      </c>
      <c r="E1696" s="114" t="s">
        <v>208</v>
      </c>
      <c r="F1696" s="114" t="s">
        <v>2152</v>
      </c>
      <c r="G1696" s="114" t="s">
        <v>1512</v>
      </c>
      <c r="H1696" s="114" t="s">
        <v>1512</v>
      </c>
      <c r="I1696" s="114"/>
      <c r="J1696" s="114" t="b">
        <v>0</v>
      </c>
      <c r="K1696" s="114"/>
      <c r="L1696" s="114"/>
      <c r="M1696" s="114"/>
      <c r="N1696" s="114"/>
      <c r="O1696" s="114"/>
      <c r="P1696" s="114"/>
      <c r="Q1696" s="114" t="s">
        <v>1228</v>
      </c>
    </row>
    <row r="1697" spans="2:17" hidden="1" outlineLevel="2">
      <c r="B1697" s="2" t="s">
        <v>876</v>
      </c>
      <c r="D1697" s="270">
        <v>2838</v>
      </c>
      <c r="E1697" s="112" t="s">
        <v>208</v>
      </c>
      <c r="F1697" s="112" t="s">
        <v>2153</v>
      </c>
      <c r="G1697" s="112" t="s">
        <v>1512</v>
      </c>
      <c r="H1697" s="112" t="s">
        <v>1505</v>
      </c>
      <c r="I1697" s="112"/>
      <c r="J1697" s="112" t="b">
        <v>0</v>
      </c>
      <c r="K1697" s="112"/>
      <c r="L1697" s="112"/>
      <c r="M1697" s="112"/>
      <c r="N1697" s="112"/>
      <c r="O1697" s="112"/>
      <c r="P1697" s="112"/>
      <c r="Q1697" s="112" t="s">
        <v>1228</v>
      </c>
    </row>
    <row r="1698" spans="2:17" hidden="1" outlineLevel="2">
      <c r="B1698" s="2" t="s">
        <v>876</v>
      </c>
      <c r="D1698" s="268">
        <v>2839</v>
      </c>
      <c r="E1698" s="114" t="s">
        <v>208</v>
      </c>
      <c r="F1698" s="114" t="s">
        <v>2154</v>
      </c>
      <c r="G1698" s="114" t="s">
        <v>1512</v>
      </c>
      <c r="H1698" s="114" t="s">
        <v>1505</v>
      </c>
      <c r="I1698" s="114"/>
      <c r="J1698" s="114" t="b">
        <v>0</v>
      </c>
      <c r="K1698" s="114"/>
      <c r="L1698" s="114" t="b">
        <v>1</v>
      </c>
      <c r="M1698" s="114"/>
      <c r="N1698" s="114"/>
      <c r="O1698" s="114"/>
      <c r="P1698" s="114"/>
      <c r="Q1698" s="114" t="s">
        <v>1228</v>
      </c>
    </row>
    <row r="1699" spans="2:17" hidden="1" outlineLevel="2">
      <c r="B1699" s="2" t="s">
        <v>876</v>
      </c>
      <c r="D1699" s="270">
        <v>2840</v>
      </c>
      <c r="E1699" s="112" t="s">
        <v>208</v>
      </c>
      <c r="F1699" s="112" t="s">
        <v>2155</v>
      </c>
      <c r="G1699" s="112" t="s">
        <v>1493</v>
      </c>
      <c r="H1699" s="112" t="s">
        <v>1505</v>
      </c>
      <c r="I1699" s="112"/>
      <c r="J1699" s="112" t="b">
        <v>0</v>
      </c>
      <c r="K1699" s="112"/>
      <c r="L1699" s="112"/>
      <c r="M1699" s="112"/>
      <c r="N1699" s="112"/>
      <c r="O1699" s="112"/>
      <c r="P1699" s="112"/>
      <c r="Q1699" s="112" t="s">
        <v>1228</v>
      </c>
    </row>
    <row r="1700" spans="2:17" hidden="1" outlineLevel="2">
      <c r="B1700" s="2" t="s">
        <v>876</v>
      </c>
      <c r="D1700" s="268">
        <v>2842</v>
      </c>
      <c r="E1700" s="114" t="s">
        <v>208</v>
      </c>
      <c r="F1700" s="114" t="s">
        <v>2156</v>
      </c>
      <c r="G1700" s="221" t="s">
        <v>1512</v>
      </c>
      <c r="H1700" s="114" t="s">
        <v>1505</v>
      </c>
      <c r="I1700" s="114"/>
      <c r="J1700" s="114" t="b">
        <v>0</v>
      </c>
      <c r="K1700" s="114"/>
      <c r="L1700" s="114"/>
      <c r="M1700" s="114"/>
      <c r="N1700" s="114"/>
      <c r="O1700" s="114"/>
      <c r="P1700" s="114"/>
      <c r="Q1700" s="114" t="s">
        <v>1228</v>
      </c>
    </row>
    <row r="1701" spans="2:17" hidden="1" outlineLevel="2">
      <c r="B1701" s="2" t="s">
        <v>876</v>
      </c>
      <c r="D1701" s="270">
        <v>2843</v>
      </c>
      <c r="E1701" s="112" t="s">
        <v>208</v>
      </c>
      <c r="F1701" s="112" t="s">
        <v>2157</v>
      </c>
      <c r="G1701" s="112" t="s">
        <v>1512</v>
      </c>
      <c r="H1701" s="112" t="s">
        <v>1505</v>
      </c>
      <c r="I1701" s="112"/>
      <c r="J1701" s="112" t="b">
        <v>0</v>
      </c>
      <c r="K1701" s="112"/>
      <c r="L1701" s="112"/>
      <c r="M1701" s="112"/>
      <c r="N1701" s="112"/>
      <c r="O1701" s="112"/>
      <c r="P1701" s="112"/>
      <c r="Q1701" s="112" t="s">
        <v>1228</v>
      </c>
    </row>
    <row r="1702" spans="2:17" hidden="1" outlineLevel="2">
      <c r="B1702" s="2" t="s">
        <v>876</v>
      </c>
      <c r="D1702" s="268">
        <v>2844</v>
      </c>
      <c r="E1702" s="114" t="s">
        <v>208</v>
      </c>
      <c r="F1702" s="114" t="s">
        <v>2158</v>
      </c>
      <c r="G1702" s="114" t="s">
        <v>1512</v>
      </c>
      <c r="H1702" s="114" t="s">
        <v>1512</v>
      </c>
      <c r="I1702" s="114"/>
      <c r="J1702" s="114" t="b">
        <v>0</v>
      </c>
      <c r="K1702" s="114"/>
      <c r="L1702" s="114"/>
      <c r="M1702" s="114"/>
      <c r="N1702" s="114"/>
      <c r="O1702" s="114"/>
      <c r="P1702" s="114"/>
      <c r="Q1702" s="114" t="s">
        <v>1228</v>
      </c>
    </row>
    <row r="1703" spans="2:17" hidden="1" outlineLevel="2">
      <c r="B1703" s="2" t="s">
        <v>876</v>
      </c>
      <c r="D1703" s="270">
        <v>2845</v>
      </c>
      <c r="E1703" s="112" t="s">
        <v>208</v>
      </c>
      <c r="F1703" s="112" t="s">
        <v>2159</v>
      </c>
      <c r="G1703" s="221" t="s">
        <v>1512</v>
      </c>
      <c r="H1703" s="112" t="s">
        <v>1505</v>
      </c>
      <c r="I1703" s="112"/>
      <c r="J1703" s="112" t="b">
        <v>0</v>
      </c>
      <c r="K1703" s="112"/>
      <c r="L1703" s="112"/>
      <c r="M1703" s="112"/>
      <c r="N1703" s="112"/>
      <c r="O1703" s="112"/>
      <c r="P1703" s="112"/>
      <c r="Q1703" s="112" t="s">
        <v>1228</v>
      </c>
    </row>
    <row r="1704" spans="2:17" hidden="1" outlineLevel="2">
      <c r="B1704" s="2" t="s">
        <v>876</v>
      </c>
      <c r="D1704" s="268">
        <v>2846</v>
      </c>
      <c r="E1704" s="114" t="s">
        <v>208</v>
      </c>
      <c r="F1704" s="114" t="s">
        <v>2160</v>
      </c>
      <c r="G1704" s="114" t="s">
        <v>1512</v>
      </c>
      <c r="H1704" s="114" t="s">
        <v>1505</v>
      </c>
      <c r="I1704" s="114"/>
      <c r="J1704" s="114" t="b">
        <v>0</v>
      </c>
      <c r="K1704" s="114"/>
      <c r="L1704" s="114"/>
      <c r="M1704" s="114"/>
      <c r="N1704" s="114"/>
      <c r="O1704" s="114"/>
      <c r="P1704" s="114"/>
      <c r="Q1704" s="114" t="s">
        <v>1228</v>
      </c>
    </row>
    <row r="1705" spans="2:17" hidden="1" outlineLevel="2">
      <c r="B1705" s="2" t="s">
        <v>876</v>
      </c>
      <c r="D1705" s="270">
        <v>2847</v>
      </c>
      <c r="E1705" s="112" t="s">
        <v>208</v>
      </c>
      <c r="F1705" s="112" t="s">
        <v>2161</v>
      </c>
      <c r="G1705" s="112" t="s">
        <v>1512</v>
      </c>
      <c r="H1705" s="112" t="s">
        <v>1512</v>
      </c>
      <c r="I1705" s="112"/>
      <c r="J1705" s="112" t="b">
        <v>0</v>
      </c>
      <c r="K1705" s="112"/>
      <c r="L1705" s="112"/>
      <c r="M1705" s="112"/>
      <c r="N1705" s="112"/>
      <c r="O1705" s="112"/>
      <c r="P1705" s="112"/>
      <c r="Q1705" s="112" t="s">
        <v>1228</v>
      </c>
    </row>
    <row r="1706" spans="2:17" hidden="1" outlineLevel="2">
      <c r="B1706" s="2" t="s">
        <v>876</v>
      </c>
      <c r="D1706" s="268">
        <v>2848</v>
      </c>
      <c r="E1706" s="114" t="s">
        <v>208</v>
      </c>
      <c r="F1706" s="114" t="s">
        <v>2162</v>
      </c>
      <c r="G1706" s="114" t="s">
        <v>1512</v>
      </c>
      <c r="H1706" s="114" t="s">
        <v>1512</v>
      </c>
      <c r="I1706" s="114"/>
      <c r="J1706" s="114" t="b">
        <v>0</v>
      </c>
      <c r="K1706" s="114" t="s">
        <v>1484</v>
      </c>
      <c r="L1706" s="114" t="b">
        <v>1</v>
      </c>
      <c r="M1706" s="114"/>
      <c r="N1706" s="114"/>
      <c r="O1706" s="114"/>
      <c r="P1706" s="114"/>
      <c r="Q1706" s="114" t="s">
        <v>1228</v>
      </c>
    </row>
    <row r="1707" spans="2:17" hidden="1" outlineLevel="2">
      <c r="B1707" s="2" t="s">
        <v>876</v>
      </c>
      <c r="D1707" s="270">
        <v>2849</v>
      </c>
      <c r="E1707" s="112" t="s">
        <v>208</v>
      </c>
      <c r="F1707" s="112" t="s">
        <v>2163</v>
      </c>
      <c r="G1707" s="112" t="s">
        <v>1512</v>
      </c>
      <c r="H1707" s="112" t="s">
        <v>1505</v>
      </c>
      <c r="I1707" s="112"/>
      <c r="J1707" s="112" t="b">
        <v>0</v>
      </c>
      <c r="K1707" s="112"/>
      <c r="L1707" s="112"/>
      <c r="M1707" s="112"/>
      <c r="N1707" s="112"/>
      <c r="O1707" s="112"/>
      <c r="P1707" s="112"/>
      <c r="Q1707" s="112" t="s">
        <v>1228</v>
      </c>
    </row>
    <row r="1708" spans="2:17" hidden="1" outlineLevel="2">
      <c r="B1708" s="2" t="s">
        <v>876</v>
      </c>
      <c r="D1708" s="268">
        <v>2850</v>
      </c>
      <c r="E1708" s="114" t="s">
        <v>208</v>
      </c>
      <c r="F1708" s="114" t="s">
        <v>2164</v>
      </c>
      <c r="G1708" s="114" t="s">
        <v>1493</v>
      </c>
      <c r="H1708" s="114" t="s">
        <v>1494</v>
      </c>
      <c r="I1708" s="114"/>
      <c r="J1708" s="114" t="b">
        <v>0</v>
      </c>
      <c r="K1708" s="114" t="s">
        <v>1484</v>
      </c>
      <c r="L1708" s="114" t="b">
        <v>1</v>
      </c>
      <c r="M1708" s="114"/>
      <c r="N1708" s="114"/>
      <c r="O1708" s="114"/>
      <c r="P1708" s="114"/>
      <c r="Q1708" s="114" t="s">
        <v>1228</v>
      </c>
    </row>
    <row r="1709" spans="2:17" hidden="1" outlineLevel="2">
      <c r="B1709" s="2" t="s">
        <v>876</v>
      </c>
      <c r="D1709" s="270">
        <v>2852</v>
      </c>
      <c r="E1709" s="112" t="s">
        <v>208</v>
      </c>
      <c r="F1709" s="112" t="s">
        <v>2165</v>
      </c>
      <c r="G1709" s="112" t="s">
        <v>1493</v>
      </c>
      <c r="H1709" s="112" t="s">
        <v>1505</v>
      </c>
      <c r="I1709" s="112"/>
      <c r="J1709" s="112" t="b">
        <v>0</v>
      </c>
      <c r="K1709" s="112"/>
      <c r="L1709" s="112"/>
      <c r="M1709" s="112"/>
      <c r="N1709" s="112"/>
      <c r="O1709" s="112"/>
      <c r="P1709" s="112"/>
      <c r="Q1709" s="112" t="s">
        <v>1228</v>
      </c>
    </row>
    <row r="1710" spans="2:17" hidden="1" outlineLevel="2">
      <c r="B1710" s="2" t="s">
        <v>876</v>
      </c>
      <c r="D1710" s="268">
        <v>2864</v>
      </c>
      <c r="E1710" s="114" t="s">
        <v>208</v>
      </c>
      <c r="F1710" s="114" t="s">
        <v>2166</v>
      </c>
      <c r="G1710" s="114" t="s">
        <v>1512</v>
      </c>
      <c r="H1710" s="114" t="s">
        <v>1505</v>
      </c>
      <c r="I1710" s="114"/>
      <c r="J1710" s="114" t="b">
        <v>0</v>
      </c>
      <c r="K1710" s="114"/>
      <c r="L1710" s="114"/>
      <c r="M1710" s="114"/>
      <c r="N1710" s="114"/>
      <c r="O1710" s="114"/>
      <c r="P1710" s="114"/>
      <c r="Q1710" s="114" t="s">
        <v>1228</v>
      </c>
    </row>
    <row r="1711" spans="2:17" hidden="1" outlineLevel="2">
      <c r="B1711" s="2" t="s">
        <v>876</v>
      </c>
      <c r="D1711" s="270">
        <v>2865</v>
      </c>
      <c r="E1711" s="112" t="s">
        <v>208</v>
      </c>
      <c r="F1711" s="112" t="s">
        <v>2167</v>
      </c>
      <c r="G1711" s="112" t="s">
        <v>1512</v>
      </c>
      <c r="H1711" s="112" t="s">
        <v>1505</v>
      </c>
      <c r="I1711" s="112"/>
      <c r="J1711" s="112" t="b">
        <v>0</v>
      </c>
      <c r="K1711" s="112"/>
      <c r="L1711" s="112" t="b">
        <v>1</v>
      </c>
      <c r="M1711" s="112"/>
      <c r="N1711" s="112"/>
      <c r="O1711" s="112"/>
      <c r="P1711" s="112"/>
      <c r="Q1711" s="112" t="s">
        <v>1228</v>
      </c>
    </row>
    <row r="1712" spans="2:17" hidden="1" outlineLevel="2">
      <c r="B1712" s="2" t="s">
        <v>876</v>
      </c>
      <c r="D1712" s="268">
        <v>2866</v>
      </c>
      <c r="E1712" s="114" t="s">
        <v>208</v>
      </c>
      <c r="F1712" s="114" t="s">
        <v>2168</v>
      </c>
      <c r="G1712" s="114" t="s">
        <v>1512</v>
      </c>
      <c r="H1712" s="114" t="s">
        <v>1505</v>
      </c>
      <c r="I1712" s="114"/>
      <c r="J1712" s="114" t="b">
        <v>0</v>
      </c>
      <c r="K1712" s="114"/>
      <c r="L1712" s="114"/>
      <c r="M1712" s="114"/>
      <c r="N1712" s="114"/>
      <c r="O1712" s="114"/>
      <c r="P1712" s="114"/>
      <c r="Q1712" s="114" t="s">
        <v>1228</v>
      </c>
    </row>
    <row r="1713" spans="2:17" hidden="1" outlineLevel="2">
      <c r="B1713" s="2" t="s">
        <v>876</v>
      </c>
      <c r="D1713" s="270">
        <v>2867</v>
      </c>
      <c r="E1713" s="112" t="s">
        <v>208</v>
      </c>
      <c r="F1713" s="112" t="s">
        <v>2169</v>
      </c>
      <c r="G1713" s="112" t="s">
        <v>1512</v>
      </c>
      <c r="H1713" s="112" t="s">
        <v>1512</v>
      </c>
      <c r="I1713" s="112"/>
      <c r="J1713" s="112" t="b">
        <v>0</v>
      </c>
      <c r="K1713" s="112"/>
      <c r="L1713" s="112"/>
      <c r="M1713" s="112"/>
      <c r="N1713" s="112"/>
      <c r="O1713" s="112"/>
      <c r="P1713" s="112"/>
      <c r="Q1713" s="112" t="s">
        <v>1228</v>
      </c>
    </row>
    <row r="1714" spans="2:17" hidden="1" outlineLevel="2">
      <c r="B1714" s="2" t="s">
        <v>876</v>
      </c>
      <c r="D1714" s="268">
        <v>2868</v>
      </c>
      <c r="E1714" s="114" t="s">
        <v>208</v>
      </c>
      <c r="F1714" s="114" t="s">
        <v>2170</v>
      </c>
      <c r="G1714" s="221" t="s">
        <v>1512</v>
      </c>
      <c r="H1714" s="114" t="s">
        <v>1505</v>
      </c>
      <c r="I1714" s="114"/>
      <c r="J1714" s="114" t="b">
        <v>0</v>
      </c>
      <c r="K1714" s="114"/>
      <c r="L1714" s="114"/>
      <c r="M1714" s="114"/>
      <c r="N1714" s="114"/>
      <c r="O1714" s="114"/>
      <c r="P1714" s="114"/>
      <c r="Q1714" s="114" t="s">
        <v>1228</v>
      </c>
    </row>
    <row r="1715" spans="2:17" hidden="1" outlineLevel="2">
      <c r="B1715" s="2" t="s">
        <v>876</v>
      </c>
      <c r="D1715" s="270">
        <v>2869</v>
      </c>
      <c r="E1715" s="112" t="s">
        <v>208</v>
      </c>
      <c r="F1715" s="112" t="s">
        <v>2171</v>
      </c>
      <c r="G1715" s="112" t="s">
        <v>1512</v>
      </c>
      <c r="H1715" s="112" t="s">
        <v>1505</v>
      </c>
      <c r="I1715" s="112"/>
      <c r="J1715" s="112" t="b">
        <v>0</v>
      </c>
      <c r="K1715" s="112"/>
      <c r="L1715" s="112"/>
      <c r="M1715" s="112"/>
      <c r="N1715" s="112"/>
      <c r="O1715" s="112"/>
      <c r="P1715" s="112"/>
      <c r="Q1715" s="112" t="s">
        <v>1228</v>
      </c>
    </row>
    <row r="1716" spans="2:17" hidden="1" outlineLevel="2">
      <c r="B1716" s="2" t="s">
        <v>876</v>
      </c>
      <c r="D1716" s="268">
        <v>2870</v>
      </c>
      <c r="E1716" s="114" t="s">
        <v>208</v>
      </c>
      <c r="F1716" s="114" t="s">
        <v>2172</v>
      </c>
      <c r="G1716" s="114" t="s">
        <v>1493</v>
      </c>
      <c r="H1716" s="114" t="s">
        <v>1494</v>
      </c>
      <c r="I1716" s="114"/>
      <c r="J1716" s="114" t="b">
        <v>0</v>
      </c>
      <c r="K1716" s="114" t="s">
        <v>1484</v>
      </c>
      <c r="L1716" s="114" t="b">
        <v>1</v>
      </c>
      <c r="M1716" s="114"/>
      <c r="N1716" s="114"/>
      <c r="O1716" s="114"/>
      <c r="P1716" s="114"/>
      <c r="Q1716" s="114" t="s">
        <v>1228</v>
      </c>
    </row>
    <row r="1717" spans="2:17" hidden="1" outlineLevel="2">
      <c r="B1717" s="2" t="s">
        <v>876</v>
      </c>
      <c r="D1717" s="270">
        <v>2871</v>
      </c>
      <c r="E1717" s="112" t="s">
        <v>208</v>
      </c>
      <c r="F1717" s="112" t="s">
        <v>2173</v>
      </c>
      <c r="G1717" s="112" t="s">
        <v>1493</v>
      </c>
      <c r="H1717" s="112" t="s">
        <v>1505</v>
      </c>
      <c r="I1717" s="112"/>
      <c r="J1717" s="112" t="b">
        <v>0</v>
      </c>
      <c r="K1717" s="112"/>
      <c r="L1717" s="112"/>
      <c r="M1717" s="112"/>
      <c r="N1717" s="112"/>
      <c r="O1717" s="112"/>
      <c r="P1717" s="112"/>
      <c r="Q1717" s="112" t="s">
        <v>1228</v>
      </c>
    </row>
    <row r="1718" spans="2:17" hidden="1" outlineLevel="2">
      <c r="B1718" s="2" t="s">
        <v>876</v>
      </c>
      <c r="D1718" s="268">
        <v>2873</v>
      </c>
      <c r="E1718" s="114" t="s">
        <v>208</v>
      </c>
      <c r="F1718" s="114" t="s">
        <v>2174</v>
      </c>
      <c r="G1718" s="114" t="s">
        <v>1512</v>
      </c>
      <c r="H1718" s="114" t="s">
        <v>1505</v>
      </c>
      <c r="I1718" s="114"/>
      <c r="J1718" s="114" t="b">
        <v>0</v>
      </c>
      <c r="K1718" s="114"/>
      <c r="L1718" s="114" t="b">
        <v>1</v>
      </c>
      <c r="M1718" s="114"/>
      <c r="N1718" s="114"/>
      <c r="O1718" s="114"/>
      <c r="P1718" s="114" t="s">
        <v>1485</v>
      </c>
      <c r="Q1718" s="114" t="s">
        <v>1228</v>
      </c>
    </row>
    <row r="1719" spans="2:17" hidden="1" outlineLevel="2">
      <c r="B1719" s="2" t="s">
        <v>876</v>
      </c>
      <c r="D1719" s="270">
        <v>2874</v>
      </c>
      <c r="E1719" s="112" t="s">
        <v>208</v>
      </c>
      <c r="F1719" s="112" t="s">
        <v>2175</v>
      </c>
      <c r="G1719" s="112" t="s">
        <v>1512</v>
      </c>
      <c r="H1719" s="112" t="s">
        <v>1512</v>
      </c>
      <c r="I1719" s="112"/>
      <c r="J1719" s="112" t="b">
        <v>0</v>
      </c>
      <c r="K1719" s="112"/>
      <c r="L1719" s="112"/>
      <c r="M1719" s="112"/>
      <c r="N1719" s="112"/>
      <c r="O1719" s="112"/>
      <c r="P1719" s="112" t="s">
        <v>1485</v>
      </c>
      <c r="Q1719" s="112" t="s">
        <v>1228</v>
      </c>
    </row>
    <row r="1720" spans="2:17" hidden="1" outlineLevel="2">
      <c r="B1720" s="2" t="s">
        <v>876</v>
      </c>
      <c r="D1720" s="268">
        <v>2875</v>
      </c>
      <c r="E1720" s="114" t="s">
        <v>208</v>
      </c>
      <c r="F1720" s="114" t="s">
        <v>2176</v>
      </c>
      <c r="G1720" s="114" t="s">
        <v>1512</v>
      </c>
      <c r="H1720" s="114" t="s">
        <v>1505</v>
      </c>
      <c r="I1720" s="114"/>
      <c r="J1720" s="114" t="b">
        <v>0</v>
      </c>
      <c r="K1720" s="114"/>
      <c r="L1720" s="114" t="b">
        <v>1</v>
      </c>
      <c r="M1720" s="114"/>
      <c r="N1720" s="114"/>
      <c r="O1720" s="114"/>
      <c r="P1720" s="114" t="s">
        <v>1485</v>
      </c>
      <c r="Q1720" s="114" t="s">
        <v>1228</v>
      </c>
    </row>
    <row r="1721" spans="2:17" hidden="1" outlineLevel="2">
      <c r="B1721" s="2" t="s">
        <v>876</v>
      </c>
      <c r="D1721" s="270">
        <v>2876</v>
      </c>
      <c r="E1721" s="112" t="s">
        <v>208</v>
      </c>
      <c r="F1721" s="112" t="s">
        <v>2177</v>
      </c>
      <c r="G1721" s="112" t="s">
        <v>1512</v>
      </c>
      <c r="H1721" s="112" t="s">
        <v>1505</v>
      </c>
      <c r="I1721" s="112"/>
      <c r="J1721" s="112" t="b">
        <v>0</v>
      </c>
      <c r="K1721" s="112"/>
      <c r="L1721" s="112" t="b">
        <v>1</v>
      </c>
      <c r="M1721" s="112"/>
      <c r="N1721" s="112"/>
      <c r="O1721" s="112"/>
      <c r="P1721" s="112" t="s">
        <v>1485</v>
      </c>
      <c r="Q1721" s="112" t="s">
        <v>1228</v>
      </c>
    </row>
    <row r="1722" spans="2:17" hidden="1" outlineLevel="2">
      <c r="B1722" s="2" t="s">
        <v>876</v>
      </c>
      <c r="D1722" s="268">
        <v>2877</v>
      </c>
      <c r="E1722" s="114" t="s">
        <v>208</v>
      </c>
      <c r="F1722" s="114" t="s">
        <v>2178</v>
      </c>
      <c r="G1722" s="114" t="s">
        <v>1512</v>
      </c>
      <c r="H1722" s="114" t="s">
        <v>1505</v>
      </c>
      <c r="I1722" s="114"/>
      <c r="J1722" s="114" t="b">
        <v>0</v>
      </c>
      <c r="K1722" s="114"/>
      <c r="L1722" s="114"/>
      <c r="M1722" s="114"/>
      <c r="N1722" s="114"/>
      <c r="O1722" s="114"/>
      <c r="P1722" s="114" t="s">
        <v>1485</v>
      </c>
      <c r="Q1722" s="114" t="s">
        <v>1228</v>
      </c>
    </row>
    <row r="1723" spans="2:17" hidden="1" outlineLevel="2">
      <c r="B1723" s="2" t="s">
        <v>876</v>
      </c>
      <c r="D1723" s="270">
        <v>2878</v>
      </c>
      <c r="E1723" s="112" t="s">
        <v>208</v>
      </c>
      <c r="F1723" s="112" t="s">
        <v>2179</v>
      </c>
      <c r="G1723" s="112" t="s">
        <v>1512</v>
      </c>
      <c r="H1723" s="112" t="s">
        <v>1512</v>
      </c>
      <c r="I1723" s="112"/>
      <c r="J1723" s="112" t="b">
        <v>0</v>
      </c>
      <c r="K1723" s="112"/>
      <c r="L1723" s="112" t="b">
        <v>1</v>
      </c>
      <c r="M1723" s="112"/>
      <c r="N1723" s="112"/>
      <c r="O1723" s="112"/>
      <c r="P1723" s="112" t="s">
        <v>1485</v>
      </c>
      <c r="Q1723" s="112" t="s">
        <v>1228</v>
      </c>
    </row>
    <row r="1724" spans="2:17" hidden="1" outlineLevel="2">
      <c r="B1724" s="2" t="s">
        <v>876</v>
      </c>
      <c r="D1724" s="268">
        <v>2879</v>
      </c>
      <c r="E1724" s="114" t="s">
        <v>208</v>
      </c>
      <c r="F1724" s="114" t="s">
        <v>2180</v>
      </c>
      <c r="G1724" s="221" t="s">
        <v>1512</v>
      </c>
      <c r="H1724" s="114" t="s">
        <v>1505</v>
      </c>
      <c r="I1724" s="114"/>
      <c r="J1724" s="114" t="b">
        <v>0</v>
      </c>
      <c r="K1724" s="114"/>
      <c r="L1724" s="114"/>
      <c r="M1724" s="114"/>
      <c r="N1724" s="114"/>
      <c r="O1724" s="114"/>
      <c r="P1724" s="114" t="s">
        <v>1485</v>
      </c>
      <c r="Q1724" s="114" t="s">
        <v>1228</v>
      </c>
    </row>
    <row r="1725" spans="2:17" hidden="1" outlineLevel="2">
      <c r="B1725" s="2" t="s">
        <v>876</v>
      </c>
      <c r="D1725" s="270">
        <v>2880</v>
      </c>
      <c r="E1725" s="112" t="s">
        <v>208</v>
      </c>
      <c r="F1725" s="112" t="s">
        <v>2181</v>
      </c>
      <c r="G1725" s="269" t="s">
        <v>1493</v>
      </c>
      <c r="H1725" s="112" t="s">
        <v>1533</v>
      </c>
      <c r="I1725" s="112"/>
      <c r="J1725" s="112" t="b">
        <v>0</v>
      </c>
      <c r="K1725" s="112" t="s">
        <v>1552</v>
      </c>
      <c r="L1725" s="112" t="b">
        <v>1</v>
      </c>
      <c r="M1725" s="112"/>
      <c r="N1725" s="112"/>
      <c r="O1725" s="112"/>
      <c r="P1725" s="112" t="s">
        <v>1485</v>
      </c>
      <c r="Q1725" s="112" t="s">
        <v>1228</v>
      </c>
    </row>
    <row r="1726" spans="2:17" hidden="1" outlineLevel="2">
      <c r="B1726" s="2" t="s">
        <v>876</v>
      </c>
      <c r="D1726" s="273">
        <v>2890</v>
      </c>
      <c r="E1726" s="112" t="s">
        <v>208</v>
      </c>
      <c r="F1726" s="112" t="s">
        <v>2182</v>
      </c>
      <c r="G1726" s="112" t="s">
        <v>1533</v>
      </c>
      <c r="H1726" s="112" t="s">
        <v>1533</v>
      </c>
      <c r="I1726" s="112"/>
      <c r="J1726" s="112" t="b">
        <v>0</v>
      </c>
      <c r="K1726" s="112"/>
      <c r="L1726" s="112"/>
      <c r="M1726" s="112"/>
      <c r="N1726" s="112"/>
      <c r="O1726" s="112"/>
      <c r="P1726" s="112" t="s">
        <v>1485</v>
      </c>
      <c r="Q1726" s="112" t="s">
        <v>1228</v>
      </c>
    </row>
    <row r="1727" spans="2:17" hidden="1" outlineLevel="2">
      <c r="B1727" s="2" t="s">
        <v>876</v>
      </c>
      <c r="D1727" s="268">
        <v>2898</v>
      </c>
      <c r="E1727" s="114" t="s">
        <v>208</v>
      </c>
      <c r="F1727" s="114" t="s">
        <v>2183</v>
      </c>
      <c r="G1727" s="114" t="s">
        <v>1533</v>
      </c>
      <c r="H1727" s="114" t="s">
        <v>1533</v>
      </c>
      <c r="I1727" s="114"/>
      <c r="J1727" s="114" t="b">
        <v>0</v>
      </c>
      <c r="K1727" s="114"/>
      <c r="L1727" s="114"/>
      <c r="M1727" s="114"/>
      <c r="N1727" s="114"/>
      <c r="O1727" s="114"/>
      <c r="P1727" s="114" t="s">
        <v>1485</v>
      </c>
      <c r="Q1727" s="114" t="s">
        <v>1228</v>
      </c>
    </row>
    <row r="1728" spans="2:17" hidden="1" outlineLevel="2">
      <c r="B1728" s="2" t="s">
        <v>876</v>
      </c>
      <c r="D1728" s="270">
        <v>2899</v>
      </c>
      <c r="E1728" s="112" t="s">
        <v>208</v>
      </c>
      <c r="F1728" s="112" t="s">
        <v>2184</v>
      </c>
      <c r="G1728" s="112" t="s">
        <v>1533</v>
      </c>
      <c r="H1728" s="112" t="s">
        <v>1533</v>
      </c>
      <c r="I1728" s="112"/>
      <c r="J1728" s="112" t="b">
        <v>0</v>
      </c>
      <c r="K1728" s="112"/>
      <c r="L1728" s="112"/>
      <c r="M1728" s="112"/>
      <c r="N1728" s="112"/>
      <c r="O1728" s="112"/>
      <c r="P1728" s="112" t="s">
        <v>1485</v>
      </c>
      <c r="Q1728" s="112" t="s">
        <v>1228</v>
      </c>
    </row>
    <row r="1729" spans="2:17" hidden="1" outlineLevel="2">
      <c r="B1729" s="2" t="s">
        <v>876</v>
      </c>
      <c r="D1729" s="268">
        <v>2900</v>
      </c>
      <c r="E1729" s="114" t="s">
        <v>205</v>
      </c>
      <c r="F1729" s="114" t="s">
        <v>2185</v>
      </c>
      <c r="G1729" s="114" t="s">
        <v>1572</v>
      </c>
      <c r="H1729" s="114" t="s">
        <v>1227</v>
      </c>
      <c r="I1729" s="114"/>
      <c r="J1729" s="114" t="b">
        <v>0</v>
      </c>
      <c r="K1729" s="114"/>
      <c r="L1729" s="114"/>
      <c r="M1729" s="114"/>
      <c r="N1729" s="114"/>
      <c r="O1729" s="114"/>
      <c r="P1729" s="114" t="s">
        <v>1485</v>
      </c>
      <c r="Q1729" s="114" t="s">
        <v>1227</v>
      </c>
    </row>
    <row r="1730" spans="2:17" hidden="1" outlineLevel="2">
      <c r="B1730" s="2" t="s">
        <v>876</v>
      </c>
      <c r="D1730" s="270">
        <v>2902</v>
      </c>
      <c r="E1730" s="112" t="s">
        <v>205</v>
      </c>
      <c r="F1730" s="112" t="s">
        <v>2186</v>
      </c>
      <c r="G1730" s="112" t="s">
        <v>1572</v>
      </c>
      <c r="H1730" s="112" t="s">
        <v>1227</v>
      </c>
      <c r="I1730" s="112"/>
      <c r="J1730" s="112" t="b">
        <v>0</v>
      </c>
      <c r="K1730" s="112"/>
      <c r="L1730" s="112"/>
      <c r="M1730" s="112"/>
      <c r="N1730" s="112"/>
      <c r="O1730" s="112"/>
      <c r="P1730" s="112" t="s">
        <v>1485</v>
      </c>
      <c r="Q1730" s="112" t="s">
        <v>1227</v>
      </c>
    </row>
    <row r="1731" spans="2:17" hidden="1" outlineLevel="2">
      <c r="B1731" s="2" t="s">
        <v>876</v>
      </c>
      <c r="D1731" s="268">
        <v>2903</v>
      </c>
      <c r="E1731" s="114" t="s">
        <v>205</v>
      </c>
      <c r="F1731" s="114" t="s">
        <v>2187</v>
      </c>
      <c r="G1731" s="114" t="s">
        <v>1572</v>
      </c>
      <c r="H1731" s="114" t="s">
        <v>1227</v>
      </c>
      <c r="I1731" s="114"/>
      <c r="J1731" s="114" t="b">
        <v>0</v>
      </c>
      <c r="K1731" s="114"/>
      <c r="L1731" s="114"/>
      <c r="M1731" s="114"/>
      <c r="N1731" s="114"/>
      <c r="O1731" s="114"/>
      <c r="P1731" s="114" t="s">
        <v>1485</v>
      </c>
      <c r="Q1731" s="114" t="s">
        <v>1227</v>
      </c>
    </row>
    <row r="1732" spans="2:17" hidden="1" outlineLevel="2">
      <c r="B1732" s="2" t="s">
        <v>876</v>
      </c>
      <c r="D1732" s="270">
        <v>2904</v>
      </c>
      <c r="E1732" s="112" t="s">
        <v>205</v>
      </c>
      <c r="F1732" s="112" t="s">
        <v>2188</v>
      </c>
      <c r="G1732" s="112" t="s">
        <v>1572</v>
      </c>
      <c r="H1732" s="112" t="s">
        <v>1227</v>
      </c>
      <c r="I1732" s="112"/>
      <c r="J1732" s="112" t="b">
        <v>0</v>
      </c>
      <c r="K1732" s="112"/>
      <c r="L1732" s="112"/>
      <c r="M1732" s="112"/>
      <c r="N1732" s="112"/>
      <c r="O1732" s="112"/>
      <c r="P1732" s="112" t="s">
        <v>1485</v>
      </c>
      <c r="Q1732" s="112" t="s">
        <v>1227</v>
      </c>
    </row>
    <row r="1733" spans="2:17" hidden="1" outlineLevel="2">
      <c r="B1733" s="2" t="s">
        <v>876</v>
      </c>
      <c r="D1733" s="268">
        <v>2905</v>
      </c>
      <c r="E1733" s="114" t="s">
        <v>205</v>
      </c>
      <c r="F1733" s="114" t="s">
        <v>2189</v>
      </c>
      <c r="G1733" s="114" t="s">
        <v>1572</v>
      </c>
      <c r="H1733" s="114" t="s">
        <v>1227</v>
      </c>
      <c r="I1733" s="114"/>
      <c r="J1733" s="114" t="b">
        <v>0</v>
      </c>
      <c r="K1733" s="114"/>
      <c r="L1733" s="114"/>
      <c r="M1733" s="114"/>
      <c r="N1733" s="114"/>
      <c r="O1733" s="114"/>
      <c r="P1733" s="114" t="s">
        <v>1485</v>
      </c>
      <c r="Q1733" s="114" t="s">
        <v>1227</v>
      </c>
    </row>
    <row r="1734" spans="2:17" hidden="1" outlineLevel="2">
      <c r="B1734" s="2" t="s">
        <v>876</v>
      </c>
      <c r="D1734" s="270">
        <v>2906</v>
      </c>
      <c r="E1734" s="112" t="s">
        <v>205</v>
      </c>
      <c r="F1734" s="112" t="s">
        <v>2190</v>
      </c>
      <c r="G1734" s="112" t="s">
        <v>1572</v>
      </c>
      <c r="H1734" s="112" t="s">
        <v>1227</v>
      </c>
      <c r="I1734" s="112"/>
      <c r="J1734" s="112" t="b">
        <v>0</v>
      </c>
      <c r="K1734" s="112"/>
      <c r="L1734" s="112"/>
      <c r="M1734" s="112"/>
      <c r="N1734" s="112"/>
      <c r="O1734" s="112"/>
      <c r="P1734" s="112" t="s">
        <v>1485</v>
      </c>
      <c r="Q1734" s="112" t="s">
        <v>1227</v>
      </c>
    </row>
    <row r="1735" spans="2:17" hidden="1" outlineLevel="2">
      <c r="B1735" s="2" t="s">
        <v>876</v>
      </c>
      <c r="D1735" s="268">
        <v>2911</v>
      </c>
      <c r="E1735" s="114" t="s">
        <v>205</v>
      </c>
      <c r="F1735" s="114" t="s">
        <v>2191</v>
      </c>
      <c r="G1735" s="114" t="s">
        <v>1572</v>
      </c>
      <c r="H1735" s="114" t="s">
        <v>1227</v>
      </c>
      <c r="I1735" s="114"/>
      <c r="J1735" s="114" t="b">
        <v>0</v>
      </c>
      <c r="K1735" s="114"/>
      <c r="L1735" s="114"/>
      <c r="M1735" s="114"/>
      <c r="N1735" s="114"/>
      <c r="O1735" s="114"/>
      <c r="P1735" s="114" t="s">
        <v>1485</v>
      </c>
      <c r="Q1735" s="114" t="s">
        <v>1227</v>
      </c>
    </row>
    <row r="1736" spans="2:17" hidden="1" outlineLevel="2">
      <c r="B1736" s="2" t="s">
        <v>876</v>
      </c>
      <c r="D1736" s="270">
        <v>2912</v>
      </c>
      <c r="E1736" s="112" t="s">
        <v>205</v>
      </c>
      <c r="F1736" s="112" t="s">
        <v>2192</v>
      </c>
      <c r="G1736" s="112" t="s">
        <v>1572</v>
      </c>
      <c r="H1736" s="112" t="s">
        <v>1227</v>
      </c>
      <c r="I1736" s="112"/>
      <c r="J1736" s="112" t="b">
        <v>0</v>
      </c>
      <c r="K1736" s="112"/>
      <c r="L1736" s="112"/>
      <c r="M1736" s="112"/>
      <c r="N1736" s="112"/>
      <c r="O1736" s="112"/>
      <c r="P1736" s="112" t="s">
        <v>1485</v>
      </c>
      <c r="Q1736" s="112" t="s">
        <v>1227</v>
      </c>
    </row>
    <row r="1737" spans="2:17" hidden="1" outlineLevel="2">
      <c r="B1737" s="2" t="s">
        <v>876</v>
      </c>
      <c r="D1737" s="268">
        <v>2913</v>
      </c>
      <c r="E1737" s="114" t="s">
        <v>205</v>
      </c>
      <c r="F1737" s="114" t="s">
        <v>2193</v>
      </c>
      <c r="G1737" s="114" t="s">
        <v>1572</v>
      </c>
      <c r="H1737" s="114" t="s">
        <v>1227</v>
      </c>
      <c r="I1737" s="114"/>
      <c r="J1737" s="114" t="b">
        <v>0</v>
      </c>
      <c r="K1737" s="114"/>
      <c r="L1737" s="114"/>
      <c r="M1737" s="114"/>
      <c r="N1737" s="114"/>
      <c r="O1737" s="114"/>
      <c r="P1737" s="114" t="s">
        <v>1485</v>
      </c>
      <c r="Q1737" s="114" t="s">
        <v>1227</v>
      </c>
    </row>
    <row r="1738" spans="2:17" hidden="1" outlineLevel="2">
      <c r="B1738" s="2" t="s">
        <v>876</v>
      </c>
      <c r="D1738" s="270">
        <v>2914</v>
      </c>
      <c r="E1738" s="112" t="s">
        <v>205</v>
      </c>
      <c r="F1738" s="112" t="s">
        <v>2168</v>
      </c>
      <c r="G1738" s="112" t="s">
        <v>1572</v>
      </c>
      <c r="H1738" s="112" t="s">
        <v>1227</v>
      </c>
      <c r="I1738" s="112"/>
      <c r="J1738" s="112" t="b">
        <v>0</v>
      </c>
      <c r="K1738" s="112"/>
      <c r="L1738" s="112"/>
      <c r="M1738" s="112"/>
      <c r="N1738" s="112"/>
      <c r="O1738" s="112"/>
      <c r="P1738" s="112" t="s">
        <v>1485</v>
      </c>
      <c r="Q1738" s="112" t="s">
        <v>1227</v>
      </c>
    </row>
    <row r="1739" spans="2:17" hidden="1" outlineLevel="2">
      <c r="B1739" s="2" t="s">
        <v>876</v>
      </c>
      <c r="D1739" s="268">
        <v>3000</v>
      </c>
      <c r="E1739" s="114" t="s">
        <v>220</v>
      </c>
      <c r="F1739" s="114" t="s">
        <v>2194</v>
      </c>
      <c r="G1739" s="221" t="s">
        <v>1572</v>
      </c>
      <c r="H1739" s="114" t="s">
        <v>1227</v>
      </c>
      <c r="I1739" s="114" t="s">
        <v>2195</v>
      </c>
      <c r="J1739" s="114" t="b">
        <v>0</v>
      </c>
      <c r="K1739" s="114"/>
      <c r="L1739" s="114"/>
      <c r="M1739" s="114"/>
      <c r="N1739" s="114"/>
      <c r="O1739" s="114"/>
      <c r="P1739" s="114" t="s">
        <v>2196</v>
      </c>
      <c r="Q1739" s="114" t="s">
        <v>1227</v>
      </c>
    </row>
    <row r="1740" spans="2:17" hidden="1" outlineLevel="2">
      <c r="B1740" s="2" t="s">
        <v>876</v>
      </c>
      <c r="D1740" s="270">
        <v>3002</v>
      </c>
      <c r="E1740" s="112" t="s">
        <v>220</v>
      </c>
      <c r="F1740" s="112" t="s">
        <v>2197</v>
      </c>
      <c r="G1740" s="221" t="s">
        <v>1572</v>
      </c>
      <c r="H1740" s="112" t="s">
        <v>1227</v>
      </c>
      <c r="I1740" s="112" t="s">
        <v>2195</v>
      </c>
      <c r="J1740" s="112" t="b">
        <v>0</v>
      </c>
      <c r="K1740" s="112"/>
      <c r="L1740" s="112"/>
      <c r="M1740" s="112"/>
      <c r="N1740" s="691" t="b">
        <v>1</v>
      </c>
      <c r="O1740" s="112"/>
      <c r="P1740" s="112" t="s">
        <v>2196</v>
      </c>
      <c r="Q1740" s="112" t="s">
        <v>1227</v>
      </c>
    </row>
    <row r="1741" spans="2:17" hidden="1" outlineLevel="2">
      <c r="B1741" s="2" t="s">
        <v>876</v>
      </c>
      <c r="D1741" s="268">
        <v>3003</v>
      </c>
      <c r="E1741" s="114" t="s">
        <v>220</v>
      </c>
      <c r="F1741" s="114" t="s">
        <v>2198</v>
      </c>
      <c r="G1741" s="221" t="s">
        <v>1572</v>
      </c>
      <c r="H1741" s="114" t="s">
        <v>1227</v>
      </c>
      <c r="I1741" s="114" t="s">
        <v>2195</v>
      </c>
      <c r="J1741" s="114" t="b">
        <v>0</v>
      </c>
      <c r="K1741" s="114"/>
      <c r="L1741" s="114"/>
      <c r="M1741" s="114"/>
      <c r="N1741" s="114"/>
      <c r="O1741" s="114"/>
      <c r="P1741" s="114" t="s">
        <v>2196</v>
      </c>
      <c r="Q1741" s="114" t="s">
        <v>1227</v>
      </c>
    </row>
    <row r="1742" spans="2:17" hidden="1" outlineLevel="2">
      <c r="B1742" s="2" t="s">
        <v>876</v>
      </c>
      <c r="D1742" s="270">
        <v>3004</v>
      </c>
      <c r="E1742" s="112" t="s">
        <v>220</v>
      </c>
      <c r="F1742" s="112" t="s">
        <v>2194</v>
      </c>
      <c r="G1742" s="221" t="s">
        <v>1572</v>
      </c>
      <c r="H1742" s="112" t="s">
        <v>1227</v>
      </c>
      <c r="I1742" s="112" t="s">
        <v>2195</v>
      </c>
      <c r="J1742" s="112" t="b">
        <v>0</v>
      </c>
      <c r="K1742" s="112"/>
      <c r="L1742" s="112"/>
      <c r="M1742" s="112"/>
      <c r="N1742" s="112"/>
      <c r="O1742" s="112"/>
      <c r="P1742" s="112" t="s">
        <v>2196</v>
      </c>
      <c r="Q1742" s="112" t="s">
        <v>1227</v>
      </c>
    </row>
    <row r="1743" spans="2:17" hidden="1" outlineLevel="2">
      <c r="B1743" s="2" t="s">
        <v>876</v>
      </c>
      <c r="D1743" s="268">
        <v>3005</v>
      </c>
      <c r="E1743" s="114" t="s">
        <v>220</v>
      </c>
      <c r="F1743" s="114" t="s">
        <v>2199</v>
      </c>
      <c r="G1743" s="114" t="s">
        <v>1533</v>
      </c>
      <c r="H1743" s="114" t="s">
        <v>1533</v>
      </c>
      <c r="I1743" s="114"/>
      <c r="J1743" s="114" t="b">
        <v>0</v>
      </c>
      <c r="K1743" s="114"/>
      <c r="L1743" s="114"/>
      <c r="M1743" s="114"/>
      <c r="N1743" s="114"/>
      <c r="O1743" s="114"/>
      <c r="P1743" s="114" t="s">
        <v>2196</v>
      </c>
      <c r="Q1743" s="114" t="s">
        <v>1227</v>
      </c>
    </row>
    <row r="1744" spans="2:17" hidden="1" outlineLevel="2">
      <c r="B1744" s="2" t="s">
        <v>876</v>
      </c>
      <c r="D1744" s="270">
        <v>3006</v>
      </c>
      <c r="E1744" s="112" t="s">
        <v>220</v>
      </c>
      <c r="F1744" s="112" t="s">
        <v>2200</v>
      </c>
      <c r="G1744" s="221" t="s">
        <v>1572</v>
      </c>
      <c r="H1744" s="112" t="s">
        <v>1227</v>
      </c>
      <c r="I1744" s="112" t="s">
        <v>2195</v>
      </c>
      <c r="J1744" s="112" t="b">
        <v>0</v>
      </c>
      <c r="K1744" s="112"/>
      <c r="L1744" s="112"/>
      <c r="M1744" s="112"/>
      <c r="N1744" s="112"/>
      <c r="O1744" s="112"/>
      <c r="P1744" s="112" t="s">
        <v>2196</v>
      </c>
      <c r="Q1744" s="112" t="s">
        <v>1227</v>
      </c>
    </row>
    <row r="1745" spans="2:17" hidden="1" outlineLevel="2">
      <c r="B1745" s="2" t="s">
        <v>876</v>
      </c>
      <c r="D1745" s="268">
        <v>3008</v>
      </c>
      <c r="E1745" s="114" t="s">
        <v>220</v>
      </c>
      <c r="F1745" s="114" t="s">
        <v>2201</v>
      </c>
      <c r="G1745" s="221" t="s">
        <v>1572</v>
      </c>
      <c r="H1745" s="114" t="s">
        <v>1227</v>
      </c>
      <c r="I1745" s="114" t="s">
        <v>2195</v>
      </c>
      <c r="J1745" s="114" t="b">
        <v>0</v>
      </c>
      <c r="K1745" s="114"/>
      <c r="L1745" s="114"/>
      <c r="M1745" s="114"/>
      <c r="N1745" s="691" t="b">
        <v>1</v>
      </c>
      <c r="O1745" s="114"/>
      <c r="P1745" s="114" t="s">
        <v>2196</v>
      </c>
      <c r="Q1745" s="114" t="s">
        <v>1227</v>
      </c>
    </row>
    <row r="1746" spans="2:17" hidden="1" outlineLevel="2">
      <c r="B1746" s="2" t="s">
        <v>876</v>
      </c>
      <c r="D1746" s="270">
        <v>3010</v>
      </c>
      <c r="E1746" s="112" t="s">
        <v>220</v>
      </c>
      <c r="F1746" s="112" t="s">
        <v>2202</v>
      </c>
      <c r="G1746" s="112" t="s">
        <v>1533</v>
      </c>
      <c r="H1746" s="112" t="s">
        <v>1533</v>
      </c>
      <c r="I1746" s="112"/>
      <c r="J1746" s="112" t="b">
        <v>0</v>
      </c>
      <c r="K1746" s="112"/>
      <c r="L1746" s="112"/>
      <c r="M1746" s="112"/>
      <c r="N1746" s="112"/>
      <c r="O1746" s="112"/>
      <c r="P1746" s="112" t="s">
        <v>2196</v>
      </c>
      <c r="Q1746" s="112" t="s">
        <v>1227</v>
      </c>
    </row>
    <row r="1747" spans="2:17" hidden="1" outlineLevel="2">
      <c r="B1747" s="2" t="s">
        <v>876</v>
      </c>
      <c r="D1747" s="268">
        <v>3011</v>
      </c>
      <c r="E1747" s="114" t="s">
        <v>220</v>
      </c>
      <c r="F1747" s="114" t="s">
        <v>2203</v>
      </c>
      <c r="G1747" s="114" t="s">
        <v>1572</v>
      </c>
      <c r="H1747" s="114" t="s">
        <v>1227</v>
      </c>
      <c r="I1747" s="114"/>
      <c r="J1747" s="114" t="b">
        <v>0</v>
      </c>
      <c r="K1747" s="114"/>
      <c r="L1747" s="114"/>
      <c r="M1747" s="114"/>
      <c r="N1747" s="114"/>
      <c r="O1747" s="114"/>
      <c r="P1747" s="114" t="s">
        <v>2196</v>
      </c>
      <c r="Q1747" s="114" t="s">
        <v>1227</v>
      </c>
    </row>
    <row r="1748" spans="2:17" hidden="1" outlineLevel="2">
      <c r="B1748" s="2" t="s">
        <v>876</v>
      </c>
      <c r="D1748" s="270">
        <v>3012</v>
      </c>
      <c r="E1748" s="112" t="s">
        <v>220</v>
      </c>
      <c r="F1748" s="112" t="s">
        <v>2204</v>
      </c>
      <c r="G1748" s="112" t="s">
        <v>1572</v>
      </c>
      <c r="H1748" s="112" t="s">
        <v>1227</v>
      </c>
      <c r="I1748" s="112"/>
      <c r="J1748" s="112" t="b">
        <v>0</v>
      </c>
      <c r="K1748" s="112"/>
      <c r="L1748" s="112"/>
      <c r="M1748" s="112"/>
      <c r="N1748" s="112"/>
      <c r="O1748" s="112"/>
      <c r="P1748" s="112" t="s">
        <v>2196</v>
      </c>
      <c r="Q1748" s="112" t="s">
        <v>1227</v>
      </c>
    </row>
    <row r="1749" spans="2:17" hidden="1" outlineLevel="2">
      <c r="B1749" s="2" t="s">
        <v>876</v>
      </c>
      <c r="D1749" s="268">
        <v>3013</v>
      </c>
      <c r="E1749" s="114" t="s">
        <v>220</v>
      </c>
      <c r="F1749" s="114" t="s">
        <v>2205</v>
      </c>
      <c r="G1749" s="114" t="s">
        <v>1572</v>
      </c>
      <c r="H1749" s="114" t="s">
        <v>1227</v>
      </c>
      <c r="I1749" s="114"/>
      <c r="J1749" s="114" t="b">
        <v>0</v>
      </c>
      <c r="K1749" s="114"/>
      <c r="L1749" s="114"/>
      <c r="M1749" s="114"/>
      <c r="N1749" s="114"/>
      <c r="O1749" s="114"/>
      <c r="P1749" s="114" t="s">
        <v>2196</v>
      </c>
      <c r="Q1749" s="114" t="s">
        <v>1227</v>
      </c>
    </row>
    <row r="1750" spans="2:17" hidden="1" outlineLevel="2">
      <c r="B1750" s="2" t="s">
        <v>876</v>
      </c>
      <c r="D1750" s="270">
        <v>3015</v>
      </c>
      <c r="E1750" s="112" t="s">
        <v>220</v>
      </c>
      <c r="F1750" s="112" t="s">
        <v>1643</v>
      </c>
      <c r="G1750" s="112" t="s">
        <v>1572</v>
      </c>
      <c r="H1750" s="112" t="s">
        <v>1227</v>
      </c>
      <c r="I1750" s="112"/>
      <c r="J1750" s="112" t="b">
        <v>0</v>
      </c>
      <c r="K1750" s="112"/>
      <c r="L1750" s="112"/>
      <c r="M1750" s="112"/>
      <c r="N1750" s="112"/>
      <c r="O1750" s="112"/>
      <c r="P1750" s="112" t="s">
        <v>2196</v>
      </c>
      <c r="Q1750" s="112" t="s">
        <v>1227</v>
      </c>
    </row>
    <row r="1751" spans="2:17" hidden="1" outlineLevel="2">
      <c r="B1751" s="2" t="s">
        <v>876</v>
      </c>
      <c r="D1751" s="268">
        <v>3016</v>
      </c>
      <c r="E1751" s="114" t="s">
        <v>220</v>
      </c>
      <c r="F1751" s="114" t="s">
        <v>2206</v>
      </c>
      <c r="G1751" s="114" t="s">
        <v>1572</v>
      </c>
      <c r="H1751" s="114" t="s">
        <v>1227</v>
      </c>
      <c r="I1751" s="114"/>
      <c r="J1751" s="114" t="b">
        <v>0</v>
      </c>
      <c r="K1751" s="114"/>
      <c r="L1751" s="114"/>
      <c r="M1751" s="114"/>
      <c r="N1751" s="114"/>
      <c r="O1751" s="114"/>
      <c r="P1751" s="114" t="s">
        <v>2196</v>
      </c>
      <c r="Q1751" s="114" t="s">
        <v>1227</v>
      </c>
    </row>
    <row r="1752" spans="2:17" hidden="1" outlineLevel="2">
      <c r="B1752" s="2" t="s">
        <v>876</v>
      </c>
      <c r="D1752" s="270">
        <v>3018</v>
      </c>
      <c r="E1752" s="112" t="s">
        <v>220</v>
      </c>
      <c r="F1752" s="112" t="s">
        <v>2207</v>
      </c>
      <c r="G1752" s="112" t="s">
        <v>1572</v>
      </c>
      <c r="H1752" s="112" t="s">
        <v>1227</v>
      </c>
      <c r="I1752" s="112"/>
      <c r="J1752" s="112" t="b">
        <v>0</v>
      </c>
      <c r="K1752" s="112"/>
      <c r="L1752" s="112"/>
      <c r="M1752" s="112"/>
      <c r="N1752" s="112"/>
      <c r="O1752" s="112"/>
      <c r="P1752" s="112" t="s">
        <v>2196</v>
      </c>
      <c r="Q1752" s="112" t="s">
        <v>1227</v>
      </c>
    </row>
    <row r="1753" spans="2:17" hidden="1" outlineLevel="2">
      <c r="B1753" s="2" t="s">
        <v>876</v>
      </c>
      <c r="D1753" s="268">
        <v>3019</v>
      </c>
      <c r="E1753" s="114" t="s">
        <v>220</v>
      </c>
      <c r="F1753" s="114" t="s">
        <v>2208</v>
      </c>
      <c r="G1753" s="114" t="s">
        <v>1572</v>
      </c>
      <c r="H1753" s="114" t="s">
        <v>1227</v>
      </c>
      <c r="I1753" s="114"/>
      <c r="J1753" s="114" t="b">
        <v>0</v>
      </c>
      <c r="K1753" s="114"/>
      <c r="L1753" s="114"/>
      <c r="M1753" s="114"/>
      <c r="N1753" s="114"/>
      <c r="O1753" s="114"/>
      <c r="P1753" s="114" t="s">
        <v>2196</v>
      </c>
      <c r="Q1753" s="114" t="s">
        <v>1227</v>
      </c>
    </row>
    <row r="1754" spans="2:17" hidden="1" outlineLevel="2">
      <c r="B1754" s="2" t="s">
        <v>876</v>
      </c>
      <c r="D1754" s="270">
        <v>3020</v>
      </c>
      <c r="E1754" s="112" t="s">
        <v>220</v>
      </c>
      <c r="F1754" s="112" t="s">
        <v>2209</v>
      </c>
      <c r="G1754" s="112" t="s">
        <v>1572</v>
      </c>
      <c r="H1754" s="112" t="s">
        <v>1227</v>
      </c>
      <c r="I1754" s="112"/>
      <c r="J1754" s="112" t="b">
        <v>0</v>
      </c>
      <c r="K1754" s="112"/>
      <c r="L1754" s="112"/>
      <c r="M1754" s="112"/>
      <c r="N1754" s="112"/>
      <c r="O1754" s="112"/>
      <c r="P1754" s="112" t="s">
        <v>2196</v>
      </c>
      <c r="Q1754" s="112" t="s">
        <v>1227</v>
      </c>
    </row>
    <row r="1755" spans="2:17" hidden="1" outlineLevel="2">
      <c r="B1755" s="2" t="s">
        <v>876</v>
      </c>
      <c r="D1755" s="268">
        <v>3021</v>
      </c>
      <c r="E1755" s="114" t="s">
        <v>220</v>
      </c>
      <c r="F1755" s="114" t="s">
        <v>2210</v>
      </c>
      <c r="G1755" s="114" t="s">
        <v>1572</v>
      </c>
      <c r="H1755" s="114" t="s">
        <v>1227</v>
      </c>
      <c r="I1755" s="114"/>
      <c r="J1755" s="114" t="b">
        <v>0</v>
      </c>
      <c r="K1755" s="114"/>
      <c r="L1755" s="114"/>
      <c r="M1755" s="114"/>
      <c r="N1755" s="114"/>
      <c r="O1755" s="114"/>
      <c r="P1755" s="114" t="s">
        <v>2196</v>
      </c>
      <c r="Q1755" s="114" t="s">
        <v>1227</v>
      </c>
    </row>
    <row r="1756" spans="2:17" hidden="1" outlineLevel="2">
      <c r="B1756" s="2" t="s">
        <v>876</v>
      </c>
      <c r="D1756" s="270">
        <v>3022</v>
      </c>
      <c r="E1756" s="112" t="s">
        <v>220</v>
      </c>
      <c r="F1756" s="112" t="s">
        <v>2211</v>
      </c>
      <c r="G1756" s="112" t="s">
        <v>1572</v>
      </c>
      <c r="H1756" s="112" t="s">
        <v>1227</v>
      </c>
      <c r="I1756" s="112"/>
      <c r="J1756" s="112" t="b">
        <v>0</v>
      </c>
      <c r="K1756" s="112"/>
      <c r="L1756" s="112"/>
      <c r="M1756" s="112"/>
      <c r="N1756" s="112"/>
      <c r="O1756" s="112"/>
      <c r="P1756" s="112" t="s">
        <v>2196</v>
      </c>
      <c r="Q1756" s="112" t="s">
        <v>1227</v>
      </c>
    </row>
    <row r="1757" spans="2:17" hidden="1" outlineLevel="2">
      <c r="B1757" s="2" t="s">
        <v>876</v>
      </c>
      <c r="D1757" s="268">
        <v>3023</v>
      </c>
      <c r="E1757" s="114" t="s">
        <v>220</v>
      </c>
      <c r="F1757" s="114" t="s">
        <v>2212</v>
      </c>
      <c r="G1757" s="114" t="s">
        <v>1572</v>
      </c>
      <c r="H1757" s="114" t="s">
        <v>1227</v>
      </c>
      <c r="I1757" s="114"/>
      <c r="J1757" s="114" t="b">
        <v>0</v>
      </c>
      <c r="K1757" s="114"/>
      <c r="L1757" s="114"/>
      <c r="M1757" s="114"/>
      <c r="N1757" s="114"/>
      <c r="O1757" s="114"/>
      <c r="P1757" s="114" t="s">
        <v>2196</v>
      </c>
      <c r="Q1757" s="114" t="s">
        <v>1227</v>
      </c>
    </row>
    <row r="1758" spans="2:17" hidden="1" outlineLevel="2">
      <c r="B1758" s="2" t="s">
        <v>876</v>
      </c>
      <c r="D1758" s="270">
        <v>3024</v>
      </c>
      <c r="E1758" s="112" t="s">
        <v>220</v>
      </c>
      <c r="F1758" s="112" t="s">
        <v>2213</v>
      </c>
      <c r="G1758" s="112" t="s">
        <v>1572</v>
      </c>
      <c r="H1758" s="112" t="s">
        <v>1227</v>
      </c>
      <c r="I1758" s="112"/>
      <c r="J1758" s="112" t="b">
        <v>0</v>
      </c>
      <c r="K1758" s="112"/>
      <c r="L1758" s="112"/>
      <c r="M1758" s="112"/>
      <c r="N1758" s="112"/>
      <c r="O1758" s="112"/>
      <c r="P1758" s="112" t="s">
        <v>2196</v>
      </c>
      <c r="Q1758" s="112" t="s">
        <v>1227</v>
      </c>
    </row>
    <row r="1759" spans="2:17" hidden="1" outlineLevel="2">
      <c r="B1759" s="2" t="s">
        <v>876</v>
      </c>
      <c r="D1759" s="268">
        <v>3025</v>
      </c>
      <c r="E1759" s="114" t="s">
        <v>220</v>
      </c>
      <c r="F1759" s="114" t="s">
        <v>2214</v>
      </c>
      <c r="G1759" s="114" t="s">
        <v>1572</v>
      </c>
      <c r="H1759" s="114" t="s">
        <v>1227</v>
      </c>
      <c r="I1759" s="114"/>
      <c r="J1759" s="114" t="b">
        <v>0</v>
      </c>
      <c r="K1759" s="114"/>
      <c r="L1759" s="114"/>
      <c r="M1759" s="114"/>
      <c r="N1759" s="114"/>
      <c r="O1759" s="114"/>
      <c r="P1759" s="114" t="s">
        <v>2196</v>
      </c>
      <c r="Q1759" s="114" t="s">
        <v>1227</v>
      </c>
    </row>
    <row r="1760" spans="2:17" hidden="1" outlineLevel="2">
      <c r="B1760" s="2" t="s">
        <v>876</v>
      </c>
      <c r="D1760" s="270">
        <v>3026</v>
      </c>
      <c r="E1760" s="112" t="s">
        <v>220</v>
      </c>
      <c r="F1760" s="112" t="s">
        <v>2215</v>
      </c>
      <c r="G1760" s="112" t="s">
        <v>1572</v>
      </c>
      <c r="H1760" s="112" t="s">
        <v>1227</v>
      </c>
      <c r="I1760" s="112"/>
      <c r="J1760" s="112" t="b">
        <v>0</v>
      </c>
      <c r="K1760" s="112"/>
      <c r="L1760" s="112"/>
      <c r="M1760" s="112"/>
      <c r="N1760" s="112"/>
      <c r="O1760" s="112"/>
      <c r="P1760" s="112" t="s">
        <v>2196</v>
      </c>
      <c r="Q1760" s="112" t="s">
        <v>1227</v>
      </c>
    </row>
    <row r="1761" spans="2:17" hidden="1" outlineLevel="2">
      <c r="B1761" s="2" t="s">
        <v>876</v>
      </c>
      <c r="D1761" s="268">
        <v>3027</v>
      </c>
      <c r="E1761" s="114" t="s">
        <v>220</v>
      </c>
      <c r="F1761" s="114" t="s">
        <v>2216</v>
      </c>
      <c r="G1761" s="114" t="s">
        <v>1572</v>
      </c>
      <c r="H1761" s="114" t="s">
        <v>1227</v>
      </c>
      <c r="I1761" s="114"/>
      <c r="J1761" s="114" t="b">
        <v>0</v>
      </c>
      <c r="K1761" s="114"/>
      <c r="L1761" s="114"/>
      <c r="M1761" s="114"/>
      <c r="N1761" s="114"/>
      <c r="O1761" s="114"/>
      <c r="P1761" s="114" t="s">
        <v>2196</v>
      </c>
      <c r="Q1761" s="114" t="s">
        <v>1227</v>
      </c>
    </row>
    <row r="1762" spans="2:17" hidden="1" outlineLevel="2">
      <c r="B1762" s="2" t="s">
        <v>876</v>
      </c>
      <c r="D1762" s="270">
        <v>3028</v>
      </c>
      <c r="E1762" s="112" t="s">
        <v>220</v>
      </c>
      <c r="F1762" s="112" t="s">
        <v>2217</v>
      </c>
      <c r="G1762" s="112" t="s">
        <v>1572</v>
      </c>
      <c r="H1762" s="112" t="s">
        <v>1227</v>
      </c>
      <c r="I1762" s="112"/>
      <c r="J1762" s="112" t="b">
        <v>0</v>
      </c>
      <c r="K1762" s="112"/>
      <c r="L1762" s="112"/>
      <c r="M1762" s="112"/>
      <c r="N1762" s="112"/>
      <c r="O1762" s="112"/>
      <c r="P1762" s="112" t="s">
        <v>2196</v>
      </c>
      <c r="Q1762" s="112" t="s">
        <v>1227</v>
      </c>
    </row>
    <row r="1763" spans="2:17" hidden="1" outlineLevel="2">
      <c r="B1763" s="2" t="s">
        <v>876</v>
      </c>
      <c r="D1763" s="268">
        <v>3029</v>
      </c>
      <c r="E1763" s="114" t="s">
        <v>220</v>
      </c>
      <c r="F1763" s="114" t="s">
        <v>2218</v>
      </c>
      <c r="G1763" s="114" t="s">
        <v>1572</v>
      </c>
      <c r="H1763" s="114" t="s">
        <v>1227</v>
      </c>
      <c r="I1763" s="114"/>
      <c r="J1763" s="114" t="b">
        <v>0</v>
      </c>
      <c r="K1763" s="114"/>
      <c r="L1763" s="114"/>
      <c r="M1763" s="114"/>
      <c r="N1763" s="114"/>
      <c r="O1763" s="114"/>
      <c r="P1763" s="114" t="s">
        <v>2196</v>
      </c>
      <c r="Q1763" s="114" t="s">
        <v>1227</v>
      </c>
    </row>
    <row r="1764" spans="2:17" hidden="1" outlineLevel="2">
      <c r="B1764" s="2" t="s">
        <v>876</v>
      </c>
      <c r="D1764" s="270">
        <v>3030</v>
      </c>
      <c r="E1764" s="112" t="s">
        <v>220</v>
      </c>
      <c r="F1764" s="112" t="s">
        <v>2219</v>
      </c>
      <c r="G1764" s="112" t="s">
        <v>1572</v>
      </c>
      <c r="H1764" s="112" t="s">
        <v>1227</v>
      </c>
      <c r="I1764" s="112"/>
      <c r="J1764" s="112" t="b">
        <v>0</v>
      </c>
      <c r="K1764" s="112"/>
      <c r="L1764" s="112"/>
      <c r="M1764" s="112"/>
      <c r="N1764" s="112"/>
      <c r="O1764" s="112"/>
      <c r="P1764" s="112" t="s">
        <v>2196</v>
      </c>
      <c r="Q1764" s="112" t="s">
        <v>1227</v>
      </c>
    </row>
    <row r="1765" spans="2:17" hidden="1" outlineLevel="2">
      <c r="B1765" s="2" t="s">
        <v>876</v>
      </c>
      <c r="D1765" s="268">
        <v>3031</v>
      </c>
      <c r="E1765" s="114" t="s">
        <v>220</v>
      </c>
      <c r="F1765" s="114" t="s">
        <v>2220</v>
      </c>
      <c r="G1765" s="114" t="s">
        <v>1572</v>
      </c>
      <c r="H1765" s="114" t="s">
        <v>1227</v>
      </c>
      <c r="I1765" s="114"/>
      <c r="J1765" s="114" t="b">
        <v>0</v>
      </c>
      <c r="K1765" s="114"/>
      <c r="L1765" s="114"/>
      <c r="M1765" s="114"/>
      <c r="N1765" s="114"/>
      <c r="O1765" s="114"/>
      <c r="P1765" s="114" t="s">
        <v>2196</v>
      </c>
      <c r="Q1765" s="114" t="s">
        <v>1227</v>
      </c>
    </row>
    <row r="1766" spans="2:17" hidden="1" outlineLevel="2">
      <c r="B1766" s="2" t="s">
        <v>876</v>
      </c>
      <c r="D1766" s="270">
        <v>3032</v>
      </c>
      <c r="E1766" s="112" t="s">
        <v>220</v>
      </c>
      <c r="F1766" s="112" t="s">
        <v>2221</v>
      </c>
      <c r="G1766" s="112" t="s">
        <v>1572</v>
      </c>
      <c r="H1766" s="112" t="s">
        <v>1227</v>
      </c>
      <c r="I1766" s="112"/>
      <c r="J1766" s="112" t="b">
        <v>0</v>
      </c>
      <c r="K1766" s="112"/>
      <c r="L1766" s="112"/>
      <c r="M1766" s="112"/>
      <c r="N1766" s="112"/>
      <c r="O1766" s="112"/>
      <c r="P1766" s="112" t="s">
        <v>2196</v>
      </c>
      <c r="Q1766" s="112" t="s">
        <v>1227</v>
      </c>
    </row>
    <row r="1767" spans="2:17" hidden="1" outlineLevel="2">
      <c r="B1767" s="2" t="s">
        <v>876</v>
      </c>
      <c r="D1767" s="268">
        <v>3033</v>
      </c>
      <c r="E1767" s="114" t="s">
        <v>220</v>
      </c>
      <c r="F1767" s="114" t="s">
        <v>2222</v>
      </c>
      <c r="G1767" s="114" t="s">
        <v>1572</v>
      </c>
      <c r="H1767" s="114" t="s">
        <v>1227</v>
      </c>
      <c r="I1767" s="114"/>
      <c r="J1767" s="114" t="b">
        <v>0</v>
      </c>
      <c r="K1767" s="114"/>
      <c r="L1767" s="114"/>
      <c r="M1767" s="114"/>
      <c r="N1767" s="114"/>
      <c r="O1767" s="114"/>
      <c r="P1767" s="114" t="s">
        <v>2196</v>
      </c>
      <c r="Q1767" s="114" t="s">
        <v>1227</v>
      </c>
    </row>
    <row r="1768" spans="2:17" hidden="1" outlineLevel="2">
      <c r="B1768" s="2" t="s">
        <v>876</v>
      </c>
      <c r="D1768" s="270">
        <v>3034</v>
      </c>
      <c r="E1768" s="112" t="s">
        <v>220</v>
      </c>
      <c r="F1768" s="112" t="s">
        <v>2223</v>
      </c>
      <c r="G1768" s="112" t="s">
        <v>1572</v>
      </c>
      <c r="H1768" s="112" t="s">
        <v>1227</v>
      </c>
      <c r="I1768" s="112"/>
      <c r="J1768" s="112" t="b">
        <v>0</v>
      </c>
      <c r="K1768" s="112"/>
      <c r="L1768" s="112"/>
      <c r="M1768" s="112"/>
      <c r="N1768" s="112"/>
      <c r="O1768" s="112"/>
      <c r="P1768" s="112" t="s">
        <v>2196</v>
      </c>
      <c r="Q1768" s="112" t="s">
        <v>1227</v>
      </c>
    </row>
    <row r="1769" spans="2:17" hidden="1" outlineLevel="2">
      <c r="B1769" s="2" t="s">
        <v>876</v>
      </c>
      <c r="D1769" s="268">
        <v>3036</v>
      </c>
      <c r="E1769" s="114" t="s">
        <v>220</v>
      </c>
      <c r="F1769" s="114" t="s">
        <v>2224</v>
      </c>
      <c r="G1769" s="114" t="s">
        <v>1572</v>
      </c>
      <c r="H1769" s="114" t="s">
        <v>1227</v>
      </c>
      <c r="I1769" s="114"/>
      <c r="J1769" s="114" t="b">
        <v>0</v>
      </c>
      <c r="K1769" s="114"/>
      <c r="L1769" s="114"/>
      <c r="M1769" s="114"/>
      <c r="N1769" s="114"/>
      <c r="O1769" s="114"/>
      <c r="P1769" s="114" t="s">
        <v>2196</v>
      </c>
      <c r="Q1769" s="114" t="s">
        <v>1227</v>
      </c>
    </row>
    <row r="1770" spans="2:17" hidden="1" outlineLevel="2">
      <c r="B1770" s="2" t="s">
        <v>876</v>
      </c>
      <c r="D1770" s="270">
        <v>3037</v>
      </c>
      <c r="E1770" s="112" t="s">
        <v>220</v>
      </c>
      <c r="F1770" s="112" t="s">
        <v>2225</v>
      </c>
      <c r="G1770" s="112" t="s">
        <v>1572</v>
      </c>
      <c r="H1770" s="112" t="s">
        <v>1227</v>
      </c>
      <c r="I1770" s="112"/>
      <c r="J1770" s="112" t="b">
        <v>0</v>
      </c>
      <c r="K1770" s="112"/>
      <c r="L1770" s="112"/>
      <c r="M1770" s="112"/>
      <c r="N1770" s="112"/>
      <c r="O1770" s="112"/>
      <c r="P1770" s="112" t="s">
        <v>2196</v>
      </c>
      <c r="Q1770" s="112" t="s">
        <v>1227</v>
      </c>
    </row>
    <row r="1771" spans="2:17" hidden="1" outlineLevel="2">
      <c r="B1771" s="2" t="s">
        <v>876</v>
      </c>
      <c r="D1771" s="268">
        <v>3038</v>
      </c>
      <c r="E1771" s="114" t="s">
        <v>220</v>
      </c>
      <c r="F1771" s="114" t="s">
        <v>2226</v>
      </c>
      <c r="G1771" s="114" t="s">
        <v>1572</v>
      </c>
      <c r="H1771" s="114" t="s">
        <v>1227</v>
      </c>
      <c r="I1771" s="114"/>
      <c r="J1771" s="114" t="b">
        <v>0</v>
      </c>
      <c r="K1771" s="114"/>
      <c r="L1771" s="114"/>
      <c r="M1771" s="114"/>
      <c r="N1771" s="114"/>
      <c r="O1771" s="114"/>
      <c r="P1771" s="114" t="s">
        <v>2196</v>
      </c>
      <c r="Q1771" s="114" t="s">
        <v>1227</v>
      </c>
    </row>
    <row r="1772" spans="2:17" hidden="1" outlineLevel="2">
      <c r="B1772" s="2" t="s">
        <v>876</v>
      </c>
      <c r="D1772" s="270">
        <v>3039</v>
      </c>
      <c r="E1772" s="112" t="s">
        <v>220</v>
      </c>
      <c r="F1772" s="112" t="s">
        <v>2227</v>
      </c>
      <c r="G1772" s="112" t="s">
        <v>1572</v>
      </c>
      <c r="H1772" s="112" t="s">
        <v>1227</v>
      </c>
      <c r="I1772" s="112"/>
      <c r="J1772" s="112" t="b">
        <v>0</v>
      </c>
      <c r="K1772" s="112"/>
      <c r="L1772" s="112"/>
      <c r="M1772" s="112"/>
      <c r="N1772" s="112"/>
      <c r="O1772" s="112"/>
      <c r="P1772" s="112" t="s">
        <v>2196</v>
      </c>
      <c r="Q1772" s="112" t="s">
        <v>1227</v>
      </c>
    </row>
    <row r="1773" spans="2:17" hidden="1" outlineLevel="2">
      <c r="B1773" s="2" t="s">
        <v>876</v>
      </c>
      <c r="D1773" s="268">
        <v>3040</v>
      </c>
      <c r="E1773" s="114" t="s">
        <v>220</v>
      </c>
      <c r="F1773" s="114" t="s">
        <v>2228</v>
      </c>
      <c r="G1773" s="114" t="s">
        <v>1572</v>
      </c>
      <c r="H1773" s="114" t="s">
        <v>1227</v>
      </c>
      <c r="I1773" s="114"/>
      <c r="J1773" s="114" t="b">
        <v>0</v>
      </c>
      <c r="K1773" s="114"/>
      <c r="L1773" s="114"/>
      <c r="M1773" s="114"/>
      <c r="N1773" s="691" t="b">
        <v>1</v>
      </c>
      <c r="O1773" s="114"/>
      <c r="P1773" s="114" t="s">
        <v>2196</v>
      </c>
      <c r="Q1773" s="114" t="s">
        <v>1227</v>
      </c>
    </row>
    <row r="1774" spans="2:17" hidden="1" outlineLevel="2">
      <c r="B1774" s="2" t="s">
        <v>876</v>
      </c>
      <c r="D1774" s="270">
        <v>3041</v>
      </c>
      <c r="E1774" s="112" t="s">
        <v>220</v>
      </c>
      <c r="F1774" s="112" t="s">
        <v>2229</v>
      </c>
      <c r="G1774" s="112" t="s">
        <v>1572</v>
      </c>
      <c r="H1774" s="112" t="s">
        <v>1227</v>
      </c>
      <c r="I1774" s="112"/>
      <c r="J1774" s="112" t="b">
        <v>0</v>
      </c>
      <c r="K1774" s="112"/>
      <c r="L1774" s="112"/>
      <c r="M1774" s="112"/>
      <c r="N1774" s="112"/>
      <c r="O1774" s="112"/>
      <c r="P1774" s="112" t="s">
        <v>2196</v>
      </c>
      <c r="Q1774" s="112" t="s">
        <v>1227</v>
      </c>
    </row>
    <row r="1775" spans="2:17" hidden="1" outlineLevel="2">
      <c r="B1775" s="2" t="s">
        <v>876</v>
      </c>
      <c r="D1775" s="268">
        <v>3042</v>
      </c>
      <c r="E1775" s="114" t="s">
        <v>220</v>
      </c>
      <c r="F1775" s="114" t="s">
        <v>2230</v>
      </c>
      <c r="G1775" s="114" t="s">
        <v>1572</v>
      </c>
      <c r="H1775" s="114" t="s">
        <v>1227</v>
      </c>
      <c r="I1775" s="114"/>
      <c r="J1775" s="114" t="b">
        <v>0</v>
      </c>
      <c r="K1775" s="114"/>
      <c r="L1775" s="114"/>
      <c r="M1775" s="114"/>
      <c r="N1775" s="114"/>
      <c r="O1775" s="114"/>
      <c r="P1775" s="114" t="s">
        <v>2196</v>
      </c>
      <c r="Q1775" s="114" t="s">
        <v>1227</v>
      </c>
    </row>
    <row r="1776" spans="2:17" hidden="1" outlineLevel="2">
      <c r="B1776" s="2" t="s">
        <v>876</v>
      </c>
      <c r="D1776" s="270">
        <v>3043</v>
      </c>
      <c r="E1776" s="112" t="s">
        <v>220</v>
      </c>
      <c r="F1776" s="112" t="s">
        <v>2231</v>
      </c>
      <c r="G1776" s="112" t="s">
        <v>1572</v>
      </c>
      <c r="H1776" s="112" t="s">
        <v>1227</v>
      </c>
      <c r="I1776" s="112"/>
      <c r="J1776" s="112" t="b">
        <v>0</v>
      </c>
      <c r="K1776" s="112"/>
      <c r="L1776" s="112"/>
      <c r="M1776" s="112"/>
      <c r="N1776" s="112"/>
      <c r="O1776" s="112"/>
      <c r="P1776" s="112" t="s">
        <v>2196</v>
      </c>
      <c r="Q1776" s="112" t="s">
        <v>1227</v>
      </c>
    </row>
    <row r="1777" spans="2:17" hidden="1" outlineLevel="2">
      <c r="B1777" s="2" t="s">
        <v>876</v>
      </c>
      <c r="D1777" s="268">
        <v>3044</v>
      </c>
      <c r="E1777" s="114" t="s">
        <v>220</v>
      </c>
      <c r="F1777" s="114" t="s">
        <v>2232</v>
      </c>
      <c r="G1777" s="114" t="s">
        <v>1572</v>
      </c>
      <c r="H1777" s="114" t="s">
        <v>1227</v>
      </c>
      <c r="I1777" s="114"/>
      <c r="J1777" s="114" t="b">
        <v>0</v>
      </c>
      <c r="K1777" s="114"/>
      <c r="L1777" s="114"/>
      <c r="M1777" s="114"/>
      <c r="N1777" s="114"/>
      <c r="O1777" s="114"/>
      <c r="P1777" s="114" t="s">
        <v>2196</v>
      </c>
      <c r="Q1777" s="114" t="s">
        <v>1227</v>
      </c>
    </row>
    <row r="1778" spans="2:17" hidden="1" outlineLevel="2">
      <c r="B1778" s="2" t="s">
        <v>876</v>
      </c>
      <c r="D1778" s="270">
        <v>3045</v>
      </c>
      <c r="E1778" s="112" t="s">
        <v>220</v>
      </c>
      <c r="F1778" s="112" t="s">
        <v>2233</v>
      </c>
      <c r="G1778" s="112" t="s">
        <v>1533</v>
      </c>
      <c r="H1778" s="112" t="s">
        <v>1533</v>
      </c>
      <c r="I1778" s="112"/>
      <c r="J1778" s="112" t="b">
        <v>0</v>
      </c>
      <c r="K1778" s="112"/>
      <c r="L1778" s="112"/>
      <c r="M1778" s="112"/>
      <c r="N1778" s="112"/>
      <c r="O1778" s="112"/>
      <c r="P1778" s="112" t="s">
        <v>2196</v>
      </c>
      <c r="Q1778" s="112" t="s">
        <v>1227</v>
      </c>
    </row>
    <row r="1779" spans="2:17" hidden="1" outlineLevel="2">
      <c r="B1779" s="2" t="s">
        <v>876</v>
      </c>
      <c r="D1779" s="268">
        <v>3046</v>
      </c>
      <c r="E1779" s="114" t="s">
        <v>220</v>
      </c>
      <c r="F1779" s="114" t="s">
        <v>2234</v>
      </c>
      <c r="G1779" s="114" t="s">
        <v>1572</v>
      </c>
      <c r="H1779" s="114" t="s">
        <v>1227</v>
      </c>
      <c r="I1779" s="114"/>
      <c r="J1779" s="114" t="b">
        <v>0</v>
      </c>
      <c r="K1779" s="114"/>
      <c r="L1779" s="114"/>
      <c r="M1779" s="114"/>
      <c r="N1779" s="114"/>
      <c r="O1779" s="114"/>
      <c r="P1779" s="114" t="s">
        <v>2196</v>
      </c>
      <c r="Q1779" s="114" t="s">
        <v>1227</v>
      </c>
    </row>
    <row r="1780" spans="2:17" hidden="1" outlineLevel="2">
      <c r="B1780" s="2" t="s">
        <v>876</v>
      </c>
      <c r="D1780" s="270">
        <v>3047</v>
      </c>
      <c r="E1780" s="112" t="s">
        <v>220</v>
      </c>
      <c r="F1780" s="112" t="s">
        <v>2235</v>
      </c>
      <c r="G1780" s="112" t="s">
        <v>1572</v>
      </c>
      <c r="H1780" s="112" t="s">
        <v>1227</v>
      </c>
      <c r="I1780" s="112"/>
      <c r="J1780" s="112" t="b">
        <v>0</v>
      </c>
      <c r="K1780" s="112"/>
      <c r="L1780" s="112"/>
      <c r="M1780" s="112"/>
      <c r="N1780" s="112"/>
      <c r="O1780" s="112"/>
      <c r="P1780" s="112" t="s">
        <v>2196</v>
      </c>
      <c r="Q1780" s="112" t="s">
        <v>1227</v>
      </c>
    </row>
    <row r="1781" spans="2:17" hidden="1" outlineLevel="2">
      <c r="B1781" s="2" t="s">
        <v>876</v>
      </c>
      <c r="D1781" s="268">
        <v>3048</v>
      </c>
      <c r="E1781" s="114" t="s">
        <v>220</v>
      </c>
      <c r="F1781" s="114" t="s">
        <v>2236</v>
      </c>
      <c r="G1781" s="114" t="s">
        <v>1572</v>
      </c>
      <c r="H1781" s="114" t="s">
        <v>1227</v>
      </c>
      <c r="I1781" s="114"/>
      <c r="J1781" s="114" t="b">
        <v>0</v>
      </c>
      <c r="K1781" s="114"/>
      <c r="L1781" s="114"/>
      <c r="M1781" s="114"/>
      <c r="N1781" s="114"/>
      <c r="O1781" s="114"/>
      <c r="P1781" s="114" t="s">
        <v>2196</v>
      </c>
      <c r="Q1781" s="114" t="s">
        <v>1227</v>
      </c>
    </row>
    <row r="1782" spans="2:17" hidden="1" outlineLevel="2">
      <c r="B1782" s="2" t="s">
        <v>876</v>
      </c>
      <c r="D1782" s="270">
        <v>3049</v>
      </c>
      <c r="E1782" s="112" t="s">
        <v>220</v>
      </c>
      <c r="F1782" s="112" t="s">
        <v>2237</v>
      </c>
      <c r="G1782" s="112" t="s">
        <v>1572</v>
      </c>
      <c r="H1782" s="112" t="s">
        <v>1227</v>
      </c>
      <c r="I1782" s="112"/>
      <c r="J1782" s="112" t="b">
        <v>0</v>
      </c>
      <c r="K1782" s="112"/>
      <c r="L1782" s="112"/>
      <c r="M1782" s="112"/>
      <c r="N1782" s="112"/>
      <c r="O1782" s="112"/>
      <c r="P1782" s="112" t="s">
        <v>2196</v>
      </c>
      <c r="Q1782" s="112" t="s">
        <v>1227</v>
      </c>
    </row>
    <row r="1783" spans="2:17" hidden="1" outlineLevel="2">
      <c r="B1783" s="2" t="s">
        <v>876</v>
      </c>
      <c r="D1783" s="268">
        <v>3051</v>
      </c>
      <c r="E1783" s="114" t="s">
        <v>220</v>
      </c>
      <c r="F1783" s="114" t="s">
        <v>2238</v>
      </c>
      <c r="G1783" s="114" t="s">
        <v>1572</v>
      </c>
      <c r="H1783" s="114" t="s">
        <v>1227</v>
      </c>
      <c r="I1783" s="114"/>
      <c r="J1783" s="114" t="b">
        <v>0</v>
      </c>
      <c r="K1783" s="114"/>
      <c r="L1783" s="114"/>
      <c r="M1783" s="114"/>
      <c r="N1783" s="114"/>
      <c r="O1783" s="114"/>
      <c r="P1783" s="114" t="s">
        <v>2196</v>
      </c>
      <c r="Q1783" s="114" t="s">
        <v>1227</v>
      </c>
    </row>
    <row r="1784" spans="2:17" hidden="1" outlineLevel="2">
      <c r="B1784" s="2" t="s">
        <v>876</v>
      </c>
      <c r="D1784" s="270">
        <v>3052</v>
      </c>
      <c r="E1784" s="112" t="s">
        <v>220</v>
      </c>
      <c r="F1784" s="112" t="s">
        <v>2239</v>
      </c>
      <c r="G1784" s="112" t="s">
        <v>1572</v>
      </c>
      <c r="H1784" s="112" t="s">
        <v>1227</v>
      </c>
      <c r="I1784" s="112"/>
      <c r="J1784" s="112" t="b">
        <v>0</v>
      </c>
      <c r="K1784" s="112"/>
      <c r="L1784" s="112"/>
      <c r="M1784" s="112"/>
      <c r="N1784" s="691" t="b">
        <v>1</v>
      </c>
      <c r="O1784" s="112"/>
      <c r="P1784" s="112" t="s">
        <v>2196</v>
      </c>
      <c r="Q1784" s="112" t="s">
        <v>1227</v>
      </c>
    </row>
    <row r="1785" spans="2:17" hidden="1" outlineLevel="2">
      <c r="B1785" s="2" t="s">
        <v>876</v>
      </c>
      <c r="D1785" s="268">
        <v>3053</v>
      </c>
      <c r="E1785" s="114" t="s">
        <v>220</v>
      </c>
      <c r="F1785" s="114" t="s">
        <v>2240</v>
      </c>
      <c r="G1785" s="114" t="s">
        <v>1572</v>
      </c>
      <c r="H1785" s="114" t="s">
        <v>1227</v>
      </c>
      <c r="I1785" s="114"/>
      <c r="J1785" s="114" t="b">
        <v>0</v>
      </c>
      <c r="K1785" s="114"/>
      <c r="L1785" s="114"/>
      <c r="M1785" s="114"/>
      <c r="N1785" s="114"/>
      <c r="O1785" s="114"/>
      <c r="P1785" s="114" t="s">
        <v>2196</v>
      </c>
      <c r="Q1785" s="114" t="s">
        <v>1227</v>
      </c>
    </row>
    <row r="1786" spans="2:17" hidden="1" outlineLevel="2">
      <c r="B1786" s="2" t="s">
        <v>876</v>
      </c>
      <c r="D1786" s="270">
        <v>3054</v>
      </c>
      <c r="E1786" s="112" t="s">
        <v>220</v>
      </c>
      <c r="F1786" s="112" t="s">
        <v>2241</v>
      </c>
      <c r="G1786" s="112" t="s">
        <v>1572</v>
      </c>
      <c r="H1786" s="112" t="s">
        <v>1227</v>
      </c>
      <c r="I1786" s="112"/>
      <c r="J1786" s="112" t="b">
        <v>0</v>
      </c>
      <c r="K1786" s="112"/>
      <c r="L1786" s="112"/>
      <c r="M1786" s="112"/>
      <c r="N1786" s="112"/>
      <c r="O1786" s="112"/>
      <c r="P1786" s="112" t="s">
        <v>2196</v>
      </c>
      <c r="Q1786" s="112" t="s">
        <v>1227</v>
      </c>
    </row>
    <row r="1787" spans="2:17" hidden="1" outlineLevel="2">
      <c r="B1787" s="2" t="s">
        <v>876</v>
      </c>
      <c r="D1787" s="268">
        <v>3055</v>
      </c>
      <c r="E1787" s="114" t="s">
        <v>220</v>
      </c>
      <c r="F1787" s="114" t="s">
        <v>2242</v>
      </c>
      <c r="G1787" s="114" t="s">
        <v>1572</v>
      </c>
      <c r="H1787" s="114" t="s">
        <v>1227</v>
      </c>
      <c r="I1787" s="114"/>
      <c r="J1787" s="114" t="b">
        <v>0</v>
      </c>
      <c r="K1787" s="114"/>
      <c r="L1787" s="114"/>
      <c r="M1787" s="114"/>
      <c r="N1787" s="114"/>
      <c r="O1787" s="114"/>
      <c r="P1787" s="114" t="s">
        <v>2196</v>
      </c>
      <c r="Q1787" s="114" t="s">
        <v>1227</v>
      </c>
    </row>
    <row r="1788" spans="2:17" hidden="1" outlineLevel="2">
      <c r="B1788" s="2" t="s">
        <v>876</v>
      </c>
      <c r="D1788" s="270">
        <v>3056</v>
      </c>
      <c r="E1788" s="112" t="s">
        <v>220</v>
      </c>
      <c r="F1788" s="112" t="s">
        <v>2243</v>
      </c>
      <c r="G1788" s="112" t="s">
        <v>1572</v>
      </c>
      <c r="H1788" s="112" t="s">
        <v>1227</v>
      </c>
      <c r="I1788" s="112"/>
      <c r="J1788" s="112" t="b">
        <v>0</v>
      </c>
      <c r="K1788" s="112"/>
      <c r="L1788" s="112"/>
      <c r="M1788" s="112"/>
      <c r="N1788" s="112"/>
      <c r="O1788" s="112"/>
      <c r="P1788" s="112" t="s">
        <v>2196</v>
      </c>
      <c r="Q1788" s="112" t="s">
        <v>1227</v>
      </c>
    </row>
    <row r="1789" spans="2:17" hidden="1" outlineLevel="2">
      <c r="B1789" s="2" t="s">
        <v>876</v>
      </c>
      <c r="D1789" s="268">
        <v>3057</v>
      </c>
      <c r="E1789" s="114" t="s">
        <v>220</v>
      </c>
      <c r="F1789" s="114" t="s">
        <v>2244</v>
      </c>
      <c r="G1789" s="114" t="s">
        <v>1572</v>
      </c>
      <c r="H1789" s="114" t="s">
        <v>1227</v>
      </c>
      <c r="I1789" s="114"/>
      <c r="J1789" s="114" t="b">
        <v>0</v>
      </c>
      <c r="K1789" s="114"/>
      <c r="L1789" s="114"/>
      <c r="M1789" s="114"/>
      <c r="N1789" s="114"/>
      <c r="O1789" s="114"/>
      <c r="P1789" s="114" t="s">
        <v>2196</v>
      </c>
      <c r="Q1789" s="114" t="s">
        <v>1227</v>
      </c>
    </row>
    <row r="1790" spans="2:17" hidden="1" outlineLevel="2">
      <c r="B1790" s="2" t="s">
        <v>876</v>
      </c>
      <c r="D1790" s="270">
        <v>3058</v>
      </c>
      <c r="E1790" s="112" t="s">
        <v>220</v>
      </c>
      <c r="F1790" s="112" t="s">
        <v>2245</v>
      </c>
      <c r="G1790" s="112" t="s">
        <v>1572</v>
      </c>
      <c r="H1790" s="112" t="s">
        <v>1227</v>
      </c>
      <c r="I1790" s="112"/>
      <c r="J1790" s="112" t="b">
        <v>0</v>
      </c>
      <c r="K1790" s="112"/>
      <c r="L1790" s="112"/>
      <c r="M1790" s="112"/>
      <c r="N1790" s="112"/>
      <c r="O1790" s="112"/>
      <c r="P1790" s="112" t="s">
        <v>2196</v>
      </c>
      <c r="Q1790" s="112" t="s">
        <v>1227</v>
      </c>
    </row>
    <row r="1791" spans="2:17" hidden="1" outlineLevel="2">
      <c r="B1791" s="2" t="s">
        <v>876</v>
      </c>
      <c r="D1791" s="268">
        <v>3059</v>
      </c>
      <c r="E1791" s="114" t="s">
        <v>220</v>
      </c>
      <c r="F1791" s="114" t="s">
        <v>2246</v>
      </c>
      <c r="G1791" s="114" t="s">
        <v>1572</v>
      </c>
      <c r="H1791" s="114" t="s">
        <v>1227</v>
      </c>
      <c r="I1791" s="114"/>
      <c r="J1791" s="114" t="b">
        <v>0</v>
      </c>
      <c r="K1791" s="114"/>
      <c r="L1791" s="114"/>
      <c r="M1791" s="114"/>
      <c r="N1791" s="114"/>
      <c r="O1791" s="114"/>
      <c r="P1791" s="114" t="s">
        <v>2196</v>
      </c>
      <c r="Q1791" s="114" t="s">
        <v>1227</v>
      </c>
    </row>
    <row r="1792" spans="2:17" hidden="1" outlineLevel="2">
      <c r="B1792" s="2" t="s">
        <v>876</v>
      </c>
      <c r="D1792" s="270">
        <v>3060</v>
      </c>
      <c r="E1792" s="112" t="s">
        <v>220</v>
      </c>
      <c r="F1792" s="112" t="s">
        <v>2247</v>
      </c>
      <c r="G1792" s="112" t="s">
        <v>1572</v>
      </c>
      <c r="H1792" s="112" t="s">
        <v>1227</v>
      </c>
      <c r="I1792" s="112"/>
      <c r="J1792" s="112" t="b">
        <v>0</v>
      </c>
      <c r="K1792" s="112"/>
      <c r="L1792" s="112"/>
      <c r="M1792" s="112"/>
      <c r="N1792" s="112"/>
      <c r="O1792" s="112"/>
      <c r="P1792" s="112" t="s">
        <v>2196</v>
      </c>
      <c r="Q1792" s="112" t="s">
        <v>1227</v>
      </c>
    </row>
    <row r="1793" spans="2:17" hidden="1" outlineLevel="2">
      <c r="B1793" s="2" t="s">
        <v>876</v>
      </c>
      <c r="D1793" s="268">
        <v>3061</v>
      </c>
      <c r="E1793" s="114" t="s">
        <v>220</v>
      </c>
      <c r="F1793" s="114" t="s">
        <v>2248</v>
      </c>
      <c r="G1793" s="114" t="s">
        <v>1572</v>
      </c>
      <c r="H1793" s="114" t="s">
        <v>1227</v>
      </c>
      <c r="I1793" s="114"/>
      <c r="J1793" s="114" t="b">
        <v>0</v>
      </c>
      <c r="K1793" s="114"/>
      <c r="L1793" s="114"/>
      <c r="M1793" s="114"/>
      <c r="N1793" s="114"/>
      <c r="O1793" s="114"/>
      <c r="P1793" s="114" t="s">
        <v>2196</v>
      </c>
      <c r="Q1793" s="114" t="s">
        <v>1227</v>
      </c>
    </row>
    <row r="1794" spans="2:17" hidden="1" outlineLevel="2">
      <c r="B1794" s="2" t="s">
        <v>876</v>
      </c>
      <c r="D1794" s="270">
        <v>3062</v>
      </c>
      <c r="E1794" s="112" t="s">
        <v>220</v>
      </c>
      <c r="F1794" s="112" t="s">
        <v>2249</v>
      </c>
      <c r="G1794" s="112" t="s">
        <v>1572</v>
      </c>
      <c r="H1794" s="112" t="s">
        <v>1227</v>
      </c>
      <c r="I1794" s="112"/>
      <c r="J1794" s="112" t="b">
        <v>0</v>
      </c>
      <c r="K1794" s="112"/>
      <c r="L1794" s="112"/>
      <c r="M1794" s="112"/>
      <c r="N1794" s="112"/>
      <c r="O1794" s="112"/>
      <c r="P1794" s="112" t="s">
        <v>2196</v>
      </c>
      <c r="Q1794" s="112" t="s">
        <v>1227</v>
      </c>
    </row>
    <row r="1795" spans="2:17" hidden="1" outlineLevel="2">
      <c r="B1795" s="2" t="s">
        <v>876</v>
      </c>
      <c r="D1795" s="268">
        <v>3063</v>
      </c>
      <c r="E1795" s="114" t="s">
        <v>220</v>
      </c>
      <c r="F1795" s="114" t="s">
        <v>2250</v>
      </c>
      <c r="G1795" s="114" t="s">
        <v>1572</v>
      </c>
      <c r="H1795" s="114" t="s">
        <v>1227</v>
      </c>
      <c r="I1795" s="114"/>
      <c r="J1795" s="114" t="b">
        <v>0</v>
      </c>
      <c r="K1795" s="114"/>
      <c r="L1795" s="114"/>
      <c r="M1795" s="114"/>
      <c r="N1795" s="114"/>
      <c r="O1795" s="114"/>
      <c r="P1795" s="114" t="s">
        <v>2196</v>
      </c>
      <c r="Q1795" s="114" t="s">
        <v>1227</v>
      </c>
    </row>
    <row r="1796" spans="2:17" hidden="1" outlineLevel="2">
      <c r="B1796" s="2" t="s">
        <v>876</v>
      </c>
      <c r="D1796" s="270">
        <v>3064</v>
      </c>
      <c r="E1796" s="112" t="s">
        <v>220</v>
      </c>
      <c r="F1796" s="112" t="s">
        <v>2251</v>
      </c>
      <c r="G1796" s="112" t="s">
        <v>1572</v>
      </c>
      <c r="H1796" s="112" t="s">
        <v>1227</v>
      </c>
      <c r="I1796" s="112"/>
      <c r="J1796" s="112" t="b">
        <v>0</v>
      </c>
      <c r="K1796" s="112"/>
      <c r="L1796" s="112"/>
      <c r="M1796" s="112"/>
      <c r="N1796" s="112"/>
      <c r="O1796" s="112"/>
      <c r="P1796" s="112" t="s">
        <v>2196</v>
      </c>
      <c r="Q1796" s="112" t="s">
        <v>1227</v>
      </c>
    </row>
    <row r="1797" spans="2:17" hidden="1" outlineLevel="2">
      <c r="B1797" s="2" t="s">
        <v>876</v>
      </c>
      <c r="D1797" s="268">
        <v>3065</v>
      </c>
      <c r="E1797" s="114" t="s">
        <v>220</v>
      </c>
      <c r="F1797" s="114" t="s">
        <v>2252</v>
      </c>
      <c r="G1797" s="114" t="s">
        <v>1572</v>
      </c>
      <c r="H1797" s="114" t="s">
        <v>1227</v>
      </c>
      <c r="I1797" s="114"/>
      <c r="J1797" s="114" t="b">
        <v>0</v>
      </c>
      <c r="K1797" s="114"/>
      <c r="L1797" s="114"/>
      <c r="M1797" s="114"/>
      <c r="N1797" s="114"/>
      <c r="O1797" s="114"/>
      <c r="P1797" s="114" t="s">
        <v>2196</v>
      </c>
      <c r="Q1797" s="114" t="s">
        <v>1227</v>
      </c>
    </row>
    <row r="1798" spans="2:17" hidden="1" outlineLevel="2">
      <c r="B1798" s="2" t="s">
        <v>876</v>
      </c>
      <c r="D1798" s="270">
        <v>3066</v>
      </c>
      <c r="E1798" s="112" t="s">
        <v>220</v>
      </c>
      <c r="F1798" s="112" t="s">
        <v>2253</v>
      </c>
      <c r="G1798" s="112" t="s">
        <v>1572</v>
      </c>
      <c r="H1798" s="112" t="s">
        <v>1227</v>
      </c>
      <c r="I1798" s="112"/>
      <c r="J1798" s="112" t="b">
        <v>0</v>
      </c>
      <c r="K1798" s="112"/>
      <c r="L1798" s="112"/>
      <c r="M1798" s="112"/>
      <c r="N1798" s="112"/>
      <c r="O1798" s="112"/>
      <c r="P1798" s="112" t="s">
        <v>2196</v>
      </c>
      <c r="Q1798" s="112" t="s">
        <v>1227</v>
      </c>
    </row>
    <row r="1799" spans="2:17" hidden="1" outlineLevel="2">
      <c r="B1799" s="2" t="s">
        <v>876</v>
      </c>
      <c r="D1799" s="268">
        <v>3067</v>
      </c>
      <c r="E1799" s="114" t="s">
        <v>220</v>
      </c>
      <c r="F1799" s="114" t="s">
        <v>1596</v>
      </c>
      <c r="G1799" s="114" t="s">
        <v>1572</v>
      </c>
      <c r="H1799" s="114" t="s">
        <v>1227</v>
      </c>
      <c r="I1799" s="114"/>
      <c r="J1799" s="114" t="b">
        <v>0</v>
      </c>
      <c r="K1799" s="114"/>
      <c r="L1799" s="114"/>
      <c r="M1799" s="114"/>
      <c r="N1799" s="114"/>
      <c r="O1799" s="114"/>
      <c r="P1799" s="114" t="s">
        <v>2196</v>
      </c>
      <c r="Q1799" s="114" t="s">
        <v>1227</v>
      </c>
    </row>
    <row r="1800" spans="2:17" hidden="1" outlineLevel="2">
      <c r="B1800" s="2" t="s">
        <v>876</v>
      </c>
      <c r="D1800" s="270">
        <v>3068</v>
      </c>
      <c r="E1800" s="112" t="s">
        <v>220</v>
      </c>
      <c r="F1800" s="112" t="s">
        <v>2254</v>
      </c>
      <c r="G1800" s="112" t="s">
        <v>1572</v>
      </c>
      <c r="H1800" s="112" t="s">
        <v>1227</v>
      </c>
      <c r="I1800" s="112"/>
      <c r="J1800" s="112" t="b">
        <v>0</v>
      </c>
      <c r="K1800" s="112"/>
      <c r="L1800" s="112"/>
      <c r="M1800" s="112"/>
      <c r="N1800" s="691" t="b">
        <v>1</v>
      </c>
      <c r="O1800" s="112"/>
      <c r="P1800" s="112" t="s">
        <v>2196</v>
      </c>
      <c r="Q1800" s="112" t="s">
        <v>1227</v>
      </c>
    </row>
    <row r="1801" spans="2:17" hidden="1" outlineLevel="2">
      <c r="B1801" s="2" t="s">
        <v>876</v>
      </c>
      <c r="D1801" s="268">
        <v>3070</v>
      </c>
      <c r="E1801" s="114" t="s">
        <v>220</v>
      </c>
      <c r="F1801" s="114" t="s">
        <v>2255</v>
      </c>
      <c r="G1801" s="114" t="s">
        <v>1572</v>
      </c>
      <c r="H1801" s="114" t="s">
        <v>1227</v>
      </c>
      <c r="I1801" s="114"/>
      <c r="J1801" s="114" t="b">
        <v>0</v>
      </c>
      <c r="K1801" s="114"/>
      <c r="L1801" s="114"/>
      <c r="M1801" s="114"/>
      <c r="N1801" s="114"/>
      <c r="O1801" s="114"/>
      <c r="P1801" s="114" t="s">
        <v>2196</v>
      </c>
      <c r="Q1801" s="114" t="s">
        <v>1227</v>
      </c>
    </row>
    <row r="1802" spans="2:17" hidden="1" outlineLevel="2">
      <c r="B1802" s="2" t="s">
        <v>876</v>
      </c>
      <c r="D1802" s="270">
        <v>3071</v>
      </c>
      <c r="E1802" s="112" t="s">
        <v>220</v>
      </c>
      <c r="F1802" s="112" t="s">
        <v>2256</v>
      </c>
      <c r="G1802" s="112" t="s">
        <v>1572</v>
      </c>
      <c r="H1802" s="112" t="s">
        <v>1227</v>
      </c>
      <c r="I1802" s="112"/>
      <c r="J1802" s="112" t="b">
        <v>0</v>
      </c>
      <c r="K1802" s="112"/>
      <c r="L1802" s="112"/>
      <c r="M1802" s="112"/>
      <c r="N1802" s="112"/>
      <c r="O1802" s="112"/>
      <c r="P1802" s="112" t="s">
        <v>2196</v>
      </c>
      <c r="Q1802" s="112" t="s">
        <v>1227</v>
      </c>
    </row>
    <row r="1803" spans="2:17" hidden="1" outlineLevel="2">
      <c r="B1803" s="2" t="s">
        <v>876</v>
      </c>
      <c r="D1803" s="268">
        <v>3072</v>
      </c>
      <c r="E1803" s="114" t="s">
        <v>220</v>
      </c>
      <c r="F1803" s="114" t="s">
        <v>2257</v>
      </c>
      <c r="G1803" s="114" t="s">
        <v>1572</v>
      </c>
      <c r="H1803" s="114" t="s">
        <v>1227</v>
      </c>
      <c r="I1803" s="114"/>
      <c r="J1803" s="114" t="b">
        <v>0</v>
      </c>
      <c r="K1803" s="114"/>
      <c r="L1803" s="114"/>
      <c r="M1803" s="114"/>
      <c r="N1803" s="114"/>
      <c r="O1803" s="114"/>
      <c r="P1803" s="114" t="s">
        <v>2196</v>
      </c>
      <c r="Q1803" s="114" t="s">
        <v>1227</v>
      </c>
    </row>
    <row r="1804" spans="2:17" hidden="1" outlineLevel="2">
      <c r="B1804" s="2" t="s">
        <v>876</v>
      </c>
      <c r="D1804" s="270">
        <v>3073</v>
      </c>
      <c r="E1804" s="112" t="s">
        <v>220</v>
      </c>
      <c r="F1804" s="112" t="s">
        <v>2258</v>
      </c>
      <c r="G1804" s="112" t="s">
        <v>1572</v>
      </c>
      <c r="H1804" s="112" t="s">
        <v>1227</v>
      </c>
      <c r="I1804" s="112"/>
      <c r="J1804" s="112" t="b">
        <v>0</v>
      </c>
      <c r="K1804" s="112"/>
      <c r="L1804" s="112"/>
      <c r="M1804" s="112"/>
      <c r="N1804" s="112"/>
      <c r="O1804" s="112"/>
      <c r="P1804" s="112" t="s">
        <v>2196</v>
      </c>
      <c r="Q1804" s="112" t="s">
        <v>1227</v>
      </c>
    </row>
    <row r="1805" spans="2:17" hidden="1" outlineLevel="2">
      <c r="B1805" s="2" t="s">
        <v>876</v>
      </c>
      <c r="D1805" s="268">
        <v>3074</v>
      </c>
      <c r="E1805" s="114" t="s">
        <v>220</v>
      </c>
      <c r="F1805" s="114" t="s">
        <v>2259</v>
      </c>
      <c r="G1805" s="114" t="s">
        <v>1572</v>
      </c>
      <c r="H1805" s="114" t="s">
        <v>1227</v>
      </c>
      <c r="I1805" s="114"/>
      <c r="J1805" s="114" t="b">
        <v>0</v>
      </c>
      <c r="K1805" s="114"/>
      <c r="L1805" s="114"/>
      <c r="M1805" s="114"/>
      <c r="N1805" s="114"/>
      <c r="O1805" s="114"/>
      <c r="P1805" s="114" t="s">
        <v>2196</v>
      </c>
      <c r="Q1805" s="114" t="s">
        <v>1227</v>
      </c>
    </row>
    <row r="1806" spans="2:17" hidden="1" outlineLevel="2">
      <c r="B1806" s="2" t="s">
        <v>876</v>
      </c>
      <c r="D1806" s="270">
        <v>3075</v>
      </c>
      <c r="E1806" s="112" t="s">
        <v>220</v>
      </c>
      <c r="F1806" s="112" t="s">
        <v>2260</v>
      </c>
      <c r="G1806" s="112" t="s">
        <v>1572</v>
      </c>
      <c r="H1806" s="112" t="s">
        <v>1227</v>
      </c>
      <c r="I1806" s="112"/>
      <c r="J1806" s="112" t="b">
        <v>0</v>
      </c>
      <c r="K1806" s="112"/>
      <c r="L1806" s="112"/>
      <c r="M1806" s="112"/>
      <c r="N1806" s="112"/>
      <c r="O1806" s="112"/>
      <c r="P1806" s="112" t="s">
        <v>2196</v>
      </c>
      <c r="Q1806" s="112" t="s">
        <v>1227</v>
      </c>
    </row>
    <row r="1807" spans="2:17" hidden="1" outlineLevel="2">
      <c r="B1807" s="2" t="s">
        <v>876</v>
      </c>
      <c r="D1807" s="268">
        <v>3076</v>
      </c>
      <c r="E1807" s="114" t="s">
        <v>220</v>
      </c>
      <c r="F1807" s="114" t="s">
        <v>1657</v>
      </c>
      <c r="G1807" s="114" t="s">
        <v>1572</v>
      </c>
      <c r="H1807" s="114" t="s">
        <v>1227</v>
      </c>
      <c r="I1807" s="114"/>
      <c r="J1807" s="114" t="b">
        <v>0</v>
      </c>
      <c r="K1807" s="114"/>
      <c r="L1807" s="114"/>
      <c r="M1807" s="114"/>
      <c r="N1807" s="114"/>
      <c r="O1807" s="114"/>
      <c r="P1807" s="114" t="s">
        <v>2196</v>
      </c>
      <c r="Q1807" s="114" t="s">
        <v>1227</v>
      </c>
    </row>
    <row r="1808" spans="2:17" hidden="1" outlineLevel="2">
      <c r="B1808" s="2" t="s">
        <v>876</v>
      </c>
      <c r="D1808" s="270">
        <v>3078</v>
      </c>
      <c r="E1808" s="112" t="s">
        <v>220</v>
      </c>
      <c r="F1808" s="112" t="s">
        <v>2261</v>
      </c>
      <c r="G1808" s="112" t="s">
        <v>1572</v>
      </c>
      <c r="H1808" s="112" t="s">
        <v>1227</v>
      </c>
      <c r="I1808" s="112"/>
      <c r="J1808" s="112" t="b">
        <v>0</v>
      </c>
      <c r="K1808" s="112"/>
      <c r="L1808" s="112"/>
      <c r="M1808" s="112"/>
      <c r="N1808" s="112"/>
      <c r="O1808" s="112"/>
      <c r="P1808" s="112" t="s">
        <v>2196</v>
      </c>
      <c r="Q1808" s="112" t="s">
        <v>1227</v>
      </c>
    </row>
    <row r="1809" spans="2:17" hidden="1" outlineLevel="2">
      <c r="B1809" s="2" t="s">
        <v>876</v>
      </c>
      <c r="D1809" s="268">
        <v>3079</v>
      </c>
      <c r="E1809" s="114" t="s">
        <v>220</v>
      </c>
      <c r="F1809" s="114" t="s">
        <v>2179</v>
      </c>
      <c r="G1809" s="114" t="s">
        <v>1572</v>
      </c>
      <c r="H1809" s="114" t="s">
        <v>1227</v>
      </c>
      <c r="I1809" s="114"/>
      <c r="J1809" s="114" t="b">
        <v>0</v>
      </c>
      <c r="K1809" s="114"/>
      <c r="L1809" s="114"/>
      <c r="M1809" s="114"/>
      <c r="N1809" s="114"/>
      <c r="O1809" s="114"/>
      <c r="P1809" s="114" t="s">
        <v>2196</v>
      </c>
      <c r="Q1809" s="114" t="s">
        <v>1227</v>
      </c>
    </row>
    <row r="1810" spans="2:17" hidden="1" outlineLevel="2">
      <c r="B1810" s="2" t="s">
        <v>876</v>
      </c>
      <c r="D1810" s="270">
        <v>3081</v>
      </c>
      <c r="E1810" s="112" t="s">
        <v>220</v>
      </c>
      <c r="F1810" s="112" t="s">
        <v>2262</v>
      </c>
      <c r="G1810" s="112" t="s">
        <v>1572</v>
      </c>
      <c r="H1810" s="112" t="s">
        <v>1227</v>
      </c>
      <c r="I1810" s="112"/>
      <c r="J1810" s="112" t="b">
        <v>0</v>
      </c>
      <c r="K1810" s="112"/>
      <c r="L1810" s="112"/>
      <c r="M1810" s="112"/>
      <c r="N1810" s="112"/>
      <c r="O1810" s="112"/>
      <c r="P1810" s="112" t="s">
        <v>2196</v>
      </c>
      <c r="Q1810" s="112" t="s">
        <v>1227</v>
      </c>
    </row>
    <row r="1811" spans="2:17" hidden="1" outlineLevel="2">
      <c r="B1811" s="2" t="s">
        <v>876</v>
      </c>
      <c r="D1811" s="268">
        <v>3082</v>
      </c>
      <c r="E1811" s="114" t="s">
        <v>220</v>
      </c>
      <c r="F1811" s="114" t="s">
        <v>2263</v>
      </c>
      <c r="G1811" s="114" t="s">
        <v>1572</v>
      </c>
      <c r="H1811" s="114" t="s">
        <v>1227</v>
      </c>
      <c r="I1811" s="114"/>
      <c r="J1811" s="114" t="b">
        <v>0</v>
      </c>
      <c r="K1811" s="114"/>
      <c r="L1811" s="114"/>
      <c r="M1811" s="114"/>
      <c r="N1811" s="114"/>
      <c r="O1811" s="114"/>
      <c r="P1811" s="114" t="s">
        <v>2196</v>
      </c>
      <c r="Q1811" s="114" t="s">
        <v>1227</v>
      </c>
    </row>
    <row r="1812" spans="2:17" hidden="1" outlineLevel="2">
      <c r="B1812" s="2" t="s">
        <v>876</v>
      </c>
      <c r="D1812" s="270">
        <v>3083</v>
      </c>
      <c r="E1812" s="112" t="s">
        <v>220</v>
      </c>
      <c r="F1812" s="112" t="s">
        <v>2264</v>
      </c>
      <c r="G1812" s="112" t="s">
        <v>1572</v>
      </c>
      <c r="H1812" s="112" t="s">
        <v>1227</v>
      </c>
      <c r="I1812" s="112"/>
      <c r="J1812" s="112" t="b">
        <v>0</v>
      </c>
      <c r="K1812" s="112"/>
      <c r="L1812" s="112"/>
      <c r="M1812" s="112"/>
      <c r="N1812" s="112"/>
      <c r="O1812" s="112"/>
      <c r="P1812" s="112" t="s">
        <v>2196</v>
      </c>
      <c r="Q1812" s="112" t="s">
        <v>1227</v>
      </c>
    </row>
    <row r="1813" spans="2:17" hidden="1" outlineLevel="2">
      <c r="B1813" s="2" t="s">
        <v>876</v>
      </c>
      <c r="D1813" s="268">
        <v>3084</v>
      </c>
      <c r="E1813" s="114" t="s">
        <v>220</v>
      </c>
      <c r="F1813" s="114" t="s">
        <v>2265</v>
      </c>
      <c r="G1813" s="114" t="s">
        <v>1572</v>
      </c>
      <c r="H1813" s="114" t="s">
        <v>1227</v>
      </c>
      <c r="I1813" s="114"/>
      <c r="J1813" s="114" t="b">
        <v>0</v>
      </c>
      <c r="K1813" s="114"/>
      <c r="L1813" s="114"/>
      <c r="M1813" s="114"/>
      <c r="N1813" s="114"/>
      <c r="O1813" s="114"/>
      <c r="P1813" s="114" t="s">
        <v>2196</v>
      </c>
      <c r="Q1813" s="114" t="s">
        <v>1227</v>
      </c>
    </row>
    <row r="1814" spans="2:17" hidden="1" outlineLevel="2">
      <c r="B1814" s="2" t="s">
        <v>876</v>
      </c>
      <c r="D1814" s="270">
        <v>3085</v>
      </c>
      <c r="E1814" s="112" t="s">
        <v>220</v>
      </c>
      <c r="F1814" s="112" t="s">
        <v>2266</v>
      </c>
      <c r="G1814" s="112" t="s">
        <v>1572</v>
      </c>
      <c r="H1814" s="112" t="s">
        <v>1227</v>
      </c>
      <c r="I1814" s="112"/>
      <c r="J1814" s="112" t="b">
        <v>0</v>
      </c>
      <c r="K1814" s="112"/>
      <c r="L1814" s="112"/>
      <c r="M1814" s="112"/>
      <c r="N1814" s="112"/>
      <c r="O1814" s="112"/>
      <c r="P1814" s="112" t="s">
        <v>2196</v>
      </c>
      <c r="Q1814" s="112" t="s">
        <v>1227</v>
      </c>
    </row>
    <row r="1815" spans="2:17" hidden="1" outlineLevel="2">
      <c r="B1815" s="2" t="s">
        <v>876</v>
      </c>
      <c r="D1815" s="268">
        <v>3087</v>
      </c>
      <c r="E1815" s="114" t="s">
        <v>220</v>
      </c>
      <c r="F1815" s="114" t="s">
        <v>2267</v>
      </c>
      <c r="G1815" s="114" t="s">
        <v>1572</v>
      </c>
      <c r="H1815" s="114" t="s">
        <v>1227</v>
      </c>
      <c r="I1815" s="114"/>
      <c r="J1815" s="114" t="b">
        <v>0</v>
      </c>
      <c r="K1815" s="114"/>
      <c r="L1815" s="114"/>
      <c r="M1815" s="114"/>
      <c r="N1815" s="114"/>
      <c r="O1815" s="114"/>
      <c r="P1815" s="114" t="s">
        <v>2196</v>
      </c>
      <c r="Q1815" s="114" t="s">
        <v>1227</v>
      </c>
    </row>
    <row r="1816" spans="2:17" hidden="1" outlineLevel="2">
      <c r="B1816" s="2" t="s">
        <v>876</v>
      </c>
      <c r="D1816" s="270">
        <v>3088</v>
      </c>
      <c r="E1816" s="112" t="s">
        <v>220</v>
      </c>
      <c r="F1816" s="112" t="s">
        <v>2268</v>
      </c>
      <c r="G1816" s="112" t="s">
        <v>1572</v>
      </c>
      <c r="H1816" s="112" t="s">
        <v>1227</v>
      </c>
      <c r="I1816" s="112"/>
      <c r="J1816" s="112" t="b">
        <v>0</v>
      </c>
      <c r="K1816" s="112"/>
      <c r="L1816" s="112"/>
      <c r="M1816" s="112"/>
      <c r="N1816" s="112"/>
      <c r="O1816" s="112"/>
      <c r="P1816" s="112" t="s">
        <v>2196</v>
      </c>
      <c r="Q1816" s="112" t="s">
        <v>1227</v>
      </c>
    </row>
    <row r="1817" spans="2:17" hidden="1" outlineLevel="2">
      <c r="B1817" s="2" t="s">
        <v>876</v>
      </c>
      <c r="D1817" s="268">
        <v>3089</v>
      </c>
      <c r="E1817" s="114" t="s">
        <v>220</v>
      </c>
      <c r="F1817" s="114" t="s">
        <v>2269</v>
      </c>
      <c r="G1817" s="114" t="s">
        <v>1572</v>
      </c>
      <c r="H1817" s="114" t="s">
        <v>1227</v>
      </c>
      <c r="I1817" s="114"/>
      <c r="J1817" s="114" t="b">
        <v>0</v>
      </c>
      <c r="K1817" s="114"/>
      <c r="L1817" s="114"/>
      <c r="M1817" s="114"/>
      <c r="N1817" s="114"/>
      <c r="O1817" s="114"/>
      <c r="P1817" s="114" t="s">
        <v>2196</v>
      </c>
      <c r="Q1817" s="114" t="s">
        <v>1227</v>
      </c>
    </row>
    <row r="1818" spans="2:17" hidden="1" outlineLevel="2">
      <c r="B1818" s="2" t="s">
        <v>876</v>
      </c>
      <c r="D1818" s="270">
        <v>3090</v>
      </c>
      <c r="E1818" s="112" t="s">
        <v>220</v>
      </c>
      <c r="F1818" s="112" t="s">
        <v>2270</v>
      </c>
      <c r="G1818" s="112" t="s">
        <v>1572</v>
      </c>
      <c r="H1818" s="112" t="s">
        <v>1227</v>
      </c>
      <c r="I1818" s="112"/>
      <c r="J1818" s="112" t="b">
        <v>0</v>
      </c>
      <c r="K1818" s="112"/>
      <c r="L1818" s="112"/>
      <c r="M1818" s="112"/>
      <c r="N1818" s="112"/>
      <c r="O1818" s="112"/>
      <c r="P1818" s="112" t="s">
        <v>2196</v>
      </c>
      <c r="Q1818" s="112" t="s">
        <v>1227</v>
      </c>
    </row>
    <row r="1819" spans="2:17" hidden="1" outlineLevel="2">
      <c r="B1819" s="2" t="s">
        <v>876</v>
      </c>
      <c r="D1819" s="268">
        <v>3091</v>
      </c>
      <c r="E1819" s="114" t="s">
        <v>220</v>
      </c>
      <c r="F1819" s="114" t="s">
        <v>2271</v>
      </c>
      <c r="G1819" s="114" t="s">
        <v>1572</v>
      </c>
      <c r="H1819" s="114" t="s">
        <v>1227</v>
      </c>
      <c r="I1819" s="114"/>
      <c r="J1819" s="114" t="b">
        <v>0</v>
      </c>
      <c r="K1819" s="114"/>
      <c r="L1819" s="114"/>
      <c r="M1819" s="114"/>
      <c r="N1819" s="114"/>
      <c r="O1819" s="114"/>
      <c r="P1819" s="114" t="s">
        <v>2196</v>
      </c>
      <c r="Q1819" s="114" t="s">
        <v>1227</v>
      </c>
    </row>
    <row r="1820" spans="2:17" hidden="1" outlineLevel="2">
      <c r="B1820" s="2" t="s">
        <v>876</v>
      </c>
      <c r="D1820" s="270">
        <v>3093</v>
      </c>
      <c r="E1820" s="112" t="s">
        <v>220</v>
      </c>
      <c r="F1820" s="112" t="s">
        <v>2272</v>
      </c>
      <c r="G1820" s="112" t="s">
        <v>1572</v>
      </c>
      <c r="H1820" s="112" t="s">
        <v>1227</v>
      </c>
      <c r="I1820" s="112"/>
      <c r="J1820" s="112" t="b">
        <v>0</v>
      </c>
      <c r="K1820" s="112"/>
      <c r="L1820" s="112"/>
      <c r="M1820" s="112"/>
      <c r="N1820" s="112"/>
      <c r="O1820" s="112"/>
      <c r="P1820" s="112" t="s">
        <v>2196</v>
      </c>
      <c r="Q1820" s="112" t="s">
        <v>1227</v>
      </c>
    </row>
    <row r="1821" spans="2:17" hidden="1" outlineLevel="2">
      <c r="B1821" s="2" t="s">
        <v>876</v>
      </c>
      <c r="D1821" s="268">
        <v>3094</v>
      </c>
      <c r="E1821" s="114" t="s">
        <v>220</v>
      </c>
      <c r="F1821" s="114" t="s">
        <v>2273</v>
      </c>
      <c r="G1821" s="114" t="s">
        <v>1572</v>
      </c>
      <c r="H1821" s="114" t="s">
        <v>1227</v>
      </c>
      <c r="I1821" s="114"/>
      <c r="J1821" s="114" t="b">
        <v>0</v>
      </c>
      <c r="K1821" s="114"/>
      <c r="L1821" s="114"/>
      <c r="M1821" s="114"/>
      <c r="N1821" s="114"/>
      <c r="O1821" s="114"/>
      <c r="P1821" s="114" t="s">
        <v>2196</v>
      </c>
      <c r="Q1821" s="114" t="s">
        <v>1227</v>
      </c>
    </row>
    <row r="1822" spans="2:17" hidden="1" outlineLevel="2">
      <c r="B1822" s="2" t="s">
        <v>876</v>
      </c>
      <c r="D1822" s="270">
        <v>3095</v>
      </c>
      <c r="E1822" s="112" t="s">
        <v>220</v>
      </c>
      <c r="F1822" s="112" t="s">
        <v>2274</v>
      </c>
      <c r="G1822" s="112" t="s">
        <v>1572</v>
      </c>
      <c r="H1822" s="112" t="s">
        <v>1227</v>
      </c>
      <c r="I1822" s="112"/>
      <c r="J1822" s="112" t="b">
        <v>0</v>
      </c>
      <c r="K1822" s="112"/>
      <c r="L1822" s="112"/>
      <c r="M1822" s="112"/>
      <c r="N1822" s="112"/>
      <c r="O1822" s="112"/>
      <c r="P1822" s="112" t="s">
        <v>2196</v>
      </c>
      <c r="Q1822" s="112" t="s">
        <v>1227</v>
      </c>
    </row>
    <row r="1823" spans="2:17" hidden="1" outlineLevel="2">
      <c r="B1823" s="2" t="s">
        <v>876</v>
      </c>
      <c r="D1823" s="268">
        <v>3096</v>
      </c>
      <c r="E1823" s="114" t="s">
        <v>220</v>
      </c>
      <c r="F1823" s="114" t="s">
        <v>2275</v>
      </c>
      <c r="G1823" s="114" t="s">
        <v>1572</v>
      </c>
      <c r="H1823" s="114" t="s">
        <v>1227</v>
      </c>
      <c r="I1823" s="114"/>
      <c r="J1823" s="114" t="b">
        <v>0</v>
      </c>
      <c r="K1823" s="114"/>
      <c r="L1823" s="114"/>
      <c r="M1823" s="114"/>
      <c r="N1823" s="114"/>
      <c r="O1823" s="114"/>
      <c r="P1823" s="114" t="s">
        <v>2196</v>
      </c>
      <c r="Q1823" s="114" t="s">
        <v>1227</v>
      </c>
    </row>
    <row r="1824" spans="2:17" hidden="1" outlineLevel="2">
      <c r="B1824" s="2" t="s">
        <v>876</v>
      </c>
      <c r="D1824" s="270">
        <v>3097</v>
      </c>
      <c r="E1824" s="112" t="s">
        <v>220</v>
      </c>
      <c r="F1824" s="112" t="s">
        <v>2276</v>
      </c>
      <c r="G1824" s="112" t="s">
        <v>1572</v>
      </c>
      <c r="H1824" s="112" t="s">
        <v>1227</v>
      </c>
      <c r="I1824" s="112"/>
      <c r="J1824" s="112" t="b">
        <v>0</v>
      </c>
      <c r="K1824" s="112"/>
      <c r="L1824" s="112"/>
      <c r="M1824" s="112"/>
      <c r="N1824" s="112"/>
      <c r="O1824" s="112"/>
      <c r="P1824" s="112" t="s">
        <v>2196</v>
      </c>
      <c r="Q1824" s="112" t="s">
        <v>1227</v>
      </c>
    </row>
    <row r="1825" spans="2:17" hidden="1" outlineLevel="2">
      <c r="B1825" s="2" t="s">
        <v>876</v>
      </c>
      <c r="D1825" s="268">
        <v>3099</v>
      </c>
      <c r="E1825" s="114" t="s">
        <v>220</v>
      </c>
      <c r="F1825" s="114" t="s">
        <v>2277</v>
      </c>
      <c r="G1825" s="114" t="s">
        <v>1572</v>
      </c>
      <c r="H1825" s="114" t="s">
        <v>1227</v>
      </c>
      <c r="I1825" s="114"/>
      <c r="J1825" s="114" t="b">
        <v>0</v>
      </c>
      <c r="K1825" s="114"/>
      <c r="L1825" s="114"/>
      <c r="M1825" s="114"/>
      <c r="N1825" s="114"/>
      <c r="O1825" s="114"/>
      <c r="P1825" s="114" t="s">
        <v>2196</v>
      </c>
      <c r="Q1825" s="114" t="s">
        <v>1227</v>
      </c>
    </row>
    <row r="1826" spans="2:17" hidden="1" outlineLevel="2">
      <c r="B1826" s="2" t="s">
        <v>876</v>
      </c>
      <c r="D1826" s="270">
        <v>3101</v>
      </c>
      <c r="E1826" s="112" t="s">
        <v>220</v>
      </c>
      <c r="F1826" s="112" t="s">
        <v>2278</v>
      </c>
      <c r="G1826" s="112" t="s">
        <v>1572</v>
      </c>
      <c r="H1826" s="112" t="s">
        <v>1227</v>
      </c>
      <c r="I1826" s="112"/>
      <c r="J1826" s="112" t="b">
        <v>0</v>
      </c>
      <c r="K1826" s="112"/>
      <c r="L1826" s="112"/>
      <c r="M1826" s="112"/>
      <c r="N1826" s="691" t="b">
        <v>1</v>
      </c>
      <c r="O1826" s="112"/>
      <c r="P1826" s="112" t="s">
        <v>2196</v>
      </c>
      <c r="Q1826" s="112" t="s">
        <v>1227</v>
      </c>
    </row>
    <row r="1827" spans="2:17" hidden="1" outlineLevel="2">
      <c r="B1827" s="2" t="s">
        <v>876</v>
      </c>
      <c r="D1827" s="268">
        <v>3102</v>
      </c>
      <c r="E1827" s="114" t="s">
        <v>220</v>
      </c>
      <c r="F1827" s="114" t="s">
        <v>2279</v>
      </c>
      <c r="G1827" s="114" t="s">
        <v>1572</v>
      </c>
      <c r="H1827" s="114" t="s">
        <v>1227</v>
      </c>
      <c r="I1827" s="114"/>
      <c r="J1827" s="114" t="b">
        <v>0</v>
      </c>
      <c r="K1827" s="114"/>
      <c r="L1827" s="114"/>
      <c r="M1827" s="114"/>
      <c r="N1827" s="691" t="b">
        <v>1</v>
      </c>
      <c r="O1827" s="114"/>
      <c r="P1827" s="114" t="s">
        <v>2196</v>
      </c>
      <c r="Q1827" s="114" t="s">
        <v>1227</v>
      </c>
    </row>
    <row r="1828" spans="2:17" hidden="1" outlineLevel="2">
      <c r="B1828" s="2" t="s">
        <v>876</v>
      </c>
      <c r="D1828" s="270">
        <v>3103</v>
      </c>
      <c r="E1828" s="112" t="s">
        <v>220</v>
      </c>
      <c r="F1828" s="112" t="s">
        <v>2280</v>
      </c>
      <c r="G1828" s="112" t="s">
        <v>1572</v>
      </c>
      <c r="H1828" s="112" t="s">
        <v>1227</v>
      </c>
      <c r="I1828" s="112"/>
      <c r="J1828" s="112" t="b">
        <v>0</v>
      </c>
      <c r="K1828" s="112"/>
      <c r="L1828" s="112"/>
      <c r="M1828" s="112"/>
      <c r="N1828" s="691" t="b">
        <v>1</v>
      </c>
      <c r="O1828" s="112"/>
      <c r="P1828" s="112" t="s">
        <v>2196</v>
      </c>
      <c r="Q1828" s="112" t="s">
        <v>1227</v>
      </c>
    </row>
    <row r="1829" spans="2:17" hidden="1" outlineLevel="2">
      <c r="B1829" s="2" t="s">
        <v>876</v>
      </c>
      <c r="D1829" s="268">
        <v>3104</v>
      </c>
      <c r="E1829" s="114" t="s">
        <v>220</v>
      </c>
      <c r="F1829" s="114" t="s">
        <v>2281</v>
      </c>
      <c r="G1829" s="114" t="s">
        <v>1572</v>
      </c>
      <c r="H1829" s="114" t="s">
        <v>1227</v>
      </c>
      <c r="I1829" s="114"/>
      <c r="J1829" s="114" t="b">
        <v>0</v>
      </c>
      <c r="K1829" s="114"/>
      <c r="L1829" s="114"/>
      <c r="M1829" s="114"/>
      <c r="N1829" s="691" t="b">
        <v>1</v>
      </c>
      <c r="O1829" s="114"/>
      <c r="P1829" s="114" t="s">
        <v>2196</v>
      </c>
      <c r="Q1829" s="114" t="s">
        <v>1227</v>
      </c>
    </row>
    <row r="1830" spans="2:17" hidden="1" outlineLevel="2">
      <c r="B1830" s="2" t="s">
        <v>876</v>
      </c>
      <c r="D1830" s="270">
        <v>3105</v>
      </c>
      <c r="E1830" s="112" t="s">
        <v>220</v>
      </c>
      <c r="F1830" s="112" t="s">
        <v>2282</v>
      </c>
      <c r="G1830" s="112" t="s">
        <v>1572</v>
      </c>
      <c r="H1830" s="112" t="s">
        <v>1227</v>
      </c>
      <c r="I1830" s="112"/>
      <c r="J1830" s="112" t="b">
        <v>0</v>
      </c>
      <c r="K1830" s="112"/>
      <c r="L1830" s="112"/>
      <c r="M1830" s="112"/>
      <c r="N1830" s="112"/>
      <c r="O1830" s="112"/>
      <c r="P1830" s="112" t="s">
        <v>2196</v>
      </c>
      <c r="Q1830" s="112" t="s">
        <v>1227</v>
      </c>
    </row>
    <row r="1831" spans="2:17" hidden="1" outlineLevel="2">
      <c r="B1831" s="2" t="s">
        <v>876</v>
      </c>
      <c r="D1831" s="268">
        <v>3106</v>
      </c>
      <c r="E1831" s="114" t="s">
        <v>220</v>
      </c>
      <c r="F1831" s="114" t="s">
        <v>2283</v>
      </c>
      <c r="G1831" s="114" t="s">
        <v>1572</v>
      </c>
      <c r="H1831" s="114" t="s">
        <v>1227</v>
      </c>
      <c r="I1831" s="114"/>
      <c r="J1831" s="114" t="b">
        <v>0</v>
      </c>
      <c r="K1831" s="114"/>
      <c r="L1831" s="114"/>
      <c r="M1831" s="114"/>
      <c r="N1831" s="114"/>
      <c r="O1831" s="114"/>
      <c r="P1831" s="114" t="s">
        <v>2196</v>
      </c>
      <c r="Q1831" s="114" t="s">
        <v>1227</v>
      </c>
    </row>
    <row r="1832" spans="2:17" hidden="1" outlineLevel="2">
      <c r="B1832" s="2" t="s">
        <v>876</v>
      </c>
      <c r="D1832" s="270">
        <v>3107</v>
      </c>
      <c r="E1832" s="112" t="s">
        <v>220</v>
      </c>
      <c r="F1832" s="112" t="s">
        <v>2284</v>
      </c>
      <c r="G1832" s="112" t="s">
        <v>1572</v>
      </c>
      <c r="H1832" s="112" t="s">
        <v>1227</v>
      </c>
      <c r="I1832" s="112"/>
      <c r="J1832" s="112" t="b">
        <v>0</v>
      </c>
      <c r="K1832" s="112"/>
      <c r="L1832" s="112"/>
      <c r="M1832" s="112"/>
      <c r="N1832" s="112"/>
      <c r="O1832" s="112"/>
      <c r="P1832" s="112" t="s">
        <v>2196</v>
      </c>
      <c r="Q1832" s="112" t="s">
        <v>1227</v>
      </c>
    </row>
    <row r="1833" spans="2:17" hidden="1" outlineLevel="2">
      <c r="B1833" s="2" t="s">
        <v>876</v>
      </c>
      <c r="D1833" s="268">
        <v>3108</v>
      </c>
      <c r="E1833" s="114" t="s">
        <v>220</v>
      </c>
      <c r="F1833" s="114" t="s">
        <v>2285</v>
      </c>
      <c r="G1833" s="114" t="s">
        <v>1572</v>
      </c>
      <c r="H1833" s="114" t="s">
        <v>1227</v>
      </c>
      <c r="I1833" s="114"/>
      <c r="J1833" s="114" t="b">
        <v>0</v>
      </c>
      <c r="K1833" s="114"/>
      <c r="L1833" s="114"/>
      <c r="M1833" s="114"/>
      <c r="N1833" s="114"/>
      <c r="O1833" s="114"/>
      <c r="P1833" s="114" t="s">
        <v>2196</v>
      </c>
      <c r="Q1833" s="114" t="s">
        <v>1227</v>
      </c>
    </row>
    <row r="1834" spans="2:17" hidden="1" outlineLevel="2">
      <c r="B1834" s="2" t="s">
        <v>876</v>
      </c>
      <c r="D1834" s="270">
        <v>3109</v>
      </c>
      <c r="E1834" s="112" t="s">
        <v>220</v>
      </c>
      <c r="F1834" s="112" t="s">
        <v>2286</v>
      </c>
      <c r="G1834" s="112" t="s">
        <v>1572</v>
      </c>
      <c r="H1834" s="112" t="s">
        <v>1227</v>
      </c>
      <c r="I1834" s="112"/>
      <c r="J1834" s="112" t="b">
        <v>0</v>
      </c>
      <c r="K1834" s="112"/>
      <c r="L1834" s="112"/>
      <c r="M1834" s="112"/>
      <c r="N1834" s="112"/>
      <c r="O1834" s="112"/>
      <c r="P1834" s="112" t="s">
        <v>2196</v>
      </c>
      <c r="Q1834" s="112" t="s">
        <v>1227</v>
      </c>
    </row>
    <row r="1835" spans="2:17" hidden="1" outlineLevel="2">
      <c r="B1835" s="2" t="s">
        <v>876</v>
      </c>
      <c r="D1835" s="268">
        <v>3111</v>
      </c>
      <c r="E1835" s="114" t="s">
        <v>220</v>
      </c>
      <c r="F1835" s="114" t="s">
        <v>2287</v>
      </c>
      <c r="G1835" s="114" t="s">
        <v>1572</v>
      </c>
      <c r="H1835" s="114" t="s">
        <v>1227</v>
      </c>
      <c r="I1835" s="114"/>
      <c r="J1835" s="114" t="b">
        <v>0</v>
      </c>
      <c r="K1835" s="114"/>
      <c r="L1835" s="114"/>
      <c r="M1835" s="114"/>
      <c r="N1835" s="114"/>
      <c r="O1835" s="114"/>
      <c r="P1835" s="114" t="s">
        <v>2196</v>
      </c>
      <c r="Q1835" s="114" t="s">
        <v>1227</v>
      </c>
    </row>
    <row r="1836" spans="2:17" hidden="1" outlineLevel="2">
      <c r="B1836" s="2" t="s">
        <v>876</v>
      </c>
      <c r="D1836" s="270">
        <v>3113</v>
      </c>
      <c r="E1836" s="112" t="s">
        <v>220</v>
      </c>
      <c r="F1836" s="112" t="s">
        <v>2288</v>
      </c>
      <c r="G1836" s="112" t="s">
        <v>1572</v>
      </c>
      <c r="H1836" s="112" t="s">
        <v>1227</v>
      </c>
      <c r="I1836" s="112"/>
      <c r="J1836" s="112" t="b">
        <v>0</v>
      </c>
      <c r="K1836" s="112"/>
      <c r="L1836" s="112"/>
      <c r="M1836" s="112"/>
      <c r="N1836" s="112"/>
      <c r="O1836" s="112"/>
      <c r="P1836" s="112" t="s">
        <v>2196</v>
      </c>
      <c r="Q1836" s="112" t="s">
        <v>1227</v>
      </c>
    </row>
    <row r="1837" spans="2:17" hidden="1" outlineLevel="2">
      <c r="B1837" s="2" t="s">
        <v>876</v>
      </c>
      <c r="D1837" s="268">
        <v>3114</v>
      </c>
      <c r="E1837" s="114" t="s">
        <v>220</v>
      </c>
      <c r="F1837" s="114" t="s">
        <v>2289</v>
      </c>
      <c r="G1837" s="114" t="s">
        <v>1572</v>
      </c>
      <c r="H1837" s="114" t="s">
        <v>1227</v>
      </c>
      <c r="I1837" s="114"/>
      <c r="J1837" s="114" t="b">
        <v>0</v>
      </c>
      <c r="K1837" s="114"/>
      <c r="L1837" s="114"/>
      <c r="M1837" s="114"/>
      <c r="N1837" s="114"/>
      <c r="O1837" s="114"/>
      <c r="P1837" s="114" t="s">
        <v>2196</v>
      </c>
      <c r="Q1837" s="114" t="s">
        <v>1227</v>
      </c>
    </row>
    <row r="1838" spans="2:17" hidden="1" outlineLevel="2">
      <c r="B1838" s="2" t="s">
        <v>876</v>
      </c>
      <c r="D1838" s="270">
        <v>3115</v>
      </c>
      <c r="E1838" s="112" t="s">
        <v>220</v>
      </c>
      <c r="F1838" s="112" t="s">
        <v>2290</v>
      </c>
      <c r="G1838" s="112" t="s">
        <v>1572</v>
      </c>
      <c r="H1838" s="112" t="s">
        <v>1227</v>
      </c>
      <c r="I1838" s="112"/>
      <c r="J1838" s="112" t="b">
        <v>0</v>
      </c>
      <c r="K1838" s="112"/>
      <c r="L1838" s="112"/>
      <c r="M1838" s="112"/>
      <c r="N1838" s="112"/>
      <c r="O1838" s="112"/>
      <c r="P1838" s="112" t="s">
        <v>2196</v>
      </c>
      <c r="Q1838" s="112" t="s">
        <v>1227</v>
      </c>
    </row>
    <row r="1839" spans="2:17" hidden="1" outlineLevel="2">
      <c r="B1839" s="2" t="s">
        <v>876</v>
      </c>
      <c r="D1839" s="268">
        <v>3116</v>
      </c>
      <c r="E1839" s="114" t="s">
        <v>220</v>
      </c>
      <c r="F1839" s="114" t="s">
        <v>2291</v>
      </c>
      <c r="G1839" s="114" t="s">
        <v>1572</v>
      </c>
      <c r="H1839" s="114" t="s">
        <v>1227</v>
      </c>
      <c r="I1839" s="114"/>
      <c r="J1839" s="114" t="b">
        <v>0</v>
      </c>
      <c r="K1839" s="114"/>
      <c r="L1839" s="114"/>
      <c r="M1839" s="114"/>
      <c r="N1839" s="114"/>
      <c r="O1839" s="114"/>
      <c r="P1839" s="114" t="s">
        <v>2196</v>
      </c>
      <c r="Q1839" s="114" t="s">
        <v>1227</v>
      </c>
    </row>
    <row r="1840" spans="2:17" hidden="1" outlineLevel="2">
      <c r="B1840" s="2" t="s">
        <v>876</v>
      </c>
      <c r="D1840" s="270">
        <v>3121</v>
      </c>
      <c r="E1840" s="112" t="s">
        <v>220</v>
      </c>
      <c r="F1840" s="112" t="s">
        <v>2292</v>
      </c>
      <c r="G1840" s="112" t="s">
        <v>1572</v>
      </c>
      <c r="H1840" s="112" t="s">
        <v>1227</v>
      </c>
      <c r="I1840" s="112"/>
      <c r="J1840" s="112" t="b">
        <v>0</v>
      </c>
      <c r="K1840" s="112"/>
      <c r="L1840" s="112"/>
      <c r="M1840" s="112"/>
      <c r="N1840" s="112"/>
      <c r="O1840" s="112"/>
      <c r="P1840" s="112" t="s">
        <v>2196</v>
      </c>
      <c r="Q1840" s="112" t="s">
        <v>1227</v>
      </c>
    </row>
    <row r="1841" spans="2:17" hidden="1" outlineLevel="2">
      <c r="B1841" s="2" t="s">
        <v>876</v>
      </c>
      <c r="D1841" s="268">
        <v>3122</v>
      </c>
      <c r="E1841" s="114" t="s">
        <v>220</v>
      </c>
      <c r="F1841" s="114" t="s">
        <v>2293</v>
      </c>
      <c r="G1841" s="114" t="s">
        <v>1572</v>
      </c>
      <c r="H1841" s="114" t="s">
        <v>1227</v>
      </c>
      <c r="I1841" s="114"/>
      <c r="J1841" s="114" t="b">
        <v>0</v>
      </c>
      <c r="K1841" s="114"/>
      <c r="L1841" s="114"/>
      <c r="M1841" s="114"/>
      <c r="N1841" s="691" t="b">
        <v>1</v>
      </c>
      <c r="O1841" s="114"/>
      <c r="P1841" s="114" t="s">
        <v>2196</v>
      </c>
      <c r="Q1841" s="114" t="s">
        <v>1227</v>
      </c>
    </row>
    <row r="1842" spans="2:17" hidden="1" outlineLevel="2">
      <c r="B1842" s="2" t="s">
        <v>876</v>
      </c>
      <c r="D1842" s="270">
        <v>3123</v>
      </c>
      <c r="E1842" s="112" t="s">
        <v>220</v>
      </c>
      <c r="F1842" s="112" t="s">
        <v>1676</v>
      </c>
      <c r="G1842" s="112" t="s">
        <v>1572</v>
      </c>
      <c r="H1842" s="112" t="s">
        <v>1227</v>
      </c>
      <c r="I1842" s="112"/>
      <c r="J1842" s="112" t="b">
        <v>0</v>
      </c>
      <c r="K1842" s="112"/>
      <c r="L1842" s="112"/>
      <c r="M1842" s="112"/>
      <c r="N1842" s="691" t="b">
        <v>1</v>
      </c>
      <c r="O1842" s="112"/>
      <c r="P1842" s="112" t="s">
        <v>2196</v>
      </c>
      <c r="Q1842" s="112" t="s">
        <v>1227</v>
      </c>
    </row>
    <row r="1843" spans="2:17" hidden="1" outlineLevel="2">
      <c r="B1843" s="2" t="s">
        <v>876</v>
      </c>
      <c r="D1843" s="268">
        <v>3124</v>
      </c>
      <c r="E1843" s="114" t="s">
        <v>220</v>
      </c>
      <c r="F1843" s="114" t="s">
        <v>2294</v>
      </c>
      <c r="G1843" s="114" t="s">
        <v>1572</v>
      </c>
      <c r="H1843" s="114" t="s">
        <v>1227</v>
      </c>
      <c r="I1843" s="114"/>
      <c r="J1843" s="114" t="b">
        <v>0</v>
      </c>
      <c r="K1843" s="114"/>
      <c r="L1843" s="114"/>
      <c r="M1843" s="114"/>
      <c r="N1843" s="691" t="b">
        <v>1</v>
      </c>
      <c r="O1843" s="114"/>
      <c r="P1843" s="114" t="s">
        <v>2196</v>
      </c>
      <c r="Q1843" s="114" t="s">
        <v>1227</v>
      </c>
    </row>
    <row r="1844" spans="2:17" hidden="1" outlineLevel="2">
      <c r="B1844" s="2" t="s">
        <v>876</v>
      </c>
      <c r="D1844" s="270">
        <v>3125</v>
      </c>
      <c r="E1844" s="112" t="s">
        <v>220</v>
      </c>
      <c r="F1844" s="112" t="s">
        <v>2295</v>
      </c>
      <c r="G1844" s="112" t="s">
        <v>1572</v>
      </c>
      <c r="H1844" s="112" t="s">
        <v>1227</v>
      </c>
      <c r="I1844" s="112"/>
      <c r="J1844" s="112" t="b">
        <v>0</v>
      </c>
      <c r="K1844" s="112"/>
      <c r="L1844" s="112"/>
      <c r="M1844" s="112"/>
      <c r="N1844" s="112"/>
      <c r="O1844" s="112"/>
      <c r="P1844" s="112" t="s">
        <v>2196</v>
      </c>
      <c r="Q1844" s="112" t="s">
        <v>1227</v>
      </c>
    </row>
    <row r="1845" spans="2:17" hidden="1" outlineLevel="2">
      <c r="B1845" s="2" t="s">
        <v>876</v>
      </c>
      <c r="D1845" s="268">
        <v>3126</v>
      </c>
      <c r="E1845" s="114" t="s">
        <v>220</v>
      </c>
      <c r="F1845" s="114" t="s">
        <v>2296</v>
      </c>
      <c r="G1845" s="114" t="s">
        <v>1572</v>
      </c>
      <c r="H1845" s="114" t="s">
        <v>1227</v>
      </c>
      <c r="I1845" s="114"/>
      <c r="J1845" s="114" t="b">
        <v>0</v>
      </c>
      <c r="K1845" s="114"/>
      <c r="L1845" s="114"/>
      <c r="M1845" s="114"/>
      <c r="N1845" s="691" t="b">
        <v>1</v>
      </c>
      <c r="O1845" s="114"/>
      <c r="P1845" s="114" t="s">
        <v>2196</v>
      </c>
      <c r="Q1845" s="114" t="s">
        <v>1227</v>
      </c>
    </row>
    <row r="1846" spans="2:17" hidden="1" outlineLevel="2">
      <c r="B1846" s="2" t="s">
        <v>876</v>
      </c>
      <c r="D1846" s="270">
        <v>3127</v>
      </c>
      <c r="E1846" s="112" t="s">
        <v>220</v>
      </c>
      <c r="F1846" s="112" t="s">
        <v>2297</v>
      </c>
      <c r="G1846" s="112" t="s">
        <v>1572</v>
      </c>
      <c r="H1846" s="112" t="s">
        <v>1227</v>
      </c>
      <c r="I1846" s="112"/>
      <c r="J1846" s="112" t="b">
        <v>0</v>
      </c>
      <c r="K1846" s="112"/>
      <c r="L1846" s="112"/>
      <c r="M1846" s="112"/>
      <c r="N1846" s="691" t="b">
        <v>1</v>
      </c>
      <c r="O1846" s="112"/>
      <c r="P1846" s="112" t="s">
        <v>2196</v>
      </c>
      <c r="Q1846" s="112" t="s">
        <v>1227</v>
      </c>
    </row>
    <row r="1847" spans="2:17" hidden="1" outlineLevel="2">
      <c r="B1847" s="2" t="s">
        <v>876</v>
      </c>
      <c r="D1847" s="268">
        <v>3128</v>
      </c>
      <c r="E1847" s="114" t="s">
        <v>220</v>
      </c>
      <c r="F1847" s="114" t="s">
        <v>2298</v>
      </c>
      <c r="G1847" s="114" t="s">
        <v>1572</v>
      </c>
      <c r="H1847" s="114" t="s">
        <v>1227</v>
      </c>
      <c r="I1847" s="114"/>
      <c r="J1847" s="114" t="b">
        <v>0</v>
      </c>
      <c r="K1847" s="114"/>
      <c r="L1847" s="114"/>
      <c r="M1847" s="114"/>
      <c r="N1847" s="114"/>
      <c r="O1847" s="114"/>
      <c r="P1847" s="114" t="s">
        <v>2196</v>
      </c>
      <c r="Q1847" s="114" t="s">
        <v>1227</v>
      </c>
    </row>
    <row r="1848" spans="2:17" hidden="1" outlineLevel="2">
      <c r="B1848" s="2" t="s">
        <v>876</v>
      </c>
      <c r="D1848" s="270">
        <v>3129</v>
      </c>
      <c r="E1848" s="112" t="s">
        <v>220</v>
      </c>
      <c r="F1848" s="112" t="s">
        <v>2299</v>
      </c>
      <c r="G1848" s="112" t="s">
        <v>1572</v>
      </c>
      <c r="H1848" s="112" t="s">
        <v>1227</v>
      </c>
      <c r="I1848" s="112"/>
      <c r="J1848" s="112" t="b">
        <v>0</v>
      </c>
      <c r="K1848" s="112"/>
      <c r="L1848" s="112"/>
      <c r="M1848" s="112"/>
      <c r="N1848" s="112"/>
      <c r="O1848" s="112"/>
      <c r="P1848" s="112" t="s">
        <v>2196</v>
      </c>
      <c r="Q1848" s="112" t="s">
        <v>1227</v>
      </c>
    </row>
    <row r="1849" spans="2:17" hidden="1" outlineLevel="2">
      <c r="B1849" s="2" t="s">
        <v>876</v>
      </c>
      <c r="D1849" s="268">
        <v>3130</v>
      </c>
      <c r="E1849" s="114" t="s">
        <v>220</v>
      </c>
      <c r="F1849" s="114" t="s">
        <v>2300</v>
      </c>
      <c r="G1849" s="114" t="s">
        <v>1572</v>
      </c>
      <c r="H1849" s="114" t="s">
        <v>1227</v>
      </c>
      <c r="I1849" s="114"/>
      <c r="J1849" s="114" t="b">
        <v>0</v>
      </c>
      <c r="K1849" s="114"/>
      <c r="L1849" s="114"/>
      <c r="M1849" s="114"/>
      <c r="N1849" s="114"/>
      <c r="O1849" s="114"/>
      <c r="P1849" s="114" t="s">
        <v>2196</v>
      </c>
      <c r="Q1849" s="114" t="s">
        <v>1227</v>
      </c>
    </row>
    <row r="1850" spans="2:17" hidden="1" outlineLevel="2">
      <c r="B1850" s="2" t="s">
        <v>876</v>
      </c>
      <c r="D1850" s="270">
        <v>3131</v>
      </c>
      <c r="E1850" s="112" t="s">
        <v>220</v>
      </c>
      <c r="F1850" s="112" t="s">
        <v>2301</v>
      </c>
      <c r="G1850" s="112" t="s">
        <v>1572</v>
      </c>
      <c r="H1850" s="112" t="s">
        <v>1227</v>
      </c>
      <c r="I1850" s="112"/>
      <c r="J1850" s="112" t="b">
        <v>0</v>
      </c>
      <c r="K1850" s="112"/>
      <c r="L1850" s="112"/>
      <c r="M1850" s="112"/>
      <c r="N1850" s="112"/>
      <c r="O1850" s="112"/>
      <c r="P1850" s="112" t="s">
        <v>2196</v>
      </c>
      <c r="Q1850" s="112" t="s">
        <v>1227</v>
      </c>
    </row>
    <row r="1851" spans="2:17" hidden="1" outlineLevel="2">
      <c r="B1851" s="2" t="s">
        <v>876</v>
      </c>
      <c r="D1851" s="268">
        <v>3132</v>
      </c>
      <c r="E1851" s="114" t="s">
        <v>220</v>
      </c>
      <c r="F1851" s="114" t="s">
        <v>2302</v>
      </c>
      <c r="G1851" s="114" t="s">
        <v>1572</v>
      </c>
      <c r="H1851" s="114" t="s">
        <v>1227</v>
      </c>
      <c r="I1851" s="114"/>
      <c r="J1851" s="114" t="b">
        <v>0</v>
      </c>
      <c r="K1851" s="114"/>
      <c r="L1851" s="114"/>
      <c r="M1851" s="114"/>
      <c r="N1851" s="114"/>
      <c r="O1851" s="114"/>
      <c r="P1851" s="114" t="s">
        <v>2196</v>
      </c>
      <c r="Q1851" s="114" t="s">
        <v>1227</v>
      </c>
    </row>
    <row r="1852" spans="2:17" hidden="1" outlineLevel="2">
      <c r="B1852" s="2" t="s">
        <v>876</v>
      </c>
      <c r="D1852" s="270">
        <v>3133</v>
      </c>
      <c r="E1852" s="112" t="s">
        <v>220</v>
      </c>
      <c r="F1852" s="112" t="s">
        <v>2303</v>
      </c>
      <c r="G1852" s="112" t="s">
        <v>1572</v>
      </c>
      <c r="H1852" s="112" t="s">
        <v>1227</v>
      </c>
      <c r="I1852" s="112"/>
      <c r="J1852" s="112" t="b">
        <v>0</v>
      </c>
      <c r="K1852" s="112"/>
      <c r="L1852" s="112"/>
      <c r="M1852" s="112"/>
      <c r="N1852" s="112"/>
      <c r="O1852" s="112"/>
      <c r="P1852" s="112" t="s">
        <v>2196</v>
      </c>
      <c r="Q1852" s="112" t="s">
        <v>1227</v>
      </c>
    </row>
    <row r="1853" spans="2:17" hidden="1" outlineLevel="2">
      <c r="B1853" s="2" t="s">
        <v>876</v>
      </c>
      <c r="D1853" s="268">
        <v>3134</v>
      </c>
      <c r="E1853" s="114" t="s">
        <v>220</v>
      </c>
      <c r="F1853" s="114" t="s">
        <v>2304</v>
      </c>
      <c r="G1853" s="114" t="s">
        <v>1572</v>
      </c>
      <c r="H1853" s="114" t="s">
        <v>1227</v>
      </c>
      <c r="I1853" s="114"/>
      <c r="J1853" s="114" t="b">
        <v>0</v>
      </c>
      <c r="K1853" s="114"/>
      <c r="L1853" s="114"/>
      <c r="M1853" s="114"/>
      <c r="N1853" s="114"/>
      <c r="O1853" s="114"/>
      <c r="P1853" s="114" t="s">
        <v>2196</v>
      </c>
      <c r="Q1853" s="114" t="s">
        <v>1227</v>
      </c>
    </row>
    <row r="1854" spans="2:17" hidden="1" outlineLevel="2">
      <c r="B1854" s="2" t="s">
        <v>876</v>
      </c>
      <c r="D1854" s="270">
        <v>3135</v>
      </c>
      <c r="E1854" s="112" t="s">
        <v>220</v>
      </c>
      <c r="F1854" s="112" t="s">
        <v>2305</v>
      </c>
      <c r="G1854" s="112" t="s">
        <v>1572</v>
      </c>
      <c r="H1854" s="112" t="s">
        <v>1227</v>
      </c>
      <c r="I1854" s="112"/>
      <c r="J1854" s="112" t="b">
        <v>0</v>
      </c>
      <c r="K1854" s="112"/>
      <c r="L1854" s="112"/>
      <c r="M1854" s="112"/>
      <c r="N1854" s="112"/>
      <c r="O1854" s="112"/>
      <c r="P1854" s="112" t="s">
        <v>2196</v>
      </c>
      <c r="Q1854" s="112" t="s">
        <v>1227</v>
      </c>
    </row>
    <row r="1855" spans="2:17" hidden="1" outlineLevel="2">
      <c r="B1855" s="2" t="s">
        <v>876</v>
      </c>
      <c r="D1855" s="268">
        <v>3136</v>
      </c>
      <c r="E1855" s="114" t="s">
        <v>220</v>
      </c>
      <c r="F1855" s="114" t="s">
        <v>1665</v>
      </c>
      <c r="G1855" s="114" t="s">
        <v>1572</v>
      </c>
      <c r="H1855" s="114" t="s">
        <v>1227</v>
      </c>
      <c r="I1855" s="114"/>
      <c r="J1855" s="114" t="b">
        <v>0</v>
      </c>
      <c r="K1855" s="114"/>
      <c r="L1855" s="114"/>
      <c r="M1855" s="114"/>
      <c r="N1855" s="114"/>
      <c r="O1855" s="114"/>
      <c r="P1855" s="114" t="s">
        <v>2196</v>
      </c>
      <c r="Q1855" s="114" t="s">
        <v>1227</v>
      </c>
    </row>
    <row r="1856" spans="2:17" hidden="1" outlineLevel="2">
      <c r="B1856" s="2" t="s">
        <v>876</v>
      </c>
      <c r="D1856" s="270">
        <v>3137</v>
      </c>
      <c r="E1856" s="112" t="s">
        <v>220</v>
      </c>
      <c r="F1856" s="112" t="s">
        <v>2306</v>
      </c>
      <c r="G1856" s="112" t="s">
        <v>1572</v>
      </c>
      <c r="H1856" s="112" t="s">
        <v>1227</v>
      </c>
      <c r="I1856" s="112"/>
      <c r="J1856" s="112" t="b">
        <v>0</v>
      </c>
      <c r="K1856" s="112"/>
      <c r="L1856" s="112"/>
      <c r="M1856" s="112"/>
      <c r="N1856" s="112"/>
      <c r="O1856" s="112"/>
      <c r="P1856" s="112" t="s">
        <v>2196</v>
      </c>
      <c r="Q1856" s="112" t="s">
        <v>1227</v>
      </c>
    </row>
    <row r="1857" spans="2:17" hidden="1" outlineLevel="2">
      <c r="B1857" s="2" t="s">
        <v>876</v>
      </c>
      <c r="D1857" s="268">
        <v>3138</v>
      </c>
      <c r="E1857" s="114" t="s">
        <v>220</v>
      </c>
      <c r="F1857" s="114" t="s">
        <v>2307</v>
      </c>
      <c r="G1857" s="114" t="s">
        <v>1572</v>
      </c>
      <c r="H1857" s="114" t="s">
        <v>1227</v>
      </c>
      <c r="I1857" s="114"/>
      <c r="J1857" s="114" t="b">
        <v>0</v>
      </c>
      <c r="K1857" s="114"/>
      <c r="L1857" s="114"/>
      <c r="M1857" s="114"/>
      <c r="N1857" s="114"/>
      <c r="O1857" s="114"/>
      <c r="P1857" s="114" t="s">
        <v>2196</v>
      </c>
      <c r="Q1857" s="114" t="s">
        <v>1227</v>
      </c>
    </row>
    <row r="1858" spans="2:17" hidden="1" outlineLevel="2">
      <c r="B1858" s="2" t="s">
        <v>876</v>
      </c>
      <c r="D1858" s="270">
        <v>3139</v>
      </c>
      <c r="E1858" s="112" t="s">
        <v>220</v>
      </c>
      <c r="F1858" s="112" t="s">
        <v>2308</v>
      </c>
      <c r="G1858" s="112" t="s">
        <v>1572</v>
      </c>
      <c r="H1858" s="112" t="s">
        <v>1227</v>
      </c>
      <c r="I1858" s="112"/>
      <c r="J1858" s="112" t="b">
        <v>0</v>
      </c>
      <c r="K1858" s="112"/>
      <c r="L1858" s="112"/>
      <c r="M1858" s="112"/>
      <c r="N1858" s="112"/>
      <c r="O1858" s="112"/>
      <c r="P1858" s="112" t="s">
        <v>2196</v>
      </c>
      <c r="Q1858" s="112" t="s">
        <v>1227</v>
      </c>
    </row>
    <row r="1859" spans="2:17" hidden="1" outlineLevel="2">
      <c r="B1859" s="2" t="s">
        <v>876</v>
      </c>
      <c r="D1859" s="268">
        <v>3140</v>
      </c>
      <c r="E1859" s="114" t="s">
        <v>220</v>
      </c>
      <c r="F1859" s="114" t="s">
        <v>2309</v>
      </c>
      <c r="G1859" s="114" t="s">
        <v>1572</v>
      </c>
      <c r="H1859" s="114" t="s">
        <v>1227</v>
      </c>
      <c r="I1859" s="114"/>
      <c r="J1859" s="114" t="b">
        <v>0</v>
      </c>
      <c r="K1859" s="114"/>
      <c r="L1859" s="114"/>
      <c r="M1859" s="114"/>
      <c r="N1859" s="114"/>
      <c r="O1859" s="114"/>
      <c r="P1859" s="114" t="s">
        <v>2196</v>
      </c>
      <c r="Q1859" s="114" t="s">
        <v>1227</v>
      </c>
    </row>
    <row r="1860" spans="2:17" hidden="1" outlineLevel="2">
      <c r="B1860" s="2" t="s">
        <v>876</v>
      </c>
      <c r="D1860" s="270">
        <v>3141</v>
      </c>
      <c r="E1860" s="112" t="s">
        <v>220</v>
      </c>
      <c r="F1860" s="112" t="s">
        <v>2310</v>
      </c>
      <c r="G1860" s="112" t="s">
        <v>1572</v>
      </c>
      <c r="H1860" s="112" t="s">
        <v>1227</v>
      </c>
      <c r="I1860" s="112"/>
      <c r="J1860" s="112" t="b">
        <v>0</v>
      </c>
      <c r="K1860" s="112"/>
      <c r="L1860" s="112"/>
      <c r="M1860" s="112"/>
      <c r="N1860" s="691" t="b">
        <v>1</v>
      </c>
      <c r="O1860" s="112"/>
      <c r="P1860" s="112" t="s">
        <v>2196</v>
      </c>
      <c r="Q1860" s="112" t="s">
        <v>1227</v>
      </c>
    </row>
    <row r="1861" spans="2:17" hidden="1" outlineLevel="2">
      <c r="B1861" s="2" t="s">
        <v>876</v>
      </c>
      <c r="D1861" s="268">
        <v>3142</v>
      </c>
      <c r="E1861" s="114" t="s">
        <v>220</v>
      </c>
      <c r="F1861" s="114" t="s">
        <v>2311</v>
      </c>
      <c r="G1861" s="114" t="s">
        <v>1572</v>
      </c>
      <c r="H1861" s="114" t="s">
        <v>1227</v>
      </c>
      <c r="I1861" s="114"/>
      <c r="J1861" s="114" t="b">
        <v>0</v>
      </c>
      <c r="K1861" s="114"/>
      <c r="L1861" s="114"/>
      <c r="M1861" s="114"/>
      <c r="N1861" s="691" t="b">
        <v>1</v>
      </c>
      <c r="O1861" s="691">
        <v>8</v>
      </c>
      <c r="P1861" s="114" t="s">
        <v>2196</v>
      </c>
      <c r="Q1861" s="114" t="s">
        <v>1227</v>
      </c>
    </row>
    <row r="1862" spans="2:17" hidden="1" outlineLevel="2">
      <c r="B1862" s="2" t="s">
        <v>876</v>
      </c>
      <c r="D1862" s="270">
        <v>3143</v>
      </c>
      <c r="E1862" s="112" t="s">
        <v>220</v>
      </c>
      <c r="F1862" s="112" t="s">
        <v>2312</v>
      </c>
      <c r="G1862" s="112" t="s">
        <v>1572</v>
      </c>
      <c r="H1862" s="112" t="s">
        <v>1227</v>
      </c>
      <c r="I1862" s="112"/>
      <c r="J1862" s="112" t="b">
        <v>0</v>
      </c>
      <c r="K1862" s="112"/>
      <c r="L1862" s="112"/>
      <c r="M1862" s="112"/>
      <c r="N1862" s="691" t="b">
        <v>1</v>
      </c>
      <c r="O1862" s="112"/>
      <c r="P1862" s="112" t="s">
        <v>2196</v>
      </c>
      <c r="Q1862" s="112" t="s">
        <v>1227</v>
      </c>
    </row>
    <row r="1863" spans="2:17" hidden="1" outlineLevel="2">
      <c r="B1863" s="2" t="s">
        <v>876</v>
      </c>
      <c r="D1863" s="268">
        <v>3144</v>
      </c>
      <c r="E1863" s="114" t="s">
        <v>220</v>
      </c>
      <c r="F1863" s="114" t="s">
        <v>2313</v>
      </c>
      <c r="G1863" s="114" t="s">
        <v>1572</v>
      </c>
      <c r="H1863" s="114" t="s">
        <v>1227</v>
      </c>
      <c r="I1863" s="114"/>
      <c r="J1863" s="114" t="b">
        <v>0</v>
      </c>
      <c r="K1863" s="114"/>
      <c r="L1863" s="114"/>
      <c r="M1863" s="114"/>
      <c r="N1863" s="691" t="b">
        <v>1</v>
      </c>
      <c r="O1863" s="114"/>
      <c r="P1863" s="114" t="s">
        <v>2196</v>
      </c>
      <c r="Q1863" s="114" t="s">
        <v>1227</v>
      </c>
    </row>
    <row r="1864" spans="2:17" hidden="1" outlineLevel="2">
      <c r="B1864" s="2" t="s">
        <v>876</v>
      </c>
      <c r="D1864" s="270">
        <v>3145</v>
      </c>
      <c r="E1864" s="112" t="s">
        <v>220</v>
      </c>
      <c r="F1864" s="112" t="s">
        <v>2314</v>
      </c>
      <c r="G1864" s="112" t="s">
        <v>1572</v>
      </c>
      <c r="H1864" s="112" t="s">
        <v>1227</v>
      </c>
      <c r="I1864" s="112"/>
      <c r="J1864" s="112" t="b">
        <v>0</v>
      </c>
      <c r="K1864" s="112"/>
      <c r="L1864" s="112"/>
      <c r="M1864" s="112"/>
      <c r="N1864" s="691" t="b">
        <v>1</v>
      </c>
      <c r="O1864" s="112"/>
      <c r="P1864" s="112" t="s">
        <v>2196</v>
      </c>
      <c r="Q1864" s="112" t="s">
        <v>1227</v>
      </c>
    </row>
    <row r="1865" spans="2:17" hidden="1" outlineLevel="2">
      <c r="B1865" s="2" t="s">
        <v>876</v>
      </c>
      <c r="D1865" s="268">
        <v>3146</v>
      </c>
      <c r="E1865" s="114" t="s">
        <v>220</v>
      </c>
      <c r="F1865" s="114" t="s">
        <v>2315</v>
      </c>
      <c r="G1865" s="114" t="s">
        <v>1572</v>
      </c>
      <c r="H1865" s="114" t="s">
        <v>1227</v>
      </c>
      <c r="I1865" s="114"/>
      <c r="J1865" s="114" t="b">
        <v>0</v>
      </c>
      <c r="K1865" s="114"/>
      <c r="L1865" s="114"/>
      <c r="M1865" s="114"/>
      <c r="N1865" s="691" t="b">
        <v>1</v>
      </c>
      <c r="O1865" s="114"/>
      <c r="P1865" s="114" t="s">
        <v>2196</v>
      </c>
      <c r="Q1865" s="114" t="s">
        <v>1227</v>
      </c>
    </row>
    <row r="1866" spans="2:17" hidden="1" outlineLevel="2">
      <c r="B1866" s="2" t="s">
        <v>876</v>
      </c>
      <c r="D1866" s="270">
        <v>3147</v>
      </c>
      <c r="E1866" s="112" t="s">
        <v>220</v>
      </c>
      <c r="F1866" s="112" t="s">
        <v>2316</v>
      </c>
      <c r="G1866" s="112" t="s">
        <v>1572</v>
      </c>
      <c r="H1866" s="112" t="s">
        <v>1227</v>
      </c>
      <c r="I1866" s="112"/>
      <c r="J1866" s="112" t="b">
        <v>0</v>
      </c>
      <c r="K1866" s="112"/>
      <c r="L1866" s="112"/>
      <c r="M1866" s="112"/>
      <c r="N1866" s="691" t="b">
        <v>1</v>
      </c>
      <c r="O1866" s="112"/>
      <c r="P1866" s="112" t="s">
        <v>2196</v>
      </c>
      <c r="Q1866" s="112" t="s">
        <v>1227</v>
      </c>
    </row>
    <row r="1867" spans="2:17" hidden="1" outlineLevel="2">
      <c r="B1867" s="2" t="s">
        <v>876</v>
      </c>
      <c r="D1867" s="268">
        <v>3148</v>
      </c>
      <c r="E1867" s="114" t="s">
        <v>220</v>
      </c>
      <c r="F1867" s="114" t="s">
        <v>2317</v>
      </c>
      <c r="G1867" s="114" t="s">
        <v>1572</v>
      </c>
      <c r="H1867" s="114" t="s">
        <v>1227</v>
      </c>
      <c r="I1867" s="114"/>
      <c r="J1867" s="114" t="b">
        <v>0</v>
      </c>
      <c r="K1867" s="114"/>
      <c r="L1867" s="114"/>
      <c r="M1867" s="114"/>
      <c r="N1867" s="114"/>
      <c r="O1867" s="114"/>
      <c r="P1867" s="114" t="s">
        <v>2196</v>
      </c>
      <c r="Q1867" s="114" t="s">
        <v>1227</v>
      </c>
    </row>
    <row r="1868" spans="2:17" hidden="1" outlineLevel="2">
      <c r="B1868" s="2" t="s">
        <v>876</v>
      </c>
      <c r="D1868" s="270">
        <v>3149</v>
      </c>
      <c r="E1868" s="112" t="s">
        <v>220</v>
      </c>
      <c r="F1868" s="112" t="s">
        <v>2318</v>
      </c>
      <c r="G1868" s="112" t="s">
        <v>1572</v>
      </c>
      <c r="H1868" s="112" t="s">
        <v>1227</v>
      </c>
      <c r="I1868" s="112"/>
      <c r="J1868" s="112" t="b">
        <v>0</v>
      </c>
      <c r="K1868" s="112"/>
      <c r="L1868" s="112"/>
      <c r="M1868" s="112"/>
      <c r="N1868" s="112"/>
      <c r="O1868" s="112"/>
      <c r="P1868" s="112" t="s">
        <v>2196</v>
      </c>
      <c r="Q1868" s="112" t="s">
        <v>1227</v>
      </c>
    </row>
    <row r="1869" spans="2:17" hidden="1" outlineLevel="2">
      <c r="B1869" s="2" t="s">
        <v>876</v>
      </c>
      <c r="D1869" s="268">
        <v>3150</v>
      </c>
      <c r="E1869" s="114" t="s">
        <v>220</v>
      </c>
      <c r="F1869" s="114" t="s">
        <v>2319</v>
      </c>
      <c r="G1869" s="114" t="s">
        <v>1572</v>
      </c>
      <c r="H1869" s="114" t="s">
        <v>1227</v>
      </c>
      <c r="I1869" s="114"/>
      <c r="J1869" s="114" t="b">
        <v>0</v>
      </c>
      <c r="K1869" s="114"/>
      <c r="L1869" s="114"/>
      <c r="M1869" s="114"/>
      <c r="N1869" s="114"/>
      <c r="O1869" s="114"/>
      <c r="P1869" s="114" t="s">
        <v>2196</v>
      </c>
      <c r="Q1869" s="114" t="s">
        <v>1227</v>
      </c>
    </row>
    <row r="1870" spans="2:17" hidden="1" outlineLevel="2">
      <c r="B1870" s="2" t="s">
        <v>876</v>
      </c>
      <c r="D1870" s="270">
        <v>3151</v>
      </c>
      <c r="E1870" s="112" t="s">
        <v>220</v>
      </c>
      <c r="F1870" s="112" t="s">
        <v>2320</v>
      </c>
      <c r="G1870" s="112" t="s">
        <v>1572</v>
      </c>
      <c r="H1870" s="112" t="s">
        <v>1227</v>
      </c>
      <c r="I1870" s="112"/>
      <c r="J1870" s="112" t="b">
        <v>0</v>
      </c>
      <c r="K1870" s="112"/>
      <c r="L1870" s="112"/>
      <c r="M1870" s="112"/>
      <c r="N1870" s="112" t="s">
        <v>164</v>
      </c>
      <c r="O1870" s="112"/>
      <c r="P1870" s="112" t="s">
        <v>2196</v>
      </c>
      <c r="Q1870" s="112" t="s">
        <v>1227</v>
      </c>
    </row>
    <row r="1871" spans="2:17" hidden="1" outlineLevel="2">
      <c r="B1871" s="2" t="s">
        <v>876</v>
      </c>
      <c r="D1871" s="268">
        <v>3152</v>
      </c>
      <c r="E1871" s="114" t="s">
        <v>220</v>
      </c>
      <c r="F1871" s="114" t="s">
        <v>2321</v>
      </c>
      <c r="G1871" s="114" t="s">
        <v>1572</v>
      </c>
      <c r="H1871" s="114" t="s">
        <v>1227</v>
      </c>
      <c r="I1871" s="114"/>
      <c r="J1871" s="114" t="b">
        <v>0</v>
      </c>
      <c r="K1871" s="114"/>
      <c r="L1871" s="114"/>
      <c r="M1871" s="114"/>
      <c r="N1871" s="114"/>
      <c r="O1871" s="114"/>
      <c r="P1871" s="114" t="s">
        <v>2196</v>
      </c>
      <c r="Q1871" s="114" t="s">
        <v>1227</v>
      </c>
    </row>
    <row r="1872" spans="2:17" hidden="1" outlineLevel="2">
      <c r="B1872" s="2" t="s">
        <v>876</v>
      </c>
      <c r="D1872" s="270">
        <v>3153</v>
      </c>
      <c r="E1872" s="112" t="s">
        <v>220</v>
      </c>
      <c r="F1872" s="112" t="s">
        <v>2322</v>
      </c>
      <c r="G1872" s="112" t="s">
        <v>1572</v>
      </c>
      <c r="H1872" s="112" t="s">
        <v>1227</v>
      </c>
      <c r="I1872" s="112"/>
      <c r="J1872" s="112" t="b">
        <v>0</v>
      </c>
      <c r="K1872" s="112"/>
      <c r="L1872" s="112"/>
      <c r="M1872" s="112"/>
      <c r="N1872" s="112"/>
      <c r="O1872" s="112"/>
      <c r="P1872" s="112" t="s">
        <v>2196</v>
      </c>
      <c r="Q1872" s="112" t="s">
        <v>1227</v>
      </c>
    </row>
    <row r="1873" spans="2:17" hidden="1" outlineLevel="2">
      <c r="B1873" s="2" t="s">
        <v>876</v>
      </c>
      <c r="D1873" s="268">
        <v>3154</v>
      </c>
      <c r="E1873" s="114" t="s">
        <v>220</v>
      </c>
      <c r="F1873" s="114" t="s">
        <v>2323</v>
      </c>
      <c r="G1873" s="114" t="s">
        <v>1572</v>
      </c>
      <c r="H1873" s="114" t="s">
        <v>1227</v>
      </c>
      <c r="I1873" s="114"/>
      <c r="J1873" s="114" t="b">
        <v>0</v>
      </c>
      <c r="K1873" s="114"/>
      <c r="L1873" s="114"/>
      <c r="M1873" s="114"/>
      <c r="N1873" s="114"/>
      <c r="O1873" s="114"/>
      <c r="P1873" s="114" t="s">
        <v>2196</v>
      </c>
      <c r="Q1873" s="114" t="s">
        <v>1227</v>
      </c>
    </row>
    <row r="1874" spans="2:17" hidden="1" outlineLevel="2">
      <c r="B1874" s="2" t="s">
        <v>876</v>
      </c>
      <c r="D1874" s="270">
        <v>3155</v>
      </c>
      <c r="E1874" s="112" t="s">
        <v>220</v>
      </c>
      <c r="F1874" s="112" t="s">
        <v>2324</v>
      </c>
      <c r="G1874" s="112" t="s">
        <v>1572</v>
      </c>
      <c r="H1874" s="112" t="s">
        <v>1227</v>
      </c>
      <c r="I1874" s="112"/>
      <c r="J1874" s="112" t="b">
        <v>0</v>
      </c>
      <c r="K1874" s="112"/>
      <c r="L1874" s="112"/>
      <c r="M1874" s="112"/>
      <c r="N1874" s="112"/>
      <c r="O1874" s="112"/>
      <c r="P1874" s="112" t="s">
        <v>2196</v>
      </c>
      <c r="Q1874" s="112" t="s">
        <v>1227</v>
      </c>
    </row>
    <row r="1875" spans="2:17" hidden="1" outlineLevel="2">
      <c r="B1875" s="2" t="s">
        <v>876</v>
      </c>
      <c r="D1875" s="268">
        <v>3156</v>
      </c>
      <c r="E1875" s="114" t="s">
        <v>220</v>
      </c>
      <c r="F1875" s="114" t="s">
        <v>2325</v>
      </c>
      <c r="G1875" s="114" t="s">
        <v>1572</v>
      </c>
      <c r="H1875" s="114" t="s">
        <v>1227</v>
      </c>
      <c r="I1875" s="114"/>
      <c r="J1875" s="114" t="b">
        <v>0</v>
      </c>
      <c r="K1875" s="114"/>
      <c r="L1875" s="114"/>
      <c r="M1875" s="114"/>
      <c r="N1875" s="114"/>
      <c r="O1875" s="114"/>
      <c r="P1875" s="114" t="s">
        <v>2196</v>
      </c>
      <c r="Q1875" s="114" t="s">
        <v>1227</v>
      </c>
    </row>
    <row r="1876" spans="2:17" hidden="1" outlineLevel="2">
      <c r="B1876" s="2" t="s">
        <v>876</v>
      </c>
      <c r="D1876" s="270">
        <v>3158</v>
      </c>
      <c r="E1876" s="112" t="s">
        <v>220</v>
      </c>
      <c r="F1876" s="112" t="s">
        <v>2326</v>
      </c>
      <c r="G1876" s="112" t="s">
        <v>1572</v>
      </c>
      <c r="H1876" s="112" t="s">
        <v>1227</v>
      </c>
      <c r="I1876" s="112"/>
      <c r="J1876" s="112" t="b">
        <v>0</v>
      </c>
      <c r="K1876" s="112"/>
      <c r="L1876" s="112"/>
      <c r="M1876" s="112"/>
      <c r="N1876" s="112"/>
      <c r="O1876" s="112"/>
      <c r="P1876" s="112" t="s">
        <v>2196</v>
      </c>
      <c r="Q1876" s="112" t="s">
        <v>1227</v>
      </c>
    </row>
    <row r="1877" spans="2:17" hidden="1" outlineLevel="2">
      <c r="B1877" s="2" t="s">
        <v>876</v>
      </c>
      <c r="D1877" s="268">
        <v>3159</v>
      </c>
      <c r="E1877" s="114" t="s">
        <v>220</v>
      </c>
      <c r="F1877" s="114" t="s">
        <v>2327</v>
      </c>
      <c r="G1877" s="114" t="s">
        <v>1572</v>
      </c>
      <c r="H1877" s="114" t="s">
        <v>1227</v>
      </c>
      <c r="I1877" s="114"/>
      <c r="J1877" s="114" t="b">
        <v>0</v>
      </c>
      <c r="K1877" s="114"/>
      <c r="L1877" s="114"/>
      <c r="M1877" s="114"/>
      <c r="N1877" s="114"/>
      <c r="O1877" s="114"/>
      <c r="P1877" s="114" t="s">
        <v>2196</v>
      </c>
      <c r="Q1877" s="114" t="s">
        <v>1227</v>
      </c>
    </row>
    <row r="1878" spans="2:17" hidden="1" outlineLevel="2">
      <c r="B1878" s="2" t="s">
        <v>876</v>
      </c>
      <c r="D1878" s="270">
        <v>3160</v>
      </c>
      <c r="E1878" s="112" t="s">
        <v>220</v>
      </c>
      <c r="F1878" s="112" t="s">
        <v>2328</v>
      </c>
      <c r="G1878" s="112" t="s">
        <v>1572</v>
      </c>
      <c r="H1878" s="112" t="s">
        <v>1227</v>
      </c>
      <c r="I1878" s="112"/>
      <c r="J1878" s="112" t="b">
        <v>0</v>
      </c>
      <c r="K1878" s="112"/>
      <c r="L1878" s="112"/>
      <c r="M1878" s="112"/>
      <c r="N1878" s="112"/>
      <c r="O1878" s="112"/>
      <c r="P1878" s="112" t="s">
        <v>2196</v>
      </c>
      <c r="Q1878" s="112" t="s">
        <v>1227</v>
      </c>
    </row>
    <row r="1879" spans="2:17" hidden="1" outlineLevel="2">
      <c r="B1879" s="2" t="s">
        <v>876</v>
      </c>
      <c r="D1879" s="268">
        <v>3161</v>
      </c>
      <c r="E1879" s="114" t="s">
        <v>220</v>
      </c>
      <c r="F1879" s="114" t="s">
        <v>2329</v>
      </c>
      <c r="G1879" s="114" t="s">
        <v>1572</v>
      </c>
      <c r="H1879" s="114" t="s">
        <v>1227</v>
      </c>
      <c r="I1879" s="114"/>
      <c r="J1879" s="114" t="b">
        <v>0</v>
      </c>
      <c r="K1879" s="114"/>
      <c r="L1879" s="114"/>
      <c r="M1879" s="114"/>
      <c r="N1879" s="691" t="b">
        <v>1</v>
      </c>
      <c r="O1879" s="114"/>
      <c r="P1879" s="114" t="s">
        <v>2196</v>
      </c>
      <c r="Q1879" s="114" t="s">
        <v>1227</v>
      </c>
    </row>
    <row r="1880" spans="2:17" hidden="1" outlineLevel="2">
      <c r="B1880" s="2" t="s">
        <v>876</v>
      </c>
      <c r="D1880" s="270">
        <v>3162</v>
      </c>
      <c r="E1880" s="112" t="s">
        <v>220</v>
      </c>
      <c r="F1880" s="112" t="s">
        <v>2330</v>
      </c>
      <c r="G1880" s="112" t="s">
        <v>1572</v>
      </c>
      <c r="H1880" s="112" t="s">
        <v>1227</v>
      </c>
      <c r="I1880" s="112"/>
      <c r="J1880" s="112" t="b">
        <v>0</v>
      </c>
      <c r="K1880" s="112"/>
      <c r="L1880" s="112"/>
      <c r="M1880" s="112"/>
      <c r="N1880" s="691" t="b">
        <v>1</v>
      </c>
      <c r="O1880" s="112"/>
      <c r="P1880" s="112" t="s">
        <v>2196</v>
      </c>
      <c r="Q1880" s="112" t="s">
        <v>1227</v>
      </c>
    </row>
    <row r="1881" spans="2:17" hidden="1" outlineLevel="2">
      <c r="B1881" s="2" t="s">
        <v>876</v>
      </c>
      <c r="D1881" s="268">
        <v>3163</v>
      </c>
      <c r="E1881" s="114" t="s">
        <v>220</v>
      </c>
      <c r="F1881" s="114" t="s">
        <v>2331</v>
      </c>
      <c r="G1881" s="114" t="s">
        <v>1572</v>
      </c>
      <c r="H1881" s="114" t="s">
        <v>1227</v>
      </c>
      <c r="I1881" s="114"/>
      <c r="J1881" s="114" t="b">
        <v>0</v>
      </c>
      <c r="K1881" s="114"/>
      <c r="L1881" s="114"/>
      <c r="M1881" s="114"/>
      <c r="N1881" s="114"/>
      <c r="O1881" s="114"/>
      <c r="P1881" s="114" t="s">
        <v>2196</v>
      </c>
      <c r="Q1881" s="114" t="s">
        <v>1227</v>
      </c>
    </row>
    <row r="1882" spans="2:17" hidden="1" outlineLevel="2">
      <c r="B1882" s="2" t="s">
        <v>876</v>
      </c>
      <c r="D1882" s="270">
        <v>3165</v>
      </c>
      <c r="E1882" s="112" t="s">
        <v>220</v>
      </c>
      <c r="F1882" s="112" t="s">
        <v>2332</v>
      </c>
      <c r="G1882" s="112" t="s">
        <v>1572</v>
      </c>
      <c r="H1882" s="112" t="s">
        <v>1227</v>
      </c>
      <c r="I1882" s="112"/>
      <c r="J1882" s="112" t="b">
        <v>0</v>
      </c>
      <c r="K1882" s="112"/>
      <c r="L1882" s="112"/>
      <c r="M1882" s="112"/>
      <c r="N1882" s="112"/>
      <c r="O1882" s="112"/>
      <c r="P1882" s="112" t="s">
        <v>2196</v>
      </c>
      <c r="Q1882" s="112" t="s">
        <v>1227</v>
      </c>
    </row>
    <row r="1883" spans="2:17" hidden="1" outlineLevel="2">
      <c r="B1883" s="2" t="s">
        <v>876</v>
      </c>
      <c r="D1883" s="268">
        <v>3166</v>
      </c>
      <c r="E1883" s="114" t="s">
        <v>220</v>
      </c>
      <c r="F1883" s="114" t="s">
        <v>2333</v>
      </c>
      <c r="G1883" s="114" t="s">
        <v>1572</v>
      </c>
      <c r="H1883" s="114" t="s">
        <v>1227</v>
      </c>
      <c r="I1883" s="114"/>
      <c r="J1883" s="114" t="b">
        <v>0</v>
      </c>
      <c r="K1883" s="114"/>
      <c r="L1883" s="114"/>
      <c r="M1883" s="114"/>
      <c r="N1883" s="114"/>
      <c r="O1883" s="114"/>
      <c r="P1883" s="114" t="s">
        <v>2196</v>
      </c>
      <c r="Q1883" s="114" t="s">
        <v>1227</v>
      </c>
    </row>
    <row r="1884" spans="2:17" hidden="1" outlineLevel="2">
      <c r="B1884" s="2" t="s">
        <v>876</v>
      </c>
      <c r="D1884" s="270">
        <v>3167</v>
      </c>
      <c r="E1884" s="112" t="s">
        <v>220</v>
      </c>
      <c r="F1884" s="112" t="s">
        <v>2334</v>
      </c>
      <c r="G1884" s="112" t="s">
        <v>1572</v>
      </c>
      <c r="H1884" s="112" t="s">
        <v>1227</v>
      </c>
      <c r="I1884" s="112"/>
      <c r="J1884" s="112" t="b">
        <v>0</v>
      </c>
      <c r="K1884" s="112"/>
      <c r="L1884" s="112"/>
      <c r="M1884" s="112"/>
      <c r="N1884" s="112"/>
      <c r="O1884" s="112"/>
      <c r="P1884" s="112" t="s">
        <v>2196</v>
      </c>
      <c r="Q1884" s="112" t="s">
        <v>1227</v>
      </c>
    </row>
    <row r="1885" spans="2:17" hidden="1" outlineLevel="2">
      <c r="B1885" s="2" t="s">
        <v>876</v>
      </c>
      <c r="D1885" s="268">
        <v>3168</v>
      </c>
      <c r="E1885" s="114" t="s">
        <v>220</v>
      </c>
      <c r="F1885" s="114" t="s">
        <v>2335</v>
      </c>
      <c r="G1885" s="114" t="s">
        <v>1572</v>
      </c>
      <c r="H1885" s="114" t="s">
        <v>1227</v>
      </c>
      <c r="I1885" s="114"/>
      <c r="J1885" s="114" t="b">
        <v>0</v>
      </c>
      <c r="K1885" s="114"/>
      <c r="L1885" s="114"/>
      <c r="M1885" s="114"/>
      <c r="N1885" s="114"/>
      <c r="O1885" s="114"/>
      <c r="P1885" s="114" t="s">
        <v>2196</v>
      </c>
      <c r="Q1885" s="114" t="s">
        <v>1227</v>
      </c>
    </row>
    <row r="1886" spans="2:17" hidden="1" outlineLevel="2">
      <c r="B1886" s="2" t="s">
        <v>876</v>
      </c>
      <c r="D1886" s="270">
        <v>3169</v>
      </c>
      <c r="E1886" s="112" t="s">
        <v>220</v>
      </c>
      <c r="F1886" s="112" t="s">
        <v>2336</v>
      </c>
      <c r="G1886" s="112" t="s">
        <v>1572</v>
      </c>
      <c r="H1886" s="112" t="s">
        <v>1227</v>
      </c>
      <c r="I1886" s="112"/>
      <c r="J1886" s="112" t="b">
        <v>0</v>
      </c>
      <c r="K1886" s="112"/>
      <c r="L1886" s="112"/>
      <c r="M1886" s="112"/>
      <c r="N1886" s="112"/>
      <c r="O1886" s="112"/>
      <c r="P1886" s="112" t="s">
        <v>2196</v>
      </c>
      <c r="Q1886" s="112" t="s">
        <v>1227</v>
      </c>
    </row>
    <row r="1887" spans="2:17" hidden="1" outlineLevel="2">
      <c r="B1887" s="2" t="s">
        <v>876</v>
      </c>
      <c r="D1887" s="268">
        <v>3170</v>
      </c>
      <c r="E1887" s="114" t="s">
        <v>220</v>
      </c>
      <c r="F1887" s="114" t="s">
        <v>2337</v>
      </c>
      <c r="G1887" s="114" t="s">
        <v>1572</v>
      </c>
      <c r="H1887" s="114" t="s">
        <v>1227</v>
      </c>
      <c r="I1887" s="114"/>
      <c r="J1887" s="114" t="b">
        <v>0</v>
      </c>
      <c r="K1887" s="114"/>
      <c r="L1887" s="114"/>
      <c r="M1887" s="114"/>
      <c r="N1887" s="114"/>
      <c r="O1887" s="114"/>
      <c r="P1887" s="114" t="s">
        <v>2196</v>
      </c>
      <c r="Q1887" s="114" t="s">
        <v>1227</v>
      </c>
    </row>
    <row r="1888" spans="2:17" hidden="1" outlineLevel="2">
      <c r="B1888" s="2" t="s">
        <v>876</v>
      </c>
      <c r="D1888" s="270">
        <v>3171</v>
      </c>
      <c r="E1888" s="112" t="s">
        <v>220</v>
      </c>
      <c r="F1888" s="112" t="s">
        <v>2338</v>
      </c>
      <c r="G1888" s="112" t="s">
        <v>1572</v>
      </c>
      <c r="H1888" s="112" t="s">
        <v>1227</v>
      </c>
      <c r="I1888" s="112"/>
      <c r="J1888" s="112" t="b">
        <v>0</v>
      </c>
      <c r="K1888" s="112"/>
      <c r="L1888" s="112"/>
      <c r="M1888" s="112"/>
      <c r="N1888" s="112"/>
      <c r="O1888" s="112"/>
      <c r="P1888" s="112" t="s">
        <v>2196</v>
      </c>
      <c r="Q1888" s="112" t="s">
        <v>1227</v>
      </c>
    </row>
    <row r="1889" spans="2:17" hidden="1" outlineLevel="2">
      <c r="B1889" s="2" t="s">
        <v>876</v>
      </c>
      <c r="D1889" s="268">
        <v>3172</v>
      </c>
      <c r="E1889" s="114" t="s">
        <v>220</v>
      </c>
      <c r="F1889" s="114" t="s">
        <v>2339</v>
      </c>
      <c r="G1889" s="114" t="s">
        <v>1572</v>
      </c>
      <c r="H1889" s="114" t="s">
        <v>1227</v>
      </c>
      <c r="I1889" s="114"/>
      <c r="J1889" s="114" t="b">
        <v>0</v>
      </c>
      <c r="K1889" s="114"/>
      <c r="L1889" s="114"/>
      <c r="M1889" s="114"/>
      <c r="N1889" s="114"/>
      <c r="O1889" s="114"/>
      <c r="P1889" s="114" t="s">
        <v>2196</v>
      </c>
      <c r="Q1889" s="114" t="s">
        <v>1227</v>
      </c>
    </row>
    <row r="1890" spans="2:17" hidden="1" outlineLevel="2">
      <c r="B1890" s="2" t="s">
        <v>876</v>
      </c>
      <c r="D1890" s="270">
        <v>3173</v>
      </c>
      <c r="E1890" s="112" t="s">
        <v>220</v>
      </c>
      <c r="F1890" s="112" t="s">
        <v>2340</v>
      </c>
      <c r="G1890" s="112" t="s">
        <v>1572</v>
      </c>
      <c r="H1890" s="112" t="s">
        <v>1227</v>
      </c>
      <c r="I1890" s="112"/>
      <c r="J1890" s="112" t="b">
        <v>0</v>
      </c>
      <c r="K1890" s="112"/>
      <c r="L1890" s="112"/>
      <c r="M1890" s="112"/>
      <c r="N1890" s="112"/>
      <c r="O1890" s="112"/>
      <c r="P1890" s="112" t="s">
        <v>2196</v>
      </c>
      <c r="Q1890" s="112" t="s">
        <v>1227</v>
      </c>
    </row>
    <row r="1891" spans="2:17" hidden="1" outlineLevel="2">
      <c r="B1891" s="2" t="s">
        <v>876</v>
      </c>
      <c r="D1891" s="268">
        <v>3174</v>
      </c>
      <c r="E1891" s="114" t="s">
        <v>220</v>
      </c>
      <c r="F1891" s="114" t="s">
        <v>2341</v>
      </c>
      <c r="G1891" s="114" t="s">
        <v>1572</v>
      </c>
      <c r="H1891" s="114" t="s">
        <v>1227</v>
      </c>
      <c r="I1891" s="114"/>
      <c r="J1891" s="114" t="b">
        <v>0</v>
      </c>
      <c r="K1891" s="114"/>
      <c r="L1891" s="114"/>
      <c r="M1891" s="114"/>
      <c r="N1891" s="114"/>
      <c r="O1891" s="114"/>
      <c r="P1891" s="114" t="s">
        <v>2196</v>
      </c>
      <c r="Q1891" s="114" t="s">
        <v>1227</v>
      </c>
    </row>
    <row r="1892" spans="2:17" hidden="1" outlineLevel="2">
      <c r="B1892" s="2" t="s">
        <v>876</v>
      </c>
      <c r="D1892" s="270">
        <v>3175</v>
      </c>
      <c r="E1892" s="112" t="s">
        <v>220</v>
      </c>
      <c r="F1892" s="112" t="s">
        <v>2342</v>
      </c>
      <c r="G1892" s="112" t="s">
        <v>1572</v>
      </c>
      <c r="H1892" s="112" t="s">
        <v>1227</v>
      </c>
      <c r="I1892" s="112"/>
      <c r="J1892" s="112" t="b">
        <v>0</v>
      </c>
      <c r="K1892" s="112"/>
      <c r="L1892" s="112"/>
      <c r="M1892" s="112"/>
      <c r="N1892" s="112"/>
      <c r="O1892" s="112"/>
      <c r="P1892" s="112" t="s">
        <v>2196</v>
      </c>
      <c r="Q1892" s="112" t="s">
        <v>1227</v>
      </c>
    </row>
    <row r="1893" spans="2:17" hidden="1" outlineLevel="2">
      <c r="B1893" s="2" t="s">
        <v>876</v>
      </c>
      <c r="D1893" s="268">
        <v>3177</v>
      </c>
      <c r="E1893" s="114" t="s">
        <v>220</v>
      </c>
      <c r="F1893" s="114" t="s">
        <v>2343</v>
      </c>
      <c r="G1893" s="114" t="s">
        <v>1572</v>
      </c>
      <c r="H1893" s="114" t="s">
        <v>1227</v>
      </c>
      <c r="I1893" s="114"/>
      <c r="J1893" s="114" t="b">
        <v>0</v>
      </c>
      <c r="K1893" s="114"/>
      <c r="L1893" s="114"/>
      <c r="M1893" s="114"/>
      <c r="N1893" s="114"/>
      <c r="O1893" s="114"/>
      <c r="P1893" s="114" t="s">
        <v>2196</v>
      </c>
      <c r="Q1893" s="114" t="s">
        <v>1227</v>
      </c>
    </row>
    <row r="1894" spans="2:17" hidden="1" outlineLevel="2">
      <c r="B1894" s="2" t="s">
        <v>876</v>
      </c>
      <c r="D1894" s="270">
        <v>3178</v>
      </c>
      <c r="E1894" s="112" t="s">
        <v>220</v>
      </c>
      <c r="F1894" s="112" t="s">
        <v>2344</v>
      </c>
      <c r="G1894" s="112" t="s">
        <v>1572</v>
      </c>
      <c r="H1894" s="112" t="s">
        <v>1227</v>
      </c>
      <c r="I1894" s="112"/>
      <c r="J1894" s="112" t="b">
        <v>0</v>
      </c>
      <c r="K1894" s="112"/>
      <c r="L1894" s="112"/>
      <c r="M1894" s="112"/>
      <c r="N1894" s="112"/>
      <c r="O1894" s="112"/>
      <c r="P1894" s="112" t="s">
        <v>2196</v>
      </c>
      <c r="Q1894" s="112" t="s">
        <v>1227</v>
      </c>
    </row>
    <row r="1895" spans="2:17" hidden="1" outlineLevel="2">
      <c r="B1895" s="2" t="s">
        <v>876</v>
      </c>
      <c r="D1895" s="268">
        <v>3179</v>
      </c>
      <c r="E1895" s="114" t="s">
        <v>220</v>
      </c>
      <c r="F1895" s="114" t="s">
        <v>2345</v>
      </c>
      <c r="G1895" s="114" t="s">
        <v>1572</v>
      </c>
      <c r="H1895" s="114" t="s">
        <v>1227</v>
      </c>
      <c r="I1895" s="114"/>
      <c r="J1895" s="114" t="b">
        <v>0</v>
      </c>
      <c r="K1895" s="114"/>
      <c r="L1895" s="114"/>
      <c r="M1895" s="114"/>
      <c r="N1895" s="114"/>
      <c r="O1895" s="114"/>
      <c r="P1895" s="114" t="s">
        <v>2196</v>
      </c>
      <c r="Q1895" s="114" t="s">
        <v>1227</v>
      </c>
    </row>
    <row r="1896" spans="2:17" hidden="1" outlineLevel="2">
      <c r="B1896" s="2" t="s">
        <v>876</v>
      </c>
      <c r="D1896" s="270">
        <v>3180</v>
      </c>
      <c r="E1896" s="112" t="s">
        <v>220</v>
      </c>
      <c r="F1896" s="112" t="s">
        <v>2346</v>
      </c>
      <c r="G1896" s="112" t="s">
        <v>1572</v>
      </c>
      <c r="H1896" s="112" t="s">
        <v>1227</v>
      </c>
      <c r="I1896" s="112"/>
      <c r="J1896" s="112" t="b">
        <v>0</v>
      </c>
      <c r="K1896" s="112"/>
      <c r="L1896" s="112"/>
      <c r="M1896" s="112"/>
      <c r="N1896" s="112"/>
      <c r="O1896" s="112"/>
      <c r="P1896" s="112" t="s">
        <v>2196</v>
      </c>
      <c r="Q1896" s="112" t="s">
        <v>1227</v>
      </c>
    </row>
    <row r="1897" spans="2:17" hidden="1" outlineLevel="2">
      <c r="B1897" s="2" t="s">
        <v>876</v>
      </c>
      <c r="D1897" s="268">
        <v>3181</v>
      </c>
      <c r="E1897" s="114" t="s">
        <v>220</v>
      </c>
      <c r="F1897" s="114" t="s">
        <v>2347</v>
      </c>
      <c r="G1897" s="114" t="s">
        <v>1572</v>
      </c>
      <c r="H1897" s="114" t="s">
        <v>1227</v>
      </c>
      <c r="I1897" s="114"/>
      <c r="J1897" s="114" t="b">
        <v>0</v>
      </c>
      <c r="K1897" s="114"/>
      <c r="L1897" s="114"/>
      <c r="M1897" s="114"/>
      <c r="N1897" s="691" t="b">
        <v>1</v>
      </c>
      <c r="O1897" s="114"/>
      <c r="P1897" s="114" t="s">
        <v>2196</v>
      </c>
      <c r="Q1897" s="114" t="s">
        <v>1227</v>
      </c>
    </row>
    <row r="1898" spans="2:17" hidden="1" outlineLevel="2">
      <c r="B1898" s="2" t="s">
        <v>876</v>
      </c>
      <c r="D1898" s="270">
        <v>3182</v>
      </c>
      <c r="E1898" s="112" t="s">
        <v>220</v>
      </c>
      <c r="F1898" s="112" t="s">
        <v>2348</v>
      </c>
      <c r="G1898" s="112" t="s">
        <v>1572</v>
      </c>
      <c r="H1898" s="112" t="s">
        <v>1227</v>
      </c>
      <c r="I1898" s="112"/>
      <c r="J1898" s="112" t="b">
        <v>0</v>
      </c>
      <c r="K1898" s="112"/>
      <c r="L1898" s="112"/>
      <c r="M1898" s="112"/>
      <c r="N1898" s="112"/>
      <c r="O1898" s="112"/>
      <c r="P1898" s="112" t="s">
        <v>2196</v>
      </c>
      <c r="Q1898" s="112" t="s">
        <v>1227</v>
      </c>
    </row>
    <row r="1899" spans="2:17" hidden="1" outlineLevel="2">
      <c r="B1899" s="2" t="s">
        <v>876</v>
      </c>
      <c r="D1899" s="268">
        <v>3183</v>
      </c>
      <c r="E1899" s="114" t="s">
        <v>220</v>
      </c>
      <c r="F1899" s="114" t="s">
        <v>2349</v>
      </c>
      <c r="G1899" s="114" t="s">
        <v>1572</v>
      </c>
      <c r="H1899" s="114" t="s">
        <v>1227</v>
      </c>
      <c r="I1899" s="114"/>
      <c r="J1899" s="114" t="b">
        <v>0</v>
      </c>
      <c r="K1899" s="114"/>
      <c r="L1899" s="114"/>
      <c r="M1899" s="114"/>
      <c r="N1899" s="114"/>
      <c r="O1899" s="114"/>
      <c r="P1899" s="114" t="s">
        <v>2196</v>
      </c>
      <c r="Q1899" s="114" t="s">
        <v>1227</v>
      </c>
    </row>
    <row r="1900" spans="2:17" hidden="1" outlineLevel="2">
      <c r="B1900" s="2" t="s">
        <v>876</v>
      </c>
      <c r="D1900" s="270">
        <v>3184</v>
      </c>
      <c r="E1900" s="112" t="s">
        <v>220</v>
      </c>
      <c r="F1900" s="112" t="s">
        <v>2350</v>
      </c>
      <c r="G1900" s="112" t="s">
        <v>1572</v>
      </c>
      <c r="H1900" s="112" t="s">
        <v>1227</v>
      </c>
      <c r="I1900" s="112"/>
      <c r="J1900" s="112" t="b">
        <v>0</v>
      </c>
      <c r="K1900" s="112"/>
      <c r="L1900" s="112"/>
      <c r="M1900" s="112"/>
      <c r="N1900" s="691" t="b">
        <v>1</v>
      </c>
      <c r="O1900" s="112"/>
      <c r="P1900" s="112" t="s">
        <v>2196</v>
      </c>
      <c r="Q1900" s="112" t="s">
        <v>1227</v>
      </c>
    </row>
    <row r="1901" spans="2:17" hidden="1" outlineLevel="2">
      <c r="B1901" s="2" t="s">
        <v>876</v>
      </c>
      <c r="D1901" s="268">
        <v>3185</v>
      </c>
      <c r="E1901" s="114" t="s">
        <v>220</v>
      </c>
      <c r="F1901" s="114" t="s">
        <v>2351</v>
      </c>
      <c r="G1901" s="114" t="s">
        <v>1572</v>
      </c>
      <c r="H1901" s="114" t="s">
        <v>1227</v>
      </c>
      <c r="I1901" s="114"/>
      <c r="J1901" s="114" t="b">
        <v>0</v>
      </c>
      <c r="K1901" s="114"/>
      <c r="L1901" s="114"/>
      <c r="M1901" s="114"/>
      <c r="N1901" s="691" t="b">
        <v>1</v>
      </c>
      <c r="O1901" s="114"/>
      <c r="P1901" s="114" t="s">
        <v>2196</v>
      </c>
      <c r="Q1901" s="114" t="s">
        <v>1227</v>
      </c>
    </row>
    <row r="1902" spans="2:17" hidden="1" outlineLevel="2">
      <c r="B1902" s="2" t="s">
        <v>876</v>
      </c>
      <c r="D1902" s="270">
        <v>3186</v>
      </c>
      <c r="E1902" s="112" t="s">
        <v>220</v>
      </c>
      <c r="F1902" s="112" t="s">
        <v>2352</v>
      </c>
      <c r="G1902" s="112" t="s">
        <v>1572</v>
      </c>
      <c r="H1902" s="112" t="s">
        <v>1227</v>
      </c>
      <c r="I1902" s="112"/>
      <c r="J1902" s="112" t="b">
        <v>0</v>
      </c>
      <c r="K1902" s="112"/>
      <c r="L1902" s="112"/>
      <c r="M1902" s="112"/>
      <c r="N1902" s="691" t="b">
        <v>1</v>
      </c>
      <c r="O1902" s="691">
        <v>6</v>
      </c>
      <c r="P1902" s="112" t="s">
        <v>2196</v>
      </c>
      <c r="Q1902" s="112" t="s">
        <v>1227</v>
      </c>
    </row>
    <row r="1903" spans="2:17" hidden="1" outlineLevel="2">
      <c r="B1903" s="2" t="s">
        <v>876</v>
      </c>
      <c r="D1903" s="268">
        <v>3187</v>
      </c>
      <c r="E1903" s="114" t="s">
        <v>220</v>
      </c>
      <c r="F1903" s="114" t="s">
        <v>2353</v>
      </c>
      <c r="G1903" s="114" t="s">
        <v>1572</v>
      </c>
      <c r="H1903" s="114" t="s">
        <v>1227</v>
      </c>
      <c r="I1903" s="114"/>
      <c r="J1903" s="114" t="b">
        <v>0</v>
      </c>
      <c r="K1903" s="114"/>
      <c r="L1903" s="114"/>
      <c r="M1903" s="114"/>
      <c r="N1903" s="691" t="b">
        <v>1</v>
      </c>
      <c r="O1903" s="114"/>
      <c r="P1903" s="114" t="s">
        <v>2196</v>
      </c>
      <c r="Q1903" s="114" t="s">
        <v>1227</v>
      </c>
    </row>
    <row r="1904" spans="2:17" hidden="1" outlineLevel="2">
      <c r="B1904" s="2" t="s">
        <v>876</v>
      </c>
      <c r="D1904" s="270">
        <v>3188</v>
      </c>
      <c r="E1904" s="112" t="s">
        <v>220</v>
      </c>
      <c r="F1904" s="112" t="s">
        <v>2354</v>
      </c>
      <c r="G1904" s="112" t="s">
        <v>1572</v>
      </c>
      <c r="H1904" s="112" t="s">
        <v>1227</v>
      </c>
      <c r="I1904" s="112"/>
      <c r="J1904" s="112" t="b">
        <v>0</v>
      </c>
      <c r="K1904" s="112"/>
      <c r="L1904" s="112"/>
      <c r="M1904" s="112"/>
      <c r="N1904" s="691" t="b">
        <v>1</v>
      </c>
      <c r="O1904" s="112"/>
      <c r="P1904" s="112" t="s">
        <v>2196</v>
      </c>
      <c r="Q1904" s="112" t="s">
        <v>1227</v>
      </c>
    </row>
    <row r="1905" spans="2:17" hidden="1" outlineLevel="2">
      <c r="B1905" s="2" t="s">
        <v>876</v>
      </c>
      <c r="D1905" s="268">
        <v>3189</v>
      </c>
      <c r="E1905" s="114" t="s">
        <v>220</v>
      </c>
      <c r="F1905" s="114" t="s">
        <v>2355</v>
      </c>
      <c r="G1905" s="114" t="s">
        <v>1572</v>
      </c>
      <c r="H1905" s="114" t="s">
        <v>1227</v>
      </c>
      <c r="I1905" s="114"/>
      <c r="J1905" s="114" t="b">
        <v>0</v>
      </c>
      <c r="K1905" s="114"/>
      <c r="L1905" s="114"/>
      <c r="M1905" s="114"/>
      <c r="N1905" s="114"/>
      <c r="O1905" s="114"/>
      <c r="P1905" s="114" t="s">
        <v>2196</v>
      </c>
      <c r="Q1905" s="114" t="s">
        <v>1227</v>
      </c>
    </row>
    <row r="1906" spans="2:17" hidden="1" outlineLevel="2">
      <c r="B1906" s="2" t="s">
        <v>876</v>
      </c>
      <c r="D1906" s="270">
        <v>3190</v>
      </c>
      <c r="E1906" s="112" t="s">
        <v>220</v>
      </c>
      <c r="F1906" s="112" t="s">
        <v>2356</v>
      </c>
      <c r="G1906" s="112" t="s">
        <v>1572</v>
      </c>
      <c r="H1906" s="112" t="s">
        <v>1227</v>
      </c>
      <c r="I1906" s="112"/>
      <c r="J1906" s="112" t="b">
        <v>0</v>
      </c>
      <c r="K1906" s="112"/>
      <c r="L1906" s="112"/>
      <c r="M1906" s="112"/>
      <c r="N1906" s="112"/>
      <c r="O1906" s="112"/>
      <c r="P1906" s="112" t="s">
        <v>2196</v>
      </c>
      <c r="Q1906" s="112" t="s">
        <v>1227</v>
      </c>
    </row>
    <row r="1907" spans="2:17" hidden="1" outlineLevel="2">
      <c r="B1907" s="2" t="s">
        <v>876</v>
      </c>
      <c r="D1907" s="268">
        <v>3191</v>
      </c>
      <c r="E1907" s="114" t="s">
        <v>220</v>
      </c>
      <c r="F1907" s="114" t="s">
        <v>2357</v>
      </c>
      <c r="G1907" s="114" t="s">
        <v>1572</v>
      </c>
      <c r="H1907" s="114" t="s">
        <v>1227</v>
      </c>
      <c r="I1907" s="114"/>
      <c r="J1907" s="114" t="b">
        <v>0</v>
      </c>
      <c r="K1907" s="114"/>
      <c r="L1907" s="114"/>
      <c r="M1907" s="114"/>
      <c r="N1907" s="691" t="b">
        <v>1</v>
      </c>
      <c r="O1907" s="114"/>
      <c r="P1907" s="114" t="s">
        <v>2196</v>
      </c>
      <c r="Q1907" s="114" t="s">
        <v>1227</v>
      </c>
    </row>
    <row r="1908" spans="2:17" hidden="1" outlineLevel="2">
      <c r="B1908" s="2" t="s">
        <v>876</v>
      </c>
      <c r="D1908" s="270">
        <v>3192</v>
      </c>
      <c r="E1908" s="112" t="s">
        <v>220</v>
      </c>
      <c r="F1908" s="112" t="s">
        <v>2358</v>
      </c>
      <c r="G1908" s="112" t="s">
        <v>1572</v>
      </c>
      <c r="H1908" s="112" t="s">
        <v>1227</v>
      </c>
      <c r="I1908" s="112"/>
      <c r="J1908" s="112" t="b">
        <v>0</v>
      </c>
      <c r="K1908" s="112"/>
      <c r="L1908" s="112"/>
      <c r="M1908" s="112"/>
      <c r="N1908" s="112"/>
      <c r="O1908" s="112"/>
      <c r="P1908" s="112" t="s">
        <v>2196</v>
      </c>
      <c r="Q1908" s="112" t="s">
        <v>1227</v>
      </c>
    </row>
    <row r="1909" spans="2:17" hidden="1" outlineLevel="2">
      <c r="B1909" s="2" t="s">
        <v>876</v>
      </c>
      <c r="D1909" s="268">
        <v>3193</v>
      </c>
      <c r="E1909" s="114" t="s">
        <v>220</v>
      </c>
      <c r="F1909" s="114" t="s">
        <v>2359</v>
      </c>
      <c r="G1909" s="114" t="s">
        <v>1572</v>
      </c>
      <c r="H1909" s="114" t="s">
        <v>1227</v>
      </c>
      <c r="I1909" s="114"/>
      <c r="J1909" s="114" t="b">
        <v>0</v>
      </c>
      <c r="K1909" s="114"/>
      <c r="L1909" s="114"/>
      <c r="M1909" s="114"/>
      <c r="N1909" s="691" t="b">
        <v>1</v>
      </c>
      <c r="O1909" s="114"/>
      <c r="P1909" s="114" t="s">
        <v>2196</v>
      </c>
      <c r="Q1909" s="114" t="s">
        <v>1227</v>
      </c>
    </row>
    <row r="1910" spans="2:17" hidden="1" outlineLevel="2">
      <c r="B1910" s="2" t="s">
        <v>876</v>
      </c>
      <c r="D1910" s="270">
        <v>3194</v>
      </c>
      <c r="E1910" s="112" t="s">
        <v>220</v>
      </c>
      <c r="F1910" s="112" t="s">
        <v>2360</v>
      </c>
      <c r="G1910" s="112" t="s">
        <v>1572</v>
      </c>
      <c r="H1910" s="112" t="s">
        <v>1227</v>
      </c>
      <c r="I1910" s="112"/>
      <c r="J1910" s="112" t="b">
        <v>0</v>
      </c>
      <c r="K1910" s="112"/>
      <c r="L1910" s="112"/>
      <c r="M1910" s="112"/>
      <c r="N1910" s="112"/>
      <c r="O1910" s="112"/>
      <c r="P1910" s="112" t="s">
        <v>2196</v>
      </c>
      <c r="Q1910" s="112" t="s">
        <v>1227</v>
      </c>
    </row>
    <row r="1911" spans="2:17" hidden="1" outlineLevel="2">
      <c r="B1911" s="2" t="s">
        <v>876</v>
      </c>
      <c r="D1911" s="268">
        <v>3195</v>
      </c>
      <c r="E1911" s="114" t="s">
        <v>220</v>
      </c>
      <c r="F1911" s="114" t="s">
        <v>2361</v>
      </c>
      <c r="G1911" s="114" t="s">
        <v>1572</v>
      </c>
      <c r="H1911" s="114" t="s">
        <v>1227</v>
      </c>
      <c r="I1911" s="114"/>
      <c r="J1911" s="114" t="b">
        <v>0</v>
      </c>
      <c r="K1911" s="114"/>
      <c r="L1911" s="114"/>
      <c r="M1911" s="114"/>
      <c r="N1911" s="114"/>
      <c r="O1911" s="114"/>
      <c r="P1911" s="114" t="s">
        <v>2196</v>
      </c>
      <c r="Q1911" s="114" t="s">
        <v>1227</v>
      </c>
    </row>
    <row r="1912" spans="2:17" hidden="1" outlineLevel="2">
      <c r="B1912" s="2" t="s">
        <v>876</v>
      </c>
      <c r="D1912" s="270">
        <v>3196</v>
      </c>
      <c r="E1912" s="112" t="s">
        <v>220</v>
      </c>
      <c r="F1912" s="112" t="s">
        <v>2362</v>
      </c>
      <c r="G1912" s="112" t="s">
        <v>1572</v>
      </c>
      <c r="H1912" s="112" t="s">
        <v>1227</v>
      </c>
      <c r="I1912" s="112"/>
      <c r="J1912" s="112" t="b">
        <v>0</v>
      </c>
      <c r="K1912" s="112"/>
      <c r="L1912" s="112"/>
      <c r="M1912" s="112"/>
      <c r="N1912" s="112"/>
      <c r="O1912" s="112"/>
      <c r="P1912" s="112" t="s">
        <v>2196</v>
      </c>
      <c r="Q1912" s="112" t="s">
        <v>1227</v>
      </c>
    </row>
    <row r="1913" spans="2:17" hidden="1" outlineLevel="2">
      <c r="B1913" s="2" t="s">
        <v>876</v>
      </c>
      <c r="D1913" s="268">
        <v>3197</v>
      </c>
      <c r="E1913" s="114" t="s">
        <v>220</v>
      </c>
      <c r="F1913" s="114" t="s">
        <v>2363</v>
      </c>
      <c r="G1913" s="114" t="s">
        <v>1572</v>
      </c>
      <c r="H1913" s="114" t="s">
        <v>1227</v>
      </c>
      <c r="I1913" s="114"/>
      <c r="J1913" s="114" t="b">
        <v>0</v>
      </c>
      <c r="K1913" s="114"/>
      <c r="L1913" s="114"/>
      <c r="M1913" s="114"/>
      <c r="N1913" s="114"/>
      <c r="O1913" s="114"/>
      <c r="P1913" s="114" t="s">
        <v>2196</v>
      </c>
      <c r="Q1913" s="114" t="s">
        <v>1227</v>
      </c>
    </row>
    <row r="1914" spans="2:17" hidden="1" outlineLevel="2">
      <c r="B1914" s="2" t="s">
        <v>876</v>
      </c>
      <c r="D1914" s="270">
        <v>3198</v>
      </c>
      <c r="E1914" s="112" t="s">
        <v>220</v>
      </c>
      <c r="F1914" s="112" t="s">
        <v>2364</v>
      </c>
      <c r="G1914" s="112" t="s">
        <v>1572</v>
      </c>
      <c r="H1914" s="112" t="s">
        <v>1227</v>
      </c>
      <c r="I1914" s="112"/>
      <c r="J1914" s="112" t="b">
        <v>0</v>
      </c>
      <c r="K1914" s="112"/>
      <c r="L1914" s="112"/>
      <c r="M1914" s="112"/>
      <c r="N1914" s="112"/>
      <c r="O1914" s="112"/>
      <c r="P1914" s="112" t="s">
        <v>2196</v>
      </c>
      <c r="Q1914" s="112" t="s">
        <v>1227</v>
      </c>
    </row>
    <row r="1915" spans="2:17" hidden="1" outlineLevel="2">
      <c r="B1915" s="2" t="s">
        <v>876</v>
      </c>
      <c r="D1915" s="268">
        <v>3199</v>
      </c>
      <c r="E1915" s="114" t="s">
        <v>220</v>
      </c>
      <c r="F1915" s="114" t="s">
        <v>2365</v>
      </c>
      <c r="G1915" s="114" t="s">
        <v>1572</v>
      </c>
      <c r="H1915" s="114" t="s">
        <v>1227</v>
      </c>
      <c r="I1915" s="114"/>
      <c r="J1915" s="114" t="b">
        <v>0</v>
      </c>
      <c r="K1915" s="114"/>
      <c r="L1915" s="114"/>
      <c r="M1915" s="114"/>
      <c r="N1915" s="114"/>
      <c r="O1915" s="114"/>
      <c r="P1915" s="114" t="s">
        <v>2196</v>
      </c>
      <c r="Q1915" s="114" t="s">
        <v>1227</v>
      </c>
    </row>
    <row r="1916" spans="2:17" hidden="1" outlineLevel="2">
      <c r="B1916" s="2" t="s">
        <v>876</v>
      </c>
      <c r="D1916" s="270">
        <v>3200</v>
      </c>
      <c r="E1916" s="112" t="s">
        <v>220</v>
      </c>
      <c r="F1916" s="112" t="s">
        <v>2366</v>
      </c>
      <c r="G1916" s="112" t="s">
        <v>1572</v>
      </c>
      <c r="H1916" s="112" t="s">
        <v>1227</v>
      </c>
      <c r="I1916" s="112"/>
      <c r="J1916" s="112" t="b">
        <v>0</v>
      </c>
      <c r="K1916" s="112"/>
      <c r="L1916" s="112"/>
      <c r="M1916" s="112"/>
      <c r="N1916" s="112"/>
      <c r="O1916" s="112"/>
      <c r="P1916" s="112" t="s">
        <v>2196</v>
      </c>
      <c r="Q1916" s="112" t="s">
        <v>1227</v>
      </c>
    </row>
    <row r="1917" spans="2:17" hidden="1" outlineLevel="2">
      <c r="B1917" s="2" t="s">
        <v>876</v>
      </c>
      <c r="D1917" s="268">
        <v>3201</v>
      </c>
      <c r="E1917" s="114" t="s">
        <v>220</v>
      </c>
      <c r="F1917" s="114" t="s">
        <v>2367</v>
      </c>
      <c r="G1917" s="114" t="s">
        <v>1572</v>
      </c>
      <c r="H1917" s="114" t="s">
        <v>1227</v>
      </c>
      <c r="I1917" s="114"/>
      <c r="J1917" s="114" t="b">
        <v>0</v>
      </c>
      <c r="K1917" s="114"/>
      <c r="L1917" s="114"/>
      <c r="M1917" s="114"/>
      <c r="N1917" s="114"/>
      <c r="O1917" s="114"/>
      <c r="P1917" s="114" t="s">
        <v>2196</v>
      </c>
      <c r="Q1917" s="114" t="s">
        <v>1227</v>
      </c>
    </row>
    <row r="1918" spans="2:17" hidden="1" outlineLevel="2">
      <c r="B1918" s="2" t="s">
        <v>876</v>
      </c>
      <c r="D1918" s="270">
        <v>3202</v>
      </c>
      <c r="E1918" s="112" t="s">
        <v>220</v>
      </c>
      <c r="F1918" s="112" t="s">
        <v>2368</v>
      </c>
      <c r="G1918" s="112" t="s">
        <v>1572</v>
      </c>
      <c r="H1918" s="112" t="s">
        <v>1227</v>
      </c>
      <c r="I1918" s="112"/>
      <c r="J1918" s="112" t="b">
        <v>0</v>
      </c>
      <c r="K1918" s="112"/>
      <c r="L1918" s="112"/>
      <c r="M1918" s="112"/>
      <c r="N1918" s="112"/>
      <c r="O1918" s="112"/>
      <c r="P1918" s="112" t="s">
        <v>2196</v>
      </c>
      <c r="Q1918" s="112" t="s">
        <v>1227</v>
      </c>
    </row>
    <row r="1919" spans="2:17" hidden="1" outlineLevel="2">
      <c r="B1919" s="2" t="s">
        <v>876</v>
      </c>
      <c r="D1919" s="268">
        <v>3204</v>
      </c>
      <c r="E1919" s="114" t="s">
        <v>220</v>
      </c>
      <c r="F1919" s="114" t="s">
        <v>2369</v>
      </c>
      <c r="G1919" s="114" t="s">
        <v>1572</v>
      </c>
      <c r="H1919" s="114" t="s">
        <v>1227</v>
      </c>
      <c r="I1919" s="114"/>
      <c r="J1919" s="114" t="b">
        <v>0</v>
      </c>
      <c r="K1919" s="114"/>
      <c r="L1919" s="114"/>
      <c r="M1919" s="114"/>
      <c r="N1919" s="691" t="b">
        <v>1</v>
      </c>
      <c r="O1919" s="114"/>
      <c r="P1919" s="114" t="s">
        <v>2196</v>
      </c>
      <c r="Q1919" s="114" t="s">
        <v>1227</v>
      </c>
    </row>
    <row r="1920" spans="2:17" hidden="1" outlineLevel="2">
      <c r="B1920" s="2" t="s">
        <v>876</v>
      </c>
      <c r="D1920" s="270">
        <v>3205</v>
      </c>
      <c r="E1920" s="112" t="s">
        <v>220</v>
      </c>
      <c r="F1920" s="112" t="s">
        <v>2370</v>
      </c>
      <c r="G1920" s="112" t="s">
        <v>1572</v>
      </c>
      <c r="H1920" s="112" t="s">
        <v>1227</v>
      </c>
      <c r="I1920" s="112"/>
      <c r="J1920" s="112" t="b">
        <v>0</v>
      </c>
      <c r="K1920" s="112"/>
      <c r="L1920" s="112"/>
      <c r="M1920" s="112"/>
      <c r="N1920" s="112"/>
      <c r="O1920" s="112"/>
      <c r="P1920" s="112" t="s">
        <v>2196</v>
      </c>
      <c r="Q1920" s="112" t="s">
        <v>1227</v>
      </c>
    </row>
    <row r="1921" spans="2:17" hidden="1" outlineLevel="2">
      <c r="B1921" s="2" t="s">
        <v>876</v>
      </c>
      <c r="D1921" s="268">
        <v>3206</v>
      </c>
      <c r="E1921" s="114" t="s">
        <v>220</v>
      </c>
      <c r="F1921" s="114" t="s">
        <v>2371</v>
      </c>
      <c r="G1921" s="114" t="s">
        <v>1572</v>
      </c>
      <c r="H1921" s="114" t="s">
        <v>1227</v>
      </c>
      <c r="I1921" s="114"/>
      <c r="J1921" s="114" t="b">
        <v>0</v>
      </c>
      <c r="K1921" s="114"/>
      <c r="L1921" s="114"/>
      <c r="M1921" s="114"/>
      <c r="N1921" s="691" t="b">
        <v>1</v>
      </c>
      <c r="O1921" s="114"/>
      <c r="P1921" s="114" t="s">
        <v>2196</v>
      </c>
      <c r="Q1921" s="114" t="s">
        <v>1227</v>
      </c>
    </row>
    <row r="1922" spans="2:17" hidden="1" outlineLevel="2">
      <c r="B1922" s="2" t="s">
        <v>876</v>
      </c>
      <c r="D1922" s="270">
        <v>3207</v>
      </c>
      <c r="E1922" s="112" t="s">
        <v>220</v>
      </c>
      <c r="F1922" s="112" t="s">
        <v>2372</v>
      </c>
      <c r="G1922" s="112" t="s">
        <v>1572</v>
      </c>
      <c r="H1922" s="112" t="s">
        <v>1227</v>
      </c>
      <c r="I1922" s="112"/>
      <c r="J1922" s="112" t="b">
        <v>0</v>
      </c>
      <c r="K1922" s="112"/>
      <c r="L1922" s="112"/>
      <c r="M1922" s="112"/>
      <c r="N1922" s="112"/>
      <c r="O1922" s="112"/>
      <c r="P1922" s="112" t="s">
        <v>2196</v>
      </c>
      <c r="Q1922" s="112" t="s">
        <v>1227</v>
      </c>
    </row>
    <row r="1923" spans="2:17" hidden="1" outlineLevel="2">
      <c r="B1923" s="2" t="s">
        <v>876</v>
      </c>
      <c r="D1923" s="268">
        <v>3211</v>
      </c>
      <c r="E1923" s="114" t="s">
        <v>220</v>
      </c>
      <c r="F1923" s="114" t="s">
        <v>2373</v>
      </c>
      <c r="G1923" s="114" t="s">
        <v>1572</v>
      </c>
      <c r="H1923" s="114" t="s">
        <v>1227</v>
      </c>
      <c r="I1923" s="114"/>
      <c r="J1923" s="114" t="b">
        <v>0</v>
      </c>
      <c r="K1923" s="114"/>
      <c r="L1923" s="114"/>
      <c r="M1923" s="114"/>
      <c r="N1923" s="114"/>
      <c r="O1923" s="114"/>
      <c r="P1923" s="114" t="s">
        <v>2374</v>
      </c>
      <c r="Q1923" s="114" t="s">
        <v>1227</v>
      </c>
    </row>
    <row r="1924" spans="2:17" hidden="1" outlineLevel="2">
      <c r="B1924" s="2" t="s">
        <v>876</v>
      </c>
      <c r="D1924" s="270">
        <v>3212</v>
      </c>
      <c r="E1924" s="112" t="s">
        <v>220</v>
      </c>
      <c r="F1924" s="112" t="s">
        <v>2375</v>
      </c>
      <c r="G1924" s="112" t="s">
        <v>1572</v>
      </c>
      <c r="H1924" s="112" t="s">
        <v>1227</v>
      </c>
      <c r="I1924" s="112"/>
      <c r="J1924" s="112" t="b">
        <v>0</v>
      </c>
      <c r="K1924" s="112"/>
      <c r="L1924" s="112"/>
      <c r="M1924" s="112"/>
      <c r="N1924" s="112"/>
      <c r="O1924" s="112"/>
      <c r="P1924" s="112" t="s">
        <v>1494</v>
      </c>
      <c r="Q1924" s="112" t="s">
        <v>1227</v>
      </c>
    </row>
    <row r="1925" spans="2:17" hidden="1" outlineLevel="2">
      <c r="B1925" s="2" t="s">
        <v>876</v>
      </c>
      <c r="D1925" s="268">
        <v>3213</v>
      </c>
      <c r="E1925" s="114" t="s">
        <v>220</v>
      </c>
      <c r="F1925" s="114" t="s">
        <v>2376</v>
      </c>
      <c r="G1925" s="269" t="s">
        <v>1572</v>
      </c>
      <c r="H1925" s="114" t="s">
        <v>1494</v>
      </c>
      <c r="I1925" s="114"/>
      <c r="J1925" s="114" t="b">
        <v>0</v>
      </c>
      <c r="K1925" s="114"/>
      <c r="L1925" s="114"/>
      <c r="M1925" s="114"/>
      <c r="N1925" s="114"/>
      <c r="O1925" s="114"/>
      <c r="P1925" s="114" t="s">
        <v>1494</v>
      </c>
      <c r="Q1925" s="114" t="s">
        <v>1227</v>
      </c>
    </row>
    <row r="1926" spans="2:17" hidden="1" outlineLevel="2">
      <c r="B1926" s="2" t="s">
        <v>876</v>
      </c>
      <c r="D1926" s="270">
        <v>3214</v>
      </c>
      <c r="E1926" s="112" t="s">
        <v>220</v>
      </c>
      <c r="F1926" s="112" t="s">
        <v>2377</v>
      </c>
      <c r="G1926" s="112" t="s">
        <v>1572</v>
      </c>
      <c r="H1926" s="112" t="s">
        <v>1227</v>
      </c>
      <c r="I1926" s="112"/>
      <c r="J1926" s="112" t="b">
        <v>0</v>
      </c>
      <c r="K1926" s="112"/>
      <c r="L1926" s="112"/>
      <c r="M1926" s="112"/>
      <c r="N1926" s="112"/>
      <c r="O1926" s="112"/>
      <c r="P1926" s="112" t="s">
        <v>1494</v>
      </c>
      <c r="Q1926" s="112" t="s">
        <v>1227</v>
      </c>
    </row>
    <row r="1927" spans="2:17" hidden="1" outlineLevel="2">
      <c r="B1927" s="2" t="s">
        <v>876</v>
      </c>
      <c r="D1927" s="268">
        <v>3215</v>
      </c>
      <c r="E1927" s="114" t="s">
        <v>220</v>
      </c>
      <c r="F1927" s="114" t="s">
        <v>2378</v>
      </c>
      <c r="G1927" s="114" t="s">
        <v>1572</v>
      </c>
      <c r="H1927" s="114" t="s">
        <v>1227</v>
      </c>
      <c r="I1927" s="114"/>
      <c r="J1927" s="114" t="b">
        <v>0</v>
      </c>
      <c r="K1927" s="114"/>
      <c r="L1927" s="114"/>
      <c r="M1927" s="114"/>
      <c r="N1927" s="114"/>
      <c r="O1927" s="114"/>
      <c r="P1927" s="114" t="s">
        <v>1494</v>
      </c>
      <c r="Q1927" s="114" t="s">
        <v>1227</v>
      </c>
    </row>
    <row r="1928" spans="2:17" hidden="1" outlineLevel="2">
      <c r="B1928" s="2" t="s">
        <v>876</v>
      </c>
      <c r="D1928" s="270">
        <v>3216</v>
      </c>
      <c r="E1928" s="112" t="s">
        <v>220</v>
      </c>
      <c r="F1928" s="112" t="s">
        <v>1767</v>
      </c>
      <c r="G1928" s="112" t="s">
        <v>1572</v>
      </c>
      <c r="H1928" s="112" t="s">
        <v>1227</v>
      </c>
      <c r="I1928" s="112"/>
      <c r="J1928" s="112" t="b">
        <v>0</v>
      </c>
      <c r="K1928" s="112"/>
      <c r="L1928" s="112"/>
      <c r="M1928" s="112"/>
      <c r="N1928" s="112"/>
      <c r="O1928" s="112"/>
      <c r="P1928" s="112" t="s">
        <v>1494</v>
      </c>
      <c r="Q1928" s="112" t="s">
        <v>1227</v>
      </c>
    </row>
    <row r="1929" spans="2:17" hidden="1" outlineLevel="2">
      <c r="B1929" s="2" t="s">
        <v>876</v>
      </c>
      <c r="D1929" s="268">
        <v>3217</v>
      </c>
      <c r="E1929" s="114" t="s">
        <v>220</v>
      </c>
      <c r="F1929" s="114" t="s">
        <v>2379</v>
      </c>
      <c r="G1929" s="114" t="s">
        <v>1572</v>
      </c>
      <c r="H1929" s="114" t="s">
        <v>1227</v>
      </c>
      <c r="I1929" s="114"/>
      <c r="J1929" s="114" t="b">
        <v>0</v>
      </c>
      <c r="K1929" s="114"/>
      <c r="L1929" s="114"/>
      <c r="M1929" s="114"/>
      <c r="N1929" s="114"/>
      <c r="O1929" s="114"/>
      <c r="P1929" s="114" t="s">
        <v>1494</v>
      </c>
      <c r="Q1929" s="114" t="s">
        <v>1227</v>
      </c>
    </row>
    <row r="1930" spans="2:17" hidden="1" outlineLevel="2">
      <c r="B1930" s="2" t="s">
        <v>876</v>
      </c>
      <c r="D1930" s="270">
        <v>3218</v>
      </c>
      <c r="E1930" s="112" t="s">
        <v>220</v>
      </c>
      <c r="F1930" s="112" t="s">
        <v>2380</v>
      </c>
      <c r="G1930" s="112" t="s">
        <v>1572</v>
      </c>
      <c r="H1930" s="112" t="s">
        <v>1227</v>
      </c>
      <c r="I1930" s="112"/>
      <c r="J1930" s="112" t="b">
        <v>0</v>
      </c>
      <c r="K1930" s="112"/>
      <c r="L1930" s="112"/>
      <c r="M1930" s="112"/>
      <c r="N1930" s="112"/>
      <c r="O1930" s="112"/>
      <c r="P1930" s="112" t="s">
        <v>1494</v>
      </c>
      <c r="Q1930" s="112" t="s">
        <v>1227</v>
      </c>
    </row>
    <row r="1931" spans="2:17" hidden="1" outlineLevel="2">
      <c r="B1931" s="2" t="s">
        <v>876</v>
      </c>
      <c r="D1931" s="268">
        <v>3219</v>
      </c>
      <c r="E1931" s="114" t="s">
        <v>220</v>
      </c>
      <c r="F1931" s="114" t="s">
        <v>2381</v>
      </c>
      <c r="G1931" s="114" t="s">
        <v>1572</v>
      </c>
      <c r="H1931" s="114" t="s">
        <v>1227</v>
      </c>
      <c r="I1931" s="114"/>
      <c r="J1931" s="114" t="b">
        <v>0</v>
      </c>
      <c r="K1931" s="114"/>
      <c r="L1931" s="114"/>
      <c r="M1931" s="114"/>
      <c r="N1931" s="114"/>
      <c r="O1931" s="114"/>
      <c r="P1931" s="114" t="s">
        <v>1494</v>
      </c>
      <c r="Q1931" s="114" t="s">
        <v>1227</v>
      </c>
    </row>
    <row r="1932" spans="2:17" hidden="1" outlineLevel="2">
      <c r="B1932" s="2" t="s">
        <v>876</v>
      </c>
      <c r="D1932" s="270">
        <v>3220</v>
      </c>
      <c r="E1932" s="112" t="s">
        <v>220</v>
      </c>
      <c r="F1932" s="112" t="s">
        <v>2382</v>
      </c>
      <c r="G1932" s="112" t="s">
        <v>1572</v>
      </c>
      <c r="H1932" s="112" t="s">
        <v>1227</v>
      </c>
      <c r="I1932" s="112"/>
      <c r="J1932" s="112" t="b">
        <v>0</v>
      </c>
      <c r="K1932" s="112"/>
      <c r="L1932" s="112"/>
      <c r="M1932" s="112"/>
      <c r="N1932" s="112"/>
      <c r="O1932" s="112"/>
      <c r="P1932" s="112" t="s">
        <v>1494</v>
      </c>
      <c r="Q1932" s="112" t="s">
        <v>1227</v>
      </c>
    </row>
    <row r="1933" spans="2:17" hidden="1" outlineLevel="2">
      <c r="B1933" s="2" t="s">
        <v>876</v>
      </c>
      <c r="D1933" s="268">
        <v>3221</v>
      </c>
      <c r="E1933" s="114" t="s">
        <v>220</v>
      </c>
      <c r="F1933" s="114" t="s">
        <v>2383</v>
      </c>
      <c r="G1933" s="114" t="s">
        <v>1572</v>
      </c>
      <c r="H1933" s="114" t="s">
        <v>1227</v>
      </c>
      <c r="I1933" s="114"/>
      <c r="J1933" s="114" t="b">
        <v>0</v>
      </c>
      <c r="K1933" s="114"/>
      <c r="L1933" s="114"/>
      <c r="M1933" s="114"/>
      <c r="N1933" s="114"/>
      <c r="O1933" s="114"/>
      <c r="P1933" s="114" t="s">
        <v>1494</v>
      </c>
      <c r="Q1933" s="114" t="s">
        <v>1228</v>
      </c>
    </row>
    <row r="1934" spans="2:17" hidden="1" outlineLevel="2">
      <c r="B1934" s="2" t="s">
        <v>876</v>
      </c>
      <c r="D1934" s="270">
        <v>3222</v>
      </c>
      <c r="E1934" s="112" t="s">
        <v>220</v>
      </c>
      <c r="F1934" s="112" t="s">
        <v>2384</v>
      </c>
      <c r="G1934" s="112" t="s">
        <v>1572</v>
      </c>
      <c r="H1934" s="112" t="s">
        <v>1227</v>
      </c>
      <c r="I1934" s="112"/>
      <c r="J1934" s="112" t="b">
        <v>0</v>
      </c>
      <c r="K1934" s="112"/>
      <c r="L1934" s="112"/>
      <c r="M1934" s="112"/>
      <c r="N1934" s="112"/>
      <c r="O1934" s="112"/>
      <c r="P1934" s="112" t="s">
        <v>1494</v>
      </c>
      <c r="Q1934" s="112" t="s">
        <v>1227</v>
      </c>
    </row>
    <row r="1935" spans="2:17" hidden="1" outlineLevel="2">
      <c r="B1935" s="2" t="s">
        <v>876</v>
      </c>
      <c r="D1935" s="268">
        <v>3223</v>
      </c>
      <c r="E1935" s="114" t="s">
        <v>220</v>
      </c>
      <c r="F1935" s="114" t="s">
        <v>2385</v>
      </c>
      <c r="G1935" s="114" t="s">
        <v>1572</v>
      </c>
      <c r="H1935" s="114" t="s">
        <v>1227</v>
      </c>
      <c r="I1935" s="114"/>
      <c r="J1935" s="114" t="b">
        <v>0</v>
      </c>
      <c r="K1935" s="114"/>
      <c r="L1935" s="114"/>
      <c r="M1935" s="114"/>
      <c r="N1935" s="114"/>
      <c r="O1935" s="114"/>
      <c r="P1935" s="114" t="s">
        <v>1494</v>
      </c>
      <c r="Q1935" s="114" t="s">
        <v>1227</v>
      </c>
    </row>
    <row r="1936" spans="2:17" hidden="1" outlineLevel="2">
      <c r="B1936" s="2" t="s">
        <v>876</v>
      </c>
      <c r="D1936" s="270">
        <v>3224</v>
      </c>
      <c r="E1936" s="112" t="s">
        <v>220</v>
      </c>
      <c r="F1936" s="112" t="s">
        <v>2386</v>
      </c>
      <c r="G1936" s="112" t="s">
        <v>1572</v>
      </c>
      <c r="H1936" s="112" t="s">
        <v>1227</v>
      </c>
      <c r="I1936" s="112"/>
      <c r="J1936" s="112" t="b">
        <v>0</v>
      </c>
      <c r="K1936" s="112"/>
      <c r="L1936" s="112"/>
      <c r="M1936" s="112"/>
      <c r="N1936" s="112"/>
      <c r="O1936" s="112"/>
      <c r="P1936" s="112" t="s">
        <v>1494</v>
      </c>
      <c r="Q1936" s="112" t="s">
        <v>1227</v>
      </c>
    </row>
    <row r="1937" spans="2:17" hidden="1" outlineLevel="2">
      <c r="B1937" s="2" t="s">
        <v>876</v>
      </c>
      <c r="D1937" s="268">
        <v>3225</v>
      </c>
      <c r="E1937" s="114" t="s">
        <v>220</v>
      </c>
      <c r="F1937" s="114" t="s">
        <v>2387</v>
      </c>
      <c r="G1937" s="114" t="s">
        <v>1572</v>
      </c>
      <c r="H1937" s="114" t="s">
        <v>1227</v>
      </c>
      <c r="I1937" s="114"/>
      <c r="J1937" s="114" t="b">
        <v>0</v>
      </c>
      <c r="K1937" s="114"/>
      <c r="L1937" s="114"/>
      <c r="M1937" s="114"/>
      <c r="N1937" s="114"/>
      <c r="O1937" s="114"/>
      <c r="P1937" s="114" t="s">
        <v>1494</v>
      </c>
      <c r="Q1937" s="114" t="s">
        <v>1227</v>
      </c>
    </row>
    <row r="1938" spans="2:17" hidden="1" outlineLevel="2">
      <c r="B1938" s="2" t="s">
        <v>876</v>
      </c>
      <c r="D1938" s="270">
        <v>3226</v>
      </c>
      <c r="E1938" s="112" t="s">
        <v>220</v>
      </c>
      <c r="F1938" s="112" t="s">
        <v>2388</v>
      </c>
      <c r="G1938" s="112" t="s">
        <v>1572</v>
      </c>
      <c r="H1938" s="112" t="s">
        <v>1227</v>
      </c>
      <c r="I1938" s="112"/>
      <c r="J1938" s="112" t="b">
        <v>0</v>
      </c>
      <c r="K1938" s="112"/>
      <c r="L1938" s="112"/>
      <c r="M1938" s="112"/>
      <c r="N1938" s="112"/>
      <c r="O1938" s="112"/>
      <c r="P1938" s="112" t="s">
        <v>1494</v>
      </c>
      <c r="Q1938" s="112" t="s">
        <v>1227</v>
      </c>
    </row>
    <row r="1939" spans="2:17" hidden="1" outlineLevel="2">
      <c r="B1939" s="2" t="s">
        <v>876</v>
      </c>
      <c r="D1939" s="268">
        <v>3227</v>
      </c>
      <c r="E1939" s="114" t="s">
        <v>220</v>
      </c>
      <c r="F1939" s="114" t="s">
        <v>2389</v>
      </c>
      <c r="G1939" s="114" t="s">
        <v>1572</v>
      </c>
      <c r="H1939" s="114" t="s">
        <v>1227</v>
      </c>
      <c r="I1939" s="114"/>
      <c r="J1939" s="114" t="b">
        <v>0</v>
      </c>
      <c r="K1939" s="114"/>
      <c r="L1939" s="114"/>
      <c r="M1939" s="114"/>
      <c r="N1939" s="114"/>
      <c r="O1939" s="114"/>
      <c r="P1939" s="114" t="s">
        <v>1494</v>
      </c>
      <c r="Q1939" s="114" t="s">
        <v>1227</v>
      </c>
    </row>
    <row r="1940" spans="2:17" hidden="1" outlineLevel="2">
      <c r="B1940" s="2" t="s">
        <v>876</v>
      </c>
      <c r="D1940" s="270">
        <v>3228</v>
      </c>
      <c r="E1940" s="112" t="s">
        <v>220</v>
      </c>
      <c r="F1940" s="112" t="s">
        <v>2390</v>
      </c>
      <c r="G1940" s="112" t="s">
        <v>1572</v>
      </c>
      <c r="H1940" s="112" t="s">
        <v>1227</v>
      </c>
      <c r="I1940" s="112"/>
      <c r="J1940" s="112" t="b">
        <v>0</v>
      </c>
      <c r="K1940" s="112"/>
      <c r="L1940" s="112"/>
      <c r="M1940" s="112"/>
      <c r="N1940" s="112"/>
      <c r="O1940" s="112"/>
      <c r="P1940" s="112" t="s">
        <v>1494</v>
      </c>
      <c r="Q1940" s="112" t="s">
        <v>1228</v>
      </c>
    </row>
    <row r="1941" spans="2:17" hidden="1" outlineLevel="2">
      <c r="B1941" s="2" t="s">
        <v>876</v>
      </c>
      <c r="D1941" s="268">
        <v>3230</v>
      </c>
      <c r="E1941" s="114" t="s">
        <v>220</v>
      </c>
      <c r="F1941" s="114" t="s">
        <v>2391</v>
      </c>
      <c r="G1941" s="114" t="s">
        <v>1572</v>
      </c>
      <c r="H1941" s="114" t="s">
        <v>1494</v>
      </c>
      <c r="I1941" s="114"/>
      <c r="J1941" s="114" t="b">
        <v>0</v>
      </c>
      <c r="K1941" s="114"/>
      <c r="L1941" s="114"/>
      <c r="M1941" s="114"/>
      <c r="N1941" s="114"/>
      <c r="O1941" s="114"/>
      <c r="P1941" s="114" t="s">
        <v>1494</v>
      </c>
      <c r="Q1941" s="114" t="s">
        <v>1228</v>
      </c>
    </row>
    <row r="1942" spans="2:17" hidden="1" outlineLevel="2">
      <c r="B1942" s="2" t="s">
        <v>876</v>
      </c>
      <c r="D1942" s="270">
        <v>3231</v>
      </c>
      <c r="E1942" s="112" t="s">
        <v>220</v>
      </c>
      <c r="F1942" s="112" t="s">
        <v>2392</v>
      </c>
      <c r="G1942" s="269" t="s">
        <v>1483</v>
      </c>
      <c r="H1942" s="112" t="s">
        <v>1505</v>
      </c>
      <c r="I1942" s="112"/>
      <c r="J1942" s="112" t="b">
        <v>0</v>
      </c>
      <c r="K1942" s="112"/>
      <c r="L1942" s="112"/>
      <c r="M1942" s="112"/>
      <c r="N1942" s="112"/>
      <c r="O1942" s="112"/>
      <c r="P1942" s="112" t="s">
        <v>1494</v>
      </c>
      <c r="Q1942" s="112" t="s">
        <v>1228</v>
      </c>
    </row>
    <row r="1943" spans="2:17" hidden="1" outlineLevel="2">
      <c r="B1943" s="2" t="s">
        <v>876</v>
      </c>
      <c r="D1943" s="268">
        <v>3232</v>
      </c>
      <c r="E1943" s="114" t="s">
        <v>220</v>
      </c>
      <c r="F1943" s="114" t="s">
        <v>2393</v>
      </c>
      <c r="G1943" s="114" t="s">
        <v>1572</v>
      </c>
      <c r="H1943" s="114" t="s">
        <v>1227</v>
      </c>
      <c r="I1943" s="114"/>
      <c r="J1943" s="114" t="b">
        <v>0</v>
      </c>
      <c r="K1943" s="114"/>
      <c r="L1943" s="114"/>
      <c r="M1943" s="114"/>
      <c r="N1943" s="691" t="b">
        <v>1</v>
      </c>
      <c r="O1943" s="114"/>
      <c r="P1943" s="114" t="s">
        <v>1494</v>
      </c>
      <c r="Q1943" s="114" t="s">
        <v>1227</v>
      </c>
    </row>
    <row r="1944" spans="2:17" hidden="1" outlineLevel="2">
      <c r="B1944" s="2" t="s">
        <v>876</v>
      </c>
      <c r="D1944" s="270">
        <v>3233</v>
      </c>
      <c r="E1944" s="112" t="s">
        <v>220</v>
      </c>
      <c r="F1944" s="112" t="s">
        <v>2394</v>
      </c>
      <c r="G1944" s="269" t="s">
        <v>1483</v>
      </c>
      <c r="H1944" s="112" t="s">
        <v>1227</v>
      </c>
      <c r="I1944" s="112"/>
      <c r="J1944" s="112" t="b">
        <v>0</v>
      </c>
      <c r="K1944" s="112"/>
      <c r="L1944" s="112"/>
      <c r="M1944" s="112"/>
      <c r="N1944" s="112"/>
      <c r="O1944" s="112"/>
      <c r="P1944" s="112" t="s">
        <v>1494</v>
      </c>
      <c r="Q1944" s="112" t="s">
        <v>1227</v>
      </c>
    </row>
    <row r="1945" spans="2:17" hidden="1" outlineLevel="2">
      <c r="B1945" s="2" t="s">
        <v>876</v>
      </c>
      <c r="D1945" s="268">
        <v>3234</v>
      </c>
      <c r="E1945" s="114" t="s">
        <v>220</v>
      </c>
      <c r="F1945" s="114" t="s">
        <v>2395</v>
      </c>
      <c r="G1945" s="114" t="s">
        <v>1493</v>
      </c>
      <c r="H1945" s="114" t="s">
        <v>1505</v>
      </c>
      <c r="I1945" s="114"/>
      <c r="J1945" s="114" t="b">
        <v>0</v>
      </c>
      <c r="K1945" s="114"/>
      <c r="L1945" s="114"/>
      <c r="M1945" s="114"/>
      <c r="N1945" s="114"/>
      <c r="O1945" s="114"/>
      <c r="P1945" s="114" t="s">
        <v>1494</v>
      </c>
      <c r="Q1945" s="114" t="s">
        <v>1228</v>
      </c>
    </row>
    <row r="1946" spans="2:17" hidden="1" outlineLevel="2">
      <c r="B1946" s="2" t="s">
        <v>876</v>
      </c>
      <c r="D1946" s="270">
        <v>3235</v>
      </c>
      <c r="E1946" s="112" t="s">
        <v>220</v>
      </c>
      <c r="F1946" s="112" t="s">
        <v>2396</v>
      </c>
      <c r="G1946" s="112" t="s">
        <v>1493</v>
      </c>
      <c r="H1946" s="112" t="s">
        <v>1505</v>
      </c>
      <c r="I1946" s="112"/>
      <c r="J1946" s="112" t="b">
        <v>0</v>
      </c>
      <c r="K1946" s="112"/>
      <c r="L1946" s="112"/>
      <c r="M1946" s="112"/>
      <c r="N1946" s="112"/>
      <c r="O1946" s="112"/>
      <c r="P1946" s="112" t="s">
        <v>1494</v>
      </c>
      <c r="Q1946" s="112" t="s">
        <v>1228</v>
      </c>
    </row>
    <row r="1947" spans="2:17" hidden="1" outlineLevel="2">
      <c r="B1947" s="2" t="s">
        <v>876</v>
      </c>
      <c r="D1947" s="268">
        <v>3236</v>
      </c>
      <c r="E1947" s="114" t="s">
        <v>220</v>
      </c>
      <c r="F1947" s="114" t="s">
        <v>1989</v>
      </c>
      <c r="G1947" s="114" t="s">
        <v>1512</v>
      </c>
      <c r="H1947" s="114" t="s">
        <v>1505</v>
      </c>
      <c r="I1947" s="114"/>
      <c r="J1947" s="114" t="b">
        <v>0</v>
      </c>
      <c r="K1947" s="114"/>
      <c r="L1947" s="114"/>
      <c r="M1947" s="114"/>
      <c r="N1947" s="114"/>
      <c r="O1947" s="114"/>
      <c r="P1947" s="114" t="s">
        <v>1494</v>
      </c>
      <c r="Q1947" s="114" t="s">
        <v>1228</v>
      </c>
    </row>
    <row r="1948" spans="2:17" hidden="1" outlineLevel="2">
      <c r="B1948" s="2" t="s">
        <v>876</v>
      </c>
      <c r="D1948" s="270">
        <v>3237</v>
      </c>
      <c r="E1948" s="112" t="s">
        <v>220</v>
      </c>
      <c r="F1948" s="112" t="s">
        <v>2397</v>
      </c>
      <c r="G1948" s="112" t="s">
        <v>1512</v>
      </c>
      <c r="H1948" s="112" t="s">
        <v>1505</v>
      </c>
      <c r="I1948" s="112"/>
      <c r="J1948" s="112" t="b">
        <v>0</v>
      </c>
      <c r="K1948" s="112"/>
      <c r="L1948" s="112"/>
      <c r="M1948" s="112"/>
      <c r="N1948" s="112"/>
      <c r="O1948" s="112"/>
      <c r="P1948" s="112" t="s">
        <v>1494</v>
      </c>
      <c r="Q1948" s="112" t="s">
        <v>1228</v>
      </c>
    </row>
    <row r="1949" spans="2:17" hidden="1" outlineLevel="2">
      <c r="B1949" s="2" t="s">
        <v>876</v>
      </c>
      <c r="D1949" s="268">
        <v>3238</v>
      </c>
      <c r="E1949" s="114" t="s">
        <v>220</v>
      </c>
      <c r="F1949" s="114" t="s">
        <v>2398</v>
      </c>
      <c r="G1949" s="114" t="s">
        <v>1512</v>
      </c>
      <c r="H1949" s="114" t="s">
        <v>1505</v>
      </c>
      <c r="I1949" s="114"/>
      <c r="J1949" s="114" t="b">
        <v>0</v>
      </c>
      <c r="K1949" s="114"/>
      <c r="L1949" s="114"/>
      <c r="M1949" s="114"/>
      <c r="N1949" s="114"/>
      <c r="O1949" s="114"/>
      <c r="P1949" s="114" t="s">
        <v>1494</v>
      </c>
      <c r="Q1949" s="114" t="s">
        <v>1228</v>
      </c>
    </row>
    <row r="1950" spans="2:17" hidden="1" outlineLevel="2">
      <c r="B1950" s="2" t="s">
        <v>876</v>
      </c>
      <c r="D1950" s="270">
        <v>3239</v>
      </c>
      <c r="E1950" s="112" t="s">
        <v>220</v>
      </c>
      <c r="F1950" s="112" t="s">
        <v>2399</v>
      </c>
      <c r="G1950" s="112" t="s">
        <v>1512</v>
      </c>
      <c r="H1950" s="112" t="s">
        <v>1505</v>
      </c>
      <c r="I1950" s="112"/>
      <c r="J1950" s="112" t="b">
        <v>0</v>
      </c>
      <c r="K1950" s="112"/>
      <c r="L1950" s="112"/>
      <c r="M1950" s="112"/>
      <c r="N1950" s="112"/>
      <c r="O1950" s="112"/>
      <c r="P1950" s="112" t="s">
        <v>1494</v>
      </c>
      <c r="Q1950" s="112" t="s">
        <v>1228</v>
      </c>
    </row>
    <row r="1951" spans="2:17" hidden="1" outlineLevel="2">
      <c r="B1951" s="2" t="s">
        <v>876</v>
      </c>
      <c r="D1951" s="268">
        <v>3240</v>
      </c>
      <c r="E1951" s="114" t="s">
        <v>220</v>
      </c>
      <c r="F1951" s="114" t="s">
        <v>2400</v>
      </c>
      <c r="G1951" s="269" t="s">
        <v>1483</v>
      </c>
      <c r="H1951" s="114" t="s">
        <v>1505</v>
      </c>
      <c r="I1951" s="114"/>
      <c r="J1951" s="114" t="b">
        <v>0</v>
      </c>
      <c r="K1951" s="114"/>
      <c r="L1951" s="114"/>
      <c r="M1951" s="114"/>
      <c r="N1951" s="114"/>
      <c r="O1951" s="114"/>
      <c r="P1951" s="114" t="s">
        <v>1494</v>
      </c>
      <c r="Q1951" s="114" t="s">
        <v>1228</v>
      </c>
    </row>
    <row r="1952" spans="2:17" hidden="1" outlineLevel="2">
      <c r="B1952" s="2" t="s">
        <v>876</v>
      </c>
      <c r="D1952" s="270">
        <v>3241</v>
      </c>
      <c r="E1952" s="112" t="s">
        <v>220</v>
      </c>
      <c r="F1952" s="112" t="s">
        <v>2401</v>
      </c>
      <c r="G1952" s="269" t="s">
        <v>1493</v>
      </c>
      <c r="H1952" s="112" t="s">
        <v>1512</v>
      </c>
      <c r="I1952" s="112"/>
      <c r="J1952" s="112" t="b">
        <v>0</v>
      </c>
      <c r="K1952" s="112"/>
      <c r="L1952" s="112"/>
      <c r="M1952" s="112"/>
      <c r="N1952" s="112"/>
      <c r="O1952" s="112"/>
      <c r="P1952" s="112" t="s">
        <v>1494</v>
      </c>
      <c r="Q1952" s="112" t="s">
        <v>1228</v>
      </c>
    </row>
    <row r="1953" spans="2:17" hidden="1" outlineLevel="2">
      <c r="B1953" s="2" t="s">
        <v>876</v>
      </c>
      <c r="D1953" s="268">
        <v>3242</v>
      </c>
      <c r="E1953" s="114" t="s">
        <v>220</v>
      </c>
      <c r="F1953" s="114" t="s">
        <v>2402</v>
      </c>
      <c r="G1953" s="114" t="s">
        <v>1493</v>
      </c>
      <c r="H1953" s="114" t="s">
        <v>1505</v>
      </c>
      <c r="I1953" s="114"/>
      <c r="J1953" s="114" t="b">
        <v>0</v>
      </c>
      <c r="K1953" s="114"/>
      <c r="L1953" s="114"/>
      <c r="M1953" s="114"/>
      <c r="N1953" s="114"/>
      <c r="O1953" s="114"/>
      <c r="P1953" s="114" t="s">
        <v>1494</v>
      </c>
      <c r="Q1953" s="114" t="s">
        <v>1228</v>
      </c>
    </row>
    <row r="1954" spans="2:17" hidden="1" outlineLevel="2">
      <c r="B1954" s="2" t="s">
        <v>876</v>
      </c>
      <c r="D1954" s="270">
        <v>3243</v>
      </c>
      <c r="E1954" s="112" t="s">
        <v>220</v>
      </c>
      <c r="F1954" s="112" t="s">
        <v>2403</v>
      </c>
      <c r="G1954" s="112" t="s">
        <v>1512</v>
      </c>
      <c r="H1954" s="112" t="s">
        <v>1505</v>
      </c>
      <c r="I1954" s="112"/>
      <c r="J1954" s="112" t="b">
        <v>0</v>
      </c>
      <c r="K1954" s="112"/>
      <c r="L1954" s="112"/>
      <c r="M1954" s="112"/>
      <c r="N1954" s="112"/>
      <c r="O1954" s="112"/>
      <c r="P1954" s="112" t="s">
        <v>1494</v>
      </c>
      <c r="Q1954" s="112" t="s">
        <v>1228</v>
      </c>
    </row>
    <row r="1955" spans="2:17" hidden="1" outlineLevel="2">
      <c r="B1955" s="2" t="s">
        <v>876</v>
      </c>
      <c r="D1955" s="268">
        <v>3249</v>
      </c>
      <c r="E1955" s="114" t="s">
        <v>220</v>
      </c>
      <c r="F1955" s="114" t="s">
        <v>2404</v>
      </c>
      <c r="G1955" s="221" t="s">
        <v>1493</v>
      </c>
      <c r="H1955" s="114" t="s">
        <v>1505</v>
      </c>
      <c r="I1955" s="114"/>
      <c r="J1955" s="114" t="b">
        <v>0</v>
      </c>
      <c r="K1955" s="114"/>
      <c r="L1955" s="114"/>
      <c r="M1955" s="114"/>
      <c r="N1955" s="114"/>
      <c r="O1955" s="114"/>
      <c r="P1955" s="114" t="s">
        <v>1494</v>
      </c>
      <c r="Q1955" s="114" t="s">
        <v>1228</v>
      </c>
    </row>
    <row r="1956" spans="2:17" hidden="1" outlineLevel="2">
      <c r="B1956" s="2" t="s">
        <v>876</v>
      </c>
      <c r="D1956" s="270">
        <v>3250</v>
      </c>
      <c r="E1956" s="112" t="s">
        <v>220</v>
      </c>
      <c r="F1956" s="112" t="s">
        <v>2405</v>
      </c>
      <c r="G1956" s="112" t="s">
        <v>1493</v>
      </c>
      <c r="H1956" s="112" t="s">
        <v>1505</v>
      </c>
      <c r="I1956" s="112"/>
      <c r="J1956" s="112" t="b">
        <v>0</v>
      </c>
      <c r="K1956" s="112"/>
      <c r="L1956" s="112"/>
      <c r="M1956" s="112"/>
      <c r="N1956" s="112"/>
      <c r="O1956" s="112"/>
      <c r="P1956" s="112" t="s">
        <v>1494</v>
      </c>
      <c r="Q1956" s="112" t="s">
        <v>1228</v>
      </c>
    </row>
    <row r="1957" spans="2:17" hidden="1" outlineLevel="2">
      <c r="B1957" s="2" t="s">
        <v>876</v>
      </c>
      <c r="D1957" s="268">
        <v>3251</v>
      </c>
      <c r="E1957" s="114" t="s">
        <v>220</v>
      </c>
      <c r="F1957" s="114" t="s">
        <v>2406</v>
      </c>
      <c r="G1957" s="114" t="s">
        <v>1512</v>
      </c>
      <c r="H1957" s="114" t="s">
        <v>1505</v>
      </c>
      <c r="I1957" s="114"/>
      <c r="J1957" s="114" t="b">
        <v>0</v>
      </c>
      <c r="K1957" s="114"/>
      <c r="L1957" s="114"/>
      <c r="M1957" s="114"/>
      <c r="N1957" s="114"/>
      <c r="O1957" s="114"/>
      <c r="P1957" s="114" t="s">
        <v>1494</v>
      </c>
      <c r="Q1957" s="114" t="s">
        <v>1228</v>
      </c>
    </row>
    <row r="1958" spans="2:17" hidden="1" outlineLevel="2">
      <c r="B1958" s="2" t="s">
        <v>876</v>
      </c>
      <c r="D1958" s="270">
        <v>3254</v>
      </c>
      <c r="E1958" s="112" t="s">
        <v>220</v>
      </c>
      <c r="F1958" s="112" t="s">
        <v>2407</v>
      </c>
      <c r="G1958" s="112" t="s">
        <v>1512</v>
      </c>
      <c r="H1958" s="112" t="s">
        <v>1505</v>
      </c>
      <c r="I1958" s="112"/>
      <c r="J1958" s="112" t="b">
        <v>0</v>
      </c>
      <c r="K1958" s="112"/>
      <c r="L1958" s="112"/>
      <c r="M1958" s="112"/>
      <c r="N1958" s="112"/>
      <c r="O1958" s="112"/>
      <c r="P1958" s="112" t="s">
        <v>1494</v>
      </c>
      <c r="Q1958" s="112" t="s">
        <v>1228</v>
      </c>
    </row>
    <row r="1959" spans="2:17" hidden="1" outlineLevel="2">
      <c r="B1959" s="2" t="s">
        <v>876</v>
      </c>
      <c r="D1959" s="268">
        <v>3260</v>
      </c>
      <c r="E1959" s="114" t="s">
        <v>220</v>
      </c>
      <c r="F1959" s="114" t="s">
        <v>2408</v>
      </c>
      <c r="G1959" s="114" t="s">
        <v>1493</v>
      </c>
      <c r="H1959" s="114" t="s">
        <v>1505</v>
      </c>
      <c r="I1959" s="114"/>
      <c r="J1959" s="114" t="b">
        <v>0</v>
      </c>
      <c r="K1959" s="114"/>
      <c r="L1959" s="114"/>
      <c r="M1959" s="114"/>
      <c r="N1959" s="114"/>
      <c r="O1959" s="114"/>
      <c r="P1959" s="114" t="s">
        <v>1494</v>
      </c>
      <c r="Q1959" s="114" t="s">
        <v>1228</v>
      </c>
    </row>
    <row r="1960" spans="2:17" hidden="1" outlineLevel="2">
      <c r="B1960" s="2" t="s">
        <v>876</v>
      </c>
      <c r="D1960" s="270">
        <v>3264</v>
      </c>
      <c r="E1960" s="112" t="s">
        <v>220</v>
      </c>
      <c r="F1960" s="112" t="s">
        <v>2409</v>
      </c>
      <c r="G1960" s="112" t="s">
        <v>1493</v>
      </c>
      <c r="H1960" s="112" t="s">
        <v>1505</v>
      </c>
      <c r="I1960" s="112"/>
      <c r="J1960" s="112" t="b">
        <v>0</v>
      </c>
      <c r="K1960" s="112"/>
      <c r="L1960" s="112"/>
      <c r="M1960" s="112"/>
      <c r="N1960" s="112"/>
      <c r="O1960" s="112"/>
      <c r="P1960" s="112" t="s">
        <v>1494</v>
      </c>
      <c r="Q1960" s="112" t="s">
        <v>1228</v>
      </c>
    </row>
    <row r="1961" spans="2:17" hidden="1" outlineLevel="2">
      <c r="B1961" s="2" t="s">
        <v>876</v>
      </c>
      <c r="D1961" s="268">
        <v>3265</v>
      </c>
      <c r="E1961" s="114" t="s">
        <v>220</v>
      </c>
      <c r="F1961" s="114" t="s">
        <v>2410</v>
      </c>
      <c r="G1961" s="114" t="s">
        <v>1512</v>
      </c>
      <c r="H1961" s="114" t="s">
        <v>1505</v>
      </c>
      <c r="I1961" s="114"/>
      <c r="J1961" s="114" t="b">
        <v>0</v>
      </c>
      <c r="K1961" s="114"/>
      <c r="L1961" s="114"/>
      <c r="M1961" s="114"/>
      <c r="N1961" s="114"/>
      <c r="O1961" s="114"/>
      <c r="P1961" s="114" t="s">
        <v>1494</v>
      </c>
      <c r="Q1961" s="114" t="s">
        <v>1228</v>
      </c>
    </row>
    <row r="1962" spans="2:17" hidden="1" outlineLevel="2">
      <c r="B1962" s="2" t="s">
        <v>876</v>
      </c>
      <c r="D1962" s="270">
        <v>3266</v>
      </c>
      <c r="E1962" s="112" t="s">
        <v>220</v>
      </c>
      <c r="F1962" s="112" t="s">
        <v>2411</v>
      </c>
      <c r="G1962" s="112" t="s">
        <v>1512</v>
      </c>
      <c r="H1962" s="112" t="s">
        <v>1505</v>
      </c>
      <c r="I1962" s="112"/>
      <c r="J1962" s="112" t="b">
        <v>0</v>
      </c>
      <c r="K1962" s="112"/>
      <c r="L1962" s="112"/>
      <c r="M1962" s="112"/>
      <c r="N1962" s="112"/>
      <c r="O1962" s="112"/>
      <c r="P1962" s="112" t="s">
        <v>1494</v>
      </c>
      <c r="Q1962" s="112" t="s">
        <v>1228</v>
      </c>
    </row>
    <row r="1963" spans="2:17" hidden="1" outlineLevel="2">
      <c r="B1963" s="2" t="s">
        <v>876</v>
      </c>
      <c r="D1963" s="268">
        <v>3267</v>
      </c>
      <c r="E1963" s="114" t="s">
        <v>220</v>
      </c>
      <c r="F1963" s="114" t="s">
        <v>2412</v>
      </c>
      <c r="G1963" s="114" t="s">
        <v>1512</v>
      </c>
      <c r="H1963" s="114" t="s">
        <v>1505</v>
      </c>
      <c r="I1963" s="114"/>
      <c r="J1963" s="114" t="b">
        <v>0</v>
      </c>
      <c r="K1963" s="114"/>
      <c r="L1963" s="114"/>
      <c r="M1963" s="114"/>
      <c r="N1963" s="114"/>
      <c r="O1963" s="114"/>
      <c r="P1963" s="114" t="s">
        <v>1494</v>
      </c>
      <c r="Q1963" s="114" t="s">
        <v>1228</v>
      </c>
    </row>
    <row r="1964" spans="2:17" hidden="1" outlineLevel="2">
      <c r="B1964" s="2" t="s">
        <v>876</v>
      </c>
      <c r="D1964" s="270">
        <v>3268</v>
      </c>
      <c r="E1964" s="112" t="s">
        <v>220</v>
      </c>
      <c r="F1964" s="112" t="s">
        <v>2413</v>
      </c>
      <c r="G1964" s="112" t="s">
        <v>1512</v>
      </c>
      <c r="H1964" s="112" t="s">
        <v>1505</v>
      </c>
      <c r="I1964" s="112"/>
      <c r="J1964" s="112" t="b">
        <v>0</v>
      </c>
      <c r="K1964" s="112"/>
      <c r="L1964" s="112"/>
      <c r="M1964" s="112"/>
      <c r="N1964" s="112"/>
      <c r="O1964" s="112"/>
      <c r="P1964" s="112" t="s">
        <v>1494</v>
      </c>
      <c r="Q1964" s="112" t="s">
        <v>1228</v>
      </c>
    </row>
    <row r="1965" spans="2:17" hidden="1" outlineLevel="2">
      <c r="B1965" s="2" t="s">
        <v>876</v>
      </c>
      <c r="D1965" s="268">
        <v>3269</v>
      </c>
      <c r="E1965" s="114" t="s">
        <v>220</v>
      </c>
      <c r="F1965" s="114" t="s">
        <v>2414</v>
      </c>
      <c r="G1965" s="114" t="s">
        <v>1512</v>
      </c>
      <c r="H1965" s="114" t="s">
        <v>1505</v>
      </c>
      <c r="I1965" s="114"/>
      <c r="J1965" s="114" t="b">
        <v>0</v>
      </c>
      <c r="K1965" s="114"/>
      <c r="L1965" s="114"/>
      <c r="M1965" s="114"/>
      <c r="N1965" s="114"/>
      <c r="O1965" s="114"/>
      <c r="P1965" s="114" t="s">
        <v>1494</v>
      </c>
      <c r="Q1965" s="114" t="s">
        <v>1228</v>
      </c>
    </row>
    <row r="1966" spans="2:17" hidden="1" outlineLevel="2">
      <c r="B1966" s="2" t="s">
        <v>876</v>
      </c>
      <c r="D1966" s="270">
        <v>3270</v>
      </c>
      <c r="E1966" s="112" t="s">
        <v>220</v>
      </c>
      <c r="F1966" s="112" t="s">
        <v>2415</v>
      </c>
      <c r="G1966" s="112" t="s">
        <v>1512</v>
      </c>
      <c r="H1966" s="112" t="s">
        <v>1505</v>
      </c>
      <c r="I1966" s="112"/>
      <c r="J1966" s="112" t="b">
        <v>0</v>
      </c>
      <c r="K1966" s="112"/>
      <c r="L1966" s="112"/>
      <c r="M1966" s="112"/>
      <c r="N1966" s="112"/>
      <c r="O1966" s="112"/>
      <c r="P1966" s="112" t="s">
        <v>1494</v>
      </c>
      <c r="Q1966" s="112" t="s">
        <v>1228</v>
      </c>
    </row>
    <row r="1967" spans="2:17" hidden="1" outlineLevel="2">
      <c r="B1967" s="2" t="s">
        <v>876</v>
      </c>
      <c r="D1967" s="268">
        <v>3271</v>
      </c>
      <c r="E1967" s="114" t="s">
        <v>220</v>
      </c>
      <c r="F1967" s="114" t="s">
        <v>2416</v>
      </c>
      <c r="G1967" s="114" t="s">
        <v>1512</v>
      </c>
      <c r="H1967" s="114" t="s">
        <v>1505</v>
      </c>
      <c r="I1967" s="114"/>
      <c r="J1967" s="114" t="b">
        <v>0</v>
      </c>
      <c r="K1967" s="114"/>
      <c r="L1967" s="114" t="b">
        <v>1</v>
      </c>
      <c r="M1967" s="114"/>
      <c r="N1967" s="114"/>
      <c r="O1967" s="114"/>
      <c r="P1967" s="114" t="s">
        <v>1494</v>
      </c>
      <c r="Q1967" s="114" t="s">
        <v>1228</v>
      </c>
    </row>
    <row r="1968" spans="2:17" hidden="1" outlineLevel="2">
      <c r="B1968" s="2" t="s">
        <v>876</v>
      </c>
      <c r="D1968" s="270">
        <v>3272</v>
      </c>
      <c r="E1968" s="112" t="s">
        <v>220</v>
      </c>
      <c r="F1968" s="112" t="s">
        <v>2417</v>
      </c>
      <c r="G1968" s="112" t="s">
        <v>1512</v>
      </c>
      <c r="H1968" s="112" t="s">
        <v>1505</v>
      </c>
      <c r="I1968" s="112"/>
      <c r="J1968" s="112" t="b">
        <v>0</v>
      </c>
      <c r="K1968" s="112"/>
      <c r="L1968" s="112"/>
      <c r="M1968" s="112"/>
      <c r="N1968" s="112"/>
      <c r="O1968" s="112"/>
      <c r="P1968" s="112" t="s">
        <v>1494</v>
      </c>
      <c r="Q1968" s="112" t="s">
        <v>1228</v>
      </c>
    </row>
    <row r="1969" spans="2:17" hidden="1" outlineLevel="2">
      <c r="B1969" s="2" t="s">
        <v>876</v>
      </c>
      <c r="D1969" s="268">
        <v>3273</v>
      </c>
      <c r="E1969" s="114" t="s">
        <v>220</v>
      </c>
      <c r="F1969" s="114" t="s">
        <v>2418</v>
      </c>
      <c r="G1969" s="114" t="s">
        <v>1512</v>
      </c>
      <c r="H1969" s="114" t="s">
        <v>1505</v>
      </c>
      <c r="I1969" s="114"/>
      <c r="J1969" s="114" t="b">
        <v>0</v>
      </c>
      <c r="K1969" s="114"/>
      <c r="L1969" s="114"/>
      <c r="M1969" s="114"/>
      <c r="N1969" s="114"/>
      <c r="O1969" s="114"/>
      <c r="P1969" s="114" t="s">
        <v>1494</v>
      </c>
      <c r="Q1969" s="114" t="s">
        <v>1228</v>
      </c>
    </row>
    <row r="1970" spans="2:17" hidden="1" outlineLevel="2">
      <c r="B1970" s="2" t="s">
        <v>876</v>
      </c>
      <c r="D1970" s="270">
        <v>3274</v>
      </c>
      <c r="E1970" s="112" t="s">
        <v>220</v>
      </c>
      <c r="F1970" s="112" t="s">
        <v>2419</v>
      </c>
      <c r="G1970" s="112" t="s">
        <v>1512</v>
      </c>
      <c r="H1970" s="112" t="s">
        <v>1505</v>
      </c>
      <c r="I1970" s="112"/>
      <c r="J1970" s="112" t="b">
        <v>0</v>
      </c>
      <c r="K1970" s="112"/>
      <c r="L1970" s="112" t="b">
        <v>1</v>
      </c>
      <c r="M1970" s="112"/>
      <c r="N1970" s="112"/>
      <c r="O1970" s="112"/>
      <c r="P1970" s="112" t="s">
        <v>1494</v>
      </c>
      <c r="Q1970" s="112" t="s">
        <v>1228</v>
      </c>
    </row>
    <row r="1971" spans="2:17" hidden="1" outlineLevel="2">
      <c r="B1971" s="2" t="s">
        <v>876</v>
      </c>
      <c r="D1971" s="268">
        <v>3275</v>
      </c>
      <c r="E1971" s="114" t="s">
        <v>220</v>
      </c>
      <c r="F1971" s="114" t="s">
        <v>2420</v>
      </c>
      <c r="G1971" s="114" t="s">
        <v>1512</v>
      </c>
      <c r="H1971" s="114" t="s">
        <v>1505</v>
      </c>
      <c r="I1971" s="114"/>
      <c r="J1971" s="114" t="b">
        <v>0</v>
      </c>
      <c r="K1971" s="114"/>
      <c r="L1971" s="114"/>
      <c r="M1971" s="114"/>
      <c r="N1971" s="114"/>
      <c r="O1971" s="114"/>
      <c r="P1971" s="114" t="s">
        <v>1494</v>
      </c>
      <c r="Q1971" s="114" t="s">
        <v>1228</v>
      </c>
    </row>
    <row r="1972" spans="2:17" hidden="1" outlineLevel="2">
      <c r="B1972" s="2" t="s">
        <v>876</v>
      </c>
      <c r="D1972" s="270">
        <v>3276</v>
      </c>
      <c r="E1972" s="112" t="s">
        <v>220</v>
      </c>
      <c r="F1972" s="112" t="s">
        <v>2421</v>
      </c>
      <c r="G1972" s="112" t="s">
        <v>1512</v>
      </c>
      <c r="H1972" s="112" t="s">
        <v>1505</v>
      </c>
      <c r="I1972" s="112"/>
      <c r="J1972" s="112" t="b">
        <v>0</v>
      </c>
      <c r="K1972" s="112"/>
      <c r="L1972" s="112"/>
      <c r="M1972" s="112"/>
      <c r="N1972" s="112"/>
      <c r="O1972" s="112"/>
      <c r="P1972" s="112" t="s">
        <v>1494</v>
      </c>
      <c r="Q1972" s="112" t="s">
        <v>1228</v>
      </c>
    </row>
    <row r="1973" spans="2:17" hidden="1" outlineLevel="2">
      <c r="B1973" s="2" t="s">
        <v>876</v>
      </c>
      <c r="D1973" s="268">
        <v>3277</v>
      </c>
      <c r="E1973" s="114" t="s">
        <v>220</v>
      </c>
      <c r="F1973" s="114" t="s">
        <v>2422</v>
      </c>
      <c r="G1973" s="114" t="s">
        <v>1493</v>
      </c>
      <c r="H1973" s="114" t="s">
        <v>1505</v>
      </c>
      <c r="I1973" s="114"/>
      <c r="J1973" s="114" t="b">
        <v>0</v>
      </c>
      <c r="K1973" s="114"/>
      <c r="L1973" s="114"/>
      <c r="M1973" s="114"/>
      <c r="N1973" s="114"/>
      <c r="O1973" s="114"/>
      <c r="P1973" s="114" t="s">
        <v>1494</v>
      </c>
      <c r="Q1973" s="114" t="s">
        <v>1228</v>
      </c>
    </row>
    <row r="1974" spans="2:17" hidden="1" outlineLevel="2">
      <c r="B1974" s="2" t="s">
        <v>876</v>
      </c>
      <c r="D1974" s="270">
        <v>3278</v>
      </c>
      <c r="E1974" s="112" t="s">
        <v>220</v>
      </c>
      <c r="F1974" s="112" t="s">
        <v>2423</v>
      </c>
      <c r="G1974" s="112" t="s">
        <v>1512</v>
      </c>
      <c r="H1974" s="112" t="s">
        <v>1505</v>
      </c>
      <c r="I1974" s="112"/>
      <c r="J1974" s="112" t="b">
        <v>0</v>
      </c>
      <c r="K1974" s="112"/>
      <c r="L1974" s="112"/>
      <c r="M1974" s="112"/>
      <c r="N1974" s="112"/>
      <c r="O1974" s="112"/>
      <c r="P1974" s="112" t="s">
        <v>1494</v>
      </c>
      <c r="Q1974" s="112" t="s">
        <v>1228</v>
      </c>
    </row>
    <row r="1975" spans="2:17" hidden="1" outlineLevel="2">
      <c r="B1975" s="2" t="s">
        <v>876</v>
      </c>
      <c r="D1975" s="268">
        <v>3279</v>
      </c>
      <c r="E1975" s="114" t="s">
        <v>220</v>
      </c>
      <c r="F1975" s="114" t="s">
        <v>2424</v>
      </c>
      <c r="G1975" s="114" t="s">
        <v>1512</v>
      </c>
      <c r="H1975" s="114" t="s">
        <v>1505</v>
      </c>
      <c r="I1975" s="114"/>
      <c r="J1975" s="114" t="b">
        <v>0</v>
      </c>
      <c r="K1975" s="114"/>
      <c r="L1975" s="114"/>
      <c r="M1975" s="114"/>
      <c r="N1975" s="114"/>
      <c r="O1975" s="114"/>
      <c r="P1975" s="114" t="s">
        <v>1494</v>
      </c>
      <c r="Q1975" s="114" t="s">
        <v>1228</v>
      </c>
    </row>
    <row r="1976" spans="2:17" hidden="1" outlineLevel="2">
      <c r="B1976" s="2" t="s">
        <v>876</v>
      </c>
      <c r="D1976" s="270">
        <v>3280</v>
      </c>
      <c r="E1976" s="112" t="s">
        <v>220</v>
      </c>
      <c r="F1976" s="112" t="s">
        <v>2425</v>
      </c>
      <c r="G1976" s="112" t="s">
        <v>1483</v>
      </c>
      <c r="H1976" s="112" t="s">
        <v>1494</v>
      </c>
      <c r="I1976" s="112"/>
      <c r="J1976" s="112" t="b">
        <v>0</v>
      </c>
      <c r="K1976" s="112"/>
      <c r="L1976" s="112"/>
      <c r="M1976" s="112"/>
      <c r="N1976" s="112"/>
      <c r="O1976" s="112"/>
      <c r="P1976" s="112" t="s">
        <v>1494</v>
      </c>
      <c r="Q1976" s="112" t="s">
        <v>1228</v>
      </c>
    </row>
    <row r="1977" spans="2:17" hidden="1" outlineLevel="2">
      <c r="B1977" s="2" t="s">
        <v>876</v>
      </c>
      <c r="D1977" s="268">
        <v>3281</v>
      </c>
      <c r="E1977" s="114" t="s">
        <v>220</v>
      </c>
      <c r="F1977" s="114" t="s">
        <v>2426</v>
      </c>
      <c r="G1977" s="114" t="s">
        <v>1493</v>
      </c>
      <c r="H1977" s="114" t="s">
        <v>1505</v>
      </c>
      <c r="I1977" s="114"/>
      <c r="J1977" s="114" t="b">
        <v>0</v>
      </c>
      <c r="K1977" s="114"/>
      <c r="L1977" s="114"/>
      <c r="M1977" s="114"/>
      <c r="N1977" s="114"/>
      <c r="O1977" s="114"/>
      <c r="P1977" s="114" t="s">
        <v>1494</v>
      </c>
      <c r="Q1977" s="114" t="s">
        <v>1228</v>
      </c>
    </row>
    <row r="1978" spans="2:17" hidden="1" outlineLevel="2">
      <c r="B1978" s="2" t="s">
        <v>876</v>
      </c>
      <c r="D1978" s="270">
        <v>3282</v>
      </c>
      <c r="E1978" s="112" t="s">
        <v>220</v>
      </c>
      <c r="F1978" s="112" t="s">
        <v>2427</v>
      </c>
      <c r="G1978" s="112" t="s">
        <v>1493</v>
      </c>
      <c r="H1978" s="112" t="s">
        <v>1505</v>
      </c>
      <c r="I1978" s="112"/>
      <c r="J1978" s="112" t="b">
        <v>0</v>
      </c>
      <c r="K1978" s="112"/>
      <c r="L1978" s="112"/>
      <c r="M1978" s="112"/>
      <c r="N1978" s="112"/>
      <c r="O1978" s="112"/>
      <c r="P1978" s="112" t="s">
        <v>1494</v>
      </c>
      <c r="Q1978" s="112" t="s">
        <v>1228</v>
      </c>
    </row>
    <row r="1979" spans="2:17" hidden="1" outlineLevel="2">
      <c r="B1979" s="2" t="s">
        <v>876</v>
      </c>
      <c r="D1979" s="268">
        <v>3283</v>
      </c>
      <c r="E1979" s="114" t="s">
        <v>220</v>
      </c>
      <c r="F1979" s="114" t="s">
        <v>2428</v>
      </c>
      <c r="G1979" s="114" t="s">
        <v>1512</v>
      </c>
      <c r="H1979" s="114" t="s">
        <v>1505</v>
      </c>
      <c r="I1979" s="114"/>
      <c r="J1979" s="114" t="b">
        <v>0</v>
      </c>
      <c r="K1979" s="114"/>
      <c r="L1979" s="114"/>
      <c r="M1979" s="114"/>
      <c r="N1979" s="114"/>
      <c r="O1979" s="114"/>
      <c r="P1979" s="114" t="s">
        <v>1494</v>
      </c>
      <c r="Q1979" s="114" t="s">
        <v>1228</v>
      </c>
    </row>
    <row r="1980" spans="2:17" hidden="1" outlineLevel="2">
      <c r="B1980" s="2" t="s">
        <v>876</v>
      </c>
      <c r="D1980" s="270">
        <v>3284</v>
      </c>
      <c r="E1980" s="112" t="s">
        <v>220</v>
      </c>
      <c r="F1980" s="112" t="s">
        <v>2429</v>
      </c>
      <c r="G1980" s="112" t="s">
        <v>1483</v>
      </c>
      <c r="H1980" s="112" t="s">
        <v>1494</v>
      </c>
      <c r="I1980" s="112"/>
      <c r="J1980" s="112" t="b">
        <v>0</v>
      </c>
      <c r="K1980" s="112"/>
      <c r="L1980" s="112"/>
      <c r="M1980" s="112"/>
      <c r="N1980" s="112"/>
      <c r="O1980" s="112"/>
      <c r="P1980" s="112" t="s">
        <v>1494</v>
      </c>
      <c r="Q1980" s="112" t="s">
        <v>1228</v>
      </c>
    </row>
    <row r="1981" spans="2:17" hidden="1" outlineLevel="2">
      <c r="B1981" s="2" t="s">
        <v>876</v>
      </c>
      <c r="D1981" s="268">
        <v>3285</v>
      </c>
      <c r="E1981" s="114" t="s">
        <v>220</v>
      </c>
      <c r="F1981" s="114" t="s">
        <v>2430</v>
      </c>
      <c r="G1981" s="114" t="s">
        <v>1512</v>
      </c>
      <c r="H1981" s="114" t="s">
        <v>1505</v>
      </c>
      <c r="I1981" s="114"/>
      <c r="J1981" s="114" t="b">
        <v>0</v>
      </c>
      <c r="K1981" s="114"/>
      <c r="L1981" s="114"/>
      <c r="M1981" s="114"/>
      <c r="N1981" s="114"/>
      <c r="O1981" s="114"/>
      <c r="P1981" s="114" t="s">
        <v>2374</v>
      </c>
      <c r="Q1981" s="114" t="s">
        <v>1228</v>
      </c>
    </row>
    <row r="1982" spans="2:17" hidden="1" outlineLevel="2">
      <c r="B1982" s="2" t="s">
        <v>876</v>
      </c>
      <c r="D1982" s="270">
        <v>3286</v>
      </c>
      <c r="E1982" s="112" t="s">
        <v>220</v>
      </c>
      <c r="F1982" s="112" t="s">
        <v>2431</v>
      </c>
      <c r="G1982" s="112" t="s">
        <v>1512</v>
      </c>
      <c r="H1982" s="112" t="s">
        <v>1512</v>
      </c>
      <c r="I1982" s="112"/>
      <c r="J1982" s="112" t="b">
        <v>0</v>
      </c>
      <c r="K1982" s="112"/>
      <c r="L1982" s="112"/>
      <c r="M1982" s="112"/>
      <c r="N1982" s="112"/>
      <c r="O1982" s="112"/>
      <c r="P1982" s="112" t="s">
        <v>1494</v>
      </c>
      <c r="Q1982" s="112" t="s">
        <v>1228</v>
      </c>
    </row>
    <row r="1983" spans="2:17" hidden="1" outlineLevel="2">
      <c r="B1983" s="2" t="s">
        <v>876</v>
      </c>
      <c r="D1983" s="268">
        <v>3287</v>
      </c>
      <c r="E1983" s="114" t="s">
        <v>220</v>
      </c>
      <c r="F1983" s="114" t="s">
        <v>2432</v>
      </c>
      <c r="G1983" s="114" t="s">
        <v>1512</v>
      </c>
      <c r="H1983" s="114" t="s">
        <v>1512</v>
      </c>
      <c r="I1983" s="114"/>
      <c r="J1983" s="114" t="b">
        <v>0</v>
      </c>
      <c r="K1983" s="114"/>
      <c r="L1983" s="114" t="b">
        <v>1</v>
      </c>
      <c r="M1983" s="114"/>
      <c r="N1983" s="114"/>
      <c r="O1983" s="114"/>
      <c r="P1983" s="114" t="s">
        <v>1494</v>
      </c>
      <c r="Q1983" s="114" t="s">
        <v>1228</v>
      </c>
    </row>
    <row r="1984" spans="2:17" hidden="1" outlineLevel="2">
      <c r="B1984" s="2" t="s">
        <v>876</v>
      </c>
      <c r="D1984" s="270">
        <v>3289</v>
      </c>
      <c r="E1984" s="112" t="s">
        <v>220</v>
      </c>
      <c r="F1984" s="112" t="s">
        <v>2433</v>
      </c>
      <c r="G1984" s="112" t="s">
        <v>1512</v>
      </c>
      <c r="H1984" s="112" t="s">
        <v>1505</v>
      </c>
      <c r="I1984" s="112"/>
      <c r="J1984" s="112" t="b">
        <v>0</v>
      </c>
      <c r="K1984" s="112"/>
      <c r="L1984" s="112" t="b">
        <v>1</v>
      </c>
      <c r="M1984" s="112"/>
      <c r="N1984" s="112"/>
      <c r="O1984" s="112"/>
      <c r="P1984" s="112" t="s">
        <v>1494</v>
      </c>
      <c r="Q1984" s="112" t="s">
        <v>1228</v>
      </c>
    </row>
    <row r="1985" spans="2:17" hidden="1" outlineLevel="2">
      <c r="B1985" s="2" t="s">
        <v>876</v>
      </c>
      <c r="D1985" s="268">
        <v>3292</v>
      </c>
      <c r="E1985" s="114" t="s">
        <v>220</v>
      </c>
      <c r="F1985" s="114" t="s">
        <v>2434</v>
      </c>
      <c r="G1985" s="114" t="s">
        <v>1512</v>
      </c>
      <c r="H1985" s="114" t="s">
        <v>1505</v>
      </c>
      <c r="I1985" s="114"/>
      <c r="J1985" s="114" t="b">
        <v>0</v>
      </c>
      <c r="K1985" s="114"/>
      <c r="L1985" s="114"/>
      <c r="M1985" s="114"/>
      <c r="N1985" s="114"/>
      <c r="O1985" s="114"/>
      <c r="P1985" s="114" t="s">
        <v>1494</v>
      </c>
      <c r="Q1985" s="114" t="s">
        <v>1228</v>
      </c>
    </row>
    <row r="1986" spans="2:17" hidden="1" outlineLevel="2">
      <c r="B1986" s="2" t="s">
        <v>876</v>
      </c>
      <c r="D1986" s="270">
        <v>3293</v>
      </c>
      <c r="E1986" s="112" t="s">
        <v>220</v>
      </c>
      <c r="F1986" s="112" t="s">
        <v>2435</v>
      </c>
      <c r="G1986" s="112" t="s">
        <v>1512</v>
      </c>
      <c r="H1986" s="112" t="s">
        <v>1505</v>
      </c>
      <c r="I1986" s="112"/>
      <c r="J1986" s="112" t="b">
        <v>0</v>
      </c>
      <c r="K1986" s="112"/>
      <c r="L1986" s="112" t="b">
        <v>1</v>
      </c>
      <c r="M1986" s="112"/>
      <c r="N1986" s="112"/>
      <c r="O1986" s="112"/>
      <c r="P1986" s="112" t="s">
        <v>1494</v>
      </c>
      <c r="Q1986" s="112" t="s">
        <v>1228</v>
      </c>
    </row>
    <row r="1987" spans="2:17" hidden="1" outlineLevel="2">
      <c r="B1987" s="2" t="s">
        <v>876</v>
      </c>
      <c r="D1987" s="268">
        <v>3294</v>
      </c>
      <c r="E1987" s="114" t="s">
        <v>220</v>
      </c>
      <c r="F1987" s="114" t="s">
        <v>2436</v>
      </c>
      <c r="G1987" s="114" t="s">
        <v>1512</v>
      </c>
      <c r="H1987" s="114" t="s">
        <v>1505</v>
      </c>
      <c r="I1987" s="114"/>
      <c r="J1987" s="114" t="b">
        <v>0</v>
      </c>
      <c r="K1987" s="114"/>
      <c r="L1987" s="114" t="b">
        <v>1</v>
      </c>
      <c r="M1987" s="114"/>
      <c r="N1987" s="114"/>
      <c r="O1987" s="114"/>
      <c r="P1987" s="114" t="s">
        <v>1494</v>
      </c>
      <c r="Q1987" s="114" t="s">
        <v>1228</v>
      </c>
    </row>
    <row r="1988" spans="2:17" hidden="1" outlineLevel="2">
      <c r="B1988" s="2" t="s">
        <v>876</v>
      </c>
      <c r="D1988" s="270">
        <v>3300</v>
      </c>
      <c r="E1988" s="112" t="s">
        <v>220</v>
      </c>
      <c r="F1988" s="112" t="s">
        <v>2437</v>
      </c>
      <c r="G1988" s="112" t="s">
        <v>1493</v>
      </c>
      <c r="H1988" s="112" t="s">
        <v>1505</v>
      </c>
      <c r="I1988" s="112"/>
      <c r="J1988" s="112" t="b">
        <v>0</v>
      </c>
      <c r="K1988" s="112"/>
      <c r="L1988" s="112"/>
      <c r="M1988" s="112"/>
      <c r="N1988" s="112"/>
      <c r="O1988" s="112"/>
      <c r="P1988" s="112" t="s">
        <v>1494</v>
      </c>
      <c r="Q1988" s="112" t="s">
        <v>1228</v>
      </c>
    </row>
    <row r="1989" spans="2:17" hidden="1" outlineLevel="2">
      <c r="B1989" s="2" t="s">
        <v>876</v>
      </c>
      <c r="D1989" s="268">
        <v>3301</v>
      </c>
      <c r="E1989" s="114" t="s">
        <v>220</v>
      </c>
      <c r="F1989" s="114" t="s">
        <v>2438</v>
      </c>
      <c r="G1989" s="114" t="s">
        <v>1512</v>
      </c>
      <c r="H1989" s="114" t="s">
        <v>1505</v>
      </c>
      <c r="I1989" s="114"/>
      <c r="J1989" s="114" t="b">
        <v>0</v>
      </c>
      <c r="K1989" s="114"/>
      <c r="L1989" s="114"/>
      <c r="M1989" s="114"/>
      <c r="N1989" s="114"/>
      <c r="O1989" s="114"/>
      <c r="P1989" s="114" t="s">
        <v>1494</v>
      </c>
      <c r="Q1989" s="114" t="s">
        <v>1228</v>
      </c>
    </row>
    <row r="1990" spans="2:17" hidden="1" outlineLevel="2">
      <c r="B1990" s="2" t="s">
        <v>876</v>
      </c>
      <c r="D1990" s="270">
        <v>3302</v>
      </c>
      <c r="E1990" s="112" t="s">
        <v>220</v>
      </c>
      <c r="F1990" s="112" t="s">
        <v>2439</v>
      </c>
      <c r="G1990" s="112" t="s">
        <v>1512</v>
      </c>
      <c r="H1990" s="112" t="s">
        <v>1505</v>
      </c>
      <c r="I1990" s="112"/>
      <c r="J1990" s="112" t="b">
        <v>0</v>
      </c>
      <c r="K1990" s="112"/>
      <c r="L1990" s="112"/>
      <c r="M1990" s="112"/>
      <c r="N1990" s="112"/>
      <c r="O1990" s="112"/>
      <c r="P1990" s="112" t="s">
        <v>1494</v>
      </c>
      <c r="Q1990" s="112" t="s">
        <v>1228</v>
      </c>
    </row>
    <row r="1991" spans="2:17" hidden="1" outlineLevel="2">
      <c r="B1991" s="2" t="s">
        <v>876</v>
      </c>
      <c r="D1991" s="268">
        <v>3303</v>
      </c>
      <c r="E1991" s="114" t="s">
        <v>220</v>
      </c>
      <c r="F1991" s="114" t="s">
        <v>2440</v>
      </c>
      <c r="G1991" s="114" t="s">
        <v>1512</v>
      </c>
      <c r="H1991" s="114" t="s">
        <v>1505</v>
      </c>
      <c r="I1991" s="114"/>
      <c r="J1991" s="114" t="b">
        <v>0</v>
      </c>
      <c r="K1991" s="114"/>
      <c r="L1991" s="114"/>
      <c r="M1991" s="114"/>
      <c r="N1991" s="114"/>
      <c r="O1991" s="114"/>
      <c r="P1991" s="114" t="s">
        <v>1494</v>
      </c>
      <c r="Q1991" s="114" t="s">
        <v>1228</v>
      </c>
    </row>
    <row r="1992" spans="2:17" hidden="1" outlineLevel="2">
      <c r="B1992" s="2" t="s">
        <v>876</v>
      </c>
      <c r="D1992" s="270">
        <v>3304</v>
      </c>
      <c r="E1992" s="112" t="s">
        <v>220</v>
      </c>
      <c r="F1992" s="112" t="s">
        <v>2441</v>
      </c>
      <c r="G1992" s="112" t="s">
        <v>1493</v>
      </c>
      <c r="H1992" s="112" t="s">
        <v>1505</v>
      </c>
      <c r="I1992" s="112"/>
      <c r="J1992" s="112" t="b">
        <v>0</v>
      </c>
      <c r="K1992" s="112"/>
      <c r="L1992" s="112"/>
      <c r="M1992" s="112"/>
      <c r="N1992" s="112"/>
      <c r="O1992" s="112"/>
      <c r="P1992" s="112" t="s">
        <v>1494</v>
      </c>
      <c r="Q1992" s="112" t="s">
        <v>1228</v>
      </c>
    </row>
    <row r="1993" spans="2:17" hidden="1" outlineLevel="2">
      <c r="B1993" s="2" t="s">
        <v>876</v>
      </c>
      <c r="D1993" s="268">
        <v>3305</v>
      </c>
      <c r="E1993" s="114" t="s">
        <v>220</v>
      </c>
      <c r="F1993" s="114" t="s">
        <v>2442</v>
      </c>
      <c r="G1993" s="114" t="s">
        <v>1483</v>
      </c>
      <c r="H1993" s="114" t="s">
        <v>1494</v>
      </c>
      <c r="I1993" s="114"/>
      <c r="J1993" s="114" t="b">
        <v>0</v>
      </c>
      <c r="K1993" s="114"/>
      <c r="L1993" s="114"/>
      <c r="M1993" s="114"/>
      <c r="N1993" s="114"/>
      <c r="O1993" s="114"/>
      <c r="P1993" s="114" t="s">
        <v>1494</v>
      </c>
      <c r="Q1993" s="114" t="s">
        <v>1228</v>
      </c>
    </row>
    <row r="1994" spans="2:17" hidden="1" outlineLevel="2">
      <c r="B1994" s="2" t="s">
        <v>876</v>
      </c>
      <c r="D1994" s="270">
        <v>3309</v>
      </c>
      <c r="E1994" s="112" t="s">
        <v>220</v>
      </c>
      <c r="F1994" s="112" t="s">
        <v>2443</v>
      </c>
      <c r="G1994" s="112" t="s">
        <v>1512</v>
      </c>
      <c r="H1994" s="112" t="s">
        <v>1505</v>
      </c>
      <c r="I1994" s="112"/>
      <c r="J1994" s="112" t="b">
        <v>0</v>
      </c>
      <c r="K1994" s="112"/>
      <c r="L1994" s="112" t="b">
        <v>1</v>
      </c>
      <c r="M1994" s="112"/>
      <c r="N1994" s="112"/>
      <c r="O1994" s="112"/>
      <c r="P1994" s="112" t="s">
        <v>1494</v>
      </c>
      <c r="Q1994" s="112" t="s">
        <v>1228</v>
      </c>
    </row>
    <row r="1995" spans="2:17" hidden="1" outlineLevel="2">
      <c r="B1995" s="2" t="s">
        <v>876</v>
      </c>
      <c r="D1995" s="268">
        <v>3310</v>
      </c>
      <c r="E1995" s="114" t="s">
        <v>220</v>
      </c>
      <c r="F1995" s="114" t="s">
        <v>2444</v>
      </c>
      <c r="G1995" s="114" t="s">
        <v>1512</v>
      </c>
      <c r="H1995" s="114" t="s">
        <v>1505</v>
      </c>
      <c r="I1995" s="114"/>
      <c r="J1995" s="114" t="b">
        <v>0</v>
      </c>
      <c r="K1995" s="114"/>
      <c r="L1995" s="114" t="b">
        <v>1</v>
      </c>
      <c r="M1995" s="114"/>
      <c r="N1995" s="114"/>
      <c r="O1995" s="114"/>
      <c r="P1995" s="114" t="s">
        <v>1494</v>
      </c>
      <c r="Q1995" s="114" t="s">
        <v>1228</v>
      </c>
    </row>
    <row r="1996" spans="2:17" hidden="1" outlineLevel="2">
      <c r="B1996" s="2" t="s">
        <v>876</v>
      </c>
      <c r="D1996" s="270">
        <v>3311</v>
      </c>
      <c r="E1996" s="112" t="s">
        <v>220</v>
      </c>
      <c r="F1996" s="112" t="s">
        <v>2445</v>
      </c>
      <c r="G1996" s="112" t="s">
        <v>1512</v>
      </c>
      <c r="H1996" s="112" t="s">
        <v>1512</v>
      </c>
      <c r="I1996" s="112"/>
      <c r="J1996" s="112" t="b">
        <v>0</v>
      </c>
      <c r="K1996" s="112"/>
      <c r="L1996" s="112"/>
      <c r="M1996" s="112"/>
      <c r="N1996" s="112"/>
      <c r="O1996" s="112"/>
      <c r="P1996" s="112" t="s">
        <v>1494</v>
      </c>
      <c r="Q1996" s="112" t="s">
        <v>1228</v>
      </c>
    </row>
    <row r="1997" spans="2:17" hidden="1" outlineLevel="2">
      <c r="B1997" s="2" t="s">
        <v>876</v>
      </c>
      <c r="D1997" s="268">
        <v>3312</v>
      </c>
      <c r="E1997" s="114" t="s">
        <v>220</v>
      </c>
      <c r="F1997" s="114" t="s">
        <v>2446</v>
      </c>
      <c r="G1997" s="114" t="s">
        <v>1512</v>
      </c>
      <c r="H1997" s="114" t="s">
        <v>1505</v>
      </c>
      <c r="I1997" s="114"/>
      <c r="J1997" s="114" t="b">
        <v>0</v>
      </c>
      <c r="K1997" s="114"/>
      <c r="L1997" s="114"/>
      <c r="M1997" s="114"/>
      <c r="N1997" s="114"/>
      <c r="O1997" s="114"/>
      <c r="P1997" s="114" t="s">
        <v>1494</v>
      </c>
      <c r="Q1997" s="114" t="s">
        <v>1228</v>
      </c>
    </row>
    <row r="1998" spans="2:17" hidden="1" outlineLevel="2">
      <c r="B1998" s="2" t="s">
        <v>876</v>
      </c>
      <c r="D1998" s="270">
        <v>3314</v>
      </c>
      <c r="E1998" s="112" t="s">
        <v>220</v>
      </c>
      <c r="F1998" s="112" t="s">
        <v>2447</v>
      </c>
      <c r="G1998" s="221" t="s">
        <v>1512</v>
      </c>
      <c r="H1998" s="112" t="s">
        <v>1494</v>
      </c>
      <c r="I1998" s="112"/>
      <c r="J1998" s="112" t="b">
        <v>0</v>
      </c>
      <c r="K1998" s="112"/>
      <c r="L1998" s="112" t="b">
        <v>1</v>
      </c>
      <c r="M1998" s="112"/>
      <c r="N1998" s="112"/>
      <c r="O1998" s="112"/>
      <c r="P1998" s="112" t="s">
        <v>1494</v>
      </c>
      <c r="Q1998" s="112" t="s">
        <v>1228</v>
      </c>
    </row>
    <row r="1999" spans="2:17" hidden="1" outlineLevel="2">
      <c r="B1999" s="2" t="s">
        <v>876</v>
      </c>
      <c r="D1999" s="268">
        <v>3315</v>
      </c>
      <c r="E1999" s="114" t="s">
        <v>220</v>
      </c>
      <c r="F1999" s="114" t="s">
        <v>2448</v>
      </c>
      <c r="G1999" s="114" t="s">
        <v>1512</v>
      </c>
      <c r="H1999" s="114" t="s">
        <v>1505</v>
      </c>
      <c r="I1999" s="114"/>
      <c r="J1999" s="114" t="b">
        <v>0</v>
      </c>
      <c r="K1999" s="114"/>
      <c r="L1999" s="114"/>
      <c r="M1999" s="114"/>
      <c r="N1999" s="114"/>
      <c r="O1999" s="114"/>
      <c r="P1999" s="114" t="s">
        <v>1494</v>
      </c>
      <c r="Q1999" s="114" t="s">
        <v>1228</v>
      </c>
    </row>
    <row r="2000" spans="2:17" hidden="1" outlineLevel="2">
      <c r="B2000" s="2" t="s">
        <v>876</v>
      </c>
      <c r="D2000" s="270">
        <v>3317</v>
      </c>
      <c r="E2000" s="112" t="s">
        <v>220</v>
      </c>
      <c r="F2000" s="112" t="s">
        <v>2449</v>
      </c>
      <c r="G2000" s="112" t="s">
        <v>1512</v>
      </c>
      <c r="H2000" s="112" t="s">
        <v>1505</v>
      </c>
      <c r="I2000" s="112"/>
      <c r="J2000" s="112" t="b">
        <v>0</v>
      </c>
      <c r="K2000" s="112"/>
      <c r="L2000" s="112"/>
      <c r="M2000" s="112"/>
      <c r="N2000" s="112"/>
      <c r="O2000" s="112"/>
      <c r="P2000" s="112" t="s">
        <v>1494</v>
      </c>
      <c r="Q2000" s="112" t="s">
        <v>1228</v>
      </c>
    </row>
    <row r="2001" spans="2:17" hidden="1" outlineLevel="2">
      <c r="B2001" s="2" t="s">
        <v>876</v>
      </c>
      <c r="D2001" s="268">
        <v>3318</v>
      </c>
      <c r="E2001" s="114" t="s">
        <v>220</v>
      </c>
      <c r="F2001" s="114" t="s">
        <v>2450</v>
      </c>
      <c r="G2001" s="114" t="s">
        <v>1512</v>
      </c>
      <c r="H2001" s="114" t="s">
        <v>1505</v>
      </c>
      <c r="I2001" s="114"/>
      <c r="J2001" s="114" t="b">
        <v>0</v>
      </c>
      <c r="K2001" s="114"/>
      <c r="L2001" s="114"/>
      <c r="M2001" s="114"/>
      <c r="N2001" s="114"/>
      <c r="O2001" s="114"/>
      <c r="P2001" s="114" t="s">
        <v>1494</v>
      </c>
      <c r="Q2001" s="114" t="s">
        <v>1228</v>
      </c>
    </row>
    <row r="2002" spans="2:17" hidden="1" outlineLevel="2">
      <c r="B2002" s="2" t="s">
        <v>876</v>
      </c>
      <c r="D2002" s="270">
        <v>3319</v>
      </c>
      <c r="E2002" s="112" t="s">
        <v>220</v>
      </c>
      <c r="F2002" s="112" t="s">
        <v>2136</v>
      </c>
      <c r="G2002" s="112" t="s">
        <v>1512</v>
      </c>
      <c r="H2002" s="112" t="s">
        <v>1505</v>
      </c>
      <c r="I2002" s="112"/>
      <c r="J2002" s="112" t="b">
        <v>0</v>
      </c>
      <c r="K2002" s="112"/>
      <c r="L2002" s="112" t="b">
        <v>1</v>
      </c>
      <c r="M2002" s="112"/>
      <c r="N2002" s="112"/>
      <c r="O2002" s="112"/>
      <c r="P2002" s="112" t="s">
        <v>1494</v>
      </c>
      <c r="Q2002" s="112" t="s">
        <v>1228</v>
      </c>
    </row>
    <row r="2003" spans="2:17" hidden="1" outlineLevel="2">
      <c r="B2003" s="2" t="s">
        <v>876</v>
      </c>
      <c r="D2003" s="268">
        <v>3321</v>
      </c>
      <c r="E2003" s="114" t="s">
        <v>220</v>
      </c>
      <c r="F2003" s="114" t="s">
        <v>2451</v>
      </c>
      <c r="G2003" s="114" t="s">
        <v>1493</v>
      </c>
      <c r="H2003" s="114" t="s">
        <v>1505</v>
      </c>
      <c r="I2003" s="114"/>
      <c r="J2003" s="114" t="b">
        <v>0</v>
      </c>
      <c r="K2003" s="114"/>
      <c r="L2003" s="114"/>
      <c r="M2003" s="114"/>
      <c r="N2003" s="114"/>
      <c r="O2003" s="114"/>
      <c r="P2003" s="114" t="s">
        <v>1494</v>
      </c>
      <c r="Q2003" s="114" t="s">
        <v>1228</v>
      </c>
    </row>
    <row r="2004" spans="2:17" hidden="1" outlineLevel="2">
      <c r="B2004" s="2" t="s">
        <v>876</v>
      </c>
      <c r="D2004" s="270">
        <v>3322</v>
      </c>
      <c r="E2004" s="112" t="s">
        <v>220</v>
      </c>
      <c r="F2004" s="112" t="s">
        <v>2452</v>
      </c>
      <c r="G2004" s="112" t="s">
        <v>1512</v>
      </c>
      <c r="H2004" s="112" t="s">
        <v>1505</v>
      </c>
      <c r="I2004" s="112"/>
      <c r="J2004" s="112" t="b">
        <v>0</v>
      </c>
      <c r="K2004" s="112"/>
      <c r="L2004" s="112"/>
      <c r="M2004" s="112"/>
      <c r="N2004" s="112"/>
      <c r="O2004" s="112"/>
      <c r="P2004" s="112" t="s">
        <v>1494</v>
      </c>
      <c r="Q2004" s="112" t="s">
        <v>1228</v>
      </c>
    </row>
    <row r="2005" spans="2:17" hidden="1" outlineLevel="2">
      <c r="B2005" s="2" t="s">
        <v>876</v>
      </c>
      <c r="D2005" s="268">
        <v>3323</v>
      </c>
      <c r="E2005" s="114" t="s">
        <v>220</v>
      </c>
      <c r="F2005" s="114" t="s">
        <v>2453</v>
      </c>
      <c r="G2005" s="114" t="s">
        <v>1512</v>
      </c>
      <c r="H2005" s="114" t="s">
        <v>1505</v>
      </c>
      <c r="I2005" s="114"/>
      <c r="J2005" s="114" t="b">
        <v>0</v>
      </c>
      <c r="K2005" s="114"/>
      <c r="L2005" s="114"/>
      <c r="M2005" s="114"/>
      <c r="N2005" s="114"/>
      <c r="O2005" s="114"/>
      <c r="P2005" s="114" t="s">
        <v>1494</v>
      </c>
      <c r="Q2005" s="114" t="s">
        <v>1228</v>
      </c>
    </row>
    <row r="2006" spans="2:17" hidden="1" outlineLevel="2">
      <c r="B2006" s="2" t="s">
        <v>876</v>
      </c>
      <c r="D2006" s="270">
        <v>3324</v>
      </c>
      <c r="E2006" s="112" t="s">
        <v>220</v>
      </c>
      <c r="F2006" s="112" t="s">
        <v>2454</v>
      </c>
      <c r="G2006" s="112" t="s">
        <v>1512</v>
      </c>
      <c r="H2006" s="112" t="s">
        <v>1505</v>
      </c>
      <c r="I2006" s="112"/>
      <c r="J2006" s="112" t="b">
        <v>0</v>
      </c>
      <c r="K2006" s="112"/>
      <c r="L2006" s="112"/>
      <c r="M2006" s="112"/>
      <c r="N2006" s="112"/>
      <c r="O2006" s="112"/>
      <c r="P2006" s="112" t="s">
        <v>1494</v>
      </c>
      <c r="Q2006" s="112" t="s">
        <v>1228</v>
      </c>
    </row>
    <row r="2007" spans="2:17" hidden="1" outlineLevel="2">
      <c r="B2007" s="2" t="s">
        <v>876</v>
      </c>
      <c r="D2007" s="268">
        <v>3325</v>
      </c>
      <c r="E2007" s="114" t="s">
        <v>220</v>
      </c>
      <c r="F2007" s="114" t="s">
        <v>2455</v>
      </c>
      <c r="G2007" s="114" t="s">
        <v>1512</v>
      </c>
      <c r="H2007" s="114" t="s">
        <v>1512</v>
      </c>
      <c r="I2007" s="114"/>
      <c r="J2007" s="114" t="b">
        <v>0</v>
      </c>
      <c r="K2007" s="114"/>
      <c r="L2007" s="114"/>
      <c r="M2007" s="114"/>
      <c r="N2007" s="114"/>
      <c r="O2007" s="114"/>
      <c r="P2007" s="114" t="s">
        <v>1494</v>
      </c>
      <c r="Q2007" s="114" t="s">
        <v>1228</v>
      </c>
    </row>
    <row r="2008" spans="2:17" hidden="1" outlineLevel="2">
      <c r="B2008" s="2" t="s">
        <v>876</v>
      </c>
      <c r="D2008" s="270">
        <v>3328</v>
      </c>
      <c r="E2008" s="112" t="s">
        <v>220</v>
      </c>
      <c r="F2008" s="112" t="s">
        <v>2456</v>
      </c>
      <c r="G2008" s="269" t="s">
        <v>1483</v>
      </c>
      <c r="H2008" s="112" t="s">
        <v>1505</v>
      </c>
      <c r="I2008" s="112"/>
      <c r="J2008" s="112" t="b">
        <v>0</v>
      </c>
      <c r="K2008" s="112"/>
      <c r="L2008" s="112"/>
      <c r="M2008" s="112"/>
      <c r="N2008" s="112"/>
      <c r="O2008" s="112"/>
      <c r="P2008" s="112" t="s">
        <v>1494</v>
      </c>
      <c r="Q2008" s="112" t="s">
        <v>1228</v>
      </c>
    </row>
    <row r="2009" spans="2:17" hidden="1" outlineLevel="2">
      <c r="B2009" s="2" t="s">
        <v>876</v>
      </c>
      <c r="D2009" s="268">
        <v>3329</v>
      </c>
      <c r="E2009" s="114" t="s">
        <v>220</v>
      </c>
      <c r="F2009" s="114" t="s">
        <v>2457</v>
      </c>
      <c r="G2009" s="221" t="s">
        <v>1512</v>
      </c>
      <c r="H2009" s="114" t="s">
        <v>1505</v>
      </c>
      <c r="I2009" s="114"/>
      <c r="J2009" s="114" t="b">
        <v>0</v>
      </c>
      <c r="K2009" s="114"/>
      <c r="L2009" s="114" t="b">
        <v>1</v>
      </c>
      <c r="M2009" s="114"/>
      <c r="N2009" s="114"/>
      <c r="O2009" s="114"/>
      <c r="P2009" s="114" t="s">
        <v>1494</v>
      </c>
      <c r="Q2009" s="114" t="s">
        <v>1228</v>
      </c>
    </row>
    <row r="2010" spans="2:17" hidden="1" outlineLevel="2">
      <c r="B2010" s="2" t="s">
        <v>876</v>
      </c>
      <c r="D2010" s="270">
        <v>3330</v>
      </c>
      <c r="E2010" s="112" t="s">
        <v>220</v>
      </c>
      <c r="F2010" s="112" t="s">
        <v>2458</v>
      </c>
      <c r="G2010" s="112" t="s">
        <v>1493</v>
      </c>
      <c r="H2010" s="112" t="s">
        <v>1505</v>
      </c>
      <c r="I2010" s="112"/>
      <c r="J2010" s="112" t="b">
        <v>0</v>
      </c>
      <c r="K2010" s="112"/>
      <c r="L2010" s="112"/>
      <c r="M2010" s="112"/>
      <c r="N2010" s="112"/>
      <c r="O2010" s="112"/>
      <c r="P2010" s="112" t="s">
        <v>1494</v>
      </c>
      <c r="Q2010" s="112" t="s">
        <v>1228</v>
      </c>
    </row>
    <row r="2011" spans="2:17" hidden="1" outlineLevel="2">
      <c r="B2011" s="2" t="s">
        <v>876</v>
      </c>
      <c r="D2011" s="268">
        <v>3331</v>
      </c>
      <c r="E2011" s="114" t="s">
        <v>220</v>
      </c>
      <c r="F2011" s="114" t="s">
        <v>2459</v>
      </c>
      <c r="G2011" s="114" t="s">
        <v>1483</v>
      </c>
      <c r="H2011" s="114" t="s">
        <v>1494</v>
      </c>
      <c r="I2011" s="114"/>
      <c r="J2011" s="114" t="b">
        <v>0</v>
      </c>
      <c r="K2011" s="114"/>
      <c r="L2011" s="114"/>
      <c r="M2011" s="114"/>
      <c r="N2011" s="114"/>
      <c r="O2011" s="114"/>
      <c r="P2011" s="114" t="s">
        <v>1494</v>
      </c>
      <c r="Q2011" s="114" t="s">
        <v>1228</v>
      </c>
    </row>
    <row r="2012" spans="2:17" hidden="1" outlineLevel="2">
      <c r="B2012" s="2" t="s">
        <v>876</v>
      </c>
      <c r="D2012" s="270">
        <v>3332</v>
      </c>
      <c r="E2012" s="112" t="s">
        <v>220</v>
      </c>
      <c r="F2012" s="112" t="s">
        <v>2460</v>
      </c>
      <c r="G2012" s="269" t="s">
        <v>1483</v>
      </c>
      <c r="H2012" s="112" t="s">
        <v>1505</v>
      </c>
      <c r="I2012" s="112"/>
      <c r="J2012" s="112" t="b">
        <v>0</v>
      </c>
      <c r="K2012" s="112"/>
      <c r="L2012" s="112"/>
      <c r="M2012" s="112"/>
      <c r="N2012" s="112"/>
      <c r="O2012" s="112"/>
      <c r="P2012" s="112" t="s">
        <v>1494</v>
      </c>
      <c r="Q2012" s="112" t="s">
        <v>1228</v>
      </c>
    </row>
    <row r="2013" spans="2:17" hidden="1" outlineLevel="2">
      <c r="B2013" s="2" t="s">
        <v>876</v>
      </c>
      <c r="D2013" s="268">
        <v>3333</v>
      </c>
      <c r="E2013" s="114" t="s">
        <v>220</v>
      </c>
      <c r="F2013" s="114" t="s">
        <v>2461</v>
      </c>
      <c r="G2013" s="269" t="s">
        <v>1493</v>
      </c>
      <c r="H2013" s="114" t="s">
        <v>1505</v>
      </c>
      <c r="I2013" s="114"/>
      <c r="J2013" s="114" t="b">
        <v>0</v>
      </c>
      <c r="K2013" s="114"/>
      <c r="L2013" s="114"/>
      <c r="M2013" s="114"/>
      <c r="N2013" s="114"/>
      <c r="O2013" s="114"/>
      <c r="P2013" s="114" t="s">
        <v>1494</v>
      </c>
      <c r="Q2013" s="114" t="s">
        <v>1228</v>
      </c>
    </row>
    <row r="2014" spans="2:17" hidden="1" outlineLevel="2">
      <c r="B2014" s="2" t="s">
        <v>876</v>
      </c>
      <c r="D2014" s="270">
        <v>3334</v>
      </c>
      <c r="E2014" s="112" t="s">
        <v>220</v>
      </c>
      <c r="F2014" s="112" t="s">
        <v>2462</v>
      </c>
      <c r="G2014" s="269" t="s">
        <v>1493</v>
      </c>
      <c r="H2014" s="112" t="s">
        <v>1505</v>
      </c>
      <c r="I2014" s="112"/>
      <c r="J2014" s="112" t="b">
        <v>0</v>
      </c>
      <c r="K2014" s="112"/>
      <c r="L2014" s="112"/>
      <c r="M2014" s="112"/>
      <c r="N2014" s="112"/>
      <c r="O2014" s="112"/>
      <c r="P2014" s="112" t="s">
        <v>1494</v>
      </c>
      <c r="Q2014" s="112" t="s">
        <v>1228</v>
      </c>
    </row>
    <row r="2015" spans="2:17" hidden="1" outlineLevel="2">
      <c r="B2015" s="2" t="s">
        <v>876</v>
      </c>
      <c r="D2015" s="268">
        <v>3335</v>
      </c>
      <c r="E2015" s="114" t="s">
        <v>220</v>
      </c>
      <c r="F2015" s="114" t="s">
        <v>2463</v>
      </c>
      <c r="G2015" s="114" t="s">
        <v>1572</v>
      </c>
      <c r="H2015" s="114" t="s">
        <v>1227</v>
      </c>
      <c r="I2015" s="114"/>
      <c r="J2015" s="114" t="b">
        <v>0</v>
      </c>
      <c r="K2015" s="114"/>
      <c r="L2015" s="114"/>
      <c r="M2015" s="114"/>
      <c r="N2015" s="114"/>
      <c r="O2015" s="114"/>
      <c r="P2015" s="114" t="s">
        <v>2196</v>
      </c>
      <c r="Q2015" s="114" t="s">
        <v>1227</v>
      </c>
    </row>
    <row r="2016" spans="2:17" hidden="1" outlineLevel="2">
      <c r="B2016" s="2" t="s">
        <v>876</v>
      </c>
      <c r="D2016" s="270" t="s">
        <v>2464</v>
      </c>
      <c r="E2016" s="112" t="s">
        <v>220</v>
      </c>
      <c r="F2016" s="112" t="s">
        <v>2465</v>
      </c>
      <c r="G2016" s="112" t="s">
        <v>1572</v>
      </c>
      <c r="H2016" s="112" t="s">
        <v>1227</v>
      </c>
      <c r="I2016" s="112"/>
      <c r="J2016" s="112" t="b">
        <v>0</v>
      </c>
      <c r="K2016" s="112"/>
      <c r="L2016" s="112"/>
      <c r="M2016" s="112"/>
      <c r="N2016" s="112"/>
      <c r="O2016" s="112"/>
      <c r="P2016" s="112" t="s">
        <v>2374</v>
      </c>
      <c r="Q2016" s="112" t="s">
        <v>1227</v>
      </c>
    </row>
    <row r="2017" spans="2:17" hidden="1" outlineLevel="2">
      <c r="B2017" s="2" t="s">
        <v>876</v>
      </c>
      <c r="D2017" s="268">
        <v>3337</v>
      </c>
      <c r="E2017" s="114" t="s">
        <v>220</v>
      </c>
      <c r="F2017" s="114" t="s">
        <v>2466</v>
      </c>
      <c r="G2017" s="114" t="s">
        <v>1572</v>
      </c>
      <c r="H2017" s="114" t="s">
        <v>1227</v>
      </c>
      <c r="I2017" s="114"/>
      <c r="J2017" s="114" t="b">
        <v>0</v>
      </c>
      <c r="K2017" s="114"/>
      <c r="L2017" s="114"/>
      <c r="M2017" s="114"/>
      <c r="N2017" s="114"/>
      <c r="O2017" s="114"/>
      <c r="P2017" s="114" t="s">
        <v>2374</v>
      </c>
      <c r="Q2017" s="114" t="s">
        <v>1227</v>
      </c>
    </row>
    <row r="2018" spans="2:17" hidden="1" outlineLevel="2">
      <c r="B2018" s="2" t="s">
        <v>876</v>
      </c>
      <c r="D2018" s="270">
        <v>3338</v>
      </c>
      <c r="E2018" s="112" t="s">
        <v>220</v>
      </c>
      <c r="F2018" s="112" t="s">
        <v>2467</v>
      </c>
      <c r="G2018" s="112" t="s">
        <v>1572</v>
      </c>
      <c r="H2018" s="112" t="s">
        <v>1227</v>
      </c>
      <c r="I2018" s="112"/>
      <c r="J2018" s="112" t="b">
        <v>0</v>
      </c>
      <c r="K2018" s="112"/>
      <c r="L2018" s="112"/>
      <c r="M2018" s="112"/>
      <c r="N2018" s="112"/>
      <c r="O2018" s="112"/>
      <c r="P2018" s="112" t="s">
        <v>2196</v>
      </c>
      <c r="Q2018" s="112" t="s">
        <v>1227</v>
      </c>
    </row>
    <row r="2019" spans="2:17" hidden="1" outlineLevel="2">
      <c r="B2019" s="2" t="s">
        <v>876</v>
      </c>
      <c r="D2019" s="268">
        <v>3340</v>
      </c>
      <c r="E2019" s="114" t="s">
        <v>220</v>
      </c>
      <c r="F2019" s="114" t="s">
        <v>2468</v>
      </c>
      <c r="G2019" s="114" t="s">
        <v>1572</v>
      </c>
      <c r="H2019" s="114" t="s">
        <v>1227</v>
      </c>
      <c r="I2019" s="114"/>
      <c r="J2019" s="114" t="b">
        <v>0</v>
      </c>
      <c r="K2019" s="114"/>
      <c r="L2019" s="114"/>
      <c r="M2019" s="114"/>
      <c r="N2019" s="114"/>
      <c r="O2019" s="114"/>
      <c r="P2019" s="114" t="s">
        <v>2374</v>
      </c>
      <c r="Q2019" s="114" t="s">
        <v>1227</v>
      </c>
    </row>
    <row r="2020" spans="2:17" hidden="1" outlineLevel="2">
      <c r="B2020" s="2" t="s">
        <v>876</v>
      </c>
      <c r="D2020" s="270">
        <v>3341</v>
      </c>
      <c r="E2020" s="112" t="s">
        <v>220</v>
      </c>
      <c r="F2020" s="112" t="s">
        <v>2469</v>
      </c>
      <c r="G2020" s="269" t="s">
        <v>1493</v>
      </c>
      <c r="H2020" s="112" t="s">
        <v>1505</v>
      </c>
      <c r="I2020" s="112"/>
      <c r="J2020" s="112" t="b">
        <v>0</v>
      </c>
      <c r="K2020" s="112"/>
      <c r="L2020" s="112"/>
      <c r="M2020" s="112"/>
      <c r="N2020" s="112"/>
      <c r="O2020" s="112"/>
      <c r="P2020" s="112" t="s">
        <v>1494</v>
      </c>
      <c r="Q2020" s="112" t="s">
        <v>1228</v>
      </c>
    </row>
    <row r="2021" spans="2:17" hidden="1" outlineLevel="2">
      <c r="B2021" s="2" t="s">
        <v>876</v>
      </c>
      <c r="D2021" s="268">
        <v>3342</v>
      </c>
      <c r="E2021" s="114" t="s">
        <v>220</v>
      </c>
      <c r="F2021" s="114" t="s">
        <v>2470</v>
      </c>
      <c r="G2021" s="114" t="s">
        <v>1493</v>
      </c>
      <c r="H2021" s="114" t="s">
        <v>1505</v>
      </c>
      <c r="I2021" s="114"/>
      <c r="J2021" s="114" t="b">
        <v>0</v>
      </c>
      <c r="K2021" s="114"/>
      <c r="L2021" s="114"/>
      <c r="M2021" s="114"/>
      <c r="N2021" s="114"/>
      <c r="O2021" s="114"/>
      <c r="P2021" s="114" t="s">
        <v>1494</v>
      </c>
      <c r="Q2021" s="114" t="s">
        <v>1228</v>
      </c>
    </row>
    <row r="2022" spans="2:17" hidden="1" outlineLevel="2">
      <c r="B2022" s="2" t="s">
        <v>876</v>
      </c>
      <c r="D2022" s="270">
        <v>3345</v>
      </c>
      <c r="E2022" s="112" t="s">
        <v>220</v>
      </c>
      <c r="F2022" s="112" t="s">
        <v>1613</v>
      </c>
      <c r="G2022" s="112" t="s">
        <v>1493</v>
      </c>
      <c r="H2022" s="112" t="s">
        <v>1505</v>
      </c>
      <c r="I2022" s="112"/>
      <c r="J2022" s="112" t="b">
        <v>0</v>
      </c>
      <c r="K2022" s="112"/>
      <c r="L2022" s="112"/>
      <c r="M2022" s="112"/>
      <c r="N2022" s="112"/>
      <c r="O2022" s="112"/>
      <c r="P2022" s="112" t="s">
        <v>1494</v>
      </c>
      <c r="Q2022" s="112" t="s">
        <v>1228</v>
      </c>
    </row>
    <row r="2023" spans="2:17" hidden="1" outlineLevel="2">
      <c r="B2023" s="2" t="s">
        <v>876</v>
      </c>
      <c r="D2023" s="268">
        <v>3350</v>
      </c>
      <c r="E2023" s="114" t="s">
        <v>220</v>
      </c>
      <c r="F2023" s="114" t="s">
        <v>2471</v>
      </c>
      <c r="G2023" s="114" t="s">
        <v>1483</v>
      </c>
      <c r="H2023" s="114" t="s">
        <v>1494</v>
      </c>
      <c r="I2023" s="114"/>
      <c r="J2023" s="114" t="b">
        <v>0</v>
      </c>
      <c r="K2023" s="114"/>
      <c r="L2023" s="114"/>
      <c r="M2023" s="114"/>
      <c r="N2023" s="114"/>
      <c r="O2023" s="114"/>
      <c r="P2023" s="114" t="s">
        <v>1494</v>
      </c>
      <c r="Q2023" s="114" t="s">
        <v>1228</v>
      </c>
    </row>
    <row r="2024" spans="2:17" hidden="1" outlineLevel="2">
      <c r="B2024" s="2" t="s">
        <v>876</v>
      </c>
      <c r="D2024" s="270">
        <v>3351</v>
      </c>
      <c r="E2024" s="112" t="s">
        <v>220</v>
      </c>
      <c r="F2024" s="112" t="s">
        <v>2472</v>
      </c>
      <c r="G2024" s="112" t="s">
        <v>1483</v>
      </c>
      <c r="H2024" s="112" t="s">
        <v>1494</v>
      </c>
      <c r="I2024" s="112"/>
      <c r="J2024" s="112" t="b">
        <v>0</v>
      </c>
      <c r="K2024" s="112"/>
      <c r="L2024" s="112"/>
      <c r="M2024" s="112"/>
      <c r="N2024" s="112"/>
      <c r="O2024" s="112"/>
      <c r="P2024" s="112" t="s">
        <v>1494</v>
      </c>
      <c r="Q2024" s="112" t="s">
        <v>1228</v>
      </c>
    </row>
    <row r="2025" spans="2:17" hidden="1" outlineLevel="2">
      <c r="B2025" s="2" t="s">
        <v>876</v>
      </c>
      <c r="D2025" s="268">
        <v>3352</v>
      </c>
      <c r="E2025" s="114" t="s">
        <v>220</v>
      </c>
      <c r="F2025" s="114" t="s">
        <v>2473</v>
      </c>
      <c r="G2025" s="114" t="s">
        <v>1483</v>
      </c>
      <c r="H2025" s="114" t="s">
        <v>1494</v>
      </c>
      <c r="I2025" s="114"/>
      <c r="J2025" s="114" t="b">
        <v>0</v>
      </c>
      <c r="K2025" s="114"/>
      <c r="L2025" s="114"/>
      <c r="M2025" s="114"/>
      <c r="N2025" s="114"/>
      <c r="O2025" s="114"/>
      <c r="P2025" s="114" t="s">
        <v>1494</v>
      </c>
      <c r="Q2025" s="114" t="s">
        <v>1228</v>
      </c>
    </row>
    <row r="2026" spans="2:17" hidden="1" outlineLevel="2">
      <c r="B2026" s="2" t="s">
        <v>876</v>
      </c>
      <c r="D2026" s="270">
        <v>3355</v>
      </c>
      <c r="E2026" s="112" t="s">
        <v>220</v>
      </c>
      <c r="F2026" s="112" t="s">
        <v>2474</v>
      </c>
      <c r="G2026" s="112" t="s">
        <v>1483</v>
      </c>
      <c r="H2026" s="112" t="s">
        <v>1494</v>
      </c>
      <c r="I2026" s="112"/>
      <c r="J2026" s="112" t="b">
        <v>0</v>
      </c>
      <c r="K2026" s="112"/>
      <c r="L2026" s="112"/>
      <c r="M2026" s="112"/>
      <c r="N2026" s="112"/>
      <c r="O2026" s="112"/>
      <c r="P2026" s="112" t="s">
        <v>1494</v>
      </c>
      <c r="Q2026" s="112" t="s">
        <v>1228</v>
      </c>
    </row>
    <row r="2027" spans="2:17" hidden="1" outlineLevel="2">
      <c r="B2027" s="2" t="s">
        <v>876</v>
      </c>
      <c r="D2027" s="268">
        <v>3356</v>
      </c>
      <c r="E2027" s="114" t="s">
        <v>220</v>
      </c>
      <c r="F2027" s="114" t="s">
        <v>2475</v>
      </c>
      <c r="G2027" s="114" t="s">
        <v>1483</v>
      </c>
      <c r="H2027" s="114" t="s">
        <v>1494</v>
      </c>
      <c r="I2027" s="114"/>
      <c r="J2027" s="114" t="b">
        <v>0</v>
      </c>
      <c r="K2027" s="114"/>
      <c r="L2027" s="114"/>
      <c r="M2027" s="114"/>
      <c r="N2027" s="114"/>
      <c r="O2027" s="114"/>
      <c r="P2027" s="114" t="s">
        <v>1494</v>
      </c>
      <c r="Q2027" s="114" t="s">
        <v>1228</v>
      </c>
    </row>
    <row r="2028" spans="2:17" hidden="1" outlineLevel="2">
      <c r="B2028" s="2" t="s">
        <v>876</v>
      </c>
      <c r="D2028" s="270">
        <v>3357</v>
      </c>
      <c r="E2028" s="112" t="s">
        <v>220</v>
      </c>
      <c r="F2028" s="112" t="s">
        <v>2476</v>
      </c>
      <c r="G2028" s="112" t="s">
        <v>1483</v>
      </c>
      <c r="H2028" s="112" t="s">
        <v>1494</v>
      </c>
      <c r="I2028" s="112"/>
      <c r="J2028" s="112" t="b">
        <v>0</v>
      </c>
      <c r="K2028" s="112"/>
      <c r="L2028" s="112"/>
      <c r="M2028" s="112"/>
      <c r="N2028" s="112"/>
      <c r="O2028" s="112"/>
      <c r="P2028" s="112" t="s">
        <v>1494</v>
      </c>
      <c r="Q2028" s="112" t="s">
        <v>1228</v>
      </c>
    </row>
    <row r="2029" spans="2:17" hidden="1" outlineLevel="2">
      <c r="B2029" s="2" t="s">
        <v>876</v>
      </c>
      <c r="D2029" s="268">
        <v>3358</v>
      </c>
      <c r="E2029" s="114" t="s">
        <v>220</v>
      </c>
      <c r="F2029" s="114" t="s">
        <v>2477</v>
      </c>
      <c r="G2029" s="114" t="s">
        <v>1483</v>
      </c>
      <c r="H2029" s="114" t="s">
        <v>1494</v>
      </c>
      <c r="I2029" s="114"/>
      <c r="J2029" s="114" t="b">
        <v>0</v>
      </c>
      <c r="K2029" s="114"/>
      <c r="L2029" s="114"/>
      <c r="M2029" s="114"/>
      <c r="N2029" s="114"/>
      <c r="O2029" s="114"/>
      <c r="P2029" s="114" t="s">
        <v>1494</v>
      </c>
      <c r="Q2029" s="114" t="s">
        <v>1228</v>
      </c>
    </row>
    <row r="2030" spans="2:17" hidden="1" outlineLevel="2">
      <c r="B2030" s="2" t="s">
        <v>876</v>
      </c>
      <c r="D2030" s="270">
        <v>3360</v>
      </c>
      <c r="E2030" s="112" t="s">
        <v>220</v>
      </c>
      <c r="F2030" s="112" t="s">
        <v>2478</v>
      </c>
      <c r="G2030" s="112" t="s">
        <v>1512</v>
      </c>
      <c r="H2030" s="112" t="s">
        <v>1505</v>
      </c>
      <c r="I2030" s="112"/>
      <c r="J2030" s="112" t="b">
        <v>0</v>
      </c>
      <c r="K2030" s="112"/>
      <c r="L2030" s="112"/>
      <c r="M2030" s="112"/>
      <c r="N2030" s="112"/>
      <c r="O2030" s="112"/>
      <c r="P2030" s="112" t="s">
        <v>1494</v>
      </c>
      <c r="Q2030" s="112" t="s">
        <v>1228</v>
      </c>
    </row>
    <row r="2031" spans="2:17" hidden="1" outlineLevel="2">
      <c r="B2031" s="2" t="s">
        <v>876</v>
      </c>
      <c r="D2031" s="268">
        <v>3361</v>
      </c>
      <c r="E2031" s="114" t="s">
        <v>220</v>
      </c>
      <c r="F2031" s="114" t="s">
        <v>2479</v>
      </c>
      <c r="G2031" s="114" t="s">
        <v>1512</v>
      </c>
      <c r="H2031" s="114" t="s">
        <v>1505</v>
      </c>
      <c r="I2031" s="114"/>
      <c r="J2031" s="114" t="b">
        <v>0</v>
      </c>
      <c r="K2031" s="114"/>
      <c r="L2031" s="114"/>
      <c r="M2031" s="114"/>
      <c r="N2031" s="114"/>
      <c r="O2031" s="114"/>
      <c r="P2031" s="114" t="s">
        <v>1494</v>
      </c>
      <c r="Q2031" s="114" t="s">
        <v>1228</v>
      </c>
    </row>
    <row r="2032" spans="2:17" hidden="1" outlineLevel="2">
      <c r="B2032" s="2" t="s">
        <v>876</v>
      </c>
      <c r="D2032" s="270">
        <v>3363</v>
      </c>
      <c r="E2032" s="112" t="s">
        <v>220</v>
      </c>
      <c r="F2032" s="112" t="s">
        <v>2480</v>
      </c>
      <c r="G2032" s="112" t="s">
        <v>1493</v>
      </c>
      <c r="H2032" s="112" t="s">
        <v>1505</v>
      </c>
      <c r="I2032" s="112"/>
      <c r="J2032" s="112" t="b">
        <v>0</v>
      </c>
      <c r="K2032" s="112"/>
      <c r="L2032" s="112"/>
      <c r="M2032" s="112"/>
      <c r="N2032" s="112"/>
      <c r="O2032" s="112"/>
      <c r="P2032" s="112" t="s">
        <v>1494</v>
      </c>
      <c r="Q2032" s="112" t="s">
        <v>1228</v>
      </c>
    </row>
    <row r="2033" spans="2:17" hidden="1" outlineLevel="2">
      <c r="B2033" s="2" t="s">
        <v>876</v>
      </c>
      <c r="D2033" s="268">
        <v>3364</v>
      </c>
      <c r="E2033" s="114" t="s">
        <v>220</v>
      </c>
      <c r="F2033" s="114" t="s">
        <v>2481</v>
      </c>
      <c r="G2033" s="114" t="s">
        <v>1512</v>
      </c>
      <c r="H2033" s="114" t="s">
        <v>1505</v>
      </c>
      <c r="I2033" s="114"/>
      <c r="J2033" s="114" t="b">
        <v>0</v>
      </c>
      <c r="K2033" s="114"/>
      <c r="L2033" s="114"/>
      <c r="M2033" s="114"/>
      <c r="N2033" s="114"/>
      <c r="O2033" s="114"/>
      <c r="P2033" s="114" t="s">
        <v>1494</v>
      </c>
      <c r="Q2033" s="114" t="s">
        <v>1228</v>
      </c>
    </row>
    <row r="2034" spans="2:17" hidden="1" outlineLevel="2">
      <c r="B2034" s="2" t="s">
        <v>876</v>
      </c>
      <c r="D2034" s="270">
        <v>3370</v>
      </c>
      <c r="E2034" s="112" t="s">
        <v>220</v>
      </c>
      <c r="F2034" s="112" t="s">
        <v>2482</v>
      </c>
      <c r="G2034" s="691" t="s">
        <v>1493</v>
      </c>
      <c r="H2034" s="112" t="s">
        <v>1512</v>
      </c>
      <c r="I2034" s="112"/>
      <c r="J2034" s="112" t="b">
        <v>0</v>
      </c>
      <c r="K2034" s="112"/>
      <c r="L2034" s="112"/>
      <c r="M2034" s="112"/>
      <c r="N2034" s="112"/>
      <c r="O2034" s="112"/>
      <c r="P2034" s="112" t="s">
        <v>1494</v>
      </c>
      <c r="Q2034" s="112" t="s">
        <v>1228</v>
      </c>
    </row>
    <row r="2035" spans="2:17" hidden="1" outlineLevel="2">
      <c r="B2035" s="2" t="s">
        <v>876</v>
      </c>
      <c r="D2035" s="268">
        <v>3371</v>
      </c>
      <c r="E2035" s="114" t="s">
        <v>220</v>
      </c>
      <c r="F2035" s="114" t="s">
        <v>2483</v>
      </c>
      <c r="G2035" s="114" t="s">
        <v>1512</v>
      </c>
      <c r="H2035" s="114" t="s">
        <v>1505</v>
      </c>
      <c r="I2035" s="114"/>
      <c r="J2035" s="114" t="b">
        <v>0</v>
      </c>
      <c r="K2035" s="114"/>
      <c r="L2035" s="114" t="b">
        <v>1</v>
      </c>
      <c r="M2035" s="114"/>
      <c r="N2035" s="114"/>
      <c r="O2035" s="114"/>
      <c r="P2035" s="114" t="s">
        <v>1494</v>
      </c>
      <c r="Q2035" s="114" t="s">
        <v>1228</v>
      </c>
    </row>
    <row r="2036" spans="2:17" hidden="1" outlineLevel="2">
      <c r="B2036" s="2" t="s">
        <v>876</v>
      </c>
      <c r="D2036" s="270">
        <v>3373</v>
      </c>
      <c r="E2036" s="112" t="s">
        <v>220</v>
      </c>
      <c r="F2036" s="112" t="s">
        <v>2484</v>
      </c>
      <c r="G2036" s="112" t="s">
        <v>1512</v>
      </c>
      <c r="H2036" s="112" t="s">
        <v>1505</v>
      </c>
      <c r="I2036" s="112"/>
      <c r="J2036" s="112" t="b">
        <v>0</v>
      </c>
      <c r="K2036" s="112"/>
      <c r="L2036" s="112"/>
      <c r="M2036" s="112"/>
      <c r="N2036" s="112"/>
      <c r="O2036" s="112"/>
      <c r="P2036" s="112" t="s">
        <v>1494</v>
      </c>
      <c r="Q2036" s="112" t="s">
        <v>1228</v>
      </c>
    </row>
    <row r="2037" spans="2:17" hidden="1" outlineLevel="2">
      <c r="B2037" s="2" t="s">
        <v>876</v>
      </c>
      <c r="D2037" s="268">
        <v>3374</v>
      </c>
      <c r="E2037" s="114" t="s">
        <v>220</v>
      </c>
      <c r="F2037" s="114" t="s">
        <v>2485</v>
      </c>
      <c r="G2037" s="114" t="s">
        <v>1512</v>
      </c>
      <c r="H2037" s="114" t="s">
        <v>1512</v>
      </c>
      <c r="I2037" s="114"/>
      <c r="J2037" s="114" t="b">
        <v>0</v>
      </c>
      <c r="K2037" s="114"/>
      <c r="L2037" s="114"/>
      <c r="M2037" s="114"/>
      <c r="N2037" s="114"/>
      <c r="O2037" s="114"/>
      <c r="P2037" s="114" t="s">
        <v>1494</v>
      </c>
      <c r="Q2037" s="114" t="s">
        <v>1228</v>
      </c>
    </row>
    <row r="2038" spans="2:17" hidden="1" outlineLevel="2">
      <c r="B2038" s="2" t="s">
        <v>876</v>
      </c>
      <c r="D2038" s="270">
        <v>3375</v>
      </c>
      <c r="E2038" s="112" t="s">
        <v>220</v>
      </c>
      <c r="F2038" s="112" t="s">
        <v>2486</v>
      </c>
      <c r="G2038" s="112" t="s">
        <v>1512</v>
      </c>
      <c r="H2038" s="112" t="s">
        <v>1505</v>
      </c>
      <c r="I2038" s="112"/>
      <c r="J2038" s="112" t="b">
        <v>0</v>
      </c>
      <c r="K2038" s="112"/>
      <c r="L2038" s="112"/>
      <c r="M2038" s="112"/>
      <c r="N2038" s="112"/>
      <c r="O2038" s="112"/>
      <c r="P2038" s="112" t="s">
        <v>1494</v>
      </c>
      <c r="Q2038" s="112" t="s">
        <v>1228</v>
      </c>
    </row>
    <row r="2039" spans="2:17" hidden="1" outlineLevel="2">
      <c r="B2039" s="2" t="s">
        <v>876</v>
      </c>
      <c r="D2039" s="268">
        <v>3377</v>
      </c>
      <c r="E2039" s="114" t="s">
        <v>220</v>
      </c>
      <c r="F2039" s="114" t="s">
        <v>2487</v>
      </c>
      <c r="G2039" s="114" t="s">
        <v>1493</v>
      </c>
      <c r="H2039" s="114" t="s">
        <v>1505</v>
      </c>
      <c r="I2039" s="114"/>
      <c r="J2039" s="114" t="b">
        <v>0</v>
      </c>
      <c r="K2039" s="114"/>
      <c r="L2039" s="114"/>
      <c r="M2039" s="114"/>
      <c r="N2039" s="114"/>
      <c r="O2039" s="114"/>
      <c r="P2039" s="114" t="s">
        <v>1494</v>
      </c>
      <c r="Q2039" s="114" t="s">
        <v>1228</v>
      </c>
    </row>
    <row r="2040" spans="2:17" hidden="1" outlineLevel="2">
      <c r="B2040" s="2" t="s">
        <v>876</v>
      </c>
      <c r="D2040" s="270">
        <v>3378</v>
      </c>
      <c r="E2040" s="112" t="s">
        <v>220</v>
      </c>
      <c r="F2040" s="112" t="s">
        <v>2488</v>
      </c>
      <c r="G2040" s="112" t="s">
        <v>1512</v>
      </c>
      <c r="H2040" s="112" t="s">
        <v>1505</v>
      </c>
      <c r="I2040" s="112"/>
      <c r="J2040" s="112" t="b">
        <v>0</v>
      </c>
      <c r="K2040" s="112"/>
      <c r="L2040" s="112"/>
      <c r="M2040" s="112"/>
      <c r="N2040" s="112"/>
      <c r="O2040" s="112"/>
      <c r="P2040" s="112" t="s">
        <v>1494</v>
      </c>
      <c r="Q2040" s="112" t="s">
        <v>1228</v>
      </c>
    </row>
    <row r="2041" spans="2:17" hidden="1" outlineLevel="2">
      <c r="B2041" s="2" t="s">
        <v>876</v>
      </c>
      <c r="D2041" s="268">
        <v>3379</v>
      </c>
      <c r="E2041" s="114" t="s">
        <v>220</v>
      </c>
      <c r="F2041" s="114" t="s">
        <v>2489</v>
      </c>
      <c r="G2041" s="114" t="s">
        <v>1512</v>
      </c>
      <c r="H2041" s="114" t="s">
        <v>1505</v>
      </c>
      <c r="I2041" s="114"/>
      <c r="J2041" s="114" t="b">
        <v>0</v>
      </c>
      <c r="K2041" s="114"/>
      <c r="L2041" s="114"/>
      <c r="M2041" s="114"/>
      <c r="N2041" s="114"/>
      <c r="O2041" s="114"/>
      <c r="P2041" s="114" t="s">
        <v>1494</v>
      </c>
      <c r="Q2041" s="114" t="s">
        <v>1228</v>
      </c>
    </row>
    <row r="2042" spans="2:17" hidden="1" outlineLevel="2">
      <c r="B2042" s="2" t="s">
        <v>876</v>
      </c>
      <c r="D2042" s="270">
        <v>3380</v>
      </c>
      <c r="E2042" s="112" t="s">
        <v>220</v>
      </c>
      <c r="F2042" s="112" t="s">
        <v>2490</v>
      </c>
      <c r="G2042" s="112" t="s">
        <v>1493</v>
      </c>
      <c r="H2042" s="112" t="s">
        <v>1512</v>
      </c>
      <c r="I2042" s="112"/>
      <c r="J2042" s="112" t="b">
        <v>0</v>
      </c>
      <c r="K2042" s="112"/>
      <c r="L2042" s="112"/>
      <c r="M2042" s="112"/>
      <c r="N2042" s="112"/>
      <c r="O2042" s="112"/>
      <c r="P2042" s="112" t="s">
        <v>1494</v>
      </c>
      <c r="Q2042" s="112" t="s">
        <v>1228</v>
      </c>
    </row>
    <row r="2043" spans="2:17" hidden="1" outlineLevel="2">
      <c r="B2043" s="2" t="s">
        <v>876</v>
      </c>
      <c r="D2043" s="268">
        <v>3381</v>
      </c>
      <c r="E2043" s="114" t="s">
        <v>220</v>
      </c>
      <c r="F2043" s="114" t="s">
        <v>2491</v>
      </c>
      <c r="G2043" s="221" t="s">
        <v>1512</v>
      </c>
      <c r="H2043" s="114" t="s">
        <v>1512</v>
      </c>
      <c r="I2043" s="114"/>
      <c r="J2043" s="114" t="b">
        <v>0</v>
      </c>
      <c r="K2043" s="114"/>
      <c r="L2043" s="114"/>
      <c r="M2043" s="114"/>
      <c r="N2043" s="114"/>
      <c r="O2043" s="114"/>
      <c r="P2043" s="114" t="s">
        <v>1494</v>
      </c>
      <c r="Q2043" s="114" t="s">
        <v>1228</v>
      </c>
    </row>
    <row r="2044" spans="2:17" hidden="1" outlineLevel="2">
      <c r="B2044" s="2" t="s">
        <v>876</v>
      </c>
      <c r="D2044" s="270">
        <v>3384</v>
      </c>
      <c r="E2044" s="112" t="s">
        <v>220</v>
      </c>
      <c r="F2044" s="112" t="s">
        <v>2492</v>
      </c>
      <c r="G2044" s="112" t="s">
        <v>1512</v>
      </c>
      <c r="H2044" s="112" t="s">
        <v>1505</v>
      </c>
      <c r="I2044" s="112"/>
      <c r="J2044" s="112" t="b">
        <v>0</v>
      </c>
      <c r="K2044" s="112"/>
      <c r="L2044" s="112"/>
      <c r="M2044" s="112"/>
      <c r="N2044" s="112"/>
      <c r="O2044" s="112"/>
      <c r="P2044" s="112" t="s">
        <v>1494</v>
      </c>
      <c r="Q2044" s="112" t="s">
        <v>1228</v>
      </c>
    </row>
    <row r="2045" spans="2:17" hidden="1" outlineLevel="2">
      <c r="B2045" s="2" t="s">
        <v>876</v>
      </c>
      <c r="D2045" s="268">
        <v>3385</v>
      </c>
      <c r="E2045" s="114" t="s">
        <v>220</v>
      </c>
      <c r="F2045" s="114" t="s">
        <v>2493</v>
      </c>
      <c r="G2045" s="114" t="s">
        <v>1512</v>
      </c>
      <c r="H2045" s="114" t="s">
        <v>1505</v>
      </c>
      <c r="I2045" s="114"/>
      <c r="J2045" s="114" t="b">
        <v>0</v>
      </c>
      <c r="K2045" s="114"/>
      <c r="L2045" s="114" t="b">
        <v>1</v>
      </c>
      <c r="M2045" s="114"/>
      <c r="N2045" s="114"/>
      <c r="O2045" s="114"/>
      <c r="P2045" s="114" t="s">
        <v>1494</v>
      </c>
      <c r="Q2045" s="114" t="s">
        <v>1228</v>
      </c>
    </row>
    <row r="2046" spans="2:17" hidden="1" outlineLevel="2">
      <c r="B2046" s="2" t="s">
        <v>876</v>
      </c>
      <c r="D2046" s="270">
        <v>3387</v>
      </c>
      <c r="E2046" s="112" t="s">
        <v>220</v>
      </c>
      <c r="F2046" s="112" t="s">
        <v>2494</v>
      </c>
      <c r="G2046" s="112" t="s">
        <v>1512</v>
      </c>
      <c r="H2046" s="112" t="s">
        <v>1505</v>
      </c>
      <c r="I2046" s="112"/>
      <c r="J2046" s="112" t="b">
        <v>0</v>
      </c>
      <c r="K2046" s="112"/>
      <c r="L2046" s="112"/>
      <c r="M2046" s="112"/>
      <c r="N2046" s="112"/>
      <c r="O2046" s="112"/>
      <c r="P2046" s="112" t="s">
        <v>1494</v>
      </c>
      <c r="Q2046" s="112" t="s">
        <v>1228</v>
      </c>
    </row>
    <row r="2047" spans="2:17" hidden="1" outlineLevel="2">
      <c r="B2047" s="2" t="s">
        <v>876</v>
      </c>
      <c r="D2047" s="268">
        <v>3388</v>
      </c>
      <c r="E2047" s="114" t="s">
        <v>220</v>
      </c>
      <c r="F2047" s="114" t="s">
        <v>2495</v>
      </c>
      <c r="G2047" s="114" t="s">
        <v>1512</v>
      </c>
      <c r="H2047" s="114" t="s">
        <v>1505</v>
      </c>
      <c r="I2047" s="114"/>
      <c r="J2047" s="114" t="b">
        <v>0</v>
      </c>
      <c r="K2047" s="114"/>
      <c r="L2047" s="114"/>
      <c r="M2047" s="114"/>
      <c r="N2047" s="114"/>
      <c r="O2047" s="114"/>
      <c r="P2047" s="114" t="s">
        <v>1494</v>
      </c>
      <c r="Q2047" s="114" t="s">
        <v>1228</v>
      </c>
    </row>
    <row r="2048" spans="2:17" hidden="1" outlineLevel="2">
      <c r="B2048" s="2" t="s">
        <v>876</v>
      </c>
      <c r="D2048" s="270">
        <v>3390</v>
      </c>
      <c r="E2048" s="112" t="s">
        <v>220</v>
      </c>
      <c r="F2048" s="112" t="s">
        <v>2496</v>
      </c>
      <c r="G2048" s="112" t="s">
        <v>1512</v>
      </c>
      <c r="H2048" s="112" t="s">
        <v>1505</v>
      </c>
      <c r="I2048" s="112"/>
      <c r="J2048" s="112" t="b">
        <v>0</v>
      </c>
      <c r="K2048" s="112"/>
      <c r="L2048" s="112"/>
      <c r="M2048" s="112"/>
      <c r="N2048" s="112"/>
      <c r="O2048" s="112"/>
      <c r="P2048" s="112" t="s">
        <v>1494</v>
      </c>
      <c r="Q2048" s="112" t="s">
        <v>1228</v>
      </c>
    </row>
    <row r="2049" spans="2:17" hidden="1" outlineLevel="2">
      <c r="B2049" s="2" t="s">
        <v>876</v>
      </c>
      <c r="D2049" s="268">
        <v>3391</v>
      </c>
      <c r="E2049" s="114" t="s">
        <v>220</v>
      </c>
      <c r="F2049" s="114" t="s">
        <v>2497</v>
      </c>
      <c r="G2049" s="114" t="s">
        <v>1512</v>
      </c>
      <c r="H2049" s="114" t="s">
        <v>1505</v>
      </c>
      <c r="I2049" s="114"/>
      <c r="J2049" s="114" t="b">
        <v>0</v>
      </c>
      <c r="K2049" s="114"/>
      <c r="L2049" s="114"/>
      <c r="M2049" s="114"/>
      <c r="N2049" s="114"/>
      <c r="O2049" s="114"/>
      <c r="P2049" s="114" t="s">
        <v>1494</v>
      </c>
      <c r="Q2049" s="114" t="s">
        <v>1228</v>
      </c>
    </row>
    <row r="2050" spans="2:17" hidden="1" outlineLevel="2">
      <c r="B2050" s="2" t="s">
        <v>876</v>
      </c>
      <c r="D2050" s="270">
        <v>3392</v>
      </c>
      <c r="E2050" s="112" t="s">
        <v>220</v>
      </c>
      <c r="F2050" s="112" t="s">
        <v>2498</v>
      </c>
      <c r="G2050" s="112" t="s">
        <v>1512</v>
      </c>
      <c r="H2050" s="112" t="s">
        <v>1505</v>
      </c>
      <c r="I2050" s="112"/>
      <c r="J2050" s="112" t="b">
        <v>0</v>
      </c>
      <c r="K2050" s="112"/>
      <c r="L2050" s="112" t="b">
        <v>1</v>
      </c>
      <c r="M2050" s="112"/>
      <c r="N2050" s="112"/>
      <c r="O2050" s="112"/>
      <c r="P2050" s="112" t="s">
        <v>1494</v>
      </c>
      <c r="Q2050" s="112" t="s">
        <v>1228</v>
      </c>
    </row>
    <row r="2051" spans="2:17" hidden="1" outlineLevel="2">
      <c r="B2051" s="2" t="s">
        <v>876</v>
      </c>
      <c r="D2051" s="268">
        <v>3393</v>
      </c>
      <c r="E2051" s="114" t="s">
        <v>220</v>
      </c>
      <c r="F2051" s="114" t="s">
        <v>2499</v>
      </c>
      <c r="G2051" s="114" t="s">
        <v>1493</v>
      </c>
      <c r="H2051" s="114" t="s">
        <v>1505</v>
      </c>
      <c r="I2051" s="114"/>
      <c r="J2051" s="114" t="b">
        <v>0</v>
      </c>
      <c r="K2051" s="114"/>
      <c r="L2051" s="114"/>
      <c r="M2051" s="114"/>
      <c r="N2051" s="114"/>
      <c r="O2051" s="114"/>
      <c r="P2051" s="114" t="s">
        <v>1494</v>
      </c>
      <c r="Q2051" s="114" t="s">
        <v>1228</v>
      </c>
    </row>
    <row r="2052" spans="2:17" hidden="1" outlineLevel="2">
      <c r="B2052" s="2" t="s">
        <v>876</v>
      </c>
      <c r="D2052" s="270">
        <v>3395</v>
      </c>
      <c r="E2052" s="112" t="s">
        <v>220</v>
      </c>
      <c r="F2052" s="112" t="s">
        <v>2500</v>
      </c>
      <c r="G2052" s="112" t="s">
        <v>1512</v>
      </c>
      <c r="H2052" s="112" t="s">
        <v>1505</v>
      </c>
      <c r="I2052" s="112"/>
      <c r="J2052" s="112" t="b">
        <v>0</v>
      </c>
      <c r="K2052" s="112"/>
      <c r="L2052" s="112" t="b">
        <v>1</v>
      </c>
      <c r="M2052" s="112"/>
      <c r="N2052" s="112"/>
      <c r="O2052" s="112"/>
      <c r="P2052" s="112" t="s">
        <v>1494</v>
      </c>
      <c r="Q2052" s="112" t="s">
        <v>1228</v>
      </c>
    </row>
    <row r="2053" spans="2:17" hidden="1" outlineLevel="2">
      <c r="B2053" s="2" t="s">
        <v>876</v>
      </c>
      <c r="D2053" s="268">
        <v>3396</v>
      </c>
      <c r="E2053" s="114" t="s">
        <v>220</v>
      </c>
      <c r="F2053" s="114" t="s">
        <v>2501</v>
      </c>
      <c r="G2053" s="114" t="s">
        <v>1512</v>
      </c>
      <c r="H2053" s="114" t="s">
        <v>1505</v>
      </c>
      <c r="I2053" s="114"/>
      <c r="J2053" s="114" t="b">
        <v>0</v>
      </c>
      <c r="K2053" s="114"/>
      <c r="L2053" s="114" t="b">
        <v>1</v>
      </c>
      <c r="M2053" s="114"/>
      <c r="N2053" s="114"/>
      <c r="O2053" s="114"/>
      <c r="P2053" s="114" t="s">
        <v>1494</v>
      </c>
      <c r="Q2053" s="114" t="s">
        <v>1228</v>
      </c>
    </row>
    <row r="2054" spans="2:17" hidden="1" outlineLevel="2">
      <c r="B2054" s="2" t="s">
        <v>876</v>
      </c>
      <c r="D2054" s="270">
        <v>3400</v>
      </c>
      <c r="E2054" s="112" t="s">
        <v>220</v>
      </c>
      <c r="F2054" s="112" t="s">
        <v>2502</v>
      </c>
      <c r="G2054" s="112" t="s">
        <v>1493</v>
      </c>
      <c r="H2054" s="112" t="s">
        <v>1494</v>
      </c>
      <c r="I2054" s="112"/>
      <c r="J2054" s="112" t="b">
        <v>0</v>
      </c>
      <c r="K2054" s="112"/>
      <c r="L2054" s="112"/>
      <c r="M2054" s="112"/>
      <c r="N2054" s="112"/>
      <c r="O2054" s="112"/>
      <c r="P2054" s="112" t="s">
        <v>1494</v>
      </c>
      <c r="Q2054" s="112" t="s">
        <v>1228</v>
      </c>
    </row>
    <row r="2055" spans="2:17" hidden="1" outlineLevel="2">
      <c r="B2055" s="2" t="s">
        <v>876</v>
      </c>
      <c r="D2055" s="268">
        <v>3401</v>
      </c>
      <c r="E2055" s="114" t="s">
        <v>220</v>
      </c>
      <c r="F2055" s="114" t="s">
        <v>2113</v>
      </c>
      <c r="G2055" s="114" t="s">
        <v>1512</v>
      </c>
      <c r="H2055" s="114" t="s">
        <v>1505</v>
      </c>
      <c r="I2055" s="114"/>
      <c r="J2055" s="114" t="b">
        <v>0</v>
      </c>
      <c r="K2055" s="114"/>
      <c r="L2055" s="114"/>
      <c r="M2055" s="114"/>
      <c r="N2055" s="114"/>
      <c r="O2055" s="114"/>
      <c r="P2055" s="114" t="s">
        <v>1494</v>
      </c>
      <c r="Q2055" s="114" t="s">
        <v>1228</v>
      </c>
    </row>
    <row r="2056" spans="2:17" hidden="1" outlineLevel="2">
      <c r="B2056" s="2" t="s">
        <v>876</v>
      </c>
      <c r="D2056" s="270">
        <v>3407</v>
      </c>
      <c r="E2056" s="112" t="s">
        <v>220</v>
      </c>
      <c r="F2056" s="112" t="s">
        <v>1966</v>
      </c>
      <c r="G2056" s="112" t="s">
        <v>1512</v>
      </c>
      <c r="H2056" s="112" t="s">
        <v>1505</v>
      </c>
      <c r="I2056" s="112"/>
      <c r="J2056" s="112" t="b">
        <v>0</v>
      </c>
      <c r="K2056" s="112"/>
      <c r="L2056" s="112"/>
      <c r="M2056" s="112"/>
      <c r="N2056" s="112"/>
      <c r="O2056" s="112"/>
      <c r="P2056" s="112" t="s">
        <v>1494</v>
      </c>
      <c r="Q2056" s="112" t="s">
        <v>1228</v>
      </c>
    </row>
    <row r="2057" spans="2:17" hidden="1" outlineLevel="2">
      <c r="B2057" s="2" t="s">
        <v>876</v>
      </c>
      <c r="D2057" s="268">
        <v>3409</v>
      </c>
      <c r="E2057" s="114" t="s">
        <v>220</v>
      </c>
      <c r="F2057" s="114" t="s">
        <v>2503</v>
      </c>
      <c r="G2057" s="221" t="s">
        <v>1512</v>
      </c>
      <c r="H2057" s="114" t="s">
        <v>1505</v>
      </c>
      <c r="I2057" s="114"/>
      <c r="J2057" s="114" t="b">
        <v>0</v>
      </c>
      <c r="K2057" s="114"/>
      <c r="L2057" s="114"/>
      <c r="M2057" s="114"/>
      <c r="N2057" s="114"/>
      <c r="O2057" s="114"/>
      <c r="P2057" s="114" t="s">
        <v>1494</v>
      </c>
      <c r="Q2057" s="114" t="s">
        <v>1228</v>
      </c>
    </row>
    <row r="2058" spans="2:17" hidden="1" outlineLevel="2">
      <c r="B2058" s="2" t="s">
        <v>876</v>
      </c>
      <c r="D2058" s="270">
        <v>3412</v>
      </c>
      <c r="E2058" s="112" t="s">
        <v>220</v>
      </c>
      <c r="F2058" s="112" t="s">
        <v>2504</v>
      </c>
      <c r="G2058" s="112" t="s">
        <v>1512</v>
      </c>
      <c r="H2058" s="112" t="s">
        <v>1505</v>
      </c>
      <c r="I2058" s="112"/>
      <c r="J2058" s="112" t="b">
        <v>0</v>
      </c>
      <c r="K2058" s="112"/>
      <c r="L2058" s="112" t="b">
        <v>1</v>
      </c>
      <c r="M2058" s="112"/>
      <c r="N2058" s="112"/>
      <c r="O2058" s="112"/>
      <c r="P2058" s="112" t="s">
        <v>1494</v>
      </c>
      <c r="Q2058" s="112" t="s">
        <v>1228</v>
      </c>
    </row>
    <row r="2059" spans="2:17" hidden="1" outlineLevel="2">
      <c r="B2059" s="2" t="s">
        <v>876</v>
      </c>
      <c r="D2059" s="268">
        <v>3413</v>
      </c>
      <c r="E2059" s="114" t="s">
        <v>220</v>
      </c>
      <c r="F2059" s="114" t="s">
        <v>2505</v>
      </c>
      <c r="G2059" s="114" t="s">
        <v>1512</v>
      </c>
      <c r="H2059" s="114" t="s">
        <v>1505</v>
      </c>
      <c r="I2059" s="114"/>
      <c r="J2059" s="114" t="b">
        <v>0</v>
      </c>
      <c r="K2059" s="114"/>
      <c r="L2059" s="114"/>
      <c r="M2059" s="114"/>
      <c r="N2059" s="114"/>
      <c r="O2059" s="114"/>
      <c r="P2059" s="114" t="s">
        <v>1494</v>
      </c>
      <c r="Q2059" s="114" t="s">
        <v>1228</v>
      </c>
    </row>
    <row r="2060" spans="2:17" hidden="1" outlineLevel="2">
      <c r="B2060" s="2" t="s">
        <v>876</v>
      </c>
      <c r="D2060" s="270">
        <v>3414</v>
      </c>
      <c r="E2060" s="112" t="s">
        <v>220</v>
      </c>
      <c r="F2060" s="112" t="s">
        <v>2506</v>
      </c>
      <c r="G2060" s="112" t="s">
        <v>1512</v>
      </c>
      <c r="H2060" s="112" t="s">
        <v>1505</v>
      </c>
      <c r="I2060" s="112"/>
      <c r="J2060" s="112" t="b">
        <v>0</v>
      </c>
      <c r="K2060" s="112"/>
      <c r="L2060" s="112"/>
      <c r="M2060" s="112"/>
      <c r="N2060" s="112"/>
      <c r="O2060" s="112"/>
      <c r="P2060" s="112" t="s">
        <v>1494</v>
      </c>
      <c r="Q2060" s="112" t="s">
        <v>1228</v>
      </c>
    </row>
    <row r="2061" spans="2:17" hidden="1" outlineLevel="2">
      <c r="B2061" s="2" t="s">
        <v>876</v>
      </c>
      <c r="D2061" s="268">
        <v>3415</v>
      </c>
      <c r="E2061" s="114" t="s">
        <v>220</v>
      </c>
      <c r="F2061" s="114" t="s">
        <v>2507</v>
      </c>
      <c r="G2061" s="114" t="s">
        <v>1512</v>
      </c>
      <c r="H2061" s="114" t="s">
        <v>1505</v>
      </c>
      <c r="I2061" s="114"/>
      <c r="J2061" s="114" t="b">
        <v>0</v>
      </c>
      <c r="K2061" s="114"/>
      <c r="L2061" s="114"/>
      <c r="M2061" s="114"/>
      <c r="N2061" s="114"/>
      <c r="O2061" s="114"/>
      <c r="P2061" s="114" t="s">
        <v>1494</v>
      </c>
      <c r="Q2061" s="114" t="s">
        <v>1228</v>
      </c>
    </row>
    <row r="2062" spans="2:17" hidden="1" outlineLevel="2">
      <c r="B2062" s="2" t="s">
        <v>876</v>
      </c>
      <c r="D2062" s="270">
        <v>3418</v>
      </c>
      <c r="E2062" s="112" t="s">
        <v>220</v>
      </c>
      <c r="F2062" s="112" t="s">
        <v>2508</v>
      </c>
      <c r="G2062" s="112" t="s">
        <v>1512</v>
      </c>
      <c r="H2062" s="112" t="s">
        <v>1512</v>
      </c>
      <c r="I2062" s="112"/>
      <c r="J2062" s="112" t="b">
        <v>0</v>
      </c>
      <c r="K2062" s="112"/>
      <c r="L2062" s="112"/>
      <c r="M2062" s="112"/>
      <c r="N2062" s="112"/>
      <c r="O2062" s="112"/>
      <c r="P2062" s="112" t="s">
        <v>1494</v>
      </c>
      <c r="Q2062" s="112" t="s">
        <v>1228</v>
      </c>
    </row>
    <row r="2063" spans="2:17" hidden="1" outlineLevel="2">
      <c r="B2063" s="2" t="s">
        <v>876</v>
      </c>
      <c r="D2063" s="268">
        <v>3419</v>
      </c>
      <c r="E2063" s="114" t="s">
        <v>220</v>
      </c>
      <c r="F2063" s="114" t="s">
        <v>2509</v>
      </c>
      <c r="G2063" s="114" t="s">
        <v>1512</v>
      </c>
      <c r="H2063" s="114" t="s">
        <v>1505</v>
      </c>
      <c r="I2063" s="114"/>
      <c r="J2063" s="114" t="b">
        <v>0</v>
      </c>
      <c r="K2063" s="114"/>
      <c r="L2063" s="114"/>
      <c r="M2063" s="114"/>
      <c r="N2063" s="114"/>
      <c r="O2063" s="114"/>
      <c r="P2063" s="114" t="s">
        <v>1494</v>
      </c>
      <c r="Q2063" s="114" t="s">
        <v>1228</v>
      </c>
    </row>
    <row r="2064" spans="2:17" hidden="1" outlineLevel="2">
      <c r="B2064" s="2" t="s">
        <v>876</v>
      </c>
      <c r="D2064" s="270">
        <v>3420</v>
      </c>
      <c r="E2064" s="112" t="s">
        <v>220</v>
      </c>
      <c r="F2064" s="112" t="s">
        <v>2510</v>
      </c>
      <c r="G2064" s="112" t="s">
        <v>1512</v>
      </c>
      <c r="H2064" s="112" t="s">
        <v>1505</v>
      </c>
      <c r="I2064" s="112"/>
      <c r="J2064" s="112" t="b">
        <v>0</v>
      </c>
      <c r="K2064" s="112"/>
      <c r="L2064" s="112"/>
      <c r="M2064" s="112"/>
      <c r="N2064" s="112"/>
      <c r="O2064" s="112"/>
      <c r="P2064" s="112" t="s">
        <v>1494</v>
      </c>
      <c r="Q2064" s="112" t="s">
        <v>1228</v>
      </c>
    </row>
    <row r="2065" spans="2:17" hidden="1" outlineLevel="2">
      <c r="B2065" s="2" t="s">
        <v>876</v>
      </c>
      <c r="D2065" s="268">
        <v>3423</v>
      </c>
      <c r="E2065" s="114" t="s">
        <v>220</v>
      </c>
      <c r="F2065" s="114" t="s">
        <v>2511</v>
      </c>
      <c r="G2065" s="114" t="s">
        <v>1512</v>
      </c>
      <c r="H2065" s="114" t="s">
        <v>1505</v>
      </c>
      <c r="I2065" s="114"/>
      <c r="J2065" s="114" t="b">
        <v>0</v>
      </c>
      <c r="K2065" s="114"/>
      <c r="L2065" s="114" t="b">
        <v>1</v>
      </c>
      <c r="M2065" s="114"/>
      <c r="N2065" s="114"/>
      <c r="O2065" s="114"/>
      <c r="P2065" s="114" t="s">
        <v>1494</v>
      </c>
      <c r="Q2065" s="114" t="s">
        <v>1228</v>
      </c>
    </row>
    <row r="2066" spans="2:17" hidden="1" outlineLevel="2">
      <c r="B2066" s="2" t="s">
        <v>876</v>
      </c>
      <c r="D2066" s="270">
        <v>3424</v>
      </c>
      <c r="E2066" s="112" t="s">
        <v>220</v>
      </c>
      <c r="F2066" s="112" t="s">
        <v>2512</v>
      </c>
      <c r="G2066" s="112" t="s">
        <v>1512</v>
      </c>
      <c r="H2066" s="112" t="s">
        <v>1505</v>
      </c>
      <c r="I2066" s="112"/>
      <c r="J2066" s="112" t="b">
        <v>0</v>
      </c>
      <c r="K2066" s="112"/>
      <c r="L2066" s="112" t="b">
        <v>1</v>
      </c>
      <c r="M2066" s="112"/>
      <c r="N2066" s="112"/>
      <c r="O2066" s="112"/>
      <c r="P2066" s="112" t="s">
        <v>1494</v>
      </c>
      <c r="Q2066" s="112" t="s">
        <v>1228</v>
      </c>
    </row>
    <row r="2067" spans="2:17" hidden="1" outlineLevel="2">
      <c r="B2067" s="2" t="s">
        <v>876</v>
      </c>
      <c r="D2067" s="268">
        <v>3427</v>
      </c>
      <c r="E2067" s="114" t="s">
        <v>220</v>
      </c>
      <c r="F2067" s="114" t="s">
        <v>2513</v>
      </c>
      <c r="G2067" s="114" t="s">
        <v>1572</v>
      </c>
      <c r="H2067" s="114" t="s">
        <v>1227</v>
      </c>
      <c r="I2067" s="114"/>
      <c r="J2067" s="114" t="b">
        <v>0</v>
      </c>
      <c r="K2067" s="114"/>
      <c r="L2067" s="114"/>
      <c r="M2067" s="114"/>
      <c r="N2067" s="114"/>
      <c r="O2067" s="114"/>
      <c r="P2067" s="114" t="s">
        <v>2196</v>
      </c>
      <c r="Q2067" s="114" t="s">
        <v>1228</v>
      </c>
    </row>
    <row r="2068" spans="2:17" hidden="1" outlineLevel="2">
      <c r="B2068" s="2" t="s">
        <v>876</v>
      </c>
      <c r="D2068" s="270">
        <v>3428</v>
      </c>
      <c r="E2068" s="112" t="s">
        <v>220</v>
      </c>
      <c r="F2068" s="112" t="s">
        <v>2151</v>
      </c>
      <c r="G2068" s="112" t="s">
        <v>1572</v>
      </c>
      <c r="H2068" s="112" t="s">
        <v>1227</v>
      </c>
      <c r="I2068" s="112"/>
      <c r="J2068" s="112" t="b">
        <v>0</v>
      </c>
      <c r="K2068" s="112"/>
      <c r="L2068" s="112"/>
      <c r="M2068" s="112"/>
      <c r="N2068" s="112"/>
      <c r="O2068" s="112"/>
      <c r="P2068" s="112" t="s">
        <v>2196</v>
      </c>
      <c r="Q2068" s="112" t="s">
        <v>1228</v>
      </c>
    </row>
    <row r="2069" spans="2:17" hidden="1" outlineLevel="2">
      <c r="B2069" s="2" t="s">
        <v>876</v>
      </c>
      <c r="D2069" s="268">
        <v>3429</v>
      </c>
      <c r="E2069" s="114" t="s">
        <v>220</v>
      </c>
      <c r="F2069" s="114" t="s">
        <v>2514</v>
      </c>
      <c r="G2069" s="114" t="s">
        <v>1572</v>
      </c>
      <c r="H2069" s="114" t="s">
        <v>1227</v>
      </c>
      <c r="I2069" s="114"/>
      <c r="J2069" s="114" t="b">
        <v>0</v>
      </c>
      <c r="K2069" s="114"/>
      <c r="L2069" s="114"/>
      <c r="M2069" s="114"/>
      <c r="N2069" s="114"/>
      <c r="O2069" s="114"/>
      <c r="P2069" s="114" t="s">
        <v>2196</v>
      </c>
      <c r="Q2069" s="114" t="s">
        <v>1227</v>
      </c>
    </row>
    <row r="2070" spans="2:17" hidden="1" outlineLevel="2">
      <c r="B2070" s="2" t="s">
        <v>876</v>
      </c>
      <c r="D2070" s="270">
        <v>3430</v>
      </c>
      <c r="E2070" s="112" t="s">
        <v>220</v>
      </c>
      <c r="F2070" s="112" t="s">
        <v>2515</v>
      </c>
      <c r="G2070" s="269" t="s">
        <v>1493</v>
      </c>
      <c r="H2070" s="112" t="s">
        <v>1505</v>
      </c>
      <c r="I2070" s="112"/>
      <c r="J2070" s="112" t="b">
        <v>0</v>
      </c>
      <c r="K2070" s="112"/>
      <c r="L2070" s="112"/>
      <c r="M2070" s="112"/>
      <c r="N2070" s="112"/>
      <c r="O2070" s="112"/>
      <c r="P2070" s="112" t="s">
        <v>2374</v>
      </c>
      <c r="Q2070" s="112" t="s">
        <v>1228</v>
      </c>
    </row>
    <row r="2071" spans="2:17" hidden="1" outlineLevel="2">
      <c r="B2071" s="2" t="s">
        <v>876</v>
      </c>
      <c r="D2071" s="268">
        <v>3431</v>
      </c>
      <c r="E2071" s="114" t="s">
        <v>220</v>
      </c>
      <c r="F2071" s="114" t="s">
        <v>2516</v>
      </c>
      <c r="G2071" s="114" t="s">
        <v>1483</v>
      </c>
      <c r="H2071" s="114" t="s">
        <v>1494</v>
      </c>
      <c r="I2071" s="114"/>
      <c r="J2071" s="114" t="b">
        <v>0</v>
      </c>
      <c r="K2071" s="114"/>
      <c r="L2071" s="114"/>
      <c r="M2071" s="114"/>
      <c r="N2071" s="114"/>
      <c r="O2071" s="114"/>
      <c r="P2071" s="114" t="s">
        <v>2374</v>
      </c>
      <c r="Q2071" s="114" t="s">
        <v>1228</v>
      </c>
    </row>
    <row r="2072" spans="2:17" hidden="1" outlineLevel="2">
      <c r="B2072" s="2" t="s">
        <v>876</v>
      </c>
      <c r="D2072" s="270">
        <v>3432</v>
      </c>
      <c r="E2072" s="112" t="s">
        <v>220</v>
      </c>
      <c r="F2072" s="112" t="s">
        <v>2517</v>
      </c>
      <c r="G2072" s="112" t="s">
        <v>1512</v>
      </c>
      <c r="H2072" s="112" t="s">
        <v>1505</v>
      </c>
      <c r="I2072" s="112"/>
      <c r="J2072" s="112" t="b">
        <v>0</v>
      </c>
      <c r="K2072" s="112"/>
      <c r="L2072" s="112"/>
      <c r="M2072" s="112"/>
      <c r="N2072" s="112"/>
      <c r="O2072" s="112"/>
      <c r="P2072" s="112" t="s">
        <v>1494</v>
      </c>
      <c r="Q2072" s="112" t="s">
        <v>1228</v>
      </c>
    </row>
    <row r="2073" spans="2:17" hidden="1" outlineLevel="2">
      <c r="B2073" s="2" t="s">
        <v>876</v>
      </c>
      <c r="D2073" s="268">
        <v>3433</v>
      </c>
      <c r="E2073" s="114" t="s">
        <v>220</v>
      </c>
      <c r="F2073" s="114" t="s">
        <v>2518</v>
      </c>
      <c r="G2073" s="114" t="s">
        <v>1512</v>
      </c>
      <c r="H2073" s="114" t="s">
        <v>1505</v>
      </c>
      <c r="I2073" s="114"/>
      <c r="J2073" s="114" t="b">
        <v>0</v>
      </c>
      <c r="K2073" s="114"/>
      <c r="L2073" s="114"/>
      <c r="M2073" s="114"/>
      <c r="N2073" s="114"/>
      <c r="O2073" s="114"/>
      <c r="P2073" s="114" t="s">
        <v>1494</v>
      </c>
      <c r="Q2073" s="114" t="s">
        <v>1228</v>
      </c>
    </row>
    <row r="2074" spans="2:17" hidden="1" outlineLevel="2">
      <c r="B2074" s="2" t="s">
        <v>876</v>
      </c>
      <c r="D2074" s="270">
        <v>3434</v>
      </c>
      <c r="E2074" s="112" t="s">
        <v>220</v>
      </c>
      <c r="F2074" s="112" t="s">
        <v>2519</v>
      </c>
      <c r="G2074" s="112" t="s">
        <v>1493</v>
      </c>
      <c r="H2074" s="112" t="s">
        <v>1505</v>
      </c>
      <c r="I2074" s="112"/>
      <c r="J2074" s="112" t="b">
        <v>0</v>
      </c>
      <c r="K2074" s="112"/>
      <c r="L2074" s="112"/>
      <c r="M2074" s="112"/>
      <c r="N2074" s="112"/>
      <c r="O2074" s="112"/>
      <c r="P2074" s="112" t="s">
        <v>1494</v>
      </c>
      <c r="Q2074" s="112" t="s">
        <v>1228</v>
      </c>
    </row>
    <row r="2075" spans="2:17" hidden="1" outlineLevel="2">
      <c r="B2075" s="2" t="s">
        <v>876</v>
      </c>
      <c r="D2075" s="268">
        <v>3435</v>
      </c>
      <c r="E2075" s="114" t="s">
        <v>220</v>
      </c>
      <c r="F2075" s="114" t="s">
        <v>2520</v>
      </c>
      <c r="G2075" s="114" t="s">
        <v>1493</v>
      </c>
      <c r="H2075" s="114" t="s">
        <v>1505</v>
      </c>
      <c r="I2075" s="114"/>
      <c r="J2075" s="114" t="b">
        <v>0</v>
      </c>
      <c r="K2075" s="114"/>
      <c r="L2075" s="114"/>
      <c r="M2075" s="114"/>
      <c r="N2075" s="114"/>
      <c r="O2075" s="114"/>
      <c r="P2075" s="114" t="s">
        <v>1494</v>
      </c>
      <c r="Q2075" s="114" t="s">
        <v>1228</v>
      </c>
    </row>
    <row r="2076" spans="2:17" hidden="1" outlineLevel="2">
      <c r="B2076" s="2" t="s">
        <v>876</v>
      </c>
      <c r="D2076" s="270">
        <v>3437</v>
      </c>
      <c r="E2076" s="112" t="s">
        <v>220</v>
      </c>
      <c r="F2076" s="112" t="s">
        <v>2521</v>
      </c>
      <c r="G2076" s="112" t="s">
        <v>1483</v>
      </c>
      <c r="H2076" s="112" t="s">
        <v>1494</v>
      </c>
      <c r="I2076" s="112"/>
      <c r="J2076" s="112" t="b">
        <v>0</v>
      </c>
      <c r="K2076" s="112"/>
      <c r="L2076" s="112"/>
      <c r="M2076" s="112"/>
      <c r="N2076" s="112"/>
      <c r="O2076" s="112"/>
      <c r="P2076" s="112" t="s">
        <v>1494</v>
      </c>
      <c r="Q2076" s="112" t="s">
        <v>1228</v>
      </c>
    </row>
    <row r="2077" spans="2:17" hidden="1" outlineLevel="2">
      <c r="B2077" s="2" t="s">
        <v>876</v>
      </c>
      <c r="D2077" s="268">
        <v>3438</v>
      </c>
      <c r="E2077" s="114" t="s">
        <v>220</v>
      </c>
      <c r="F2077" s="114" t="s">
        <v>2522</v>
      </c>
      <c r="G2077" s="114" t="s">
        <v>1483</v>
      </c>
      <c r="H2077" s="114" t="s">
        <v>1494</v>
      </c>
      <c r="I2077" s="114"/>
      <c r="J2077" s="114" t="b">
        <v>0</v>
      </c>
      <c r="K2077" s="114"/>
      <c r="L2077" s="114"/>
      <c r="M2077" s="114"/>
      <c r="N2077" s="114"/>
      <c r="O2077" s="114"/>
      <c r="P2077" s="114" t="s">
        <v>1494</v>
      </c>
      <c r="Q2077" s="114" t="s">
        <v>1228</v>
      </c>
    </row>
    <row r="2078" spans="2:17" hidden="1" outlineLevel="2">
      <c r="B2078" s="2" t="s">
        <v>876</v>
      </c>
      <c r="D2078" s="270">
        <v>3440</v>
      </c>
      <c r="E2078" s="112" t="s">
        <v>220</v>
      </c>
      <c r="F2078" s="112" t="s">
        <v>2523</v>
      </c>
      <c r="G2078" s="221" t="s">
        <v>1483</v>
      </c>
      <c r="H2078" s="112" t="s">
        <v>1505</v>
      </c>
      <c r="I2078" s="112"/>
      <c r="J2078" s="112" t="b">
        <v>0</v>
      </c>
      <c r="K2078" s="112"/>
      <c r="L2078" s="112"/>
      <c r="M2078" s="112"/>
      <c r="N2078" s="112"/>
      <c r="O2078" s="112"/>
      <c r="P2078" s="112" t="s">
        <v>1494</v>
      </c>
      <c r="Q2078" s="112" t="s">
        <v>1228</v>
      </c>
    </row>
    <row r="2079" spans="2:17" hidden="1" outlineLevel="2">
      <c r="B2079" s="2" t="s">
        <v>876</v>
      </c>
      <c r="D2079" s="268">
        <v>3441</v>
      </c>
      <c r="E2079" s="114" t="s">
        <v>220</v>
      </c>
      <c r="F2079" s="114" t="s">
        <v>2524</v>
      </c>
      <c r="G2079" s="221" t="s">
        <v>1483</v>
      </c>
      <c r="H2079" s="114" t="s">
        <v>1505</v>
      </c>
      <c r="I2079" s="114"/>
      <c r="J2079" s="114" t="b">
        <v>0</v>
      </c>
      <c r="K2079" s="114"/>
      <c r="L2079" s="114"/>
      <c r="M2079" s="114"/>
      <c r="N2079" s="114"/>
      <c r="O2079" s="114"/>
      <c r="P2079" s="114" t="s">
        <v>1494</v>
      </c>
      <c r="Q2079" s="114" t="s">
        <v>1228</v>
      </c>
    </row>
    <row r="2080" spans="2:17" hidden="1" outlineLevel="2">
      <c r="B2080" s="2" t="s">
        <v>876</v>
      </c>
      <c r="D2080" s="270">
        <v>3442</v>
      </c>
      <c r="E2080" s="112" t="s">
        <v>220</v>
      </c>
      <c r="F2080" s="112" t="s">
        <v>2525</v>
      </c>
      <c r="G2080" s="269" t="s">
        <v>1483</v>
      </c>
      <c r="H2080" s="112" t="s">
        <v>1505</v>
      </c>
      <c r="I2080" s="112"/>
      <c r="J2080" s="112" t="b">
        <v>0</v>
      </c>
      <c r="K2080" s="112"/>
      <c r="L2080" s="112"/>
      <c r="M2080" s="112"/>
      <c r="N2080" s="112"/>
      <c r="O2080" s="112"/>
      <c r="P2080" s="112" t="s">
        <v>1494</v>
      </c>
      <c r="Q2080" s="112" t="s">
        <v>1228</v>
      </c>
    </row>
    <row r="2081" spans="2:17" hidden="1" outlineLevel="2">
      <c r="B2081" s="2" t="s">
        <v>876</v>
      </c>
      <c r="D2081" s="268">
        <v>3444</v>
      </c>
      <c r="E2081" s="114" t="s">
        <v>220</v>
      </c>
      <c r="F2081" s="114" t="s">
        <v>2526</v>
      </c>
      <c r="G2081" s="114" t="s">
        <v>1483</v>
      </c>
      <c r="H2081" s="114" t="s">
        <v>1494</v>
      </c>
      <c r="I2081" s="114"/>
      <c r="J2081" s="114" t="b">
        <v>0</v>
      </c>
      <c r="K2081" s="114"/>
      <c r="L2081" s="114"/>
      <c r="M2081" s="114"/>
      <c r="N2081" s="114"/>
      <c r="O2081" s="114"/>
      <c r="P2081" s="114" t="s">
        <v>1494</v>
      </c>
      <c r="Q2081" s="114" t="s">
        <v>1228</v>
      </c>
    </row>
    <row r="2082" spans="2:17" hidden="1" outlineLevel="2">
      <c r="B2082" s="2" t="s">
        <v>876</v>
      </c>
      <c r="D2082" s="270">
        <v>3446</v>
      </c>
      <c r="E2082" s="112" t="s">
        <v>220</v>
      </c>
      <c r="F2082" s="112" t="s">
        <v>2527</v>
      </c>
      <c r="G2082" s="112" t="s">
        <v>1493</v>
      </c>
      <c r="H2082" s="112" t="s">
        <v>1505</v>
      </c>
      <c r="I2082" s="112"/>
      <c r="J2082" s="112" t="b">
        <v>0</v>
      </c>
      <c r="K2082" s="112"/>
      <c r="L2082" s="112"/>
      <c r="M2082" s="112"/>
      <c r="N2082" s="112"/>
      <c r="O2082" s="112"/>
      <c r="P2082" s="112" t="s">
        <v>1494</v>
      </c>
      <c r="Q2082" s="112" t="s">
        <v>1228</v>
      </c>
    </row>
    <row r="2083" spans="2:17" hidden="1" outlineLevel="2">
      <c r="B2083" s="2" t="s">
        <v>876</v>
      </c>
      <c r="D2083" s="268">
        <v>3447</v>
      </c>
      <c r="E2083" s="114" t="s">
        <v>220</v>
      </c>
      <c r="F2083" s="114" t="s">
        <v>2528</v>
      </c>
      <c r="G2083" s="269" t="s">
        <v>1493</v>
      </c>
      <c r="H2083" s="114" t="s">
        <v>1505</v>
      </c>
      <c r="I2083" s="114"/>
      <c r="J2083" s="114" t="b">
        <v>0</v>
      </c>
      <c r="K2083" s="114"/>
      <c r="L2083" s="114"/>
      <c r="M2083" s="114"/>
      <c r="N2083" s="114"/>
      <c r="O2083" s="114"/>
      <c r="P2083" s="114" t="s">
        <v>1494</v>
      </c>
      <c r="Q2083" s="114" t="s">
        <v>1228</v>
      </c>
    </row>
    <row r="2084" spans="2:17" hidden="1" outlineLevel="2">
      <c r="B2084" s="2" t="s">
        <v>876</v>
      </c>
      <c r="D2084" s="270">
        <v>3448</v>
      </c>
      <c r="E2084" s="112" t="s">
        <v>220</v>
      </c>
      <c r="F2084" s="112" t="s">
        <v>2529</v>
      </c>
      <c r="G2084" s="269" t="s">
        <v>1493</v>
      </c>
      <c r="H2084" s="112" t="s">
        <v>1505</v>
      </c>
      <c r="I2084" s="112"/>
      <c r="J2084" s="112" t="b">
        <v>0</v>
      </c>
      <c r="K2084" s="112"/>
      <c r="L2084" s="112"/>
      <c r="M2084" s="112"/>
      <c r="N2084" s="112"/>
      <c r="O2084" s="112"/>
      <c r="P2084" s="112" t="s">
        <v>1494</v>
      </c>
      <c r="Q2084" s="112" t="s">
        <v>1228</v>
      </c>
    </row>
    <row r="2085" spans="2:17" hidden="1" outlineLevel="2">
      <c r="B2085" s="2" t="s">
        <v>876</v>
      </c>
      <c r="D2085" s="268">
        <v>3450</v>
      </c>
      <c r="E2085" s="114" t="s">
        <v>220</v>
      </c>
      <c r="F2085" s="114" t="s">
        <v>2530</v>
      </c>
      <c r="G2085" s="114" t="s">
        <v>1493</v>
      </c>
      <c r="H2085" s="114" t="s">
        <v>1505</v>
      </c>
      <c r="I2085" s="114"/>
      <c r="J2085" s="114" t="b">
        <v>0</v>
      </c>
      <c r="K2085" s="114"/>
      <c r="L2085" s="114"/>
      <c r="M2085" s="114"/>
      <c r="N2085" s="114"/>
      <c r="O2085" s="114"/>
      <c r="P2085" s="114" t="s">
        <v>1494</v>
      </c>
      <c r="Q2085" s="114" t="s">
        <v>1228</v>
      </c>
    </row>
    <row r="2086" spans="2:17" hidden="1" outlineLevel="2">
      <c r="B2086" s="2" t="s">
        <v>876</v>
      </c>
      <c r="D2086" s="270">
        <v>3451</v>
      </c>
      <c r="E2086" s="112" t="s">
        <v>220</v>
      </c>
      <c r="F2086" s="112" t="s">
        <v>2531</v>
      </c>
      <c r="G2086" s="112" t="s">
        <v>1493</v>
      </c>
      <c r="H2086" s="112" t="s">
        <v>1505</v>
      </c>
      <c r="I2086" s="112"/>
      <c r="J2086" s="112" t="b">
        <v>0</v>
      </c>
      <c r="K2086" s="112"/>
      <c r="L2086" s="112"/>
      <c r="M2086" s="112"/>
      <c r="N2086" s="112"/>
      <c r="O2086" s="112"/>
      <c r="P2086" s="112" t="s">
        <v>1494</v>
      </c>
      <c r="Q2086" s="112" t="s">
        <v>1228</v>
      </c>
    </row>
    <row r="2087" spans="2:17" hidden="1" outlineLevel="2">
      <c r="B2087" s="2" t="s">
        <v>876</v>
      </c>
      <c r="D2087" s="268">
        <v>3453</v>
      </c>
      <c r="E2087" s="114" t="s">
        <v>220</v>
      </c>
      <c r="F2087" s="114" t="s">
        <v>2532</v>
      </c>
      <c r="G2087" s="114" t="s">
        <v>1493</v>
      </c>
      <c r="H2087" s="114" t="s">
        <v>1505</v>
      </c>
      <c r="I2087" s="114"/>
      <c r="J2087" s="114" t="b">
        <v>0</v>
      </c>
      <c r="K2087" s="114"/>
      <c r="L2087" s="114" t="b">
        <v>1</v>
      </c>
      <c r="M2087" s="114"/>
      <c r="N2087" s="114"/>
      <c r="O2087" s="114"/>
      <c r="P2087" s="114" t="s">
        <v>1494</v>
      </c>
      <c r="Q2087" s="114" t="s">
        <v>1228</v>
      </c>
    </row>
    <row r="2088" spans="2:17" hidden="1" outlineLevel="2">
      <c r="B2088" s="2" t="s">
        <v>876</v>
      </c>
      <c r="D2088" s="270">
        <v>3458</v>
      </c>
      <c r="E2088" s="112" t="s">
        <v>220</v>
      </c>
      <c r="F2088" s="112" t="s">
        <v>2533</v>
      </c>
      <c r="G2088" s="221" t="s">
        <v>1493</v>
      </c>
      <c r="H2088" s="112" t="s">
        <v>1505</v>
      </c>
      <c r="I2088" s="112"/>
      <c r="J2088" s="112" t="b">
        <v>0</v>
      </c>
      <c r="K2088" s="112"/>
      <c r="L2088" s="112" t="b">
        <v>1</v>
      </c>
      <c r="M2088" s="112"/>
      <c r="N2088" s="112"/>
      <c r="O2088" s="112"/>
      <c r="P2088" s="112" t="s">
        <v>1494</v>
      </c>
      <c r="Q2088" s="112" t="s">
        <v>1228</v>
      </c>
    </row>
    <row r="2089" spans="2:17" hidden="1" outlineLevel="2">
      <c r="B2089" s="2" t="s">
        <v>876</v>
      </c>
      <c r="D2089" s="268">
        <v>3460</v>
      </c>
      <c r="E2089" s="114" t="s">
        <v>220</v>
      </c>
      <c r="F2089" s="114" t="s">
        <v>2534</v>
      </c>
      <c r="G2089" s="114" t="s">
        <v>1483</v>
      </c>
      <c r="H2089" s="114" t="s">
        <v>1494</v>
      </c>
      <c r="I2089" s="114"/>
      <c r="J2089" s="114" t="b">
        <v>0</v>
      </c>
      <c r="K2089" s="114"/>
      <c r="L2089" s="114"/>
      <c r="M2089" s="114"/>
      <c r="N2089" s="114"/>
      <c r="O2089" s="114"/>
      <c r="P2089" s="114" t="s">
        <v>1494</v>
      </c>
      <c r="Q2089" s="114" t="s">
        <v>1228</v>
      </c>
    </row>
    <row r="2090" spans="2:17" hidden="1" outlineLevel="2">
      <c r="B2090" s="2" t="s">
        <v>876</v>
      </c>
      <c r="D2090" s="270">
        <v>3461</v>
      </c>
      <c r="E2090" s="112" t="s">
        <v>220</v>
      </c>
      <c r="F2090" s="112" t="s">
        <v>2535</v>
      </c>
      <c r="G2090" s="112" t="s">
        <v>1493</v>
      </c>
      <c r="H2090" s="112" t="s">
        <v>1505</v>
      </c>
      <c r="I2090" s="112"/>
      <c r="J2090" s="112" t="b">
        <v>0</v>
      </c>
      <c r="K2090" s="112"/>
      <c r="L2090" s="112"/>
      <c r="M2090" s="112"/>
      <c r="N2090" s="112"/>
      <c r="O2090" s="112"/>
      <c r="P2090" s="112" t="s">
        <v>1494</v>
      </c>
      <c r="Q2090" s="112" t="s">
        <v>1228</v>
      </c>
    </row>
    <row r="2091" spans="2:17" hidden="1" outlineLevel="2">
      <c r="B2091" s="2" t="s">
        <v>876</v>
      </c>
      <c r="D2091" s="268">
        <v>3462</v>
      </c>
      <c r="E2091" s="114" t="s">
        <v>220</v>
      </c>
      <c r="F2091" s="114" t="s">
        <v>2536</v>
      </c>
      <c r="G2091" s="114" t="s">
        <v>1512</v>
      </c>
      <c r="H2091" s="114" t="s">
        <v>1505</v>
      </c>
      <c r="I2091" s="114"/>
      <c r="J2091" s="114" t="b">
        <v>0</v>
      </c>
      <c r="K2091" s="114"/>
      <c r="L2091" s="114"/>
      <c r="M2091" s="114"/>
      <c r="N2091" s="114"/>
      <c r="O2091" s="114"/>
      <c r="P2091" s="114" t="s">
        <v>1494</v>
      </c>
      <c r="Q2091" s="114" t="s">
        <v>1228</v>
      </c>
    </row>
    <row r="2092" spans="2:17" hidden="1" outlineLevel="2">
      <c r="B2092" s="2" t="s">
        <v>876</v>
      </c>
      <c r="D2092" s="270">
        <v>3463</v>
      </c>
      <c r="E2092" s="112" t="s">
        <v>220</v>
      </c>
      <c r="F2092" s="112" t="s">
        <v>2537</v>
      </c>
      <c r="G2092" s="112" t="s">
        <v>1493</v>
      </c>
      <c r="H2092" s="112" t="s">
        <v>1505</v>
      </c>
      <c r="I2092" s="112"/>
      <c r="J2092" s="112" t="b">
        <v>0</v>
      </c>
      <c r="K2092" s="112"/>
      <c r="L2092" s="112"/>
      <c r="M2092" s="112"/>
      <c r="N2092" s="112"/>
      <c r="O2092" s="112"/>
      <c r="P2092" s="112" t="s">
        <v>1494</v>
      </c>
      <c r="Q2092" s="112" t="s">
        <v>1228</v>
      </c>
    </row>
    <row r="2093" spans="2:17" hidden="1" outlineLevel="2">
      <c r="B2093" s="2" t="s">
        <v>876</v>
      </c>
      <c r="D2093" s="268">
        <v>3464</v>
      </c>
      <c r="E2093" s="114" t="s">
        <v>220</v>
      </c>
      <c r="F2093" s="114" t="s">
        <v>2538</v>
      </c>
      <c r="G2093" s="221" t="s">
        <v>1512</v>
      </c>
      <c r="H2093" s="114" t="s">
        <v>1505</v>
      </c>
      <c r="I2093" s="114"/>
      <c r="J2093" s="114" t="b">
        <v>0</v>
      </c>
      <c r="K2093" s="114"/>
      <c r="L2093" s="114"/>
      <c r="M2093" s="114"/>
      <c r="N2093" s="114"/>
      <c r="O2093" s="114"/>
      <c r="P2093" s="114" t="s">
        <v>1494</v>
      </c>
      <c r="Q2093" s="114" t="s">
        <v>1228</v>
      </c>
    </row>
    <row r="2094" spans="2:17" hidden="1" outlineLevel="2">
      <c r="B2094" s="2" t="s">
        <v>876</v>
      </c>
      <c r="D2094" s="270">
        <v>3465</v>
      </c>
      <c r="E2094" s="112" t="s">
        <v>220</v>
      </c>
      <c r="F2094" s="112" t="s">
        <v>2539</v>
      </c>
      <c r="G2094" s="269" t="s">
        <v>1493</v>
      </c>
      <c r="H2094" s="112" t="s">
        <v>1505</v>
      </c>
      <c r="I2094" s="112"/>
      <c r="J2094" s="112" t="b">
        <v>0</v>
      </c>
      <c r="K2094" s="112"/>
      <c r="L2094" s="112"/>
      <c r="M2094" s="112"/>
      <c r="N2094" s="112"/>
      <c r="O2094" s="112"/>
      <c r="P2094" s="112" t="s">
        <v>1494</v>
      </c>
      <c r="Q2094" s="112" t="s">
        <v>1228</v>
      </c>
    </row>
    <row r="2095" spans="2:17" hidden="1" outlineLevel="2">
      <c r="B2095" s="2" t="s">
        <v>876</v>
      </c>
      <c r="D2095" s="268">
        <v>3467</v>
      </c>
      <c r="E2095" s="114" t="s">
        <v>220</v>
      </c>
      <c r="F2095" s="114" t="s">
        <v>1972</v>
      </c>
      <c r="G2095" s="114" t="s">
        <v>1512</v>
      </c>
      <c r="H2095" s="114" t="s">
        <v>1505</v>
      </c>
      <c r="I2095" s="114"/>
      <c r="J2095" s="114" t="b">
        <v>0</v>
      </c>
      <c r="K2095" s="114"/>
      <c r="L2095" s="114"/>
      <c r="M2095" s="114"/>
      <c r="N2095" s="114"/>
      <c r="O2095" s="114"/>
      <c r="P2095" s="114" t="s">
        <v>1494</v>
      </c>
      <c r="Q2095" s="114" t="s">
        <v>1228</v>
      </c>
    </row>
    <row r="2096" spans="2:17" hidden="1" outlineLevel="2">
      <c r="B2096" s="2" t="s">
        <v>876</v>
      </c>
      <c r="D2096" s="270">
        <v>3468</v>
      </c>
      <c r="E2096" s="112" t="s">
        <v>220</v>
      </c>
      <c r="F2096" s="112" t="s">
        <v>2540</v>
      </c>
      <c r="G2096" s="112" t="s">
        <v>1512</v>
      </c>
      <c r="H2096" s="112" t="s">
        <v>1505</v>
      </c>
      <c r="I2096" s="112"/>
      <c r="J2096" s="112" t="b">
        <v>0</v>
      </c>
      <c r="K2096" s="112"/>
      <c r="L2096" s="112"/>
      <c r="M2096" s="112"/>
      <c r="N2096" s="112"/>
      <c r="O2096" s="112"/>
      <c r="P2096" s="112" t="s">
        <v>1494</v>
      </c>
      <c r="Q2096" s="112" t="s">
        <v>1228</v>
      </c>
    </row>
    <row r="2097" spans="2:17" hidden="1" outlineLevel="2">
      <c r="B2097" s="2" t="s">
        <v>876</v>
      </c>
      <c r="D2097" s="268">
        <v>3469</v>
      </c>
      <c r="E2097" s="114" t="s">
        <v>220</v>
      </c>
      <c r="F2097" s="114" t="s">
        <v>2541</v>
      </c>
      <c r="G2097" s="114" t="s">
        <v>1512</v>
      </c>
      <c r="H2097" s="114" t="s">
        <v>1505</v>
      </c>
      <c r="I2097" s="114"/>
      <c r="J2097" s="114" t="b">
        <v>0</v>
      </c>
      <c r="K2097" s="114"/>
      <c r="L2097" s="114" t="b">
        <v>1</v>
      </c>
      <c r="M2097" s="114"/>
      <c r="N2097" s="114"/>
      <c r="O2097" s="114"/>
      <c r="P2097" s="114" t="s">
        <v>1494</v>
      </c>
      <c r="Q2097" s="114" t="s">
        <v>1228</v>
      </c>
    </row>
    <row r="2098" spans="2:17" hidden="1" outlineLevel="2">
      <c r="B2098" s="2" t="s">
        <v>876</v>
      </c>
      <c r="D2098" s="270">
        <v>3472</v>
      </c>
      <c r="E2098" s="112" t="s">
        <v>220</v>
      </c>
      <c r="F2098" s="112" t="s">
        <v>2542</v>
      </c>
      <c r="G2098" s="221" t="s">
        <v>1512</v>
      </c>
      <c r="H2098" s="112" t="s">
        <v>1505</v>
      </c>
      <c r="I2098" s="112"/>
      <c r="J2098" s="112" t="b">
        <v>0</v>
      </c>
      <c r="K2098" s="112"/>
      <c r="L2098" s="112"/>
      <c r="M2098" s="112"/>
      <c r="N2098" s="112"/>
      <c r="O2098" s="112"/>
      <c r="P2098" s="112" t="s">
        <v>1494</v>
      </c>
      <c r="Q2098" s="112" t="s">
        <v>1228</v>
      </c>
    </row>
    <row r="2099" spans="2:17" hidden="1" outlineLevel="2">
      <c r="B2099" s="2" t="s">
        <v>876</v>
      </c>
      <c r="D2099" s="268">
        <v>3475</v>
      </c>
      <c r="E2099" s="114" t="s">
        <v>220</v>
      </c>
      <c r="F2099" s="114" t="s">
        <v>2543</v>
      </c>
      <c r="G2099" s="221" t="s">
        <v>1512</v>
      </c>
      <c r="H2099" s="114" t="s">
        <v>1505</v>
      </c>
      <c r="I2099" s="114"/>
      <c r="J2099" s="114" t="b">
        <v>0</v>
      </c>
      <c r="K2099" s="114"/>
      <c r="L2099" s="114"/>
      <c r="M2099" s="114"/>
      <c r="N2099" s="114"/>
      <c r="O2099" s="114"/>
      <c r="P2099" s="114" t="s">
        <v>1494</v>
      </c>
      <c r="Q2099" s="114" t="s">
        <v>1228</v>
      </c>
    </row>
    <row r="2100" spans="2:17" hidden="1" outlineLevel="2">
      <c r="B2100" s="2" t="s">
        <v>876</v>
      </c>
      <c r="D2100" s="270">
        <v>3477</v>
      </c>
      <c r="E2100" s="112" t="s">
        <v>220</v>
      </c>
      <c r="F2100" s="112" t="s">
        <v>2544</v>
      </c>
      <c r="G2100" s="112" t="s">
        <v>1512</v>
      </c>
      <c r="H2100" s="112" t="s">
        <v>1505</v>
      </c>
      <c r="I2100" s="112"/>
      <c r="J2100" s="112" t="b">
        <v>0</v>
      </c>
      <c r="K2100" s="112"/>
      <c r="L2100" s="112"/>
      <c r="M2100" s="112"/>
      <c r="N2100" s="112"/>
      <c r="O2100" s="112"/>
      <c r="P2100" s="112" t="s">
        <v>1494</v>
      </c>
      <c r="Q2100" s="112" t="s">
        <v>1228</v>
      </c>
    </row>
    <row r="2101" spans="2:17" hidden="1" outlineLevel="2">
      <c r="B2101" s="2" t="s">
        <v>876</v>
      </c>
      <c r="D2101" s="268">
        <v>3478</v>
      </c>
      <c r="E2101" s="114" t="s">
        <v>220</v>
      </c>
      <c r="F2101" s="114" t="s">
        <v>2545</v>
      </c>
      <c r="G2101" s="114" t="s">
        <v>1493</v>
      </c>
      <c r="H2101" s="114" t="s">
        <v>1505</v>
      </c>
      <c r="I2101" s="114"/>
      <c r="J2101" s="114" t="b">
        <v>0</v>
      </c>
      <c r="K2101" s="114"/>
      <c r="L2101" s="114"/>
      <c r="M2101" s="114"/>
      <c r="N2101" s="114"/>
      <c r="O2101" s="114"/>
      <c r="P2101" s="114" t="s">
        <v>1494</v>
      </c>
      <c r="Q2101" s="114" t="s">
        <v>1228</v>
      </c>
    </row>
    <row r="2102" spans="2:17" hidden="1" outlineLevel="2">
      <c r="B2102" s="2" t="s">
        <v>876</v>
      </c>
      <c r="D2102" s="270">
        <v>3480</v>
      </c>
      <c r="E2102" s="112" t="s">
        <v>220</v>
      </c>
      <c r="F2102" s="112" t="s">
        <v>2546</v>
      </c>
      <c r="G2102" s="221" t="s">
        <v>1512</v>
      </c>
      <c r="H2102" s="112" t="s">
        <v>1505</v>
      </c>
      <c r="I2102" s="112"/>
      <c r="J2102" s="112" t="b">
        <v>0</v>
      </c>
      <c r="K2102" s="112"/>
      <c r="L2102" s="112"/>
      <c r="M2102" s="112"/>
      <c r="N2102" s="112"/>
      <c r="O2102" s="112"/>
      <c r="P2102" s="112" t="s">
        <v>1494</v>
      </c>
      <c r="Q2102" s="112" t="s">
        <v>1228</v>
      </c>
    </row>
    <row r="2103" spans="2:17" hidden="1" outlineLevel="2">
      <c r="B2103" s="2" t="s">
        <v>876</v>
      </c>
      <c r="D2103" s="268">
        <v>3482</v>
      </c>
      <c r="E2103" s="114" t="s">
        <v>220</v>
      </c>
      <c r="F2103" s="114" t="s">
        <v>2547</v>
      </c>
      <c r="G2103" s="114" t="s">
        <v>1512</v>
      </c>
      <c r="H2103" s="114" t="s">
        <v>1505</v>
      </c>
      <c r="I2103" s="114"/>
      <c r="J2103" s="114" t="b">
        <v>0</v>
      </c>
      <c r="K2103" s="114"/>
      <c r="L2103" s="114"/>
      <c r="M2103" s="114"/>
      <c r="N2103" s="114"/>
      <c r="O2103" s="114"/>
      <c r="P2103" s="114" t="s">
        <v>1494</v>
      </c>
      <c r="Q2103" s="114" t="s">
        <v>1228</v>
      </c>
    </row>
    <row r="2104" spans="2:17" hidden="1" outlineLevel="2">
      <c r="B2104" s="2" t="s">
        <v>876</v>
      </c>
      <c r="D2104" s="270">
        <v>3483</v>
      </c>
      <c r="E2104" s="112" t="s">
        <v>220</v>
      </c>
      <c r="F2104" s="112" t="s">
        <v>2548</v>
      </c>
      <c r="G2104" s="112" t="s">
        <v>1512</v>
      </c>
      <c r="H2104" s="112" t="s">
        <v>1505</v>
      </c>
      <c r="I2104" s="112"/>
      <c r="J2104" s="112" t="b">
        <v>0</v>
      </c>
      <c r="K2104" s="112"/>
      <c r="L2104" s="112"/>
      <c r="M2104" s="112"/>
      <c r="N2104" s="112"/>
      <c r="O2104" s="112"/>
      <c r="P2104" s="112" t="s">
        <v>1494</v>
      </c>
      <c r="Q2104" s="112" t="s">
        <v>1228</v>
      </c>
    </row>
    <row r="2105" spans="2:17" hidden="1" outlineLevel="2">
      <c r="B2105" s="2" t="s">
        <v>876</v>
      </c>
      <c r="D2105" s="268">
        <v>3485</v>
      </c>
      <c r="E2105" s="114" t="s">
        <v>220</v>
      </c>
      <c r="F2105" s="114" t="s">
        <v>2549</v>
      </c>
      <c r="G2105" s="114" t="s">
        <v>1512</v>
      </c>
      <c r="H2105" s="114" t="s">
        <v>1505</v>
      </c>
      <c r="I2105" s="114"/>
      <c r="J2105" s="114" t="b">
        <v>0</v>
      </c>
      <c r="K2105" s="114"/>
      <c r="L2105" s="114" t="b">
        <v>1</v>
      </c>
      <c r="M2105" s="114"/>
      <c r="N2105" s="114"/>
      <c r="O2105" s="114"/>
      <c r="P2105" s="114" t="s">
        <v>1494</v>
      </c>
      <c r="Q2105" s="114" t="s">
        <v>1228</v>
      </c>
    </row>
    <row r="2106" spans="2:17" hidden="1" outlineLevel="2">
      <c r="B2106" s="2" t="s">
        <v>876</v>
      </c>
      <c r="D2106" s="270">
        <v>3487</v>
      </c>
      <c r="E2106" s="112" t="s">
        <v>220</v>
      </c>
      <c r="F2106" s="112" t="s">
        <v>2550</v>
      </c>
      <c r="G2106" s="112" t="s">
        <v>1512</v>
      </c>
      <c r="H2106" s="112" t="s">
        <v>1505</v>
      </c>
      <c r="I2106" s="112"/>
      <c r="J2106" s="112" t="b">
        <v>0</v>
      </c>
      <c r="K2106" s="112"/>
      <c r="L2106" s="112" t="b">
        <v>1</v>
      </c>
      <c r="M2106" s="112"/>
      <c r="N2106" s="112"/>
      <c r="O2106" s="112"/>
      <c r="P2106" s="112" t="s">
        <v>1494</v>
      </c>
      <c r="Q2106" s="112" t="s">
        <v>1228</v>
      </c>
    </row>
    <row r="2107" spans="2:17" hidden="1" outlineLevel="2">
      <c r="B2107" s="2" t="s">
        <v>876</v>
      </c>
      <c r="D2107" s="268">
        <v>3488</v>
      </c>
      <c r="E2107" s="114" t="s">
        <v>220</v>
      </c>
      <c r="F2107" s="114" t="s">
        <v>2551</v>
      </c>
      <c r="G2107" s="114" t="s">
        <v>1512</v>
      </c>
      <c r="H2107" s="114" t="s">
        <v>1505</v>
      </c>
      <c r="I2107" s="114"/>
      <c r="J2107" s="114" t="b">
        <v>0</v>
      </c>
      <c r="K2107" s="114"/>
      <c r="L2107" s="114" t="b">
        <v>1</v>
      </c>
      <c r="M2107" s="114"/>
      <c r="N2107" s="114"/>
      <c r="O2107" s="114"/>
      <c r="P2107" s="114" t="s">
        <v>1494</v>
      </c>
      <c r="Q2107" s="114" t="s">
        <v>1228</v>
      </c>
    </row>
    <row r="2108" spans="2:17" hidden="1" outlineLevel="2">
      <c r="B2108" s="2" t="s">
        <v>876</v>
      </c>
      <c r="D2108" s="270">
        <v>3489</v>
      </c>
      <c r="E2108" s="112" t="s">
        <v>220</v>
      </c>
      <c r="F2108" s="112" t="s">
        <v>2552</v>
      </c>
      <c r="G2108" s="112" t="s">
        <v>1512</v>
      </c>
      <c r="H2108" s="112" t="s">
        <v>1505</v>
      </c>
      <c r="I2108" s="112"/>
      <c r="J2108" s="112" t="b">
        <v>0</v>
      </c>
      <c r="K2108" s="112"/>
      <c r="L2108" s="112" t="b">
        <v>1</v>
      </c>
      <c r="M2108" s="112"/>
      <c r="N2108" s="112"/>
      <c r="O2108" s="112"/>
      <c r="P2108" s="112" t="s">
        <v>1494</v>
      </c>
      <c r="Q2108" s="112" t="s">
        <v>1228</v>
      </c>
    </row>
    <row r="2109" spans="2:17" hidden="1" outlineLevel="2">
      <c r="B2109" s="2" t="s">
        <v>876</v>
      </c>
      <c r="D2109" s="268">
        <v>3490</v>
      </c>
      <c r="E2109" s="114" t="s">
        <v>220</v>
      </c>
      <c r="F2109" s="114" t="s">
        <v>2553</v>
      </c>
      <c r="G2109" s="221" t="s">
        <v>1512</v>
      </c>
      <c r="H2109" s="114" t="s">
        <v>1505</v>
      </c>
      <c r="I2109" s="114"/>
      <c r="J2109" s="114" t="b">
        <v>0</v>
      </c>
      <c r="K2109" s="114"/>
      <c r="L2109" s="114"/>
      <c r="M2109" s="114"/>
      <c r="N2109" s="114"/>
      <c r="O2109" s="114"/>
      <c r="P2109" s="114" t="s">
        <v>1494</v>
      </c>
      <c r="Q2109" s="114" t="s">
        <v>1228</v>
      </c>
    </row>
    <row r="2110" spans="2:17" hidden="1" outlineLevel="2">
      <c r="B2110" s="2" t="s">
        <v>876</v>
      </c>
      <c r="D2110" s="270">
        <v>3491</v>
      </c>
      <c r="E2110" s="112" t="s">
        <v>220</v>
      </c>
      <c r="F2110" s="112" t="s">
        <v>2554</v>
      </c>
      <c r="G2110" s="112" t="s">
        <v>1512</v>
      </c>
      <c r="H2110" s="112" t="s">
        <v>1505</v>
      </c>
      <c r="I2110" s="112"/>
      <c r="J2110" s="112" t="b">
        <v>0</v>
      </c>
      <c r="K2110" s="112"/>
      <c r="L2110" s="112" t="b">
        <v>1</v>
      </c>
      <c r="M2110" s="112"/>
      <c r="N2110" s="112"/>
      <c r="O2110" s="112"/>
      <c r="P2110" s="112" t="s">
        <v>1494</v>
      </c>
      <c r="Q2110" s="112" t="s">
        <v>1228</v>
      </c>
    </row>
    <row r="2111" spans="2:17" hidden="1" outlineLevel="2">
      <c r="B2111" s="2" t="s">
        <v>876</v>
      </c>
      <c r="D2111" s="268">
        <v>3494</v>
      </c>
      <c r="E2111" s="114" t="s">
        <v>220</v>
      </c>
      <c r="F2111" s="114" t="s">
        <v>2555</v>
      </c>
      <c r="G2111" s="114" t="s">
        <v>1512</v>
      </c>
      <c r="H2111" s="114" t="s">
        <v>1505</v>
      </c>
      <c r="I2111" s="114"/>
      <c r="J2111" s="114" t="b">
        <v>0</v>
      </c>
      <c r="K2111" s="114"/>
      <c r="L2111" s="114"/>
      <c r="M2111" s="114"/>
      <c r="N2111" s="114"/>
      <c r="O2111" s="114"/>
      <c r="P2111" s="114" t="s">
        <v>1494</v>
      </c>
      <c r="Q2111" s="114" t="s">
        <v>1228</v>
      </c>
    </row>
    <row r="2112" spans="2:17" hidden="1" outlineLevel="2">
      <c r="B2112" s="2" t="s">
        <v>876</v>
      </c>
      <c r="D2112" s="270">
        <v>3496</v>
      </c>
      <c r="E2112" s="112" t="s">
        <v>220</v>
      </c>
      <c r="F2112" s="112" t="s">
        <v>2556</v>
      </c>
      <c r="G2112" s="112" t="s">
        <v>1493</v>
      </c>
      <c r="H2112" s="112" t="s">
        <v>1505</v>
      </c>
      <c r="I2112" s="112"/>
      <c r="J2112" s="112" t="b">
        <v>0</v>
      </c>
      <c r="K2112" s="112"/>
      <c r="L2112" s="112"/>
      <c r="M2112" s="112"/>
      <c r="N2112" s="112"/>
      <c r="O2112" s="112"/>
      <c r="P2112" s="112" t="s">
        <v>1494</v>
      </c>
      <c r="Q2112" s="112" t="s">
        <v>1228</v>
      </c>
    </row>
    <row r="2113" spans="2:17" hidden="1" outlineLevel="2">
      <c r="B2113" s="2" t="s">
        <v>876</v>
      </c>
      <c r="D2113" s="268">
        <v>3498</v>
      </c>
      <c r="E2113" s="114" t="s">
        <v>220</v>
      </c>
      <c r="F2113" s="114" t="s">
        <v>2557</v>
      </c>
      <c r="G2113" s="691" t="s">
        <v>1483</v>
      </c>
      <c r="H2113" s="114" t="s">
        <v>1505</v>
      </c>
      <c r="I2113" s="114"/>
      <c r="J2113" s="114" t="b">
        <v>0</v>
      </c>
      <c r="K2113" s="114"/>
      <c r="L2113" s="114"/>
      <c r="M2113" s="114"/>
      <c r="N2113" s="114"/>
      <c r="O2113" s="114"/>
      <c r="P2113" s="114" t="s">
        <v>1494</v>
      </c>
      <c r="Q2113" s="114" t="s">
        <v>1228</v>
      </c>
    </row>
    <row r="2114" spans="2:17" hidden="1" outlineLevel="2">
      <c r="B2114" s="2" t="s">
        <v>876</v>
      </c>
      <c r="D2114" s="270">
        <v>3500</v>
      </c>
      <c r="E2114" s="112" t="s">
        <v>220</v>
      </c>
      <c r="F2114" s="112" t="s">
        <v>2558</v>
      </c>
      <c r="G2114" s="691" t="s">
        <v>1483</v>
      </c>
      <c r="H2114" s="112" t="s">
        <v>1494</v>
      </c>
      <c r="I2114" s="112"/>
      <c r="J2114" s="112" t="b">
        <v>0</v>
      </c>
      <c r="K2114" s="112"/>
      <c r="L2114" s="112"/>
      <c r="M2114" s="112"/>
      <c r="N2114" s="112"/>
      <c r="O2114" s="112"/>
      <c r="P2114" s="112" t="s">
        <v>1494</v>
      </c>
      <c r="Q2114" s="112" t="s">
        <v>1228</v>
      </c>
    </row>
    <row r="2115" spans="2:17" hidden="1" outlineLevel="2">
      <c r="B2115" s="2" t="s">
        <v>876</v>
      </c>
      <c r="D2115" s="268">
        <v>3501</v>
      </c>
      <c r="E2115" s="114" t="s">
        <v>220</v>
      </c>
      <c r="F2115" s="114" t="s">
        <v>2559</v>
      </c>
      <c r="G2115" s="114" t="s">
        <v>1483</v>
      </c>
      <c r="H2115" s="114" t="s">
        <v>1494</v>
      </c>
      <c r="I2115" s="114"/>
      <c r="J2115" s="114" t="b">
        <v>0</v>
      </c>
      <c r="K2115" s="114"/>
      <c r="L2115" s="114"/>
      <c r="M2115" s="114"/>
      <c r="N2115" s="114"/>
      <c r="O2115" s="114"/>
      <c r="P2115" s="114" t="s">
        <v>1494</v>
      </c>
      <c r="Q2115" s="114" t="s">
        <v>1228</v>
      </c>
    </row>
    <row r="2116" spans="2:17" hidden="1" outlineLevel="2">
      <c r="B2116" s="2" t="s">
        <v>876</v>
      </c>
      <c r="D2116" s="270">
        <v>3505</v>
      </c>
      <c r="E2116" s="112" t="s">
        <v>220</v>
      </c>
      <c r="F2116" s="112" t="s">
        <v>2560</v>
      </c>
      <c r="G2116" s="112" t="s">
        <v>1493</v>
      </c>
      <c r="H2116" s="112" t="s">
        <v>1505</v>
      </c>
      <c r="I2116" s="112"/>
      <c r="J2116" s="112" t="b">
        <v>0</v>
      </c>
      <c r="K2116" s="112"/>
      <c r="L2116" s="112"/>
      <c r="M2116" s="112"/>
      <c r="N2116" s="112"/>
      <c r="O2116" s="112"/>
      <c r="P2116" s="112" t="s">
        <v>1494</v>
      </c>
      <c r="Q2116" s="112" t="s">
        <v>1228</v>
      </c>
    </row>
    <row r="2117" spans="2:17" hidden="1" outlineLevel="2">
      <c r="B2117" s="2" t="s">
        <v>876</v>
      </c>
      <c r="D2117" s="268">
        <v>3506</v>
      </c>
      <c r="E2117" s="114" t="s">
        <v>220</v>
      </c>
      <c r="F2117" s="114" t="s">
        <v>2561</v>
      </c>
      <c r="G2117" s="114" t="s">
        <v>1512</v>
      </c>
      <c r="H2117" s="114" t="s">
        <v>1505</v>
      </c>
      <c r="I2117" s="114"/>
      <c r="J2117" s="114" t="b">
        <v>0</v>
      </c>
      <c r="K2117" s="114"/>
      <c r="L2117" s="114"/>
      <c r="M2117" s="114"/>
      <c r="N2117" s="114"/>
      <c r="O2117" s="114"/>
      <c r="P2117" s="114" t="s">
        <v>1494</v>
      </c>
      <c r="Q2117" s="114" t="s">
        <v>1228</v>
      </c>
    </row>
    <row r="2118" spans="2:17" hidden="1" outlineLevel="2">
      <c r="B2118" s="2" t="s">
        <v>876</v>
      </c>
      <c r="D2118" s="270">
        <v>3507</v>
      </c>
      <c r="E2118" s="112" t="s">
        <v>220</v>
      </c>
      <c r="F2118" s="112" t="s">
        <v>2562</v>
      </c>
      <c r="G2118" s="112" t="s">
        <v>1512</v>
      </c>
      <c r="H2118" s="112" t="s">
        <v>1505</v>
      </c>
      <c r="I2118" s="112"/>
      <c r="J2118" s="112" t="b">
        <v>0</v>
      </c>
      <c r="K2118" s="112"/>
      <c r="L2118" s="112" t="b">
        <v>1</v>
      </c>
      <c r="M2118" s="112"/>
      <c r="N2118" s="112"/>
      <c r="O2118" s="112"/>
      <c r="P2118" s="112" t="s">
        <v>1494</v>
      </c>
      <c r="Q2118" s="112" t="s">
        <v>1228</v>
      </c>
    </row>
    <row r="2119" spans="2:17" hidden="1" outlineLevel="2">
      <c r="B2119" s="2" t="s">
        <v>876</v>
      </c>
      <c r="D2119" s="268">
        <v>3509</v>
      </c>
      <c r="E2119" s="114" t="s">
        <v>220</v>
      </c>
      <c r="F2119" s="114" t="s">
        <v>2563</v>
      </c>
      <c r="G2119" s="114" t="s">
        <v>1512</v>
      </c>
      <c r="H2119" s="114" t="s">
        <v>1505</v>
      </c>
      <c r="I2119" s="114"/>
      <c r="J2119" s="114" t="b">
        <v>0</v>
      </c>
      <c r="K2119" s="114"/>
      <c r="L2119" s="114"/>
      <c r="M2119" s="114"/>
      <c r="N2119" s="114"/>
      <c r="O2119" s="114"/>
      <c r="P2119" s="114" t="s">
        <v>1494</v>
      </c>
      <c r="Q2119" s="114" t="s">
        <v>1228</v>
      </c>
    </row>
    <row r="2120" spans="2:17" hidden="1" outlineLevel="2">
      <c r="B2120" s="2" t="s">
        <v>876</v>
      </c>
      <c r="D2120" s="270">
        <v>3512</v>
      </c>
      <c r="E2120" s="112" t="s">
        <v>220</v>
      </c>
      <c r="F2120" s="112" t="s">
        <v>2564</v>
      </c>
      <c r="G2120" s="112" t="s">
        <v>1512</v>
      </c>
      <c r="H2120" s="112" t="s">
        <v>1505</v>
      </c>
      <c r="I2120" s="112"/>
      <c r="J2120" s="112" t="b">
        <v>0</v>
      </c>
      <c r="K2120" s="112"/>
      <c r="L2120" s="112"/>
      <c r="M2120" s="112"/>
      <c r="N2120" s="112"/>
      <c r="O2120" s="112"/>
      <c r="P2120" s="112" t="s">
        <v>1494</v>
      </c>
      <c r="Q2120" s="112" t="s">
        <v>1228</v>
      </c>
    </row>
    <row r="2121" spans="2:17" hidden="1" outlineLevel="2">
      <c r="B2121" s="2" t="s">
        <v>876</v>
      </c>
      <c r="D2121" s="268">
        <v>3515</v>
      </c>
      <c r="E2121" s="114" t="s">
        <v>220</v>
      </c>
      <c r="F2121" s="114" t="s">
        <v>2565</v>
      </c>
      <c r="G2121" s="114" t="s">
        <v>1493</v>
      </c>
      <c r="H2121" s="114" t="s">
        <v>1505</v>
      </c>
      <c r="I2121" s="114"/>
      <c r="J2121" s="114" t="b">
        <v>0</v>
      </c>
      <c r="K2121" s="114"/>
      <c r="L2121" s="114"/>
      <c r="M2121" s="114"/>
      <c r="N2121" s="114"/>
      <c r="O2121" s="114"/>
      <c r="P2121" s="114" t="s">
        <v>1494</v>
      </c>
      <c r="Q2121" s="114" t="s">
        <v>1228</v>
      </c>
    </row>
    <row r="2122" spans="2:17" hidden="1" outlineLevel="2">
      <c r="B2122" s="2" t="s">
        <v>876</v>
      </c>
      <c r="D2122" s="270">
        <v>3516</v>
      </c>
      <c r="E2122" s="112" t="s">
        <v>220</v>
      </c>
      <c r="F2122" s="112" t="s">
        <v>2566</v>
      </c>
      <c r="G2122" s="112" t="s">
        <v>1512</v>
      </c>
      <c r="H2122" s="112" t="s">
        <v>1505</v>
      </c>
      <c r="I2122" s="112"/>
      <c r="J2122" s="112" t="b">
        <v>0</v>
      </c>
      <c r="K2122" s="112"/>
      <c r="L2122" s="112"/>
      <c r="M2122" s="112"/>
      <c r="N2122" s="112"/>
      <c r="O2122" s="112"/>
      <c r="P2122" s="112" t="s">
        <v>1494</v>
      </c>
      <c r="Q2122" s="112" t="s">
        <v>1228</v>
      </c>
    </row>
    <row r="2123" spans="2:17" hidden="1" outlineLevel="2">
      <c r="B2123" s="2" t="s">
        <v>876</v>
      </c>
      <c r="D2123" s="268">
        <v>3517</v>
      </c>
      <c r="E2123" s="114" t="s">
        <v>220</v>
      </c>
      <c r="F2123" s="114" t="s">
        <v>2567</v>
      </c>
      <c r="G2123" s="114" t="s">
        <v>1512</v>
      </c>
      <c r="H2123" s="114" t="s">
        <v>1505</v>
      </c>
      <c r="I2123" s="114"/>
      <c r="J2123" s="114" t="b">
        <v>0</v>
      </c>
      <c r="K2123" s="114"/>
      <c r="L2123" s="114"/>
      <c r="M2123" s="114"/>
      <c r="N2123" s="114"/>
      <c r="O2123" s="114"/>
      <c r="P2123" s="114" t="s">
        <v>1494</v>
      </c>
      <c r="Q2123" s="114" t="s">
        <v>1228</v>
      </c>
    </row>
    <row r="2124" spans="2:17" hidden="1" outlineLevel="2">
      <c r="B2124" s="2" t="s">
        <v>876</v>
      </c>
      <c r="D2124" s="270">
        <v>3518</v>
      </c>
      <c r="E2124" s="112" t="s">
        <v>220</v>
      </c>
      <c r="F2124" s="112" t="s">
        <v>2568</v>
      </c>
      <c r="G2124" s="221" t="s">
        <v>1512</v>
      </c>
      <c r="H2124" s="112" t="s">
        <v>1505</v>
      </c>
      <c r="I2124" s="112"/>
      <c r="J2124" s="112" t="b">
        <v>0</v>
      </c>
      <c r="K2124" s="112"/>
      <c r="L2124" s="112"/>
      <c r="M2124" s="112"/>
      <c r="N2124" s="112"/>
      <c r="O2124" s="112"/>
      <c r="P2124" s="112" t="s">
        <v>1494</v>
      </c>
      <c r="Q2124" s="112" t="s">
        <v>1228</v>
      </c>
    </row>
    <row r="2125" spans="2:17" hidden="1" outlineLevel="2">
      <c r="B2125" s="2" t="s">
        <v>876</v>
      </c>
      <c r="D2125" s="268">
        <v>3520</v>
      </c>
      <c r="E2125" s="114" t="s">
        <v>220</v>
      </c>
      <c r="F2125" s="114" t="s">
        <v>2569</v>
      </c>
      <c r="G2125" s="114" t="s">
        <v>1512</v>
      </c>
      <c r="H2125" s="114" t="s">
        <v>1505</v>
      </c>
      <c r="I2125" s="114"/>
      <c r="J2125" s="114" t="b">
        <v>0</v>
      </c>
      <c r="K2125" s="114"/>
      <c r="L2125" s="114"/>
      <c r="M2125" s="114"/>
      <c r="N2125" s="114"/>
      <c r="O2125" s="114"/>
      <c r="P2125" s="114" t="s">
        <v>1494</v>
      </c>
      <c r="Q2125" s="114" t="s">
        <v>1228</v>
      </c>
    </row>
    <row r="2126" spans="2:17" hidden="1" outlineLevel="2">
      <c r="B2126" s="2" t="s">
        <v>876</v>
      </c>
      <c r="D2126" s="270">
        <v>3521</v>
      </c>
      <c r="E2126" s="112" t="s">
        <v>220</v>
      </c>
      <c r="F2126" s="112" t="s">
        <v>2570</v>
      </c>
      <c r="G2126" s="112" t="s">
        <v>1512</v>
      </c>
      <c r="H2126" s="112" t="s">
        <v>1505</v>
      </c>
      <c r="I2126" s="112"/>
      <c r="J2126" s="112" t="b">
        <v>0</v>
      </c>
      <c r="K2126" s="112"/>
      <c r="L2126" s="112"/>
      <c r="M2126" s="112"/>
      <c r="N2126" s="112"/>
      <c r="O2126" s="112"/>
      <c r="P2126" s="112" t="s">
        <v>1494</v>
      </c>
      <c r="Q2126" s="112" t="s">
        <v>1228</v>
      </c>
    </row>
    <row r="2127" spans="2:17" hidden="1" outlineLevel="2">
      <c r="B2127" s="2" t="s">
        <v>876</v>
      </c>
      <c r="D2127" s="268">
        <v>3522</v>
      </c>
      <c r="E2127" s="114" t="s">
        <v>220</v>
      </c>
      <c r="F2127" s="114" t="s">
        <v>2571</v>
      </c>
      <c r="G2127" s="114" t="s">
        <v>1512</v>
      </c>
      <c r="H2127" s="114" t="s">
        <v>1505</v>
      </c>
      <c r="I2127" s="114"/>
      <c r="J2127" s="114" t="b">
        <v>0</v>
      </c>
      <c r="K2127" s="114"/>
      <c r="L2127" s="114"/>
      <c r="M2127" s="114"/>
      <c r="N2127" s="114"/>
      <c r="O2127" s="114"/>
      <c r="P2127" s="114" t="s">
        <v>1494</v>
      </c>
      <c r="Q2127" s="114" t="s">
        <v>1228</v>
      </c>
    </row>
    <row r="2128" spans="2:17" hidden="1" outlineLevel="2">
      <c r="B2128" s="2" t="s">
        <v>876</v>
      </c>
      <c r="D2128" s="270">
        <v>3523</v>
      </c>
      <c r="E2128" s="112" t="s">
        <v>220</v>
      </c>
      <c r="F2128" s="112" t="s">
        <v>2572</v>
      </c>
      <c r="G2128" s="112" t="s">
        <v>1493</v>
      </c>
      <c r="H2128" s="112" t="s">
        <v>1505</v>
      </c>
      <c r="I2128" s="112"/>
      <c r="J2128" s="112" t="b">
        <v>0</v>
      </c>
      <c r="K2128" s="112"/>
      <c r="L2128" s="112"/>
      <c r="M2128" s="112"/>
      <c r="N2128" s="112"/>
      <c r="O2128" s="112"/>
      <c r="P2128" s="112" t="s">
        <v>1494</v>
      </c>
      <c r="Q2128" s="112" t="s">
        <v>1228</v>
      </c>
    </row>
    <row r="2129" spans="2:18" hidden="1" outlineLevel="2">
      <c r="B2129" s="2" t="s">
        <v>876</v>
      </c>
      <c r="D2129" s="268">
        <v>3525</v>
      </c>
      <c r="E2129" s="114" t="s">
        <v>220</v>
      </c>
      <c r="F2129" s="114" t="s">
        <v>2573</v>
      </c>
      <c r="G2129" s="114" t="s">
        <v>1512</v>
      </c>
      <c r="H2129" s="114" t="s">
        <v>1505</v>
      </c>
      <c r="I2129" s="114"/>
      <c r="J2129" s="114" t="b">
        <v>0</v>
      </c>
      <c r="K2129" s="114"/>
      <c r="L2129" s="114"/>
      <c r="M2129" s="114"/>
      <c r="N2129" s="114"/>
      <c r="O2129" s="114"/>
      <c r="P2129" s="114" t="s">
        <v>1494</v>
      </c>
      <c r="Q2129" s="114" t="s">
        <v>1228</v>
      </c>
    </row>
    <row r="2130" spans="2:18" hidden="1" outlineLevel="2">
      <c r="B2130" s="2" t="s">
        <v>876</v>
      </c>
      <c r="D2130" s="270">
        <v>3527</v>
      </c>
      <c r="E2130" s="112" t="s">
        <v>220</v>
      </c>
      <c r="F2130" s="112" t="s">
        <v>2574</v>
      </c>
      <c r="G2130" s="112" t="s">
        <v>1512</v>
      </c>
      <c r="H2130" s="112" t="s">
        <v>1505</v>
      </c>
      <c r="I2130" s="112"/>
      <c r="J2130" s="112" t="b">
        <v>0</v>
      </c>
      <c r="K2130" s="112"/>
      <c r="L2130" s="112"/>
      <c r="M2130" s="112"/>
      <c r="N2130" s="112"/>
      <c r="O2130" s="112"/>
      <c r="P2130" s="112" t="s">
        <v>1494</v>
      </c>
      <c r="Q2130" s="112" t="s">
        <v>1228</v>
      </c>
    </row>
    <row r="2131" spans="2:18" hidden="1" outlineLevel="2">
      <c r="B2131" s="2" t="s">
        <v>876</v>
      </c>
      <c r="D2131" s="268">
        <v>3529</v>
      </c>
      <c r="E2131" s="114" t="s">
        <v>220</v>
      </c>
      <c r="F2131" s="114" t="s">
        <v>2575</v>
      </c>
      <c r="G2131" s="114" t="s">
        <v>1512</v>
      </c>
      <c r="H2131" s="114" t="s">
        <v>1505</v>
      </c>
      <c r="I2131" s="114"/>
      <c r="J2131" s="114" t="b">
        <v>0</v>
      </c>
      <c r="K2131" s="114"/>
      <c r="L2131" s="114"/>
      <c r="M2131" s="114"/>
      <c r="N2131" s="114"/>
      <c r="O2131" s="114"/>
      <c r="P2131" s="114" t="s">
        <v>1494</v>
      </c>
      <c r="Q2131" s="114" t="s">
        <v>1228</v>
      </c>
    </row>
    <row r="2132" spans="2:18" hidden="1" outlineLevel="2">
      <c r="B2132" s="2" t="s">
        <v>876</v>
      </c>
      <c r="D2132" s="270">
        <v>3530</v>
      </c>
      <c r="E2132" s="112" t="s">
        <v>220</v>
      </c>
      <c r="F2132" s="112" t="s">
        <v>2576</v>
      </c>
      <c r="G2132" s="112" t="s">
        <v>1512</v>
      </c>
      <c r="H2132" s="112" t="s">
        <v>1505</v>
      </c>
      <c r="I2132" s="112"/>
      <c r="J2132" s="112" t="b">
        <v>0</v>
      </c>
      <c r="K2132" s="112"/>
      <c r="L2132" s="112" t="b">
        <v>1</v>
      </c>
      <c r="M2132" s="112"/>
      <c r="N2132" s="112"/>
      <c r="O2132" s="112"/>
      <c r="P2132" s="112" t="s">
        <v>1494</v>
      </c>
      <c r="Q2132" s="112" t="s">
        <v>1228</v>
      </c>
    </row>
    <row r="2133" spans="2:18" hidden="1" outlineLevel="2">
      <c r="B2133" s="2" t="s">
        <v>876</v>
      </c>
      <c r="D2133" s="268">
        <v>3531</v>
      </c>
      <c r="E2133" s="114" t="s">
        <v>220</v>
      </c>
      <c r="F2133" s="114" t="s">
        <v>2577</v>
      </c>
      <c r="G2133" s="114" t="s">
        <v>1512</v>
      </c>
      <c r="H2133" s="114" t="s">
        <v>1505</v>
      </c>
      <c r="I2133" s="114"/>
      <c r="J2133" s="114" t="b">
        <v>0</v>
      </c>
      <c r="K2133" s="114"/>
      <c r="L2133" s="114" t="b">
        <v>1</v>
      </c>
      <c r="M2133" s="114"/>
      <c r="N2133" s="114"/>
      <c r="O2133" s="114"/>
      <c r="P2133" s="114" t="s">
        <v>1494</v>
      </c>
      <c r="Q2133" s="114" t="s">
        <v>1228</v>
      </c>
    </row>
    <row r="2134" spans="2:18" hidden="1" outlineLevel="2">
      <c r="B2134" s="2" t="s">
        <v>876</v>
      </c>
      <c r="D2134" s="270">
        <v>3533</v>
      </c>
      <c r="E2134" s="112" t="s">
        <v>220</v>
      </c>
      <c r="F2134" s="112" t="s">
        <v>2578</v>
      </c>
      <c r="G2134" s="112" t="s">
        <v>1512</v>
      </c>
      <c r="H2134" s="112" t="s">
        <v>1505</v>
      </c>
      <c r="I2134" s="112"/>
      <c r="J2134" s="112" t="b">
        <v>0</v>
      </c>
      <c r="K2134" s="112"/>
      <c r="L2134" s="112" t="b">
        <v>1</v>
      </c>
      <c r="M2134" s="112"/>
      <c r="N2134" s="112"/>
      <c r="O2134" s="112"/>
      <c r="P2134" s="112" t="s">
        <v>1494</v>
      </c>
      <c r="Q2134" s="112" t="s">
        <v>1228</v>
      </c>
    </row>
    <row r="2135" spans="2:18" hidden="1" outlineLevel="2">
      <c r="B2135" s="2" t="s">
        <v>876</v>
      </c>
      <c r="D2135" s="268">
        <v>3537</v>
      </c>
      <c r="E2135" s="114" t="s">
        <v>220</v>
      </c>
      <c r="F2135" s="114" t="s">
        <v>2579</v>
      </c>
      <c r="G2135" s="114" t="s">
        <v>1512</v>
      </c>
      <c r="H2135" s="114" t="s">
        <v>1505</v>
      </c>
      <c r="I2135" s="114"/>
      <c r="J2135" s="114" t="b">
        <v>0</v>
      </c>
      <c r="K2135" s="114"/>
      <c r="L2135" s="114" t="b">
        <v>1</v>
      </c>
      <c r="M2135" s="114"/>
      <c r="N2135" s="114"/>
      <c r="O2135" s="114"/>
      <c r="P2135" s="114" t="s">
        <v>1494</v>
      </c>
      <c r="Q2135" s="114" t="s">
        <v>1228</v>
      </c>
    </row>
    <row r="2136" spans="2:18" hidden="1" outlineLevel="2">
      <c r="B2136" s="2" t="s">
        <v>876</v>
      </c>
      <c r="D2136" s="270">
        <v>3540</v>
      </c>
      <c r="E2136" s="112" t="s">
        <v>220</v>
      </c>
      <c r="F2136" s="112" t="s">
        <v>2580</v>
      </c>
      <c r="G2136" s="112" t="s">
        <v>1512</v>
      </c>
      <c r="H2136" s="112" t="s">
        <v>1505</v>
      </c>
      <c r="I2136" s="112"/>
      <c r="J2136" s="112" t="b">
        <v>0</v>
      </c>
      <c r="K2136" s="112"/>
      <c r="L2136" s="112" t="b">
        <v>1</v>
      </c>
      <c r="M2136" s="112"/>
      <c r="N2136" s="112"/>
      <c r="O2136" s="112"/>
      <c r="P2136" s="112" t="s">
        <v>1494</v>
      </c>
      <c r="Q2136" s="112" t="s">
        <v>1228</v>
      </c>
      <c r="R2136" s="274"/>
    </row>
    <row r="2137" spans="2:18" hidden="1" outlineLevel="2">
      <c r="B2137" s="2" t="s">
        <v>876</v>
      </c>
      <c r="D2137" s="268">
        <v>3541</v>
      </c>
      <c r="E2137" s="114" t="s">
        <v>220</v>
      </c>
      <c r="F2137" s="114" t="s">
        <v>2581</v>
      </c>
      <c r="G2137" s="114" t="s">
        <v>1493</v>
      </c>
      <c r="H2137" s="114" t="s">
        <v>1505</v>
      </c>
      <c r="I2137" s="114"/>
      <c r="J2137" s="114" t="b">
        <v>0</v>
      </c>
      <c r="K2137" s="114"/>
      <c r="L2137" s="114" t="b">
        <v>1</v>
      </c>
      <c r="M2137" s="114"/>
      <c r="N2137" s="114"/>
      <c r="O2137" s="114"/>
      <c r="P2137" s="114" t="s">
        <v>1494</v>
      </c>
      <c r="Q2137" s="114" t="s">
        <v>1228</v>
      </c>
    </row>
    <row r="2138" spans="2:18" hidden="1" outlineLevel="2">
      <c r="B2138" s="2" t="s">
        <v>876</v>
      </c>
      <c r="D2138" s="270">
        <v>3542</v>
      </c>
      <c r="E2138" s="112" t="s">
        <v>220</v>
      </c>
      <c r="F2138" s="112" t="s">
        <v>2582</v>
      </c>
      <c r="G2138" s="112" t="s">
        <v>1512</v>
      </c>
      <c r="H2138" s="112" t="s">
        <v>1505</v>
      </c>
      <c r="I2138" s="112"/>
      <c r="J2138" s="112" t="b">
        <v>0</v>
      </c>
      <c r="K2138" s="112"/>
      <c r="L2138" s="112"/>
      <c r="M2138" s="112"/>
      <c r="N2138" s="112"/>
      <c r="O2138" s="112"/>
      <c r="P2138" s="112" t="s">
        <v>1494</v>
      </c>
      <c r="Q2138" s="112" t="s">
        <v>1228</v>
      </c>
    </row>
    <row r="2139" spans="2:18" hidden="1" outlineLevel="2">
      <c r="B2139" s="2" t="s">
        <v>876</v>
      </c>
      <c r="D2139" s="268">
        <v>3544</v>
      </c>
      <c r="E2139" s="114" t="s">
        <v>220</v>
      </c>
      <c r="F2139" s="114" t="s">
        <v>2583</v>
      </c>
      <c r="G2139" s="114" t="s">
        <v>1512</v>
      </c>
      <c r="H2139" s="114" t="s">
        <v>1505</v>
      </c>
      <c r="I2139" s="114"/>
      <c r="J2139" s="114" t="b">
        <v>0</v>
      </c>
      <c r="K2139" s="114"/>
      <c r="L2139" s="114"/>
      <c r="M2139" s="114"/>
      <c r="N2139" s="114"/>
      <c r="O2139" s="114"/>
      <c r="P2139" s="114" t="s">
        <v>1494</v>
      </c>
      <c r="Q2139" s="114" t="s">
        <v>1228</v>
      </c>
    </row>
    <row r="2140" spans="2:18" hidden="1" outlineLevel="2">
      <c r="B2140" s="2" t="s">
        <v>876</v>
      </c>
      <c r="D2140" s="270">
        <v>3546</v>
      </c>
      <c r="E2140" s="112" t="s">
        <v>220</v>
      </c>
      <c r="F2140" s="112" t="s">
        <v>2584</v>
      </c>
      <c r="G2140" s="112" t="s">
        <v>1512</v>
      </c>
      <c r="H2140" s="112" t="s">
        <v>1505</v>
      </c>
      <c r="I2140" s="112"/>
      <c r="J2140" s="112" t="b">
        <v>0</v>
      </c>
      <c r="K2140" s="112"/>
      <c r="L2140" s="112" t="b">
        <v>1</v>
      </c>
      <c r="M2140" s="112"/>
      <c r="N2140" s="112"/>
      <c r="O2140" s="112"/>
      <c r="P2140" s="112" t="s">
        <v>1494</v>
      </c>
      <c r="Q2140" s="112" t="s">
        <v>1228</v>
      </c>
    </row>
    <row r="2141" spans="2:18" hidden="1" outlineLevel="2">
      <c r="B2141" s="2" t="s">
        <v>876</v>
      </c>
      <c r="D2141" s="268">
        <v>3549</v>
      </c>
      <c r="E2141" s="114" t="s">
        <v>220</v>
      </c>
      <c r="F2141" s="114" t="s">
        <v>2585</v>
      </c>
      <c r="G2141" s="221" t="s">
        <v>1493</v>
      </c>
      <c r="H2141" s="114" t="s">
        <v>1512</v>
      </c>
      <c r="I2141" s="114"/>
      <c r="J2141" s="114" t="b">
        <v>0</v>
      </c>
      <c r="K2141" s="114"/>
      <c r="L2141" s="114"/>
      <c r="M2141" s="114"/>
      <c r="N2141" s="114"/>
      <c r="O2141" s="114"/>
      <c r="P2141" s="114" t="s">
        <v>1494</v>
      </c>
      <c r="Q2141" s="114" t="s">
        <v>1228</v>
      </c>
    </row>
    <row r="2142" spans="2:18" hidden="1" outlineLevel="2">
      <c r="B2142" s="2" t="s">
        <v>876</v>
      </c>
      <c r="D2142" s="270">
        <v>3550</v>
      </c>
      <c r="E2142" s="112" t="s">
        <v>220</v>
      </c>
      <c r="F2142" s="112" t="s">
        <v>2586</v>
      </c>
      <c r="G2142" s="112" t="s">
        <v>1483</v>
      </c>
      <c r="H2142" s="112" t="s">
        <v>1494</v>
      </c>
      <c r="I2142" s="112"/>
      <c r="J2142" s="112" t="b">
        <v>0</v>
      </c>
      <c r="K2142" s="112"/>
      <c r="L2142" s="112"/>
      <c r="M2142" s="112"/>
      <c r="N2142" s="112"/>
      <c r="O2142" s="112"/>
      <c r="P2142" s="112" t="s">
        <v>1494</v>
      </c>
      <c r="Q2142" s="112" t="s">
        <v>1228</v>
      </c>
    </row>
    <row r="2143" spans="2:18" hidden="1" outlineLevel="2">
      <c r="B2143" s="2" t="s">
        <v>876</v>
      </c>
      <c r="D2143" s="268">
        <v>3551</v>
      </c>
      <c r="E2143" s="114" t="s">
        <v>220</v>
      </c>
      <c r="F2143" s="114" t="s">
        <v>2587</v>
      </c>
      <c r="G2143" s="114" t="s">
        <v>1483</v>
      </c>
      <c r="H2143" s="114" t="s">
        <v>1494</v>
      </c>
      <c r="I2143" s="114"/>
      <c r="J2143" s="114" t="b">
        <v>0</v>
      </c>
      <c r="K2143" s="114"/>
      <c r="L2143" s="114"/>
      <c r="M2143" s="114"/>
      <c r="N2143" s="114"/>
      <c r="O2143" s="114"/>
      <c r="P2143" s="114" t="s">
        <v>1494</v>
      </c>
      <c r="Q2143" s="114" t="s">
        <v>1228</v>
      </c>
    </row>
    <row r="2144" spans="2:18" hidden="1" outlineLevel="2">
      <c r="B2144" s="2" t="s">
        <v>876</v>
      </c>
      <c r="D2144" s="270">
        <v>3555</v>
      </c>
      <c r="E2144" s="112" t="s">
        <v>220</v>
      </c>
      <c r="F2144" s="112" t="s">
        <v>1974</v>
      </c>
      <c r="G2144" s="112" t="s">
        <v>1483</v>
      </c>
      <c r="H2144" s="112" t="s">
        <v>1494</v>
      </c>
      <c r="I2144" s="112"/>
      <c r="J2144" s="112" t="b">
        <v>0</v>
      </c>
      <c r="K2144" s="112"/>
      <c r="L2144" s="112"/>
      <c r="M2144" s="112"/>
      <c r="N2144" s="112"/>
      <c r="O2144" s="112"/>
      <c r="P2144" s="112" t="s">
        <v>1494</v>
      </c>
      <c r="Q2144" s="112" t="s">
        <v>1228</v>
      </c>
    </row>
    <row r="2145" spans="2:17" hidden="1" outlineLevel="2">
      <c r="B2145" s="2" t="s">
        <v>876</v>
      </c>
      <c r="D2145" s="268">
        <v>3556</v>
      </c>
      <c r="E2145" s="114" t="s">
        <v>220</v>
      </c>
      <c r="F2145" s="114" t="s">
        <v>2588</v>
      </c>
      <c r="G2145" s="114" t="s">
        <v>1493</v>
      </c>
      <c r="H2145" s="114" t="s">
        <v>1494</v>
      </c>
      <c r="I2145" s="114"/>
      <c r="J2145" s="114" t="b">
        <v>0</v>
      </c>
      <c r="K2145" s="114"/>
      <c r="L2145" s="114"/>
      <c r="M2145" s="114"/>
      <c r="N2145" s="114"/>
      <c r="O2145" s="114"/>
      <c r="P2145" s="114" t="s">
        <v>1494</v>
      </c>
      <c r="Q2145" s="114" t="s">
        <v>1228</v>
      </c>
    </row>
    <row r="2146" spans="2:17" hidden="1" outlineLevel="2">
      <c r="B2146" s="2" t="s">
        <v>876</v>
      </c>
      <c r="D2146" s="270">
        <v>3557</v>
      </c>
      <c r="E2146" s="112" t="s">
        <v>220</v>
      </c>
      <c r="F2146" s="112" t="s">
        <v>2589</v>
      </c>
      <c r="G2146" s="112" t="s">
        <v>1512</v>
      </c>
      <c r="H2146" s="112" t="s">
        <v>1505</v>
      </c>
      <c r="I2146" s="112"/>
      <c r="J2146" s="112" t="b">
        <v>0</v>
      </c>
      <c r="K2146" s="112"/>
      <c r="L2146" s="112"/>
      <c r="M2146" s="112"/>
      <c r="N2146" s="112"/>
      <c r="O2146" s="112"/>
      <c r="P2146" s="112" t="s">
        <v>1494</v>
      </c>
      <c r="Q2146" s="112" t="s">
        <v>1228</v>
      </c>
    </row>
    <row r="2147" spans="2:17" hidden="1" outlineLevel="2">
      <c r="B2147" s="2" t="s">
        <v>876</v>
      </c>
      <c r="D2147" s="268">
        <v>3558</v>
      </c>
      <c r="E2147" s="114" t="s">
        <v>220</v>
      </c>
      <c r="F2147" s="114" t="s">
        <v>2590</v>
      </c>
      <c r="G2147" s="114" t="s">
        <v>1512</v>
      </c>
      <c r="H2147" s="114" t="s">
        <v>1505</v>
      </c>
      <c r="I2147" s="114"/>
      <c r="J2147" s="114" t="b">
        <v>0</v>
      </c>
      <c r="K2147" s="114"/>
      <c r="L2147" s="114" t="b">
        <v>1</v>
      </c>
      <c r="M2147" s="114"/>
      <c r="N2147" s="114"/>
      <c r="O2147" s="114"/>
      <c r="P2147" s="114" t="s">
        <v>1494</v>
      </c>
      <c r="Q2147" s="114" t="s">
        <v>1228</v>
      </c>
    </row>
    <row r="2148" spans="2:17" hidden="1" outlineLevel="2">
      <c r="B2148" s="2" t="s">
        <v>876</v>
      </c>
      <c r="D2148" s="270">
        <v>3559</v>
      </c>
      <c r="E2148" s="112" t="s">
        <v>220</v>
      </c>
      <c r="F2148" s="112" t="s">
        <v>2591</v>
      </c>
      <c r="G2148" s="112" t="s">
        <v>1512</v>
      </c>
      <c r="H2148" s="112" t="s">
        <v>1505</v>
      </c>
      <c r="I2148" s="112"/>
      <c r="J2148" s="112" t="b">
        <v>0</v>
      </c>
      <c r="K2148" s="112"/>
      <c r="L2148" s="112"/>
      <c r="M2148" s="112"/>
      <c r="N2148" s="112"/>
      <c r="O2148" s="112"/>
      <c r="P2148" s="112" t="s">
        <v>1494</v>
      </c>
      <c r="Q2148" s="112" t="s">
        <v>1228</v>
      </c>
    </row>
    <row r="2149" spans="2:17" hidden="1" outlineLevel="2">
      <c r="B2149" s="2" t="s">
        <v>876</v>
      </c>
      <c r="D2149" s="268">
        <v>3561</v>
      </c>
      <c r="E2149" s="114" t="s">
        <v>220</v>
      </c>
      <c r="F2149" s="114" t="s">
        <v>2592</v>
      </c>
      <c r="G2149" s="114" t="s">
        <v>1493</v>
      </c>
      <c r="H2149" s="114" t="s">
        <v>1505</v>
      </c>
      <c r="I2149" s="114"/>
      <c r="J2149" s="114" t="b">
        <v>0</v>
      </c>
      <c r="K2149" s="114"/>
      <c r="L2149" s="114"/>
      <c r="M2149" s="114"/>
      <c r="N2149" s="114"/>
      <c r="O2149" s="114"/>
      <c r="P2149" s="114" t="s">
        <v>1494</v>
      </c>
      <c r="Q2149" s="114" t="s">
        <v>1228</v>
      </c>
    </row>
    <row r="2150" spans="2:17" hidden="1" outlineLevel="2">
      <c r="B2150" s="2" t="s">
        <v>876</v>
      </c>
      <c r="D2150" s="270">
        <v>3562</v>
      </c>
      <c r="E2150" s="112" t="s">
        <v>220</v>
      </c>
      <c r="F2150" s="112" t="s">
        <v>2593</v>
      </c>
      <c r="G2150" s="112" t="s">
        <v>1512</v>
      </c>
      <c r="H2150" s="112" t="s">
        <v>1505</v>
      </c>
      <c r="I2150" s="112"/>
      <c r="J2150" s="112" t="b">
        <v>0</v>
      </c>
      <c r="K2150" s="112"/>
      <c r="L2150" s="112"/>
      <c r="M2150" s="112"/>
      <c r="N2150" s="112"/>
      <c r="O2150" s="112"/>
      <c r="P2150" s="112" t="s">
        <v>1494</v>
      </c>
      <c r="Q2150" s="112" t="s">
        <v>1228</v>
      </c>
    </row>
    <row r="2151" spans="2:17" hidden="1" outlineLevel="2">
      <c r="B2151" s="2" t="s">
        <v>876</v>
      </c>
      <c r="D2151" s="268">
        <v>3563</v>
      </c>
      <c r="E2151" s="114" t="s">
        <v>220</v>
      </c>
      <c r="F2151" s="114" t="s">
        <v>2594</v>
      </c>
      <c r="G2151" s="114" t="s">
        <v>1512</v>
      </c>
      <c r="H2151" s="114" t="s">
        <v>1505</v>
      </c>
      <c r="I2151" s="114"/>
      <c r="J2151" s="114" t="b">
        <v>0</v>
      </c>
      <c r="K2151" s="114"/>
      <c r="L2151" s="114"/>
      <c r="M2151" s="114"/>
      <c r="N2151" s="114"/>
      <c r="O2151" s="114"/>
      <c r="P2151" s="114" t="s">
        <v>1494</v>
      </c>
      <c r="Q2151" s="114" t="s">
        <v>1228</v>
      </c>
    </row>
    <row r="2152" spans="2:17" hidden="1" outlineLevel="2">
      <c r="B2152" s="2" t="s">
        <v>876</v>
      </c>
      <c r="D2152" s="270">
        <v>3564</v>
      </c>
      <c r="E2152" s="112" t="s">
        <v>220</v>
      </c>
      <c r="F2152" s="112" t="s">
        <v>2595</v>
      </c>
      <c r="G2152" s="112" t="s">
        <v>1483</v>
      </c>
      <c r="H2152" s="112" t="s">
        <v>1494</v>
      </c>
      <c r="I2152" s="112"/>
      <c r="J2152" s="112" t="b">
        <v>0</v>
      </c>
      <c r="K2152" s="112"/>
      <c r="L2152" s="112"/>
      <c r="M2152" s="112"/>
      <c r="N2152" s="112"/>
      <c r="O2152" s="112"/>
      <c r="P2152" s="112" t="s">
        <v>1494</v>
      </c>
      <c r="Q2152" s="112" t="s">
        <v>1228</v>
      </c>
    </row>
    <row r="2153" spans="2:17" hidden="1" outlineLevel="2">
      <c r="B2153" s="2" t="s">
        <v>876</v>
      </c>
      <c r="D2153" s="268">
        <v>3565</v>
      </c>
      <c r="E2153" s="114" t="s">
        <v>220</v>
      </c>
      <c r="F2153" s="114" t="s">
        <v>2596</v>
      </c>
      <c r="G2153" s="114" t="s">
        <v>1512</v>
      </c>
      <c r="H2153" s="114" t="s">
        <v>1505</v>
      </c>
      <c r="I2153" s="114"/>
      <c r="J2153" s="114" t="b">
        <v>0</v>
      </c>
      <c r="K2153" s="114"/>
      <c r="L2153" s="114"/>
      <c r="M2153" s="114"/>
      <c r="N2153" s="114"/>
      <c r="O2153" s="114"/>
      <c r="P2153" s="114" t="s">
        <v>1494</v>
      </c>
      <c r="Q2153" s="114" t="s">
        <v>1228</v>
      </c>
    </row>
    <row r="2154" spans="2:17" hidden="1" outlineLevel="2">
      <c r="B2154" s="2" t="s">
        <v>876</v>
      </c>
      <c r="D2154" s="270">
        <v>3566</v>
      </c>
      <c r="E2154" s="112" t="s">
        <v>220</v>
      </c>
      <c r="F2154" s="112" t="s">
        <v>2597</v>
      </c>
      <c r="G2154" s="221" t="s">
        <v>1512</v>
      </c>
      <c r="H2154" s="112" t="s">
        <v>1505</v>
      </c>
      <c r="I2154" s="112"/>
      <c r="J2154" s="112" t="b">
        <v>0</v>
      </c>
      <c r="K2154" s="112"/>
      <c r="L2154" s="112"/>
      <c r="M2154" s="112"/>
      <c r="N2154" s="112"/>
      <c r="O2154" s="112"/>
      <c r="P2154" s="112" t="s">
        <v>1494</v>
      </c>
      <c r="Q2154" s="112" t="s">
        <v>1228</v>
      </c>
    </row>
    <row r="2155" spans="2:17" hidden="1" outlineLevel="2">
      <c r="B2155" s="2" t="s">
        <v>876</v>
      </c>
      <c r="D2155" s="268">
        <v>3567</v>
      </c>
      <c r="E2155" s="114" t="s">
        <v>220</v>
      </c>
      <c r="F2155" s="114" t="s">
        <v>2598</v>
      </c>
      <c r="G2155" s="114" t="s">
        <v>1512</v>
      </c>
      <c r="H2155" s="114" t="s">
        <v>1505</v>
      </c>
      <c r="I2155" s="114"/>
      <c r="J2155" s="114" t="b">
        <v>0</v>
      </c>
      <c r="K2155" s="114"/>
      <c r="L2155" s="114"/>
      <c r="M2155" s="114"/>
      <c r="N2155" s="114"/>
      <c r="O2155" s="114"/>
      <c r="P2155" s="114" t="s">
        <v>1494</v>
      </c>
      <c r="Q2155" s="114" t="s">
        <v>1228</v>
      </c>
    </row>
    <row r="2156" spans="2:17" hidden="1" outlineLevel="2">
      <c r="B2156" s="2" t="s">
        <v>876</v>
      </c>
      <c r="D2156" s="270">
        <v>3568</v>
      </c>
      <c r="E2156" s="112" t="s">
        <v>220</v>
      </c>
      <c r="F2156" s="112" t="s">
        <v>2599</v>
      </c>
      <c r="G2156" s="112" t="s">
        <v>1493</v>
      </c>
      <c r="H2156" s="112" t="s">
        <v>1505</v>
      </c>
      <c r="I2156" s="112"/>
      <c r="J2156" s="112" t="b">
        <v>0</v>
      </c>
      <c r="K2156" s="112"/>
      <c r="L2156" s="112"/>
      <c r="M2156" s="112"/>
      <c r="N2156" s="112"/>
      <c r="O2156" s="112"/>
      <c r="P2156" s="112" t="s">
        <v>1494</v>
      </c>
      <c r="Q2156" s="112" t="s">
        <v>1228</v>
      </c>
    </row>
    <row r="2157" spans="2:17" hidden="1" outlineLevel="2">
      <c r="B2157" s="2" t="s">
        <v>876</v>
      </c>
      <c r="D2157" s="268">
        <v>3570</v>
      </c>
      <c r="E2157" s="114" t="s">
        <v>220</v>
      </c>
      <c r="F2157" s="114" t="s">
        <v>2600</v>
      </c>
      <c r="G2157" s="114" t="s">
        <v>1512</v>
      </c>
      <c r="H2157" s="114" t="s">
        <v>1505</v>
      </c>
      <c r="I2157" s="114"/>
      <c r="J2157" s="114" t="b">
        <v>0</v>
      </c>
      <c r="K2157" s="114"/>
      <c r="L2157" s="114"/>
      <c r="M2157" s="114"/>
      <c r="N2157" s="114"/>
      <c r="O2157" s="114"/>
      <c r="P2157" s="114" t="s">
        <v>1494</v>
      </c>
      <c r="Q2157" s="114" t="s">
        <v>1228</v>
      </c>
    </row>
    <row r="2158" spans="2:17" hidden="1" outlineLevel="2">
      <c r="B2158" s="2" t="s">
        <v>876</v>
      </c>
      <c r="D2158" s="270">
        <v>3571</v>
      </c>
      <c r="E2158" s="112" t="s">
        <v>220</v>
      </c>
      <c r="F2158" s="112" t="s">
        <v>2601</v>
      </c>
      <c r="G2158" s="112" t="s">
        <v>1512</v>
      </c>
      <c r="H2158" s="112" t="s">
        <v>1505</v>
      </c>
      <c r="I2158" s="112"/>
      <c r="J2158" s="112" t="b">
        <v>0</v>
      </c>
      <c r="K2158" s="112"/>
      <c r="L2158" s="112"/>
      <c r="M2158" s="112"/>
      <c r="N2158" s="112"/>
      <c r="O2158" s="112"/>
      <c r="P2158" s="112" t="s">
        <v>1494</v>
      </c>
      <c r="Q2158" s="112" t="s">
        <v>1228</v>
      </c>
    </row>
    <row r="2159" spans="2:17" hidden="1" outlineLevel="2">
      <c r="B2159" s="2" t="s">
        <v>876</v>
      </c>
      <c r="D2159" s="268">
        <v>3572</v>
      </c>
      <c r="E2159" s="114" t="s">
        <v>220</v>
      </c>
      <c r="F2159" s="114" t="s">
        <v>2602</v>
      </c>
      <c r="G2159" s="114" t="s">
        <v>1512</v>
      </c>
      <c r="H2159" s="114" t="s">
        <v>1505</v>
      </c>
      <c r="I2159" s="114"/>
      <c r="J2159" s="114" t="b">
        <v>0</v>
      </c>
      <c r="K2159" s="114"/>
      <c r="L2159" s="114"/>
      <c r="M2159" s="114"/>
      <c r="N2159" s="114"/>
      <c r="O2159" s="114"/>
      <c r="P2159" s="114" t="s">
        <v>1494</v>
      </c>
      <c r="Q2159" s="114" t="s">
        <v>1228</v>
      </c>
    </row>
    <row r="2160" spans="2:17" hidden="1" outlineLevel="2">
      <c r="B2160" s="2" t="s">
        <v>876</v>
      </c>
      <c r="D2160" s="270">
        <v>3573</v>
      </c>
      <c r="E2160" s="112" t="s">
        <v>220</v>
      </c>
      <c r="F2160" s="112" t="s">
        <v>2603</v>
      </c>
      <c r="G2160" s="112" t="s">
        <v>1512</v>
      </c>
      <c r="H2160" s="112" t="s">
        <v>1505</v>
      </c>
      <c r="I2160" s="112"/>
      <c r="J2160" s="112" t="b">
        <v>0</v>
      </c>
      <c r="K2160" s="112"/>
      <c r="L2160" s="112" t="b">
        <v>1</v>
      </c>
      <c r="M2160" s="112"/>
      <c r="N2160" s="112"/>
      <c r="O2160" s="112"/>
      <c r="P2160" s="112" t="s">
        <v>1494</v>
      </c>
      <c r="Q2160" s="112" t="s">
        <v>1228</v>
      </c>
    </row>
    <row r="2161" spans="2:17" hidden="1" outlineLevel="2">
      <c r="B2161" s="2" t="s">
        <v>876</v>
      </c>
      <c r="D2161" s="268">
        <v>3575</v>
      </c>
      <c r="E2161" s="114" t="s">
        <v>220</v>
      </c>
      <c r="F2161" s="114" t="s">
        <v>2604</v>
      </c>
      <c r="G2161" s="114" t="s">
        <v>1512</v>
      </c>
      <c r="H2161" s="114" t="s">
        <v>1512</v>
      </c>
      <c r="I2161" s="114"/>
      <c r="J2161" s="114" t="b">
        <v>0</v>
      </c>
      <c r="K2161" s="114"/>
      <c r="L2161" s="114"/>
      <c r="M2161" s="114"/>
      <c r="N2161" s="114"/>
      <c r="O2161" s="114"/>
      <c r="P2161" s="114" t="s">
        <v>1494</v>
      </c>
      <c r="Q2161" s="114" t="s">
        <v>1228</v>
      </c>
    </row>
    <row r="2162" spans="2:17" hidden="1" outlineLevel="2">
      <c r="B2162" s="2" t="s">
        <v>876</v>
      </c>
      <c r="D2162" s="270">
        <v>3576</v>
      </c>
      <c r="E2162" s="112" t="s">
        <v>220</v>
      </c>
      <c r="F2162" s="112" t="s">
        <v>2605</v>
      </c>
      <c r="G2162" s="112" t="s">
        <v>1512</v>
      </c>
      <c r="H2162" s="112" t="s">
        <v>1505</v>
      </c>
      <c r="I2162" s="112"/>
      <c r="J2162" s="112" t="b">
        <v>0</v>
      </c>
      <c r="K2162" s="112"/>
      <c r="L2162" s="112"/>
      <c r="M2162" s="112"/>
      <c r="N2162" s="112"/>
      <c r="O2162" s="112"/>
      <c r="P2162" s="112" t="s">
        <v>1494</v>
      </c>
      <c r="Q2162" s="112" t="s">
        <v>1228</v>
      </c>
    </row>
    <row r="2163" spans="2:17" hidden="1" outlineLevel="2">
      <c r="B2163" s="2" t="s">
        <v>876</v>
      </c>
      <c r="D2163" s="268">
        <v>3579</v>
      </c>
      <c r="E2163" s="114" t="s">
        <v>220</v>
      </c>
      <c r="F2163" s="114" t="s">
        <v>2606</v>
      </c>
      <c r="G2163" s="221" t="s">
        <v>1493</v>
      </c>
      <c r="H2163" s="114" t="s">
        <v>1505</v>
      </c>
      <c r="I2163" s="114"/>
      <c r="J2163" s="114" t="b">
        <v>0</v>
      </c>
      <c r="K2163" s="114"/>
      <c r="L2163" s="114"/>
      <c r="M2163" s="114"/>
      <c r="N2163" s="114"/>
      <c r="O2163" s="114"/>
      <c r="P2163" s="114" t="s">
        <v>1494</v>
      </c>
      <c r="Q2163" s="114" t="s">
        <v>1228</v>
      </c>
    </row>
    <row r="2164" spans="2:17" hidden="1" outlineLevel="2">
      <c r="B2164" s="2" t="s">
        <v>876</v>
      </c>
      <c r="D2164" s="270">
        <v>3580</v>
      </c>
      <c r="E2164" s="112" t="s">
        <v>220</v>
      </c>
      <c r="F2164" s="112" t="s">
        <v>2607</v>
      </c>
      <c r="G2164" s="221" t="s">
        <v>1512</v>
      </c>
      <c r="H2164" s="112" t="s">
        <v>1505</v>
      </c>
      <c r="I2164" s="112"/>
      <c r="J2164" s="112" t="b">
        <v>0</v>
      </c>
      <c r="K2164" s="112"/>
      <c r="L2164" s="112"/>
      <c r="M2164" s="112"/>
      <c r="N2164" s="112"/>
      <c r="O2164" s="112"/>
      <c r="P2164" s="112" t="s">
        <v>1494</v>
      </c>
      <c r="Q2164" s="112" t="s">
        <v>1228</v>
      </c>
    </row>
    <row r="2165" spans="2:17" hidden="1" outlineLevel="2">
      <c r="B2165" s="2" t="s">
        <v>876</v>
      </c>
      <c r="D2165" s="268">
        <v>3581</v>
      </c>
      <c r="E2165" s="114" t="s">
        <v>220</v>
      </c>
      <c r="F2165" s="114" t="s">
        <v>2608</v>
      </c>
      <c r="G2165" s="114" t="s">
        <v>1512</v>
      </c>
      <c r="H2165" s="114" t="s">
        <v>1505</v>
      </c>
      <c r="I2165" s="114"/>
      <c r="J2165" s="114" t="b">
        <v>0</v>
      </c>
      <c r="K2165" s="114"/>
      <c r="L2165" s="114"/>
      <c r="M2165" s="114"/>
      <c r="N2165" s="114"/>
      <c r="O2165" s="114"/>
      <c r="P2165" s="114" t="s">
        <v>1494</v>
      </c>
      <c r="Q2165" s="114" t="s">
        <v>1228</v>
      </c>
    </row>
    <row r="2166" spans="2:17" hidden="1" outlineLevel="2">
      <c r="B2166" s="2" t="s">
        <v>876</v>
      </c>
      <c r="D2166" s="270">
        <v>3583</v>
      </c>
      <c r="E2166" s="112" t="s">
        <v>220</v>
      </c>
      <c r="F2166" s="112" t="s">
        <v>2609</v>
      </c>
      <c r="G2166" s="112" t="s">
        <v>1512</v>
      </c>
      <c r="H2166" s="112" t="s">
        <v>1505</v>
      </c>
      <c r="I2166" s="112"/>
      <c r="J2166" s="112" t="b">
        <v>0</v>
      </c>
      <c r="K2166" s="112"/>
      <c r="L2166" s="112" t="b">
        <v>1</v>
      </c>
      <c r="M2166" s="112"/>
      <c r="N2166" s="112"/>
      <c r="O2166" s="112"/>
      <c r="P2166" s="112" t="s">
        <v>1494</v>
      </c>
      <c r="Q2166" s="112" t="s">
        <v>1228</v>
      </c>
    </row>
    <row r="2167" spans="2:17" hidden="1" outlineLevel="2">
      <c r="B2167" s="2" t="s">
        <v>876</v>
      </c>
      <c r="D2167" s="268">
        <v>3584</v>
      </c>
      <c r="E2167" s="114" t="s">
        <v>220</v>
      </c>
      <c r="F2167" s="114" t="s">
        <v>2610</v>
      </c>
      <c r="G2167" s="221" t="s">
        <v>1512</v>
      </c>
      <c r="H2167" s="114" t="s">
        <v>1505</v>
      </c>
      <c r="I2167" s="114"/>
      <c r="J2167" s="114" t="b">
        <v>0</v>
      </c>
      <c r="K2167" s="114"/>
      <c r="L2167" s="114"/>
      <c r="M2167" s="114"/>
      <c r="N2167" s="114"/>
      <c r="O2167" s="114"/>
      <c r="P2167" s="114" t="s">
        <v>1494</v>
      </c>
      <c r="Q2167" s="114" t="s">
        <v>1228</v>
      </c>
    </row>
    <row r="2168" spans="2:17" hidden="1" outlineLevel="2">
      <c r="B2168" s="2" t="s">
        <v>876</v>
      </c>
      <c r="D2168" s="270">
        <v>3585</v>
      </c>
      <c r="E2168" s="112" t="s">
        <v>220</v>
      </c>
      <c r="F2168" s="112" t="s">
        <v>2611</v>
      </c>
      <c r="G2168" s="112" t="s">
        <v>1493</v>
      </c>
      <c r="H2168" s="112" t="s">
        <v>1494</v>
      </c>
      <c r="I2168" s="112"/>
      <c r="J2168" s="112" t="b">
        <v>0</v>
      </c>
      <c r="K2168" s="112"/>
      <c r="L2168" s="112"/>
      <c r="M2168" s="112"/>
      <c r="N2168" s="112"/>
      <c r="O2168" s="112"/>
      <c r="P2168" s="112" t="s">
        <v>1494</v>
      </c>
      <c r="Q2168" s="112" t="s">
        <v>1228</v>
      </c>
    </row>
    <row r="2169" spans="2:17" hidden="1" outlineLevel="2">
      <c r="B2169" s="2" t="s">
        <v>876</v>
      </c>
      <c r="D2169" s="268">
        <v>3586</v>
      </c>
      <c r="E2169" s="114" t="s">
        <v>220</v>
      </c>
      <c r="F2169" s="114" t="s">
        <v>2612</v>
      </c>
      <c r="G2169" s="114" t="s">
        <v>1512</v>
      </c>
      <c r="H2169" s="114" t="s">
        <v>1505</v>
      </c>
      <c r="I2169" s="114"/>
      <c r="J2169" s="114" t="b">
        <v>0</v>
      </c>
      <c r="K2169" s="114"/>
      <c r="L2169" s="114"/>
      <c r="M2169" s="114"/>
      <c r="N2169" s="114"/>
      <c r="O2169" s="114"/>
      <c r="P2169" s="114" t="s">
        <v>1494</v>
      </c>
      <c r="Q2169" s="114" t="s">
        <v>1228</v>
      </c>
    </row>
    <row r="2170" spans="2:17" hidden="1" outlineLevel="2">
      <c r="B2170" s="2" t="s">
        <v>876</v>
      </c>
      <c r="D2170" s="270">
        <v>3588</v>
      </c>
      <c r="E2170" s="112" t="s">
        <v>220</v>
      </c>
      <c r="F2170" s="112" t="s">
        <v>2613</v>
      </c>
      <c r="G2170" s="112" t="s">
        <v>1512</v>
      </c>
      <c r="H2170" s="112" t="s">
        <v>1512</v>
      </c>
      <c r="I2170" s="112"/>
      <c r="J2170" s="112" t="b">
        <v>0</v>
      </c>
      <c r="K2170" s="112"/>
      <c r="L2170" s="112"/>
      <c r="M2170" s="112"/>
      <c r="N2170" s="112"/>
      <c r="O2170" s="112"/>
      <c r="P2170" s="112" t="s">
        <v>1494</v>
      </c>
      <c r="Q2170" s="112" t="s">
        <v>1228</v>
      </c>
    </row>
    <row r="2171" spans="2:17" hidden="1" outlineLevel="2">
      <c r="B2171" s="2" t="s">
        <v>876</v>
      </c>
      <c r="D2171" s="268">
        <v>3589</v>
      </c>
      <c r="E2171" s="114" t="s">
        <v>220</v>
      </c>
      <c r="F2171" s="114" t="s">
        <v>2614</v>
      </c>
      <c r="G2171" s="114" t="s">
        <v>1512</v>
      </c>
      <c r="H2171" s="114" t="s">
        <v>1505</v>
      </c>
      <c r="I2171" s="114"/>
      <c r="J2171" s="114" t="b">
        <v>0</v>
      </c>
      <c r="K2171" s="114"/>
      <c r="L2171" s="114"/>
      <c r="M2171" s="114"/>
      <c r="N2171" s="114"/>
      <c r="O2171" s="114"/>
      <c r="P2171" s="114" t="s">
        <v>1494</v>
      </c>
      <c r="Q2171" s="114" t="s">
        <v>1228</v>
      </c>
    </row>
    <row r="2172" spans="2:17" hidden="1" outlineLevel="2">
      <c r="B2172" s="2" t="s">
        <v>876</v>
      </c>
      <c r="D2172" s="270">
        <v>3590</v>
      </c>
      <c r="E2172" s="112" t="s">
        <v>220</v>
      </c>
      <c r="F2172" s="112" t="s">
        <v>2615</v>
      </c>
      <c r="G2172" s="112" t="s">
        <v>1512</v>
      </c>
      <c r="H2172" s="112" t="s">
        <v>1505</v>
      </c>
      <c r="I2172" s="112"/>
      <c r="J2172" s="112" t="b">
        <v>0</v>
      </c>
      <c r="K2172" s="112"/>
      <c r="L2172" s="112"/>
      <c r="M2172" s="112"/>
      <c r="N2172" s="112"/>
      <c r="O2172" s="112"/>
      <c r="P2172" s="112" t="s">
        <v>1494</v>
      </c>
      <c r="Q2172" s="112" t="s">
        <v>1228</v>
      </c>
    </row>
    <row r="2173" spans="2:17" hidden="1" outlineLevel="2">
      <c r="B2173" s="2" t="s">
        <v>876</v>
      </c>
      <c r="D2173" s="268">
        <v>3591</v>
      </c>
      <c r="E2173" s="114" t="s">
        <v>220</v>
      </c>
      <c r="F2173" s="114" t="s">
        <v>2616</v>
      </c>
      <c r="G2173" s="114" t="s">
        <v>1512</v>
      </c>
      <c r="H2173" s="114" t="s">
        <v>1505</v>
      </c>
      <c r="I2173" s="114"/>
      <c r="J2173" s="114" t="b">
        <v>0</v>
      </c>
      <c r="K2173" s="114"/>
      <c r="L2173" s="114"/>
      <c r="M2173" s="114"/>
      <c r="N2173" s="114"/>
      <c r="O2173" s="114"/>
      <c r="P2173" s="114" t="s">
        <v>1494</v>
      </c>
      <c r="Q2173" s="114" t="s">
        <v>1228</v>
      </c>
    </row>
    <row r="2174" spans="2:17" hidden="1" outlineLevel="2">
      <c r="B2174" s="2" t="s">
        <v>876</v>
      </c>
      <c r="D2174" s="270">
        <v>3594</v>
      </c>
      <c r="E2174" s="112" t="s">
        <v>220</v>
      </c>
      <c r="F2174" s="112" t="s">
        <v>2617</v>
      </c>
      <c r="G2174" s="112" t="s">
        <v>1512</v>
      </c>
      <c r="H2174" s="112" t="s">
        <v>1505</v>
      </c>
      <c r="I2174" s="112"/>
      <c r="J2174" s="112" t="b">
        <v>0</v>
      </c>
      <c r="K2174" s="112"/>
      <c r="L2174" s="112" t="b">
        <v>1</v>
      </c>
      <c r="M2174" s="112"/>
      <c r="N2174" s="112"/>
      <c r="O2174" s="112"/>
      <c r="P2174" s="112" t="s">
        <v>1494</v>
      </c>
      <c r="Q2174" s="112" t="s">
        <v>1228</v>
      </c>
    </row>
    <row r="2175" spans="2:17" hidden="1" outlineLevel="2">
      <c r="B2175" s="2" t="s">
        <v>876</v>
      </c>
      <c r="D2175" s="268">
        <v>3595</v>
      </c>
      <c r="E2175" s="114" t="s">
        <v>220</v>
      </c>
      <c r="F2175" s="114" t="s">
        <v>2618</v>
      </c>
      <c r="G2175" s="114" t="s">
        <v>1512</v>
      </c>
      <c r="H2175" s="114" t="s">
        <v>1505</v>
      </c>
      <c r="I2175" s="114"/>
      <c r="J2175" s="114" t="b">
        <v>0</v>
      </c>
      <c r="K2175" s="114"/>
      <c r="L2175" s="114"/>
      <c r="M2175" s="114"/>
      <c r="N2175" s="114"/>
      <c r="O2175" s="114"/>
      <c r="P2175" s="114" t="s">
        <v>1494</v>
      </c>
      <c r="Q2175" s="114" t="s">
        <v>1228</v>
      </c>
    </row>
    <row r="2176" spans="2:17" hidden="1" outlineLevel="2">
      <c r="B2176" s="2" t="s">
        <v>876</v>
      </c>
      <c r="D2176" s="270">
        <v>3596</v>
      </c>
      <c r="E2176" s="112" t="s">
        <v>220</v>
      </c>
      <c r="F2176" s="112" t="s">
        <v>2619</v>
      </c>
      <c r="G2176" s="112" t="s">
        <v>1512</v>
      </c>
      <c r="H2176" s="112" t="s">
        <v>1505</v>
      </c>
      <c r="I2176" s="112"/>
      <c r="J2176" s="112" t="b">
        <v>0</v>
      </c>
      <c r="K2176" s="112"/>
      <c r="L2176" s="112" t="b">
        <v>1</v>
      </c>
      <c r="M2176" s="112"/>
      <c r="N2176" s="112"/>
      <c r="O2176" s="112"/>
      <c r="P2176" s="112" t="s">
        <v>1494</v>
      </c>
      <c r="Q2176" s="112" t="s">
        <v>1228</v>
      </c>
    </row>
    <row r="2177" spans="2:17" hidden="1" outlineLevel="2">
      <c r="B2177" s="2" t="s">
        <v>876</v>
      </c>
      <c r="D2177" s="268">
        <v>3597</v>
      </c>
      <c r="E2177" s="114" t="s">
        <v>220</v>
      </c>
      <c r="F2177" s="114" t="s">
        <v>2620</v>
      </c>
      <c r="G2177" s="114" t="s">
        <v>1512</v>
      </c>
      <c r="H2177" s="114" t="s">
        <v>1505</v>
      </c>
      <c r="I2177" s="114"/>
      <c r="J2177" s="114" t="b">
        <v>0</v>
      </c>
      <c r="K2177" s="114"/>
      <c r="L2177" s="114" t="b">
        <v>1</v>
      </c>
      <c r="M2177" s="114"/>
      <c r="N2177" s="114"/>
      <c r="O2177" s="114"/>
      <c r="P2177" s="114" t="s">
        <v>1494</v>
      </c>
      <c r="Q2177" s="114" t="s">
        <v>1228</v>
      </c>
    </row>
    <row r="2178" spans="2:17" hidden="1" outlineLevel="2">
      <c r="B2178" s="2" t="s">
        <v>876</v>
      </c>
      <c r="D2178" s="270">
        <v>3599</v>
      </c>
      <c r="E2178" s="112" t="s">
        <v>220</v>
      </c>
      <c r="F2178" s="112" t="s">
        <v>2621</v>
      </c>
      <c r="G2178" s="112" t="s">
        <v>1512</v>
      </c>
      <c r="H2178" s="112" t="s">
        <v>1505</v>
      </c>
      <c r="I2178" s="112"/>
      <c r="J2178" s="112" t="b">
        <v>0</v>
      </c>
      <c r="K2178" s="112"/>
      <c r="L2178" s="112" t="b">
        <v>1</v>
      </c>
      <c r="M2178" s="112"/>
      <c r="N2178" s="112"/>
      <c r="O2178" s="112"/>
      <c r="P2178" s="112" t="s">
        <v>1494</v>
      </c>
      <c r="Q2178" s="112" t="s">
        <v>1228</v>
      </c>
    </row>
    <row r="2179" spans="2:17" hidden="1" outlineLevel="2">
      <c r="B2179" s="2" t="s">
        <v>876</v>
      </c>
      <c r="D2179" s="268">
        <v>3607</v>
      </c>
      <c r="E2179" s="114" t="s">
        <v>220</v>
      </c>
      <c r="F2179" s="114" t="s">
        <v>2622</v>
      </c>
      <c r="G2179" s="114" t="s">
        <v>1512</v>
      </c>
      <c r="H2179" s="114" t="s">
        <v>1505</v>
      </c>
      <c r="I2179" s="114"/>
      <c r="J2179" s="114" t="b">
        <v>0</v>
      </c>
      <c r="K2179" s="114"/>
      <c r="L2179" s="114"/>
      <c r="M2179" s="114"/>
      <c r="N2179" s="114"/>
      <c r="O2179" s="114"/>
      <c r="P2179" s="114" t="s">
        <v>1494</v>
      </c>
      <c r="Q2179" s="114" t="s">
        <v>1228</v>
      </c>
    </row>
    <row r="2180" spans="2:17" hidden="1" outlineLevel="2">
      <c r="B2180" s="2" t="s">
        <v>876</v>
      </c>
      <c r="D2180" s="270">
        <v>3608</v>
      </c>
      <c r="E2180" s="112" t="s">
        <v>220</v>
      </c>
      <c r="F2180" s="112" t="s">
        <v>2623</v>
      </c>
      <c r="G2180" s="112" t="s">
        <v>1493</v>
      </c>
      <c r="H2180" s="112" t="s">
        <v>1505</v>
      </c>
      <c r="I2180" s="112"/>
      <c r="J2180" s="112" t="b">
        <v>0</v>
      </c>
      <c r="K2180" s="112"/>
      <c r="L2180" s="112"/>
      <c r="M2180" s="112"/>
      <c r="N2180" s="112"/>
      <c r="O2180" s="112"/>
      <c r="P2180" s="112" t="s">
        <v>1494</v>
      </c>
      <c r="Q2180" s="112" t="s">
        <v>1228</v>
      </c>
    </row>
    <row r="2181" spans="2:17" hidden="1" outlineLevel="2">
      <c r="B2181" s="2" t="s">
        <v>876</v>
      </c>
      <c r="D2181" s="268">
        <v>3610</v>
      </c>
      <c r="E2181" s="114" t="s">
        <v>220</v>
      </c>
      <c r="F2181" s="114" t="s">
        <v>2624</v>
      </c>
      <c r="G2181" s="691" t="s">
        <v>1493</v>
      </c>
      <c r="H2181" s="114" t="s">
        <v>1505</v>
      </c>
      <c r="I2181" s="114"/>
      <c r="J2181" s="114" t="b">
        <v>0</v>
      </c>
      <c r="K2181" s="114"/>
      <c r="L2181" s="114"/>
      <c r="M2181" s="114"/>
      <c r="N2181" s="114"/>
      <c r="O2181" s="114"/>
      <c r="P2181" s="114" t="s">
        <v>1494</v>
      </c>
      <c r="Q2181" s="114" t="s">
        <v>1228</v>
      </c>
    </row>
    <row r="2182" spans="2:17" hidden="1" outlineLevel="2">
      <c r="B2182" s="2" t="s">
        <v>876</v>
      </c>
      <c r="D2182" s="270">
        <v>3612</v>
      </c>
      <c r="E2182" s="112" t="s">
        <v>220</v>
      </c>
      <c r="F2182" s="112" t="s">
        <v>2625</v>
      </c>
      <c r="G2182" s="691" t="s">
        <v>1493</v>
      </c>
      <c r="H2182" s="112" t="s">
        <v>1512</v>
      </c>
      <c r="I2182" s="112"/>
      <c r="J2182" s="112" t="b">
        <v>0</v>
      </c>
      <c r="K2182" s="112"/>
      <c r="L2182" s="112"/>
      <c r="M2182" s="112"/>
      <c r="N2182" s="112"/>
      <c r="O2182" s="112"/>
      <c r="P2182" s="112" t="s">
        <v>1494</v>
      </c>
      <c r="Q2182" s="112" t="s">
        <v>1228</v>
      </c>
    </row>
    <row r="2183" spans="2:17" hidden="1" outlineLevel="2">
      <c r="B2183" s="2" t="s">
        <v>876</v>
      </c>
      <c r="D2183" s="268">
        <v>3614</v>
      </c>
      <c r="E2183" s="114" t="s">
        <v>220</v>
      </c>
      <c r="F2183" s="114" t="s">
        <v>2626</v>
      </c>
      <c r="G2183" s="114" t="s">
        <v>1512</v>
      </c>
      <c r="H2183" s="114" t="s">
        <v>1505</v>
      </c>
      <c r="I2183" s="114"/>
      <c r="J2183" s="114" t="b">
        <v>0</v>
      </c>
      <c r="K2183" s="114"/>
      <c r="L2183" s="114" t="b">
        <v>1</v>
      </c>
      <c r="M2183" s="114"/>
      <c r="N2183" s="114"/>
      <c r="O2183" s="114"/>
      <c r="P2183" s="114" t="s">
        <v>1494</v>
      </c>
      <c r="Q2183" s="114" t="s">
        <v>1228</v>
      </c>
    </row>
    <row r="2184" spans="2:17" hidden="1" outlineLevel="2">
      <c r="B2184" s="2" t="s">
        <v>876</v>
      </c>
      <c r="D2184" s="270">
        <v>3616</v>
      </c>
      <c r="E2184" s="112" t="s">
        <v>220</v>
      </c>
      <c r="F2184" s="112" t="s">
        <v>2627</v>
      </c>
      <c r="G2184" s="221" t="s">
        <v>1493</v>
      </c>
      <c r="H2184" s="112" t="s">
        <v>1505</v>
      </c>
      <c r="I2184" s="112"/>
      <c r="J2184" s="112" t="b">
        <v>0</v>
      </c>
      <c r="K2184" s="112"/>
      <c r="L2184" s="112"/>
      <c r="M2184" s="112"/>
      <c r="N2184" s="112"/>
      <c r="O2184" s="112"/>
      <c r="P2184" s="112" t="s">
        <v>1494</v>
      </c>
      <c r="Q2184" s="112" t="s">
        <v>1228</v>
      </c>
    </row>
    <row r="2185" spans="2:17" hidden="1" outlineLevel="2">
      <c r="B2185" s="2" t="s">
        <v>876</v>
      </c>
      <c r="D2185" s="268">
        <v>3617</v>
      </c>
      <c r="E2185" s="114" t="s">
        <v>220</v>
      </c>
      <c r="F2185" s="114" t="s">
        <v>2628</v>
      </c>
      <c r="G2185" s="114" t="s">
        <v>1512</v>
      </c>
      <c r="H2185" s="114" t="s">
        <v>1505</v>
      </c>
      <c r="I2185" s="114"/>
      <c r="J2185" s="114" t="b">
        <v>0</v>
      </c>
      <c r="K2185" s="114"/>
      <c r="L2185" s="114"/>
      <c r="M2185" s="114"/>
      <c r="N2185" s="114"/>
      <c r="O2185" s="114"/>
      <c r="P2185" s="114" t="s">
        <v>1494</v>
      </c>
      <c r="Q2185" s="114" t="s">
        <v>1228</v>
      </c>
    </row>
    <row r="2186" spans="2:17" hidden="1" outlineLevel="2">
      <c r="B2186" s="2" t="s">
        <v>876</v>
      </c>
      <c r="D2186" s="270">
        <v>3618</v>
      </c>
      <c r="E2186" s="112" t="s">
        <v>220</v>
      </c>
      <c r="F2186" s="112" t="s">
        <v>2629</v>
      </c>
      <c r="G2186" s="112" t="s">
        <v>1512</v>
      </c>
      <c r="H2186" s="112" t="s">
        <v>1505</v>
      </c>
      <c r="I2186" s="112"/>
      <c r="J2186" s="112" t="b">
        <v>0</v>
      </c>
      <c r="K2186" s="112"/>
      <c r="L2186" s="112" t="b">
        <v>1</v>
      </c>
      <c r="M2186" s="112"/>
      <c r="N2186" s="112"/>
      <c r="O2186" s="112"/>
      <c r="P2186" s="112" t="s">
        <v>1494</v>
      </c>
      <c r="Q2186" s="112" t="s">
        <v>1228</v>
      </c>
    </row>
    <row r="2187" spans="2:17" hidden="1" outlineLevel="2">
      <c r="B2187" s="2" t="s">
        <v>876</v>
      </c>
      <c r="D2187" s="268">
        <v>3620</v>
      </c>
      <c r="E2187" s="114" t="s">
        <v>220</v>
      </c>
      <c r="F2187" s="114" t="s">
        <v>2630</v>
      </c>
      <c r="G2187" s="114" t="s">
        <v>1493</v>
      </c>
      <c r="H2187" s="114" t="s">
        <v>1505</v>
      </c>
      <c r="I2187" s="114"/>
      <c r="J2187" s="114" t="b">
        <v>0</v>
      </c>
      <c r="K2187" s="114"/>
      <c r="L2187" s="114"/>
      <c r="M2187" s="114"/>
      <c r="N2187" s="114"/>
      <c r="O2187" s="114"/>
      <c r="P2187" s="114" t="s">
        <v>1494</v>
      </c>
      <c r="Q2187" s="114" t="s">
        <v>1228</v>
      </c>
    </row>
    <row r="2188" spans="2:17" hidden="1" outlineLevel="2">
      <c r="B2188" s="2" t="s">
        <v>876</v>
      </c>
      <c r="D2188" s="270">
        <v>3621</v>
      </c>
      <c r="E2188" s="112" t="s">
        <v>220</v>
      </c>
      <c r="F2188" s="112" t="s">
        <v>2631</v>
      </c>
      <c r="G2188" s="112" t="s">
        <v>1493</v>
      </c>
      <c r="H2188" s="112" t="s">
        <v>1505</v>
      </c>
      <c r="I2188" s="112"/>
      <c r="J2188" s="112" t="b">
        <v>0</v>
      </c>
      <c r="K2188" s="112"/>
      <c r="L2188" s="112"/>
      <c r="M2188" s="112"/>
      <c r="N2188" s="112"/>
      <c r="O2188" s="112"/>
      <c r="P2188" s="112" t="s">
        <v>1494</v>
      </c>
      <c r="Q2188" s="112" t="s">
        <v>1228</v>
      </c>
    </row>
    <row r="2189" spans="2:17" hidden="1" outlineLevel="2">
      <c r="B2189" s="2" t="s">
        <v>876</v>
      </c>
      <c r="D2189" s="268">
        <v>3622</v>
      </c>
      <c r="E2189" s="114" t="s">
        <v>220</v>
      </c>
      <c r="F2189" s="114" t="s">
        <v>2632</v>
      </c>
      <c r="G2189" s="114" t="s">
        <v>1512</v>
      </c>
      <c r="H2189" s="114" t="s">
        <v>1505</v>
      </c>
      <c r="I2189" s="114"/>
      <c r="J2189" s="114" t="b">
        <v>0</v>
      </c>
      <c r="K2189" s="114"/>
      <c r="L2189" s="114" t="b">
        <v>1</v>
      </c>
      <c r="M2189" s="114"/>
      <c r="N2189" s="114"/>
      <c r="O2189" s="114"/>
      <c r="P2189" s="114" t="s">
        <v>1494</v>
      </c>
      <c r="Q2189" s="114" t="s">
        <v>1228</v>
      </c>
    </row>
    <row r="2190" spans="2:17" hidden="1" outlineLevel="2">
      <c r="B2190" s="2" t="s">
        <v>876</v>
      </c>
      <c r="D2190" s="270">
        <v>3623</v>
      </c>
      <c r="E2190" s="112" t="s">
        <v>220</v>
      </c>
      <c r="F2190" s="112" t="s">
        <v>2633</v>
      </c>
      <c r="G2190" s="112" t="s">
        <v>1512</v>
      </c>
      <c r="H2190" s="112" t="s">
        <v>1505</v>
      </c>
      <c r="I2190" s="112"/>
      <c r="J2190" s="112" t="b">
        <v>0</v>
      </c>
      <c r="K2190" s="112"/>
      <c r="L2190" s="112"/>
      <c r="M2190" s="112"/>
      <c r="N2190" s="112"/>
      <c r="O2190" s="112"/>
      <c r="P2190" s="112" t="s">
        <v>1494</v>
      </c>
      <c r="Q2190" s="112" t="s">
        <v>1228</v>
      </c>
    </row>
    <row r="2191" spans="2:17" hidden="1" outlineLevel="2">
      <c r="B2191" s="2" t="s">
        <v>876</v>
      </c>
      <c r="D2191" s="268">
        <v>3624</v>
      </c>
      <c r="E2191" s="114" t="s">
        <v>220</v>
      </c>
      <c r="F2191" s="114" t="s">
        <v>2634</v>
      </c>
      <c r="G2191" s="114" t="s">
        <v>1512</v>
      </c>
      <c r="H2191" s="114" t="s">
        <v>1505</v>
      </c>
      <c r="I2191" s="114"/>
      <c r="J2191" s="114" t="b">
        <v>0</v>
      </c>
      <c r="K2191" s="114"/>
      <c r="L2191" s="114"/>
      <c r="M2191" s="114"/>
      <c r="N2191" s="114"/>
      <c r="O2191" s="114"/>
      <c r="P2191" s="114" t="s">
        <v>1494</v>
      </c>
      <c r="Q2191" s="114" t="s">
        <v>1228</v>
      </c>
    </row>
    <row r="2192" spans="2:17" hidden="1" outlineLevel="2">
      <c r="B2192" s="2" t="s">
        <v>876</v>
      </c>
      <c r="D2192" s="270">
        <v>3629</v>
      </c>
      <c r="E2192" s="112" t="s">
        <v>220</v>
      </c>
      <c r="F2192" s="112" t="s">
        <v>2635</v>
      </c>
      <c r="G2192" s="112" t="s">
        <v>1493</v>
      </c>
      <c r="H2192" s="112" t="s">
        <v>1494</v>
      </c>
      <c r="I2192" s="112"/>
      <c r="J2192" s="112" t="b">
        <v>0</v>
      </c>
      <c r="K2192" s="112"/>
      <c r="L2192" s="112"/>
      <c r="M2192" s="112"/>
      <c r="N2192" s="112"/>
      <c r="O2192" s="112"/>
      <c r="P2192" s="112" t="s">
        <v>1494</v>
      </c>
      <c r="Q2192" s="112" t="s">
        <v>1228</v>
      </c>
    </row>
    <row r="2193" spans="2:18" hidden="1" outlineLevel="2">
      <c r="B2193" s="2" t="s">
        <v>876</v>
      </c>
      <c r="D2193" s="268">
        <v>3630</v>
      </c>
      <c r="E2193" s="114" t="s">
        <v>220</v>
      </c>
      <c r="F2193" s="114" t="s">
        <v>2636</v>
      </c>
      <c r="G2193" s="114" t="s">
        <v>1483</v>
      </c>
      <c r="H2193" s="114" t="s">
        <v>1494</v>
      </c>
      <c r="I2193" s="114"/>
      <c r="J2193" s="114" t="b">
        <v>0</v>
      </c>
      <c r="K2193" s="114"/>
      <c r="L2193" s="114"/>
      <c r="M2193" s="114"/>
      <c r="N2193" s="114"/>
      <c r="O2193" s="114"/>
      <c r="P2193" s="114" t="s">
        <v>1494</v>
      </c>
      <c r="Q2193" s="114" t="s">
        <v>1228</v>
      </c>
    </row>
    <row r="2194" spans="2:18" hidden="1" outlineLevel="2">
      <c r="B2194" s="2" t="s">
        <v>876</v>
      </c>
      <c r="D2194" s="270">
        <v>3631</v>
      </c>
      <c r="E2194" s="112" t="s">
        <v>220</v>
      </c>
      <c r="F2194" s="112" t="s">
        <v>1690</v>
      </c>
      <c r="G2194" s="269" t="s">
        <v>1483</v>
      </c>
      <c r="H2194" s="112" t="s">
        <v>1494</v>
      </c>
      <c r="I2194" s="112"/>
      <c r="J2194" s="112" t="b">
        <v>0</v>
      </c>
      <c r="K2194" s="112"/>
      <c r="L2194" s="112"/>
      <c r="M2194" s="112"/>
      <c r="N2194" s="112"/>
      <c r="O2194" s="112"/>
      <c r="P2194" s="112" t="s">
        <v>1494</v>
      </c>
      <c r="Q2194" s="112" t="s">
        <v>1228</v>
      </c>
    </row>
    <row r="2195" spans="2:18" hidden="1" outlineLevel="2">
      <c r="B2195" s="2" t="s">
        <v>876</v>
      </c>
      <c r="D2195" s="268">
        <v>3633</v>
      </c>
      <c r="E2195" s="114" t="s">
        <v>220</v>
      </c>
      <c r="F2195" s="114" t="s">
        <v>2637</v>
      </c>
      <c r="G2195" s="114" t="s">
        <v>1512</v>
      </c>
      <c r="H2195" s="114" t="s">
        <v>1505</v>
      </c>
      <c r="I2195" s="114"/>
      <c r="J2195" s="114" t="b">
        <v>0</v>
      </c>
      <c r="K2195" s="114"/>
      <c r="L2195" s="114"/>
      <c r="M2195" s="114"/>
      <c r="N2195" s="114"/>
      <c r="O2195" s="114"/>
      <c r="P2195" s="114" t="s">
        <v>1494</v>
      </c>
      <c r="Q2195" s="114" t="s">
        <v>1228</v>
      </c>
    </row>
    <row r="2196" spans="2:18" hidden="1" outlineLevel="2">
      <c r="B2196" s="2" t="s">
        <v>876</v>
      </c>
      <c r="D2196" s="270">
        <v>3634</v>
      </c>
      <c r="E2196" s="112" t="s">
        <v>220</v>
      </c>
      <c r="F2196" s="112" t="s">
        <v>2638</v>
      </c>
      <c r="G2196" s="112" t="s">
        <v>1493</v>
      </c>
      <c r="H2196" s="112" t="s">
        <v>1505</v>
      </c>
      <c r="I2196" s="112"/>
      <c r="J2196" s="112" t="b">
        <v>0</v>
      </c>
      <c r="K2196" s="112"/>
      <c r="L2196" s="112" t="b">
        <v>1</v>
      </c>
      <c r="M2196" s="112"/>
      <c r="N2196" s="112"/>
      <c r="O2196" s="112"/>
      <c r="P2196" s="112" t="s">
        <v>1494</v>
      </c>
      <c r="Q2196" s="112" t="s">
        <v>1228</v>
      </c>
    </row>
    <row r="2197" spans="2:18" hidden="1" outlineLevel="2">
      <c r="B2197" s="2" t="s">
        <v>876</v>
      </c>
      <c r="D2197" s="268">
        <v>3635</v>
      </c>
      <c r="E2197" s="114" t="s">
        <v>220</v>
      </c>
      <c r="F2197" s="114" t="s">
        <v>2639</v>
      </c>
      <c r="G2197" s="114" t="s">
        <v>1512</v>
      </c>
      <c r="H2197" s="114" t="s">
        <v>1505</v>
      </c>
      <c r="I2197" s="114"/>
      <c r="J2197" s="114" t="b">
        <v>0</v>
      </c>
      <c r="K2197" s="114"/>
      <c r="L2197" s="114"/>
      <c r="M2197" s="114"/>
      <c r="N2197" s="114"/>
      <c r="O2197" s="114"/>
      <c r="P2197" s="114" t="s">
        <v>1494</v>
      </c>
      <c r="Q2197" s="114" t="s">
        <v>1228</v>
      </c>
    </row>
    <row r="2198" spans="2:18" hidden="1" outlineLevel="2">
      <c r="B2198" s="2" t="s">
        <v>876</v>
      </c>
      <c r="D2198" s="270">
        <v>3636</v>
      </c>
      <c r="E2198" s="112" t="s">
        <v>220</v>
      </c>
      <c r="F2198" s="112" t="s">
        <v>2640</v>
      </c>
      <c r="G2198" s="112" t="s">
        <v>1493</v>
      </c>
      <c r="H2198" s="112" t="s">
        <v>1505</v>
      </c>
      <c r="I2198" s="112"/>
      <c r="J2198" s="112" t="b">
        <v>0</v>
      </c>
      <c r="K2198" s="112"/>
      <c r="L2198" s="112"/>
      <c r="M2198" s="112"/>
      <c r="N2198" s="112"/>
      <c r="O2198" s="112"/>
      <c r="P2198" s="112" t="s">
        <v>1494</v>
      </c>
      <c r="Q2198" s="112" t="s">
        <v>1228</v>
      </c>
    </row>
    <row r="2199" spans="2:18" hidden="1" outlineLevel="2">
      <c r="B2199" s="2" t="s">
        <v>876</v>
      </c>
      <c r="D2199" s="268">
        <v>3637</v>
      </c>
      <c r="E2199" s="114" t="s">
        <v>220</v>
      </c>
      <c r="F2199" s="114" t="s">
        <v>2641</v>
      </c>
      <c r="G2199" s="114" t="s">
        <v>1512</v>
      </c>
      <c r="H2199" s="114" t="s">
        <v>1505</v>
      </c>
      <c r="I2199" s="114"/>
      <c r="J2199" s="114" t="b">
        <v>0</v>
      </c>
      <c r="K2199" s="114"/>
      <c r="L2199" s="114"/>
      <c r="M2199" s="114"/>
      <c r="N2199" s="114"/>
      <c r="O2199" s="114"/>
      <c r="P2199" s="114" t="s">
        <v>1494</v>
      </c>
      <c r="Q2199" s="114" t="s">
        <v>1228</v>
      </c>
    </row>
    <row r="2200" spans="2:18" hidden="1" outlineLevel="2">
      <c r="B2200" s="2" t="s">
        <v>876</v>
      </c>
      <c r="D2200" s="270">
        <v>3638</v>
      </c>
      <c r="E2200" s="112" t="s">
        <v>220</v>
      </c>
      <c r="F2200" s="112" t="s">
        <v>2642</v>
      </c>
      <c r="G2200" s="112" t="s">
        <v>1493</v>
      </c>
      <c r="H2200" s="112" t="s">
        <v>1505</v>
      </c>
      <c r="I2200" s="112"/>
      <c r="J2200" s="112" t="b">
        <v>0</v>
      </c>
      <c r="K2200" s="112"/>
      <c r="L2200" s="112"/>
      <c r="M2200" s="112"/>
      <c r="N2200" s="112"/>
      <c r="O2200" s="112"/>
      <c r="P2200" s="112" t="s">
        <v>1494</v>
      </c>
      <c r="Q2200" s="112" t="s">
        <v>1228</v>
      </c>
    </row>
    <row r="2201" spans="2:18" hidden="1" outlineLevel="2">
      <c r="B2201" s="2" t="s">
        <v>876</v>
      </c>
      <c r="D2201" s="268">
        <v>3639</v>
      </c>
      <c r="E2201" s="114" t="s">
        <v>220</v>
      </c>
      <c r="F2201" s="114" t="s">
        <v>2643</v>
      </c>
      <c r="G2201" s="114" t="s">
        <v>1512</v>
      </c>
      <c r="H2201" s="114" t="s">
        <v>1505</v>
      </c>
      <c r="I2201" s="114"/>
      <c r="J2201" s="114" t="b">
        <v>0</v>
      </c>
      <c r="K2201" s="114"/>
      <c r="L2201" s="114" t="b">
        <v>1</v>
      </c>
      <c r="M2201" s="114"/>
      <c r="N2201" s="114"/>
      <c r="O2201" s="114"/>
      <c r="P2201" s="114" t="s">
        <v>1494</v>
      </c>
      <c r="Q2201" s="114" t="s">
        <v>1228</v>
      </c>
    </row>
    <row r="2202" spans="2:18" hidden="1" outlineLevel="2">
      <c r="B2202" s="2" t="s">
        <v>876</v>
      </c>
      <c r="D2202" s="270">
        <v>3640</v>
      </c>
      <c r="E2202" s="112" t="s">
        <v>220</v>
      </c>
      <c r="F2202" s="112" t="s">
        <v>2644</v>
      </c>
      <c r="G2202" s="221" t="s">
        <v>1512</v>
      </c>
      <c r="H2202" s="112" t="s">
        <v>1505</v>
      </c>
      <c r="I2202" s="112"/>
      <c r="J2202" s="112" t="b">
        <v>0</v>
      </c>
      <c r="K2202" s="112"/>
      <c r="L2202" s="112" t="b">
        <v>1</v>
      </c>
      <c r="M2202" s="112"/>
      <c r="N2202" s="112"/>
      <c r="O2202" s="112"/>
      <c r="P2202" s="112" t="s">
        <v>1494</v>
      </c>
      <c r="Q2202" s="112" t="s">
        <v>1228</v>
      </c>
    </row>
    <row r="2203" spans="2:18" hidden="1" outlineLevel="2">
      <c r="B2203" s="2" t="s">
        <v>876</v>
      </c>
      <c r="D2203" s="268">
        <v>3641</v>
      </c>
      <c r="E2203" s="114" t="s">
        <v>220</v>
      </c>
      <c r="F2203" s="114" t="s">
        <v>2645</v>
      </c>
      <c r="G2203" s="221" t="s">
        <v>1512</v>
      </c>
      <c r="H2203" s="114" t="s">
        <v>1505</v>
      </c>
      <c r="I2203" s="114"/>
      <c r="J2203" s="114" t="b">
        <v>0</v>
      </c>
      <c r="K2203" s="114"/>
      <c r="L2203" s="114"/>
      <c r="M2203" s="114"/>
      <c r="N2203" s="114"/>
      <c r="O2203" s="114"/>
      <c r="P2203" s="114" t="s">
        <v>1494</v>
      </c>
      <c r="Q2203" s="114" t="s">
        <v>1228</v>
      </c>
    </row>
    <row r="2204" spans="2:18" hidden="1" outlineLevel="2">
      <c r="B2204" s="2" t="s">
        <v>876</v>
      </c>
      <c r="D2204" s="270">
        <v>3644</v>
      </c>
      <c r="E2204" s="112" t="s">
        <v>220</v>
      </c>
      <c r="F2204" s="112" t="s">
        <v>2646</v>
      </c>
      <c r="G2204" s="112" t="s">
        <v>1483</v>
      </c>
      <c r="H2204" s="112" t="s">
        <v>1494</v>
      </c>
      <c r="I2204" s="112"/>
      <c r="J2204" s="112" t="b">
        <v>0</v>
      </c>
      <c r="K2204" s="112"/>
      <c r="L2204" s="112"/>
      <c r="M2204" s="112"/>
      <c r="N2204" s="112"/>
      <c r="O2204" s="112"/>
      <c r="P2204" s="112" t="s">
        <v>1494</v>
      </c>
      <c r="Q2204" s="112" t="s">
        <v>1228</v>
      </c>
    </row>
    <row r="2205" spans="2:18" hidden="1" outlineLevel="2">
      <c r="B2205" s="2" t="s">
        <v>876</v>
      </c>
      <c r="D2205" s="268">
        <v>3646</v>
      </c>
      <c r="E2205" s="114" t="s">
        <v>220</v>
      </c>
      <c r="F2205" s="114" t="s">
        <v>2647</v>
      </c>
      <c r="G2205" s="114" t="s">
        <v>1512</v>
      </c>
      <c r="H2205" s="114" t="s">
        <v>1512</v>
      </c>
      <c r="I2205" s="114"/>
      <c r="J2205" s="114" t="b">
        <v>0</v>
      </c>
      <c r="K2205" s="114"/>
      <c r="L2205" s="114"/>
      <c r="M2205" s="114"/>
      <c r="N2205" s="114"/>
      <c r="O2205" s="114"/>
      <c r="P2205" s="114" t="s">
        <v>1494</v>
      </c>
      <c r="Q2205" s="114" t="s">
        <v>1228</v>
      </c>
      <c r="R2205" s="274"/>
    </row>
    <row r="2206" spans="2:18" hidden="1" outlineLevel="2">
      <c r="B2206" s="2" t="s">
        <v>876</v>
      </c>
      <c r="D2206" s="270">
        <v>3647</v>
      </c>
      <c r="E2206" s="112" t="s">
        <v>220</v>
      </c>
      <c r="F2206" s="112" t="s">
        <v>2648</v>
      </c>
      <c r="G2206" s="112" t="s">
        <v>1533</v>
      </c>
      <c r="H2206" s="112" t="s">
        <v>1512</v>
      </c>
      <c r="I2206" s="112"/>
      <c r="J2206" s="112" t="b">
        <v>0</v>
      </c>
      <c r="K2206" s="112"/>
      <c r="L2206" s="112"/>
      <c r="M2206" s="112"/>
      <c r="N2206" s="112"/>
      <c r="O2206" s="112"/>
      <c r="P2206" s="112" t="s">
        <v>1494</v>
      </c>
      <c r="Q2206" s="112" t="s">
        <v>1228</v>
      </c>
    </row>
    <row r="2207" spans="2:18" hidden="1" outlineLevel="2">
      <c r="B2207" s="2" t="s">
        <v>876</v>
      </c>
      <c r="D2207" s="268">
        <v>3649</v>
      </c>
      <c r="E2207" s="114" t="s">
        <v>220</v>
      </c>
      <c r="F2207" s="114" t="s">
        <v>2649</v>
      </c>
      <c r="G2207" s="114" t="s">
        <v>1512</v>
      </c>
      <c r="H2207" s="114" t="s">
        <v>1512</v>
      </c>
      <c r="I2207" s="114"/>
      <c r="J2207" s="114" t="b">
        <v>0</v>
      </c>
      <c r="K2207" s="114"/>
      <c r="L2207" s="114"/>
      <c r="M2207" s="114"/>
      <c r="N2207" s="114"/>
      <c r="O2207" s="114"/>
      <c r="P2207" s="114" t="s">
        <v>1494</v>
      </c>
      <c r="Q2207" s="114" t="s">
        <v>1228</v>
      </c>
    </row>
    <row r="2208" spans="2:18" hidden="1" outlineLevel="2">
      <c r="B2208" s="2" t="s">
        <v>876</v>
      </c>
      <c r="D2208" s="270">
        <v>3658</v>
      </c>
      <c r="E2208" s="112" t="s">
        <v>220</v>
      </c>
      <c r="F2208" s="112" t="s">
        <v>2650</v>
      </c>
      <c r="G2208" s="112" t="s">
        <v>1493</v>
      </c>
      <c r="H2208" s="112" t="s">
        <v>1505</v>
      </c>
      <c r="I2208" s="112"/>
      <c r="J2208" s="112" t="b">
        <v>0</v>
      </c>
      <c r="K2208" s="112"/>
      <c r="L2208" s="112"/>
      <c r="M2208" s="112"/>
      <c r="N2208" s="112"/>
      <c r="O2208" s="112"/>
      <c r="P2208" s="112" t="s">
        <v>1494</v>
      </c>
      <c r="Q2208" s="112" t="s">
        <v>1228</v>
      </c>
    </row>
    <row r="2209" spans="2:18" hidden="1" outlineLevel="2">
      <c r="B2209" s="2" t="s">
        <v>876</v>
      </c>
      <c r="D2209" s="268">
        <v>3659</v>
      </c>
      <c r="E2209" s="114" t="s">
        <v>220</v>
      </c>
      <c r="F2209" s="114" t="s">
        <v>2651</v>
      </c>
      <c r="G2209" s="114" t="s">
        <v>1512</v>
      </c>
      <c r="H2209" s="114" t="s">
        <v>1505</v>
      </c>
      <c r="I2209" s="114"/>
      <c r="J2209" s="114" t="b">
        <v>0</v>
      </c>
      <c r="K2209" s="114"/>
      <c r="L2209" s="114"/>
      <c r="M2209" s="114"/>
      <c r="N2209" s="114"/>
      <c r="O2209" s="114"/>
      <c r="P2209" s="114" t="s">
        <v>1494</v>
      </c>
      <c r="Q2209" s="114" t="s">
        <v>1228</v>
      </c>
    </row>
    <row r="2210" spans="2:18" hidden="1" outlineLevel="2">
      <c r="B2210" s="2" t="s">
        <v>876</v>
      </c>
      <c r="D2210" s="270">
        <v>3660</v>
      </c>
      <c r="E2210" s="112" t="s">
        <v>220</v>
      </c>
      <c r="F2210" s="112" t="s">
        <v>2652</v>
      </c>
      <c r="G2210" s="112" t="s">
        <v>1493</v>
      </c>
      <c r="H2210" s="112" t="s">
        <v>1505</v>
      </c>
      <c r="I2210" s="112"/>
      <c r="J2210" s="112" t="b">
        <v>0</v>
      </c>
      <c r="K2210" s="112"/>
      <c r="L2210" s="112"/>
      <c r="M2210" s="112"/>
      <c r="N2210" s="112"/>
      <c r="O2210" s="112"/>
      <c r="P2210" s="112" t="s">
        <v>1494</v>
      </c>
      <c r="Q2210" s="112" t="s">
        <v>1228</v>
      </c>
      <c r="R2210" s="274"/>
    </row>
    <row r="2211" spans="2:18" hidden="1" outlineLevel="2">
      <c r="B2211" s="2" t="s">
        <v>876</v>
      </c>
      <c r="D2211" s="268">
        <v>3662</v>
      </c>
      <c r="E2211" s="114" t="s">
        <v>220</v>
      </c>
      <c r="F2211" s="114" t="s">
        <v>2653</v>
      </c>
      <c r="G2211" s="114" t="s">
        <v>1533</v>
      </c>
      <c r="H2211" s="114" t="s">
        <v>1505</v>
      </c>
      <c r="I2211" s="114"/>
      <c r="J2211" s="114" t="b">
        <v>0</v>
      </c>
      <c r="K2211" s="114"/>
      <c r="L2211" s="114"/>
      <c r="M2211" s="114"/>
      <c r="N2211" s="114"/>
      <c r="O2211" s="114"/>
      <c r="P2211" s="114" t="s">
        <v>1494</v>
      </c>
      <c r="Q2211" s="114" t="s">
        <v>1228</v>
      </c>
    </row>
    <row r="2212" spans="2:18" hidden="1" outlineLevel="2">
      <c r="B2212" s="2" t="s">
        <v>876</v>
      </c>
      <c r="D2212" s="270">
        <v>3663</v>
      </c>
      <c r="E2212" s="112" t="s">
        <v>220</v>
      </c>
      <c r="F2212" s="112" t="s">
        <v>2654</v>
      </c>
      <c r="G2212" s="112" t="s">
        <v>1512</v>
      </c>
      <c r="H2212" s="112" t="s">
        <v>1505</v>
      </c>
      <c r="I2212" s="112"/>
      <c r="J2212" s="112" t="b">
        <v>0</v>
      </c>
      <c r="K2212" s="112"/>
      <c r="L2212" s="112"/>
      <c r="M2212" s="112"/>
      <c r="N2212" s="112"/>
      <c r="O2212" s="112"/>
      <c r="P2212" s="112" t="s">
        <v>1494</v>
      </c>
      <c r="Q2212" s="112" t="s">
        <v>1228</v>
      </c>
    </row>
    <row r="2213" spans="2:18" hidden="1" outlineLevel="2">
      <c r="B2213" s="2" t="s">
        <v>876</v>
      </c>
      <c r="D2213" s="268">
        <v>3664</v>
      </c>
      <c r="E2213" s="114" t="s">
        <v>220</v>
      </c>
      <c r="F2213" s="114" t="s">
        <v>2655</v>
      </c>
      <c r="G2213" s="114" t="s">
        <v>1512</v>
      </c>
      <c r="H2213" s="114" t="s">
        <v>1505</v>
      </c>
      <c r="I2213" s="114"/>
      <c r="J2213" s="114" t="b">
        <v>0</v>
      </c>
      <c r="K2213" s="114"/>
      <c r="L2213" s="114" t="b">
        <v>1</v>
      </c>
      <c r="M2213" s="114"/>
      <c r="N2213" s="114"/>
      <c r="O2213" s="114"/>
      <c r="P2213" s="114" t="s">
        <v>1494</v>
      </c>
      <c r="Q2213" s="114" t="s">
        <v>1228</v>
      </c>
    </row>
    <row r="2214" spans="2:18" hidden="1" outlineLevel="2">
      <c r="B2214" s="2" t="s">
        <v>876</v>
      </c>
      <c r="D2214" s="270">
        <v>3665</v>
      </c>
      <c r="E2214" s="112" t="s">
        <v>220</v>
      </c>
      <c r="F2214" s="112" t="s">
        <v>2656</v>
      </c>
      <c r="G2214" s="112" t="s">
        <v>1512</v>
      </c>
      <c r="H2214" s="112" t="s">
        <v>1512</v>
      </c>
      <c r="I2214" s="112"/>
      <c r="J2214" s="112" t="b">
        <v>0</v>
      </c>
      <c r="K2214" s="112"/>
      <c r="L2214" s="112"/>
      <c r="M2214" s="112"/>
      <c r="N2214" s="112"/>
      <c r="O2214" s="112"/>
      <c r="P2214" s="112" t="s">
        <v>1494</v>
      </c>
      <c r="Q2214" s="112" t="s">
        <v>1228</v>
      </c>
    </row>
    <row r="2215" spans="2:18" hidden="1" outlineLevel="2">
      <c r="B2215" s="2" t="s">
        <v>876</v>
      </c>
      <c r="D2215" s="268">
        <v>3666</v>
      </c>
      <c r="E2215" s="114" t="s">
        <v>220</v>
      </c>
      <c r="F2215" s="114" t="s">
        <v>2657</v>
      </c>
      <c r="G2215" s="114" t="s">
        <v>1493</v>
      </c>
      <c r="H2215" s="114" t="s">
        <v>1505</v>
      </c>
      <c r="I2215" s="114"/>
      <c r="J2215" s="114" t="b">
        <v>0</v>
      </c>
      <c r="K2215" s="114"/>
      <c r="L2215" s="114"/>
      <c r="M2215" s="114"/>
      <c r="N2215" s="114"/>
      <c r="O2215" s="114"/>
      <c r="P2215" s="114" t="s">
        <v>1494</v>
      </c>
      <c r="Q2215" s="114" t="s">
        <v>1228</v>
      </c>
    </row>
    <row r="2216" spans="2:18" hidden="1" outlineLevel="2">
      <c r="B2216" s="2" t="s">
        <v>876</v>
      </c>
      <c r="D2216" s="270">
        <v>3669</v>
      </c>
      <c r="E2216" s="112" t="s">
        <v>220</v>
      </c>
      <c r="F2216" s="112" t="s">
        <v>2658</v>
      </c>
      <c r="G2216" s="112" t="s">
        <v>1512</v>
      </c>
      <c r="H2216" s="112" t="s">
        <v>1505</v>
      </c>
      <c r="I2216" s="112"/>
      <c r="J2216" s="112" t="b">
        <v>0</v>
      </c>
      <c r="K2216" s="112"/>
      <c r="L2216" s="112"/>
      <c r="M2216" s="112"/>
      <c r="N2216" s="112"/>
      <c r="O2216" s="112"/>
      <c r="P2216" s="112" t="s">
        <v>1494</v>
      </c>
      <c r="Q2216" s="112" t="s">
        <v>1228</v>
      </c>
    </row>
    <row r="2217" spans="2:18" hidden="1" outlineLevel="2">
      <c r="B2217" s="2" t="s">
        <v>876</v>
      </c>
      <c r="D2217" s="268">
        <v>3670</v>
      </c>
      <c r="E2217" s="114" t="s">
        <v>220</v>
      </c>
      <c r="F2217" s="114" t="s">
        <v>2659</v>
      </c>
      <c r="G2217" s="114" t="s">
        <v>1512</v>
      </c>
      <c r="H2217" s="114" t="s">
        <v>1505</v>
      </c>
      <c r="I2217" s="114"/>
      <c r="J2217" s="114" t="b">
        <v>0</v>
      </c>
      <c r="K2217" s="114"/>
      <c r="L2217" s="114"/>
      <c r="M2217" s="114"/>
      <c r="N2217" s="114"/>
      <c r="O2217" s="114"/>
      <c r="P2217" s="114" t="s">
        <v>1494</v>
      </c>
      <c r="Q2217" s="114" t="s">
        <v>1228</v>
      </c>
    </row>
    <row r="2218" spans="2:18" hidden="1" outlineLevel="2">
      <c r="B2218" s="2" t="s">
        <v>876</v>
      </c>
      <c r="D2218" s="270">
        <v>3672</v>
      </c>
      <c r="E2218" s="112" t="s">
        <v>220</v>
      </c>
      <c r="F2218" s="112" t="s">
        <v>2660</v>
      </c>
      <c r="G2218" s="112" t="s">
        <v>1493</v>
      </c>
      <c r="H2218" s="112" t="s">
        <v>1505</v>
      </c>
      <c r="I2218" s="112"/>
      <c r="J2218" s="112" t="b">
        <v>0</v>
      </c>
      <c r="K2218" s="112"/>
      <c r="L2218" s="112"/>
      <c r="M2218" s="112"/>
      <c r="N2218" s="112"/>
      <c r="O2218" s="112"/>
      <c r="P2218" s="112" t="s">
        <v>1494</v>
      </c>
      <c r="Q2218" s="112" t="s">
        <v>1228</v>
      </c>
    </row>
    <row r="2219" spans="2:18" hidden="1" outlineLevel="2">
      <c r="B2219" s="2" t="s">
        <v>876</v>
      </c>
      <c r="D2219" s="268">
        <v>3673</v>
      </c>
      <c r="E2219" s="114" t="s">
        <v>220</v>
      </c>
      <c r="F2219" s="114" t="s">
        <v>2661</v>
      </c>
      <c r="G2219" s="691" t="s">
        <v>1493</v>
      </c>
      <c r="H2219" s="114" t="s">
        <v>1505</v>
      </c>
      <c r="I2219" s="114"/>
      <c r="J2219" s="114" t="b">
        <v>0</v>
      </c>
      <c r="K2219" s="114"/>
      <c r="L2219" s="114"/>
      <c r="M2219" s="114"/>
      <c r="N2219" s="114"/>
      <c r="O2219" s="114"/>
      <c r="P2219" s="114" t="s">
        <v>1494</v>
      </c>
      <c r="Q2219" s="114" t="s">
        <v>1228</v>
      </c>
    </row>
    <row r="2220" spans="2:18" hidden="1" outlineLevel="2">
      <c r="B2220" s="2" t="s">
        <v>876</v>
      </c>
      <c r="D2220" s="270">
        <v>3675</v>
      </c>
      <c r="E2220" s="112" t="s">
        <v>220</v>
      </c>
      <c r="F2220" s="112" t="s">
        <v>2662</v>
      </c>
      <c r="G2220" s="269" t="s">
        <v>1493</v>
      </c>
      <c r="H2220" s="112" t="s">
        <v>1505</v>
      </c>
      <c r="I2220" s="112"/>
      <c r="J2220" s="112" t="b">
        <v>0</v>
      </c>
      <c r="K2220" s="112"/>
      <c r="L2220" s="112"/>
      <c r="M2220" s="112"/>
      <c r="N2220" s="112"/>
      <c r="O2220" s="112"/>
      <c r="P2220" s="112" t="s">
        <v>1494</v>
      </c>
      <c r="Q2220" s="112" t="s">
        <v>1228</v>
      </c>
    </row>
    <row r="2221" spans="2:18" hidden="1" outlineLevel="2">
      <c r="B2221" s="2" t="s">
        <v>876</v>
      </c>
      <c r="D2221" s="268">
        <v>3677</v>
      </c>
      <c r="E2221" s="114" t="s">
        <v>220</v>
      </c>
      <c r="F2221" s="114" t="s">
        <v>2663</v>
      </c>
      <c r="G2221" s="114" t="s">
        <v>1483</v>
      </c>
      <c r="H2221" s="114" t="s">
        <v>1494</v>
      </c>
      <c r="I2221" s="114"/>
      <c r="J2221" s="114" t="b">
        <v>0</v>
      </c>
      <c r="K2221" s="114"/>
      <c r="L2221" s="114"/>
      <c r="M2221" s="114"/>
      <c r="N2221" s="114"/>
      <c r="O2221" s="114"/>
      <c r="P2221" s="114" t="s">
        <v>1494</v>
      </c>
      <c r="Q2221" s="114" t="s">
        <v>1228</v>
      </c>
    </row>
    <row r="2222" spans="2:18" hidden="1" outlineLevel="2">
      <c r="B2222" s="2" t="s">
        <v>876</v>
      </c>
      <c r="D2222" s="270">
        <v>3678</v>
      </c>
      <c r="E2222" s="112" t="s">
        <v>220</v>
      </c>
      <c r="F2222" s="112" t="s">
        <v>2664</v>
      </c>
      <c r="G2222" s="112" t="s">
        <v>1493</v>
      </c>
      <c r="H2222" s="112" t="s">
        <v>1505</v>
      </c>
      <c r="I2222" s="112"/>
      <c r="J2222" s="112" t="b">
        <v>0</v>
      </c>
      <c r="K2222" s="112"/>
      <c r="L2222" s="112"/>
      <c r="M2222" s="112"/>
      <c r="N2222" s="112"/>
      <c r="O2222" s="112"/>
      <c r="P2222" s="112" t="s">
        <v>1494</v>
      </c>
      <c r="Q2222" s="112" t="s">
        <v>1228</v>
      </c>
    </row>
    <row r="2223" spans="2:18" hidden="1" outlineLevel="2">
      <c r="B2223" s="2" t="s">
        <v>876</v>
      </c>
      <c r="D2223" s="268">
        <v>3682</v>
      </c>
      <c r="E2223" s="114" t="s">
        <v>220</v>
      </c>
      <c r="F2223" s="114" t="s">
        <v>2665</v>
      </c>
      <c r="G2223" s="114" t="s">
        <v>1512</v>
      </c>
      <c r="H2223" s="114" t="s">
        <v>1505</v>
      </c>
      <c r="I2223" s="114"/>
      <c r="J2223" s="114" t="b">
        <v>0</v>
      </c>
      <c r="K2223" s="114"/>
      <c r="L2223" s="114"/>
      <c r="M2223" s="114"/>
      <c r="N2223" s="114"/>
      <c r="O2223" s="114"/>
      <c r="P2223" s="114" t="s">
        <v>1494</v>
      </c>
      <c r="Q2223" s="114" t="s">
        <v>1228</v>
      </c>
    </row>
    <row r="2224" spans="2:18" hidden="1" outlineLevel="2">
      <c r="B2224" s="2" t="s">
        <v>876</v>
      </c>
      <c r="D2224" s="270">
        <v>3683</v>
      </c>
      <c r="E2224" s="112" t="s">
        <v>220</v>
      </c>
      <c r="F2224" s="112" t="s">
        <v>2666</v>
      </c>
      <c r="G2224" s="112" t="s">
        <v>1493</v>
      </c>
      <c r="H2224" s="112" t="s">
        <v>1505</v>
      </c>
      <c r="I2224" s="112"/>
      <c r="J2224" s="112" t="b">
        <v>0</v>
      </c>
      <c r="K2224" s="112"/>
      <c r="L2224" s="112"/>
      <c r="M2224" s="112"/>
      <c r="N2224" s="112"/>
      <c r="O2224" s="112"/>
      <c r="P2224" s="112" t="s">
        <v>1494</v>
      </c>
      <c r="Q2224" s="112" t="s">
        <v>1228</v>
      </c>
    </row>
    <row r="2225" spans="2:17" hidden="1" outlineLevel="2">
      <c r="B2225" s="2" t="s">
        <v>876</v>
      </c>
      <c r="D2225" s="268">
        <v>3685</v>
      </c>
      <c r="E2225" s="114" t="s">
        <v>220</v>
      </c>
      <c r="F2225" s="114" t="s">
        <v>2667</v>
      </c>
      <c r="G2225" s="269" t="s">
        <v>1493</v>
      </c>
      <c r="H2225" s="114" t="s">
        <v>1505</v>
      </c>
      <c r="I2225" s="114"/>
      <c r="J2225" s="114" t="b">
        <v>0</v>
      </c>
      <c r="K2225" s="114"/>
      <c r="L2225" s="114"/>
      <c r="M2225" s="114"/>
      <c r="N2225" s="114"/>
      <c r="O2225" s="114"/>
      <c r="P2225" s="114" t="s">
        <v>1494</v>
      </c>
      <c r="Q2225" s="114" t="s">
        <v>1228</v>
      </c>
    </row>
    <row r="2226" spans="2:17" hidden="1" outlineLevel="2">
      <c r="B2226" s="2" t="s">
        <v>876</v>
      </c>
      <c r="D2226" s="270">
        <v>3687</v>
      </c>
      <c r="E2226" s="112" t="s">
        <v>220</v>
      </c>
      <c r="F2226" s="112" t="s">
        <v>2668</v>
      </c>
      <c r="G2226" s="691" t="s">
        <v>1493</v>
      </c>
      <c r="H2226" s="112" t="s">
        <v>1505</v>
      </c>
      <c r="I2226" s="112"/>
      <c r="J2226" s="112" t="b">
        <v>0</v>
      </c>
      <c r="K2226" s="112"/>
      <c r="L2226" s="112"/>
      <c r="M2226" s="112"/>
      <c r="N2226" s="112"/>
      <c r="O2226" s="112"/>
      <c r="P2226" s="112" t="s">
        <v>1494</v>
      </c>
      <c r="Q2226" s="112" t="s">
        <v>1228</v>
      </c>
    </row>
    <row r="2227" spans="2:17" hidden="1" outlineLevel="2">
      <c r="B2227" s="2" t="s">
        <v>876</v>
      </c>
      <c r="D2227" s="268">
        <v>3688</v>
      </c>
      <c r="E2227" s="114" t="s">
        <v>220</v>
      </c>
      <c r="F2227" s="114" t="s">
        <v>2669</v>
      </c>
      <c r="G2227" s="114" t="s">
        <v>1493</v>
      </c>
      <c r="H2227" s="114" t="s">
        <v>1505</v>
      </c>
      <c r="I2227" s="114"/>
      <c r="J2227" s="114" t="b">
        <v>0</v>
      </c>
      <c r="K2227" s="114"/>
      <c r="L2227" s="114"/>
      <c r="M2227" s="114"/>
      <c r="N2227" s="114"/>
      <c r="O2227" s="114"/>
      <c r="P2227" s="114" t="s">
        <v>1494</v>
      </c>
      <c r="Q2227" s="114" t="s">
        <v>1228</v>
      </c>
    </row>
    <row r="2228" spans="2:17" hidden="1" outlineLevel="2">
      <c r="B2228" s="2" t="s">
        <v>876</v>
      </c>
      <c r="D2228" s="270">
        <v>3690</v>
      </c>
      <c r="E2228" s="112" t="s">
        <v>220</v>
      </c>
      <c r="F2228" s="112" t="s">
        <v>2670</v>
      </c>
      <c r="G2228" s="112" t="s">
        <v>1483</v>
      </c>
      <c r="H2228" s="112" t="s">
        <v>1494</v>
      </c>
      <c r="I2228" s="112"/>
      <c r="J2228" s="112" t="b">
        <v>0</v>
      </c>
      <c r="K2228" s="112"/>
      <c r="L2228" s="112"/>
      <c r="M2228" s="112"/>
      <c r="N2228" s="112"/>
      <c r="O2228" s="112"/>
      <c r="P2228" s="112" t="s">
        <v>1494</v>
      </c>
      <c r="Q2228" s="112" t="s">
        <v>1228</v>
      </c>
    </row>
    <row r="2229" spans="2:17" hidden="1" outlineLevel="2">
      <c r="B2229" s="2" t="s">
        <v>876</v>
      </c>
      <c r="D2229" s="268">
        <v>3691</v>
      </c>
      <c r="E2229" s="114" t="s">
        <v>220</v>
      </c>
      <c r="F2229" s="114" t="s">
        <v>2671</v>
      </c>
      <c r="G2229" s="114" t="s">
        <v>1483</v>
      </c>
      <c r="H2229" s="114" t="s">
        <v>1494</v>
      </c>
      <c r="I2229" s="114"/>
      <c r="J2229" s="114" t="b">
        <v>0</v>
      </c>
      <c r="K2229" s="114"/>
      <c r="L2229" s="114"/>
      <c r="M2229" s="114"/>
      <c r="N2229" s="114"/>
      <c r="O2229" s="114"/>
      <c r="P2229" s="114" t="s">
        <v>1494</v>
      </c>
      <c r="Q2229" s="114" t="s">
        <v>1228</v>
      </c>
    </row>
    <row r="2230" spans="2:17" hidden="1" outlineLevel="2">
      <c r="B2230" s="2" t="s">
        <v>876</v>
      </c>
      <c r="D2230" s="270">
        <v>3694</v>
      </c>
      <c r="E2230" s="112" t="s">
        <v>220</v>
      </c>
      <c r="F2230" s="112" t="s">
        <v>2672</v>
      </c>
      <c r="G2230" s="112" t="s">
        <v>1533</v>
      </c>
      <c r="H2230" s="112" t="s">
        <v>1505</v>
      </c>
      <c r="I2230" s="112"/>
      <c r="J2230" s="112" t="b">
        <v>0</v>
      </c>
      <c r="K2230" s="112"/>
      <c r="L2230" s="112"/>
      <c r="M2230" s="112"/>
      <c r="N2230" s="112"/>
      <c r="O2230" s="112"/>
      <c r="P2230" s="112" t="s">
        <v>1494</v>
      </c>
      <c r="Q2230" s="112" t="s">
        <v>1228</v>
      </c>
    </row>
    <row r="2231" spans="2:17" hidden="1" outlineLevel="2">
      <c r="B2231" s="2" t="s">
        <v>876</v>
      </c>
      <c r="D2231" s="268">
        <v>3695</v>
      </c>
      <c r="E2231" s="114" t="s">
        <v>220</v>
      </c>
      <c r="F2231" s="114" t="s">
        <v>2673</v>
      </c>
      <c r="G2231" s="114" t="s">
        <v>1512</v>
      </c>
      <c r="H2231" s="114" t="s">
        <v>1505</v>
      </c>
      <c r="I2231" s="114"/>
      <c r="J2231" s="114" t="b">
        <v>0</v>
      </c>
      <c r="K2231" s="114"/>
      <c r="L2231" s="114"/>
      <c r="M2231" s="114"/>
      <c r="N2231" s="114"/>
      <c r="O2231" s="114"/>
      <c r="P2231" s="114" t="s">
        <v>1494</v>
      </c>
      <c r="Q2231" s="114" t="s">
        <v>1228</v>
      </c>
    </row>
    <row r="2232" spans="2:17" hidden="1" outlineLevel="2">
      <c r="B2232" s="2" t="s">
        <v>876</v>
      </c>
      <c r="D2232" s="270">
        <v>3697</v>
      </c>
      <c r="E2232" s="112" t="s">
        <v>220</v>
      </c>
      <c r="F2232" s="112" t="s">
        <v>2674</v>
      </c>
      <c r="G2232" s="112" t="s">
        <v>1512</v>
      </c>
      <c r="H2232" s="112" t="s">
        <v>1505</v>
      </c>
      <c r="I2232" s="112"/>
      <c r="J2232" s="112" t="b">
        <v>0</v>
      </c>
      <c r="K2232" s="112"/>
      <c r="L2232" s="112"/>
      <c r="M2232" s="112"/>
      <c r="N2232" s="112"/>
      <c r="O2232" s="112"/>
      <c r="P2232" s="112" t="s">
        <v>1494</v>
      </c>
      <c r="Q2232" s="112" t="s">
        <v>1228</v>
      </c>
    </row>
    <row r="2233" spans="2:17" hidden="1" outlineLevel="2">
      <c r="B2233" s="2" t="s">
        <v>876</v>
      </c>
      <c r="D2233" s="268">
        <v>3698</v>
      </c>
      <c r="E2233" s="114" t="s">
        <v>220</v>
      </c>
      <c r="F2233" s="114" t="s">
        <v>2675</v>
      </c>
      <c r="G2233" s="114" t="s">
        <v>1512</v>
      </c>
      <c r="H2233" s="114" t="s">
        <v>1505</v>
      </c>
      <c r="I2233" s="114"/>
      <c r="J2233" s="114" t="b">
        <v>0</v>
      </c>
      <c r="K2233" s="114"/>
      <c r="L2233" s="114" t="b">
        <v>1</v>
      </c>
      <c r="M2233" s="114"/>
      <c r="N2233" s="114"/>
      <c r="O2233" s="114"/>
      <c r="P2233" s="114" t="s">
        <v>1494</v>
      </c>
      <c r="Q2233" s="114" t="s">
        <v>1228</v>
      </c>
    </row>
    <row r="2234" spans="2:17" hidden="1" outlineLevel="2">
      <c r="B2234" s="2" t="s">
        <v>876</v>
      </c>
      <c r="D2234" s="270">
        <v>3699</v>
      </c>
      <c r="E2234" s="112" t="s">
        <v>220</v>
      </c>
      <c r="F2234" s="112" t="s">
        <v>2676</v>
      </c>
      <c r="G2234" s="112" t="s">
        <v>1512</v>
      </c>
      <c r="H2234" s="112" t="s">
        <v>1505</v>
      </c>
      <c r="I2234" s="112"/>
      <c r="J2234" s="112" t="b">
        <v>0</v>
      </c>
      <c r="K2234" s="112"/>
      <c r="L2234" s="112"/>
      <c r="M2234" s="112"/>
      <c r="N2234" s="112"/>
      <c r="O2234" s="112"/>
      <c r="P2234" s="112" t="s">
        <v>2374</v>
      </c>
      <c r="Q2234" s="112" t="s">
        <v>1228</v>
      </c>
    </row>
    <row r="2235" spans="2:17" hidden="1" outlineLevel="2">
      <c r="B2235" s="2" t="s">
        <v>876</v>
      </c>
      <c r="D2235" s="268">
        <v>3700</v>
      </c>
      <c r="E2235" s="114" t="s">
        <v>220</v>
      </c>
      <c r="F2235" s="114" t="s">
        <v>2677</v>
      </c>
      <c r="G2235" s="221" t="s">
        <v>1512</v>
      </c>
      <c r="H2235" s="114" t="s">
        <v>1505</v>
      </c>
      <c r="I2235" s="114"/>
      <c r="J2235" s="114" t="b">
        <v>0</v>
      </c>
      <c r="K2235" s="114"/>
      <c r="L2235" s="114"/>
      <c r="M2235" s="114"/>
      <c r="N2235" s="114"/>
      <c r="O2235" s="114"/>
      <c r="P2235" s="114" t="s">
        <v>1494</v>
      </c>
      <c r="Q2235" s="114" t="s">
        <v>1228</v>
      </c>
    </row>
    <row r="2236" spans="2:17" hidden="1" outlineLevel="2">
      <c r="B2236" s="2" t="s">
        <v>876</v>
      </c>
      <c r="D2236" s="270">
        <v>3701</v>
      </c>
      <c r="E2236" s="112" t="s">
        <v>220</v>
      </c>
      <c r="F2236" s="112" t="s">
        <v>2678</v>
      </c>
      <c r="G2236" s="112" t="s">
        <v>1512</v>
      </c>
      <c r="H2236" s="112" t="s">
        <v>1505</v>
      </c>
      <c r="I2236" s="112"/>
      <c r="J2236" s="112" t="b">
        <v>0</v>
      </c>
      <c r="K2236" s="112"/>
      <c r="L2236" s="112"/>
      <c r="M2236" s="112"/>
      <c r="N2236" s="112"/>
      <c r="O2236" s="112"/>
      <c r="P2236" s="112" t="s">
        <v>1494</v>
      </c>
      <c r="Q2236" s="112" t="s">
        <v>1228</v>
      </c>
    </row>
    <row r="2237" spans="2:17" hidden="1" outlineLevel="2">
      <c r="B2237" s="2" t="s">
        <v>876</v>
      </c>
      <c r="D2237" s="268">
        <v>3704</v>
      </c>
      <c r="E2237" s="114" t="s">
        <v>220</v>
      </c>
      <c r="F2237" s="114" t="s">
        <v>2679</v>
      </c>
      <c r="G2237" s="114" t="s">
        <v>1512</v>
      </c>
      <c r="H2237" s="114" t="s">
        <v>1505</v>
      </c>
      <c r="I2237" s="114"/>
      <c r="J2237" s="114" t="b">
        <v>0</v>
      </c>
      <c r="K2237" s="114"/>
      <c r="L2237" s="114"/>
      <c r="M2237" s="114"/>
      <c r="N2237" s="114"/>
      <c r="O2237" s="114"/>
      <c r="P2237" s="114" t="s">
        <v>1494</v>
      </c>
      <c r="Q2237" s="114" t="s">
        <v>1228</v>
      </c>
    </row>
    <row r="2238" spans="2:17" hidden="1" outlineLevel="2">
      <c r="B2238" s="2" t="s">
        <v>876</v>
      </c>
      <c r="D2238" s="270">
        <v>3705</v>
      </c>
      <c r="E2238" s="112" t="s">
        <v>220</v>
      </c>
      <c r="F2238" s="112" t="s">
        <v>2680</v>
      </c>
      <c r="G2238" s="112" t="s">
        <v>1512</v>
      </c>
      <c r="H2238" s="112" t="s">
        <v>1505</v>
      </c>
      <c r="I2238" s="112"/>
      <c r="J2238" s="112" t="b">
        <v>0</v>
      </c>
      <c r="K2238" s="112"/>
      <c r="L2238" s="112"/>
      <c r="M2238" s="112"/>
      <c r="N2238" s="112"/>
      <c r="O2238" s="112"/>
      <c r="P2238" s="112" t="s">
        <v>1494</v>
      </c>
      <c r="Q2238" s="112" t="s">
        <v>1228</v>
      </c>
    </row>
    <row r="2239" spans="2:17" hidden="1" outlineLevel="2">
      <c r="B2239" s="2" t="s">
        <v>876</v>
      </c>
      <c r="D2239" s="268">
        <v>3707</v>
      </c>
      <c r="E2239" s="114" t="s">
        <v>220</v>
      </c>
      <c r="F2239" s="114" t="s">
        <v>2681</v>
      </c>
      <c r="G2239" s="221" t="s">
        <v>1512</v>
      </c>
      <c r="H2239" s="114" t="s">
        <v>1505</v>
      </c>
      <c r="I2239" s="114"/>
      <c r="J2239" s="114" t="b">
        <v>0</v>
      </c>
      <c r="K2239" s="114"/>
      <c r="L2239" s="114"/>
      <c r="M2239" s="114"/>
      <c r="N2239" s="114"/>
      <c r="O2239" s="114"/>
      <c r="P2239" s="114" t="s">
        <v>1494</v>
      </c>
      <c r="Q2239" s="114" t="s">
        <v>1228</v>
      </c>
    </row>
    <row r="2240" spans="2:17" hidden="1" outlineLevel="2">
      <c r="B2240" s="2" t="s">
        <v>876</v>
      </c>
      <c r="D2240" s="270">
        <v>3708</v>
      </c>
      <c r="E2240" s="112" t="s">
        <v>220</v>
      </c>
      <c r="F2240" s="112" t="s">
        <v>2682</v>
      </c>
      <c r="G2240" s="112" t="s">
        <v>1512</v>
      </c>
      <c r="H2240" s="112" t="s">
        <v>1505</v>
      </c>
      <c r="I2240" s="112"/>
      <c r="J2240" s="112" t="b">
        <v>0</v>
      </c>
      <c r="K2240" s="112"/>
      <c r="L2240" s="112"/>
      <c r="M2240" s="112"/>
      <c r="N2240" s="112"/>
      <c r="O2240" s="112"/>
      <c r="P2240" s="112" t="s">
        <v>1494</v>
      </c>
      <c r="Q2240" s="112" t="s">
        <v>1228</v>
      </c>
    </row>
    <row r="2241" spans="2:17" hidden="1" outlineLevel="2">
      <c r="B2241" s="2" t="s">
        <v>876</v>
      </c>
      <c r="D2241" s="268">
        <v>3709</v>
      </c>
      <c r="E2241" s="114" t="s">
        <v>220</v>
      </c>
      <c r="F2241" s="114" t="s">
        <v>2683</v>
      </c>
      <c r="G2241" s="114" t="s">
        <v>1512</v>
      </c>
      <c r="H2241" s="114" t="s">
        <v>1505</v>
      </c>
      <c r="I2241" s="114"/>
      <c r="J2241" s="114" t="b">
        <v>0</v>
      </c>
      <c r="K2241" s="114"/>
      <c r="L2241" s="114"/>
      <c r="M2241" s="114"/>
      <c r="N2241" s="114"/>
      <c r="O2241" s="114"/>
      <c r="P2241" s="114" t="s">
        <v>1494</v>
      </c>
      <c r="Q2241" s="114" t="s">
        <v>1228</v>
      </c>
    </row>
    <row r="2242" spans="2:17" hidden="1" outlineLevel="2">
      <c r="B2242" s="2" t="s">
        <v>876</v>
      </c>
      <c r="D2242" s="270">
        <v>3711</v>
      </c>
      <c r="E2242" s="112" t="s">
        <v>220</v>
      </c>
      <c r="F2242" s="112" t="s">
        <v>2684</v>
      </c>
      <c r="G2242" s="112" t="s">
        <v>1512</v>
      </c>
      <c r="H2242" s="112" t="s">
        <v>1505</v>
      </c>
      <c r="I2242" s="112"/>
      <c r="J2242" s="112" t="b">
        <v>0</v>
      </c>
      <c r="K2242" s="112"/>
      <c r="L2242" s="112"/>
      <c r="M2242" s="112"/>
      <c r="N2242" s="112"/>
      <c r="O2242" s="112"/>
      <c r="P2242" s="112" t="s">
        <v>1494</v>
      </c>
      <c r="Q2242" s="112" t="s">
        <v>1228</v>
      </c>
    </row>
    <row r="2243" spans="2:17" hidden="1" outlineLevel="2">
      <c r="B2243" s="2" t="s">
        <v>876</v>
      </c>
      <c r="D2243" s="268">
        <v>3712</v>
      </c>
      <c r="E2243" s="114" t="s">
        <v>220</v>
      </c>
      <c r="F2243" s="114" t="s">
        <v>2685</v>
      </c>
      <c r="G2243" s="114" t="s">
        <v>1512</v>
      </c>
      <c r="H2243" s="114" t="s">
        <v>1505</v>
      </c>
      <c r="I2243" s="114"/>
      <c r="J2243" s="114" t="b">
        <v>0</v>
      </c>
      <c r="K2243" s="114"/>
      <c r="L2243" s="114"/>
      <c r="M2243" s="114"/>
      <c r="N2243" s="114"/>
      <c r="O2243" s="114"/>
      <c r="P2243" s="114" t="s">
        <v>1494</v>
      </c>
      <c r="Q2243" s="114" t="s">
        <v>1228</v>
      </c>
    </row>
    <row r="2244" spans="2:17" hidden="1" outlineLevel="2">
      <c r="B2244" s="2" t="s">
        <v>876</v>
      </c>
      <c r="D2244" s="270">
        <v>3713</v>
      </c>
      <c r="E2244" s="112" t="s">
        <v>220</v>
      </c>
      <c r="F2244" s="112" t="s">
        <v>2686</v>
      </c>
      <c r="G2244" s="112" t="s">
        <v>1512</v>
      </c>
      <c r="H2244" s="112" t="s">
        <v>1512</v>
      </c>
      <c r="I2244" s="112"/>
      <c r="J2244" s="112" t="b">
        <v>0</v>
      </c>
      <c r="K2244" s="112"/>
      <c r="L2244" s="112"/>
      <c r="M2244" s="112"/>
      <c r="N2244" s="112"/>
      <c r="O2244" s="112"/>
      <c r="P2244" s="112" t="s">
        <v>2374</v>
      </c>
      <c r="Q2244" s="112" t="s">
        <v>1228</v>
      </c>
    </row>
    <row r="2245" spans="2:17" hidden="1" outlineLevel="2">
      <c r="B2245" s="2" t="s">
        <v>876</v>
      </c>
      <c r="D2245" s="268">
        <v>3714</v>
      </c>
      <c r="E2245" s="114" t="s">
        <v>220</v>
      </c>
      <c r="F2245" s="114" t="s">
        <v>2687</v>
      </c>
      <c r="G2245" s="114" t="s">
        <v>1493</v>
      </c>
      <c r="H2245" s="114" t="s">
        <v>1505</v>
      </c>
      <c r="I2245" s="114"/>
      <c r="J2245" s="114" t="b">
        <v>0</v>
      </c>
      <c r="K2245" s="114"/>
      <c r="L2245" s="114"/>
      <c r="M2245" s="114"/>
      <c r="N2245" s="114"/>
      <c r="O2245" s="114"/>
      <c r="P2245" s="114" t="s">
        <v>1494</v>
      </c>
      <c r="Q2245" s="114" t="s">
        <v>1228</v>
      </c>
    </row>
    <row r="2246" spans="2:17" hidden="1" outlineLevel="2">
      <c r="B2246" s="2" t="s">
        <v>876</v>
      </c>
      <c r="D2246" s="270">
        <v>3715</v>
      </c>
      <c r="E2246" s="112" t="s">
        <v>220</v>
      </c>
      <c r="F2246" s="112" t="s">
        <v>2688</v>
      </c>
      <c r="G2246" s="112" t="s">
        <v>1512</v>
      </c>
      <c r="H2246" s="112" t="s">
        <v>1505</v>
      </c>
      <c r="I2246" s="112"/>
      <c r="J2246" s="112" t="b">
        <v>0</v>
      </c>
      <c r="K2246" s="112"/>
      <c r="L2246" s="112"/>
      <c r="M2246" s="112"/>
      <c r="N2246" s="112"/>
      <c r="O2246" s="112"/>
      <c r="P2246" s="112" t="s">
        <v>1494</v>
      </c>
      <c r="Q2246" s="112" t="s">
        <v>1228</v>
      </c>
    </row>
    <row r="2247" spans="2:17" hidden="1" outlineLevel="2">
      <c r="B2247" s="2" t="s">
        <v>876</v>
      </c>
      <c r="D2247" s="268">
        <v>3717</v>
      </c>
      <c r="E2247" s="114" t="s">
        <v>220</v>
      </c>
      <c r="F2247" s="114" t="s">
        <v>2689</v>
      </c>
      <c r="G2247" s="114" t="s">
        <v>1493</v>
      </c>
      <c r="H2247" s="114" t="s">
        <v>1505</v>
      </c>
      <c r="I2247" s="114"/>
      <c r="J2247" s="114" t="b">
        <v>0</v>
      </c>
      <c r="K2247" s="114"/>
      <c r="L2247" s="114"/>
      <c r="M2247" s="114"/>
      <c r="N2247" s="114"/>
      <c r="O2247" s="114"/>
      <c r="P2247" s="114" t="s">
        <v>1494</v>
      </c>
      <c r="Q2247" s="114" t="s">
        <v>1228</v>
      </c>
    </row>
    <row r="2248" spans="2:17" hidden="1" outlineLevel="2">
      <c r="B2248" s="2" t="s">
        <v>876</v>
      </c>
      <c r="D2248" s="270">
        <v>3718</v>
      </c>
      <c r="E2248" s="112" t="s">
        <v>220</v>
      </c>
      <c r="F2248" s="112" t="s">
        <v>2690</v>
      </c>
      <c r="G2248" s="112" t="s">
        <v>1512</v>
      </c>
      <c r="H2248" s="112" t="s">
        <v>1505</v>
      </c>
      <c r="I2248" s="112"/>
      <c r="J2248" s="112" t="b">
        <v>0</v>
      </c>
      <c r="K2248" s="112"/>
      <c r="L2248" s="112"/>
      <c r="M2248" s="112"/>
      <c r="N2248" s="112"/>
      <c r="O2248" s="112"/>
      <c r="P2248" s="112" t="s">
        <v>1494</v>
      </c>
      <c r="Q2248" s="112" t="s">
        <v>1228</v>
      </c>
    </row>
    <row r="2249" spans="2:17" hidden="1" outlineLevel="2">
      <c r="B2249" s="2" t="s">
        <v>876</v>
      </c>
      <c r="D2249" s="268">
        <v>3719</v>
      </c>
      <c r="E2249" s="114" t="s">
        <v>220</v>
      </c>
      <c r="F2249" s="114" t="s">
        <v>2691</v>
      </c>
      <c r="G2249" s="114" t="s">
        <v>1512</v>
      </c>
      <c r="H2249" s="114" t="s">
        <v>1505</v>
      </c>
      <c r="I2249" s="114"/>
      <c r="J2249" s="114" t="b">
        <v>0</v>
      </c>
      <c r="K2249" s="114"/>
      <c r="L2249" s="114"/>
      <c r="M2249" s="114"/>
      <c r="N2249" s="114"/>
      <c r="O2249" s="114"/>
      <c r="P2249" s="114" t="s">
        <v>1494</v>
      </c>
      <c r="Q2249" s="114" t="s">
        <v>1228</v>
      </c>
    </row>
    <row r="2250" spans="2:17" hidden="1" outlineLevel="2">
      <c r="B2250" s="2" t="s">
        <v>876</v>
      </c>
      <c r="D2250" s="270">
        <v>3720</v>
      </c>
      <c r="E2250" s="112" t="s">
        <v>220</v>
      </c>
      <c r="F2250" s="112" t="s">
        <v>2692</v>
      </c>
      <c r="G2250" s="112" t="s">
        <v>1512</v>
      </c>
      <c r="H2250" s="112" t="s">
        <v>1505</v>
      </c>
      <c r="I2250" s="112"/>
      <c r="J2250" s="112" t="b">
        <v>0</v>
      </c>
      <c r="K2250" s="112"/>
      <c r="L2250" s="112"/>
      <c r="M2250" s="112"/>
      <c r="N2250" s="112"/>
      <c r="O2250" s="112"/>
      <c r="P2250" s="112" t="s">
        <v>1494</v>
      </c>
      <c r="Q2250" s="112" t="s">
        <v>1228</v>
      </c>
    </row>
    <row r="2251" spans="2:17" hidden="1" outlineLevel="2">
      <c r="B2251" s="2" t="s">
        <v>876</v>
      </c>
      <c r="D2251" s="268">
        <v>3722</v>
      </c>
      <c r="E2251" s="114" t="s">
        <v>220</v>
      </c>
      <c r="F2251" s="114" t="s">
        <v>2693</v>
      </c>
      <c r="G2251" s="114" t="s">
        <v>1493</v>
      </c>
      <c r="H2251" s="114" t="s">
        <v>1505</v>
      </c>
      <c r="I2251" s="114"/>
      <c r="J2251" s="114" t="b">
        <v>0</v>
      </c>
      <c r="K2251" s="114"/>
      <c r="L2251" s="114"/>
      <c r="M2251" s="114"/>
      <c r="N2251" s="114"/>
      <c r="O2251" s="114"/>
      <c r="P2251" s="114" t="s">
        <v>1494</v>
      </c>
      <c r="Q2251" s="114" t="s">
        <v>1228</v>
      </c>
    </row>
    <row r="2252" spans="2:17" hidden="1" outlineLevel="2">
      <c r="B2252" s="2" t="s">
        <v>876</v>
      </c>
      <c r="D2252" s="270">
        <v>3723</v>
      </c>
      <c r="E2252" s="112" t="s">
        <v>220</v>
      </c>
      <c r="F2252" s="112" t="s">
        <v>2694</v>
      </c>
      <c r="G2252" s="112" t="s">
        <v>1493</v>
      </c>
      <c r="H2252" s="112" t="s">
        <v>1505</v>
      </c>
      <c r="I2252" s="112"/>
      <c r="J2252" s="112" t="b">
        <v>0</v>
      </c>
      <c r="K2252" s="112"/>
      <c r="L2252" s="112"/>
      <c r="M2252" s="112"/>
      <c r="N2252" s="112"/>
      <c r="O2252" s="112"/>
      <c r="P2252" s="112" t="s">
        <v>2374</v>
      </c>
      <c r="Q2252" s="112" t="s">
        <v>1228</v>
      </c>
    </row>
    <row r="2253" spans="2:17" hidden="1" outlineLevel="2">
      <c r="B2253" s="2" t="s">
        <v>876</v>
      </c>
      <c r="D2253" s="268">
        <v>3725</v>
      </c>
      <c r="E2253" s="114" t="s">
        <v>220</v>
      </c>
      <c r="F2253" s="114" t="s">
        <v>2695</v>
      </c>
      <c r="G2253" s="114" t="s">
        <v>1512</v>
      </c>
      <c r="H2253" s="114" t="s">
        <v>1505</v>
      </c>
      <c r="I2253" s="114"/>
      <c r="J2253" s="114" t="b">
        <v>0</v>
      </c>
      <c r="K2253" s="114"/>
      <c r="L2253" s="114"/>
      <c r="M2253" s="114"/>
      <c r="N2253" s="114"/>
      <c r="O2253" s="114"/>
      <c r="P2253" s="114" t="s">
        <v>1494</v>
      </c>
      <c r="Q2253" s="114" t="s">
        <v>1228</v>
      </c>
    </row>
    <row r="2254" spans="2:17" hidden="1" outlineLevel="2">
      <c r="B2254" s="2" t="s">
        <v>876</v>
      </c>
      <c r="D2254" s="270">
        <v>3726</v>
      </c>
      <c r="E2254" s="112" t="s">
        <v>220</v>
      </c>
      <c r="F2254" s="112" t="s">
        <v>2696</v>
      </c>
      <c r="G2254" s="112" t="s">
        <v>1512</v>
      </c>
      <c r="H2254" s="112" t="s">
        <v>1505</v>
      </c>
      <c r="I2254" s="112"/>
      <c r="J2254" s="112" t="b">
        <v>0</v>
      </c>
      <c r="K2254" s="112"/>
      <c r="L2254" s="112"/>
      <c r="M2254" s="112"/>
      <c r="N2254" s="112"/>
      <c r="O2254" s="112"/>
      <c r="P2254" s="112" t="s">
        <v>1494</v>
      </c>
      <c r="Q2254" s="112" t="s">
        <v>1228</v>
      </c>
    </row>
    <row r="2255" spans="2:17" hidden="1" outlineLevel="2">
      <c r="B2255" s="2" t="s">
        <v>876</v>
      </c>
      <c r="D2255" s="268">
        <v>3727</v>
      </c>
      <c r="E2255" s="114" t="s">
        <v>220</v>
      </c>
      <c r="F2255" s="114" t="s">
        <v>2697</v>
      </c>
      <c r="G2255" s="114" t="s">
        <v>1512</v>
      </c>
      <c r="H2255" s="114" t="s">
        <v>1505</v>
      </c>
      <c r="I2255" s="114"/>
      <c r="J2255" s="114" t="b">
        <v>0</v>
      </c>
      <c r="K2255" s="114"/>
      <c r="L2255" s="114"/>
      <c r="M2255" s="114"/>
      <c r="N2255" s="114"/>
      <c r="O2255" s="114"/>
      <c r="P2255" s="114" t="s">
        <v>1494</v>
      </c>
      <c r="Q2255" s="114" t="s">
        <v>1228</v>
      </c>
    </row>
    <row r="2256" spans="2:17" hidden="1" outlineLevel="2">
      <c r="B2256" s="2" t="s">
        <v>876</v>
      </c>
      <c r="D2256" s="270">
        <v>3728</v>
      </c>
      <c r="E2256" s="112" t="s">
        <v>220</v>
      </c>
      <c r="F2256" s="112" t="s">
        <v>2698</v>
      </c>
      <c r="G2256" s="112" t="s">
        <v>1512</v>
      </c>
      <c r="H2256" s="112" t="s">
        <v>1505</v>
      </c>
      <c r="I2256" s="112"/>
      <c r="J2256" s="112" t="b">
        <v>0</v>
      </c>
      <c r="K2256" s="112"/>
      <c r="L2256" s="112" t="b">
        <v>1</v>
      </c>
      <c r="M2256" s="112"/>
      <c r="N2256" s="112"/>
      <c r="O2256" s="112"/>
      <c r="P2256" s="112" t="s">
        <v>1494</v>
      </c>
      <c r="Q2256" s="112" t="s">
        <v>1228</v>
      </c>
    </row>
    <row r="2257" spans="2:17" hidden="1" outlineLevel="2">
      <c r="B2257" s="2" t="s">
        <v>876</v>
      </c>
      <c r="D2257" s="268">
        <v>3730</v>
      </c>
      <c r="E2257" s="114" t="s">
        <v>220</v>
      </c>
      <c r="F2257" s="114" t="s">
        <v>2699</v>
      </c>
      <c r="G2257" s="114" t="s">
        <v>1493</v>
      </c>
      <c r="H2257" s="114" t="s">
        <v>1505</v>
      </c>
      <c r="I2257" s="114"/>
      <c r="J2257" s="114" t="b">
        <v>0</v>
      </c>
      <c r="K2257" s="114"/>
      <c r="L2257" s="114"/>
      <c r="M2257" s="114"/>
      <c r="N2257" s="114"/>
      <c r="O2257" s="114"/>
      <c r="P2257" s="114" t="s">
        <v>1494</v>
      </c>
      <c r="Q2257" s="114" t="s">
        <v>1228</v>
      </c>
    </row>
    <row r="2258" spans="2:17" hidden="1" outlineLevel="2">
      <c r="B2258" s="2" t="s">
        <v>876</v>
      </c>
      <c r="D2258" s="270">
        <v>3732</v>
      </c>
      <c r="E2258" s="112" t="s">
        <v>220</v>
      </c>
      <c r="F2258" s="112" t="s">
        <v>2700</v>
      </c>
      <c r="G2258" s="112" t="s">
        <v>1512</v>
      </c>
      <c r="H2258" s="112" t="s">
        <v>1505</v>
      </c>
      <c r="I2258" s="112"/>
      <c r="J2258" s="112" t="b">
        <v>0</v>
      </c>
      <c r="K2258" s="112"/>
      <c r="L2258" s="112" t="b">
        <v>1</v>
      </c>
      <c r="M2258" s="112"/>
      <c r="N2258" s="112"/>
      <c r="O2258" s="112"/>
      <c r="P2258" s="112" t="s">
        <v>1494</v>
      </c>
      <c r="Q2258" s="112" t="s">
        <v>1228</v>
      </c>
    </row>
    <row r="2259" spans="2:17" hidden="1" outlineLevel="2">
      <c r="B2259" s="2" t="s">
        <v>876</v>
      </c>
      <c r="D2259" s="268">
        <v>3733</v>
      </c>
      <c r="E2259" s="114" t="s">
        <v>220</v>
      </c>
      <c r="F2259" s="114" t="s">
        <v>2701</v>
      </c>
      <c r="G2259" s="114" t="s">
        <v>1512</v>
      </c>
      <c r="H2259" s="114" t="s">
        <v>1505</v>
      </c>
      <c r="I2259" s="114"/>
      <c r="J2259" s="114" t="b">
        <v>0</v>
      </c>
      <c r="K2259" s="114"/>
      <c r="L2259" s="114"/>
      <c r="M2259" s="114"/>
      <c r="N2259" s="114"/>
      <c r="O2259" s="114"/>
      <c r="P2259" s="114" t="s">
        <v>1494</v>
      </c>
      <c r="Q2259" s="114" t="s">
        <v>1228</v>
      </c>
    </row>
    <row r="2260" spans="2:17" hidden="1" outlineLevel="2">
      <c r="B2260" s="2" t="s">
        <v>876</v>
      </c>
      <c r="D2260" s="270">
        <v>3735</v>
      </c>
      <c r="E2260" s="112" t="s">
        <v>220</v>
      </c>
      <c r="F2260" s="112" t="s">
        <v>2702</v>
      </c>
      <c r="G2260" s="112" t="s">
        <v>1512</v>
      </c>
      <c r="H2260" s="112" t="s">
        <v>1505</v>
      </c>
      <c r="I2260" s="112"/>
      <c r="J2260" s="112" t="b">
        <v>0</v>
      </c>
      <c r="K2260" s="112"/>
      <c r="L2260" s="112"/>
      <c r="M2260" s="112"/>
      <c r="N2260" s="112"/>
      <c r="O2260" s="112"/>
      <c r="P2260" s="112" t="s">
        <v>1494</v>
      </c>
      <c r="Q2260" s="112" t="s">
        <v>1228</v>
      </c>
    </row>
    <row r="2261" spans="2:17" hidden="1" outlineLevel="2">
      <c r="B2261" s="2" t="s">
        <v>876</v>
      </c>
      <c r="D2261" s="268">
        <v>3737</v>
      </c>
      <c r="E2261" s="114" t="s">
        <v>220</v>
      </c>
      <c r="F2261" s="114" t="s">
        <v>2703</v>
      </c>
      <c r="G2261" s="221" t="s">
        <v>1493</v>
      </c>
      <c r="H2261" s="114" t="s">
        <v>1512</v>
      </c>
      <c r="I2261" s="114"/>
      <c r="J2261" s="114" t="b">
        <v>0</v>
      </c>
      <c r="K2261" s="114"/>
      <c r="L2261" s="114"/>
      <c r="M2261" s="114"/>
      <c r="N2261" s="114"/>
      <c r="O2261" s="114"/>
      <c r="P2261" s="114" t="s">
        <v>2374</v>
      </c>
      <c r="Q2261" s="114" t="s">
        <v>1228</v>
      </c>
    </row>
    <row r="2262" spans="2:17" hidden="1" outlineLevel="2">
      <c r="B2262" s="2" t="s">
        <v>876</v>
      </c>
      <c r="D2262" s="270">
        <v>3738</v>
      </c>
      <c r="E2262" s="112" t="s">
        <v>220</v>
      </c>
      <c r="F2262" s="112" t="s">
        <v>2704</v>
      </c>
      <c r="G2262" s="112" t="s">
        <v>1512</v>
      </c>
      <c r="H2262" s="112" t="s">
        <v>1505</v>
      </c>
      <c r="I2262" s="112"/>
      <c r="J2262" s="112" t="b">
        <v>0</v>
      </c>
      <c r="K2262" s="112"/>
      <c r="L2262" s="112"/>
      <c r="M2262" s="112"/>
      <c r="N2262" s="112"/>
      <c r="O2262" s="112"/>
      <c r="P2262" s="112" t="s">
        <v>1494</v>
      </c>
      <c r="Q2262" s="112" t="s">
        <v>1228</v>
      </c>
    </row>
    <row r="2263" spans="2:17" hidden="1" outlineLevel="2">
      <c r="B2263" s="2" t="s">
        <v>876</v>
      </c>
      <c r="D2263" s="268">
        <v>3739</v>
      </c>
      <c r="E2263" s="114" t="s">
        <v>220</v>
      </c>
      <c r="F2263" s="114" t="s">
        <v>2705</v>
      </c>
      <c r="G2263" s="114" t="s">
        <v>1512</v>
      </c>
      <c r="H2263" s="114" t="s">
        <v>1505</v>
      </c>
      <c r="I2263" s="114"/>
      <c r="J2263" s="114" t="b">
        <v>0</v>
      </c>
      <c r="K2263" s="114"/>
      <c r="L2263" s="114"/>
      <c r="M2263" s="114"/>
      <c r="N2263" s="114"/>
      <c r="O2263" s="114"/>
      <c r="P2263" s="114" t="s">
        <v>1494</v>
      </c>
      <c r="Q2263" s="114" t="s">
        <v>1228</v>
      </c>
    </row>
    <row r="2264" spans="2:17" hidden="1" outlineLevel="2">
      <c r="B2264" s="2" t="s">
        <v>876</v>
      </c>
      <c r="D2264" s="270">
        <v>3740</v>
      </c>
      <c r="E2264" s="112" t="s">
        <v>220</v>
      </c>
      <c r="F2264" s="112" t="s">
        <v>2706</v>
      </c>
      <c r="G2264" s="112" t="s">
        <v>1493</v>
      </c>
      <c r="H2264" s="112" t="s">
        <v>1505</v>
      </c>
      <c r="I2264" s="112"/>
      <c r="J2264" s="112" t="b">
        <v>0</v>
      </c>
      <c r="K2264" s="112"/>
      <c r="L2264" s="112"/>
      <c r="M2264" s="112"/>
      <c r="N2264" s="112"/>
      <c r="O2264" s="112"/>
      <c r="P2264" s="112" t="s">
        <v>1494</v>
      </c>
      <c r="Q2264" s="112" t="s">
        <v>1228</v>
      </c>
    </row>
    <row r="2265" spans="2:17" hidden="1" outlineLevel="2">
      <c r="B2265" s="2" t="s">
        <v>876</v>
      </c>
      <c r="D2265" s="268">
        <v>3741</v>
      </c>
      <c r="E2265" s="114" t="s">
        <v>220</v>
      </c>
      <c r="F2265" s="114" t="s">
        <v>2707</v>
      </c>
      <c r="G2265" s="114" t="s">
        <v>1493</v>
      </c>
      <c r="H2265" s="114" t="s">
        <v>1505</v>
      </c>
      <c r="I2265" s="114"/>
      <c r="J2265" s="114" t="b">
        <v>0</v>
      </c>
      <c r="K2265" s="114"/>
      <c r="L2265" s="114"/>
      <c r="M2265" s="114"/>
      <c r="N2265" s="114"/>
      <c r="O2265" s="114"/>
      <c r="P2265" s="114" t="s">
        <v>2374</v>
      </c>
      <c r="Q2265" s="114" t="s">
        <v>1228</v>
      </c>
    </row>
    <row r="2266" spans="2:17" hidden="1" outlineLevel="2">
      <c r="B2266" s="2" t="s">
        <v>876</v>
      </c>
      <c r="D2266" s="270">
        <v>3744</v>
      </c>
      <c r="E2266" s="112" t="s">
        <v>220</v>
      </c>
      <c r="F2266" s="112" t="s">
        <v>2708</v>
      </c>
      <c r="G2266" s="112" t="s">
        <v>1493</v>
      </c>
      <c r="H2266" s="112" t="s">
        <v>1505</v>
      </c>
      <c r="I2266" s="112"/>
      <c r="J2266" s="112" t="b">
        <v>0</v>
      </c>
      <c r="K2266" s="112"/>
      <c r="L2266" s="112"/>
      <c r="M2266" s="112"/>
      <c r="N2266" s="112"/>
      <c r="O2266" s="112"/>
      <c r="P2266" s="112" t="s">
        <v>1494</v>
      </c>
      <c r="Q2266" s="112" t="s">
        <v>1228</v>
      </c>
    </row>
    <row r="2267" spans="2:17" hidden="1" outlineLevel="2">
      <c r="B2267" s="2" t="s">
        <v>876</v>
      </c>
      <c r="D2267" s="268">
        <v>3746</v>
      </c>
      <c r="E2267" s="114" t="s">
        <v>220</v>
      </c>
      <c r="F2267" s="114" t="s">
        <v>2709</v>
      </c>
      <c r="G2267" s="114" t="s">
        <v>1512</v>
      </c>
      <c r="H2267" s="114" t="s">
        <v>1505</v>
      </c>
      <c r="I2267" s="114"/>
      <c r="J2267" s="114" t="b">
        <v>0</v>
      </c>
      <c r="K2267" s="114"/>
      <c r="L2267" s="114"/>
      <c r="M2267" s="114"/>
      <c r="N2267" s="114"/>
      <c r="O2267" s="114"/>
      <c r="P2267" s="114" t="s">
        <v>1494</v>
      </c>
      <c r="Q2267" s="114" t="s">
        <v>1228</v>
      </c>
    </row>
    <row r="2268" spans="2:17" hidden="1" outlineLevel="2">
      <c r="B2268" s="2" t="s">
        <v>876</v>
      </c>
      <c r="D2268" s="270">
        <v>3747</v>
      </c>
      <c r="E2268" s="112" t="s">
        <v>220</v>
      </c>
      <c r="F2268" s="112" t="s">
        <v>2710</v>
      </c>
      <c r="G2268" s="112" t="s">
        <v>1493</v>
      </c>
      <c r="H2268" s="112" t="s">
        <v>1505</v>
      </c>
      <c r="I2268" s="112"/>
      <c r="J2268" s="112" t="b">
        <v>0</v>
      </c>
      <c r="K2268" s="112"/>
      <c r="L2268" s="112"/>
      <c r="M2268" s="112"/>
      <c r="N2268" s="112"/>
      <c r="O2268" s="112"/>
      <c r="P2268" s="112" t="s">
        <v>1494</v>
      </c>
      <c r="Q2268" s="112" t="s">
        <v>1228</v>
      </c>
    </row>
    <row r="2269" spans="2:17" hidden="1" outlineLevel="2">
      <c r="B2269" s="2" t="s">
        <v>876</v>
      </c>
      <c r="D2269" s="268">
        <v>3749</v>
      </c>
      <c r="E2269" s="114" t="s">
        <v>220</v>
      </c>
      <c r="F2269" s="114" t="s">
        <v>2711</v>
      </c>
      <c r="G2269" s="114" t="s">
        <v>1493</v>
      </c>
      <c r="H2269" s="114" t="s">
        <v>1505</v>
      </c>
      <c r="I2269" s="114"/>
      <c r="J2269" s="114" t="b">
        <v>0</v>
      </c>
      <c r="K2269" s="114"/>
      <c r="L2269" s="114"/>
      <c r="M2269" s="114"/>
      <c r="N2269" s="114"/>
      <c r="O2269" s="114"/>
      <c r="P2269" s="114" t="s">
        <v>1494</v>
      </c>
      <c r="Q2269" s="114" t="s">
        <v>1228</v>
      </c>
    </row>
    <row r="2270" spans="2:17" hidden="1" outlineLevel="2">
      <c r="B2270" s="2" t="s">
        <v>876</v>
      </c>
      <c r="D2270" s="270">
        <v>3750</v>
      </c>
      <c r="E2270" s="112" t="s">
        <v>220</v>
      </c>
      <c r="F2270" s="112" t="s">
        <v>2712</v>
      </c>
      <c r="G2270" s="112" t="s">
        <v>1572</v>
      </c>
      <c r="H2270" s="112" t="s">
        <v>1227</v>
      </c>
      <c r="I2270" s="112"/>
      <c r="J2270" s="112" t="b">
        <v>0</v>
      </c>
      <c r="K2270" s="112"/>
      <c r="L2270" s="112"/>
      <c r="M2270" s="112"/>
      <c r="N2270" s="112"/>
      <c r="O2270" s="112"/>
      <c r="P2270" s="112" t="s">
        <v>2196</v>
      </c>
      <c r="Q2270" s="112" t="s">
        <v>1228</v>
      </c>
    </row>
    <row r="2271" spans="2:17" hidden="1" outlineLevel="2">
      <c r="B2271" s="2" t="s">
        <v>876</v>
      </c>
      <c r="D2271" s="268">
        <v>3751</v>
      </c>
      <c r="E2271" s="114" t="s">
        <v>220</v>
      </c>
      <c r="F2271" s="114" t="s">
        <v>2713</v>
      </c>
      <c r="G2271" s="114" t="s">
        <v>1493</v>
      </c>
      <c r="H2271" s="114" t="s">
        <v>1505</v>
      </c>
      <c r="I2271" s="114"/>
      <c r="J2271" s="114" t="b">
        <v>0</v>
      </c>
      <c r="K2271" s="114"/>
      <c r="L2271" s="114"/>
      <c r="M2271" s="114"/>
      <c r="N2271" s="114"/>
      <c r="O2271" s="114"/>
      <c r="P2271" s="114" t="s">
        <v>2196</v>
      </c>
      <c r="Q2271" s="114" t="s">
        <v>1228</v>
      </c>
    </row>
    <row r="2272" spans="2:17" hidden="1" outlineLevel="2">
      <c r="B2272" s="2" t="s">
        <v>876</v>
      </c>
      <c r="D2272" s="270">
        <v>3752</v>
      </c>
      <c r="E2272" s="112" t="s">
        <v>220</v>
      </c>
      <c r="F2272" s="112" t="s">
        <v>2714</v>
      </c>
      <c r="G2272" s="112" t="s">
        <v>1572</v>
      </c>
      <c r="H2272" s="112" t="s">
        <v>1227</v>
      </c>
      <c r="I2272" s="112"/>
      <c r="J2272" s="112" t="b">
        <v>0</v>
      </c>
      <c r="K2272" s="112"/>
      <c r="L2272" s="112"/>
      <c r="M2272" s="112"/>
      <c r="N2272" s="112"/>
      <c r="O2272" s="112"/>
      <c r="P2272" s="112" t="s">
        <v>2196</v>
      </c>
      <c r="Q2272" s="112" t="s">
        <v>1227</v>
      </c>
    </row>
    <row r="2273" spans="2:17" hidden="1" outlineLevel="2">
      <c r="B2273" s="2" t="s">
        <v>876</v>
      </c>
      <c r="D2273" s="268">
        <v>3753</v>
      </c>
      <c r="E2273" s="114" t="s">
        <v>220</v>
      </c>
      <c r="F2273" s="114" t="s">
        <v>2715</v>
      </c>
      <c r="G2273" s="114" t="s">
        <v>1483</v>
      </c>
      <c r="H2273" s="114" t="s">
        <v>1494</v>
      </c>
      <c r="I2273" s="114"/>
      <c r="J2273" s="114" t="b">
        <v>0</v>
      </c>
      <c r="K2273" s="114"/>
      <c r="L2273" s="114"/>
      <c r="M2273" s="114"/>
      <c r="N2273" s="114"/>
      <c r="O2273" s="114"/>
      <c r="P2273" s="114" t="s">
        <v>2374</v>
      </c>
      <c r="Q2273" s="114" t="s">
        <v>1228</v>
      </c>
    </row>
    <row r="2274" spans="2:17" hidden="1" outlineLevel="2">
      <c r="B2274" s="2" t="s">
        <v>876</v>
      </c>
      <c r="D2274" s="270">
        <v>3754</v>
      </c>
      <c r="E2274" s="112" t="s">
        <v>220</v>
      </c>
      <c r="F2274" s="112" t="s">
        <v>2716</v>
      </c>
      <c r="G2274" s="112" t="s">
        <v>1572</v>
      </c>
      <c r="H2274" s="112" t="s">
        <v>1227</v>
      </c>
      <c r="I2274" s="112"/>
      <c r="J2274" s="112" t="b">
        <v>0</v>
      </c>
      <c r="K2274" s="112"/>
      <c r="L2274" s="112"/>
      <c r="M2274" s="112"/>
      <c r="N2274" s="112"/>
      <c r="O2274" s="112"/>
      <c r="P2274" s="112" t="s">
        <v>2196</v>
      </c>
      <c r="Q2274" s="112" t="s">
        <v>1227</v>
      </c>
    </row>
    <row r="2275" spans="2:17" hidden="1" outlineLevel="2">
      <c r="B2275" s="2" t="s">
        <v>876</v>
      </c>
      <c r="D2275" s="268">
        <v>3755</v>
      </c>
      <c r="E2275" s="114" t="s">
        <v>220</v>
      </c>
      <c r="F2275" s="114" t="s">
        <v>2717</v>
      </c>
      <c r="G2275" s="114" t="s">
        <v>1572</v>
      </c>
      <c r="H2275" s="114" t="s">
        <v>1227</v>
      </c>
      <c r="I2275" s="114"/>
      <c r="J2275" s="114" t="b">
        <v>0</v>
      </c>
      <c r="K2275" s="114"/>
      <c r="L2275" s="114"/>
      <c r="M2275" s="114"/>
      <c r="N2275" s="114"/>
      <c r="O2275" s="114"/>
      <c r="P2275" s="114" t="s">
        <v>2196</v>
      </c>
      <c r="Q2275" s="114" t="s">
        <v>1227</v>
      </c>
    </row>
    <row r="2276" spans="2:17" hidden="1" outlineLevel="2">
      <c r="B2276" s="2" t="s">
        <v>876</v>
      </c>
      <c r="D2276" s="270">
        <v>3756</v>
      </c>
      <c r="E2276" s="112" t="s">
        <v>220</v>
      </c>
      <c r="F2276" s="112" t="s">
        <v>2718</v>
      </c>
      <c r="G2276" s="112" t="s">
        <v>1483</v>
      </c>
      <c r="H2276" s="112" t="s">
        <v>1494</v>
      </c>
      <c r="I2276" s="112"/>
      <c r="J2276" s="112" t="b">
        <v>0</v>
      </c>
      <c r="K2276" s="112"/>
      <c r="L2276" s="112"/>
      <c r="M2276" s="112"/>
      <c r="N2276" s="112"/>
      <c r="O2276" s="112"/>
      <c r="P2276" s="112" t="s">
        <v>1494</v>
      </c>
      <c r="Q2276" s="112" t="s">
        <v>1228</v>
      </c>
    </row>
    <row r="2277" spans="2:17" hidden="1" outlineLevel="2">
      <c r="B2277" s="2" t="s">
        <v>876</v>
      </c>
      <c r="D2277" s="268">
        <v>3757</v>
      </c>
      <c r="E2277" s="114" t="s">
        <v>220</v>
      </c>
      <c r="F2277" s="114" t="s">
        <v>2719</v>
      </c>
      <c r="G2277" s="114" t="s">
        <v>1572</v>
      </c>
      <c r="H2277" s="114" t="s">
        <v>1227</v>
      </c>
      <c r="I2277" s="114"/>
      <c r="J2277" s="114" t="b">
        <v>0</v>
      </c>
      <c r="K2277" s="114"/>
      <c r="L2277" s="114"/>
      <c r="M2277" s="114"/>
      <c r="N2277" s="114"/>
      <c r="O2277" s="114"/>
      <c r="P2277" s="114" t="s">
        <v>2374</v>
      </c>
      <c r="Q2277" s="114" t="s">
        <v>1227</v>
      </c>
    </row>
    <row r="2278" spans="2:17" hidden="1" outlineLevel="2">
      <c r="B2278" s="2" t="s">
        <v>876</v>
      </c>
      <c r="D2278" s="270">
        <v>3758</v>
      </c>
      <c r="E2278" s="112" t="s">
        <v>220</v>
      </c>
      <c r="F2278" s="112" t="s">
        <v>2720</v>
      </c>
      <c r="G2278" s="269" t="s">
        <v>1493</v>
      </c>
      <c r="H2278" s="112" t="s">
        <v>1505</v>
      </c>
      <c r="I2278" s="112"/>
      <c r="J2278" s="112" t="b">
        <v>0</v>
      </c>
      <c r="K2278" s="112"/>
      <c r="L2278" s="112" t="b">
        <v>1</v>
      </c>
      <c r="M2278" s="112"/>
      <c r="N2278" s="112"/>
      <c r="O2278" s="112"/>
      <c r="P2278" s="112" t="s">
        <v>1494</v>
      </c>
      <c r="Q2278" s="112" t="s">
        <v>1228</v>
      </c>
    </row>
    <row r="2279" spans="2:17" hidden="1" outlineLevel="2">
      <c r="B2279" s="2" t="s">
        <v>876</v>
      </c>
      <c r="D2279" s="268">
        <v>3759</v>
      </c>
      <c r="E2279" s="114" t="s">
        <v>220</v>
      </c>
      <c r="F2279" s="114" t="s">
        <v>2721</v>
      </c>
      <c r="G2279" s="114" t="s">
        <v>1572</v>
      </c>
      <c r="H2279" s="114" t="s">
        <v>1227</v>
      </c>
      <c r="I2279" s="114"/>
      <c r="J2279" s="114" t="b">
        <v>0</v>
      </c>
      <c r="K2279" s="114"/>
      <c r="L2279" s="114"/>
      <c r="M2279" s="114"/>
      <c r="N2279" s="114"/>
      <c r="O2279" s="114"/>
      <c r="P2279" s="114" t="s">
        <v>2196</v>
      </c>
      <c r="Q2279" s="114" t="s">
        <v>1227</v>
      </c>
    </row>
    <row r="2280" spans="2:17" hidden="1" outlineLevel="2">
      <c r="B2280" s="2" t="s">
        <v>876</v>
      </c>
      <c r="D2280" s="270">
        <v>3760</v>
      </c>
      <c r="E2280" s="112" t="s">
        <v>220</v>
      </c>
      <c r="F2280" s="112" t="s">
        <v>2722</v>
      </c>
      <c r="G2280" s="269" t="s">
        <v>1493</v>
      </c>
      <c r="H2280" s="112" t="s">
        <v>1505</v>
      </c>
      <c r="I2280" s="112"/>
      <c r="J2280" s="112" t="b">
        <v>0</v>
      </c>
      <c r="K2280" s="112"/>
      <c r="L2280" s="112"/>
      <c r="M2280" s="112"/>
      <c r="N2280" s="112"/>
      <c r="O2280" s="112"/>
      <c r="P2280" s="112" t="s">
        <v>2196</v>
      </c>
      <c r="Q2280" s="112" t="s">
        <v>1228</v>
      </c>
    </row>
    <row r="2281" spans="2:17" hidden="1" outlineLevel="2">
      <c r="B2281" s="2" t="s">
        <v>876</v>
      </c>
      <c r="D2281" s="268">
        <v>3761</v>
      </c>
      <c r="E2281" s="114" t="s">
        <v>220</v>
      </c>
      <c r="F2281" s="114" t="s">
        <v>2723</v>
      </c>
      <c r="G2281" s="114" t="s">
        <v>1572</v>
      </c>
      <c r="H2281" s="114" t="s">
        <v>1227</v>
      </c>
      <c r="I2281" s="114"/>
      <c r="J2281" s="114" t="b">
        <v>0</v>
      </c>
      <c r="K2281" s="114"/>
      <c r="L2281" s="114"/>
      <c r="M2281" s="114"/>
      <c r="N2281" s="114"/>
      <c r="O2281" s="114"/>
      <c r="P2281" s="114" t="s">
        <v>2196</v>
      </c>
      <c r="Q2281" s="114" t="s">
        <v>1227</v>
      </c>
    </row>
    <row r="2282" spans="2:17" hidden="1" outlineLevel="2">
      <c r="B2282" s="2" t="s">
        <v>876</v>
      </c>
      <c r="D2282" s="270">
        <v>3762</v>
      </c>
      <c r="E2282" s="112" t="s">
        <v>220</v>
      </c>
      <c r="F2282" s="112" t="s">
        <v>2724</v>
      </c>
      <c r="G2282" s="112" t="s">
        <v>1512</v>
      </c>
      <c r="H2282" s="112" t="s">
        <v>1505</v>
      </c>
      <c r="I2282" s="112"/>
      <c r="J2282" s="112" t="b">
        <v>0</v>
      </c>
      <c r="K2282" s="112"/>
      <c r="L2282" s="112" t="b">
        <v>1</v>
      </c>
      <c r="M2282" s="112"/>
      <c r="N2282" s="112"/>
      <c r="O2282" s="112"/>
      <c r="P2282" s="112" t="s">
        <v>1494</v>
      </c>
      <c r="Q2282" s="112" t="s">
        <v>1228</v>
      </c>
    </row>
    <row r="2283" spans="2:17" hidden="1" outlineLevel="2">
      <c r="B2283" s="2" t="s">
        <v>876</v>
      </c>
      <c r="D2283" s="268">
        <v>3763</v>
      </c>
      <c r="E2283" s="114" t="s">
        <v>220</v>
      </c>
      <c r="F2283" s="114" t="s">
        <v>2725</v>
      </c>
      <c r="G2283" s="114" t="s">
        <v>1493</v>
      </c>
      <c r="H2283" s="114" t="s">
        <v>1505</v>
      </c>
      <c r="I2283" s="114"/>
      <c r="J2283" s="114" t="b">
        <v>0</v>
      </c>
      <c r="K2283" s="114"/>
      <c r="L2283" s="114"/>
      <c r="M2283" s="114"/>
      <c r="N2283" s="114"/>
      <c r="O2283" s="114"/>
      <c r="P2283" s="114" t="s">
        <v>1494</v>
      </c>
      <c r="Q2283" s="114" t="s">
        <v>1228</v>
      </c>
    </row>
    <row r="2284" spans="2:17" hidden="1" outlineLevel="2">
      <c r="B2284" s="2" t="s">
        <v>876</v>
      </c>
      <c r="D2284" s="270">
        <v>3764</v>
      </c>
      <c r="E2284" s="112" t="s">
        <v>220</v>
      </c>
      <c r="F2284" s="112" t="s">
        <v>2726</v>
      </c>
      <c r="G2284" s="112" t="s">
        <v>1572</v>
      </c>
      <c r="H2284" s="112" t="s">
        <v>1227</v>
      </c>
      <c r="I2284" s="112"/>
      <c r="J2284" s="112" t="b">
        <v>0</v>
      </c>
      <c r="K2284" s="112"/>
      <c r="L2284" s="112"/>
      <c r="M2284" s="112"/>
      <c r="N2284" s="112"/>
      <c r="O2284" s="112"/>
      <c r="P2284" s="112" t="s">
        <v>1494</v>
      </c>
      <c r="Q2284" s="112" t="s">
        <v>1227</v>
      </c>
    </row>
    <row r="2285" spans="2:17" hidden="1" outlineLevel="2">
      <c r="B2285" s="2" t="s">
        <v>876</v>
      </c>
      <c r="D2285" s="268">
        <v>3765</v>
      </c>
      <c r="E2285" s="114" t="s">
        <v>220</v>
      </c>
      <c r="F2285" s="114" t="s">
        <v>2727</v>
      </c>
      <c r="G2285" s="114" t="s">
        <v>1572</v>
      </c>
      <c r="H2285" s="114" t="s">
        <v>1227</v>
      </c>
      <c r="I2285" s="114"/>
      <c r="J2285" s="114" t="b">
        <v>0</v>
      </c>
      <c r="K2285" s="114"/>
      <c r="L2285" s="114"/>
      <c r="M2285" s="114"/>
      <c r="N2285" s="114"/>
      <c r="O2285" s="114"/>
      <c r="P2285" s="114" t="s">
        <v>2196</v>
      </c>
      <c r="Q2285" s="114" t="s">
        <v>1227</v>
      </c>
    </row>
    <row r="2286" spans="2:17" hidden="1" outlineLevel="2">
      <c r="B2286" s="2" t="s">
        <v>876</v>
      </c>
      <c r="D2286" s="270">
        <v>3766</v>
      </c>
      <c r="E2286" s="112" t="s">
        <v>220</v>
      </c>
      <c r="F2286" s="112" t="s">
        <v>2728</v>
      </c>
      <c r="G2286" s="112" t="s">
        <v>1572</v>
      </c>
      <c r="H2286" s="112" t="s">
        <v>1227</v>
      </c>
      <c r="I2286" s="112"/>
      <c r="J2286" s="112" t="b">
        <v>0</v>
      </c>
      <c r="K2286" s="112"/>
      <c r="L2286" s="112"/>
      <c r="M2286" s="112"/>
      <c r="N2286" s="112"/>
      <c r="O2286" s="112"/>
      <c r="P2286" s="112" t="s">
        <v>2196</v>
      </c>
      <c r="Q2286" s="112" t="s">
        <v>1227</v>
      </c>
    </row>
    <row r="2287" spans="2:17" hidden="1" outlineLevel="2">
      <c r="B2287" s="2" t="s">
        <v>876</v>
      </c>
      <c r="D2287" s="268">
        <v>3767</v>
      </c>
      <c r="E2287" s="114" t="s">
        <v>220</v>
      </c>
      <c r="F2287" s="114" t="s">
        <v>2729</v>
      </c>
      <c r="G2287" s="114" t="s">
        <v>1572</v>
      </c>
      <c r="H2287" s="114" t="s">
        <v>1227</v>
      </c>
      <c r="I2287" s="114"/>
      <c r="J2287" s="114" t="b">
        <v>0</v>
      </c>
      <c r="K2287" s="114"/>
      <c r="L2287" s="114"/>
      <c r="M2287" s="114"/>
      <c r="N2287" s="114"/>
      <c r="O2287" s="114"/>
      <c r="P2287" s="114" t="s">
        <v>2196</v>
      </c>
      <c r="Q2287" s="114" t="s">
        <v>1227</v>
      </c>
    </row>
    <row r="2288" spans="2:17" hidden="1" outlineLevel="2">
      <c r="B2288" s="2" t="s">
        <v>876</v>
      </c>
      <c r="D2288" s="270">
        <v>3770</v>
      </c>
      <c r="E2288" s="112" t="s">
        <v>220</v>
      </c>
      <c r="F2288" s="112" t="s">
        <v>2730</v>
      </c>
      <c r="G2288" s="112" t="s">
        <v>1572</v>
      </c>
      <c r="H2288" s="112" t="s">
        <v>1227</v>
      </c>
      <c r="I2288" s="112"/>
      <c r="J2288" s="112" t="b">
        <v>0</v>
      </c>
      <c r="K2288" s="112"/>
      <c r="L2288" s="112"/>
      <c r="M2288" s="112"/>
      <c r="N2288" s="112"/>
      <c r="O2288" s="112"/>
      <c r="P2288" s="112" t="s">
        <v>2196</v>
      </c>
      <c r="Q2288" s="112" t="s">
        <v>1227</v>
      </c>
    </row>
    <row r="2289" spans="2:17" hidden="1" outlineLevel="2">
      <c r="B2289" s="2" t="s">
        <v>876</v>
      </c>
      <c r="D2289" s="268">
        <v>3775</v>
      </c>
      <c r="E2289" s="114" t="s">
        <v>220</v>
      </c>
      <c r="F2289" s="114" t="s">
        <v>2731</v>
      </c>
      <c r="G2289" s="114" t="s">
        <v>1572</v>
      </c>
      <c r="H2289" s="114" t="s">
        <v>1227</v>
      </c>
      <c r="I2289" s="114"/>
      <c r="J2289" s="114" t="b">
        <v>0</v>
      </c>
      <c r="K2289" s="114"/>
      <c r="L2289" s="114"/>
      <c r="M2289" s="114"/>
      <c r="N2289" s="114"/>
      <c r="O2289" s="114"/>
      <c r="P2289" s="114" t="s">
        <v>2196</v>
      </c>
      <c r="Q2289" s="114" t="s">
        <v>1228</v>
      </c>
    </row>
    <row r="2290" spans="2:17" hidden="1" outlineLevel="2">
      <c r="B2290" s="2" t="s">
        <v>876</v>
      </c>
      <c r="D2290" s="270">
        <v>3777</v>
      </c>
      <c r="E2290" s="112" t="s">
        <v>220</v>
      </c>
      <c r="F2290" s="112" t="s">
        <v>2732</v>
      </c>
      <c r="G2290" s="112" t="s">
        <v>1483</v>
      </c>
      <c r="H2290" s="112" t="s">
        <v>1494</v>
      </c>
      <c r="I2290" s="112"/>
      <c r="J2290" s="112" t="b">
        <v>0</v>
      </c>
      <c r="K2290" s="112"/>
      <c r="L2290" s="112"/>
      <c r="M2290" s="112"/>
      <c r="N2290" s="112"/>
      <c r="O2290" s="112"/>
      <c r="P2290" s="112" t="s">
        <v>2374</v>
      </c>
      <c r="Q2290" s="112" t="s">
        <v>1228</v>
      </c>
    </row>
    <row r="2291" spans="2:17" hidden="1" outlineLevel="2">
      <c r="B2291" s="2" t="s">
        <v>876</v>
      </c>
      <c r="D2291" s="268">
        <v>3778</v>
      </c>
      <c r="E2291" s="114" t="s">
        <v>220</v>
      </c>
      <c r="F2291" s="114" t="s">
        <v>2733</v>
      </c>
      <c r="G2291" s="114" t="s">
        <v>1512</v>
      </c>
      <c r="H2291" s="114" t="s">
        <v>1505</v>
      </c>
      <c r="I2291" s="114"/>
      <c r="J2291" s="114" t="b">
        <v>0</v>
      </c>
      <c r="K2291" s="114"/>
      <c r="L2291" s="114"/>
      <c r="M2291" s="114"/>
      <c r="N2291" s="114"/>
      <c r="O2291" s="114"/>
      <c r="P2291" s="114" t="s">
        <v>1494</v>
      </c>
      <c r="Q2291" s="114" t="s">
        <v>1228</v>
      </c>
    </row>
    <row r="2292" spans="2:17" hidden="1" outlineLevel="2">
      <c r="B2292" s="2" t="s">
        <v>876</v>
      </c>
      <c r="D2292" s="270">
        <v>3779</v>
      </c>
      <c r="E2292" s="112" t="s">
        <v>220</v>
      </c>
      <c r="F2292" s="112" t="s">
        <v>2734</v>
      </c>
      <c r="G2292" s="112" t="s">
        <v>1493</v>
      </c>
      <c r="H2292" s="112" t="s">
        <v>1505</v>
      </c>
      <c r="I2292" s="112"/>
      <c r="J2292" s="112" t="b">
        <v>0</v>
      </c>
      <c r="K2292" s="112"/>
      <c r="L2292" s="112"/>
      <c r="M2292" s="112"/>
      <c r="N2292" s="112"/>
      <c r="O2292" s="112"/>
      <c r="P2292" s="112" t="s">
        <v>1494</v>
      </c>
      <c r="Q2292" s="112" t="s">
        <v>1228</v>
      </c>
    </row>
    <row r="2293" spans="2:17" hidden="1" outlineLevel="2">
      <c r="B2293" s="2" t="s">
        <v>876</v>
      </c>
      <c r="D2293" s="268">
        <v>3781</v>
      </c>
      <c r="E2293" s="114" t="s">
        <v>220</v>
      </c>
      <c r="F2293" s="114" t="s">
        <v>2735</v>
      </c>
      <c r="G2293" s="114" t="s">
        <v>1572</v>
      </c>
      <c r="H2293" s="114" t="s">
        <v>1227</v>
      </c>
      <c r="I2293" s="114"/>
      <c r="J2293" s="114" t="b">
        <v>0</v>
      </c>
      <c r="K2293" s="114"/>
      <c r="L2293" s="114"/>
      <c r="M2293" s="114"/>
      <c r="N2293" s="114"/>
      <c r="O2293" s="114"/>
      <c r="P2293" s="114" t="s">
        <v>2196</v>
      </c>
      <c r="Q2293" s="114" t="s">
        <v>1227</v>
      </c>
    </row>
    <row r="2294" spans="2:17" hidden="1" outlineLevel="2">
      <c r="B2294" s="2" t="s">
        <v>876</v>
      </c>
      <c r="D2294" s="270">
        <v>3782</v>
      </c>
      <c r="E2294" s="112" t="s">
        <v>220</v>
      </c>
      <c r="F2294" s="112" t="s">
        <v>2736</v>
      </c>
      <c r="G2294" s="112" t="s">
        <v>1572</v>
      </c>
      <c r="H2294" s="112" t="s">
        <v>1227</v>
      </c>
      <c r="I2294" s="112"/>
      <c r="J2294" s="112" t="b">
        <v>0</v>
      </c>
      <c r="K2294" s="112"/>
      <c r="L2294" s="112"/>
      <c r="M2294" s="112"/>
      <c r="N2294" s="112"/>
      <c r="O2294" s="112"/>
      <c r="P2294" s="112" t="s">
        <v>2196</v>
      </c>
      <c r="Q2294" s="112" t="s">
        <v>1227</v>
      </c>
    </row>
    <row r="2295" spans="2:17" hidden="1" outlineLevel="2">
      <c r="B2295" s="2" t="s">
        <v>876</v>
      </c>
      <c r="D2295" s="268">
        <v>3783</v>
      </c>
      <c r="E2295" s="114" t="s">
        <v>220</v>
      </c>
      <c r="F2295" s="114" t="s">
        <v>2737</v>
      </c>
      <c r="G2295" s="114" t="s">
        <v>1572</v>
      </c>
      <c r="H2295" s="114" t="s">
        <v>1227</v>
      </c>
      <c r="I2295" s="114"/>
      <c r="J2295" s="114" t="b">
        <v>0</v>
      </c>
      <c r="K2295" s="114"/>
      <c r="L2295" s="114"/>
      <c r="M2295" s="114"/>
      <c r="N2295" s="114"/>
      <c r="O2295" s="114"/>
      <c r="P2295" s="114" t="s">
        <v>2196</v>
      </c>
      <c r="Q2295" s="114" t="s">
        <v>1227</v>
      </c>
    </row>
    <row r="2296" spans="2:17" hidden="1" outlineLevel="2">
      <c r="B2296" s="2" t="s">
        <v>876</v>
      </c>
      <c r="D2296" s="270">
        <v>3785</v>
      </c>
      <c r="E2296" s="112" t="s">
        <v>220</v>
      </c>
      <c r="F2296" s="112" t="s">
        <v>2738</v>
      </c>
      <c r="G2296" s="112" t="s">
        <v>1572</v>
      </c>
      <c r="H2296" s="112" t="s">
        <v>1227</v>
      </c>
      <c r="I2296" s="112"/>
      <c r="J2296" s="112" t="b">
        <v>0</v>
      </c>
      <c r="K2296" s="112"/>
      <c r="L2296" s="112"/>
      <c r="M2296" s="112"/>
      <c r="N2296" s="112"/>
      <c r="O2296" s="112"/>
      <c r="P2296" s="112" t="s">
        <v>2196</v>
      </c>
      <c r="Q2296" s="112" t="s">
        <v>1227</v>
      </c>
    </row>
    <row r="2297" spans="2:17" hidden="1" outlineLevel="2">
      <c r="B2297" s="2" t="s">
        <v>876</v>
      </c>
      <c r="D2297" s="268">
        <v>3786</v>
      </c>
      <c r="E2297" s="114" t="s">
        <v>220</v>
      </c>
      <c r="F2297" s="114" t="s">
        <v>2739</v>
      </c>
      <c r="G2297" s="114" t="s">
        <v>1572</v>
      </c>
      <c r="H2297" s="114" t="s">
        <v>1227</v>
      </c>
      <c r="I2297" s="114"/>
      <c r="J2297" s="114" t="b">
        <v>0</v>
      </c>
      <c r="K2297" s="114"/>
      <c r="L2297" s="114"/>
      <c r="M2297" s="114"/>
      <c r="N2297" s="114"/>
      <c r="O2297" s="114"/>
      <c r="P2297" s="114" t="s">
        <v>2196</v>
      </c>
      <c r="Q2297" s="114" t="s">
        <v>1227</v>
      </c>
    </row>
    <row r="2298" spans="2:17" hidden="1" outlineLevel="2">
      <c r="B2298" s="2" t="s">
        <v>876</v>
      </c>
      <c r="D2298" s="270">
        <v>3787</v>
      </c>
      <c r="E2298" s="112" t="s">
        <v>220</v>
      </c>
      <c r="F2298" s="112" t="s">
        <v>2740</v>
      </c>
      <c r="G2298" s="112" t="s">
        <v>1572</v>
      </c>
      <c r="H2298" s="112" t="s">
        <v>1227</v>
      </c>
      <c r="I2298" s="112"/>
      <c r="J2298" s="112" t="b">
        <v>0</v>
      </c>
      <c r="K2298" s="112"/>
      <c r="L2298" s="112"/>
      <c r="M2298" s="112"/>
      <c r="N2298" s="112"/>
      <c r="O2298" s="112"/>
      <c r="P2298" s="112" t="s">
        <v>2196</v>
      </c>
      <c r="Q2298" s="112" t="s">
        <v>1227</v>
      </c>
    </row>
    <row r="2299" spans="2:17" hidden="1" outlineLevel="2">
      <c r="B2299" s="2" t="s">
        <v>876</v>
      </c>
      <c r="D2299" s="268">
        <v>3788</v>
      </c>
      <c r="E2299" s="114" t="s">
        <v>220</v>
      </c>
      <c r="F2299" s="114" t="s">
        <v>2741</v>
      </c>
      <c r="G2299" s="114" t="s">
        <v>1572</v>
      </c>
      <c r="H2299" s="114" t="s">
        <v>1227</v>
      </c>
      <c r="I2299" s="114"/>
      <c r="J2299" s="114" t="b">
        <v>0</v>
      </c>
      <c r="K2299" s="114"/>
      <c r="L2299" s="114"/>
      <c r="M2299" s="114"/>
      <c r="N2299" s="114"/>
      <c r="O2299" s="114"/>
      <c r="P2299" s="114" t="s">
        <v>2196</v>
      </c>
      <c r="Q2299" s="114" t="s">
        <v>1227</v>
      </c>
    </row>
    <row r="2300" spans="2:17" hidden="1" outlineLevel="2">
      <c r="B2300" s="2" t="s">
        <v>876</v>
      </c>
      <c r="D2300" s="270">
        <v>3789</v>
      </c>
      <c r="E2300" s="112" t="s">
        <v>220</v>
      </c>
      <c r="F2300" s="112" t="s">
        <v>2742</v>
      </c>
      <c r="G2300" s="112" t="s">
        <v>1572</v>
      </c>
      <c r="H2300" s="112" t="s">
        <v>1227</v>
      </c>
      <c r="I2300" s="112"/>
      <c r="J2300" s="112" t="b">
        <v>0</v>
      </c>
      <c r="K2300" s="112"/>
      <c r="L2300" s="112"/>
      <c r="M2300" s="112"/>
      <c r="N2300" s="112"/>
      <c r="O2300" s="112"/>
      <c r="P2300" s="112" t="s">
        <v>2196</v>
      </c>
      <c r="Q2300" s="112" t="s">
        <v>1227</v>
      </c>
    </row>
    <row r="2301" spans="2:17" hidden="1" outlineLevel="2">
      <c r="B2301" s="2" t="s">
        <v>876</v>
      </c>
      <c r="D2301" s="268">
        <v>3791</v>
      </c>
      <c r="E2301" s="114" t="s">
        <v>220</v>
      </c>
      <c r="F2301" s="114" t="s">
        <v>2743</v>
      </c>
      <c r="G2301" s="114" t="s">
        <v>1572</v>
      </c>
      <c r="H2301" s="114" t="s">
        <v>1227</v>
      </c>
      <c r="I2301" s="114"/>
      <c r="J2301" s="114" t="b">
        <v>0</v>
      </c>
      <c r="K2301" s="114"/>
      <c r="L2301" s="114"/>
      <c r="M2301" s="114"/>
      <c r="N2301" s="114"/>
      <c r="O2301" s="114"/>
      <c r="P2301" s="114" t="s">
        <v>2196</v>
      </c>
      <c r="Q2301" s="114" t="s">
        <v>1227</v>
      </c>
    </row>
    <row r="2302" spans="2:17" hidden="1" outlineLevel="2">
      <c r="B2302" s="2" t="s">
        <v>876</v>
      </c>
      <c r="D2302" s="270">
        <v>3792</v>
      </c>
      <c r="E2302" s="112" t="s">
        <v>220</v>
      </c>
      <c r="F2302" s="112" t="s">
        <v>2744</v>
      </c>
      <c r="G2302" s="112" t="s">
        <v>1572</v>
      </c>
      <c r="H2302" s="112" t="s">
        <v>1227</v>
      </c>
      <c r="I2302" s="112"/>
      <c r="J2302" s="112" t="b">
        <v>0</v>
      </c>
      <c r="K2302" s="112"/>
      <c r="L2302" s="112"/>
      <c r="M2302" s="112"/>
      <c r="N2302" s="112"/>
      <c r="O2302" s="112"/>
      <c r="P2302" s="112" t="s">
        <v>2196</v>
      </c>
      <c r="Q2302" s="112" t="s">
        <v>1227</v>
      </c>
    </row>
    <row r="2303" spans="2:17" hidden="1" outlineLevel="2">
      <c r="B2303" s="2" t="s">
        <v>876</v>
      </c>
      <c r="D2303" s="268">
        <v>3793</v>
      </c>
      <c r="E2303" s="114" t="s">
        <v>220</v>
      </c>
      <c r="F2303" s="114" t="s">
        <v>2745</v>
      </c>
      <c r="G2303" s="114" t="s">
        <v>1572</v>
      </c>
      <c r="H2303" s="114" t="s">
        <v>1227</v>
      </c>
      <c r="I2303" s="114"/>
      <c r="J2303" s="114" t="b">
        <v>0</v>
      </c>
      <c r="K2303" s="114"/>
      <c r="L2303" s="114"/>
      <c r="M2303" s="114"/>
      <c r="N2303" s="114"/>
      <c r="O2303" s="114"/>
      <c r="P2303" s="114" t="s">
        <v>2196</v>
      </c>
      <c r="Q2303" s="114" t="s">
        <v>1227</v>
      </c>
    </row>
    <row r="2304" spans="2:17" hidden="1" outlineLevel="2">
      <c r="B2304" s="2" t="s">
        <v>876</v>
      </c>
      <c r="D2304" s="270">
        <v>3795</v>
      </c>
      <c r="E2304" s="112" t="s">
        <v>220</v>
      </c>
      <c r="F2304" s="112" t="s">
        <v>2746</v>
      </c>
      <c r="G2304" s="112" t="s">
        <v>1572</v>
      </c>
      <c r="H2304" s="112" t="s">
        <v>1227</v>
      </c>
      <c r="I2304" s="112"/>
      <c r="J2304" s="112" t="b">
        <v>0</v>
      </c>
      <c r="K2304" s="112"/>
      <c r="L2304" s="112"/>
      <c r="M2304" s="112"/>
      <c r="N2304" s="112"/>
      <c r="O2304" s="112"/>
      <c r="P2304" s="112" t="s">
        <v>2196</v>
      </c>
      <c r="Q2304" s="112" t="s">
        <v>1227</v>
      </c>
    </row>
    <row r="2305" spans="2:17" hidden="1" outlineLevel="2">
      <c r="B2305" s="2" t="s">
        <v>876</v>
      </c>
      <c r="D2305" s="268">
        <v>3796</v>
      </c>
      <c r="E2305" s="114" t="s">
        <v>220</v>
      </c>
      <c r="F2305" s="114" t="s">
        <v>2747</v>
      </c>
      <c r="G2305" s="114" t="s">
        <v>1572</v>
      </c>
      <c r="H2305" s="114" t="s">
        <v>1227</v>
      </c>
      <c r="I2305" s="114"/>
      <c r="J2305" s="114" t="b">
        <v>0</v>
      </c>
      <c r="K2305" s="114"/>
      <c r="L2305" s="114"/>
      <c r="M2305" s="114"/>
      <c r="N2305" s="114"/>
      <c r="O2305" s="114"/>
      <c r="P2305" s="114" t="s">
        <v>2196</v>
      </c>
      <c r="Q2305" s="114" t="s">
        <v>1227</v>
      </c>
    </row>
    <row r="2306" spans="2:17" hidden="1" outlineLevel="2">
      <c r="B2306" s="2" t="s">
        <v>876</v>
      </c>
      <c r="D2306" s="270">
        <v>3797</v>
      </c>
      <c r="E2306" s="112" t="s">
        <v>220</v>
      </c>
      <c r="F2306" s="112" t="s">
        <v>2748</v>
      </c>
      <c r="G2306" s="112" t="s">
        <v>1493</v>
      </c>
      <c r="H2306" s="112" t="s">
        <v>1505</v>
      </c>
      <c r="I2306" s="112"/>
      <c r="J2306" s="112" t="b">
        <v>0</v>
      </c>
      <c r="K2306" s="112"/>
      <c r="L2306" s="112"/>
      <c r="M2306" s="112"/>
      <c r="N2306" s="112"/>
      <c r="O2306" s="112"/>
      <c r="P2306" s="112" t="s">
        <v>2196</v>
      </c>
      <c r="Q2306" s="112" t="s">
        <v>1228</v>
      </c>
    </row>
    <row r="2307" spans="2:17" hidden="1" outlineLevel="2">
      <c r="B2307" s="2" t="s">
        <v>876</v>
      </c>
      <c r="D2307" s="268">
        <v>3799</v>
      </c>
      <c r="E2307" s="114" t="s">
        <v>220</v>
      </c>
      <c r="F2307" s="114" t="s">
        <v>2749</v>
      </c>
      <c r="G2307" s="114" t="s">
        <v>1483</v>
      </c>
      <c r="H2307" s="114" t="s">
        <v>1494</v>
      </c>
      <c r="I2307" s="114"/>
      <c r="J2307" s="114" t="b">
        <v>0</v>
      </c>
      <c r="K2307" s="114"/>
      <c r="L2307" s="114"/>
      <c r="M2307" s="114"/>
      <c r="N2307" s="114"/>
      <c r="O2307" s="114"/>
      <c r="P2307" s="114" t="s">
        <v>2196</v>
      </c>
      <c r="Q2307" s="114" t="s">
        <v>1228</v>
      </c>
    </row>
    <row r="2308" spans="2:17" hidden="1" outlineLevel="2">
      <c r="B2308" s="2" t="s">
        <v>876</v>
      </c>
      <c r="D2308" s="270">
        <v>3802</v>
      </c>
      <c r="E2308" s="112" t="s">
        <v>220</v>
      </c>
      <c r="F2308" s="112" t="s">
        <v>2750</v>
      </c>
      <c r="G2308" s="112" t="s">
        <v>1572</v>
      </c>
      <c r="H2308" s="112" t="s">
        <v>1227</v>
      </c>
      <c r="I2308" s="112"/>
      <c r="J2308" s="112" t="b">
        <v>0</v>
      </c>
      <c r="K2308" s="112"/>
      <c r="L2308" s="112"/>
      <c r="M2308" s="112"/>
      <c r="N2308" s="112"/>
      <c r="O2308" s="112"/>
      <c r="P2308" s="112" t="s">
        <v>2196</v>
      </c>
      <c r="Q2308" s="112" t="s">
        <v>1227</v>
      </c>
    </row>
    <row r="2309" spans="2:17" hidden="1" outlineLevel="2">
      <c r="B2309" s="2" t="s">
        <v>876</v>
      </c>
      <c r="D2309" s="268">
        <v>3803</v>
      </c>
      <c r="E2309" s="114" t="s">
        <v>220</v>
      </c>
      <c r="F2309" s="114" t="s">
        <v>2751</v>
      </c>
      <c r="G2309" s="114" t="s">
        <v>1572</v>
      </c>
      <c r="H2309" s="114" t="s">
        <v>1227</v>
      </c>
      <c r="I2309" s="114"/>
      <c r="J2309" s="114" t="b">
        <v>0</v>
      </c>
      <c r="K2309" s="114"/>
      <c r="L2309" s="114"/>
      <c r="M2309" s="114"/>
      <c r="N2309" s="114"/>
      <c r="O2309" s="114"/>
      <c r="P2309" s="114" t="s">
        <v>2196</v>
      </c>
      <c r="Q2309" s="114" t="s">
        <v>1227</v>
      </c>
    </row>
    <row r="2310" spans="2:17" hidden="1" outlineLevel="2">
      <c r="B2310" s="2" t="s">
        <v>876</v>
      </c>
      <c r="D2310" s="270">
        <v>3804</v>
      </c>
      <c r="E2310" s="112" t="s">
        <v>220</v>
      </c>
      <c r="F2310" s="112" t="s">
        <v>2752</v>
      </c>
      <c r="G2310" s="112" t="s">
        <v>1572</v>
      </c>
      <c r="H2310" s="112" t="s">
        <v>1227</v>
      </c>
      <c r="I2310" s="112"/>
      <c r="J2310" s="112" t="b">
        <v>0</v>
      </c>
      <c r="K2310" s="112"/>
      <c r="L2310" s="112"/>
      <c r="M2310" s="112"/>
      <c r="N2310" s="112"/>
      <c r="O2310" s="112"/>
      <c r="P2310" s="112" t="s">
        <v>2196</v>
      </c>
      <c r="Q2310" s="112" t="s">
        <v>1227</v>
      </c>
    </row>
    <row r="2311" spans="2:17" hidden="1" outlineLevel="2">
      <c r="B2311" s="2" t="s">
        <v>876</v>
      </c>
      <c r="D2311" s="268">
        <v>3805</v>
      </c>
      <c r="E2311" s="114" t="s">
        <v>220</v>
      </c>
      <c r="F2311" s="114" t="s">
        <v>2753</v>
      </c>
      <c r="G2311" s="114" t="s">
        <v>1572</v>
      </c>
      <c r="H2311" s="114" t="s">
        <v>1227</v>
      </c>
      <c r="I2311" s="114"/>
      <c r="J2311" s="114" t="b">
        <v>0</v>
      </c>
      <c r="K2311" s="114"/>
      <c r="L2311" s="114"/>
      <c r="M2311" s="114"/>
      <c r="N2311" s="114"/>
      <c r="O2311" s="114"/>
      <c r="P2311" s="114" t="s">
        <v>2196</v>
      </c>
      <c r="Q2311" s="114" t="s">
        <v>1227</v>
      </c>
    </row>
    <row r="2312" spans="2:17" hidden="1" outlineLevel="2">
      <c r="B2312" s="2" t="s">
        <v>876</v>
      </c>
      <c r="D2312" s="270">
        <v>3806</v>
      </c>
      <c r="E2312" s="112" t="s">
        <v>220</v>
      </c>
      <c r="F2312" s="112" t="s">
        <v>2754</v>
      </c>
      <c r="G2312" s="112" t="s">
        <v>1572</v>
      </c>
      <c r="H2312" s="112" t="s">
        <v>1227</v>
      </c>
      <c r="I2312" s="112"/>
      <c r="J2312" s="112" t="b">
        <v>0</v>
      </c>
      <c r="K2312" s="112"/>
      <c r="L2312" s="112"/>
      <c r="M2312" s="112"/>
      <c r="N2312" s="112"/>
      <c r="O2312" s="112"/>
      <c r="P2312" s="112" t="s">
        <v>2196</v>
      </c>
      <c r="Q2312" s="112" t="s">
        <v>1227</v>
      </c>
    </row>
    <row r="2313" spans="2:17" hidden="1" outlineLevel="2">
      <c r="B2313" s="2" t="s">
        <v>876</v>
      </c>
      <c r="D2313" s="268">
        <v>3807</v>
      </c>
      <c r="E2313" s="114" t="s">
        <v>220</v>
      </c>
      <c r="F2313" s="114" t="s">
        <v>2755</v>
      </c>
      <c r="G2313" s="114" t="s">
        <v>1572</v>
      </c>
      <c r="H2313" s="114" t="s">
        <v>1227</v>
      </c>
      <c r="I2313" s="114"/>
      <c r="J2313" s="114" t="b">
        <v>0</v>
      </c>
      <c r="K2313" s="114"/>
      <c r="L2313" s="114"/>
      <c r="M2313" s="114"/>
      <c r="N2313" s="114"/>
      <c r="O2313" s="114"/>
      <c r="P2313" s="114" t="s">
        <v>2196</v>
      </c>
      <c r="Q2313" s="114" t="s">
        <v>1227</v>
      </c>
    </row>
    <row r="2314" spans="2:17" hidden="1" outlineLevel="2">
      <c r="B2314" s="2" t="s">
        <v>876</v>
      </c>
      <c r="D2314" s="270">
        <v>3808</v>
      </c>
      <c r="E2314" s="112" t="s">
        <v>220</v>
      </c>
      <c r="F2314" s="112" t="s">
        <v>2756</v>
      </c>
      <c r="G2314" s="112" t="s">
        <v>1572</v>
      </c>
      <c r="H2314" s="112" t="s">
        <v>1227</v>
      </c>
      <c r="I2314" s="112"/>
      <c r="J2314" s="112" t="b">
        <v>0</v>
      </c>
      <c r="K2314" s="112"/>
      <c r="L2314" s="112"/>
      <c r="M2314" s="112"/>
      <c r="N2314" s="112"/>
      <c r="O2314" s="112"/>
      <c r="P2314" s="112" t="s">
        <v>2196</v>
      </c>
      <c r="Q2314" s="112" t="s">
        <v>1227</v>
      </c>
    </row>
    <row r="2315" spans="2:17" hidden="1" outlineLevel="2">
      <c r="B2315" s="2" t="s">
        <v>876</v>
      </c>
      <c r="D2315" s="268">
        <v>3809</v>
      </c>
      <c r="E2315" s="114" t="s">
        <v>220</v>
      </c>
      <c r="F2315" s="114" t="s">
        <v>2757</v>
      </c>
      <c r="G2315" s="114" t="s">
        <v>1572</v>
      </c>
      <c r="H2315" s="114" t="s">
        <v>1227</v>
      </c>
      <c r="I2315" s="114"/>
      <c r="J2315" s="114" t="b">
        <v>0</v>
      </c>
      <c r="K2315" s="114"/>
      <c r="L2315" s="114"/>
      <c r="M2315" s="114"/>
      <c r="N2315" s="114"/>
      <c r="O2315" s="114"/>
      <c r="P2315" s="114" t="s">
        <v>2196</v>
      </c>
      <c r="Q2315" s="114" t="s">
        <v>1227</v>
      </c>
    </row>
    <row r="2316" spans="2:17" hidden="1" outlineLevel="2">
      <c r="B2316" s="2" t="s">
        <v>876</v>
      </c>
      <c r="D2316" s="270">
        <v>3810</v>
      </c>
      <c r="E2316" s="112" t="s">
        <v>220</v>
      </c>
      <c r="F2316" s="112" t="s">
        <v>2758</v>
      </c>
      <c r="G2316" s="112" t="s">
        <v>1572</v>
      </c>
      <c r="H2316" s="112" t="s">
        <v>1227</v>
      </c>
      <c r="I2316" s="112"/>
      <c r="J2316" s="112" t="b">
        <v>0</v>
      </c>
      <c r="K2316" s="112"/>
      <c r="L2316" s="112"/>
      <c r="M2316" s="112"/>
      <c r="N2316" s="112"/>
      <c r="O2316" s="112"/>
      <c r="P2316" s="112" t="s">
        <v>2196</v>
      </c>
      <c r="Q2316" s="112" t="s">
        <v>1227</v>
      </c>
    </row>
    <row r="2317" spans="2:17" hidden="1" outlineLevel="2">
      <c r="B2317" s="2" t="s">
        <v>876</v>
      </c>
      <c r="D2317" s="268">
        <v>3812</v>
      </c>
      <c r="E2317" s="114" t="s">
        <v>220</v>
      </c>
      <c r="F2317" s="114" t="s">
        <v>2759</v>
      </c>
      <c r="G2317" s="114" t="s">
        <v>1483</v>
      </c>
      <c r="H2317" s="114" t="s">
        <v>1494</v>
      </c>
      <c r="I2317" s="114"/>
      <c r="J2317" s="114" t="b">
        <v>0</v>
      </c>
      <c r="K2317" s="114"/>
      <c r="L2317" s="114"/>
      <c r="M2317" s="114"/>
      <c r="N2317" s="114"/>
      <c r="O2317" s="114"/>
      <c r="P2317" s="114" t="s">
        <v>2196</v>
      </c>
      <c r="Q2317" s="114" t="s">
        <v>1228</v>
      </c>
    </row>
    <row r="2318" spans="2:17" hidden="1" outlineLevel="2">
      <c r="B2318" s="2" t="s">
        <v>876</v>
      </c>
      <c r="D2318" s="270">
        <v>3813</v>
      </c>
      <c r="E2318" s="112" t="s">
        <v>220</v>
      </c>
      <c r="F2318" s="112" t="s">
        <v>2760</v>
      </c>
      <c r="G2318" s="112" t="s">
        <v>1483</v>
      </c>
      <c r="H2318" s="112" t="s">
        <v>1494</v>
      </c>
      <c r="I2318" s="112"/>
      <c r="J2318" s="112" t="b">
        <v>0</v>
      </c>
      <c r="K2318" s="112"/>
      <c r="L2318" s="112"/>
      <c r="M2318" s="112"/>
      <c r="N2318" s="112"/>
      <c r="O2318" s="112"/>
      <c r="P2318" s="112" t="s">
        <v>2196</v>
      </c>
      <c r="Q2318" s="112" t="s">
        <v>1228</v>
      </c>
    </row>
    <row r="2319" spans="2:17" hidden="1" outlineLevel="2">
      <c r="B2319" s="2" t="s">
        <v>876</v>
      </c>
      <c r="D2319" s="268">
        <v>3814</v>
      </c>
      <c r="E2319" s="114" t="s">
        <v>220</v>
      </c>
      <c r="F2319" s="114" t="s">
        <v>2761</v>
      </c>
      <c r="G2319" s="114" t="s">
        <v>1483</v>
      </c>
      <c r="H2319" s="114" t="s">
        <v>1494</v>
      </c>
      <c r="I2319" s="114"/>
      <c r="J2319" s="114" t="b">
        <v>0</v>
      </c>
      <c r="K2319" s="114"/>
      <c r="L2319" s="114"/>
      <c r="M2319" s="114"/>
      <c r="N2319" s="114"/>
      <c r="O2319" s="114"/>
      <c r="P2319" s="114" t="s">
        <v>2196</v>
      </c>
      <c r="Q2319" s="114" t="s">
        <v>1228</v>
      </c>
    </row>
    <row r="2320" spans="2:17" hidden="1" outlineLevel="2">
      <c r="B2320" s="2" t="s">
        <v>876</v>
      </c>
      <c r="D2320" s="270">
        <v>3815</v>
      </c>
      <c r="E2320" s="112" t="s">
        <v>220</v>
      </c>
      <c r="F2320" s="112" t="s">
        <v>2762</v>
      </c>
      <c r="G2320" s="112" t="s">
        <v>1493</v>
      </c>
      <c r="H2320" s="112" t="s">
        <v>1505</v>
      </c>
      <c r="I2320" s="112"/>
      <c r="J2320" s="112" t="b">
        <v>0</v>
      </c>
      <c r="K2320" s="112"/>
      <c r="L2320" s="112"/>
      <c r="M2320" s="112"/>
      <c r="N2320" s="112"/>
      <c r="O2320" s="112"/>
      <c r="P2320" s="112" t="s">
        <v>2196</v>
      </c>
      <c r="Q2320" s="112" t="s">
        <v>1228</v>
      </c>
    </row>
    <row r="2321" spans="2:17" hidden="1" outlineLevel="2">
      <c r="B2321" s="2" t="s">
        <v>876</v>
      </c>
      <c r="D2321" s="268">
        <v>3816</v>
      </c>
      <c r="E2321" s="114" t="s">
        <v>220</v>
      </c>
      <c r="F2321" s="114" t="s">
        <v>2763</v>
      </c>
      <c r="G2321" s="114" t="s">
        <v>1493</v>
      </c>
      <c r="H2321" s="114" t="s">
        <v>1505</v>
      </c>
      <c r="I2321" s="114"/>
      <c r="J2321" s="114" t="b">
        <v>0</v>
      </c>
      <c r="K2321" s="114"/>
      <c r="L2321" s="114"/>
      <c r="M2321" s="114"/>
      <c r="N2321" s="114"/>
      <c r="O2321" s="114"/>
      <c r="P2321" s="114" t="s">
        <v>2374</v>
      </c>
      <c r="Q2321" s="114" t="s">
        <v>1228</v>
      </c>
    </row>
    <row r="2322" spans="2:17" hidden="1" outlineLevel="2">
      <c r="B2322" s="2" t="s">
        <v>876</v>
      </c>
      <c r="D2322" s="270">
        <v>3818</v>
      </c>
      <c r="E2322" s="112" t="s">
        <v>220</v>
      </c>
      <c r="F2322" s="112" t="s">
        <v>2764</v>
      </c>
      <c r="G2322" s="112" t="s">
        <v>1483</v>
      </c>
      <c r="H2322" s="112" t="s">
        <v>1494</v>
      </c>
      <c r="I2322" s="112"/>
      <c r="J2322" s="112" t="b">
        <v>0</v>
      </c>
      <c r="K2322" s="112"/>
      <c r="L2322" s="112"/>
      <c r="M2322" s="112"/>
      <c r="N2322" s="112"/>
      <c r="O2322" s="112"/>
      <c r="P2322" s="112" t="s">
        <v>1494</v>
      </c>
      <c r="Q2322" s="112" t="s">
        <v>1228</v>
      </c>
    </row>
    <row r="2323" spans="2:17" hidden="1" outlineLevel="2">
      <c r="B2323" s="2" t="s">
        <v>876</v>
      </c>
      <c r="D2323" s="268">
        <v>3820</v>
      </c>
      <c r="E2323" s="114" t="s">
        <v>220</v>
      </c>
      <c r="F2323" s="114" t="s">
        <v>2765</v>
      </c>
      <c r="G2323" s="114" t="s">
        <v>1483</v>
      </c>
      <c r="H2323" s="114" t="s">
        <v>1494</v>
      </c>
      <c r="I2323" s="114"/>
      <c r="J2323" s="114" t="b">
        <v>0</v>
      </c>
      <c r="K2323" s="114"/>
      <c r="L2323" s="114"/>
      <c r="M2323" s="114"/>
      <c r="N2323" s="114"/>
      <c r="O2323" s="114"/>
      <c r="P2323" s="114" t="s">
        <v>1494</v>
      </c>
      <c r="Q2323" s="114" t="s">
        <v>1228</v>
      </c>
    </row>
    <row r="2324" spans="2:17" hidden="1" outlineLevel="2">
      <c r="B2324" s="2" t="s">
        <v>876</v>
      </c>
      <c r="D2324" s="270">
        <v>3821</v>
      </c>
      <c r="E2324" s="112" t="s">
        <v>220</v>
      </c>
      <c r="F2324" s="112" t="s">
        <v>2766</v>
      </c>
      <c r="G2324" s="112" t="s">
        <v>1493</v>
      </c>
      <c r="H2324" s="112" t="s">
        <v>1505</v>
      </c>
      <c r="I2324" s="112"/>
      <c r="J2324" s="112" t="b">
        <v>0</v>
      </c>
      <c r="K2324" s="112"/>
      <c r="L2324" s="112"/>
      <c r="M2324" s="112"/>
      <c r="N2324" s="112"/>
      <c r="O2324" s="112"/>
      <c r="P2324" s="112" t="s">
        <v>1494</v>
      </c>
      <c r="Q2324" s="112" t="s">
        <v>1228</v>
      </c>
    </row>
    <row r="2325" spans="2:17" hidden="1" outlineLevel="2">
      <c r="B2325" s="2" t="s">
        <v>876</v>
      </c>
      <c r="D2325" s="268">
        <v>3822</v>
      </c>
      <c r="E2325" s="114" t="s">
        <v>220</v>
      </c>
      <c r="F2325" s="114" t="s">
        <v>2767</v>
      </c>
      <c r="G2325" s="114" t="s">
        <v>1512</v>
      </c>
      <c r="H2325" s="114" t="s">
        <v>1505</v>
      </c>
      <c r="I2325" s="114"/>
      <c r="J2325" s="114" t="b">
        <v>0</v>
      </c>
      <c r="K2325" s="114"/>
      <c r="L2325" s="114"/>
      <c r="M2325" s="114"/>
      <c r="N2325" s="114"/>
      <c r="O2325" s="114"/>
      <c r="P2325" s="114" t="s">
        <v>1494</v>
      </c>
      <c r="Q2325" s="114" t="s">
        <v>1228</v>
      </c>
    </row>
    <row r="2326" spans="2:17" hidden="1" outlineLevel="2">
      <c r="B2326" s="2" t="s">
        <v>876</v>
      </c>
      <c r="D2326" s="270">
        <v>3823</v>
      </c>
      <c r="E2326" s="112" t="s">
        <v>220</v>
      </c>
      <c r="F2326" s="112" t="s">
        <v>2768</v>
      </c>
      <c r="G2326" s="112" t="s">
        <v>1493</v>
      </c>
      <c r="H2326" s="112" t="s">
        <v>1505</v>
      </c>
      <c r="I2326" s="112"/>
      <c r="J2326" s="112" t="b">
        <v>0</v>
      </c>
      <c r="K2326" s="112"/>
      <c r="L2326" s="112"/>
      <c r="M2326" s="112"/>
      <c r="N2326" s="112"/>
      <c r="O2326" s="112"/>
      <c r="P2326" s="112" t="s">
        <v>1494</v>
      </c>
      <c r="Q2326" s="112" t="s">
        <v>1228</v>
      </c>
    </row>
    <row r="2327" spans="2:17" hidden="1" outlineLevel="2">
      <c r="B2327" s="2" t="s">
        <v>876</v>
      </c>
      <c r="D2327" s="268">
        <v>3824</v>
      </c>
      <c r="E2327" s="114" t="s">
        <v>220</v>
      </c>
      <c r="F2327" s="114" t="s">
        <v>2769</v>
      </c>
      <c r="G2327" s="114" t="s">
        <v>1493</v>
      </c>
      <c r="H2327" s="114" t="s">
        <v>1505</v>
      </c>
      <c r="I2327" s="114"/>
      <c r="J2327" s="114" t="b">
        <v>0</v>
      </c>
      <c r="K2327" s="114"/>
      <c r="L2327" s="114"/>
      <c r="M2327" s="114"/>
      <c r="N2327" s="114"/>
      <c r="O2327" s="114"/>
      <c r="P2327" s="114" t="s">
        <v>1494</v>
      </c>
      <c r="Q2327" s="114" t="s">
        <v>1228</v>
      </c>
    </row>
    <row r="2328" spans="2:17" hidden="1" outlineLevel="2">
      <c r="B2328" s="2" t="s">
        <v>876</v>
      </c>
      <c r="D2328" s="270">
        <v>3825</v>
      </c>
      <c r="E2328" s="112" t="s">
        <v>220</v>
      </c>
      <c r="F2328" s="112" t="s">
        <v>2770</v>
      </c>
      <c r="G2328" s="269" t="s">
        <v>1493</v>
      </c>
      <c r="H2328" s="112" t="s">
        <v>1505</v>
      </c>
      <c r="I2328" s="112"/>
      <c r="J2328" s="112" t="b">
        <v>0</v>
      </c>
      <c r="K2328" s="112"/>
      <c r="L2328" s="112"/>
      <c r="M2328" s="112"/>
      <c r="N2328" s="112"/>
      <c r="O2328" s="112"/>
      <c r="P2328" s="112" t="s">
        <v>1494</v>
      </c>
      <c r="Q2328" s="112" t="s">
        <v>1228</v>
      </c>
    </row>
    <row r="2329" spans="2:17" hidden="1" outlineLevel="2">
      <c r="B2329" s="2" t="s">
        <v>876</v>
      </c>
      <c r="D2329" s="268">
        <v>3831</v>
      </c>
      <c r="E2329" s="114" t="s">
        <v>220</v>
      </c>
      <c r="F2329" s="114" t="s">
        <v>2771</v>
      </c>
      <c r="G2329" s="114" t="s">
        <v>1493</v>
      </c>
      <c r="H2329" s="114" t="s">
        <v>1505</v>
      </c>
      <c r="I2329" s="114"/>
      <c r="J2329" s="114" t="b">
        <v>0</v>
      </c>
      <c r="K2329" s="114"/>
      <c r="L2329" s="114"/>
      <c r="M2329" s="114"/>
      <c r="N2329" s="114"/>
      <c r="O2329" s="114"/>
      <c r="P2329" s="114" t="s">
        <v>1494</v>
      </c>
      <c r="Q2329" s="114" t="s">
        <v>1228</v>
      </c>
    </row>
    <row r="2330" spans="2:17" hidden="1" outlineLevel="2">
      <c r="B2330" s="2" t="s">
        <v>876</v>
      </c>
      <c r="D2330" s="270">
        <v>3832</v>
      </c>
      <c r="E2330" s="112" t="s">
        <v>220</v>
      </c>
      <c r="F2330" s="112" t="s">
        <v>2772</v>
      </c>
      <c r="G2330" s="112" t="s">
        <v>1512</v>
      </c>
      <c r="H2330" s="112" t="s">
        <v>1505</v>
      </c>
      <c r="I2330" s="112"/>
      <c r="J2330" s="112" t="b">
        <v>0</v>
      </c>
      <c r="K2330" s="112"/>
      <c r="L2330" s="112"/>
      <c r="M2330" s="112"/>
      <c r="N2330" s="112"/>
      <c r="O2330" s="112"/>
      <c r="P2330" s="112" t="s">
        <v>1494</v>
      </c>
      <c r="Q2330" s="112" t="s">
        <v>1228</v>
      </c>
    </row>
    <row r="2331" spans="2:17" hidden="1" outlineLevel="2">
      <c r="B2331" s="2" t="s">
        <v>876</v>
      </c>
      <c r="D2331" s="268">
        <v>3833</v>
      </c>
      <c r="E2331" s="114" t="s">
        <v>220</v>
      </c>
      <c r="F2331" s="114" t="s">
        <v>2773</v>
      </c>
      <c r="G2331" s="114" t="s">
        <v>1512</v>
      </c>
      <c r="H2331" s="114" t="s">
        <v>1505</v>
      </c>
      <c r="I2331" s="114"/>
      <c r="J2331" s="114" t="b">
        <v>0</v>
      </c>
      <c r="K2331" s="114"/>
      <c r="L2331" s="114" t="b">
        <v>1</v>
      </c>
      <c r="M2331" s="114"/>
      <c r="N2331" s="114"/>
      <c r="O2331" s="114"/>
      <c r="P2331" s="114" t="s">
        <v>2374</v>
      </c>
      <c r="Q2331" s="114" t="s">
        <v>1228</v>
      </c>
    </row>
    <row r="2332" spans="2:17" hidden="1" outlineLevel="2">
      <c r="B2332" s="2" t="s">
        <v>876</v>
      </c>
      <c r="D2332" s="270">
        <v>3835</v>
      </c>
      <c r="E2332" s="112" t="s">
        <v>220</v>
      </c>
      <c r="F2332" s="112" t="s">
        <v>2774</v>
      </c>
      <c r="G2332" s="112" t="s">
        <v>1512</v>
      </c>
      <c r="H2332" s="112" t="s">
        <v>1505</v>
      </c>
      <c r="I2332" s="112"/>
      <c r="J2332" s="112" t="b">
        <v>0</v>
      </c>
      <c r="K2332" s="112"/>
      <c r="L2332" s="112"/>
      <c r="M2332" s="112"/>
      <c r="N2332" s="112"/>
      <c r="O2332" s="112"/>
      <c r="P2332" s="112" t="s">
        <v>1494</v>
      </c>
      <c r="Q2332" s="112" t="s">
        <v>1228</v>
      </c>
    </row>
    <row r="2333" spans="2:17" hidden="1" outlineLevel="2">
      <c r="B2333" s="2" t="s">
        <v>876</v>
      </c>
      <c r="D2333" s="268">
        <v>3840</v>
      </c>
      <c r="E2333" s="114" t="s">
        <v>220</v>
      </c>
      <c r="F2333" s="114" t="s">
        <v>2775</v>
      </c>
      <c r="G2333" s="114" t="s">
        <v>1493</v>
      </c>
      <c r="H2333" s="114" t="s">
        <v>1494</v>
      </c>
      <c r="I2333" s="114"/>
      <c r="J2333" s="114" t="b">
        <v>0</v>
      </c>
      <c r="K2333" s="114"/>
      <c r="L2333" s="114"/>
      <c r="M2333" s="114"/>
      <c r="N2333" s="114"/>
      <c r="O2333" s="114"/>
      <c r="P2333" s="114" t="s">
        <v>1494</v>
      </c>
      <c r="Q2333" s="114" t="s">
        <v>1228</v>
      </c>
    </row>
    <row r="2334" spans="2:17" hidden="1" outlineLevel="2">
      <c r="B2334" s="2" t="s">
        <v>876</v>
      </c>
      <c r="D2334" s="270">
        <v>3842</v>
      </c>
      <c r="E2334" s="112" t="s">
        <v>220</v>
      </c>
      <c r="F2334" s="112" t="s">
        <v>2776</v>
      </c>
      <c r="G2334" s="112" t="s">
        <v>1493</v>
      </c>
      <c r="H2334" s="112" t="s">
        <v>1494</v>
      </c>
      <c r="I2334" s="112"/>
      <c r="J2334" s="112" t="b">
        <v>0</v>
      </c>
      <c r="K2334" s="112"/>
      <c r="L2334" s="112"/>
      <c r="M2334" s="112"/>
      <c r="N2334" s="112"/>
      <c r="O2334" s="112"/>
      <c r="P2334" s="112" t="s">
        <v>1494</v>
      </c>
      <c r="Q2334" s="112" t="s">
        <v>1228</v>
      </c>
    </row>
    <row r="2335" spans="2:17" hidden="1" outlineLevel="2">
      <c r="B2335" s="2" t="s">
        <v>876</v>
      </c>
      <c r="D2335" s="268">
        <v>3844</v>
      </c>
      <c r="E2335" s="114" t="s">
        <v>220</v>
      </c>
      <c r="F2335" s="114" t="s">
        <v>2777</v>
      </c>
      <c r="G2335" s="114" t="s">
        <v>1483</v>
      </c>
      <c r="H2335" s="114" t="s">
        <v>1494</v>
      </c>
      <c r="I2335" s="114"/>
      <c r="J2335" s="114" t="b">
        <v>0</v>
      </c>
      <c r="K2335" s="114"/>
      <c r="L2335" s="114"/>
      <c r="M2335" s="114"/>
      <c r="N2335" s="114"/>
      <c r="O2335" s="114"/>
      <c r="P2335" s="114" t="s">
        <v>1494</v>
      </c>
      <c r="Q2335" s="114" t="s">
        <v>1228</v>
      </c>
    </row>
    <row r="2336" spans="2:17" hidden="1" outlineLevel="2">
      <c r="B2336" s="2" t="s">
        <v>876</v>
      </c>
      <c r="D2336" s="270">
        <v>3847</v>
      </c>
      <c r="E2336" s="112" t="s">
        <v>220</v>
      </c>
      <c r="F2336" s="112" t="s">
        <v>2778</v>
      </c>
      <c r="G2336" s="112" t="s">
        <v>1493</v>
      </c>
      <c r="H2336" s="112" t="s">
        <v>1505</v>
      </c>
      <c r="I2336" s="112"/>
      <c r="J2336" s="112" t="b">
        <v>0</v>
      </c>
      <c r="K2336" s="112"/>
      <c r="L2336" s="112"/>
      <c r="M2336" s="112"/>
      <c r="N2336" s="112"/>
      <c r="O2336" s="112"/>
      <c r="P2336" s="112" t="s">
        <v>1494</v>
      </c>
      <c r="Q2336" s="112" t="s">
        <v>1228</v>
      </c>
    </row>
    <row r="2337" spans="2:17" hidden="1" outlineLevel="2">
      <c r="B2337" s="2" t="s">
        <v>876</v>
      </c>
      <c r="D2337" s="268">
        <v>3850</v>
      </c>
      <c r="E2337" s="114" t="s">
        <v>220</v>
      </c>
      <c r="F2337" s="114" t="s">
        <v>2779</v>
      </c>
      <c r="G2337" s="114" t="s">
        <v>1493</v>
      </c>
      <c r="H2337" s="114" t="s">
        <v>1494</v>
      </c>
      <c r="I2337" s="114"/>
      <c r="J2337" s="114" t="b">
        <v>0</v>
      </c>
      <c r="K2337" s="114"/>
      <c r="L2337" s="114"/>
      <c r="M2337" s="114"/>
      <c r="N2337" s="114"/>
      <c r="O2337" s="114"/>
      <c r="P2337" s="114" t="s">
        <v>1494</v>
      </c>
      <c r="Q2337" s="114" t="s">
        <v>1228</v>
      </c>
    </row>
    <row r="2338" spans="2:17" hidden="1" outlineLevel="2">
      <c r="B2338" s="2" t="s">
        <v>876</v>
      </c>
      <c r="D2338" s="270">
        <v>3851</v>
      </c>
      <c r="E2338" s="112" t="s">
        <v>220</v>
      </c>
      <c r="F2338" s="112" t="s">
        <v>2780</v>
      </c>
      <c r="G2338" s="112" t="s">
        <v>1493</v>
      </c>
      <c r="H2338" s="112" t="s">
        <v>1505</v>
      </c>
      <c r="I2338" s="112"/>
      <c r="J2338" s="112" t="b">
        <v>0</v>
      </c>
      <c r="K2338" s="112"/>
      <c r="L2338" s="112"/>
      <c r="M2338" s="112"/>
      <c r="N2338" s="112"/>
      <c r="O2338" s="112"/>
      <c r="P2338" s="112" t="s">
        <v>1494</v>
      </c>
      <c r="Q2338" s="112" t="s">
        <v>1228</v>
      </c>
    </row>
    <row r="2339" spans="2:17" hidden="1" outlineLevel="2">
      <c r="B2339" s="2" t="s">
        <v>876</v>
      </c>
      <c r="D2339" s="268">
        <v>3852</v>
      </c>
      <c r="E2339" s="114" t="s">
        <v>220</v>
      </c>
      <c r="F2339" s="114" t="s">
        <v>2781</v>
      </c>
      <c r="G2339" s="114" t="s">
        <v>1533</v>
      </c>
      <c r="H2339" s="114" t="s">
        <v>1533</v>
      </c>
      <c r="I2339" s="114"/>
      <c r="J2339" s="114" t="b">
        <v>0</v>
      </c>
      <c r="K2339" s="114"/>
      <c r="L2339" s="114"/>
      <c r="M2339" s="114"/>
      <c r="N2339" s="114"/>
      <c r="O2339" s="114"/>
      <c r="P2339" s="114" t="s">
        <v>1494</v>
      </c>
      <c r="Q2339" s="114" t="s">
        <v>1228</v>
      </c>
    </row>
    <row r="2340" spans="2:17" hidden="1" outlineLevel="2">
      <c r="B2340" s="2" t="s">
        <v>876</v>
      </c>
      <c r="D2340" s="270">
        <v>3854</v>
      </c>
      <c r="E2340" s="112" t="s">
        <v>220</v>
      </c>
      <c r="F2340" s="112" t="s">
        <v>2782</v>
      </c>
      <c r="G2340" s="112" t="s">
        <v>1493</v>
      </c>
      <c r="H2340" s="112" t="s">
        <v>1505</v>
      </c>
      <c r="I2340" s="112"/>
      <c r="J2340" s="112" t="b">
        <v>0</v>
      </c>
      <c r="K2340" s="112"/>
      <c r="L2340" s="112" t="b">
        <v>1</v>
      </c>
      <c r="M2340" s="112"/>
      <c r="N2340" s="112"/>
      <c r="O2340" s="112"/>
      <c r="P2340" s="112" t="s">
        <v>1494</v>
      </c>
      <c r="Q2340" s="112" t="s">
        <v>1228</v>
      </c>
    </row>
    <row r="2341" spans="2:17" hidden="1" outlineLevel="2">
      <c r="B2341" s="2" t="s">
        <v>876</v>
      </c>
      <c r="D2341" s="268">
        <v>3856</v>
      </c>
      <c r="E2341" s="114" t="s">
        <v>220</v>
      </c>
      <c r="F2341" s="114" t="s">
        <v>2783</v>
      </c>
      <c r="G2341" s="114" t="s">
        <v>1493</v>
      </c>
      <c r="H2341" s="114" t="s">
        <v>1505</v>
      </c>
      <c r="I2341" s="114"/>
      <c r="J2341" s="114" t="b">
        <v>0</v>
      </c>
      <c r="K2341" s="114"/>
      <c r="L2341" s="114"/>
      <c r="M2341" s="114"/>
      <c r="N2341" s="114"/>
      <c r="O2341" s="114"/>
      <c r="P2341" s="114" t="s">
        <v>1494</v>
      </c>
      <c r="Q2341" s="114" t="s">
        <v>1228</v>
      </c>
    </row>
    <row r="2342" spans="2:17" hidden="1" outlineLevel="2">
      <c r="B2342" s="2" t="s">
        <v>876</v>
      </c>
      <c r="D2342" s="270">
        <v>3857</v>
      </c>
      <c r="E2342" s="112" t="s">
        <v>220</v>
      </c>
      <c r="F2342" s="112" t="s">
        <v>2784</v>
      </c>
      <c r="G2342" s="112" t="s">
        <v>1512</v>
      </c>
      <c r="H2342" s="112" t="s">
        <v>1505</v>
      </c>
      <c r="I2342" s="112"/>
      <c r="J2342" s="112" t="b">
        <v>0</v>
      </c>
      <c r="K2342" s="112"/>
      <c r="L2342" s="112"/>
      <c r="M2342" s="112"/>
      <c r="N2342" s="112"/>
      <c r="O2342" s="112"/>
      <c r="P2342" s="112" t="s">
        <v>1494</v>
      </c>
      <c r="Q2342" s="112" t="s">
        <v>1228</v>
      </c>
    </row>
    <row r="2343" spans="2:17" hidden="1" outlineLevel="2">
      <c r="B2343" s="2" t="s">
        <v>876</v>
      </c>
      <c r="D2343" s="268">
        <v>3858</v>
      </c>
      <c r="E2343" s="114" t="s">
        <v>220</v>
      </c>
      <c r="F2343" s="114" t="s">
        <v>2785</v>
      </c>
      <c r="G2343" s="114" t="s">
        <v>1493</v>
      </c>
      <c r="H2343" s="114" t="s">
        <v>1505</v>
      </c>
      <c r="I2343" s="114"/>
      <c r="J2343" s="114" t="b">
        <v>0</v>
      </c>
      <c r="K2343" s="114"/>
      <c r="L2343" s="114"/>
      <c r="M2343" s="114"/>
      <c r="N2343" s="114"/>
      <c r="O2343" s="114"/>
      <c r="P2343" s="114" t="s">
        <v>1494</v>
      </c>
      <c r="Q2343" s="114" t="s">
        <v>1228</v>
      </c>
    </row>
    <row r="2344" spans="2:17" hidden="1" outlineLevel="2">
      <c r="B2344" s="2" t="s">
        <v>876</v>
      </c>
      <c r="D2344" s="270">
        <v>3859</v>
      </c>
      <c r="E2344" s="112" t="s">
        <v>220</v>
      </c>
      <c r="F2344" s="112" t="s">
        <v>2786</v>
      </c>
      <c r="G2344" s="112" t="s">
        <v>1493</v>
      </c>
      <c r="H2344" s="112" t="s">
        <v>1505</v>
      </c>
      <c r="I2344" s="112"/>
      <c r="J2344" s="112" t="b">
        <v>0</v>
      </c>
      <c r="K2344" s="112"/>
      <c r="L2344" s="112"/>
      <c r="M2344" s="112"/>
      <c r="N2344" s="112"/>
      <c r="O2344" s="112"/>
      <c r="P2344" s="112" t="s">
        <v>1494</v>
      </c>
      <c r="Q2344" s="112" t="s">
        <v>1228</v>
      </c>
    </row>
    <row r="2345" spans="2:17" hidden="1" outlineLevel="2">
      <c r="B2345" s="2" t="s">
        <v>876</v>
      </c>
      <c r="D2345" s="268">
        <v>3860</v>
      </c>
      <c r="E2345" s="114" t="s">
        <v>220</v>
      </c>
      <c r="F2345" s="114" t="s">
        <v>2787</v>
      </c>
      <c r="G2345" s="114" t="s">
        <v>1493</v>
      </c>
      <c r="H2345" s="114" t="s">
        <v>1505</v>
      </c>
      <c r="I2345" s="114"/>
      <c r="J2345" s="114" t="b">
        <v>0</v>
      </c>
      <c r="K2345" s="114"/>
      <c r="L2345" s="114"/>
      <c r="M2345" s="114"/>
      <c r="N2345" s="114"/>
      <c r="O2345" s="114"/>
      <c r="P2345" s="114" t="s">
        <v>1494</v>
      </c>
      <c r="Q2345" s="114" t="s">
        <v>1228</v>
      </c>
    </row>
    <row r="2346" spans="2:17" hidden="1" outlineLevel="2">
      <c r="B2346" s="2" t="s">
        <v>876</v>
      </c>
      <c r="D2346" s="270">
        <v>3862</v>
      </c>
      <c r="E2346" s="112" t="s">
        <v>220</v>
      </c>
      <c r="F2346" s="112" t="s">
        <v>2788</v>
      </c>
      <c r="G2346" s="112" t="s">
        <v>1493</v>
      </c>
      <c r="H2346" s="112" t="s">
        <v>1505</v>
      </c>
      <c r="I2346" s="112"/>
      <c r="J2346" s="112" t="b">
        <v>0</v>
      </c>
      <c r="K2346" s="112"/>
      <c r="L2346" s="112"/>
      <c r="M2346" s="112"/>
      <c r="N2346" s="112"/>
      <c r="O2346" s="112"/>
      <c r="P2346" s="112" t="s">
        <v>1494</v>
      </c>
      <c r="Q2346" s="112" t="s">
        <v>1228</v>
      </c>
    </row>
    <row r="2347" spans="2:17" hidden="1" outlineLevel="2">
      <c r="B2347" s="2" t="s">
        <v>876</v>
      </c>
      <c r="D2347" s="268">
        <v>3864</v>
      </c>
      <c r="E2347" s="114" t="s">
        <v>220</v>
      </c>
      <c r="F2347" s="114" t="s">
        <v>2789</v>
      </c>
      <c r="G2347" s="114" t="s">
        <v>1512</v>
      </c>
      <c r="H2347" s="114" t="s">
        <v>1505</v>
      </c>
      <c r="I2347" s="114"/>
      <c r="J2347" s="114" t="b">
        <v>0</v>
      </c>
      <c r="K2347" s="114"/>
      <c r="L2347" s="114"/>
      <c r="M2347" s="114"/>
      <c r="N2347" s="114"/>
      <c r="O2347" s="114"/>
      <c r="P2347" s="114" t="s">
        <v>1494</v>
      </c>
      <c r="Q2347" s="114" t="s">
        <v>1228</v>
      </c>
    </row>
    <row r="2348" spans="2:17" hidden="1" outlineLevel="2">
      <c r="B2348" s="2" t="s">
        <v>876</v>
      </c>
      <c r="D2348" s="270">
        <v>3865</v>
      </c>
      <c r="E2348" s="112" t="s">
        <v>220</v>
      </c>
      <c r="F2348" s="112" t="s">
        <v>2790</v>
      </c>
      <c r="G2348" s="112" t="s">
        <v>1512</v>
      </c>
      <c r="H2348" s="112" t="s">
        <v>1505</v>
      </c>
      <c r="I2348" s="112"/>
      <c r="J2348" s="112" t="b">
        <v>0</v>
      </c>
      <c r="K2348" s="112"/>
      <c r="L2348" s="112"/>
      <c r="M2348" s="112"/>
      <c r="N2348" s="112"/>
      <c r="O2348" s="112"/>
      <c r="P2348" s="112" t="s">
        <v>1494</v>
      </c>
      <c r="Q2348" s="112" t="s">
        <v>1228</v>
      </c>
    </row>
    <row r="2349" spans="2:17" hidden="1" outlineLevel="2">
      <c r="B2349" s="2" t="s">
        <v>876</v>
      </c>
      <c r="D2349" s="268">
        <v>3869</v>
      </c>
      <c r="E2349" s="114" t="s">
        <v>220</v>
      </c>
      <c r="F2349" s="114" t="s">
        <v>2791</v>
      </c>
      <c r="G2349" s="221" t="s">
        <v>1512</v>
      </c>
      <c r="H2349" s="114" t="s">
        <v>1505</v>
      </c>
      <c r="I2349" s="114"/>
      <c r="J2349" s="114" t="b">
        <v>0</v>
      </c>
      <c r="K2349" s="114"/>
      <c r="L2349" s="114"/>
      <c r="M2349" s="114"/>
      <c r="N2349" s="114"/>
      <c r="O2349" s="114"/>
      <c r="P2349" s="114" t="s">
        <v>1494</v>
      </c>
      <c r="Q2349" s="114" t="s">
        <v>1228</v>
      </c>
    </row>
    <row r="2350" spans="2:17" hidden="1" outlineLevel="2">
      <c r="B2350" s="2" t="s">
        <v>876</v>
      </c>
      <c r="D2350" s="270">
        <v>3870</v>
      </c>
      <c r="E2350" s="112" t="s">
        <v>220</v>
      </c>
      <c r="F2350" s="112" t="s">
        <v>2792</v>
      </c>
      <c r="G2350" s="112" t="s">
        <v>1493</v>
      </c>
      <c r="H2350" s="112" t="s">
        <v>1505</v>
      </c>
      <c r="I2350" s="112"/>
      <c r="J2350" s="112" t="b">
        <v>0</v>
      </c>
      <c r="K2350" s="112"/>
      <c r="L2350" s="112"/>
      <c r="M2350" s="112"/>
      <c r="N2350" s="112"/>
      <c r="O2350" s="112"/>
      <c r="P2350" s="112" t="s">
        <v>1494</v>
      </c>
      <c r="Q2350" s="112" t="s">
        <v>1228</v>
      </c>
    </row>
    <row r="2351" spans="2:17" hidden="1" outlineLevel="2">
      <c r="B2351" s="2" t="s">
        <v>876</v>
      </c>
      <c r="D2351" s="268">
        <v>3871</v>
      </c>
      <c r="E2351" s="114" t="s">
        <v>220</v>
      </c>
      <c r="F2351" s="114" t="s">
        <v>2793</v>
      </c>
      <c r="G2351" s="114" t="s">
        <v>1493</v>
      </c>
      <c r="H2351" s="114" t="s">
        <v>1505</v>
      </c>
      <c r="I2351" s="114"/>
      <c r="J2351" s="114" t="b">
        <v>0</v>
      </c>
      <c r="K2351" s="114"/>
      <c r="L2351" s="114"/>
      <c r="M2351" s="114"/>
      <c r="N2351" s="114"/>
      <c r="O2351" s="114"/>
      <c r="P2351" s="114" t="s">
        <v>1494</v>
      </c>
      <c r="Q2351" s="114" t="s">
        <v>1228</v>
      </c>
    </row>
    <row r="2352" spans="2:17" hidden="1" outlineLevel="2">
      <c r="B2352" s="2" t="s">
        <v>876</v>
      </c>
      <c r="D2352" s="270">
        <v>3873</v>
      </c>
      <c r="E2352" s="112" t="s">
        <v>220</v>
      </c>
      <c r="F2352" s="112" t="s">
        <v>2794</v>
      </c>
      <c r="G2352" s="112" t="s">
        <v>1512</v>
      </c>
      <c r="H2352" s="112" t="s">
        <v>1512</v>
      </c>
      <c r="I2352" s="112"/>
      <c r="J2352" s="112" t="b">
        <v>0</v>
      </c>
      <c r="K2352" s="112"/>
      <c r="L2352" s="112"/>
      <c r="M2352" s="112"/>
      <c r="N2352" s="112"/>
      <c r="O2352" s="112"/>
      <c r="P2352" s="112" t="s">
        <v>1494</v>
      </c>
      <c r="Q2352" s="112" t="s">
        <v>1228</v>
      </c>
    </row>
    <row r="2353" spans="2:17" hidden="1" outlineLevel="2">
      <c r="B2353" s="2" t="s">
        <v>876</v>
      </c>
      <c r="D2353" s="268">
        <v>3874</v>
      </c>
      <c r="E2353" s="114" t="s">
        <v>220</v>
      </c>
      <c r="F2353" s="114" t="s">
        <v>2795</v>
      </c>
      <c r="G2353" s="114" t="s">
        <v>1512</v>
      </c>
      <c r="H2353" s="114" t="s">
        <v>1505</v>
      </c>
      <c r="I2353" s="114"/>
      <c r="J2353" s="114" t="b">
        <v>0</v>
      </c>
      <c r="K2353" s="114"/>
      <c r="L2353" s="114"/>
      <c r="M2353" s="114"/>
      <c r="N2353" s="114"/>
      <c r="O2353" s="114"/>
      <c r="P2353" s="114" t="s">
        <v>1494</v>
      </c>
      <c r="Q2353" s="114" t="s">
        <v>1228</v>
      </c>
    </row>
    <row r="2354" spans="2:17" hidden="1" outlineLevel="2">
      <c r="B2354" s="2" t="s">
        <v>876</v>
      </c>
      <c r="D2354" s="270">
        <v>3875</v>
      </c>
      <c r="E2354" s="112" t="s">
        <v>220</v>
      </c>
      <c r="F2354" s="112" t="s">
        <v>2796</v>
      </c>
      <c r="G2354" s="112" t="s">
        <v>1493</v>
      </c>
      <c r="H2354" s="112" t="s">
        <v>1494</v>
      </c>
      <c r="I2354" s="112"/>
      <c r="J2354" s="112" t="b">
        <v>0</v>
      </c>
      <c r="K2354" s="112"/>
      <c r="L2354" s="112"/>
      <c r="M2354" s="112"/>
      <c r="N2354" s="112"/>
      <c r="O2354" s="112"/>
      <c r="P2354" s="112" t="s">
        <v>2374</v>
      </c>
      <c r="Q2354" s="112" t="s">
        <v>1228</v>
      </c>
    </row>
    <row r="2355" spans="2:17" hidden="1" outlineLevel="2">
      <c r="B2355" s="2" t="s">
        <v>876</v>
      </c>
      <c r="D2355" s="268">
        <v>3878</v>
      </c>
      <c r="E2355" s="114" t="s">
        <v>220</v>
      </c>
      <c r="F2355" s="114" t="s">
        <v>2797</v>
      </c>
      <c r="G2355" s="114" t="s">
        <v>1493</v>
      </c>
      <c r="H2355" s="114" t="s">
        <v>1505</v>
      </c>
      <c r="I2355" s="114"/>
      <c r="J2355" s="114" t="b">
        <v>0</v>
      </c>
      <c r="K2355" s="114"/>
      <c r="L2355" s="114"/>
      <c r="M2355" s="114"/>
      <c r="N2355" s="114"/>
      <c r="O2355" s="114"/>
      <c r="P2355" s="114" t="s">
        <v>1494</v>
      </c>
      <c r="Q2355" s="114" t="s">
        <v>1228</v>
      </c>
    </row>
    <row r="2356" spans="2:17" hidden="1" outlineLevel="2">
      <c r="B2356" s="2" t="s">
        <v>876</v>
      </c>
      <c r="D2356" s="270">
        <v>3880</v>
      </c>
      <c r="E2356" s="112" t="s">
        <v>220</v>
      </c>
      <c r="F2356" s="112" t="s">
        <v>2798</v>
      </c>
      <c r="G2356" s="112" t="s">
        <v>1493</v>
      </c>
      <c r="H2356" s="112" t="s">
        <v>1505</v>
      </c>
      <c r="I2356" s="112"/>
      <c r="J2356" s="112" t="b">
        <v>0</v>
      </c>
      <c r="K2356" s="112"/>
      <c r="L2356" s="112"/>
      <c r="M2356" s="112"/>
      <c r="N2356" s="112"/>
      <c r="O2356" s="112"/>
      <c r="P2356" s="112" t="s">
        <v>1494</v>
      </c>
      <c r="Q2356" s="112" t="s">
        <v>1228</v>
      </c>
    </row>
    <row r="2357" spans="2:17" hidden="1" outlineLevel="2">
      <c r="B2357" s="2" t="s">
        <v>876</v>
      </c>
      <c r="D2357" s="268">
        <v>3882</v>
      </c>
      <c r="E2357" s="114" t="s">
        <v>220</v>
      </c>
      <c r="F2357" s="114" t="s">
        <v>2799</v>
      </c>
      <c r="G2357" s="114" t="s">
        <v>1493</v>
      </c>
      <c r="H2357" s="114" t="s">
        <v>1505</v>
      </c>
      <c r="I2357" s="114"/>
      <c r="J2357" s="114" t="b">
        <v>0</v>
      </c>
      <c r="K2357" s="114"/>
      <c r="L2357" s="114" t="b">
        <v>1</v>
      </c>
      <c r="M2357" s="114"/>
      <c r="N2357" s="114"/>
      <c r="O2357" s="114"/>
      <c r="P2357" s="114" t="s">
        <v>1494</v>
      </c>
      <c r="Q2357" s="114" t="s">
        <v>1228</v>
      </c>
    </row>
    <row r="2358" spans="2:17" hidden="1" outlineLevel="2">
      <c r="B2358" s="2" t="s">
        <v>876</v>
      </c>
      <c r="D2358" s="270">
        <v>3885</v>
      </c>
      <c r="E2358" s="112" t="s">
        <v>220</v>
      </c>
      <c r="F2358" s="112" t="s">
        <v>2800</v>
      </c>
      <c r="G2358" s="112" t="s">
        <v>1493</v>
      </c>
      <c r="H2358" s="112" t="s">
        <v>1505</v>
      </c>
      <c r="I2358" s="112"/>
      <c r="J2358" s="112" t="b">
        <v>0</v>
      </c>
      <c r="K2358" s="112"/>
      <c r="L2358" s="112"/>
      <c r="M2358" s="112"/>
      <c r="N2358" s="112"/>
      <c r="O2358" s="112"/>
      <c r="P2358" s="112" t="s">
        <v>1494</v>
      </c>
      <c r="Q2358" s="112" t="s">
        <v>1228</v>
      </c>
    </row>
    <row r="2359" spans="2:17" hidden="1" outlineLevel="2">
      <c r="B2359" s="2" t="s">
        <v>876</v>
      </c>
      <c r="D2359" s="268">
        <v>3886</v>
      </c>
      <c r="E2359" s="114" t="s">
        <v>220</v>
      </c>
      <c r="F2359" s="114" t="s">
        <v>2801</v>
      </c>
      <c r="G2359" s="114" t="s">
        <v>1512</v>
      </c>
      <c r="H2359" s="114" t="s">
        <v>1505</v>
      </c>
      <c r="I2359" s="114"/>
      <c r="J2359" s="114" t="b">
        <v>0</v>
      </c>
      <c r="K2359" s="114"/>
      <c r="L2359" s="114"/>
      <c r="M2359" s="114"/>
      <c r="N2359" s="114"/>
      <c r="O2359" s="114"/>
      <c r="P2359" s="114" t="s">
        <v>1494</v>
      </c>
      <c r="Q2359" s="114" t="s">
        <v>1228</v>
      </c>
    </row>
    <row r="2360" spans="2:17" hidden="1" outlineLevel="2">
      <c r="B2360" s="2" t="s">
        <v>876</v>
      </c>
      <c r="D2360" s="270">
        <v>3887</v>
      </c>
      <c r="E2360" s="112" t="s">
        <v>220</v>
      </c>
      <c r="F2360" s="112" t="s">
        <v>2802</v>
      </c>
      <c r="G2360" s="112" t="s">
        <v>1512</v>
      </c>
      <c r="H2360" s="112" t="s">
        <v>1505</v>
      </c>
      <c r="I2360" s="112"/>
      <c r="J2360" s="112" t="b">
        <v>0</v>
      </c>
      <c r="K2360" s="112"/>
      <c r="L2360" s="112"/>
      <c r="M2360" s="112"/>
      <c r="N2360" s="112"/>
      <c r="O2360" s="112"/>
      <c r="P2360" s="112" t="s">
        <v>1494</v>
      </c>
      <c r="Q2360" s="112" t="s">
        <v>1228</v>
      </c>
    </row>
    <row r="2361" spans="2:17" hidden="1" outlineLevel="2">
      <c r="B2361" s="2" t="s">
        <v>876</v>
      </c>
      <c r="D2361" s="268">
        <v>3888</v>
      </c>
      <c r="E2361" s="114" t="s">
        <v>220</v>
      </c>
      <c r="F2361" s="114" t="s">
        <v>2803</v>
      </c>
      <c r="G2361" s="114" t="s">
        <v>1512</v>
      </c>
      <c r="H2361" s="114" t="s">
        <v>1505</v>
      </c>
      <c r="I2361" s="114"/>
      <c r="J2361" s="114" t="b">
        <v>0</v>
      </c>
      <c r="K2361" s="114"/>
      <c r="L2361" s="114"/>
      <c r="M2361" s="114"/>
      <c r="N2361" s="114"/>
      <c r="O2361" s="114"/>
      <c r="P2361" s="114" t="s">
        <v>1494</v>
      </c>
      <c r="Q2361" s="114" t="s">
        <v>1228</v>
      </c>
    </row>
    <row r="2362" spans="2:17" hidden="1" outlineLevel="2">
      <c r="B2362" s="2" t="s">
        <v>876</v>
      </c>
      <c r="D2362" s="270">
        <v>3889</v>
      </c>
      <c r="E2362" s="112" t="s">
        <v>220</v>
      </c>
      <c r="F2362" s="112" t="s">
        <v>2804</v>
      </c>
      <c r="G2362" s="112" t="s">
        <v>1512</v>
      </c>
      <c r="H2362" s="112" t="s">
        <v>1505</v>
      </c>
      <c r="I2362" s="112"/>
      <c r="J2362" s="112" t="b">
        <v>0</v>
      </c>
      <c r="K2362" s="112"/>
      <c r="L2362" s="112" t="b">
        <v>1</v>
      </c>
      <c r="M2362" s="112"/>
      <c r="N2362" s="112"/>
      <c r="O2362" s="112"/>
      <c r="P2362" s="112" t="s">
        <v>1494</v>
      </c>
      <c r="Q2362" s="112" t="s">
        <v>1228</v>
      </c>
    </row>
    <row r="2363" spans="2:17" hidden="1" outlineLevel="2">
      <c r="B2363" s="2" t="s">
        <v>876</v>
      </c>
      <c r="D2363" s="268">
        <v>3890</v>
      </c>
      <c r="E2363" s="114" t="s">
        <v>220</v>
      </c>
      <c r="F2363" s="114" t="s">
        <v>2805</v>
      </c>
      <c r="G2363" s="114" t="s">
        <v>1512</v>
      </c>
      <c r="H2363" s="114" t="s">
        <v>1505</v>
      </c>
      <c r="I2363" s="114"/>
      <c r="J2363" s="114" t="b">
        <v>0</v>
      </c>
      <c r="K2363" s="114"/>
      <c r="L2363" s="114"/>
      <c r="M2363" s="114"/>
      <c r="N2363" s="114"/>
      <c r="O2363" s="114"/>
      <c r="P2363" s="114" t="s">
        <v>1494</v>
      </c>
      <c r="Q2363" s="114" t="s">
        <v>1228</v>
      </c>
    </row>
    <row r="2364" spans="2:17" hidden="1" outlineLevel="2">
      <c r="B2364" s="2" t="s">
        <v>876</v>
      </c>
      <c r="D2364" s="270">
        <v>3891</v>
      </c>
      <c r="E2364" s="112" t="s">
        <v>220</v>
      </c>
      <c r="F2364" s="112" t="s">
        <v>2806</v>
      </c>
      <c r="G2364" s="112" t="s">
        <v>1512</v>
      </c>
      <c r="H2364" s="112" t="s">
        <v>1505</v>
      </c>
      <c r="I2364" s="112"/>
      <c r="J2364" s="112" t="b">
        <v>0</v>
      </c>
      <c r="K2364" s="112"/>
      <c r="L2364" s="112"/>
      <c r="M2364" s="112"/>
      <c r="N2364" s="112"/>
      <c r="O2364" s="112"/>
      <c r="P2364" s="112" t="s">
        <v>1494</v>
      </c>
      <c r="Q2364" s="112" t="s">
        <v>1228</v>
      </c>
    </row>
    <row r="2365" spans="2:17" hidden="1" outlineLevel="2">
      <c r="B2365" s="2" t="s">
        <v>876</v>
      </c>
      <c r="D2365" s="268">
        <v>3892</v>
      </c>
      <c r="E2365" s="114" t="s">
        <v>220</v>
      </c>
      <c r="F2365" s="114" t="s">
        <v>2807</v>
      </c>
      <c r="G2365" s="114" t="s">
        <v>1512</v>
      </c>
      <c r="H2365" s="114" t="s">
        <v>1505</v>
      </c>
      <c r="I2365" s="114"/>
      <c r="J2365" s="114" t="b">
        <v>0</v>
      </c>
      <c r="K2365" s="114"/>
      <c r="L2365" s="114"/>
      <c r="M2365" s="114"/>
      <c r="N2365" s="114"/>
      <c r="O2365" s="114"/>
      <c r="P2365" s="114" t="s">
        <v>1494</v>
      </c>
      <c r="Q2365" s="114" t="s">
        <v>1228</v>
      </c>
    </row>
    <row r="2366" spans="2:17" hidden="1" outlineLevel="2">
      <c r="B2366" s="2" t="s">
        <v>876</v>
      </c>
      <c r="D2366" s="270">
        <v>3893</v>
      </c>
      <c r="E2366" s="112" t="s">
        <v>220</v>
      </c>
      <c r="F2366" s="112" t="s">
        <v>2808</v>
      </c>
      <c r="G2366" s="112" t="s">
        <v>1512</v>
      </c>
      <c r="H2366" s="112" t="s">
        <v>1505</v>
      </c>
      <c r="I2366" s="112"/>
      <c r="J2366" s="112" t="b">
        <v>0</v>
      </c>
      <c r="K2366" s="112"/>
      <c r="L2366" s="112"/>
      <c r="M2366" s="112"/>
      <c r="N2366" s="112"/>
      <c r="O2366" s="112"/>
      <c r="P2366" s="112" t="s">
        <v>1494</v>
      </c>
      <c r="Q2366" s="112" t="s">
        <v>1228</v>
      </c>
    </row>
    <row r="2367" spans="2:17" hidden="1" outlineLevel="2">
      <c r="B2367" s="2" t="s">
        <v>876</v>
      </c>
      <c r="D2367" s="268">
        <v>3895</v>
      </c>
      <c r="E2367" s="114" t="s">
        <v>220</v>
      </c>
      <c r="F2367" s="114" t="s">
        <v>2809</v>
      </c>
      <c r="G2367" s="114" t="s">
        <v>1512</v>
      </c>
      <c r="H2367" s="114" t="s">
        <v>1512</v>
      </c>
      <c r="I2367" s="114"/>
      <c r="J2367" s="114" t="b">
        <v>0</v>
      </c>
      <c r="K2367" s="114"/>
      <c r="L2367" s="114" t="b">
        <v>1</v>
      </c>
      <c r="M2367" s="114"/>
      <c r="N2367" s="114"/>
      <c r="O2367" s="114"/>
      <c r="P2367" s="114" t="s">
        <v>1494</v>
      </c>
      <c r="Q2367" s="114" t="s">
        <v>1228</v>
      </c>
    </row>
    <row r="2368" spans="2:17" hidden="1" outlineLevel="2">
      <c r="B2368" s="2" t="s">
        <v>876</v>
      </c>
      <c r="D2368" s="270">
        <v>3896</v>
      </c>
      <c r="E2368" s="112" t="s">
        <v>220</v>
      </c>
      <c r="F2368" s="112" t="s">
        <v>2810</v>
      </c>
      <c r="G2368" s="112" t="s">
        <v>1512</v>
      </c>
      <c r="H2368" s="112" t="s">
        <v>1505</v>
      </c>
      <c r="I2368" s="112"/>
      <c r="J2368" s="112" t="b">
        <v>0</v>
      </c>
      <c r="K2368" s="112"/>
      <c r="L2368" s="112"/>
      <c r="M2368" s="112"/>
      <c r="N2368" s="112"/>
      <c r="O2368" s="112"/>
      <c r="P2368" s="112" t="s">
        <v>1494</v>
      </c>
      <c r="Q2368" s="112" t="s">
        <v>1228</v>
      </c>
    </row>
    <row r="2369" spans="2:17" hidden="1" outlineLevel="2">
      <c r="B2369" s="2" t="s">
        <v>876</v>
      </c>
      <c r="D2369" s="268">
        <v>3898</v>
      </c>
      <c r="E2369" s="114" t="s">
        <v>220</v>
      </c>
      <c r="F2369" s="114" t="s">
        <v>2811</v>
      </c>
      <c r="G2369" s="114" t="s">
        <v>1512</v>
      </c>
      <c r="H2369" s="114" t="s">
        <v>1505</v>
      </c>
      <c r="I2369" s="114"/>
      <c r="J2369" s="114" t="b">
        <v>0</v>
      </c>
      <c r="K2369" s="114"/>
      <c r="L2369" s="114"/>
      <c r="M2369" s="114"/>
      <c r="N2369" s="114"/>
      <c r="O2369" s="114"/>
      <c r="P2369" s="114" t="s">
        <v>1494</v>
      </c>
      <c r="Q2369" s="114" t="s">
        <v>1228</v>
      </c>
    </row>
    <row r="2370" spans="2:17" hidden="1" outlineLevel="2">
      <c r="B2370" s="2" t="s">
        <v>876</v>
      </c>
      <c r="D2370" s="270">
        <v>3900</v>
      </c>
      <c r="E2370" s="112" t="s">
        <v>220</v>
      </c>
      <c r="F2370" s="112" t="s">
        <v>2812</v>
      </c>
      <c r="G2370" s="112" t="s">
        <v>1512</v>
      </c>
      <c r="H2370" s="112" t="s">
        <v>1505</v>
      </c>
      <c r="I2370" s="112"/>
      <c r="J2370" s="112" t="b">
        <v>0</v>
      </c>
      <c r="K2370" s="112"/>
      <c r="L2370" s="112"/>
      <c r="M2370" s="112"/>
      <c r="N2370" s="112"/>
      <c r="O2370" s="112"/>
      <c r="P2370" s="112" t="s">
        <v>1494</v>
      </c>
      <c r="Q2370" s="112" t="s">
        <v>1228</v>
      </c>
    </row>
    <row r="2371" spans="2:17" hidden="1" outlineLevel="2">
      <c r="B2371" s="2" t="s">
        <v>876</v>
      </c>
      <c r="D2371" s="268">
        <v>3902</v>
      </c>
      <c r="E2371" s="114" t="s">
        <v>220</v>
      </c>
      <c r="F2371" s="114" t="s">
        <v>2813</v>
      </c>
      <c r="G2371" s="114" t="s">
        <v>1512</v>
      </c>
      <c r="H2371" s="114" t="s">
        <v>1512</v>
      </c>
      <c r="I2371" s="114"/>
      <c r="J2371" s="114" t="b">
        <v>0</v>
      </c>
      <c r="K2371" s="114"/>
      <c r="L2371" s="114"/>
      <c r="M2371" s="114"/>
      <c r="N2371" s="114"/>
      <c r="O2371" s="114"/>
      <c r="P2371" s="114" t="s">
        <v>1494</v>
      </c>
      <c r="Q2371" s="114" t="s">
        <v>1228</v>
      </c>
    </row>
    <row r="2372" spans="2:17" hidden="1" outlineLevel="2">
      <c r="B2372" s="2" t="s">
        <v>876</v>
      </c>
      <c r="D2372" s="270">
        <v>3903</v>
      </c>
      <c r="E2372" s="112" t="s">
        <v>220</v>
      </c>
      <c r="F2372" s="112" t="s">
        <v>2814</v>
      </c>
      <c r="G2372" s="112" t="s">
        <v>1512</v>
      </c>
      <c r="H2372" s="112" t="s">
        <v>1505</v>
      </c>
      <c r="I2372" s="112"/>
      <c r="J2372" s="112" t="b">
        <v>0</v>
      </c>
      <c r="K2372" s="112"/>
      <c r="L2372" s="112"/>
      <c r="M2372" s="112"/>
      <c r="N2372" s="112"/>
      <c r="O2372" s="112"/>
      <c r="P2372" s="112" t="s">
        <v>1494</v>
      </c>
      <c r="Q2372" s="112" t="s">
        <v>1228</v>
      </c>
    </row>
    <row r="2373" spans="2:17" hidden="1" outlineLevel="2">
      <c r="B2373" s="2" t="s">
        <v>876</v>
      </c>
      <c r="D2373" s="268">
        <v>3904</v>
      </c>
      <c r="E2373" s="114" t="s">
        <v>220</v>
      </c>
      <c r="F2373" s="114" t="s">
        <v>2815</v>
      </c>
      <c r="G2373" s="114" t="s">
        <v>1512</v>
      </c>
      <c r="H2373" s="114" t="s">
        <v>1505</v>
      </c>
      <c r="I2373" s="114"/>
      <c r="J2373" s="114" t="b">
        <v>0</v>
      </c>
      <c r="K2373" s="114"/>
      <c r="L2373" s="114"/>
      <c r="M2373" s="114"/>
      <c r="N2373" s="114"/>
      <c r="O2373" s="114"/>
      <c r="P2373" s="114" t="s">
        <v>1494</v>
      </c>
      <c r="Q2373" s="114" t="s">
        <v>1228</v>
      </c>
    </row>
    <row r="2374" spans="2:17" hidden="1" outlineLevel="2">
      <c r="B2374" s="2" t="s">
        <v>876</v>
      </c>
      <c r="D2374" s="270">
        <v>3909</v>
      </c>
      <c r="E2374" s="112" t="s">
        <v>220</v>
      </c>
      <c r="F2374" s="112" t="s">
        <v>2816</v>
      </c>
      <c r="G2374" s="269" t="s">
        <v>1493</v>
      </c>
      <c r="H2374" s="112" t="s">
        <v>1505</v>
      </c>
      <c r="I2374" s="112"/>
      <c r="J2374" s="112" t="b">
        <v>0</v>
      </c>
      <c r="K2374" s="112"/>
      <c r="L2374" s="112"/>
      <c r="M2374" s="112"/>
      <c r="N2374" s="112"/>
      <c r="O2374" s="112"/>
      <c r="P2374" s="112" t="s">
        <v>1494</v>
      </c>
      <c r="Q2374" s="112" t="s">
        <v>1228</v>
      </c>
    </row>
    <row r="2375" spans="2:17" hidden="1" outlineLevel="2">
      <c r="B2375" s="2" t="s">
        <v>876</v>
      </c>
      <c r="D2375" s="268">
        <v>3910</v>
      </c>
      <c r="E2375" s="114" t="s">
        <v>220</v>
      </c>
      <c r="F2375" s="114" t="s">
        <v>2817</v>
      </c>
      <c r="G2375" s="114" t="s">
        <v>1572</v>
      </c>
      <c r="H2375" s="114" t="s">
        <v>1227</v>
      </c>
      <c r="I2375" s="114"/>
      <c r="J2375" s="114" t="b">
        <v>0</v>
      </c>
      <c r="K2375" s="114"/>
      <c r="L2375" s="114"/>
      <c r="M2375" s="114"/>
      <c r="N2375" s="114"/>
      <c r="O2375" s="114"/>
      <c r="P2375" s="114" t="s">
        <v>2196</v>
      </c>
      <c r="Q2375" s="114" t="s">
        <v>1227</v>
      </c>
    </row>
    <row r="2376" spans="2:17" hidden="1" outlineLevel="2">
      <c r="B2376" s="2" t="s">
        <v>876</v>
      </c>
      <c r="D2376" s="270">
        <v>3911</v>
      </c>
      <c r="E2376" s="112" t="s">
        <v>220</v>
      </c>
      <c r="F2376" s="112" t="s">
        <v>2818</v>
      </c>
      <c r="G2376" s="112" t="s">
        <v>1572</v>
      </c>
      <c r="H2376" s="112" t="s">
        <v>1227</v>
      </c>
      <c r="I2376" s="112"/>
      <c r="J2376" s="112" t="b">
        <v>0</v>
      </c>
      <c r="K2376" s="112"/>
      <c r="L2376" s="112"/>
      <c r="M2376" s="112"/>
      <c r="N2376" s="112"/>
      <c r="O2376" s="112"/>
      <c r="P2376" s="112" t="s">
        <v>2196</v>
      </c>
      <c r="Q2376" s="112" t="s">
        <v>1227</v>
      </c>
    </row>
    <row r="2377" spans="2:17" hidden="1" outlineLevel="2">
      <c r="B2377" s="2" t="s">
        <v>876</v>
      </c>
      <c r="D2377" s="268">
        <v>3912</v>
      </c>
      <c r="E2377" s="114" t="s">
        <v>220</v>
      </c>
      <c r="F2377" s="114" t="s">
        <v>2819</v>
      </c>
      <c r="G2377" s="114" t="s">
        <v>1572</v>
      </c>
      <c r="H2377" s="114" t="s">
        <v>1227</v>
      </c>
      <c r="I2377" s="114"/>
      <c r="J2377" s="114" t="b">
        <v>0</v>
      </c>
      <c r="K2377" s="114"/>
      <c r="L2377" s="114"/>
      <c r="M2377" s="114"/>
      <c r="N2377" s="114"/>
      <c r="O2377" s="114"/>
      <c r="P2377" s="114" t="s">
        <v>2196</v>
      </c>
      <c r="Q2377" s="114" t="s">
        <v>1227</v>
      </c>
    </row>
    <row r="2378" spans="2:17" hidden="1" outlineLevel="2">
      <c r="B2378" s="2" t="s">
        <v>876</v>
      </c>
      <c r="D2378" s="270">
        <v>3913</v>
      </c>
      <c r="E2378" s="112" t="s">
        <v>220</v>
      </c>
      <c r="F2378" s="112" t="s">
        <v>2820</v>
      </c>
      <c r="G2378" s="112" t="s">
        <v>1572</v>
      </c>
      <c r="H2378" s="112" t="s">
        <v>1227</v>
      </c>
      <c r="I2378" s="112"/>
      <c r="J2378" s="112" t="b">
        <v>0</v>
      </c>
      <c r="K2378" s="112"/>
      <c r="L2378" s="112"/>
      <c r="M2378" s="112"/>
      <c r="N2378" s="112"/>
      <c r="O2378" s="112"/>
      <c r="P2378" s="112" t="s">
        <v>2196</v>
      </c>
      <c r="Q2378" s="112" t="s">
        <v>1227</v>
      </c>
    </row>
    <row r="2379" spans="2:17" hidden="1" outlineLevel="2">
      <c r="B2379" s="2" t="s">
        <v>876</v>
      </c>
      <c r="D2379" s="268">
        <v>3915</v>
      </c>
      <c r="E2379" s="114" t="s">
        <v>220</v>
      </c>
      <c r="F2379" s="114" t="s">
        <v>2821</v>
      </c>
      <c r="G2379" s="114" t="s">
        <v>1572</v>
      </c>
      <c r="H2379" s="114" t="s">
        <v>1227</v>
      </c>
      <c r="I2379" s="114"/>
      <c r="J2379" s="114" t="b">
        <v>0</v>
      </c>
      <c r="K2379" s="114"/>
      <c r="L2379" s="114"/>
      <c r="M2379" s="114"/>
      <c r="N2379" s="114"/>
      <c r="O2379" s="114"/>
      <c r="P2379" s="114" t="s">
        <v>2196</v>
      </c>
      <c r="Q2379" s="114" t="s">
        <v>1227</v>
      </c>
    </row>
    <row r="2380" spans="2:17" hidden="1" outlineLevel="2">
      <c r="B2380" s="2" t="s">
        <v>876</v>
      </c>
      <c r="D2380" s="270">
        <v>3916</v>
      </c>
      <c r="E2380" s="112" t="s">
        <v>220</v>
      </c>
      <c r="F2380" s="112" t="s">
        <v>2822</v>
      </c>
      <c r="G2380" s="112" t="s">
        <v>1572</v>
      </c>
      <c r="H2380" s="112" t="s">
        <v>1227</v>
      </c>
      <c r="I2380" s="112"/>
      <c r="J2380" s="112" t="b">
        <v>0</v>
      </c>
      <c r="K2380" s="112"/>
      <c r="L2380" s="112" t="b">
        <v>1</v>
      </c>
      <c r="M2380" s="112"/>
      <c r="N2380" s="691" t="b">
        <v>1</v>
      </c>
      <c r="O2380" s="112"/>
      <c r="P2380" s="112" t="s">
        <v>2196</v>
      </c>
      <c r="Q2380" s="112" t="s">
        <v>1227</v>
      </c>
    </row>
    <row r="2381" spans="2:17" hidden="1" outlineLevel="2">
      <c r="B2381" s="2" t="s">
        <v>876</v>
      </c>
      <c r="D2381" s="268">
        <v>3918</v>
      </c>
      <c r="E2381" s="114" t="s">
        <v>220</v>
      </c>
      <c r="F2381" s="114" t="s">
        <v>2823</v>
      </c>
      <c r="G2381" s="114" t="s">
        <v>1572</v>
      </c>
      <c r="H2381" s="114" t="s">
        <v>1227</v>
      </c>
      <c r="I2381" s="114"/>
      <c r="J2381" s="114" t="b">
        <v>0</v>
      </c>
      <c r="K2381" s="114"/>
      <c r="L2381" s="114"/>
      <c r="M2381" s="114"/>
      <c r="N2381" s="114"/>
      <c r="O2381" s="114"/>
      <c r="P2381" s="114" t="s">
        <v>2196</v>
      </c>
      <c r="Q2381" s="114" t="s">
        <v>1227</v>
      </c>
    </row>
    <row r="2382" spans="2:17" hidden="1" outlineLevel="2">
      <c r="B2382" s="2" t="s">
        <v>876</v>
      </c>
      <c r="D2382" s="270">
        <v>3919</v>
      </c>
      <c r="E2382" s="112" t="s">
        <v>220</v>
      </c>
      <c r="F2382" s="112" t="s">
        <v>2824</v>
      </c>
      <c r="G2382" s="269" t="s">
        <v>1572</v>
      </c>
      <c r="H2382" s="112" t="s">
        <v>1494</v>
      </c>
      <c r="I2382" s="112"/>
      <c r="J2382" s="112" t="b">
        <v>0</v>
      </c>
      <c r="K2382" s="112"/>
      <c r="L2382" s="112"/>
      <c r="M2382" s="112"/>
      <c r="N2382" s="112"/>
      <c r="O2382" s="112"/>
      <c r="P2382" s="112" t="s">
        <v>2196</v>
      </c>
      <c r="Q2382" s="112" t="s">
        <v>1228</v>
      </c>
    </row>
    <row r="2383" spans="2:17" hidden="1" outlineLevel="2">
      <c r="B2383" s="2" t="s">
        <v>876</v>
      </c>
      <c r="D2383" s="268" t="s">
        <v>2825</v>
      </c>
      <c r="E2383" s="114" t="s">
        <v>220</v>
      </c>
      <c r="F2383" s="114" t="s">
        <v>2826</v>
      </c>
      <c r="G2383" s="114" t="s">
        <v>1533</v>
      </c>
      <c r="H2383" s="114" t="s">
        <v>1505</v>
      </c>
      <c r="I2383" s="114"/>
      <c r="J2383" s="114" t="b">
        <v>0</v>
      </c>
      <c r="K2383" s="114"/>
      <c r="L2383" s="114"/>
      <c r="M2383" s="114"/>
      <c r="N2383" s="114"/>
      <c r="O2383" s="114"/>
      <c r="P2383" s="114" t="s">
        <v>2196</v>
      </c>
      <c r="Q2383" s="114" t="s">
        <v>1228</v>
      </c>
    </row>
    <row r="2384" spans="2:17" hidden="1" outlineLevel="2">
      <c r="B2384" s="2" t="s">
        <v>876</v>
      </c>
      <c r="D2384" s="268">
        <v>3921</v>
      </c>
      <c r="E2384" s="114" t="s">
        <v>220</v>
      </c>
      <c r="F2384" s="114" t="s">
        <v>2827</v>
      </c>
      <c r="G2384" s="114" t="s">
        <v>1512</v>
      </c>
      <c r="H2384" s="114" t="s">
        <v>1505</v>
      </c>
      <c r="I2384" s="114"/>
      <c r="J2384" s="114" t="b">
        <v>0</v>
      </c>
      <c r="K2384" s="114"/>
      <c r="L2384" s="114"/>
      <c r="M2384" s="114"/>
      <c r="N2384" s="114"/>
      <c r="O2384" s="114"/>
      <c r="P2384" s="114" t="s">
        <v>2196</v>
      </c>
      <c r="Q2384" s="114" t="s">
        <v>1228</v>
      </c>
    </row>
    <row r="2385" spans="2:17" hidden="1" outlineLevel="2">
      <c r="B2385" s="2" t="s">
        <v>876</v>
      </c>
      <c r="D2385" s="270">
        <v>3922</v>
      </c>
      <c r="E2385" s="112" t="s">
        <v>220</v>
      </c>
      <c r="F2385" s="112" t="s">
        <v>2828</v>
      </c>
      <c r="G2385" s="112" t="s">
        <v>1483</v>
      </c>
      <c r="H2385" s="112" t="s">
        <v>1494</v>
      </c>
      <c r="I2385" s="112"/>
      <c r="J2385" s="112" t="b">
        <v>0</v>
      </c>
      <c r="K2385" s="112"/>
      <c r="L2385" s="112"/>
      <c r="M2385" s="112"/>
      <c r="N2385" s="112"/>
      <c r="O2385" s="112"/>
      <c r="P2385" s="112" t="s">
        <v>1494</v>
      </c>
      <c r="Q2385" s="112" t="s">
        <v>1228</v>
      </c>
    </row>
    <row r="2386" spans="2:17" hidden="1" outlineLevel="2">
      <c r="B2386" s="2" t="s">
        <v>876</v>
      </c>
      <c r="D2386" s="268">
        <v>3923</v>
      </c>
      <c r="E2386" s="114" t="s">
        <v>220</v>
      </c>
      <c r="F2386" s="114" t="s">
        <v>2829</v>
      </c>
      <c r="G2386" s="114" t="s">
        <v>1512</v>
      </c>
      <c r="H2386" s="114" t="s">
        <v>1505</v>
      </c>
      <c r="I2386" s="114"/>
      <c r="J2386" s="114" t="b">
        <v>0</v>
      </c>
      <c r="K2386" s="114"/>
      <c r="L2386" s="114"/>
      <c r="M2386" s="114"/>
      <c r="N2386" s="114"/>
      <c r="O2386" s="114"/>
      <c r="P2386" s="114" t="s">
        <v>1494</v>
      </c>
      <c r="Q2386" s="114" t="s">
        <v>1228</v>
      </c>
    </row>
    <row r="2387" spans="2:17" hidden="1" outlineLevel="2">
      <c r="B2387" s="2" t="s">
        <v>876</v>
      </c>
      <c r="D2387" s="270">
        <v>3925</v>
      </c>
      <c r="E2387" s="112" t="s">
        <v>220</v>
      </c>
      <c r="F2387" s="112" t="s">
        <v>2830</v>
      </c>
      <c r="G2387" s="112" t="s">
        <v>1493</v>
      </c>
      <c r="H2387" s="112" t="s">
        <v>1505</v>
      </c>
      <c r="I2387" s="112"/>
      <c r="J2387" s="112" t="b">
        <v>0</v>
      </c>
      <c r="K2387" s="112"/>
      <c r="L2387" s="112"/>
      <c r="M2387" s="112"/>
      <c r="N2387" s="112"/>
      <c r="O2387" s="112"/>
      <c r="P2387" s="112" t="s">
        <v>1494</v>
      </c>
      <c r="Q2387" s="112" t="s">
        <v>1228</v>
      </c>
    </row>
    <row r="2388" spans="2:17" hidden="1" outlineLevel="2">
      <c r="B2388" s="2" t="s">
        <v>876</v>
      </c>
      <c r="D2388" s="268">
        <v>3926</v>
      </c>
      <c r="E2388" s="114" t="s">
        <v>220</v>
      </c>
      <c r="F2388" s="114" t="s">
        <v>2831</v>
      </c>
      <c r="G2388" s="114" t="s">
        <v>1572</v>
      </c>
      <c r="H2388" s="114" t="s">
        <v>1227</v>
      </c>
      <c r="I2388" s="114"/>
      <c r="J2388" s="114" t="b">
        <v>0</v>
      </c>
      <c r="K2388" s="114"/>
      <c r="L2388" s="114"/>
      <c r="M2388" s="114"/>
      <c r="N2388" s="114"/>
      <c r="O2388" s="114"/>
      <c r="P2388" s="114" t="s">
        <v>2196</v>
      </c>
      <c r="Q2388" s="114" t="s">
        <v>1227</v>
      </c>
    </row>
    <row r="2389" spans="2:17" hidden="1" outlineLevel="2">
      <c r="B2389" s="2" t="s">
        <v>876</v>
      </c>
      <c r="D2389" s="270">
        <v>3927</v>
      </c>
      <c r="E2389" s="112" t="s">
        <v>220</v>
      </c>
      <c r="F2389" s="112" t="s">
        <v>2832</v>
      </c>
      <c r="G2389" s="112" t="s">
        <v>1572</v>
      </c>
      <c r="H2389" s="112" t="s">
        <v>1227</v>
      </c>
      <c r="I2389" s="112"/>
      <c r="J2389" s="112" t="b">
        <v>0</v>
      </c>
      <c r="K2389" s="112"/>
      <c r="L2389" s="112"/>
      <c r="M2389" s="112"/>
      <c r="N2389" s="112"/>
      <c r="O2389" s="112"/>
      <c r="P2389" s="112" t="s">
        <v>2196</v>
      </c>
      <c r="Q2389" s="112" t="s">
        <v>1227</v>
      </c>
    </row>
    <row r="2390" spans="2:17" hidden="1" outlineLevel="2">
      <c r="B2390" s="2" t="s">
        <v>876</v>
      </c>
      <c r="D2390" s="268">
        <v>3928</v>
      </c>
      <c r="E2390" s="114" t="s">
        <v>220</v>
      </c>
      <c r="F2390" s="114" t="s">
        <v>2833</v>
      </c>
      <c r="G2390" s="114" t="s">
        <v>1572</v>
      </c>
      <c r="H2390" s="114" t="s">
        <v>1227</v>
      </c>
      <c r="I2390" s="114"/>
      <c r="J2390" s="114" t="b">
        <v>0</v>
      </c>
      <c r="K2390" s="114"/>
      <c r="L2390" s="114"/>
      <c r="M2390" s="114"/>
      <c r="N2390" s="114"/>
      <c r="O2390" s="114"/>
      <c r="P2390" s="114" t="s">
        <v>2196</v>
      </c>
      <c r="Q2390" s="114" t="s">
        <v>1227</v>
      </c>
    </row>
    <row r="2391" spans="2:17" hidden="1" outlineLevel="2">
      <c r="B2391" s="2" t="s">
        <v>876</v>
      </c>
      <c r="D2391" s="270">
        <v>3929</v>
      </c>
      <c r="E2391" s="112" t="s">
        <v>220</v>
      </c>
      <c r="F2391" s="112" t="s">
        <v>2834</v>
      </c>
      <c r="G2391" s="112" t="s">
        <v>1572</v>
      </c>
      <c r="H2391" s="112" t="s">
        <v>1227</v>
      </c>
      <c r="I2391" s="112"/>
      <c r="J2391" s="112" t="b">
        <v>0</v>
      </c>
      <c r="K2391" s="112"/>
      <c r="L2391" s="112" t="b">
        <v>1</v>
      </c>
      <c r="M2391" s="112"/>
      <c r="N2391" s="691" t="b">
        <v>1</v>
      </c>
      <c r="O2391" s="112"/>
      <c r="P2391" s="112" t="s">
        <v>2196</v>
      </c>
      <c r="Q2391" s="112" t="s">
        <v>1227</v>
      </c>
    </row>
    <row r="2392" spans="2:17" hidden="1" outlineLevel="2">
      <c r="B2392" s="2" t="s">
        <v>876</v>
      </c>
      <c r="D2392" s="268">
        <v>3930</v>
      </c>
      <c r="E2392" s="114" t="s">
        <v>220</v>
      </c>
      <c r="F2392" s="114" t="s">
        <v>2835</v>
      </c>
      <c r="G2392" s="114" t="s">
        <v>1572</v>
      </c>
      <c r="H2392" s="114" t="s">
        <v>1227</v>
      </c>
      <c r="I2392" s="114"/>
      <c r="J2392" s="114" t="b">
        <v>0</v>
      </c>
      <c r="K2392" s="114"/>
      <c r="L2392" s="114"/>
      <c r="M2392" s="114"/>
      <c r="N2392" s="114"/>
      <c r="O2392" s="114"/>
      <c r="P2392" s="114" t="s">
        <v>2196</v>
      </c>
      <c r="Q2392" s="114" t="s">
        <v>1227</v>
      </c>
    </row>
    <row r="2393" spans="2:17" hidden="1" outlineLevel="2">
      <c r="B2393" s="2" t="s">
        <v>876</v>
      </c>
      <c r="D2393" s="270">
        <v>3931</v>
      </c>
      <c r="E2393" s="112" t="s">
        <v>220</v>
      </c>
      <c r="F2393" s="112" t="s">
        <v>2836</v>
      </c>
      <c r="G2393" s="112" t="s">
        <v>1572</v>
      </c>
      <c r="H2393" s="112" t="s">
        <v>1227</v>
      </c>
      <c r="I2393" s="112"/>
      <c r="J2393" s="112" t="b">
        <v>0</v>
      </c>
      <c r="K2393" s="112"/>
      <c r="L2393" s="112"/>
      <c r="M2393" s="112"/>
      <c r="N2393" s="112"/>
      <c r="O2393" s="112"/>
      <c r="P2393" s="112" t="s">
        <v>2196</v>
      </c>
      <c r="Q2393" s="112" t="s">
        <v>1227</v>
      </c>
    </row>
    <row r="2394" spans="2:17" hidden="1" outlineLevel="2">
      <c r="B2394" s="2" t="s">
        <v>876</v>
      </c>
      <c r="D2394" s="268">
        <v>3933</v>
      </c>
      <c r="E2394" s="114" t="s">
        <v>220</v>
      </c>
      <c r="F2394" s="114" t="s">
        <v>2837</v>
      </c>
      <c r="G2394" s="114" t="s">
        <v>1572</v>
      </c>
      <c r="H2394" s="114" t="s">
        <v>1227</v>
      </c>
      <c r="I2394" s="114"/>
      <c r="J2394" s="114" t="b">
        <v>0</v>
      </c>
      <c r="K2394" s="114"/>
      <c r="L2394" s="114"/>
      <c r="M2394" s="114"/>
      <c r="N2394" s="691" t="b">
        <v>1</v>
      </c>
      <c r="O2394" s="114"/>
      <c r="P2394" s="114" t="s">
        <v>2196</v>
      </c>
      <c r="Q2394" s="114" t="s">
        <v>1227</v>
      </c>
    </row>
    <row r="2395" spans="2:17" hidden="1" outlineLevel="2">
      <c r="B2395" s="2" t="s">
        <v>876</v>
      </c>
      <c r="D2395" s="270">
        <v>3934</v>
      </c>
      <c r="E2395" s="112" t="s">
        <v>220</v>
      </c>
      <c r="F2395" s="112" t="s">
        <v>2838</v>
      </c>
      <c r="G2395" s="112" t="s">
        <v>1572</v>
      </c>
      <c r="H2395" s="112" t="s">
        <v>1227</v>
      </c>
      <c r="I2395" s="112"/>
      <c r="J2395" s="112" t="b">
        <v>0</v>
      </c>
      <c r="K2395" s="112"/>
      <c r="L2395" s="112"/>
      <c r="M2395" s="112"/>
      <c r="N2395" s="112"/>
      <c r="O2395" s="112"/>
      <c r="P2395" s="112" t="s">
        <v>2196</v>
      </c>
      <c r="Q2395" s="112" t="s">
        <v>1227</v>
      </c>
    </row>
    <row r="2396" spans="2:17" hidden="1" outlineLevel="2">
      <c r="B2396" s="2" t="s">
        <v>876</v>
      </c>
      <c r="D2396" s="268">
        <v>3936</v>
      </c>
      <c r="E2396" s="114" t="s">
        <v>220</v>
      </c>
      <c r="F2396" s="114" t="s">
        <v>2839</v>
      </c>
      <c r="G2396" s="114" t="s">
        <v>1572</v>
      </c>
      <c r="H2396" s="114" t="s">
        <v>1227</v>
      </c>
      <c r="I2396" s="114"/>
      <c r="J2396" s="114" t="b">
        <v>0</v>
      </c>
      <c r="K2396" s="114"/>
      <c r="L2396" s="114"/>
      <c r="M2396" s="114"/>
      <c r="N2396" s="114"/>
      <c r="O2396" s="114"/>
      <c r="P2396" s="114" t="s">
        <v>2196</v>
      </c>
      <c r="Q2396" s="114" t="s">
        <v>1227</v>
      </c>
    </row>
    <row r="2397" spans="2:17" hidden="1" outlineLevel="2">
      <c r="B2397" s="2" t="s">
        <v>876</v>
      </c>
      <c r="D2397" s="270">
        <v>3937</v>
      </c>
      <c r="E2397" s="112" t="s">
        <v>220</v>
      </c>
      <c r="F2397" s="112" t="s">
        <v>2840</v>
      </c>
      <c r="G2397" s="112" t="s">
        <v>1572</v>
      </c>
      <c r="H2397" s="112" t="s">
        <v>1227</v>
      </c>
      <c r="I2397" s="112"/>
      <c r="J2397" s="112" t="b">
        <v>0</v>
      </c>
      <c r="K2397" s="112"/>
      <c r="L2397" s="112"/>
      <c r="M2397" s="112"/>
      <c r="N2397" s="112"/>
      <c r="O2397" s="112"/>
      <c r="P2397" s="112" t="s">
        <v>2196</v>
      </c>
      <c r="Q2397" s="112" t="s">
        <v>1227</v>
      </c>
    </row>
    <row r="2398" spans="2:17" hidden="1" outlineLevel="2">
      <c r="B2398" s="2" t="s">
        <v>876</v>
      </c>
      <c r="D2398" s="268">
        <v>3938</v>
      </c>
      <c r="E2398" s="114" t="s">
        <v>220</v>
      </c>
      <c r="F2398" s="114" t="s">
        <v>2841</v>
      </c>
      <c r="G2398" s="114" t="s">
        <v>1572</v>
      </c>
      <c r="H2398" s="114" t="s">
        <v>1227</v>
      </c>
      <c r="I2398" s="114"/>
      <c r="J2398" s="114" t="b">
        <v>0</v>
      </c>
      <c r="K2398" s="114"/>
      <c r="L2398" s="114"/>
      <c r="M2398" s="114"/>
      <c r="N2398" s="114"/>
      <c r="O2398" s="114"/>
      <c r="P2398" s="114" t="s">
        <v>2196</v>
      </c>
      <c r="Q2398" s="114" t="s">
        <v>1227</v>
      </c>
    </row>
    <row r="2399" spans="2:17" hidden="1" outlineLevel="2">
      <c r="B2399" s="2" t="s">
        <v>876</v>
      </c>
      <c r="D2399" s="270">
        <v>3939</v>
      </c>
      <c r="E2399" s="112" t="s">
        <v>220</v>
      </c>
      <c r="F2399" s="112" t="s">
        <v>2842</v>
      </c>
      <c r="G2399" s="112" t="s">
        <v>1572</v>
      </c>
      <c r="H2399" s="112" t="s">
        <v>1227</v>
      </c>
      <c r="I2399" s="112"/>
      <c r="J2399" s="112" t="b">
        <v>0</v>
      </c>
      <c r="K2399" s="112"/>
      <c r="L2399" s="112"/>
      <c r="M2399" s="112"/>
      <c r="N2399" s="112"/>
      <c r="O2399" s="112"/>
      <c r="P2399" s="112" t="s">
        <v>2196</v>
      </c>
      <c r="Q2399" s="112" t="s">
        <v>1227</v>
      </c>
    </row>
    <row r="2400" spans="2:17" hidden="1" outlineLevel="2">
      <c r="B2400" s="2" t="s">
        <v>876</v>
      </c>
      <c r="D2400" s="268">
        <v>3940</v>
      </c>
      <c r="E2400" s="114" t="s">
        <v>220</v>
      </c>
      <c r="F2400" s="114" t="s">
        <v>2843</v>
      </c>
      <c r="G2400" s="114" t="s">
        <v>1572</v>
      </c>
      <c r="H2400" s="114" t="s">
        <v>1227</v>
      </c>
      <c r="I2400" s="114"/>
      <c r="J2400" s="114" t="b">
        <v>0</v>
      </c>
      <c r="K2400" s="114"/>
      <c r="L2400" s="114"/>
      <c r="M2400" s="114"/>
      <c r="N2400" s="114"/>
      <c r="O2400" s="114"/>
      <c r="P2400" s="114" t="s">
        <v>2196</v>
      </c>
      <c r="Q2400" s="114" t="s">
        <v>1227</v>
      </c>
    </row>
    <row r="2401" spans="2:17" hidden="1" outlineLevel="2">
      <c r="B2401" s="2" t="s">
        <v>876</v>
      </c>
      <c r="D2401" s="270">
        <v>3941</v>
      </c>
      <c r="E2401" s="112" t="s">
        <v>220</v>
      </c>
      <c r="F2401" s="112" t="s">
        <v>2844</v>
      </c>
      <c r="G2401" s="112" t="s">
        <v>1572</v>
      </c>
      <c r="H2401" s="112" t="s">
        <v>1227</v>
      </c>
      <c r="I2401" s="112"/>
      <c r="J2401" s="112" t="b">
        <v>0</v>
      </c>
      <c r="K2401" s="112"/>
      <c r="L2401" s="112"/>
      <c r="M2401" s="112"/>
      <c r="N2401" s="112"/>
      <c r="O2401" s="112"/>
      <c r="P2401" s="112" t="s">
        <v>2196</v>
      </c>
      <c r="Q2401" s="112" t="s">
        <v>1227</v>
      </c>
    </row>
    <row r="2402" spans="2:17" hidden="1" outlineLevel="2">
      <c r="B2402" s="2" t="s">
        <v>876</v>
      </c>
      <c r="D2402" s="268">
        <v>3942</v>
      </c>
      <c r="E2402" s="114" t="s">
        <v>220</v>
      </c>
      <c r="F2402" s="114" t="s">
        <v>2845</v>
      </c>
      <c r="G2402" s="114" t="s">
        <v>1572</v>
      </c>
      <c r="H2402" s="114" t="s">
        <v>1227</v>
      </c>
      <c r="I2402" s="114"/>
      <c r="J2402" s="114" t="b">
        <v>0</v>
      </c>
      <c r="K2402" s="114"/>
      <c r="L2402" s="114"/>
      <c r="M2402" s="114"/>
      <c r="N2402" s="114"/>
      <c r="O2402" s="114"/>
      <c r="P2402" s="114" t="s">
        <v>2196</v>
      </c>
      <c r="Q2402" s="114" t="s">
        <v>1227</v>
      </c>
    </row>
    <row r="2403" spans="2:17" hidden="1" outlineLevel="2">
      <c r="B2403" s="2" t="s">
        <v>876</v>
      </c>
      <c r="D2403" s="270">
        <v>3943</v>
      </c>
      <c r="E2403" s="112" t="s">
        <v>220</v>
      </c>
      <c r="F2403" s="112" t="s">
        <v>2846</v>
      </c>
      <c r="G2403" s="112" t="s">
        <v>1572</v>
      </c>
      <c r="H2403" s="112" t="s">
        <v>1227</v>
      </c>
      <c r="I2403" s="112"/>
      <c r="J2403" s="112" t="b">
        <v>0</v>
      </c>
      <c r="K2403" s="112"/>
      <c r="L2403" s="112"/>
      <c r="M2403" s="112"/>
      <c r="N2403" s="691" t="b">
        <v>1</v>
      </c>
      <c r="O2403" s="112"/>
      <c r="P2403" s="112" t="s">
        <v>2196</v>
      </c>
      <c r="Q2403" s="112" t="s">
        <v>1227</v>
      </c>
    </row>
    <row r="2404" spans="2:17" hidden="1" outlineLevel="2">
      <c r="B2404" s="2" t="s">
        <v>876</v>
      </c>
      <c r="D2404" s="268">
        <v>3944</v>
      </c>
      <c r="E2404" s="114" t="s">
        <v>220</v>
      </c>
      <c r="F2404" s="114" t="s">
        <v>2847</v>
      </c>
      <c r="G2404" s="114" t="s">
        <v>1572</v>
      </c>
      <c r="H2404" s="114" t="s">
        <v>1227</v>
      </c>
      <c r="I2404" s="114"/>
      <c r="J2404" s="114" t="b">
        <v>0</v>
      </c>
      <c r="K2404" s="114"/>
      <c r="L2404" s="114"/>
      <c r="M2404" s="114"/>
      <c r="N2404" s="691" t="b">
        <v>1</v>
      </c>
      <c r="O2404" s="114"/>
      <c r="P2404" s="114" t="s">
        <v>2196</v>
      </c>
      <c r="Q2404" s="114" t="s">
        <v>1227</v>
      </c>
    </row>
    <row r="2405" spans="2:17" hidden="1" outlineLevel="2">
      <c r="B2405" s="2" t="s">
        <v>876</v>
      </c>
      <c r="D2405" s="270">
        <v>3945</v>
      </c>
      <c r="E2405" s="112" t="s">
        <v>220</v>
      </c>
      <c r="F2405" s="112" t="s">
        <v>2848</v>
      </c>
      <c r="G2405" s="112" t="s">
        <v>1493</v>
      </c>
      <c r="H2405" s="112" t="s">
        <v>1505</v>
      </c>
      <c r="I2405" s="112"/>
      <c r="J2405" s="112" t="b">
        <v>0</v>
      </c>
      <c r="K2405" s="112"/>
      <c r="L2405" s="112"/>
      <c r="M2405" s="112"/>
      <c r="N2405" s="112"/>
      <c r="O2405" s="112"/>
      <c r="P2405" s="112" t="s">
        <v>1494</v>
      </c>
      <c r="Q2405" s="112" t="s">
        <v>1228</v>
      </c>
    </row>
    <row r="2406" spans="2:17" hidden="1" outlineLevel="2">
      <c r="B2406" s="2" t="s">
        <v>876</v>
      </c>
      <c r="D2406" s="268">
        <v>3946</v>
      </c>
      <c r="E2406" s="114" t="s">
        <v>220</v>
      </c>
      <c r="F2406" s="114" t="s">
        <v>2849</v>
      </c>
      <c r="G2406" s="114" t="s">
        <v>1512</v>
      </c>
      <c r="H2406" s="114" t="s">
        <v>1505</v>
      </c>
      <c r="I2406" s="114"/>
      <c r="J2406" s="114" t="b">
        <v>0</v>
      </c>
      <c r="K2406" s="114"/>
      <c r="L2406" s="114"/>
      <c r="M2406" s="114"/>
      <c r="N2406" s="114"/>
      <c r="O2406" s="114"/>
      <c r="P2406" s="114" t="s">
        <v>1494</v>
      </c>
      <c r="Q2406" s="114" t="s">
        <v>1228</v>
      </c>
    </row>
    <row r="2407" spans="2:17" hidden="1" outlineLevel="2">
      <c r="B2407" s="2" t="s">
        <v>876</v>
      </c>
      <c r="D2407" s="270">
        <v>3950</v>
      </c>
      <c r="E2407" s="112" t="s">
        <v>220</v>
      </c>
      <c r="F2407" s="112" t="s">
        <v>2850</v>
      </c>
      <c r="G2407" s="269" t="s">
        <v>1493</v>
      </c>
      <c r="H2407" s="112" t="s">
        <v>1505</v>
      </c>
      <c r="I2407" s="112"/>
      <c r="J2407" s="112" t="b">
        <v>0</v>
      </c>
      <c r="K2407" s="112"/>
      <c r="L2407" s="112"/>
      <c r="M2407" s="112"/>
      <c r="N2407" s="112"/>
      <c r="O2407" s="112"/>
      <c r="P2407" s="112" t="s">
        <v>1494</v>
      </c>
      <c r="Q2407" s="112" t="s">
        <v>1228</v>
      </c>
    </row>
    <row r="2408" spans="2:17" hidden="1" outlineLevel="2">
      <c r="B2408" s="2" t="s">
        <v>876</v>
      </c>
      <c r="D2408" s="268">
        <v>3951</v>
      </c>
      <c r="E2408" s="114" t="s">
        <v>220</v>
      </c>
      <c r="F2408" s="114" t="s">
        <v>2851</v>
      </c>
      <c r="G2408" s="114" t="s">
        <v>1512</v>
      </c>
      <c r="H2408" s="114" t="s">
        <v>1505</v>
      </c>
      <c r="I2408" s="114"/>
      <c r="J2408" s="114" t="b">
        <v>0</v>
      </c>
      <c r="K2408" s="114"/>
      <c r="L2408" s="114"/>
      <c r="M2408" s="114"/>
      <c r="N2408" s="114"/>
      <c r="O2408" s="114"/>
      <c r="P2408" s="114" t="s">
        <v>1494</v>
      </c>
      <c r="Q2408" s="114" t="s">
        <v>1228</v>
      </c>
    </row>
    <row r="2409" spans="2:17" hidden="1" outlineLevel="2">
      <c r="B2409" s="2" t="s">
        <v>876</v>
      </c>
      <c r="D2409" s="270">
        <v>3953</v>
      </c>
      <c r="E2409" s="112" t="s">
        <v>220</v>
      </c>
      <c r="F2409" s="112" t="s">
        <v>2852</v>
      </c>
      <c r="G2409" s="112" t="s">
        <v>1493</v>
      </c>
      <c r="H2409" s="112" t="s">
        <v>1505</v>
      </c>
      <c r="I2409" s="112"/>
      <c r="J2409" s="112" t="b">
        <v>0</v>
      </c>
      <c r="K2409" s="112"/>
      <c r="L2409" s="112"/>
      <c r="M2409" s="112"/>
      <c r="N2409" s="112"/>
      <c r="O2409" s="112"/>
      <c r="P2409" s="112" t="s">
        <v>1494</v>
      </c>
      <c r="Q2409" s="112" t="s">
        <v>1228</v>
      </c>
    </row>
    <row r="2410" spans="2:17" hidden="1" outlineLevel="2">
      <c r="B2410" s="2" t="s">
        <v>876</v>
      </c>
      <c r="D2410" s="268">
        <v>3954</v>
      </c>
      <c r="E2410" s="114" t="s">
        <v>220</v>
      </c>
      <c r="F2410" s="114" t="s">
        <v>2853</v>
      </c>
      <c r="G2410" s="114" t="s">
        <v>1512</v>
      </c>
      <c r="H2410" s="114" t="s">
        <v>1505</v>
      </c>
      <c r="I2410" s="114"/>
      <c r="J2410" s="114" t="b">
        <v>0</v>
      </c>
      <c r="K2410" s="114"/>
      <c r="L2410" s="114"/>
      <c r="M2410" s="114"/>
      <c r="N2410" s="114"/>
      <c r="O2410" s="114"/>
      <c r="P2410" s="114" t="s">
        <v>1494</v>
      </c>
      <c r="Q2410" s="114" t="s">
        <v>1228</v>
      </c>
    </row>
    <row r="2411" spans="2:17" hidden="1" outlineLevel="2">
      <c r="B2411" s="2" t="s">
        <v>876</v>
      </c>
      <c r="D2411" s="270">
        <v>3956</v>
      </c>
      <c r="E2411" s="112" t="s">
        <v>220</v>
      </c>
      <c r="F2411" s="112" t="s">
        <v>2854</v>
      </c>
      <c r="G2411" s="112" t="s">
        <v>1493</v>
      </c>
      <c r="H2411" s="112" t="s">
        <v>1505</v>
      </c>
      <c r="I2411" s="112"/>
      <c r="J2411" s="112" t="b">
        <v>0</v>
      </c>
      <c r="K2411" s="112"/>
      <c r="L2411" s="112"/>
      <c r="M2411" s="112"/>
      <c r="N2411" s="112"/>
      <c r="O2411" s="112"/>
      <c r="P2411" s="112" t="s">
        <v>1494</v>
      </c>
      <c r="Q2411" s="112" t="s">
        <v>1228</v>
      </c>
    </row>
    <row r="2412" spans="2:17" hidden="1" outlineLevel="2">
      <c r="B2412" s="2" t="s">
        <v>876</v>
      </c>
      <c r="D2412" s="268">
        <v>3957</v>
      </c>
      <c r="E2412" s="114" t="s">
        <v>220</v>
      </c>
      <c r="F2412" s="114" t="s">
        <v>2855</v>
      </c>
      <c r="G2412" s="114" t="s">
        <v>1512</v>
      </c>
      <c r="H2412" s="114" t="s">
        <v>1505</v>
      </c>
      <c r="I2412" s="114"/>
      <c r="J2412" s="114" t="b">
        <v>0</v>
      </c>
      <c r="K2412" s="114"/>
      <c r="L2412" s="114"/>
      <c r="M2412" s="114"/>
      <c r="N2412" s="114"/>
      <c r="O2412" s="114"/>
      <c r="P2412" s="114" t="s">
        <v>1494</v>
      </c>
      <c r="Q2412" s="114" t="s">
        <v>1228</v>
      </c>
    </row>
    <row r="2413" spans="2:17" hidden="1" outlineLevel="2">
      <c r="B2413" s="2" t="s">
        <v>876</v>
      </c>
      <c r="D2413" s="270">
        <v>3958</v>
      </c>
      <c r="E2413" s="112" t="s">
        <v>220</v>
      </c>
      <c r="F2413" s="112" t="s">
        <v>2856</v>
      </c>
      <c r="G2413" s="112" t="s">
        <v>1512</v>
      </c>
      <c r="H2413" s="112" t="s">
        <v>1505</v>
      </c>
      <c r="I2413" s="112"/>
      <c r="J2413" s="112" t="b">
        <v>0</v>
      </c>
      <c r="K2413" s="112"/>
      <c r="L2413" s="112"/>
      <c r="M2413" s="112"/>
      <c r="N2413" s="112"/>
      <c r="O2413" s="112"/>
      <c r="P2413" s="112" t="s">
        <v>1494</v>
      </c>
      <c r="Q2413" s="112" t="s">
        <v>1228</v>
      </c>
    </row>
    <row r="2414" spans="2:17" hidden="1" outlineLevel="2">
      <c r="B2414" s="2" t="s">
        <v>876</v>
      </c>
      <c r="D2414" s="268">
        <v>3959</v>
      </c>
      <c r="E2414" s="114" t="s">
        <v>220</v>
      </c>
      <c r="F2414" s="114" t="s">
        <v>2857</v>
      </c>
      <c r="G2414" s="114" t="s">
        <v>1512</v>
      </c>
      <c r="H2414" s="114" t="s">
        <v>1505</v>
      </c>
      <c r="I2414" s="114"/>
      <c r="J2414" s="114" t="b">
        <v>0</v>
      </c>
      <c r="K2414" s="114"/>
      <c r="L2414" s="114"/>
      <c r="M2414" s="114"/>
      <c r="N2414" s="114"/>
      <c r="O2414" s="114"/>
      <c r="P2414" s="114" t="s">
        <v>1494</v>
      </c>
      <c r="Q2414" s="114" t="s">
        <v>1228</v>
      </c>
    </row>
    <row r="2415" spans="2:17" hidden="1" outlineLevel="2">
      <c r="B2415" s="2" t="s">
        <v>876</v>
      </c>
      <c r="D2415" s="270">
        <v>3960</v>
      </c>
      <c r="E2415" s="112" t="s">
        <v>220</v>
      </c>
      <c r="F2415" s="112" t="s">
        <v>2858</v>
      </c>
      <c r="G2415" s="112" t="s">
        <v>1493</v>
      </c>
      <c r="H2415" s="112" t="s">
        <v>1505</v>
      </c>
      <c r="I2415" s="112"/>
      <c r="J2415" s="112" t="b">
        <v>0</v>
      </c>
      <c r="K2415" s="112"/>
      <c r="L2415" s="112"/>
      <c r="M2415" s="112"/>
      <c r="N2415" s="112"/>
      <c r="O2415" s="112"/>
      <c r="P2415" s="112" t="s">
        <v>1494</v>
      </c>
      <c r="Q2415" s="112" t="s">
        <v>1228</v>
      </c>
    </row>
    <row r="2416" spans="2:17" hidden="1" outlineLevel="2">
      <c r="B2416" s="2" t="s">
        <v>876</v>
      </c>
      <c r="D2416" s="268">
        <v>3962</v>
      </c>
      <c r="E2416" s="114" t="s">
        <v>220</v>
      </c>
      <c r="F2416" s="114" t="s">
        <v>2859</v>
      </c>
      <c r="G2416" s="114" t="s">
        <v>1512</v>
      </c>
      <c r="H2416" s="114" t="s">
        <v>1505</v>
      </c>
      <c r="I2416" s="114"/>
      <c r="J2416" s="114" t="b">
        <v>0</v>
      </c>
      <c r="K2416" s="114"/>
      <c r="L2416" s="114"/>
      <c r="M2416" s="114"/>
      <c r="N2416" s="114"/>
      <c r="O2416" s="114"/>
      <c r="P2416" s="114" t="s">
        <v>1494</v>
      </c>
      <c r="Q2416" s="114" t="s">
        <v>1228</v>
      </c>
    </row>
    <row r="2417" spans="2:17" hidden="1" outlineLevel="2">
      <c r="B2417" s="2" t="s">
        <v>876</v>
      </c>
      <c r="D2417" s="270">
        <v>3964</v>
      </c>
      <c r="E2417" s="112" t="s">
        <v>220</v>
      </c>
      <c r="F2417" s="112" t="s">
        <v>2860</v>
      </c>
      <c r="G2417" s="112" t="s">
        <v>1512</v>
      </c>
      <c r="H2417" s="112" t="s">
        <v>1505</v>
      </c>
      <c r="I2417" s="112"/>
      <c r="J2417" s="112" t="b">
        <v>0</v>
      </c>
      <c r="K2417" s="112"/>
      <c r="L2417" s="112"/>
      <c r="M2417" s="112"/>
      <c r="N2417" s="112"/>
      <c r="O2417" s="112"/>
      <c r="P2417" s="112" t="s">
        <v>1494</v>
      </c>
      <c r="Q2417" s="112" t="s">
        <v>1228</v>
      </c>
    </row>
    <row r="2418" spans="2:17" hidden="1" outlineLevel="2">
      <c r="B2418" s="2" t="s">
        <v>876</v>
      </c>
      <c r="D2418" s="268">
        <v>3965</v>
      </c>
      <c r="E2418" s="114" t="s">
        <v>220</v>
      </c>
      <c r="F2418" s="114" t="s">
        <v>2861</v>
      </c>
      <c r="G2418" s="114" t="s">
        <v>1512</v>
      </c>
      <c r="H2418" s="114" t="s">
        <v>1505</v>
      </c>
      <c r="I2418" s="114"/>
      <c r="J2418" s="114" t="b">
        <v>0</v>
      </c>
      <c r="K2418" s="114"/>
      <c r="L2418" s="114"/>
      <c r="M2418" s="114"/>
      <c r="N2418" s="114"/>
      <c r="O2418" s="114"/>
      <c r="P2418" s="114" t="s">
        <v>1494</v>
      </c>
      <c r="Q2418" s="114" t="s">
        <v>1228</v>
      </c>
    </row>
    <row r="2419" spans="2:17" hidden="1" outlineLevel="2">
      <c r="B2419" s="2" t="s">
        <v>876</v>
      </c>
      <c r="D2419" s="270">
        <v>3966</v>
      </c>
      <c r="E2419" s="112" t="s">
        <v>220</v>
      </c>
      <c r="F2419" s="112" t="s">
        <v>2862</v>
      </c>
      <c r="G2419" s="112" t="s">
        <v>1512</v>
      </c>
      <c r="H2419" s="112" t="s">
        <v>1505</v>
      </c>
      <c r="I2419" s="112"/>
      <c r="J2419" s="112" t="b">
        <v>0</v>
      </c>
      <c r="K2419" s="112"/>
      <c r="L2419" s="112"/>
      <c r="M2419" s="112"/>
      <c r="N2419" s="112"/>
      <c r="O2419" s="112"/>
      <c r="P2419" s="112" t="s">
        <v>1494</v>
      </c>
      <c r="Q2419" s="112" t="s">
        <v>1228</v>
      </c>
    </row>
    <row r="2420" spans="2:17" hidden="1" outlineLevel="2">
      <c r="B2420" s="2" t="s">
        <v>876</v>
      </c>
      <c r="D2420" s="268">
        <v>3967</v>
      </c>
      <c r="E2420" s="114" t="s">
        <v>220</v>
      </c>
      <c r="F2420" s="114" t="s">
        <v>2863</v>
      </c>
      <c r="G2420" s="114" t="s">
        <v>1512</v>
      </c>
      <c r="H2420" s="114" t="s">
        <v>1512</v>
      </c>
      <c r="I2420" s="114"/>
      <c r="J2420" s="114" t="b">
        <v>0</v>
      </c>
      <c r="K2420" s="114"/>
      <c r="L2420" s="114"/>
      <c r="M2420" s="114"/>
      <c r="N2420" s="114"/>
      <c r="O2420" s="114"/>
      <c r="P2420" s="114" t="s">
        <v>1494</v>
      </c>
      <c r="Q2420" s="114" t="s">
        <v>1228</v>
      </c>
    </row>
    <row r="2421" spans="2:17" hidden="1" outlineLevel="2">
      <c r="B2421" s="2" t="s">
        <v>876</v>
      </c>
      <c r="D2421" s="270">
        <v>3971</v>
      </c>
      <c r="E2421" s="112" t="s">
        <v>220</v>
      </c>
      <c r="F2421" s="112" t="s">
        <v>2864</v>
      </c>
      <c r="G2421" s="112" t="s">
        <v>1493</v>
      </c>
      <c r="H2421" s="112" t="s">
        <v>1505</v>
      </c>
      <c r="I2421" s="112"/>
      <c r="J2421" s="112" t="b">
        <v>0</v>
      </c>
      <c r="K2421" s="112"/>
      <c r="L2421" s="112"/>
      <c r="M2421" s="112"/>
      <c r="N2421" s="112"/>
      <c r="O2421" s="112"/>
      <c r="P2421" s="112" t="s">
        <v>1494</v>
      </c>
      <c r="Q2421" s="112" t="s">
        <v>1228</v>
      </c>
    </row>
    <row r="2422" spans="2:17" hidden="1" outlineLevel="2">
      <c r="B2422" s="2" t="s">
        <v>876</v>
      </c>
      <c r="D2422" s="268">
        <v>3975</v>
      </c>
      <c r="E2422" s="114" t="s">
        <v>220</v>
      </c>
      <c r="F2422" s="114" t="s">
        <v>2865</v>
      </c>
      <c r="G2422" s="114" t="s">
        <v>1572</v>
      </c>
      <c r="H2422" s="114" t="s">
        <v>1227</v>
      </c>
      <c r="I2422" s="114"/>
      <c r="J2422" s="114" t="b">
        <v>0</v>
      </c>
      <c r="K2422" s="114"/>
      <c r="L2422" s="114"/>
      <c r="M2422" s="114"/>
      <c r="N2422" s="114"/>
      <c r="O2422" s="114"/>
      <c r="P2422" s="114" t="s">
        <v>2196</v>
      </c>
      <c r="Q2422" s="114" t="s">
        <v>1227</v>
      </c>
    </row>
    <row r="2423" spans="2:17" hidden="1" outlineLevel="2">
      <c r="B2423" s="2" t="s">
        <v>876</v>
      </c>
      <c r="D2423" s="270">
        <v>3976</v>
      </c>
      <c r="E2423" s="112" t="s">
        <v>220</v>
      </c>
      <c r="F2423" s="112" t="s">
        <v>2866</v>
      </c>
      <c r="G2423" s="112" t="s">
        <v>1572</v>
      </c>
      <c r="H2423" s="112" t="s">
        <v>1227</v>
      </c>
      <c r="I2423" s="112"/>
      <c r="J2423" s="112" t="b">
        <v>0</v>
      </c>
      <c r="K2423" s="112"/>
      <c r="L2423" s="112"/>
      <c r="M2423" s="112"/>
      <c r="N2423" s="112"/>
      <c r="O2423" s="112"/>
      <c r="P2423" s="112" t="s">
        <v>2196</v>
      </c>
      <c r="Q2423" s="112" t="s">
        <v>1227</v>
      </c>
    </row>
    <row r="2424" spans="2:17" hidden="1" outlineLevel="2">
      <c r="B2424" s="2" t="s">
        <v>876</v>
      </c>
      <c r="D2424" s="268">
        <v>3977</v>
      </c>
      <c r="E2424" s="114" t="s">
        <v>220</v>
      </c>
      <c r="F2424" s="114" t="s">
        <v>2867</v>
      </c>
      <c r="G2424" s="114" t="s">
        <v>1572</v>
      </c>
      <c r="H2424" s="114" t="s">
        <v>1227</v>
      </c>
      <c r="I2424" s="114"/>
      <c r="J2424" s="114" t="b">
        <v>0</v>
      </c>
      <c r="K2424" s="114"/>
      <c r="L2424" s="114"/>
      <c r="M2424" s="114"/>
      <c r="N2424" s="114"/>
      <c r="O2424" s="114"/>
      <c r="P2424" s="114" t="s">
        <v>2196</v>
      </c>
      <c r="Q2424" s="114" t="s">
        <v>1227</v>
      </c>
    </row>
    <row r="2425" spans="2:17" hidden="1" outlineLevel="2">
      <c r="B2425" s="2" t="s">
        <v>876</v>
      </c>
      <c r="D2425" s="270">
        <v>3978</v>
      </c>
      <c r="E2425" s="112" t="s">
        <v>220</v>
      </c>
      <c r="F2425" s="112" t="s">
        <v>2868</v>
      </c>
      <c r="G2425" s="112" t="s">
        <v>1572</v>
      </c>
      <c r="H2425" s="112" t="s">
        <v>1227</v>
      </c>
      <c r="I2425" s="112"/>
      <c r="J2425" s="112" t="b">
        <v>0</v>
      </c>
      <c r="K2425" s="112"/>
      <c r="L2425" s="112"/>
      <c r="M2425" s="112"/>
      <c r="N2425" s="112"/>
      <c r="O2425" s="112"/>
      <c r="P2425" s="112" t="s">
        <v>2196</v>
      </c>
      <c r="Q2425" s="112" t="s">
        <v>1227</v>
      </c>
    </row>
    <row r="2426" spans="2:17" hidden="1" outlineLevel="2">
      <c r="B2426" s="2" t="s">
        <v>876</v>
      </c>
      <c r="D2426" s="268">
        <v>3979</v>
      </c>
      <c r="E2426" s="114" t="s">
        <v>220</v>
      </c>
      <c r="F2426" s="114" t="s">
        <v>2869</v>
      </c>
      <c r="G2426" s="114" t="s">
        <v>1512</v>
      </c>
      <c r="H2426" s="114" t="s">
        <v>1505</v>
      </c>
      <c r="I2426" s="114"/>
      <c r="J2426" s="114" t="b">
        <v>0</v>
      </c>
      <c r="K2426" s="114"/>
      <c r="L2426" s="114"/>
      <c r="M2426" s="114"/>
      <c r="N2426" s="114"/>
      <c r="O2426" s="114"/>
      <c r="P2426" s="114" t="s">
        <v>1494</v>
      </c>
      <c r="Q2426" s="114" t="s">
        <v>1228</v>
      </c>
    </row>
    <row r="2427" spans="2:17" hidden="1" outlineLevel="2">
      <c r="B2427" s="2" t="s">
        <v>876</v>
      </c>
      <c r="D2427" s="270">
        <v>3980</v>
      </c>
      <c r="E2427" s="112" t="s">
        <v>220</v>
      </c>
      <c r="F2427" s="112" t="s">
        <v>2870</v>
      </c>
      <c r="G2427" s="112" t="s">
        <v>1483</v>
      </c>
      <c r="H2427" s="112" t="s">
        <v>1494</v>
      </c>
      <c r="I2427" s="112"/>
      <c r="J2427" s="112" t="b">
        <v>0</v>
      </c>
      <c r="K2427" s="112"/>
      <c r="L2427" s="112"/>
      <c r="M2427" s="112"/>
      <c r="N2427" s="112"/>
      <c r="O2427" s="112"/>
      <c r="P2427" s="112" t="s">
        <v>2196</v>
      </c>
      <c r="Q2427" s="112" t="s">
        <v>1228</v>
      </c>
    </row>
    <row r="2428" spans="2:17" hidden="1" outlineLevel="2">
      <c r="B2428" s="2" t="s">
        <v>876</v>
      </c>
      <c r="D2428" s="268">
        <v>3981</v>
      </c>
      <c r="E2428" s="114" t="s">
        <v>220</v>
      </c>
      <c r="F2428" s="114" t="s">
        <v>2871</v>
      </c>
      <c r="G2428" s="114" t="s">
        <v>1493</v>
      </c>
      <c r="H2428" s="114" t="s">
        <v>1505</v>
      </c>
      <c r="I2428" s="114"/>
      <c r="J2428" s="114" t="b">
        <v>0</v>
      </c>
      <c r="K2428" s="114"/>
      <c r="L2428" s="114"/>
      <c r="M2428" s="114"/>
      <c r="N2428" s="114"/>
      <c r="O2428" s="114"/>
      <c r="P2428" s="114" t="s">
        <v>2374</v>
      </c>
      <c r="Q2428" s="114" t="s">
        <v>1228</v>
      </c>
    </row>
    <row r="2429" spans="2:17" hidden="1" outlineLevel="2">
      <c r="B2429" s="2" t="s">
        <v>876</v>
      </c>
      <c r="D2429" s="270">
        <v>3984</v>
      </c>
      <c r="E2429" s="112" t="s">
        <v>220</v>
      </c>
      <c r="F2429" s="112" t="s">
        <v>2872</v>
      </c>
      <c r="G2429" s="112" t="s">
        <v>1493</v>
      </c>
      <c r="H2429" s="112" t="s">
        <v>1505</v>
      </c>
      <c r="I2429" s="112"/>
      <c r="J2429" s="112" t="b">
        <v>0</v>
      </c>
      <c r="K2429" s="112"/>
      <c r="L2429" s="112"/>
      <c r="M2429" s="112"/>
      <c r="N2429" s="112"/>
      <c r="O2429" s="112"/>
      <c r="P2429" s="112" t="s">
        <v>2374</v>
      </c>
      <c r="Q2429" s="112" t="s">
        <v>1228</v>
      </c>
    </row>
    <row r="2430" spans="2:17" hidden="1" outlineLevel="2">
      <c r="B2430" s="2" t="s">
        <v>876</v>
      </c>
      <c r="D2430" s="268">
        <v>3987</v>
      </c>
      <c r="E2430" s="114" t="s">
        <v>220</v>
      </c>
      <c r="F2430" s="114" t="s">
        <v>2873</v>
      </c>
      <c r="G2430" s="114" t="s">
        <v>1493</v>
      </c>
      <c r="H2430" s="114" t="s">
        <v>1505</v>
      </c>
      <c r="I2430" s="114"/>
      <c r="J2430" s="114" t="b">
        <v>0</v>
      </c>
      <c r="K2430" s="114"/>
      <c r="L2430" s="114"/>
      <c r="M2430" s="114"/>
      <c r="N2430" s="114"/>
      <c r="O2430" s="114"/>
      <c r="P2430" s="114" t="s">
        <v>2374</v>
      </c>
      <c r="Q2430" s="114" t="s">
        <v>1228</v>
      </c>
    </row>
    <row r="2431" spans="2:17" hidden="1" outlineLevel="2">
      <c r="B2431" s="2" t="s">
        <v>876</v>
      </c>
      <c r="D2431" s="270">
        <v>3988</v>
      </c>
      <c r="E2431" s="112" t="s">
        <v>220</v>
      </c>
      <c r="F2431" s="112" t="s">
        <v>2874</v>
      </c>
      <c r="G2431" s="112" t="s">
        <v>1512</v>
      </c>
      <c r="H2431" s="112" t="s">
        <v>1505</v>
      </c>
      <c r="I2431" s="112"/>
      <c r="J2431" s="112" t="b">
        <v>0</v>
      </c>
      <c r="K2431" s="112"/>
      <c r="L2431" s="112"/>
      <c r="M2431" s="112"/>
      <c r="N2431" s="112"/>
      <c r="O2431" s="112"/>
      <c r="P2431" s="112" t="s">
        <v>1494</v>
      </c>
      <c r="Q2431" s="112" t="s">
        <v>1228</v>
      </c>
    </row>
    <row r="2432" spans="2:17" hidden="1" outlineLevel="2">
      <c r="B2432" s="2" t="s">
        <v>876</v>
      </c>
      <c r="D2432" s="268">
        <v>3990</v>
      </c>
      <c r="E2432" s="114" t="s">
        <v>220</v>
      </c>
      <c r="F2432" s="114" t="s">
        <v>2875</v>
      </c>
      <c r="G2432" s="114" t="s">
        <v>1512</v>
      </c>
      <c r="H2432" s="114" t="s">
        <v>1505</v>
      </c>
      <c r="I2432" s="114"/>
      <c r="J2432" s="114" t="b">
        <v>0</v>
      </c>
      <c r="K2432" s="114"/>
      <c r="L2432" s="114"/>
      <c r="M2432" s="114"/>
      <c r="N2432" s="114"/>
      <c r="O2432" s="114"/>
      <c r="P2432" s="114" t="s">
        <v>1494</v>
      </c>
      <c r="Q2432" s="114" t="s">
        <v>1228</v>
      </c>
    </row>
    <row r="2433" spans="2:17" hidden="1" outlineLevel="2">
      <c r="B2433" s="2" t="s">
        <v>876</v>
      </c>
      <c r="D2433" s="270">
        <v>3991</v>
      </c>
      <c r="E2433" s="112" t="s">
        <v>220</v>
      </c>
      <c r="F2433" s="112" t="s">
        <v>2876</v>
      </c>
      <c r="G2433" s="112" t="s">
        <v>1493</v>
      </c>
      <c r="H2433" s="112" t="s">
        <v>1505</v>
      </c>
      <c r="I2433" s="112"/>
      <c r="J2433" s="112" t="b">
        <v>0</v>
      </c>
      <c r="K2433" s="112"/>
      <c r="L2433" s="112"/>
      <c r="M2433" s="112"/>
      <c r="N2433" s="112"/>
      <c r="O2433" s="112"/>
      <c r="P2433" s="112" t="s">
        <v>1494</v>
      </c>
      <c r="Q2433" s="112" t="s">
        <v>1228</v>
      </c>
    </row>
    <row r="2434" spans="2:17" hidden="1" outlineLevel="2">
      <c r="B2434" s="2" t="s">
        <v>876</v>
      </c>
      <c r="D2434" s="268">
        <v>3992</v>
      </c>
      <c r="E2434" s="114" t="s">
        <v>220</v>
      </c>
      <c r="F2434" s="114" t="s">
        <v>2877</v>
      </c>
      <c r="G2434" s="114" t="s">
        <v>1493</v>
      </c>
      <c r="H2434" s="114" t="s">
        <v>1505</v>
      </c>
      <c r="I2434" s="114"/>
      <c r="J2434" s="114" t="b">
        <v>0</v>
      </c>
      <c r="K2434" s="114"/>
      <c r="L2434" s="114"/>
      <c r="M2434" s="114"/>
      <c r="N2434" s="114"/>
      <c r="O2434" s="114"/>
      <c r="P2434" s="114" t="s">
        <v>1494</v>
      </c>
      <c r="Q2434" s="114" t="s">
        <v>1228</v>
      </c>
    </row>
    <row r="2435" spans="2:17" hidden="1" outlineLevel="2">
      <c r="B2435" s="2" t="s">
        <v>876</v>
      </c>
      <c r="D2435" s="270">
        <v>3995</v>
      </c>
      <c r="E2435" s="112" t="s">
        <v>220</v>
      </c>
      <c r="F2435" s="112" t="s">
        <v>2878</v>
      </c>
      <c r="G2435" s="112" t="s">
        <v>1493</v>
      </c>
      <c r="H2435" s="112" t="s">
        <v>1494</v>
      </c>
      <c r="I2435" s="112"/>
      <c r="J2435" s="112" t="b">
        <v>0</v>
      </c>
      <c r="K2435" s="112"/>
      <c r="L2435" s="112"/>
      <c r="M2435" s="112"/>
      <c r="N2435" s="112"/>
      <c r="O2435" s="112"/>
      <c r="P2435" s="112" t="s">
        <v>1494</v>
      </c>
      <c r="Q2435" s="112" t="s">
        <v>1228</v>
      </c>
    </row>
    <row r="2436" spans="2:17" hidden="1" outlineLevel="2">
      <c r="B2436" s="2" t="s">
        <v>876</v>
      </c>
      <c r="D2436" s="268">
        <v>3996</v>
      </c>
      <c r="E2436" s="114" t="s">
        <v>220</v>
      </c>
      <c r="F2436" s="114" t="s">
        <v>2879</v>
      </c>
      <c r="G2436" s="114" t="s">
        <v>1493</v>
      </c>
      <c r="H2436" s="114" t="s">
        <v>1505</v>
      </c>
      <c r="I2436" s="114"/>
      <c r="J2436" s="114" t="b">
        <v>0</v>
      </c>
      <c r="K2436" s="114"/>
      <c r="L2436" s="114"/>
      <c r="M2436" s="114"/>
      <c r="N2436" s="114"/>
      <c r="O2436" s="114"/>
      <c r="P2436" s="114" t="s">
        <v>1494</v>
      </c>
      <c r="Q2436" s="114" t="s">
        <v>1228</v>
      </c>
    </row>
    <row r="2437" spans="2:17" hidden="1" outlineLevel="2">
      <c r="B2437" s="2" t="s">
        <v>876</v>
      </c>
      <c r="D2437" s="270">
        <v>4000</v>
      </c>
      <c r="E2437" s="112" t="s">
        <v>212</v>
      </c>
      <c r="F2437" s="112" t="s">
        <v>2880</v>
      </c>
      <c r="G2437" s="221" t="s">
        <v>1572</v>
      </c>
      <c r="H2437" s="112" t="s">
        <v>1227</v>
      </c>
      <c r="I2437" s="112"/>
      <c r="J2437" s="112" t="b">
        <v>0</v>
      </c>
      <c r="K2437" s="112"/>
      <c r="L2437" s="112"/>
      <c r="M2437" s="112" t="s">
        <v>2881</v>
      </c>
      <c r="N2437" s="112"/>
      <c r="O2437" s="112"/>
      <c r="P2437" s="112" t="s">
        <v>1485</v>
      </c>
      <c r="Q2437" s="112" t="s">
        <v>1227</v>
      </c>
    </row>
    <row r="2438" spans="2:17" hidden="1" outlineLevel="2">
      <c r="B2438" s="2" t="s">
        <v>876</v>
      </c>
      <c r="D2438" s="268">
        <v>4005</v>
      </c>
      <c r="E2438" s="114" t="s">
        <v>212</v>
      </c>
      <c r="F2438" s="114" t="s">
        <v>2882</v>
      </c>
      <c r="G2438" s="221" t="s">
        <v>1572</v>
      </c>
      <c r="H2438" s="114" t="s">
        <v>1227</v>
      </c>
      <c r="I2438" s="114"/>
      <c r="J2438" s="114" t="b">
        <v>0</v>
      </c>
      <c r="K2438" s="114"/>
      <c r="L2438" s="114"/>
      <c r="M2438" s="114"/>
      <c r="N2438" s="691" t="b">
        <v>1</v>
      </c>
      <c r="O2438" s="114"/>
      <c r="P2438" s="114" t="s">
        <v>1485</v>
      </c>
      <c r="Q2438" s="114" t="s">
        <v>1227</v>
      </c>
    </row>
    <row r="2439" spans="2:17" hidden="1" outlineLevel="2">
      <c r="B2439" s="2" t="s">
        <v>876</v>
      </c>
      <c r="D2439" s="270">
        <v>4006</v>
      </c>
      <c r="E2439" s="112" t="s">
        <v>212</v>
      </c>
      <c r="F2439" s="112" t="s">
        <v>2883</v>
      </c>
      <c r="G2439" s="221" t="s">
        <v>1572</v>
      </c>
      <c r="H2439" s="112" t="s">
        <v>1227</v>
      </c>
      <c r="I2439" s="112"/>
      <c r="J2439" s="112" t="b">
        <v>0</v>
      </c>
      <c r="K2439" s="112"/>
      <c r="L2439" s="112"/>
      <c r="M2439" s="112" t="s">
        <v>2881</v>
      </c>
      <c r="N2439" s="112"/>
      <c r="O2439" s="112"/>
      <c r="P2439" s="112" t="s">
        <v>1485</v>
      </c>
      <c r="Q2439" s="112" t="s">
        <v>1227</v>
      </c>
    </row>
    <row r="2440" spans="2:17" hidden="1" outlineLevel="2">
      <c r="B2440" s="2" t="s">
        <v>876</v>
      </c>
      <c r="D2440" s="268">
        <v>4007</v>
      </c>
      <c r="E2440" s="114" t="s">
        <v>212</v>
      </c>
      <c r="F2440" s="114" t="s">
        <v>2884</v>
      </c>
      <c r="G2440" s="114" t="s">
        <v>1572</v>
      </c>
      <c r="H2440" s="114" t="s">
        <v>1227</v>
      </c>
      <c r="I2440" s="114"/>
      <c r="J2440" s="114" t="b">
        <v>0</v>
      </c>
      <c r="K2440" s="114"/>
      <c r="L2440" s="114"/>
      <c r="M2440" s="114"/>
      <c r="N2440" s="691" t="b">
        <v>1</v>
      </c>
      <c r="O2440" s="114"/>
      <c r="P2440" s="114" t="s">
        <v>1485</v>
      </c>
      <c r="Q2440" s="114" t="s">
        <v>1227</v>
      </c>
    </row>
    <row r="2441" spans="2:17" hidden="1" outlineLevel="2">
      <c r="B2441" s="2" t="s">
        <v>876</v>
      </c>
      <c r="D2441" s="270">
        <v>4008</v>
      </c>
      <c r="E2441" s="112" t="s">
        <v>212</v>
      </c>
      <c r="F2441" s="112" t="s">
        <v>2885</v>
      </c>
      <c r="G2441" s="112" t="s">
        <v>1572</v>
      </c>
      <c r="H2441" s="112" t="s">
        <v>1227</v>
      </c>
      <c r="I2441" s="112"/>
      <c r="J2441" s="112" t="b">
        <v>0</v>
      </c>
      <c r="K2441" s="112"/>
      <c r="L2441" s="112" t="b">
        <v>1</v>
      </c>
      <c r="M2441" s="112"/>
      <c r="N2441" s="112"/>
      <c r="O2441" s="112"/>
      <c r="P2441" s="112" t="s">
        <v>1485</v>
      </c>
      <c r="Q2441" s="112" t="s">
        <v>1227</v>
      </c>
    </row>
    <row r="2442" spans="2:17" hidden="1" outlineLevel="2">
      <c r="B2442" s="2" t="s">
        <v>876</v>
      </c>
      <c r="D2442" s="268">
        <v>4009</v>
      </c>
      <c r="E2442" s="114" t="s">
        <v>212</v>
      </c>
      <c r="F2442" s="114" t="s">
        <v>2886</v>
      </c>
      <c r="G2442" s="114" t="s">
        <v>1572</v>
      </c>
      <c r="H2442" s="114" t="s">
        <v>1227</v>
      </c>
      <c r="I2442" s="114"/>
      <c r="J2442" s="114" t="b">
        <v>0</v>
      </c>
      <c r="K2442" s="114"/>
      <c r="L2442" s="114"/>
      <c r="M2442" s="114"/>
      <c r="N2442" s="114"/>
      <c r="O2442" s="114"/>
      <c r="P2442" s="114" t="s">
        <v>1485</v>
      </c>
      <c r="Q2442" s="114" t="s">
        <v>1227</v>
      </c>
    </row>
    <row r="2443" spans="2:17" hidden="1" outlineLevel="2">
      <c r="B2443" s="2" t="s">
        <v>876</v>
      </c>
      <c r="D2443" s="270">
        <v>4010</v>
      </c>
      <c r="E2443" s="112" t="s">
        <v>212</v>
      </c>
      <c r="F2443" s="112" t="s">
        <v>2209</v>
      </c>
      <c r="G2443" s="112" t="s">
        <v>1572</v>
      </c>
      <c r="H2443" s="112" t="s">
        <v>1227</v>
      </c>
      <c r="I2443" s="112"/>
      <c r="J2443" s="112" t="b">
        <v>0</v>
      </c>
      <c r="K2443" s="112"/>
      <c r="L2443" s="112"/>
      <c r="M2443" s="112" t="s">
        <v>2881</v>
      </c>
      <c r="N2443" s="112"/>
      <c r="O2443" s="112"/>
      <c r="P2443" s="112" t="s">
        <v>1485</v>
      </c>
      <c r="Q2443" s="112" t="s">
        <v>1227</v>
      </c>
    </row>
    <row r="2444" spans="2:17" hidden="1" outlineLevel="2">
      <c r="B2444" s="2" t="s">
        <v>876</v>
      </c>
      <c r="D2444" s="268">
        <v>4011</v>
      </c>
      <c r="E2444" s="114" t="s">
        <v>212</v>
      </c>
      <c r="F2444" s="114" t="s">
        <v>2887</v>
      </c>
      <c r="G2444" s="114" t="s">
        <v>1572</v>
      </c>
      <c r="H2444" s="114" t="s">
        <v>1227</v>
      </c>
      <c r="I2444" s="114"/>
      <c r="J2444" s="114" t="b">
        <v>0</v>
      </c>
      <c r="K2444" s="114"/>
      <c r="L2444" s="114"/>
      <c r="M2444" s="114" t="s">
        <v>2881</v>
      </c>
      <c r="N2444" s="114"/>
      <c r="O2444" s="114"/>
      <c r="P2444" s="114" t="s">
        <v>1485</v>
      </c>
      <c r="Q2444" s="114" t="s">
        <v>1227</v>
      </c>
    </row>
    <row r="2445" spans="2:17" hidden="1" outlineLevel="2">
      <c r="B2445" s="2" t="s">
        <v>876</v>
      </c>
      <c r="D2445" s="270">
        <v>4012</v>
      </c>
      <c r="E2445" s="112" t="s">
        <v>212</v>
      </c>
      <c r="F2445" s="112" t="s">
        <v>2888</v>
      </c>
      <c r="G2445" s="112" t="s">
        <v>1572</v>
      </c>
      <c r="H2445" s="112" t="s">
        <v>1227</v>
      </c>
      <c r="I2445" s="112"/>
      <c r="J2445" s="112" t="b">
        <v>0</v>
      </c>
      <c r="K2445" s="112"/>
      <c r="L2445" s="112"/>
      <c r="M2445" s="112"/>
      <c r="N2445" s="112"/>
      <c r="O2445" s="112"/>
      <c r="P2445" s="112" t="s">
        <v>1485</v>
      </c>
      <c r="Q2445" s="112" t="s">
        <v>1227</v>
      </c>
    </row>
    <row r="2446" spans="2:17" hidden="1" outlineLevel="2">
      <c r="B2446" s="2" t="s">
        <v>876</v>
      </c>
      <c r="D2446" s="268">
        <v>4013</v>
      </c>
      <c r="E2446" s="114" t="s">
        <v>212</v>
      </c>
      <c r="F2446" s="114" t="s">
        <v>2889</v>
      </c>
      <c r="G2446" s="114" t="s">
        <v>1572</v>
      </c>
      <c r="H2446" s="114" t="s">
        <v>1227</v>
      </c>
      <c r="I2446" s="114"/>
      <c r="J2446" s="114" t="b">
        <v>0</v>
      </c>
      <c r="K2446" s="114"/>
      <c r="L2446" s="114"/>
      <c r="M2446" s="114"/>
      <c r="N2446" s="114"/>
      <c r="O2446" s="114"/>
      <c r="P2446" s="114" t="s">
        <v>1485</v>
      </c>
      <c r="Q2446" s="114" t="s">
        <v>1227</v>
      </c>
    </row>
    <row r="2447" spans="2:17" hidden="1" outlineLevel="2">
      <c r="B2447" s="2" t="s">
        <v>876</v>
      </c>
      <c r="D2447" s="270">
        <v>4014</v>
      </c>
      <c r="E2447" s="112" t="s">
        <v>212</v>
      </c>
      <c r="F2447" s="112" t="s">
        <v>2890</v>
      </c>
      <c r="G2447" s="112" t="s">
        <v>1572</v>
      </c>
      <c r="H2447" s="112" t="s">
        <v>1227</v>
      </c>
      <c r="I2447" s="112"/>
      <c r="J2447" s="112" t="b">
        <v>0</v>
      </c>
      <c r="K2447" s="112"/>
      <c r="L2447" s="112"/>
      <c r="M2447" s="112" t="s">
        <v>2881</v>
      </c>
      <c r="N2447" s="112"/>
      <c r="O2447" s="112"/>
      <c r="P2447" s="112" t="s">
        <v>1485</v>
      </c>
      <c r="Q2447" s="112" t="s">
        <v>1227</v>
      </c>
    </row>
    <row r="2448" spans="2:17" hidden="1" outlineLevel="2">
      <c r="B2448" s="2" t="s">
        <v>876</v>
      </c>
      <c r="D2448" s="268">
        <v>4017</v>
      </c>
      <c r="E2448" s="114" t="s">
        <v>212</v>
      </c>
      <c r="F2448" s="114" t="s">
        <v>2891</v>
      </c>
      <c r="G2448" s="114" t="s">
        <v>1572</v>
      </c>
      <c r="H2448" s="114" t="s">
        <v>1227</v>
      </c>
      <c r="I2448" s="114"/>
      <c r="J2448" s="114" t="b">
        <v>0</v>
      </c>
      <c r="K2448" s="114"/>
      <c r="L2448" s="114"/>
      <c r="M2448" s="114"/>
      <c r="N2448" s="114"/>
      <c r="O2448" s="114"/>
      <c r="P2448" s="114" t="s">
        <v>1485</v>
      </c>
      <c r="Q2448" s="114" t="s">
        <v>1227</v>
      </c>
    </row>
    <row r="2449" spans="2:17" hidden="1" outlineLevel="2">
      <c r="B2449" s="2" t="s">
        <v>876</v>
      </c>
      <c r="D2449" s="270">
        <v>4018</v>
      </c>
      <c r="E2449" s="112" t="s">
        <v>212</v>
      </c>
      <c r="F2449" s="112" t="s">
        <v>2892</v>
      </c>
      <c r="G2449" s="112" t="s">
        <v>1572</v>
      </c>
      <c r="H2449" s="112" t="s">
        <v>1227</v>
      </c>
      <c r="I2449" s="112"/>
      <c r="J2449" s="112" t="b">
        <v>0</v>
      </c>
      <c r="K2449" s="112"/>
      <c r="L2449" s="112"/>
      <c r="M2449" s="112"/>
      <c r="N2449" s="112"/>
      <c r="O2449" s="112"/>
      <c r="P2449" s="112" t="s">
        <v>1485</v>
      </c>
      <c r="Q2449" s="112" t="s">
        <v>1227</v>
      </c>
    </row>
    <row r="2450" spans="2:17" hidden="1" outlineLevel="2">
      <c r="B2450" s="2" t="s">
        <v>876</v>
      </c>
      <c r="D2450" s="268">
        <v>4019</v>
      </c>
      <c r="E2450" s="114" t="s">
        <v>212</v>
      </c>
      <c r="F2450" s="114" t="s">
        <v>2893</v>
      </c>
      <c r="G2450" s="114" t="s">
        <v>1572</v>
      </c>
      <c r="H2450" s="114" t="s">
        <v>1227</v>
      </c>
      <c r="I2450" s="114"/>
      <c r="J2450" s="114" t="b">
        <v>0</v>
      </c>
      <c r="K2450" s="114"/>
      <c r="L2450" s="114"/>
      <c r="M2450" s="114"/>
      <c r="N2450" s="114"/>
      <c r="O2450" s="114"/>
      <c r="P2450" s="114" t="s">
        <v>1485</v>
      </c>
      <c r="Q2450" s="114" t="s">
        <v>1227</v>
      </c>
    </row>
    <row r="2451" spans="2:17" hidden="1" outlineLevel="2">
      <c r="B2451" s="2" t="s">
        <v>876</v>
      </c>
      <c r="D2451" s="270">
        <v>4020</v>
      </c>
      <c r="E2451" s="112" t="s">
        <v>212</v>
      </c>
      <c r="F2451" s="112" t="s">
        <v>1643</v>
      </c>
      <c r="G2451" s="112" t="s">
        <v>1572</v>
      </c>
      <c r="H2451" s="112" t="s">
        <v>1227</v>
      </c>
      <c r="I2451" s="112"/>
      <c r="J2451" s="112" t="b">
        <v>0</v>
      </c>
      <c r="K2451" s="112"/>
      <c r="L2451" s="112"/>
      <c r="M2451" s="112"/>
      <c r="N2451" s="112"/>
      <c r="O2451" s="112"/>
      <c r="P2451" s="112" t="s">
        <v>1485</v>
      </c>
      <c r="Q2451" s="112" t="s">
        <v>1227</v>
      </c>
    </row>
    <row r="2452" spans="2:17" hidden="1" outlineLevel="2">
      <c r="B2452" s="2" t="s">
        <v>876</v>
      </c>
      <c r="D2452" s="268">
        <v>4021</v>
      </c>
      <c r="E2452" s="114" t="s">
        <v>212</v>
      </c>
      <c r="F2452" s="114" t="s">
        <v>2894</v>
      </c>
      <c r="G2452" s="114" t="s">
        <v>1572</v>
      </c>
      <c r="H2452" s="114" t="s">
        <v>1227</v>
      </c>
      <c r="I2452" s="114"/>
      <c r="J2452" s="114" t="b">
        <v>0</v>
      </c>
      <c r="K2452" s="114"/>
      <c r="L2452" s="114"/>
      <c r="M2452" s="114"/>
      <c r="N2452" s="114"/>
      <c r="O2452" s="114"/>
      <c r="P2452" s="114" t="s">
        <v>1485</v>
      </c>
      <c r="Q2452" s="114" t="s">
        <v>1227</v>
      </c>
    </row>
    <row r="2453" spans="2:17" hidden="1" outlineLevel="2">
      <c r="B2453" s="2" t="s">
        <v>876</v>
      </c>
      <c r="D2453" s="270">
        <v>4022</v>
      </c>
      <c r="E2453" s="112" t="s">
        <v>212</v>
      </c>
      <c r="F2453" s="112" t="s">
        <v>2895</v>
      </c>
      <c r="G2453" s="112" t="s">
        <v>1572</v>
      </c>
      <c r="H2453" s="112" t="s">
        <v>1227</v>
      </c>
      <c r="I2453" s="112"/>
      <c r="J2453" s="112" t="b">
        <v>0</v>
      </c>
      <c r="K2453" s="112"/>
      <c r="L2453" s="112"/>
      <c r="M2453" s="112"/>
      <c r="N2453" s="112"/>
      <c r="O2453" s="112"/>
      <c r="P2453" s="112" t="s">
        <v>1485</v>
      </c>
      <c r="Q2453" s="112" t="s">
        <v>1227</v>
      </c>
    </row>
    <row r="2454" spans="2:17" hidden="1" outlineLevel="2">
      <c r="B2454" s="2" t="s">
        <v>876</v>
      </c>
      <c r="D2454" s="268">
        <v>4025</v>
      </c>
      <c r="E2454" s="114" t="s">
        <v>212</v>
      </c>
      <c r="F2454" s="114" t="s">
        <v>2896</v>
      </c>
      <c r="G2454" s="269" t="s">
        <v>1533</v>
      </c>
      <c r="H2454" s="114" t="s">
        <v>1227</v>
      </c>
      <c r="I2454" s="114"/>
      <c r="J2454" s="114" t="b">
        <v>0</v>
      </c>
      <c r="K2454" s="114"/>
      <c r="L2454" s="114"/>
      <c r="M2454" s="114"/>
      <c r="N2454" s="114"/>
      <c r="O2454" s="114"/>
      <c r="P2454" s="114" t="s">
        <v>1485</v>
      </c>
      <c r="Q2454" s="114" t="s">
        <v>1227</v>
      </c>
    </row>
    <row r="2455" spans="2:17" hidden="1" outlineLevel="2">
      <c r="B2455" s="2" t="s">
        <v>876</v>
      </c>
      <c r="D2455" s="270" t="s">
        <v>2897</v>
      </c>
      <c r="E2455" s="112" t="s">
        <v>212</v>
      </c>
      <c r="F2455" s="112" t="s">
        <v>2898</v>
      </c>
      <c r="G2455" s="112" t="s">
        <v>1533</v>
      </c>
      <c r="H2455" s="112" t="s">
        <v>1227</v>
      </c>
      <c r="I2455" s="112"/>
      <c r="J2455" s="112" t="b">
        <v>0</v>
      </c>
      <c r="K2455" s="112"/>
      <c r="L2455" s="112"/>
      <c r="M2455" s="112"/>
      <c r="N2455" s="112"/>
      <c r="O2455" s="112"/>
      <c r="P2455" s="112" t="s">
        <v>1485</v>
      </c>
      <c r="Q2455" s="112" t="s">
        <v>1227</v>
      </c>
    </row>
    <row r="2456" spans="2:17" hidden="1" outlineLevel="2">
      <c r="B2456" s="2" t="s">
        <v>876</v>
      </c>
      <c r="D2456" s="270">
        <v>4030</v>
      </c>
      <c r="E2456" s="112" t="s">
        <v>212</v>
      </c>
      <c r="F2456" s="112" t="s">
        <v>2899</v>
      </c>
      <c r="G2456" s="112" t="s">
        <v>1572</v>
      </c>
      <c r="H2456" s="112" t="s">
        <v>1227</v>
      </c>
      <c r="I2456" s="112"/>
      <c r="J2456" s="112" t="b">
        <v>0</v>
      </c>
      <c r="K2456" s="112"/>
      <c r="L2456" s="112"/>
      <c r="M2456" s="112"/>
      <c r="N2456" s="112"/>
      <c r="O2456" s="112"/>
      <c r="P2456" s="112" t="s">
        <v>1485</v>
      </c>
      <c r="Q2456" s="112" t="s">
        <v>1227</v>
      </c>
    </row>
    <row r="2457" spans="2:17" hidden="1" outlineLevel="2">
      <c r="B2457" s="2" t="s">
        <v>876</v>
      </c>
      <c r="D2457" s="268">
        <v>4031</v>
      </c>
      <c r="E2457" s="114" t="s">
        <v>212</v>
      </c>
      <c r="F2457" s="114" t="s">
        <v>2900</v>
      </c>
      <c r="G2457" s="114" t="s">
        <v>1572</v>
      </c>
      <c r="H2457" s="114" t="s">
        <v>1227</v>
      </c>
      <c r="I2457" s="114"/>
      <c r="J2457" s="114" t="b">
        <v>0</v>
      </c>
      <c r="K2457" s="114"/>
      <c r="L2457" s="114"/>
      <c r="M2457" s="114"/>
      <c r="N2457" s="114"/>
      <c r="O2457" s="114"/>
      <c r="P2457" s="114" t="s">
        <v>1485</v>
      </c>
      <c r="Q2457" s="114" t="s">
        <v>1227</v>
      </c>
    </row>
    <row r="2458" spans="2:17" hidden="1" outlineLevel="2">
      <c r="B2458" s="2" t="s">
        <v>876</v>
      </c>
      <c r="D2458" s="270">
        <v>4032</v>
      </c>
      <c r="E2458" s="112" t="s">
        <v>212</v>
      </c>
      <c r="F2458" s="112" t="s">
        <v>2901</v>
      </c>
      <c r="G2458" s="112" t="s">
        <v>1572</v>
      </c>
      <c r="H2458" s="112" t="s">
        <v>1227</v>
      </c>
      <c r="I2458" s="112"/>
      <c r="J2458" s="112" t="b">
        <v>0</v>
      </c>
      <c r="K2458" s="112"/>
      <c r="L2458" s="112"/>
      <c r="M2458" s="112"/>
      <c r="N2458" s="112"/>
      <c r="O2458" s="112"/>
      <c r="P2458" s="112" t="s">
        <v>1485</v>
      </c>
      <c r="Q2458" s="112" t="s">
        <v>1227</v>
      </c>
    </row>
    <row r="2459" spans="2:17" hidden="1" outlineLevel="2">
      <c r="B2459" s="2" t="s">
        <v>876</v>
      </c>
      <c r="D2459" s="268">
        <v>4034</v>
      </c>
      <c r="E2459" s="114" t="s">
        <v>212</v>
      </c>
      <c r="F2459" s="114" t="s">
        <v>2902</v>
      </c>
      <c r="G2459" s="114" t="s">
        <v>1572</v>
      </c>
      <c r="H2459" s="114" t="s">
        <v>1227</v>
      </c>
      <c r="I2459" s="114"/>
      <c r="J2459" s="114" t="b">
        <v>0</v>
      </c>
      <c r="K2459" s="114"/>
      <c r="L2459" s="114"/>
      <c r="M2459" s="114"/>
      <c r="N2459" s="114"/>
      <c r="O2459" s="114"/>
      <c r="P2459" s="114" t="s">
        <v>1485</v>
      </c>
      <c r="Q2459" s="114" t="s">
        <v>1227</v>
      </c>
    </row>
    <row r="2460" spans="2:17" hidden="1" outlineLevel="2">
      <c r="B2460" s="2" t="s">
        <v>876</v>
      </c>
      <c r="D2460" s="270">
        <v>4035</v>
      </c>
      <c r="E2460" s="112" t="s">
        <v>212</v>
      </c>
      <c r="F2460" s="112" t="s">
        <v>2903</v>
      </c>
      <c r="G2460" s="112" t="s">
        <v>1572</v>
      </c>
      <c r="H2460" s="112" t="s">
        <v>1227</v>
      </c>
      <c r="I2460" s="112"/>
      <c r="J2460" s="112" t="b">
        <v>0</v>
      </c>
      <c r="K2460" s="112"/>
      <c r="L2460" s="112"/>
      <c r="M2460" s="112"/>
      <c r="N2460" s="112"/>
      <c r="O2460" s="112"/>
      <c r="P2460" s="112" t="s">
        <v>1485</v>
      </c>
      <c r="Q2460" s="112" t="s">
        <v>1227</v>
      </c>
    </row>
    <row r="2461" spans="2:17" hidden="1" outlineLevel="2">
      <c r="B2461" s="2" t="s">
        <v>876</v>
      </c>
      <c r="D2461" s="268">
        <v>4036</v>
      </c>
      <c r="E2461" s="114" t="s">
        <v>212</v>
      </c>
      <c r="F2461" s="114" t="s">
        <v>1949</v>
      </c>
      <c r="G2461" s="114" t="s">
        <v>1572</v>
      </c>
      <c r="H2461" s="114" t="s">
        <v>1227</v>
      </c>
      <c r="I2461" s="114"/>
      <c r="J2461" s="114" t="b">
        <v>0</v>
      </c>
      <c r="K2461" s="114"/>
      <c r="L2461" s="114"/>
      <c r="M2461" s="114"/>
      <c r="N2461" s="114"/>
      <c r="O2461" s="114"/>
      <c r="P2461" s="114" t="s">
        <v>1485</v>
      </c>
      <c r="Q2461" s="114" t="s">
        <v>1227</v>
      </c>
    </row>
    <row r="2462" spans="2:17" hidden="1" outlineLevel="2">
      <c r="B2462" s="2" t="s">
        <v>876</v>
      </c>
      <c r="D2462" s="270">
        <v>4037</v>
      </c>
      <c r="E2462" s="112" t="s">
        <v>212</v>
      </c>
      <c r="F2462" s="112" t="s">
        <v>2904</v>
      </c>
      <c r="G2462" s="112" t="s">
        <v>1572</v>
      </c>
      <c r="H2462" s="112" t="s">
        <v>1227</v>
      </c>
      <c r="I2462" s="112"/>
      <c r="J2462" s="112" t="b">
        <v>0</v>
      </c>
      <c r="K2462" s="112"/>
      <c r="L2462" s="112"/>
      <c r="M2462" s="112"/>
      <c r="N2462" s="112"/>
      <c r="O2462" s="112"/>
      <c r="P2462" s="112" t="s">
        <v>1485</v>
      </c>
      <c r="Q2462" s="112" t="s">
        <v>1227</v>
      </c>
    </row>
    <row r="2463" spans="2:17" hidden="1" outlineLevel="2">
      <c r="B2463" s="2" t="s">
        <v>876</v>
      </c>
      <c r="D2463" s="268">
        <v>4051</v>
      </c>
      <c r="E2463" s="114" t="s">
        <v>212</v>
      </c>
      <c r="F2463" s="114" t="s">
        <v>2905</v>
      </c>
      <c r="G2463" s="114" t="s">
        <v>1572</v>
      </c>
      <c r="H2463" s="114" t="s">
        <v>1227</v>
      </c>
      <c r="I2463" s="114"/>
      <c r="J2463" s="114" t="b">
        <v>0</v>
      </c>
      <c r="K2463" s="114"/>
      <c r="L2463" s="114"/>
      <c r="M2463" s="114"/>
      <c r="N2463" s="114"/>
      <c r="O2463" s="114"/>
      <c r="P2463" s="114" t="s">
        <v>1485</v>
      </c>
      <c r="Q2463" s="114" t="s">
        <v>1227</v>
      </c>
    </row>
    <row r="2464" spans="2:17" hidden="1" outlineLevel="2">
      <c r="B2464" s="2" t="s">
        <v>876</v>
      </c>
      <c r="D2464" s="270">
        <v>4053</v>
      </c>
      <c r="E2464" s="112" t="s">
        <v>212</v>
      </c>
      <c r="F2464" s="112" t="s">
        <v>2906</v>
      </c>
      <c r="G2464" s="112" t="s">
        <v>1572</v>
      </c>
      <c r="H2464" s="112" t="s">
        <v>1227</v>
      </c>
      <c r="I2464" s="112"/>
      <c r="J2464" s="112" t="b">
        <v>0</v>
      </c>
      <c r="K2464" s="112"/>
      <c r="L2464" s="112"/>
      <c r="M2464" s="112"/>
      <c r="N2464" s="112"/>
      <c r="O2464" s="112"/>
      <c r="P2464" s="112" t="s">
        <v>1485</v>
      </c>
      <c r="Q2464" s="112" t="s">
        <v>1227</v>
      </c>
    </row>
    <row r="2465" spans="2:17" hidden="1" outlineLevel="2">
      <c r="B2465" s="2" t="s">
        <v>876</v>
      </c>
      <c r="D2465" s="268">
        <v>4054</v>
      </c>
      <c r="E2465" s="114" t="s">
        <v>212</v>
      </c>
      <c r="F2465" s="114" t="s">
        <v>2907</v>
      </c>
      <c r="G2465" s="114" t="s">
        <v>1572</v>
      </c>
      <c r="H2465" s="114" t="s">
        <v>1227</v>
      </c>
      <c r="I2465" s="114"/>
      <c r="J2465" s="114" t="b">
        <v>0</v>
      </c>
      <c r="K2465" s="114"/>
      <c r="L2465" s="114"/>
      <c r="M2465" s="114"/>
      <c r="N2465" s="114"/>
      <c r="O2465" s="114"/>
      <c r="P2465" s="114" t="s">
        <v>1485</v>
      </c>
      <c r="Q2465" s="114" t="s">
        <v>1227</v>
      </c>
    </row>
    <row r="2466" spans="2:17" hidden="1" outlineLevel="2">
      <c r="B2466" s="2" t="s">
        <v>876</v>
      </c>
      <c r="D2466" s="270">
        <v>4055</v>
      </c>
      <c r="E2466" s="112" t="s">
        <v>212</v>
      </c>
      <c r="F2466" s="112" t="s">
        <v>2908</v>
      </c>
      <c r="G2466" s="112" t="s">
        <v>1572</v>
      </c>
      <c r="H2466" s="112" t="s">
        <v>1227</v>
      </c>
      <c r="I2466" s="112"/>
      <c r="J2466" s="112" t="b">
        <v>0</v>
      </c>
      <c r="K2466" s="112"/>
      <c r="L2466" s="112"/>
      <c r="M2466" s="112"/>
      <c r="N2466" s="112"/>
      <c r="O2466" s="112"/>
      <c r="P2466" s="112" t="s">
        <v>1485</v>
      </c>
      <c r="Q2466" s="112" t="s">
        <v>1227</v>
      </c>
    </row>
    <row r="2467" spans="2:17" hidden="1" outlineLevel="2">
      <c r="B2467" s="2" t="s">
        <v>876</v>
      </c>
      <c r="D2467" s="268">
        <v>4059</v>
      </c>
      <c r="E2467" s="114" t="s">
        <v>212</v>
      </c>
      <c r="F2467" s="114" t="s">
        <v>2909</v>
      </c>
      <c r="G2467" s="114" t="s">
        <v>1572</v>
      </c>
      <c r="H2467" s="114" t="s">
        <v>1227</v>
      </c>
      <c r="I2467" s="114"/>
      <c r="J2467" s="114" t="b">
        <v>0</v>
      </c>
      <c r="K2467" s="114"/>
      <c r="L2467" s="114"/>
      <c r="M2467" s="114"/>
      <c r="N2467" s="114"/>
      <c r="O2467" s="114"/>
      <c r="P2467" s="114" t="s">
        <v>1485</v>
      </c>
      <c r="Q2467" s="114" t="s">
        <v>1227</v>
      </c>
    </row>
    <row r="2468" spans="2:17" hidden="1" outlineLevel="2">
      <c r="B2468" s="2" t="s">
        <v>876</v>
      </c>
      <c r="D2468" s="270">
        <v>4060</v>
      </c>
      <c r="E2468" s="112" t="s">
        <v>212</v>
      </c>
      <c r="F2468" s="112" t="s">
        <v>2910</v>
      </c>
      <c r="G2468" s="112" t="s">
        <v>1572</v>
      </c>
      <c r="H2468" s="112" t="s">
        <v>1227</v>
      </c>
      <c r="I2468" s="112"/>
      <c r="J2468" s="112" t="b">
        <v>0</v>
      </c>
      <c r="K2468" s="112"/>
      <c r="L2468" s="112"/>
      <c r="M2468" s="112"/>
      <c r="N2468" s="112"/>
      <c r="O2468" s="112"/>
      <c r="P2468" s="112" t="s">
        <v>1485</v>
      </c>
      <c r="Q2468" s="112" t="s">
        <v>1227</v>
      </c>
    </row>
    <row r="2469" spans="2:17" hidden="1" outlineLevel="2">
      <c r="B2469" s="2" t="s">
        <v>876</v>
      </c>
      <c r="D2469" s="268">
        <v>4061</v>
      </c>
      <c r="E2469" s="114" t="s">
        <v>212</v>
      </c>
      <c r="F2469" s="114" t="s">
        <v>2911</v>
      </c>
      <c r="G2469" s="114" t="s">
        <v>1572</v>
      </c>
      <c r="H2469" s="114" t="s">
        <v>1227</v>
      </c>
      <c r="I2469" s="114"/>
      <c r="J2469" s="114" t="b">
        <v>0</v>
      </c>
      <c r="K2469" s="114"/>
      <c r="L2469" s="114"/>
      <c r="M2469" s="114"/>
      <c r="N2469" s="114"/>
      <c r="O2469" s="114"/>
      <c r="P2469" s="114" t="s">
        <v>1485</v>
      </c>
      <c r="Q2469" s="114" t="s">
        <v>1227</v>
      </c>
    </row>
    <row r="2470" spans="2:17" hidden="1" outlineLevel="2">
      <c r="B2470" s="2" t="s">
        <v>876</v>
      </c>
      <c r="D2470" s="270">
        <v>4064</v>
      </c>
      <c r="E2470" s="112" t="s">
        <v>212</v>
      </c>
      <c r="F2470" s="112" t="s">
        <v>2912</v>
      </c>
      <c r="G2470" s="112" t="s">
        <v>1572</v>
      </c>
      <c r="H2470" s="112" t="s">
        <v>1227</v>
      </c>
      <c r="I2470" s="112"/>
      <c r="J2470" s="112" t="b">
        <v>0</v>
      </c>
      <c r="K2470" s="112"/>
      <c r="L2470" s="112"/>
      <c r="M2470" s="112"/>
      <c r="N2470" s="112"/>
      <c r="O2470" s="112"/>
      <c r="P2470" s="112" t="s">
        <v>1485</v>
      </c>
      <c r="Q2470" s="112" t="s">
        <v>1227</v>
      </c>
    </row>
    <row r="2471" spans="2:17" hidden="1" outlineLevel="2">
      <c r="B2471" s="2" t="s">
        <v>876</v>
      </c>
      <c r="D2471" s="268">
        <v>4065</v>
      </c>
      <c r="E2471" s="114" t="s">
        <v>212</v>
      </c>
      <c r="F2471" s="114" t="s">
        <v>2913</v>
      </c>
      <c r="G2471" s="114" t="s">
        <v>1572</v>
      </c>
      <c r="H2471" s="114" t="s">
        <v>1227</v>
      </c>
      <c r="I2471" s="114"/>
      <c r="J2471" s="114" t="b">
        <v>0</v>
      </c>
      <c r="K2471" s="114"/>
      <c r="L2471" s="114"/>
      <c r="M2471" s="114"/>
      <c r="N2471" s="114"/>
      <c r="O2471" s="114"/>
      <c r="P2471" s="114" t="s">
        <v>1485</v>
      </c>
      <c r="Q2471" s="114" t="s">
        <v>1227</v>
      </c>
    </row>
    <row r="2472" spans="2:17" hidden="1" outlineLevel="2">
      <c r="B2472" s="2" t="s">
        <v>876</v>
      </c>
      <c r="D2472" s="270">
        <v>4066</v>
      </c>
      <c r="E2472" s="112" t="s">
        <v>212</v>
      </c>
      <c r="F2472" s="112" t="s">
        <v>2914</v>
      </c>
      <c r="G2472" s="112" t="s">
        <v>1572</v>
      </c>
      <c r="H2472" s="112" t="s">
        <v>1227</v>
      </c>
      <c r="I2472" s="112"/>
      <c r="J2472" s="112" t="b">
        <v>0</v>
      </c>
      <c r="K2472" s="112"/>
      <c r="L2472" s="112"/>
      <c r="M2472" s="112"/>
      <c r="N2472" s="112"/>
      <c r="O2472" s="112"/>
      <c r="P2472" s="112" t="s">
        <v>1485</v>
      </c>
      <c r="Q2472" s="112" t="s">
        <v>1227</v>
      </c>
    </row>
    <row r="2473" spans="2:17" hidden="1" outlineLevel="2">
      <c r="B2473" s="2" t="s">
        <v>876</v>
      </c>
      <c r="D2473" s="268">
        <v>4067</v>
      </c>
      <c r="E2473" s="114" t="s">
        <v>212</v>
      </c>
      <c r="F2473" s="114" t="s">
        <v>2915</v>
      </c>
      <c r="G2473" s="114" t="s">
        <v>1572</v>
      </c>
      <c r="H2473" s="114" t="s">
        <v>1227</v>
      </c>
      <c r="I2473" s="114"/>
      <c r="J2473" s="114" t="b">
        <v>0</v>
      </c>
      <c r="K2473" s="114"/>
      <c r="L2473" s="114"/>
      <c r="M2473" s="114"/>
      <c r="N2473" s="114"/>
      <c r="O2473" s="114"/>
      <c r="P2473" s="114" t="s">
        <v>1485</v>
      </c>
      <c r="Q2473" s="114" t="s">
        <v>1227</v>
      </c>
    </row>
    <row r="2474" spans="2:17" hidden="1" outlineLevel="2">
      <c r="B2474" s="2" t="s">
        <v>876</v>
      </c>
      <c r="D2474" s="270">
        <v>4068</v>
      </c>
      <c r="E2474" s="112" t="s">
        <v>212</v>
      </c>
      <c r="F2474" s="112" t="s">
        <v>2916</v>
      </c>
      <c r="G2474" s="112" t="s">
        <v>1572</v>
      </c>
      <c r="H2474" s="112" t="s">
        <v>1227</v>
      </c>
      <c r="I2474" s="112"/>
      <c r="J2474" s="112" t="b">
        <v>0</v>
      </c>
      <c r="K2474" s="112"/>
      <c r="L2474" s="112"/>
      <c r="M2474" s="112"/>
      <c r="N2474" s="112"/>
      <c r="O2474" s="112"/>
      <c r="P2474" s="112" t="s">
        <v>1485</v>
      </c>
      <c r="Q2474" s="112" t="s">
        <v>1227</v>
      </c>
    </row>
    <row r="2475" spans="2:17" hidden="1" outlineLevel="2">
      <c r="B2475" s="2" t="s">
        <v>876</v>
      </c>
      <c r="D2475" s="268">
        <v>4069</v>
      </c>
      <c r="E2475" s="114" t="s">
        <v>212</v>
      </c>
      <c r="F2475" s="114" t="s">
        <v>2467</v>
      </c>
      <c r="G2475" s="114" t="s">
        <v>1572</v>
      </c>
      <c r="H2475" s="114" t="s">
        <v>1227</v>
      </c>
      <c r="I2475" s="114"/>
      <c r="J2475" s="114" t="b">
        <v>0</v>
      </c>
      <c r="K2475" s="114"/>
      <c r="L2475" s="114"/>
      <c r="M2475" s="114"/>
      <c r="N2475" s="114"/>
      <c r="O2475" s="114"/>
      <c r="P2475" s="114" t="s">
        <v>1485</v>
      </c>
      <c r="Q2475" s="114" t="s">
        <v>1227</v>
      </c>
    </row>
    <row r="2476" spans="2:17" hidden="1" outlineLevel="2">
      <c r="B2476" s="2" t="s">
        <v>876</v>
      </c>
      <c r="D2476" s="270">
        <v>4070</v>
      </c>
      <c r="E2476" s="112" t="s">
        <v>212</v>
      </c>
      <c r="F2476" s="112" t="s">
        <v>2917</v>
      </c>
      <c r="G2476" s="112" t="s">
        <v>1572</v>
      </c>
      <c r="H2476" s="112" t="s">
        <v>1227</v>
      </c>
      <c r="I2476" s="112"/>
      <c r="J2476" s="112" t="b">
        <v>0</v>
      </c>
      <c r="K2476" s="112"/>
      <c r="L2476" s="112"/>
      <c r="M2476" s="112"/>
      <c r="N2476" s="112"/>
      <c r="O2476" s="112"/>
      <c r="P2476" s="112" t="s">
        <v>1485</v>
      </c>
      <c r="Q2476" s="112" t="s">
        <v>1227</v>
      </c>
    </row>
    <row r="2477" spans="2:17" hidden="1" outlineLevel="2">
      <c r="B2477" s="2" t="s">
        <v>876</v>
      </c>
      <c r="D2477" s="268">
        <v>4072</v>
      </c>
      <c r="E2477" s="114" t="s">
        <v>212</v>
      </c>
      <c r="F2477" s="114" t="s">
        <v>2918</v>
      </c>
      <c r="G2477" s="114" t="s">
        <v>1533</v>
      </c>
      <c r="H2477" s="114" t="s">
        <v>1533</v>
      </c>
      <c r="I2477" s="114"/>
      <c r="J2477" s="114" t="b">
        <v>0</v>
      </c>
      <c r="K2477" s="114"/>
      <c r="L2477" s="114"/>
      <c r="M2477" s="114"/>
      <c r="N2477" s="114"/>
      <c r="O2477" s="114"/>
      <c r="P2477" s="114" t="s">
        <v>1485</v>
      </c>
      <c r="Q2477" s="114" t="s">
        <v>1228</v>
      </c>
    </row>
    <row r="2478" spans="2:17" hidden="1" outlineLevel="2">
      <c r="B2478" s="2" t="s">
        <v>876</v>
      </c>
      <c r="D2478" s="270">
        <v>4073</v>
      </c>
      <c r="E2478" s="112" t="s">
        <v>212</v>
      </c>
      <c r="F2478" s="112" t="s">
        <v>2919</v>
      </c>
      <c r="G2478" s="112" t="s">
        <v>1572</v>
      </c>
      <c r="H2478" s="112" t="s">
        <v>1227</v>
      </c>
      <c r="I2478" s="112"/>
      <c r="J2478" s="112" t="b">
        <v>0</v>
      </c>
      <c r="K2478" s="112"/>
      <c r="L2478" s="112"/>
      <c r="M2478" s="112"/>
      <c r="N2478" s="112"/>
      <c r="O2478" s="112"/>
      <c r="P2478" s="112" t="s">
        <v>1485</v>
      </c>
      <c r="Q2478" s="112" t="s">
        <v>1227</v>
      </c>
    </row>
    <row r="2479" spans="2:17" hidden="1" outlineLevel="2">
      <c r="B2479" s="2" t="s">
        <v>876</v>
      </c>
      <c r="D2479" s="268">
        <v>4074</v>
      </c>
      <c r="E2479" s="114" t="s">
        <v>212</v>
      </c>
      <c r="F2479" s="114" t="s">
        <v>2920</v>
      </c>
      <c r="G2479" s="114" t="s">
        <v>1572</v>
      </c>
      <c r="H2479" s="114" t="s">
        <v>1227</v>
      </c>
      <c r="I2479" s="114"/>
      <c r="J2479" s="114" t="b">
        <v>0</v>
      </c>
      <c r="K2479" s="114"/>
      <c r="L2479" s="114"/>
      <c r="M2479" s="114"/>
      <c r="N2479" s="114"/>
      <c r="O2479" s="114"/>
      <c r="P2479" s="114" t="s">
        <v>1485</v>
      </c>
      <c r="Q2479" s="114" t="s">
        <v>1227</v>
      </c>
    </row>
    <row r="2480" spans="2:17" hidden="1" outlineLevel="2">
      <c r="B2480" s="2" t="s">
        <v>876</v>
      </c>
      <c r="D2480" s="270">
        <v>4075</v>
      </c>
      <c r="E2480" s="112" t="s">
        <v>212</v>
      </c>
      <c r="F2480" s="112" t="s">
        <v>2921</v>
      </c>
      <c r="G2480" s="112" t="s">
        <v>1572</v>
      </c>
      <c r="H2480" s="112" t="s">
        <v>1227</v>
      </c>
      <c r="I2480" s="112"/>
      <c r="J2480" s="112" t="b">
        <v>0</v>
      </c>
      <c r="K2480" s="112"/>
      <c r="L2480" s="112"/>
      <c r="M2480" s="112"/>
      <c r="N2480" s="112"/>
      <c r="O2480" s="112"/>
      <c r="P2480" s="112" t="s">
        <v>1485</v>
      </c>
      <c r="Q2480" s="112" t="s">
        <v>1227</v>
      </c>
    </row>
    <row r="2481" spans="2:17" hidden="1" outlineLevel="2">
      <c r="B2481" s="2" t="s">
        <v>876</v>
      </c>
      <c r="D2481" s="268">
        <v>4076</v>
      </c>
      <c r="E2481" s="114" t="s">
        <v>212</v>
      </c>
      <c r="F2481" s="114" t="s">
        <v>2922</v>
      </c>
      <c r="G2481" s="114" t="s">
        <v>1572</v>
      </c>
      <c r="H2481" s="114" t="s">
        <v>1227</v>
      </c>
      <c r="I2481" s="114"/>
      <c r="J2481" s="114" t="b">
        <v>0</v>
      </c>
      <c r="K2481" s="114"/>
      <c r="L2481" s="114"/>
      <c r="M2481" s="114"/>
      <c r="N2481" s="114"/>
      <c r="O2481" s="114"/>
      <c r="P2481" s="114" t="s">
        <v>1485</v>
      </c>
      <c r="Q2481" s="114" t="s">
        <v>1227</v>
      </c>
    </row>
    <row r="2482" spans="2:17" hidden="1" outlineLevel="2">
      <c r="B2482" s="2" t="s">
        <v>876</v>
      </c>
      <c r="D2482" s="270">
        <v>4077</v>
      </c>
      <c r="E2482" s="112" t="s">
        <v>212</v>
      </c>
      <c r="F2482" s="112" t="s">
        <v>2923</v>
      </c>
      <c r="G2482" s="112" t="s">
        <v>1572</v>
      </c>
      <c r="H2482" s="112" t="s">
        <v>1227</v>
      </c>
      <c r="I2482" s="112"/>
      <c r="J2482" s="112" t="b">
        <v>0</v>
      </c>
      <c r="K2482" s="112"/>
      <c r="L2482" s="112"/>
      <c r="M2482" s="112"/>
      <c r="N2482" s="112"/>
      <c r="O2482" s="112"/>
      <c r="P2482" s="112" t="s">
        <v>1485</v>
      </c>
      <c r="Q2482" s="112" t="s">
        <v>1227</v>
      </c>
    </row>
    <row r="2483" spans="2:17" hidden="1" outlineLevel="2">
      <c r="B2483" s="2" t="s">
        <v>876</v>
      </c>
      <c r="D2483" s="268">
        <v>4078</v>
      </c>
      <c r="E2483" s="114" t="s">
        <v>212</v>
      </c>
      <c r="F2483" s="114" t="s">
        <v>2924</v>
      </c>
      <c r="G2483" s="114" t="s">
        <v>1572</v>
      </c>
      <c r="H2483" s="114" t="s">
        <v>1227</v>
      </c>
      <c r="I2483" s="114"/>
      <c r="J2483" s="114" t="b">
        <v>0</v>
      </c>
      <c r="K2483" s="114"/>
      <c r="L2483" s="114"/>
      <c r="M2483" s="114"/>
      <c r="N2483" s="114"/>
      <c r="O2483" s="114"/>
      <c r="P2483" s="114" t="s">
        <v>1485</v>
      </c>
      <c r="Q2483" s="114" t="s">
        <v>1227</v>
      </c>
    </row>
    <row r="2484" spans="2:17" hidden="1" outlineLevel="2">
      <c r="B2484" s="2" t="s">
        <v>876</v>
      </c>
      <c r="D2484" s="270">
        <v>4101</v>
      </c>
      <c r="E2484" s="112" t="s">
        <v>212</v>
      </c>
      <c r="F2484" s="112" t="s">
        <v>2925</v>
      </c>
      <c r="G2484" s="221" t="s">
        <v>1572</v>
      </c>
      <c r="H2484" s="112" t="s">
        <v>1227</v>
      </c>
      <c r="I2484" s="112"/>
      <c r="J2484" s="112" t="b">
        <v>0</v>
      </c>
      <c r="K2484" s="112"/>
      <c r="L2484" s="112"/>
      <c r="M2484" s="112"/>
      <c r="N2484" s="112"/>
      <c r="O2484" s="112"/>
      <c r="P2484" s="112" t="s">
        <v>1485</v>
      </c>
      <c r="Q2484" s="112" t="s">
        <v>1227</v>
      </c>
    </row>
    <row r="2485" spans="2:17" hidden="1" outlineLevel="2">
      <c r="B2485" s="2" t="s">
        <v>876</v>
      </c>
      <c r="D2485" s="268">
        <v>4102</v>
      </c>
      <c r="E2485" s="114" t="s">
        <v>212</v>
      </c>
      <c r="F2485" s="114" t="s">
        <v>2926</v>
      </c>
      <c r="G2485" s="221" t="s">
        <v>1572</v>
      </c>
      <c r="H2485" s="114" t="s">
        <v>1227</v>
      </c>
      <c r="I2485" s="114"/>
      <c r="J2485" s="114" t="b">
        <v>0</v>
      </c>
      <c r="K2485" s="114"/>
      <c r="L2485" s="114"/>
      <c r="M2485" s="114" t="s">
        <v>2881</v>
      </c>
      <c r="N2485" s="114"/>
      <c r="O2485" s="114"/>
      <c r="P2485" s="114" t="s">
        <v>1485</v>
      </c>
      <c r="Q2485" s="114" t="s">
        <v>1227</v>
      </c>
    </row>
    <row r="2486" spans="2:17" hidden="1" outlineLevel="2">
      <c r="B2486" s="2" t="s">
        <v>876</v>
      </c>
      <c r="D2486" s="270">
        <v>4103</v>
      </c>
      <c r="E2486" s="112" t="s">
        <v>212</v>
      </c>
      <c r="F2486" s="112" t="s">
        <v>2927</v>
      </c>
      <c r="G2486" s="112" t="s">
        <v>1572</v>
      </c>
      <c r="H2486" s="112" t="s">
        <v>1227</v>
      </c>
      <c r="I2486" s="112"/>
      <c r="J2486" s="112" t="b">
        <v>0</v>
      </c>
      <c r="K2486" s="112"/>
      <c r="L2486" s="112"/>
      <c r="M2486" s="112"/>
      <c r="N2486" s="112"/>
      <c r="O2486" s="112"/>
      <c r="P2486" s="112" t="s">
        <v>1485</v>
      </c>
      <c r="Q2486" s="112" t="s">
        <v>1227</v>
      </c>
    </row>
    <row r="2487" spans="2:17" hidden="1" outlineLevel="2">
      <c r="B2487" s="2" t="s">
        <v>876</v>
      </c>
      <c r="D2487" s="268">
        <v>4104</v>
      </c>
      <c r="E2487" s="114" t="s">
        <v>212</v>
      </c>
      <c r="F2487" s="114" t="s">
        <v>2928</v>
      </c>
      <c r="G2487" s="114" t="s">
        <v>1572</v>
      </c>
      <c r="H2487" s="114" t="s">
        <v>1227</v>
      </c>
      <c r="I2487" s="114"/>
      <c r="J2487" s="114" t="b">
        <v>0</v>
      </c>
      <c r="K2487" s="114"/>
      <c r="L2487" s="114"/>
      <c r="M2487" s="114"/>
      <c r="N2487" s="114"/>
      <c r="O2487" s="114"/>
      <c r="P2487" s="114" t="s">
        <v>1485</v>
      </c>
      <c r="Q2487" s="114" t="s">
        <v>1227</v>
      </c>
    </row>
    <row r="2488" spans="2:17" hidden="1" outlineLevel="2">
      <c r="B2488" s="2" t="s">
        <v>876</v>
      </c>
      <c r="D2488" s="270">
        <v>4105</v>
      </c>
      <c r="E2488" s="112" t="s">
        <v>212</v>
      </c>
      <c r="F2488" s="112" t="s">
        <v>2929</v>
      </c>
      <c r="G2488" s="112" t="s">
        <v>1572</v>
      </c>
      <c r="H2488" s="112" t="s">
        <v>1227</v>
      </c>
      <c r="I2488" s="112"/>
      <c r="J2488" s="112" t="b">
        <v>0</v>
      </c>
      <c r="K2488" s="112"/>
      <c r="L2488" s="112"/>
      <c r="M2488" s="112"/>
      <c r="N2488" s="112"/>
      <c r="O2488" s="112"/>
      <c r="P2488" s="112" t="s">
        <v>1485</v>
      </c>
      <c r="Q2488" s="112" t="s">
        <v>1227</v>
      </c>
    </row>
    <row r="2489" spans="2:17" hidden="1" outlineLevel="2">
      <c r="B2489" s="2" t="s">
        <v>876</v>
      </c>
      <c r="D2489" s="268">
        <v>4106</v>
      </c>
      <c r="E2489" s="114" t="s">
        <v>212</v>
      </c>
      <c r="F2489" s="114" t="s">
        <v>2930</v>
      </c>
      <c r="G2489" s="114" t="s">
        <v>1572</v>
      </c>
      <c r="H2489" s="114" t="s">
        <v>1227</v>
      </c>
      <c r="I2489" s="114"/>
      <c r="J2489" s="114" t="b">
        <v>0</v>
      </c>
      <c r="K2489" s="114"/>
      <c r="L2489" s="114"/>
      <c r="M2489" s="114"/>
      <c r="N2489" s="114"/>
      <c r="O2489" s="114"/>
      <c r="P2489" s="114" t="s">
        <v>1485</v>
      </c>
      <c r="Q2489" s="114" t="s">
        <v>1227</v>
      </c>
    </row>
    <row r="2490" spans="2:17" hidden="1" outlineLevel="2">
      <c r="B2490" s="2" t="s">
        <v>876</v>
      </c>
      <c r="D2490" s="270">
        <v>4107</v>
      </c>
      <c r="E2490" s="112" t="s">
        <v>212</v>
      </c>
      <c r="F2490" s="112" t="s">
        <v>2931</v>
      </c>
      <c r="G2490" s="112" t="s">
        <v>1572</v>
      </c>
      <c r="H2490" s="112" t="s">
        <v>1227</v>
      </c>
      <c r="I2490" s="112"/>
      <c r="J2490" s="112" t="b">
        <v>0</v>
      </c>
      <c r="K2490" s="112"/>
      <c r="L2490" s="112"/>
      <c r="M2490" s="112"/>
      <c r="N2490" s="112"/>
      <c r="O2490" s="112"/>
      <c r="P2490" s="112" t="s">
        <v>1485</v>
      </c>
      <c r="Q2490" s="112" t="s">
        <v>1227</v>
      </c>
    </row>
    <row r="2491" spans="2:17" hidden="1" outlineLevel="2">
      <c r="B2491" s="2" t="s">
        <v>876</v>
      </c>
      <c r="D2491" s="268">
        <v>4108</v>
      </c>
      <c r="E2491" s="114" t="s">
        <v>212</v>
      </c>
      <c r="F2491" s="114" t="s">
        <v>2932</v>
      </c>
      <c r="G2491" s="114" t="s">
        <v>1572</v>
      </c>
      <c r="H2491" s="114" t="s">
        <v>1227</v>
      </c>
      <c r="I2491" s="114"/>
      <c r="J2491" s="114" t="b">
        <v>0</v>
      </c>
      <c r="K2491" s="114"/>
      <c r="L2491" s="114"/>
      <c r="M2491" s="114"/>
      <c r="N2491" s="114"/>
      <c r="O2491" s="114"/>
      <c r="P2491" s="114" t="s">
        <v>1485</v>
      </c>
      <c r="Q2491" s="114" t="s">
        <v>1227</v>
      </c>
    </row>
    <row r="2492" spans="2:17" hidden="1" outlineLevel="2">
      <c r="B2492" s="2" t="s">
        <v>876</v>
      </c>
      <c r="D2492" s="270">
        <v>4109</v>
      </c>
      <c r="E2492" s="112" t="s">
        <v>212</v>
      </c>
      <c r="F2492" s="112" t="s">
        <v>2933</v>
      </c>
      <c r="G2492" s="112" t="s">
        <v>1572</v>
      </c>
      <c r="H2492" s="112" t="s">
        <v>1227</v>
      </c>
      <c r="I2492" s="112"/>
      <c r="J2492" s="112" t="b">
        <v>0</v>
      </c>
      <c r="K2492" s="112"/>
      <c r="L2492" s="112"/>
      <c r="M2492" s="112"/>
      <c r="N2492" s="112"/>
      <c r="O2492" s="112"/>
      <c r="P2492" s="112" t="s">
        <v>1485</v>
      </c>
      <c r="Q2492" s="112" t="s">
        <v>1227</v>
      </c>
    </row>
    <row r="2493" spans="2:17" hidden="1" outlineLevel="2">
      <c r="B2493" s="2" t="s">
        <v>876</v>
      </c>
      <c r="D2493" s="268">
        <v>4110</v>
      </c>
      <c r="E2493" s="114" t="s">
        <v>212</v>
      </c>
      <c r="F2493" s="114" t="s">
        <v>2934</v>
      </c>
      <c r="G2493" s="114" t="s">
        <v>1572</v>
      </c>
      <c r="H2493" s="114" t="s">
        <v>1227</v>
      </c>
      <c r="I2493" s="114"/>
      <c r="J2493" s="114" t="b">
        <v>0</v>
      </c>
      <c r="K2493" s="114"/>
      <c r="L2493" s="114"/>
      <c r="M2493" s="114"/>
      <c r="N2493" s="114"/>
      <c r="O2493" s="114"/>
      <c r="P2493" s="114" t="s">
        <v>1485</v>
      </c>
      <c r="Q2493" s="114" t="s">
        <v>1227</v>
      </c>
    </row>
    <row r="2494" spans="2:17" hidden="1" outlineLevel="2">
      <c r="B2494" s="2" t="s">
        <v>876</v>
      </c>
      <c r="D2494" s="270">
        <v>4111</v>
      </c>
      <c r="E2494" s="112" t="s">
        <v>212</v>
      </c>
      <c r="F2494" s="112" t="s">
        <v>2935</v>
      </c>
      <c r="G2494" s="112" t="s">
        <v>1572</v>
      </c>
      <c r="H2494" s="112" t="s">
        <v>1227</v>
      </c>
      <c r="I2494" s="112"/>
      <c r="J2494" s="112" t="b">
        <v>0</v>
      </c>
      <c r="K2494" s="112"/>
      <c r="L2494" s="112"/>
      <c r="M2494" s="112"/>
      <c r="N2494" s="112"/>
      <c r="O2494" s="112"/>
      <c r="P2494" s="112" t="s">
        <v>1485</v>
      </c>
      <c r="Q2494" s="112" t="s">
        <v>1227</v>
      </c>
    </row>
    <row r="2495" spans="2:17" hidden="1" outlineLevel="2">
      <c r="B2495" s="2" t="s">
        <v>876</v>
      </c>
      <c r="D2495" s="268">
        <v>4112</v>
      </c>
      <c r="E2495" s="114" t="s">
        <v>212</v>
      </c>
      <c r="F2495" s="114" t="s">
        <v>2936</v>
      </c>
      <c r="G2495" s="114" t="s">
        <v>1572</v>
      </c>
      <c r="H2495" s="114" t="s">
        <v>1227</v>
      </c>
      <c r="I2495" s="114"/>
      <c r="J2495" s="114" t="b">
        <v>0</v>
      </c>
      <c r="K2495" s="114"/>
      <c r="L2495" s="114"/>
      <c r="M2495" s="114"/>
      <c r="N2495" s="114"/>
      <c r="O2495" s="114"/>
      <c r="P2495" s="114" t="s">
        <v>1485</v>
      </c>
      <c r="Q2495" s="114" t="s">
        <v>1227</v>
      </c>
    </row>
    <row r="2496" spans="2:17" hidden="1" outlineLevel="2">
      <c r="B2496" s="2" t="s">
        <v>876</v>
      </c>
      <c r="D2496" s="270">
        <v>4113</v>
      </c>
      <c r="E2496" s="112" t="s">
        <v>212</v>
      </c>
      <c r="F2496" s="112" t="s">
        <v>2937</v>
      </c>
      <c r="G2496" s="112" t="s">
        <v>1572</v>
      </c>
      <c r="H2496" s="112" t="s">
        <v>1227</v>
      </c>
      <c r="I2496" s="112"/>
      <c r="J2496" s="112" t="b">
        <v>0</v>
      </c>
      <c r="K2496" s="112"/>
      <c r="L2496" s="112"/>
      <c r="M2496" s="112"/>
      <c r="N2496" s="112"/>
      <c r="O2496" s="112"/>
      <c r="P2496" s="112" t="s">
        <v>1485</v>
      </c>
      <c r="Q2496" s="112" t="s">
        <v>1227</v>
      </c>
    </row>
    <row r="2497" spans="2:17" hidden="1" outlineLevel="2">
      <c r="B2497" s="2" t="s">
        <v>876</v>
      </c>
      <c r="D2497" s="268">
        <v>4114</v>
      </c>
      <c r="E2497" s="114" t="s">
        <v>212</v>
      </c>
      <c r="F2497" s="114" t="s">
        <v>2938</v>
      </c>
      <c r="G2497" s="114" t="s">
        <v>1572</v>
      </c>
      <c r="H2497" s="114" t="s">
        <v>1227</v>
      </c>
      <c r="I2497" s="114"/>
      <c r="J2497" s="114" t="b">
        <v>0</v>
      </c>
      <c r="K2497" s="114"/>
      <c r="L2497" s="114"/>
      <c r="M2497" s="114"/>
      <c r="N2497" s="114"/>
      <c r="O2497" s="114"/>
      <c r="P2497" s="114" t="s">
        <v>1485</v>
      </c>
      <c r="Q2497" s="114" t="s">
        <v>1227</v>
      </c>
    </row>
    <row r="2498" spans="2:17" hidden="1" outlineLevel="2">
      <c r="B2498" s="2" t="s">
        <v>876</v>
      </c>
      <c r="D2498" s="270">
        <v>4115</v>
      </c>
      <c r="E2498" s="112" t="s">
        <v>212</v>
      </c>
      <c r="F2498" s="112" t="s">
        <v>2939</v>
      </c>
      <c r="G2498" s="112" t="s">
        <v>1572</v>
      </c>
      <c r="H2498" s="112" t="s">
        <v>1227</v>
      </c>
      <c r="I2498" s="112"/>
      <c r="J2498" s="112" t="b">
        <v>0</v>
      </c>
      <c r="K2498" s="112"/>
      <c r="L2498" s="112"/>
      <c r="M2498" s="112"/>
      <c r="N2498" s="112"/>
      <c r="O2498" s="112"/>
      <c r="P2498" s="112" t="s">
        <v>1485</v>
      </c>
      <c r="Q2498" s="112" t="s">
        <v>1227</v>
      </c>
    </row>
    <row r="2499" spans="2:17" hidden="1" outlineLevel="2">
      <c r="B2499" s="2" t="s">
        <v>876</v>
      </c>
      <c r="D2499" s="268">
        <v>4116</v>
      </c>
      <c r="E2499" s="114" t="s">
        <v>212</v>
      </c>
      <c r="F2499" s="114" t="s">
        <v>2940</v>
      </c>
      <c r="G2499" s="114" t="s">
        <v>1572</v>
      </c>
      <c r="H2499" s="114" t="s">
        <v>1227</v>
      </c>
      <c r="I2499" s="114"/>
      <c r="J2499" s="114" t="b">
        <v>0</v>
      </c>
      <c r="K2499" s="114"/>
      <c r="L2499" s="114"/>
      <c r="M2499" s="114"/>
      <c r="N2499" s="114"/>
      <c r="O2499" s="114"/>
      <c r="P2499" s="114" t="s">
        <v>1485</v>
      </c>
      <c r="Q2499" s="114" t="s">
        <v>1227</v>
      </c>
    </row>
    <row r="2500" spans="2:17" hidden="1" outlineLevel="2">
      <c r="B2500" s="2" t="s">
        <v>876</v>
      </c>
      <c r="D2500" s="270">
        <v>4117</v>
      </c>
      <c r="E2500" s="112" t="s">
        <v>212</v>
      </c>
      <c r="F2500" s="112" t="s">
        <v>2941</v>
      </c>
      <c r="G2500" s="112" t="s">
        <v>1572</v>
      </c>
      <c r="H2500" s="112" t="s">
        <v>1227</v>
      </c>
      <c r="I2500" s="112"/>
      <c r="J2500" s="112" t="b">
        <v>0</v>
      </c>
      <c r="K2500" s="112"/>
      <c r="L2500" s="112"/>
      <c r="M2500" s="112"/>
      <c r="N2500" s="112"/>
      <c r="O2500" s="112"/>
      <c r="P2500" s="112" t="s">
        <v>1485</v>
      </c>
      <c r="Q2500" s="112" t="s">
        <v>1227</v>
      </c>
    </row>
    <row r="2501" spans="2:17" hidden="1" outlineLevel="2">
      <c r="B2501" s="2" t="s">
        <v>876</v>
      </c>
      <c r="D2501" s="268">
        <v>4118</v>
      </c>
      <c r="E2501" s="114" t="s">
        <v>212</v>
      </c>
      <c r="F2501" s="114" t="s">
        <v>2942</v>
      </c>
      <c r="G2501" s="114" t="s">
        <v>1572</v>
      </c>
      <c r="H2501" s="114" t="s">
        <v>1227</v>
      </c>
      <c r="I2501" s="114"/>
      <c r="J2501" s="114" t="b">
        <v>0</v>
      </c>
      <c r="K2501" s="114"/>
      <c r="L2501" s="114"/>
      <c r="M2501" s="114"/>
      <c r="N2501" s="114"/>
      <c r="O2501" s="114"/>
      <c r="P2501" s="114" t="s">
        <v>1485</v>
      </c>
      <c r="Q2501" s="114" t="s">
        <v>1227</v>
      </c>
    </row>
    <row r="2502" spans="2:17" hidden="1" outlineLevel="2">
      <c r="B2502" s="2" t="s">
        <v>876</v>
      </c>
      <c r="D2502" s="270">
        <v>4119</v>
      </c>
      <c r="E2502" s="112" t="s">
        <v>212</v>
      </c>
      <c r="F2502" s="112" t="s">
        <v>2943</v>
      </c>
      <c r="G2502" s="112" t="s">
        <v>1572</v>
      </c>
      <c r="H2502" s="112" t="s">
        <v>1227</v>
      </c>
      <c r="I2502" s="112"/>
      <c r="J2502" s="112" t="b">
        <v>0</v>
      </c>
      <c r="K2502" s="112"/>
      <c r="L2502" s="112"/>
      <c r="M2502" s="112"/>
      <c r="N2502" s="112"/>
      <c r="O2502" s="112"/>
      <c r="P2502" s="112" t="s">
        <v>1485</v>
      </c>
      <c r="Q2502" s="112" t="s">
        <v>1227</v>
      </c>
    </row>
    <row r="2503" spans="2:17" hidden="1" outlineLevel="2">
      <c r="B2503" s="2" t="s">
        <v>876</v>
      </c>
      <c r="D2503" s="268">
        <v>4120</v>
      </c>
      <c r="E2503" s="114" t="s">
        <v>212</v>
      </c>
      <c r="F2503" s="114" t="s">
        <v>2944</v>
      </c>
      <c r="G2503" s="114" t="s">
        <v>1572</v>
      </c>
      <c r="H2503" s="114" t="s">
        <v>1227</v>
      </c>
      <c r="I2503" s="114"/>
      <c r="J2503" s="114" t="b">
        <v>0</v>
      </c>
      <c r="K2503" s="114"/>
      <c r="L2503" s="114"/>
      <c r="M2503" s="114"/>
      <c r="N2503" s="114"/>
      <c r="O2503" s="114"/>
      <c r="P2503" s="114" t="s">
        <v>1485</v>
      </c>
      <c r="Q2503" s="114" t="s">
        <v>1227</v>
      </c>
    </row>
    <row r="2504" spans="2:17" hidden="1" outlineLevel="2">
      <c r="B2504" s="2" t="s">
        <v>876</v>
      </c>
      <c r="D2504" s="270">
        <v>4121</v>
      </c>
      <c r="E2504" s="112" t="s">
        <v>212</v>
      </c>
      <c r="F2504" s="112" t="s">
        <v>2945</v>
      </c>
      <c r="G2504" s="112" t="s">
        <v>1572</v>
      </c>
      <c r="H2504" s="112" t="s">
        <v>1227</v>
      </c>
      <c r="I2504" s="112"/>
      <c r="J2504" s="112" t="b">
        <v>0</v>
      </c>
      <c r="K2504" s="112"/>
      <c r="L2504" s="112"/>
      <c r="M2504" s="112"/>
      <c r="N2504" s="112"/>
      <c r="O2504" s="112"/>
      <c r="P2504" s="112" t="s">
        <v>1485</v>
      </c>
      <c r="Q2504" s="112" t="s">
        <v>1227</v>
      </c>
    </row>
    <row r="2505" spans="2:17" hidden="1" outlineLevel="2">
      <c r="B2505" s="2" t="s">
        <v>876</v>
      </c>
      <c r="D2505" s="268">
        <v>4122</v>
      </c>
      <c r="E2505" s="114" t="s">
        <v>212</v>
      </c>
      <c r="F2505" s="114" t="s">
        <v>2946</v>
      </c>
      <c r="G2505" s="114" t="s">
        <v>1572</v>
      </c>
      <c r="H2505" s="114" t="s">
        <v>1227</v>
      </c>
      <c r="I2505" s="114"/>
      <c r="J2505" s="114" t="b">
        <v>0</v>
      </c>
      <c r="K2505" s="114"/>
      <c r="L2505" s="114"/>
      <c r="M2505" s="114"/>
      <c r="N2505" s="114"/>
      <c r="O2505" s="114"/>
      <c r="P2505" s="114" t="s">
        <v>1485</v>
      </c>
      <c r="Q2505" s="114" t="s">
        <v>1227</v>
      </c>
    </row>
    <row r="2506" spans="2:17" hidden="1" outlineLevel="2">
      <c r="B2506" s="2" t="s">
        <v>876</v>
      </c>
      <c r="D2506" s="270">
        <v>4123</v>
      </c>
      <c r="E2506" s="112" t="s">
        <v>212</v>
      </c>
      <c r="F2506" s="112" t="s">
        <v>2947</v>
      </c>
      <c r="G2506" s="112" t="s">
        <v>1572</v>
      </c>
      <c r="H2506" s="112" t="s">
        <v>1227</v>
      </c>
      <c r="I2506" s="112"/>
      <c r="J2506" s="112" t="b">
        <v>0</v>
      </c>
      <c r="K2506" s="112"/>
      <c r="L2506" s="112"/>
      <c r="M2506" s="112"/>
      <c r="N2506" s="112"/>
      <c r="O2506" s="112"/>
      <c r="P2506" s="112" t="s">
        <v>1485</v>
      </c>
      <c r="Q2506" s="112" t="s">
        <v>1227</v>
      </c>
    </row>
    <row r="2507" spans="2:17" hidden="1" outlineLevel="2">
      <c r="B2507" s="2" t="s">
        <v>876</v>
      </c>
      <c r="D2507" s="268">
        <v>4124</v>
      </c>
      <c r="E2507" s="114" t="s">
        <v>212</v>
      </c>
      <c r="F2507" s="114" t="s">
        <v>2948</v>
      </c>
      <c r="G2507" s="114" t="s">
        <v>1572</v>
      </c>
      <c r="H2507" s="114" t="s">
        <v>1227</v>
      </c>
      <c r="I2507" s="114"/>
      <c r="J2507" s="114" t="b">
        <v>0</v>
      </c>
      <c r="K2507" s="114"/>
      <c r="L2507" s="114"/>
      <c r="M2507" s="114"/>
      <c r="N2507" s="114"/>
      <c r="O2507" s="114"/>
      <c r="P2507" s="114" t="s">
        <v>1485</v>
      </c>
      <c r="Q2507" s="114" t="s">
        <v>1227</v>
      </c>
    </row>
    <row r="2508" spans="2:17" hidden="1" outlineLevel="2">
      <c r="B2508" s="2" t="s">
        <v>876</v>
      </c>
      <c r="D2508" s="270">
        <v>4125</v>
      </c>
      <c r="E2508" s="112" t="s">
        <v>212</v>
      </c>
      <c r="F2508" s="112" t="s">
        <v>2949</v>
      </c>
      <c r="G2508" s="112" t="s">
        <v>1572</v>
      </c>
      <c r="H2508" s="112" t="s">
        <v>1227</v>
      </c>
      <c r="I2508" s="112"/>
      <c r="J2508" s="112" t="b">
        <v>0</v>
      </c>
      <c r="K2508" s="112"/>
      <c r="L2508" s="112"/>
      <c r="M2508" s="112"/>
      <c r="N2508" s="112"/>
      <c r="O2508" s="112"/>
      <c r="P2508" s="112" t="s">
        <v>1485</v>
      </c>
      <c r="Q2508" s="112" t="s">
        <v>1227</v>
      </c>
    </row>
    <row r="2509" spans="2:17" hidden="1" outlineLevel="2">
      <c r="B2509" s="2" t="s">
        <v>876</v>
      </c>
      <c r="D2509" s="268">
        <v>4127</v>
      </c>
      <c r="E2509" s="114" t="s">
        <v>212</v>
      </c>
      <c r="F2509" s="114" t="s">
        <v>2950</v>
      </c>
      <c r="G2509" s="114" t="s">
        <v>1572</v>
      </c>
      <c r="H2509" s="114" t="s">
        <v>1227</v>
      </c>
      <c r="I2509" s="114"/>
      <c r="J2509" s="114" t="b">
        <v>0</v>
      </c>
      <c r="K2509" s="114"/>
      <c r="L2509" s="114"/>
      <c r="M2509" s="114"/>
      <c r="N2509" s="114"/>
      <c r="O2509" s="114"/>
      <c r="P2509" s="114" t="s">
        <v>1485</v>
      </c>
      <c r="Q2509" s="114" t="s">
        <v>1227</v>
      </c>
    </row>
    <row r="2510" spans="2:17" hidden="1" outlineLevel="2">
      <c r="B2510" s="2" t="s">
        <v>876</v>
      </c>
      <c r="D2510" s="270">
        <v>4128</v>
      </c>
      <c r="E2510" s="112" t="s">
        <v>212</v>
      </c>
      <c r="F2510" s="112" t="s">
        <v>2951</v>
      </c>
      <c r="G2510" s="112" t="s">
        <v>1572</v>
      </c>
      <c r="H2510" s="112" t="s">
        <v>1227</v>
      </c>
      <c r="I2510" s="112"/>
      <c r="J2510" s="112" t="b">
        <v>0</v>
      </c>
      <c r="K2510" s="112"/>
      <c r="L2510" s="112"/>
      <c r="M2510" s="112"/>
      <c r="N2510" s="112"/>
      <c r="O2510" s="112"/>
      <c r="P2510" s="112" t="s">
        <v>1485</v>
      </c>
      <c r="Q2510" s="112" t="s">
        <v>1227</v>
      </c>
    </row>
    <row r="2511" spans="2:17" hidden="1" outlineLevel="2">
      <c r="B2511" s="2" t="s">
        <v>876</v>
      </c>
      <c r="D2511" s="268">
        <v>4129</v>
      </c>
      <c r="E2511" s="114" t="s">
        <v>212</v>
      </c>
      <c r="F2511" s="114" t="s">
        <v>2952</v>
      </c>
      <c r="G2511" s="114" t="s">
        <v>1572</v>
      </c>
      <c r="H2511" s="114" t="s">
        <v>1227</v>
      </c>
      <c r="I2511" s="114"/>
      <c r="J2511" s="114" t="b">
        <v>0</v>
      </c>
      <c r="K2511" s="114"/>
      <c r="L2511" s="114"/>
      <c r="M2511" s="114"/>
      <c r="N2511" s="114"/>
      <c r="O2511" s="114"/>
      <c r="P2511" s="114" t="s">
        <v>1485</v>
      </c>
      <c r="Q2511" s="114" t="s">
        <v>1227</v>
      </c>
    </row>
    <row r="2512" spans="2:17" hidden="1" outlineLevel="2">
      <c r="B2512" s="2" t="s">
        <v>876</v>
      </c>
      <c r="D2512" s="270">
        <v>4130</v>
      </c>
      <c r="E2512" s="112" t="s">
        <v>212</v>
      </c>
      <c r="F2512" s="112" t="s">
        <v>2953</v>
      </c>
      <c r="G2512" s="112" t="s">
        <v>1572</v>
      </c>
      <c r="H2512" s="112" t="s">
        <v>1227</v>
      </c>
      <c r="I2512" s="112"/>
      <c r="J2512" s="112" t="b">
        <v>0</v>
      </c>
      <c r="K2512" s="112"/>
      <c r="L2512" s="112"/>
      <c r="M2512" s="112"/>
      <c r="N2512" s="112"/>
      <c r="O2512" s="112"/>
      <c r="P2512" s="112" t="s">
        <v>1485</v>
      </c>
      <c r="Q2512" s="112" t="s">
        <v>1227</v>
      </c>
    </row>
    <row r="2513" spans="2:17" hidden="1" outlineLevel="2">
      <c r="B2513" s="2" t="s">
        <v>876</v>
      </c>
      <c r="D2513" s="268">
        <v>4131</v>
      </c>
      <c r="E2513" s="114" t="s">
        <v>212</v>
      </c>
      <c r="F2513" s="114" t="s">
        <v>2954</v>
      </c>
      <c r="G2513" s="114" t="s">
        <v>1572</v>
      </c>
      <c r="H2513" s="114" t="s">
        <v>1227</v>
      </c>
      <c r="I2513" s="114"/>
      <c r="J2513" s="114" t="b">
        <v>0</v>
      </c>
      <c r="K2513" s="114"/>
      <c r="L2513" s="114"/>
      <c r="M2513" s="114"/>
      <c r="N2513" s="114"/>
      <c r="O2513" s="114"/>
      <c r="P2513" s="114" t="s">
        <v>1485</v>
      </c>
      <c r="Q2513" s="114" t="s">
        <v>1227</v>
      </c>
    </row>
    <row r="2514" spans="2:17" hidden="1" outlineLevel="2">
      <c r="B2514" s="2" t="s">
        <v>876</v>
      </c>
      <c r="D2514" s="270">
        <v>4132</v>
      </c>
      <c r="E2514" s="112" t="s">
        <v>212</v>
      </c>
      <c r="F2514" s="112" t="s">
        <v>2955</v>
      </c>
      <c r="G2514" s="112" t="s">
        <v>1572</v>
      </c>
      <c r="H2514" s="112" t="s">
        <v>1227</v>
      </c>
      <c r="I2514" s="112"/>
      <c r="J2514" s="112" t="b">
        <v>0</v>
      </c>
      <c r="K2514" s="112"/>
      <c r="L2514" s="112"/>
      <c r="M2514" s="112"/>
      <c r="N2514" s="112"/>
      <c r="O2514" s="112"/>
      <c r="P2514" s="112" t="s">
        <v>1485</v>
      </c>
      <c r="Q2514" s="112" t="s">
        <v>1227</v>
      </c>
    </row>
    <row r="2515" spans="2:17" hidden="1" outlineLevel="2">
      <c r="B2515" s="2" t="s">
        <v>876</v>
      </c>
      <c r="D2515" s="268">
        <v>4133</v>
      </c>
      <c r="E2515" s="114" t="s">
        <v>212</v>
      </c>
      <c r="F2515" s="114" t="s">
        <v>2956</v>
      </c>
      <c r="G2515" s="114" t="s">
        <v>1572</v>
      </c>
      <c r="H2515" s="114" t="s">
        <v>1227</v>
      </c>
      <c r="I2515" s="114"/>
      <c r="J2515" s="114" t="b">
        <v>0</v>
      </c>
      <c r="K2515" s="114"/>
      <c r="L2515" s="114"/>
      <c r="M2515" s="114"/>
      <c r="N2515" s="114"/>
      <c r="O2515" s="114"/>
      <c r="P2515" s="114" t="s">
        <v>1485</v>
      </c>
      <c r="Q2515" s="114" t="s">
        <v>1227</v>
      </c>
    </row>
    <row r="2516" spans="2:17" hidden="1" outlineLevel="2">
      <c r="B2516" s="2" t="s">
        <v>876</v>
      </c>
      <c r="D2516" s="270">
        <v>4151</v>
      </c>
      <c r="E2516" s="112" t="s">
        <v>212</v>
      </c>
      <c r="F2516" s="112" t="s">
        <v>2957</v>
      </c>
      <c r="G2516" s="112" t="s">
        <v>1572</v>
      </c>
      <c r="H2516" s="112" t="s">
        <v>1227</v>
      </c>
      <c r="I2516" s="112"/>
      <c r="J2516" s="112" t="b">
        <v>0</v>
      </c>
      <c r="K2516" s="112"/>
      <c r="L2516" s="112"/>
      <c r="M2516" s="112"/>
      <c r="N2516" s="112"/>
      <c r="O2516" s="112"/>
      <c r="P2516" s="112" t="s">
        <v>1485</v>
      </c>
      <c r="Q2516" s="112" t="s">
        <v>1227</v>
      </c>
    </row>
    <row r="2517" spans="2:17" hidden="1" outlineLevel="2">
      <c r="B2517" s="2" t="s">
        <v>876</v>
      </c>
      <c r="D2517" s="268">
        <v>4152</v>
      </c>
      <c r="E2517" s="114" t="s">
        <v>212</v>
      </c>
      <c r="F2517" s="114" t="s">
        <v>2958</v>
      </c>
      <c r="G2517" s="114" t="s">
        <v>1572</v>
      </c>
      <c r="H2517" s="114" t="s">
        <v>1227</v>
      </c>
      <c r="I2517" s="114"/>
      <c r="J2517" s="114" t="b">
        <v>0</v>
      </c>
      <c r="K2517" s="114"/>
      <c r="L2517" s="114"/>
      <c r="M2517" s="114"/>
      <c r="N2517" s="114"/>
      <c r="O2517" s="114"/>
      <c r="P2517" s="114" t="s">
        <v>1485</v>
      </c>
      <c r="Q2517" s="114" t="s">
        <v>1227</v>
      </c>
    </row>
    <row r="2518" spans="2:17" hidden="1" outlineLevel="2">
      <c r="B2518" s="2" t="s">
        <v>876</v>
      </c>
      <c r="D2518" s="270">
        <v>4153</v>
      </c>
      <c r="E2518" s="112" t="s">
        <v>212</v>
      </c>
      <c r="F2518" s="112" t="s">
        <v>1767</v>
      </c>
      <c r="G2518" s="112" t="s">
        <v>1572</v>
      </c>
      <c r="H2518" s="112" t="s">
        <v>1227</v>
      </c>
      <c r="I2518" s="112"/>
      <c r="J2518" s="112" t="b">
        <v>0</v>
      </c>
      <c r="K2518" s="112"/>
      <c r="L2518" s="112"/>
      <c r="M2518" s="112"/>
      <c r="N2518" s="112"/>
      <c r="O2518" s="112"/>
      <c r="P2518" s="112" t="s">
        <v>1485</v>
      </c>
      <c r="Q2518" s="112" t="s">
        <v>1227</v>
      </c>
    </row>
    <row r="2519" spans="2:17" hidden="1" outlineLevel="2">
      <c r="B2519" s="2" t="s">
        <v>876</v>
      </c>
      <c r="D2519" s="268">
        <v>4154</v>
      </c>
      <c r="E2519" s="114" t="s">
        <v>212</v>
      </c>
      <c r="F2519" s="114" t="s">
        <v>2959</v>
      </c>
      <c r="G2519" s="114" t="s">
        <v>1572</v>
      </c>
      <c r="H2519" s="114" t="s">
        <v>1227</v>
      </c>
      <c r="I2519" s="114"/>
      <c r="J2519" s="114" t="b">
        <v>0</v>
      </c>
      <c r="K2519" s="114"/>
      <c r="L2519" s="114"/>
      <c r="M2519" s="114"/>
      <c r="N2519" s="114"/>
      <c r="O2519" s="114"/>
      <c r="P2519" s="114" t="s">
        <v>1485</v>
      </c>
      <c r="Q2519" s="114" t="s">
        <v>1227</v>
      </c>
    </row>
    <row r="2520" spans="2:17" hidden="1" outlineLevel="2">
      <c r="B2520" s="2" t="s">
        <v>876</v>
      </c>
      <c r="D2520" s="270">
        <v>4155</v>
      </c>
      <c r="E2520" s="112" t="s">
        <v>212</v>
      </c>
      <c r="F2520" s="112" t="s">
        <v>2960</v>
      </c>
      <c r="G2520" s="112" t="s">
        <v>1572</v>
      </c>
      <c r="H2520" s="112" t="s">
        <v>1227</v>
      </c>
      <c r="I2520" s="112"/>
      <c r="J2520" s="112" t="b">
        <v>0</v>
      </c>
      <c r="K2520" s="112"/>
      <c r="L2520" s="112"/>
      <c r="M2520" s="112"/>
      <c r="N2520" s="691" t="b">
        <v>1</v>
      </c>
      <c r="O2520" s="112"/>
      <c r="P2520" s="112" t="s">
        <v>1485</v>
      </c>
      <c r="Q2520" s="112" t="s">
        <v>1227</v>
      </c>
    </row>
    <row r="2521" spans="2:17" hidden="1" outlineLevel="2">
      <c r="B2521" s="2" t="s">
        <v>876</v>
      </c>
      <c r="D2521" s="268">
        <v>4156</v>
      </c>
      <c r="E2521" s="114" t="s">
        <v>212</v>
      </c>
      <c r="F2521" s="114" t="s">
        <v>2961</v>
      </c>
      <c r="G2521" s="114" t="s">
        <v>1572</v>
      </c>
      <c r="H2521" s="114" t="s">
        <v>1227</v>
      </c>
      <c r="I2521" s="114"/>
      <c r="J2521" s="114" t="b">
        <v>0</v>
      </c>
      <c r="K2521" s="114"/>
      <c r="L2521" s="114"/>
      <c r="M2521" s="114"/>
      <c r="N2521" s="114"/>
      <c r="O2521" s="114"/>
      <c r="P2521" s="114" t="s">
        <v>1485</v>
      </c>
      <c r="Q2521" s="114" t="s">
        <v>1227</v>
      </c>
    </row>
    <row r="2522" spans="2:17" hidden="1" outlineLevel="2">
      <c r="B2522" s="2" t="s">
        <v>876</v>
      </c>
      <c r="D2522" s="270">
        <v>4157</v>
      </c>
      <c r="E2522" s="112" t="s">
        <v>212</v>
      </c>
      <c r="F2522" s="112" t="s">
        <v>2962</v>
      </c>
      <c r="G2522" s="112" t="s">
        <v>1572</v>
      </c>
      <c r="H2522" s="112" t="s">
        <v>1227</v>
      </c>
      <c r="I2522" s="112"/>
      <c r="J2522" s="112" t="b">
        <v>0</v>
      </c>
      <c r="K2522" s="112"/>
      <c r="L2522" s="112"/>
      <c r="M2522" s="112"/>
      <c r="N2522" s="112"/>
      <c r="O2522" s="112"/>
      <c r="P2522" s="112" t="s">
        <v>1485</v>
      </c>
      <c r="Q2522" s="112" t="s">
        <v>1227</v>
      </c>
    </row>
    <row r="2523" spans="2:17" hidden="1" outlineLevel="2">
      <c r="B2523" s="2" t="s">
        <v>876</v>
      </c>
      <c r="D2523" s="268">
        <v>4158</v>
      </c>
      <c r="E2523" s="114" t="s">
        <v>212</v>
      </c>
      <c r="F2523" s="114" t="s">
        <v>2963</v>
      </c>
      <c r="G2523" s="114" t="s">
        <v>1572</v>
      </c>
      <c r="H2523" s="114" t="s">
        <v>1227</v>
      </c>
      <c r="I2523" s="114"/>
      <c r="J2523" s="114" t="b">
        <v>0</v>
      </c>
      <c r="K2523" s="114"/>
      <c r="L2523" s="114"/>
      <c r="M2523" s="114"/>
      <c r="N2523" s="114"/>
      <c r="O2523" s="114"/>
      <c r="P2523" s="114" t="s">
        <v>1485</v>
      </c>
      <c r="Q2523" s="114" t="s">
        <v>1227</v>
      </c>
    </row>
    <row r="2524" spans="2:17" hidden="1" outlineLevel="2">
      <c r="B2524" s="2" t="s">
        <v>876</v>
      </c>
      <c r="D2524" s="270">
        <v>4159</v>
      </c>
      <c r="E2524" s="112" t="s">
        <v>212</v>
      </c>
      <c r="F2524" s="112" t="s">
        <v>2964</v>
      </c>
      <c r="G2524" s="112" t="s">
        <v>1572</v>
      </c>
      <c r="H2524" s="112" t="s">
        <v>1227</v>
      </c>
      <c r="I2524" s="112"/>
      <c r="J2524" s="112" t="b">
        <v>0</v>
      </c>
      <c r="K2524" s="112"/>
      <c r="L2524" s="112"/>
      <c r="M2524" s="112"/>
      <c r="N2524" s="112"/>
      <c r="O2524" s="112"/>
      <c r="P2524" s="112" t="s">
        <v>1485</v>
      </c>
      <c r="Q2524" s="112" t="s">
        <v>1227</v>
      </c>
    </row>
    <row r="2525" spans="2:17" hidden="1" outlineLevel="2">
      <c r="B2525" s="2" t="s">
        <v>876</v>
      </c>
      <c r="D2525" s="268">
        <v>4160</v>
      </c>
      <c r="E2525" s="114" t="s">
        <v>212</v>
      </c>
      <c r="F2525" s="114" t="s">
        <v>2965</v>
      </c>
      <c r="G2525" s="114" t="s">
        <v>1572</v>
      </c>
      <c r="H2525" s="114" t="s">
        <v>1227</v>
      </c>
      <c r="I2525" s="114"/>
      <c r="J2525" s="114" t="b">
        <v>0</v>
      </c>
      <c r="K2525" s="114"/>
      <c r="L2525" s="114"/>
      <c r="M2525" s="114"/>
      <c r="N2525" s="114"/>
      <c r="O2525" s="114"/>
      <c r="P2525" s="114" t="s">
        <v>1485</v>
      </c>
      <c r="Q2525" s="114" t="s">
        <v>1227</v>
      </c>
    </row>
    <row r="2526" spans="2:17" hidden="1" outlineLevel="2">
      <c r="B2526" s="2" t="s">
        <v>876</v>
      </c>
      <c r="D2526" s="270">
        <v>4161</v>
      </c>
      <c r="E2526" s="112" t="s">
        <v>212</v>
      </c>
      <c r="F2526" s="112" t="s">
        <v>2966</v>
      </c>
      <c r="G2526" s="112" t="s">
        <v>1572</v>
      </c>
      <c r="H2526" s="112" t="s">
        <v>1227</v>
      </c>
      <c r="I2526" s="112"/>
      <c r="J2526" s="112" t="b">
        <v>0</v>
      </c>
      <c r="K2526" s="112"/>
      <c r="L2526" s="112"/>
      <c r="M2526" s="112"/>
      <c r="N2526" s="112"/>
      <c r="O2526" s="112"/>
      <c r="P2526" s="112" t="s">
        <v>1485</v>
      </c>
      <c r="Q2526" s="112" t="s">
        <v>1227</v>
      </c>
    </row>
    <row r="2527" spans="2:17" hidden="1" outlineLevel="2">
      <c r="B2527" s="2" t="s">
        <v>876</v>
      </c>
      <c r="D2527" s="268">
        <v>4163</v>
      </c>
      <c r="E2527" s="114" t="s">
        <v>212</v>
      </c>
      <c r="F2527" s="114" t="s">
        <v>2967</v>
      </c>
      <c r="G2527" s="114" t="s">
        <v>1572</v>
      </c>
      <c r="H2527" s="114" t="s">
        <v>1227</v>
      </c>
      <c r="I2527" s="114"/>
      <c r="J2527" s="114" t="b">
        <v>0</v>
      </c>
      <c r="K2527" s="114"/>
      <c r="L2527" s="114"/>
      <c r="M2527" s="114"/>
      <c r="N2527" s="114"/>
      <c r="O2527" s="114"/>
      <c r="P2527" s="114" t="s">
        <v>1485</v>
      </c>
      <c r="Q2527" s="114" t="s">
        <v>1227</v>
      </c>
    </row>
    <row r="2528" spans="2:17" hidden="1" outlineLevel="2">
      <c r="B2528" s="2" t="s">
        <v>876</v>
      </c>
      <c r="D2528" s="270">
        <v>4164</v>
      </c>
      <c r="E2528" s="112" t="s">
        <v>212</v>
      </c>
      <c r="F2528" s="112" t="s">
        <v>2968</v>
      </c>
      <c r="G2528" s="112" t="s">
        <v>1572</v>
      </c>
      <c r="H2528" s="112" t="s">
        <v>1227</v>
      </c>
      <c r="I2528" s="112"/>
      <c r="J2528" s="112" t="b">
        <v>0</v>
      </c>
      <c r="K2528" s="112"/>
      <c r="L2528" s="112"/>
      <c r="M2528" s="112"/>
      <c r="N2528" s="112"/>
      <c r="O2528" s="112"/>
      <c r="P2528" s="112" t="s">
        <v>1485</v>
      </c>
      <c r="Q2528" s="112" t="s">
        <v>1227</v>
      </c>
    </row>
    <row r="2529" spans="2:17" hidden="1" outlineLevel="2">
      <c r="B2529" s="2" t="s">
        <v>876</v>
      </c>
      <c r="D2529" s="268">
        <v>4165</v>
      </c>
      <c r="E2529" s="114" t="s">
        <v>212</v>
      </c>
      <c r="F2529" s="114" t="s">
        <v>2969</v>
      </c>
      <c r="G2529" s="114" t="s">
        <v>1572</v>
      </c>
      <c r="H2529" s="114" t="s">
        <v>1227</v>
      </c>
      <c r="I2529" s="114"/>
      <c r="J2529" s="114" t="b">
        <v>0</v>
      </c>
      <c r="K2529" s="114"/>
      <c r="L2529" s="114"/>
      <c r="M2529" s="114"/>
      <c r="N2529" s="114"/>
      <c r="O2529" s="114"/>
      <c r="P2529" s="114" t="s">
        <v>1485</v>
      </c>
      <c r="Q2529" s="114" t="s">
        <v>1227</v>
      </c>
    </row>
    <row r="2530" spans="2:17" hidden="1" outlineLevel="2">
      <c r="B2530" s="2" t="s">
        <v>876</v>
      </c>
      <c r="D2530" s="270">
        <v>4169</v>
      </c>
      <c r="E2530" s="112" t="s">
        <v>212</v>
      </c>
      <c r="F2530" s="112" t="s">
        <v>2970</v>
      </c>
      <c r="G2530" s="221" t="s">
        <v>1572</v>
      </c>
      <c r="H2530" s="112" t="s">
        <v>1227</v>
      </c>
      <c r="I2530" s="112"/>
      <c r="J2530" s="112" t="b">
        <v>0</v>
      </c>
      <c r="K2530" s="112"/>
      <c r="L2530" s="112"/>
      <c r="M2530" s="112"/>
      <c r="N2530" s="112"/>
      <c r="O2530" s="112"/>
      <c r="P2530" s="112" t="s">
        <v>1485</v>
      </c>
      <c r="Q2530" s="112" t="s">
        <v>1227</v>
      </c>
    </row>
    <row r="2531" spans="2:17" hidden="1" outlineLevel="2">
      <c r="B2531" s="2" t="s">
        <v>876</v>
      </c>
      <c r="D2531" s="268">
        <v>4170</v>
      </c>
      <c r="E2531" s="114" t="s">
        <v>212</v>
      </c>
      <c r="F2531" s="114" t="s">
        <v>2971</v>
      </c>
      <c r="G2531" s="114" t="s">
        <v>1572</v>
      </c>
      <c r="H2531" s="114" t="s">
        <v>1227</v>
      </c>
      <c r="I2531" s="114"/>
      <c r="J2531" s="114" t="b">
        <v>0</v>
      </c>
      <c r="K2531" s="114"/>
      <c r="L2531" s="114"/>
      <c r="M2531" s="114"/>
      <c r="N2531" s="114"/>
      <c r="O2531" s="114"/>
      <c r="P2531" s="114" t="s">
        <v>1485</v>
      </c>
      <c r="Q2531" s="114" t="s">
        <v>1227</v>
      </c>
    </row>
    <row r="2532" spans="2:17" hidden="1" outlineLevel="2">
      <c r="B2532" s="2" t="s">
        <v>876</v>
      </c>
      <c r="D2532" s="270">
        <v>4171</v>
      </c>
      <c r="E2532" s="112" t="s">
        <v>212</v>
      </c>
      <c r="F2532" s="112" t="s">
        <v>1966</v>
      </c>
      <c r="G2532" s="112" t="s">
        <v>1572</v>
      </c>
      <c r="H2532" s="112" t="s">
        <v>1227</v>
      </c>
      <c r="I2532" s="112"/>
      <c r="J2532" s="112" t="b">
        <v>0</v>
      </c>
      <c r="K2532" s="112"/>
      <c r="L2532" s="112"/>
      <c r="M2532" s="112" t="s">
        <v>2881</v>
      </c>
      <c r="N2532" s="691" t="b">
        <v>1</v>
      </c>
      <c r="O2532" s="112"/>
      <c r="P2532" s="112" t="s">
        <v>1485</v>
      </c>
      <c r="Q2532" s="112" t="s">
        <v>1227</v>
      </c>
    </row>
    <row r="2533" spans="2:17" hidden="1" outlineLevel="2">
      <c r="B2533" s="2" t="s">
        <v>876</v>
      </c>
      <c r="D2533" s="268">
        <v>4172</v>
      </c>
      <c r="E2533" s="114" t="s">
        <v>212</v>
      </c>
      <c r="F2533" s="114" t="s">
        <v>2972</v>
      </c>
      <c r="G2533" s="114" t="s">
        <v>1572</v>
      </c>
      <c r="H2533" s="114" t="s">
        <v>1227</v>
      </c>
      <c r="I2533" s="114"/>
      <c r="J2533" s="114" t="b">
        <v>0</v>
      </c>
      <c r="K2533" s="114"/>
      <c r="L2533" s="114"/>
      <c r="M2533" s="114"/>
      <c r="N2533" s="114"/>
      <c r="O2533" s="114"/>
      <c r="P2533" s="114" t="s">
        <v>1485</v>
      </c>
      <c r="Q2533" s="114" t="s">
        <v>1227</v>
      </c>
    </row>
    <row r="2534" spans="2:17" hidden="1" outlineLevel="2">
      <c r="B2534" s="2" t="s">
        <v>876</v>
      </c>
      <c r="D2534" s="270">
        <v>4173</v>
      </c>
      <c r="E2534" s="112" t="s">
        <v>212</v>
      </c>
      <c r="F2534" s="112" t="s">
        <v>2973</v>
      </c>
      <c r="G2534" s="112" t="s">
        <v>1572</v>
      </c>
      <c r="H2534" s="112" t="s">
        <v>1227</v>
      </c>
      <c r="I2534" s="112"/>
      <c r="J2534" s="112" t="b">
        <v>0</v>
      </c>
      <c r="K2534" s="112"/>
      <c r="L2534" s="112"/>
      <c r="M2534" s="112"/>
      <c r="N2534" s="112"/>
      <c r="O2534" s="112"/>
      <c r="P2534" s="112" t="s">
        <v>1485</v>
      </c>
      <c r="Q2534" s="112" t="s">
        <v>1227</v>
      </c>
    </row>
    <row r="2535" spans="2:17" hidden="1" outlineLevel="2">
      <c r="B2535" s="2" t="s">
        <v>876</v>
      </c>
      <c r="D2535" s="268">
        <v>4174</v>
      </c>
      <c r="E2535" s="114" t="s">
        <v>212</v>
      </c>
      <c r="F2535" s="114" t="s">
        <v>2974</v>
      </c>
      <c r="G2535" s="114" t="s">
        <v>1572</v>
      </c>
      <c r="H2535" s="114" t="s">
        <v>1227</v>
      </c>
      <c r="I2535" s="114"/>
      <c r="J2535" s="114" t="b">
        <v>0</v>
      </c>
      <c r="K2535" s="114"/>
      <c r="L2535" s="114"/>
      <c r="M2535" s="114"/>
      <c r="N2535" s="114"/>
      <c r="O2535" s="114"/>
      <c r="P2535" s="114" t="s">
        <v>1485</v>
      </c>
      <c r="Q2535" s="114" t="s">
        <v>1227</v>
      </c>
    </row>
    <row r="2536" spans="2:17" hidden="1" outlineLevel="2">
      <c r="B2536" s="2" t="s">
        <v>876</v>
      </c>
      <c r="D2536" s="270">
        <v>4178</v>
      </c>
      <c r="E2536" s="112" t="s">
        <v>212</v>
      </c>
      <c r="F2536" s="112" t="s">
        <v>2975</v>
      </c>
      <c r="G2536" s="112" t="s">
        <v>1572</v>
      </c>
      <c r="H2536" s="112" t="s">
        <v>1227</v>
      </c>
      <c r="I2536" s="112"/>
      <c r="J2536" s="112" t="b">
        <v>0</v>
      </c>
      <c r="K2536" s="112"/>
      <c r="L2536" s="112"/>
      <c r="M2536" s="112"/>
      <c r="N2536" s="112"/>
      <c r="O2536" s="112"/>
      <c r="P2536" s="112" t="s">
        <v>1485</v>
      </c>
      <c r="Q2536" s="112" t="s">
        <v>1227</v>
      </c>
    </row>
    <row r="2537" spans="2:17" hidden="1" outlineLevel="2">
      <c r="B2537" s="2" t="s">
        <v>876</v>
      </c>
      <c r="D2537" s="268">
        <v>4179</v>
      </c>
      <c r="E2537" s="114" t="s">
        <v>212</v>
      </c>
      <c r="F2537" s="114" t="s">
        <v>2976</v>
      </c>
      <c r="G2537" s="114" t="s">
        <v>1572</v>
      </c>
      <c r="H2537" s="114" t="s">
        <v>1227</v>
      </c>
      <c r="I2537" s="114"/>
      <c r="J2537" s="114" t="b">
        <v>0</v>
      </c>
      <c r="K2537" s="114"/>
      <c r="L2537" s="114"/>
      <c r="M2537" s="114"/>
      <c r="N2537" s="114"/>
      <c r="O2537" s="114"/>
      <c r="P2537" s="114" t="s">
        <v>1485</v>
      </c>
      <c r="Q2537" s="114" t="s">
        <v>1227</v>
      </c>
    </row>
    <row r="2538" spans="2:17" hidden="1" outlineLevel="2">
      <c r="B2538" s="2" t="s">
        <v>876</v>
      </c>
      <c r="D2538" s="270">
        <v>4183</v>
      </c>
      <c r="E2538" s="112" t="s">
        <v>212</v>
      </c>
      <c r="F2538" s="112" t="s">
        <v>2977</v>
      </c>
      <c r="G2538" s="112" t="s">
        <v>1512</v>
      </c>
      <c r="H2538" s="112" t="s">
        <v>1512</v>
      </c>
      <c r="I2538" s="112"/>
      <c r="J2538" s="112" t="b">
        <v>0</v>
      </c>
      <c r="K2538" s="112"/>
      <c r="L2538" s="112"/>
      <c r="M2538" s="112"/>
      <c r="N2538" s="112"/>
      <c r="O2538" s="112"/>
      <c r="P2538" s="112" t="s">
        <v>1485</v>
      </c>
      <c r="Q2538" s="112" t="s">
        <v>1227</v>
      </c>
    </row>
    <row r="2539" spans="2:17" hidden="1" outlineLevel="2">
      <c r="B2539" s="2" t="s">
        <v>876</v>
      </c>
      <c r="D2539" s="268">
        <v>4184</v>
      </c>
      <c r="E2539" s="114" t="s">
        <v>212</v>
      </c>
      <c r="F2539" s="114" t="s">
        <v>2978</v>
      </c>
      <c r="G2539" s="114" t="s">
        <v>1533</v>
      </c>
      <c r="H2539" s="114" t="s">
        <v>1533</v>
      </c>
      <c r="I2539" s="114"/>
      <c r="J2539" s="114" t="b">
        <v>0</v>
      </c>
      <c r="K2539" s="114"/>
      <c r="L2539" s="114"/>
      <c r="M2539" s="114"/>
      <c r="N2539" s="114"/>
      <c r="O2539" s="114"/>
      <c r="P2539" s="114" t="s">
        <v>1485</v>
      </c>
      <c r="Q2539" s="114" t="s">
        <v>1228</v>
      </c>
    </row>
    <row r="2540" spans="2:17" hidden="1" outlineLevel="2">
      <c r="B2540" s="2" t="s">
        <v>876</v>
      </c>
      <c r="D2540" s="270">
        <v>4205</v>
      </c>
      <c r="E2540" s="112" t="s">
        <v>212</v>
      </c>
      <c r="F2540" s="112" t="s">
        <v>2979</v>
      </c>
      <c r="G2540" s="112" t="s">
        <v>1572</v>
      </c>
      <c r="H2540" s="112" t="s">
        <v>1227</v>
      </c>
      <c r="I2540" s="112"/>
      <c r="J2540" s="112" t="b">
        <v>0</v>
      </c>
      <c r="K2540" s="112"/>
      <c r="L2540" s="112"/>
      <c r="M2540" s="112"/>
      <c r="N2540" s="112"/>
      <c r="O2540" s="112"/>
      <c r="P2540" s="112" t="s">
        <v>1485</v>
      </c>
      <c r="Q2540" s="112" t="s">
        <v>1227</v>
      </c>
    </row>
    <row r="2541" spans="2:17" hidden="1" outlineLevel="2">
      <c r="B2541" s="2" t="s">
        <v>876</v>
      </c>
      <c r="D2541" s="268">
        <v>4207</v>
      </c>
      <c r="E2541" s="114" t="s">
        <v>212</v>
      </c>
      <c r="F2541" s="114" t="s">
        <v>2864</v>
      </c>
      <c r="G2541" s="114" t="s">
        <v>1572</v>
      </c>
      <c r="H2541" s="114" t="s">
        <v>1227</v>
      </c>
      <c r="I2541" s="114"/>
      <c r="J2541" s="114" t="b">
        <v>0</v>
      </c>
      <c r="K2541" s="114"/>
      <c r="L2541" s="114"/>
      <c r="M2541" s="114"/>
      <c r="N2541" s="114"/>
      <c r="O2541" s="114"/>
      <c r="P2541" s="114" t="s">
        <v>1485</v>
      </c>
      <c r="Q2541" s="114" t="s">
        <v>1227</v>
      </c>
    </row>
    <row r="2542" spans="2:17" hidden="1" outlineLevel="2">
      <c r="B2542" s="2" t="s">
        <v>876</v>
      </c>
      <c r="D2542" s="270">
        <v>4208</v>
      </c>
      <c r="E2542" s="112" t="s">
        <v>212</v>
      </c>
      <c r="F2542" s="112" t="s">
        <v>2257</v>
      </c>
      <c r="G2542" s="112" t="s">
        <v>1572</v>
      </c>
      <c r="H2542" s="112" t="s">
        <v>1227</v>
      </c>
      <c r="I2542" s="112"/>
      <c r="J2542" s="112" t="b">
        <v>0</v>
      </c>
      <c r="K2542" s="112"/>
      <c r="L2542" s="112"/>
      <c r="M2542" s="112"/>
      <c r="N2542" s="112"/>
      <c r="O2542" s="112"/>
      <c r="P2542" s="112" t="s">
        <v>1485</v>
      </c>
      <c r="Q2542" s="112" t="s">
        <v>1227</v>
      </c>
    </row>
    <row r="2543" spans="2:17" hidden="1" outlineLevel="2">
      <c r="B2543" s="2" t="s">
        <v>876</v>
      </c>
      <c r="D2543" s="268">
        <v>4209</v>
      </c>
      <c r="E2543" s="114" t="s">
        <v>212</v>
      </c>
      <c r="F2543" s="114" t="s">
        <v>2980</v>
      </c>
      <c r="G2543" s="114" t="s">
        <v>1572</v>
      </c>
      <c r="H2543" s="114" t="s">
        <v>1227</v>
      </c>
      <c r="I2543" s="114"/>
      <c r="J2543" s="114" t="b">
        <v>0</v>
      </c>
      <c r="K2543" s="114"/>
      <c r="L2543" s="114"/>
      <c r="M2543" s="114"/>
      <c r="N2543" s="114"/>
      <c r="O2543" s="114"/>
      <c r="P2543" s="114" t="s">
        <v>1485</v>
      </c>
      <c r="Q2543" s="114" t="s">
        <v>1227</v>
      </c>
    </row>
    <row r="2544" spans="2:17" hidden="1" outlineLevel="2">
      <c r="B2544" s="2" t="s">
        <v>876</v>
      </c>
      <c r="D2544" s="270">
        <v>4210</v>
      </c>
      <c r="E2544" s="112" t="s">
        <v>212</v>
      </c>
      <c r="F2544" s="112" t="s">
        <v>2981</v>
      </c>
      <c r="G2544" s="112" t="s">
        <v>1572</v>
      </c>
      <c r="H2544" s="112" t="s">
        <v>1227</v>
      </c>
      <c r="I2544" s="112"/>
      <c r="J2544" s="112" t="b">
        <v>0</v>
      </c>
      <c r="K2544" s="112"/>
      <c r="L2544" s="112"/>
      <c r="M2544" s="112"/>
      <c r="N2544" s="112"/>
      <c r="O2544" s="112"/>
      <c r="P2544" s="112" t="s">
        <v>1485</v>
      </c>
      <c r="Q2544" s="112" t="s">
        <v>1227</v>
      </c>
    </row>
    <row r="2545" spans="2:17" hidden="1" outlineLevel="2">
      <c r="B2545" s="2" t="s">
        <v>876</v>
      </c>
      <c r="D2545" s="268">
        <v>4211</v>
      </c>
      <c r="E2545" s="114" t="s">
        <v>212</v>
      </c>
      <c r="F2545" s="114" t="s">
        <v>2982</v>
      </c>
      <c r="G2545" s="114" t="s">
        <v>1483</v>
      </c>
      <c r="H2545" s="114" t="s">
        <v>1227</v>
      </c>
      <c r="I2545" s="114"/>
      <c r="J2545" s="114" t="b">
        <v>0</v>
      </c>
      <c r="K2545" s="114"/>
      <c r="L2545" s="114"/>
      <c r="M2545" s="114"/>
      <c r="N2545" s="114"/>
      <c r="O2545" s="114"/>
      <c r="P2545" s="114" t="s">
        <v>1485</v>
      </c>
      <c r="Q2545" s="114" t="s">
        <v>1227</v>
      </c>
    </row>
    <row r="2546" spans="2:17" hidden="1" outlineLevel="2">
      <c r="B2546" s="2" t="s">
        <v>876</v>
      </c>
      <c r="D2546" s="270">
        <v>4212</v>
      </c>
      <c r="E2546" s="112" t="s">
        <v>212</v>
      </c>
      <c r="F2546" s="112" t="s">
        <v>2983</v>
      </c>
      <c r="G2546" s="112" t="s">
        <v>1572</v>
      </c>
      <c r="H2546" s="112" t="s">
        <v>1227</v>
      </c>
      <c r="I2546" s="112"/>
      <c r="J2546" s="112" t="b">
        <v>0</v>
      </c>
      <c r="K2546" s="112"/>
      <c r="L2546" s="112"/>
      <c r="M2546" s="112"/>
      <c r="N2546" s="112"/>
      <c r="O2546" s="112"/>
      <c r="P2546" s="112" t="s">
        <v>1485</v>
      </c>
      <c r="Q2546" s="112" t="s">
        <v>1227</v>
      </c>
    </row>
    <row r="2547" spans="2:17" hidden="1" outlineLevel="2">
      <c r="B2547" s="2" t="s">
        <v>876</v>
      </c>
      <c r="D2547" s="268">
        <v>4213</v>
      </c>
      <c r="E2547" s="114" t="s">
        <v>212</v>
      </c>
      <c r="F2547" s="114" t="s">
        <v>2984</v>
      </c>
      <c r="G2547" s="114" t="s">
        <v>1572</v>
      </c>
      <c r="H2547" s="114" t="s">
        <v>1227</v>
      </c>
      <c r="I2547" s="114"/>
      <c r="J2547" s="114" t="b">
        <v>0</v>
      </c>
      <c r="K2547" s="114"/>
      <c r="L2547" s="114"/>
      <c r="M2547" s="114"/>
      <c r="N2547" s="114"/>
      <c r="O2547" s="114"/>
      <c r="P2547" s="114" t="s">
        <v>1485</v>
      </c>
      <c r="Q2547" s="114" t="s">
        <v>1227</v>
      </c>
    </row>
    <row r="2548" spans="2:17" hidden="1" outlineLevel="2">
      <c r="B2548" s="2" t="s">
        <v>876</v>
      </c>
      <c r="D2548" s="270">
        <v>4214</v>
      </c>
      <c r="E2548" s="112" t="s">
        <v>212</v>
      </c>
      <c r="F2548" s="112" t="s">
        <v>2985</v>
      </c>
      <c r="G2548" s="112" t="s">
        <v>1572</v>
      </c>
      <c r="H2548" s="112" t="s">
        <v>1227</v>
      </c>
      <c r="I2548" s="112"/>
      <c r="J2548" s="112" t="b">
        <v>0</v>
      </c>
      <c r="K2548" s="112"/>
      <c r="L2548" s="112"/>
      <c r="M2548" s="112"/>
      <c r="N2548" s="112"/>
      <c r="O2548" s="112"/>
      <c r="P2548" s="112" t="s">
        <v>1485</v>
      </c>
      <c r="Q2548" s="112" t="s">
        <v>1227</v>
      </c>
    </row>
    <row r="2549" spans="2:17" hidden="1" outlineLevel="2">
      <c r="B2549" s="2" t="s">
        <v>876</v>
      </c>
      <c r="D2549" s="268">
        <v>4215</v>
      </c>
      <c r="E2549" s="114" t="s">
        <v>212</v>
      </c>
      <c r="F2549" s="114" t="s">
        <v>2986</v>
      </c>
      <c r="G2549" s="114" t="s">
        <v>1483</v>
      </c>
      <c r="H2549" s="114" t="s">
        <v>1227</v>
      </c>
      <c r="I2549" s="114"/>
      <c r="J2549" s="114" t="b">
        <v>0</v>
      </c>
      <c r="K2549" s="114"/>
      <c r="L2549" s="114"/>
      <c r="M2549" s="114"/>
      <c r="N2549" s="114"/>
      <c r="O2549" s="114"/>
      <c r="P2549" s="114" t="s">
        <v>1485</v>
      </c>
      <c r="Q2549" s="114" t="s">
        <v>1227</v>
      </c>
    </row>
    <row r="2550" spans="2:17" hidden="1" outlineLevel="2">
      <c r="B2550" s="2" t="s">
        <v>876</v>
      </c>
      <c r="D2550" s="270">
        <v>4216</v>
      </c>
      <c r="E2550" s="112" t="s">
        <v>212</v>
      </c>
      <c r="F2550" s="112" t="s">
        <v>2987</v>
      </c>
      <c r="G2550" s="269" t="s">
        <v>1483</v>
      </c>
      <c r="H2550" s="112" t="s">
        <v>1227</v>
      </c>
      <c r="I2550" s="112"/>
      <c r="J2550" s="112" t="b">
        <v>0</v>
      </c>
      <c r="K2550" s="112"/>
      <c r="L2550" s="112"/>
      <c r="M2550" s="112"/>
      <c r="N2550" s="112"/>
      <c r="O2550" s="112"/>
      <c r="P2550" s="112" t="s">
        <v>1485</v>
      </c>
      <c r="Q2550" s="112" t="s">
        <v>1227</v>
      </c>
    </row>
    <row r="2551" spans="2:17" hidden="1" outlineLevel="2">
      <c r="B2551" s="2" t="s">
        <v>876</v>
      </c>
      <c r="D2551" s="268">
        <v>4217</v>
      </c>
      <c r="E2551" s="114" t="s">
        <v>212</v>
      </c>
      <c r="F2551" s="114" t="s">
        <v>2988</v>
      </c>
      <c r="G2551" s="114" t="s">
        <v>1483</v>
      </c>
      <c r="H2551" s="114" t="s">
        <v>1227</v>
      </c>
      <c r="I2551" s="114"/>
      <c r="J2551" s="114" t="b">
        <v>0</v>
      </c>
      <c r="K2551" s="114"/>
      <c r="L2551" s="114"/>
      <c r="M2551" s="114"/>
      <c r="N2551" s="114"/>
      <c r="O2551" s="114"/>
      <c r="P2551" s="114" t="s">
        <v>1485</v>
      </c>
      <c r="Q2551" s="114" t="s">
        <v>1227</v>
      </c>
    </row>
    <row r="2552" spans="2:17" hidden="1" outlineLevel="2">
      <c r="B2552" s="2" t="s">
        <v>876</v>
      </c>
      <c r="D2552" s="270">
        <v>4218</v>
      </c>
      <c r="E2552" s="112" t="s">
        <v>212</v>
      </c>
      <c r="F2552" s="112" t="s">
        <v>2989</v>
      </c>
      <c r="G2552" s="269" t="s">
        <v>1483</v>
      </c>
      <c r="H2552" s="112" t="s">
        <v>1227</v>
      </c>
      <c r="I2552" s="112"/>
      <c r="J2552" s="112" t="b">
        <v>0</v>
      </c>
      <c r="K2552" s="112"/>
      <c r="L2552" s="112"/>
      <c r="M2552" s="112"/>
      <c r="N2552" s="112"/>
      <c r="O2552" s="112"/>
      <c r="P2552" s="112" t="s">
        <v>1485</v>
      </c>
      <c r="Q2552" s="112" t="s">
        <v>1227</v>
      </c>
    </row>
    <row r="2553" spans="2:17" hidden="1" outlineLevel="2">
      <c r="B2553" s="2" t="s">
        <v>876</v>
      </c>
      <c r="D2553" s="268">
        <v>4219</v>
      </c>
      <c r="E2553" s="114" t="s">
        <v>212</v>
      </c>
      <c r="F2553" s="114" t="s">
        <v>2990</v>
      </c>
      <c r="G2553" s="114" t="s">
        <v>1572</v>
      </c>
      <c r="H2553" s="114" t="s">
        <v>1227</v>
      </c>
      <c r="I2553" s="114"/>
      <c r="J2553" s="114" t="b">
        <v>0</v>
      </c>
      <c r="K2553" s="114"/>
      <c r="L2553" s="114"/>
      <c r="M2553" s="114"/>
      <c r="N2553" s="114"/>
      <c r="O2553" s="114"/>
      <c r="P2553" s="114" t="s">
        <v>1485</v>
      </c>
      <c r="Q2553" s="114" t="s">
        <v>1228</v>
      </c>
    </row>
    <row r="2554" spans="2:17" hidden="1" outlineLevel="2">
      <c r="B2554" s="2" t="s">
        <v>876</v>
      </c>
      <c r="D2554" s="270">
        <v>4220</v>
      </c>
      <c r="E2554" s="112" t="s">
        <v>212</v>
      </c>
      <c r="F2554" s="112" t="s">
        <v>2991</v>
      </c>
      <c r="G2554" s="112" t="s">
        <v>1572</v>
      </c>
      <c r="H2554" s="112" t="s">
        <v>1227</v>
      </c>
      <c r="I2554" s="112"/>
      <c r="J2554" s="112" t="b">
        <v>0</v>
      </c>
      <c r="K2554" s="112"/>
      <c r="L2554" s="112"/>
      <c r="M2554" s="112"/>
      <c r="N2554" s="112"/>
      <c r="O2554" s="112"/>
      <c r="P2554" s="112" t="s">
        <v>1485</v>
      </c>
      <c r="Q2554" s="112" t="s">
        <v>1227</v>
      </c>
    </row>
    <row r="2555" spans="2:17" hidden="1" outlineLevel="2">
      <c r="B2555" s="2" t="s">
        <v>876</v>
      </c>
      <c r="D2555" s="268">
        <v>4221</v>
      </c>
      <c r="E2555" s="114" t="s">
        <v>212</v>
      </c>
      <c r="F2555" s="114" t="s">
        <v>2992</v>
      </c>
      <c r="G2555" s="114" t="s">
        <v>1572</v>
      </c>
      <c r="H2555" s="114" t="s">
        <v>1227</v>
      </c>
      <c r="I2555" s="114"/>
      <c r="J2555" s="114" t="b">
        <v>0</v>
      </c>
      <c r="K2555" s="114"/>
      <c r="L2555" s="114"/>
      <c r="M2555" s="114"/>
      <c r="N2555" s="114"/>
      <c r="O2555" s="114"/>
      <c r="P2555" s="114" t="s">
        <v>1485</v>
      </c>
      <c r="Q2555" s="114" t="s">
        <v>1227</v>
      </c>
    </row>
    <row r="2556" spans="2:17" hidden="1" outlineLevel="2">
      <c r="B2556" s="2" t="s">
        <v>876</v>
      </c>
      <c r="D2556" s="270" t="s">
        <v>2993</v>
      </c>
      <c r="E2556" s="112" t="s">
        <v>212</v>
      </c>
      <c r="F2556" s="112" t="s">
        <v>2994</v>
      </c>
      <c r="G2556" s="112" t="s">
        <v>1533</v>
      </c>
      <c r="H2556" s="112" t="s">
        <v>1227</v>
      </c>
      <c r="I2556" s="112"/>
      <c r="J2556" s="112" t="b">
        <v>0</v>
      </c>
      <c r="K2556" s="112"/>
      <c r="L2556" s="112"/>
      <c r="M2556" s="112"/>
      <c r="N2556" s="112"/>
      <c r="O2556" s="112"/>
      <c r="P2556" s="112" t="s">
        <v>1485</v>
      </c>
      <c r="Q2556" s="112" t="s">
        <v>1227</v>
      </c>
    </row>
    <row r="2557" spans="2:17" hidden="1" outlineLevel="2">
      <c r="B2557" s="2" t="s">
        <v>876</v>
      </c>
      <c r="D2557" s="270">
        <v>4223</v>
      </c>
      <c r="E2557" s="112" t="s">
        <v>212</v>
      </c>
      <c r="F2557" s="112" t="s">
        <v>2995</v>
      </c>
      <c r="G2557" s="112" t="s">
        <v>1572</v>
      </c>
      <c r="H2557" s="112" t="s">
        <v>1227</v>
      </c>
      <c r="I2557" s="112"/>
      <c r="J2557" s="112" t="b">
        <v>0</v>
      </c>
      <c r="K2557" s="112"/>
      <c r="L2557" s="112"/>
      <c r="M2557" s="112"/>
      <c r="N2557" s="112"/>
      <c r="O2557" s="112"/>
      <c r="P2557" s="112" t="s">
        <v>1485</v>
      </c>
      <c r="Q2557" s="112" t="s">
        <v>1227</v>
      </c>
    </row>
    <row r="2558" spans="2:17" hidden="1" outlineLevel="2">
      <c r="B2558" s="2" t="s">
        <v>876</v>
      </c>
      <c r="D2558" s="268">
        <v>4224</v>
      </c>
      <c r="E2558" s="114" t="s">
        <v>212</v>
      </c>
      <c r="F2558" s="114" t="s">
        <v>2996</v>
      </c>
      <c r="G2558" s="114" t="s">
        <v>1572</v>
      </c>
      <c r="H2558" s="114" t="s">
        <v>1227</v>
      </c>
      <c r="I2558" s="114"/>
      <c r="J2558" s="114" t="b">
        <v>0</v>
      </c>
      <c r="K2558" s="114"/>
      <c r="L2558" s="114"/>
      <c r="M2558" s="114"/>
      <c r="N2558" s="114"/>
      <c r="O2558" s="114"/>
      <c r="P2558" s="114" t="s">
        <v>1485</v>
      </c>
      <c r="Q2558" s="114" t="s">
        <v>1227</v>
      </c>
    </row>
    <row r="2559" spans="2:17" hidden="1" outlineLevel="2">
      <c r="B2559" s="2" t="s">
        <v>876</v>
      </c>
      <c r="D2559" s="270">
        <v>4225</v>
      </c>
      <c r="E2559" s="112" t="s">
        <v>212</v>
      </c>
      <c r="F2559" s="112" t="s">
        <v>2997</v>
      </c>
      <c r="G2559" s="112" t="s">
        <v>1483</v>
      </c>
      <c r="H2559" s="112" t="s">
        <v>1227</v>
      </c>
      <c r="I2559" s="112"/>
      <c r="J2559" s="112" t="b">
        <v>0</v>
      </c>
      <c r="K2559" s="112"/>
      <c r="L2559" s="112"/>
      <c r="M2559" s="112"/>
      <c r="N2559" s="112"/>
      <c r="O2559" s="112"/>
      <c r="P2559" s="112" t="s">
        <v>1485</v>
      </c>
      <c r="Q2559" s="112" t="s">
        <v>1227</v>
      </c>
    </row>
    <row r="2560" spans="2:17" hidden="1" outlineLevel="2">
      <c r="B2560" s="2" t="s">
        <v>876</v>
      </c>
      <c r="D2560" s="268">
        <v>4226</v>
      </c>
      <c r="E2560" s="114" t="s">
        <v>212</v>
      </c>
      <c r="F2560" s="114" t="s">
        <v>2998</v>
      </c>
      <c r="G2560" s="114" t="s">
        <v>1572</v>
      </c>
      <c r="H2560" s="114" t="s">
        <v>1227</v>
      </c>
      <c r="I2560" s="114"/>
      <c r="J2560" s="114" t="b">
        <v>0</v>
      </c>
      <c r="K2560" s="114"/>
      <c r="L2560" s="114"/>
      <c r="M2560" s="114"/>
      <c r="N2560" s="114"/>
      <c r="O2560" s="114"/>
      <c r="P2560" s="114" t="s">
        <v>1485</v>
      </c>
      <c r="Q2560" s="114" t="s">
        <v>1227</v>
      </c>
    </row>
    <row r="2561" spans="2:17" hidden="1" outlineLevel="2">
      <c r="B2561" s="2" t="s">
        <v>876</v>
      </c>
      <c r="D2561" s="270">
        <v>4227</v>
      </c>
      <c r="E2561" s="112" t="s">
        <v>212</v>
      </c>
      <c r="F2561" s="112" t="s">
        <v>2999</v>
      </c>
      <c r="G2561" s="112" t="s">
        <v>1572</v>
      </c>
      <c r="H2561" s="112" t="s">
        <v>1227</v>
      </c>
      <c r="I2561" s="112"/>
      <c r="J2561" s="112" t="b">
        <v>0</v>
      </c>
      <c r="K2561" s="112"/>
      <c r="L2561" s="112"/>
      <c r="M2561" s="112"/>
      <c r="N2561" s="112"/>
      <c r="O2561" s="112"/>
      <c r="P2561" s="112" t="s">
        <v>1485</v>
      </c>
      <c r="Q2561" s="112" t="s">
        <v>1227</v>
      </c>
    </row>
    <row r="2562" spans="2:17" hidden="1" outlineLevel="2">
      <c r="B2562" s="2" t="s">
        <v>876</v>
      </c>
      <c r="D2562" s="268">
        <v>4228</v>
      </c>
      <c r="E2562" s="114" t="s">
        <v>212</v>
      </c>
      <c r="F2562" s="114" t="s">
        <v>3000</v>
      </c>
      <c r="G2562" s="114" t="s">
        <v>1572</v>
      </c>
      <c r="H2562" s="114" t="s">
        <v>1227</v>
      </c>
      <c r="I2562" s="114"/>
      <c r="J2562" s="114" t="b">
        <v>0</v>
      </c>
      <c r="K2562" s="114"/>
      <c r="L2562" s="114"/>
      <c r="M2562" s="114"/>
      <c r="N2562" s="114"/>
      <c r="O2562" s="114"/>
      <c r="P2562" s="114" t="s">
        <v>1485</v>
      </c>
      <c r="Q2562" s="114" t="s">
        <v>1227</v>
      </c>
    </row>
    <row r="2563" spans="2:17" hidden="1" outlineLevel="2">
      <c r="B2563" s="2" t="s">
        <v>876</v>
      </c>
      <c r="D2563" s="270">
        <v>4229</v>
      </c>
      <c r="E2563" s="112" t="s">
        <v>212</v>
      </c>
      <c r="F2563" s="112" t="s">
        <v>3001</v>
      </c>
      <c r="G2563" s="112" t="s">
        <v>1533</v>
      </c>
      <c r="H2563" s="112" t="s">
        <v>1533</v>
      </c>
      <c r="I2563" s="112"/>
      <c r="J2563" s="112" t="b">
        <v>0</v>
      </c>
      <c r="K2563" s="112"/>
      <c r="L2563" s="112"/>
      <c r="M2563" s="112"/>
      <c r="N2563" s="112"/>
      <c r="O2563" s="112"/>
      <c r="P2563" s="112" t="s">
        <v>1485</v>
      </c>
      <c r="Q2563" s="112" t="s">
        <v>1228</v>
      </c>
    </row>
    <row r="2564" spans="2:17" hidden="1" outlineLevel="2">
      <c r="B2564" s="2" t="s">
        <v>876</v>
      </c>
      <c r="D2564" s="268">
        <v>4230</v>
      </c>
      <c r="E2564" s="114" t="s">
        <v>212</v>
      </c>
      <c r="F2564" s="114" t="s">
        <v>3002</v>
      </c>
      <c r="G2564" s="114" t="s">
        <v>1572</v>
      </c>
      <c r="H2564" s="114" t="s">
        <v>1227</v>
      </c>
      <c r="I2564" s="114"/>
      <c r="J2564" s="114" t="b">
        <v>0</v>
      </c>
      <c r="K2564" s="114"/>
      <c r="L2564" s="114"/>
      <c r="M2564" s="114"/>
      <c r="N2564" s="114"/>
      <c r="O2564" s="114"/>
      <c r="P2564" s="114" t="s">
        <v>1485</v>
      </c>
      <c r="Q2564" s="114" t="s">
        <v>1227</v>
      </c>
    </row>
    <row r="2565" spans="2:17" hidden="1" outlineLevel="2">
      <c r="B2565" s="2" t="s">
        <v>876</v>
      </c>
      <c r="D2565" s="270">
        <v>4270</v>
      </c>
      <c r="E2565" s="112" t="s">
        <v>212</v>
      </c>
      <c r="F2565" s="112" t="s">
        <v>3003</v>
      </c>
      <c r="G2565" s="112" t="s">
        <v>1483</v>
      </c>
      <c r="H2565" s="112" t="s">
        <v>1494</v>
      </c>
      <c r="I2565" s="112"/>
      <c r="J2565" s="112" t="b">
        <v>0</v>
      </c>
      <c r="K2565" s="112"/>
      <c r="L2565" s="112"/>
      <c r="M2565" s="112"/>
      <c r="N2565" s="112"/>
      <c r="O2565" s="112"/>
      <c r="P2565" s="112" t="s">
        <v>1485</v>
      </c>
      <c r="Q2565" s="112" t="s">
        <v>1228</v>
      </c>
    </row>
    <row r="2566" spans="2:17" hidden="1" outlineLevel="2">
      <c r="B2566" s="2" t="s">
        <v>876</v>
      </c>
      <c r="D2566" s="268">
        <v>4271</v>
      </c>
      <c r="E2566" s="114" t="s">
        <v>212</v>
      </c>
      <c r="F2566" s="114" t="s">
        <v>3004</v>
      </c>
      <c r="G2566" s="114" t="s">
        <v>1572</v>
      </c>
      <c r="H2566" s="114" t="s">
        <v>1227</v>
      </c>
      <c r="I2566" s="114"/>
      <c r="J2566" s="114" t="b">
        <v>0</v>
      </c>
      <c r="K2566" s="114"/>
      <c r="L2566" s="114"/>
      <c r="M2566" s="114"/>
      <c r="N2566" s="114"/>
      <c r="O2566" s="114"/>
      <c r="P2566" s="114" t="s">
        <v>1485</v>
      </c>
      <c r="Q2566" s="114" t="s">
        <v>1227</v>
      </c>
    </row>
    <row r="2567" spans="2:17" hidden="1" outlineLevel="2">
      <c r="B2567" s="2" t="s">
        <v>876</v>
      </c>
      <c r="D2567" s="270">
        <v>4272</v>
      </c>
      <c r="E2567" s="112" t="s">
        <v>212</v>
      </c>
      <c r="F2567" s="112" t="s">
        <v>3005</v>
      </c>
      <c r="G2567" s="112" t="s">
        <v>1572</v>
      </c>
      <c r="H2567" s="112" t="s">
        <v>1227</v>
      </c>
      <c r="I2567" s="112"/>
      <c r="J2567" s="112" t="b">
        <v>0</v>
      </c>
      <c r="K2567" s="112"/>
      <c r="L2567" s="112"/>
      <c r="M2567" s="112"/>
      <c r="N2567" s="112"/>
      <c r="O2567" s="112"/>
      <c r="P2567" s="112" t="s">
        <v>1485</v>
      </c>
      <c r="Q2567" s="112" t="s">
        <v>1227</v>
      </c>
    </row>
    <row r="2568" spans="2:17" hidden="1" outlineLevel="2">
      <c r="B2568" s="2" t="s">
        <v>876</v>
      </c>
      <c r="D2568" s="268">
        <v>4275</v>
      </c>
      <c r="E2568" s="114" t="s">
        <v>212</v>
      </c>
      <c r="F2568" s="114" t="s">
        <v>3006</v>
      </c>
      <c r="G2568" s="114" t="s">
        <v>1493</v>
      </c>
      <c r="H2568" s="114" t="s">
        <v>1505</v>
      </c>
      <c r="I2568" s="114"/>
      <c r="J2568" s="114" t="b">
        <v>0</v>
      </c>
      <c r="K2568" s="114"/>
      <c r="L2568" s="114"/>
      <c r="M2568" s="114"/>
      <c r="N2568" s="114"/>
      <c r="O2568" s="114"/>
      <c r="P2568" s="114" t="s">
        <v>1485</v>
      </c>
      <c r="Q2568" s="114" t="s">
        <v>1228</v>
      </c>
    </row>
    <row r="2569" spans="2:17" hidden="1" outlineLevel="2">
      <c r="B2569" s="2" t="s">
        <v>876</v>
      </c>
      <c r="D2569" s="270">
        <v>4280</v>
      </c>
      <c r="E2569" s="112" t="s">
        <v>212</v>
      </c>
      <c r="F2569" s="112" t="s">
        <v>3007</v>
      </c>
      <c r="G2569" s="112" t="s">
        <v>1572</v>
      </c>
      <c r="H2569" s="112" t="s">
        <v>1227</v>
      </c>
      <c r="I2569" s="112"/>
      <c r="J2569" s="112" t="b">
        <v>0</v>
      </c>
      <c r="K2569" s="112"/>
      <c r="L2569" s="112"/>
      <c r="M2569" s="112"/>
      <c r="N2569" s="112"/>
      <c r="O2569" s="112"/>
      <c r="P2569" s="112" t="s">
        <v>1485</v>
      </c>
      <c r="Q2569" s="112" t="s">
        <v>1227</v>
      </c>
    </row>
    <row r="2570" spans="2:17" hidden="1" outlineLevel="2">
      <c r="B2570" s="2" t="s">
        <v>876</v>
      </c>
      <c r="D2570" s="268">
        <v>4285</v>
      </c>
      <c r="E2570" s="114" t="s">
        <v>212</v>
      </c>
      <c r="F2570" s="114" t="s">
        <v>3008</v>
      </c>
      <c r="G2570" s="114" t="s">
        <v>1493</v>
      </c>
      <c r="H2570" s="114" t="s">
        <v>1505</v>
      </c>
      <c r="I2570" s="114"/>
      <c r="J2570" s="114" t="b">
        <v>0</v>
      </c>
      <c r="K2570" s="114"/>
      <c r="L2570" s="114"/>
      <c r="M2570" s="114"/>
      <c r="N2570" s="114"/>
      <c r="O2570" s="114"/>
      <c r="P2570" s="114" t="s">
        <v>1485</v>
      </c>
      <c r="Q2570" s="114" t="s">
        <v>1228</v>
      </c>
    </row>
    <row r="2571" spans="2:17" hidden="1" outlineLevel="2">
      <c r="B2571" s="2" t="s">
        <v>876</v>
      </c>
      <c r="D2571" s="270">
        <v>4287</v>
      </c>
      <c r="E2571" s="112" t="s">
        <v>212</v>
      </c>
      <c r="F2571" s="112" t="s">
        <v>3009</v>
      </c>
      <c r="G2571" s="221" t="s">
        <v>1512</v>
      </c>
      <c r="H2571" s="112" t="s">
        <v>1505</v>
      </c>
      <c r="I2571" s="112"/>
      <c r="J2571" s="112" t="b">
        <v>0</v>
      </c>
      <c r="K2571" s="112"/>
      <c r="L2571" s="112" t="b">
        <v>1</v>
      </c>
      <c r="M2571" s="112"/>
      <c r="N2571" s="112"/>
      <c r="O2571" s="112"/>
      <c r="P2571" s="112" t="s">
        <v>1485</v>
      </c>
      <c r="Q2571" s="112" t="s">
        <v>1228</v>
      </c>
    </row>
    <row r="2572" spans="2:17" hidden="1" outlineLevel="2">
      <c r="B2572" s="2" t="s">
        <v>876</v>
      </c>
      <c r="D2572" s="268">
        <v>4300</v>
      </c>
      <c r="E2572" s="114" t="s">
        <v>212</v>
      </c>
      <c r="F2572" s="114" t="s">
        <v>3010</v>
      </c>
      <c r="G2572" s="114" t="s">
        <v>1572</v>
      </c>
      <c r="H2572" s="114" t="s">
        <v>1227</v>
      </c>
      <c r="I2572" s="114"/>
      <c r="J2572" s="114" t="b">
        <v>0</v>
      </c>
      <c r="K2572" s="114"/>
      <c r="L2572" s="114"/>
      <c r="M2572" s="114"/>
      <c r="N2572" s="114"/>
      <c r="O2572" s="114"/>
      <c r="P2572" s="114" t="s">
        <v>1485</v>
      </c>
      <c r="Q2572" s="114" t="s">
        <v>1227</v>
      </c>
    </row>
    <row r="2573" spans="2:17" hidden="1" outlineLevel="2">
      <c r="B2573" s="2" t="s">
        <v>876</v>
      </c>
      <c r="D2573" s="270">
        <v>4301</v>
      </c>
      <c r="E2573" s="112" t="s">
        <v>212</v>
      </c>
      <c r="F2573" s="112" t="s">
        <v>3011</v>
      </c>
      <c r="G2573" s="112" t="s">
        <v>1572</v>
      </c>
      <c r="H2573" s="112" t="s">
        <v>1227</v>
      </c>
      <c r="I2573" s="112"/>
      <c r="J2573" s="112" t="b">
        <v>0</v>
      </c>
      <c r="K2573" s="112"/>
      <c r="L2573" s="112"/>
      <c r="M2573" s="112"/>
      <c r="N2573" s="112"/>
      <c r="O2573" s="112"/>
      <c r="P2573" s="112" t="s">
        <v>1485</v>
      </c>
      <c r="Q2573" s="112" t="s">
        <v>1227</v>
      </c>
    </row>
    <row r="2574" spans="2:17" hidden="1" outlineLevel="2">
      <c r="B2574" s="2" t="s">
        <v>876</v>
      </c>
      <c r="D2574" s="268">
        <v>4303</v>
      </c>
      <c r="E2574" s="114" t="s">
        <v>212</v>
      </c>
      <c r="F2574" s="114" t="s">
        <v>3012</v>
      </c>
      <c r="G2574" s="114" t="s">
        <v>1572</v>
      </c>
      <c r="H2574" s="114" t="s">
        <v>1227</v>
      </c>
      <c r="I2574" s="114"/>
      <c r="J2574" s="114" t="b">
        <v>0</v>
      </c>
      <c r="K2574" s="114"/>
      <c r="L2574" s="114"/>
      <c r="M2574" s="114"/>
      <c r="N2574" s="114"/>
      <c r="O2574" s="114"/>
      <c r="P2574" s="114" t="s">
        <v>1485</v>
      </c>
      <c r="Q2574" s="114" t="s">
        <v>1227</v>
      </c>
    </row>
    <row r="2575" spans="2:17" hidden="1" outlineLevel="2">
      <c r="B2575" s="2" t="s">
        <v>876</v>
      </c>
      <c r="D2575" s="270">
        <v>4304</v>
      </c>
      <c r="E2575" s="112" t="s">
        <v>212</v>
      </c>
      <c r="F2575" s="112" t="s">
        <v>3013</v>
      </c>
      <c r="G2575" s="112" t="s">
        <v>1572</v>
      </c>
      <c r="H2575" s="112" t="s">
        <v>1227</v>
      </c>
      <c r="I2575" s="112"/>
      <c r="J2575" s="112" t="b">
        <v>0</v>
      </c>
      <c r="K2575" s="112"/>
      <c r="L2575" s="112"/>
      <c r="M2575" s="112"/>
      <c r="N2575" s="112"/>
      <c r="O2575" s="112"/>
      <c r="P2575" s="112" t="s">
        <v>1485</v>
      </c>
      <c r="Q2575" s="112" t="s">
        <v>1227</v>
      </c>
    </row>
    <row r="2576" spans="2:17" hidden="1" outlineLevel="2">
      <c r="B2576" s="2" t="s">
        <v>876</v>
      </c>
      <c r="D2576" s="268">
        <v>4305</v>
      </c>
      <c r="E2576" s="114" t="s">
        <v>212</v>
      </c>
      <c r="F2576" s="114" t="s">
        <v>3014</v>
      </c>
      <c r="G2576" s="114" t="s">
        <v>1572</v>
      </c>
      <c r="H2576" s="114" t="s">
        <v>1227</v>
      </c>
      <c r="I2576" s="114"/>
      <c r="J2576" s="114" t="b">
        <v>0</v>
      </c>
      <c r="K2576" s="114"/>
      <c r="L2576" s="114"/>
      <c r="M2576" s="114"/>
      <c r="N2576" s="114"/>
      <c r="O2576" s="114"/>
      <c r="P2576" s="114" t="s">
        <v>1485</v>
      </c>
      <c r="Q2576" s="114" t="s">
        <v>1227</v>
      </c>
    </row>
    <row r="2577" spans="2:17" hidden="1" outlineLevel="2">
      <c r="B2577" s="2" t="s">
        <v>876</v>
      </c>
      <c r="D2577" s="270">
        <v>4306</v>
      </c>
      <c r="E2577" s="112" t="s">
        <v>212</v>
      </c>
      <c r="F2577" s="112" t="s">
        <v>3015</v>
      </c>
      <c r="G2577" s="269" t="s">
        <v>1572</v>
      </c>
      <c r="H2577" s="112" t="s">
        <v>1494</v>
      </c>
      <c r="I2577" s="112"/>
      <c r="J2577" s="112" t="b">
        <v>0</v>
      </c>
      <c r="K2577" s="112"/>
      <c r="L2577" s="112"/>
      <c r="M2577" s="112"/>
      <c r="N2577" s="112"/>
      <c r="O2577" s="112"/>
      <c r="P2577" s="112" t="s">
        <v>1485</v>
      </c>
      <c r="Q2577" s="112" t="s">
        <v>1228</v>
      </c>
    </row>
    <row r="2578" spans="2:17" hidden="1" outlineLevel="2">
      <c r="B2578" s="2" t="s">
        <v>876</v>
      </c>
      <c r="D2578" s="268">
        <v>4307</v>
      </c>
      <c r="E2578" s="114" t="s">
        <v>212</v>
      </c>
      <c r="F2578" s="114" t="s">
        <v>3016</v>
      </c>
      <c r="G2578" s="114" t="s">
        <v>1512</v>
      </c>
      <c r="H2578" s="114" t="s">
        <v>1505</v>
      </c>
      <c r="I2578" s="114"/>
      <c r="J2578" s="114" t="b">
        <v>0</v>
      </c>
      <c r="K2578" s="114"/>
      <c r="L2578" s="114"/>
      <c r="M2578" s="114"/>
      <c r="N2578" s="114"/>
      <c r="O2578" s="114"/>
      <c r="P2578" s="114" t="s">
        <v>1485</v>
      </c>
      <c r="Q2578" s="114" t="s">
        <v>1228</v>
      </c>
    </row>
    <row r="2579" spans="2:17" hidden="1" outlineLevel="2">
      <c r="B2579" s="2" t="s">
        <v>876</v>
      </c>
      <c r="D2579" s="270">
        <v>4309</v>
      </c>
      <c r="E2579" s="112" t="s">
        <v>212</v>
      </c>
      <c r="F2579" s="112" t="s">
        <v>2059</v>
      </c>
      <c r="G2579" s="112" t="s">
        <v>1512</v>
      </c>
      <c r="H2579" s="112" t="s">
        <v>1505</v>
      </c>
      <c r="I2579" s="112"/>
      <c r="J2579" s="112" t="b">
        <v>0</v>
      </c>
      <c r="K2579" s="112"/>
      <c r="L2579" s="112"/>
      <c r="M2579" s="112"/>
      <c r="N2579" s="112"/>
      <c r="O2579" s="112"/>
      <c r="P2579" s="112" t="s">
        <v>1485</v>
      </c>
      <c r="Q2579" s="112" t="s">
        <v>1228</v>
      </c>
    </row>
    <row r="2580" spans="2:17" hidden="1" outlineLevel="2">
      <c r="B2580" s="2" t="s">
        <v>876</v>
      </c>
      <c r="D2580" s="268">
        <v>4310</v>
      </c>
      <c r="E2580" s="114" t="s">
        <v>212</v>
      </c>
      <c r="F2580" s="114" t="s">
        <v>3017</v>
      </c>
      <c r="G2580" s="114" t="s">
        <v>1493</v>
      </c>
      <c r="H2580" s="114" t="s">
        <v>1505</v>
      </c>
      <c r="I2580" s="114"/>
      <c r="J2580" s="114" t="b">
        <v>0</v>
      </c>
      <c r="K2580" s="114"/>
      <c r="L2580" s="114"/>
      <c r="M2580" s="114"/>
      <c r="N2580" s="114"/>
      <c r="O2580" s="114"/>
      <c r="P2580" s="114" t="s">
        <v>1485</v>
      </c>
      <c r="Q2580" s="114" t="s">
        <v>1228</v>
      </c>
    </row>
    <row r="2581" spans="2:17" hidden="1" outlineLevel="2">
      <c r="B2581" s="2" t="s">
        <v>876</v>
      </c>
      <c r="D2581" s="270">
        <v>4311</v>
      </c>
      <c r="E2581" s="112" t="s">
        <v>212</v>
      </c>
      <c r="F2581" s="112" t="s">
        <v>3018</v>
      </c>
      <c r="G2581" s="112" t="s">
        <v>1493</v>
      </c>
      <c r="H2581" s="112" t="s">
        <v>1505</v>
      </c>
      <c r="I2581" s="112"/>
      <c r="J2581" s="112" t="b">
        <v>0</v>
      </c>
      <c r="K2581" s="112"/>
      <c r="L2581" s="112"/>
      <c r="M2581" s="112"/>
      <c r="N2581" s="112"/>
      <c r="O2581" s="112"/>
      <c r="P2581" s="112" t="s">
        <v>1485</v>
      </c>
      <c r="Q2581" s="112" t="s">
        <v>1228</v>
      </c>
    </row>
    <row r="2582" spans="2:17" hidden="1" outlineLevel="2">
      <c r="B2582" s="2" t="s">
        <v>876</v>
      </c>
      <c r="D2582" s="268">
        <v>4312</v>
      </c>
      <c r="E2582" s="114" t="s">
        <v>212</v>
      </c>
      <c r="F2582" s="114" t="s">
        <v>3019</v>
      </c>
      <c r="G2582" s="114" t="s">
        <v>1493</v>
      </c>
      <c r="H2582" s="114" t="s">
        <v>1505</v>
      </c>
      <c r="I2582" s="114"/>
      <c r="J2582" s="114" t="b">
        <v>0</v>
      </c>
      <c r="K2582" s="114"/>
      <c r="L2582" s="114"/>
      <c r="M2582" s="114"/>
      <c r="N2582" s="114"/>
      <c r="O2582" s="114"/>
      <c r="P2582" s="114" t="s">
        <v>1485</v>
      </c>
      <c r="Q2582" s="114" t="s">
        <v>1228</v>
      </c>
    </row>
    <row r="2583" spans="2:17" hidden="1" outlineLevel="2">
      <c r="B2583" s="2" t="s">
        <v>876</v>
      </c>
      <c r="D2583" s="270">
        <v>4313</v>
      </c>
      <c r="E2583" s="112" t="s">
        <v>212</v>
      </c>
      <c r="F2583" s="112" t="s">
        <v>3020</v>
      </c>
      <c r="G2583" s="112" t="s">
        <v>1493</v>
      </c>
      <c r="H2583" s="112" t="s">
        <v>1505</v>
      </c>
      <c r="I2583" s="112"/>
      <c r="J2583" s="112" t="b">
        <v>0</v>
      </c>
      <c r="K2583" s="112"/>
      <c r="L2583" s="112"/>
      <c r="M2583" s="112"/>
      <c r="N2583" s="112"/>
      <c r="O2583" s="112"/>
      <c r="P2583" s="112" t="s">
        <v>1485</v>
      </c>
      <c r="Q2583" s="112" t="s">
        <v>1228</v>
      </c>
    </row>
    <row r="2584" spans="2:17" hidden="1" outlineLevel="2">
      <c r="B2584" s="2" t="s">
        <v>876</v>
      </c>
      <c r="D2584" s="273">
        <v>4314</v>
      </c>
      <c r="E2584" s="112" t="s">
        <v>212</v>
      </c>
      <c r="F2584" s="112" t="s">
        <v>3021</v>
      </c>
      <c r="G2584" s="221" t="s">
        <v>1493</v>
      </c>
      <c r="H2584" s="112" t="s">
        <v>1505</v>
      </c>
      <c r="I2584" s="112"/>
      <c r="J2584" s="112" t="b">
        <v>0</v>
      </c>
      <c r="K2584" s="112"/>
      <c r="L2584" s="112"/>
      <c r="M2584" s="112"/>
      <c r="N2584" s="112"/>
      <c r="O2584" s="112"/>
      <c r="P2584" s="112" t="s">
        <v>1485</v>
      </c>
      <c r="Q2584" s="112" t="s">
        <v>1228</v>
      </c>
    </row>
    <row r="2585" spans="2:17" hidden="1" outlineLevel="2">
      <c r="B2585" s="2" t="s">
        <v>876</v>
      </c>
      <c r="D2585" s="268">
        <v>4340</v>
      </c>
      <c r="E2585" s="114" t="s">
        <v>212</v>
      </c>
      <c r="F2585" s="114" t="s">
        <v>3022</v>
      </c>
      <c r="G2585" s="114" t="s">
        <v>1493</v>
      </c>
      <c r="H2585" s="114" t="s">
        <v>1505</v>
      </c>
      <c r="I2585" s="114"/>
      <c r="J2585" s="114" t="b">
        <v>0</v>
      </c>
      <c r="K2585" s="114"/>
      <c r="L2585" s="114"/>
      <c r="M2585" s="114"/>
      <c r="N2585" s="114"/>
      <c r="O2585" s="114"/>
      <c r="P2585" s="114" t="s">
        <v>1485</v>
      </c>
      <c r="Q2585" s="114" t="s">
        <v>1228</v>
      </c>
    </row>
    <row r="2586" spans="2:17" hidden="1" outlineLevel="2">
      <c r="B2586" s="2" t="s">
        <v>876</v>
      </c>
      <c r="D2586" s="270">
        <v>4341</v>
      </c>
      <c r="E2586" s="112" t="s">
        <v>212</v>
      </c>
      <c r="F2586" s="112" t="s">
        <v>3023</v>
      </c>
      <c r="G2586" s="112" t="s">
        <v>1493</v>
      </c>
      <c r="H2586" s="112" t="s">
        <v>1505</v>
      </c>
      <c r="I2586" s="112"/>
      <c r="J2586" s="112" t="b">
        <v>0</v>
      </c>
      <c r="K2586" s="112"/>
      <c r="L2586" s="112"/>
      <c r="M2586" s="112"/>
      <c r="N2586" s="112"/>
      <c r="O2586" s="112"/>
      <c r="P2586" s="112" t="s">
        <v>1485</v>
      </c>
      <c r="Q2586" s="112" t="s">
        <v>1228</v>
      </c>
    </row>
    <row r="2587" spans="2:17" hidden="1" outlineLevel="2">
      <c r="B2587" s="2" t="s">
        <v>876</v>
      </c>
      <c r="D2587" s="268">
        <v>4342</v>
      </c>
      <c r="E2587" s="114" t="s">
        <v>212</v>
      </c>
      <c r="F2587" s="114" t="s">
        <v>3024</v>
      </c>
      <c r="G2587" s="114" t="s">
        <v>1493</v>
      </c>
      <c r="H2587" s="114" t="s">
        <v>1505</v>
      </c>
      <c r="I2587" s="114"/>
      <c r="J2587" s="114" t="b">
        <v>0</v>
      </c>
      <c r="K2587" s="114"/>
      <c r="L2587" s="114"/>
      <c r="M2587" s="114"/>
      <c r="N2587" s="114"/>
      <c r="O2587" s="114"/>
      <c r="P2587" s="114" t="s">
        <v>1485</v>
      </c>
      <c r="Q2587" s="114" t="s">
        <v>1228</v>
      </c>
    </row>
    <row r="2588" spans="2:17" hidden="1" outlineLevel="2">
      <c r="B2588" s="2" t="s">
        <v>876</v>
      </c>
      <c r="D2588" s="270">
        <v>4343</v>
      </c>
      <c r="E2588" s="112" t="s">
        <v>212</v>
      </c>
      <c r="F2588" s="112" t="s">
        <v>3025</v>
      </c>
      <c r="G2588" s="112" t="s">
        <v>1493</v>
      </c>
      <c r="H2588" s="112" t="s">
        <v>1505</v>
      </c>
      <c r="I2588" s="112"/>
      <c r="J2588" s="112" t="b">
        <v>0</v>
      </c>
      <c r="K2588" s="112"/>
      <c r="L2588" s="112"/>
      <c r="M2588" s="112"/>
      <c r="N2588" s="112"/>
      <c r="O2588" s="112"/>
      <c r="P2588" s="112" t="s">
        <v>1485</v>
      </c>
      <c r="Q2588" s="112" t="s">
        <v>1228</v>
      </c>
    </row>
    <row r="2589" spans="2:17" hidden="1" outlineLevel="2">
      <c r="B2589" s="2" t="s">
        <v>876</v>
      </c>
      <c r="D2589" s="268">
        <v>4344</v>
      </c>
      <c r="E2589" s="114" t="s">
        <v>212</v>
      </c>
      <c r="F2589" s="114" t="s">
        <v>3026</v>
      </c>
      <c r="G2589" s="114" t="s">
        <v>1493</v>
      </c>
      <c r="H2589" s="114" t="s">
        <v>1505</v>
      </c>
      <c r="I2589" s="114"/>
      <c r="J2589" s="114" t="b">
        <v>0</v>
      </c>
      <c r="K2589" s="114"/>
      <c r="L2589" s="114"/>
      <c r="M2589" s="114"/>
      <c r="N2589" s="114"/>
      <c r="O2589" s="114"/>
      <c r="P2589" s="114" t="s">
        <v>1485</v>
      </c>
      <c r="Q2589" s="114" t="s">
        <v>1228</v>
      </c>
    </row>
    <row r="2590" spans="2:17" hidden="1" outlineLevel="2">
      <c r="B2590" s="2" t="s">
        <v>876</v>
      </c>
      <c r="D2590" s="270">
        <v>4345</v>
      </c>
      <c r="E2590" s="112" t="s">
        <v>212</v>
      </c>
      <c r="F2590" s="112" t="s">
        <v>3027</v>
      </c>
      <c r="G2590" s="112" t="s">
        <v>1533</v>
      </c>
      <c r="H2590" s="112" t="s">
        <v>1533</v>
      </c>
      <c r="I2590" s="112"/>
      <c r="J2590" s="112" t="b">
        <v>0</v>
      </c>
      <c r="K2590" s="112"/>
      <c r="L2590" s="112"/>
      <c r="M2590" s="112"/>
      <c r="N2590" s="112"/>
      <c r="O2590" s="112"/>
      <c r="P2590" s="112" t="s">
        <v>1485</v>
      </c>
      <c r="Q2590" s="112" t="s">
        <v>1228</v>
      </c>
    </row>
    <row r="2591" spans="2:17" hidden="1" outlineLevel="2">
      <c r="B2591" s="2" t="s">
        <v>876</v>
      </c>
      <c r="D2591" s="268">
        <v>4346</v>
      </c>
      <c r="E2591" s="114" t="s">
        <v>212</v>
      </c>
      <c r="F2591" s="114" t="s">
        <v>3028</v>
      </c>
      <c r="G2591" s="221" t="s">
        <v>1512</v>
      </c>
      <c r="H2591" s="114" t="s">
        <v>1505</v>
      </c>
      <c r="I2591" s="114"/>
      <c r="J2591" s="114" t="b">
        <v>0</v>
      </c>
      <c r="K2591" s="114"/>
      <c r="L2591" s="114"/>
      <c r="M2591" s="114"/>
      <c r="N2591" s="114"/>
      <c r="O2591" s="114"/>
      <c r="P2591" s="114" t="s">
        <v>1485</v>
      </c>
      <c r="Q2591" s="114" t="s">
        <v>1228</v>
      </c>
    </row>
    <row r="2592" spans="2:17" hidden="1" outlineLevel="2">
      <c r="B2592" s="2" t="s">
        <v>876</v>
      </c>
      <c r="D2592" s="270">
        <v>4347</v>
      </c>
      <c r="E2592" s="112" t="s">
        <v>212</v>
      </c>
      <c r="F2592" s="112" t="s">
        <v>3029</v>
      </c>
      <c r="G2592" s="221" t="s">
        <v>1512</v>
      </c>
      <c r="H2592" s="112" t="s">
        <v>1505</v>
      </c>
      <c r="I2592" s="112"/>
      <c r="J2592" s="112" t="b">
        <v>0</v>
      </c>
      <c r="K2592" s="112"/>
      <c r="L2592" s="112"/>
      <c r="M2592" s="112"/>
      <c r="N2592" s="112"/>
      <c r="O2592" s="112"/>
      <c r="P2592" s="112" t="s">
        <v>1485</v>
      </c>
      <c r="Q2592" s="112" t="s">
        <v>1228</v>
      </c>
    </row>
    <row r="2593" spans="2:17" hidden="1" outlineLevel="2">
      <c r="B2593" s="2" t="s">
        <v>876</v>
      </c>
      <c r="D2593" s="268">
        <v>4350</v>
      </c>
      <c r="E2593" s="114" t="s">
        <v>212</v>
      </c>
      <c r="F2593" s="114" t="s">
        <v>3030</v>
      </c>
      <c r="G2593" s="114" t="s">
        <v>1483</v>
      </c>
      <c r="H2593" s="114" t="s">
        <v>1494</v>
      </c>
      <c r="I2593" s="114"/>
      <c r="J2593" s="114" t="b">
        <v>0</v>
      </c>
      <c r="K2593" s="114" t="s">
        <v>1484</v>
      </c>
      <c r="L2593" s="114" t="b">
        <v>1</v>
      </c>
      <c r="M2593" s="114"/>
      <c r="N2593" s="114"/>
      <c r="O2593" s="114"/>
      <c r="P2593" s="114" t="s">
        <v>1485</v>
      </c>
      <c r="Q2593" s="114" t="s">
        <v>1228</v>
      </c>
    </row>
    <row r="2594" spans="2:17" hidden="1" outlineLevel="2">
      <c r="B2594" s="2" t="s">
        <v>876</v>
      </c>
      <c r="D2594" s="270">
        <v>4352</v>
      </c>
      <c r="E2594" s="112" t="s">
        <v>212</v>
      </c>
      <c r="F2594" s="112" t="s">
        <v>3031</v>
      </c>
      <c r="G2594" s="112" t="s">
        <v>1483</v>
      </c>
      <c r="H2594" s="112" t="s">
        <v>1494</v>
      </c>
      <c r="I2594" s="112"/>
      <c r="J2594" s="112" t="b">
        <v>0</v>
      </c>
      <c r="K2594" s="112"/>
      <c r="L2594" s="112"/>
      <c r="M2594" s="112"/>
      <c r="N2594" s="112"/>
      <c r="O2594" s="112"/>
      <c r="P2594" s="112" t="s">
        <v>1485</v>
      </c>
      <c r="Q2594" s="112" t="s">
        <v>1228</v>
      </c>
    </row>
    <row r="2595" spans="2:17" hidden="1" outlineLevel="2">
      <c r="B2595" s="2" t="s">
        <v>876</v>
      </c>
      <c r="D2595" s="268">
        <v>4353</v>
      </c>
      <c r="E2595" s="114" t="s">
        <v>212</v>
      </c>
      <c r="F2595" s="114" t="s">
        <v>3032</v>
      </c>
      <c r="G2595" s="114" t="s">
        <v>1512</v>
      </c>
      <c r="H2595" s="114" t="s">
        <v>1505</v>
      </c>
      <c r="I2595" s="114"/>
      <c r="J2595" s="114" t="b">
        <v>0</v>
      </c>
      <c r="K2595" s="114"/>
      <c r="L2595" s="114"/>
      <c r="M2595" s="114"/>
      <c r="N2595" s="114"/>
      <c r="O2595" s="114"/>
      <c r="P2595" s="114" t="s">
        <v>1485</v>
      </c>
      <c r="Q2595" s="114" t="s">
        <v>1228</v>
      </c>
    </row>
    <row r="2596" spans="2:17" hidden="1" outlineLevel="2">
      <c r="B2596" s="2" t="s">
        <v>876</v>
      </c>
      <c r="D2596" s="270">
        <v>4354</v>
      </c>
      <c r="E2596" s="112" t="s">
        <v>212</v>
      </c>
      <c r="F2596" s="112" t="s">
        <v>3033</v>
      </c>
      <c r="G2596" s="221" t="s">
        <v>1512</v>
      </c>
      <c r="H2596" s="112" t="s">
        <v>1505</v>
      </c>
      <c r="I2596" s="112"/>
      <c r="J2596" s="112" t="b">
        <v>0</v>
      </c>
      <c r="K2596" s="112"/>
      <c r="L2596" s="112"/>
      <c r="M2596" s="112"/>
      <c r="N2596" s="112"/>
      <c r="O2596" s="112"/>
      <c r="P2596" s="112" t="s">
        <v>1485</v>
      </c>
      <c r="Q2596" s="112" t="s">
        <v>1228</v>
      </c>
    </row>
    <row r="2597" spans="2:17" hidden="1" outlineLevel="2">
      <c r="B2597" s="2" t="s">
        <v>876</v>
      </c>
      <c r="D2597" s="268">
        <v>4355</v>
      </c>
      <c r="E2597" s="114" t="s">
        <v>212</v>
      </c>
      <c r="F2597" s="114" t="s">
        <v>3034</v>
      </c>
      <c r="G2597" s="114" t="s">
        <v>1493</v>
      </c>
      <c r="H2597" s="114" t="s">
        <v>1505</v>
      </c>
      <c r="I2597" s="114"/>
      <c r="J2597" s="114" t="b">
        <v>0</v>
      </c>
      <c r="K2597" s="114"/>
      <c r="L2597" s="114"/>
      <c r="M2597" s="114"/>
      <c r="N2597" s="114"/>
      <c r="O2597" s="114"/>
      <c r="P2597" s="114" t="s">
        <v>1485</v>
      </c>
      <c r="Q2597" s="114" t="s">
        <v>1228</v>
      </c>
    </row>
    <row r="2598" spans="2:17" hidden="1" outlineLevel="2">
      <c r="B2598" s="2" t="s">
        <v>876</v>
      </c>
      <c r="D2598" s="270">
        <v>4356</v>
      </c>
      <c r="E2598" s="112" t="s">
        <v>212</v>
      </c>
      <c r="F2598" s="112" t="s">
        <v>3035</v>
      </c>
      <c r="G2598" s="112" t="s">
        <v>1493</v>
      </c>
      <c r="H2598" s="112" t="s">
        <v>1505</v>
      </c>
      <c r="I2598" s="112"/>
      <c r="J2598" s="112" t="b">
        <v>0</v>
      </c>
      <c r="K2598" s="112"/>
      <c r="L2598" s="112"/>
      <c r="M2598" s="112"/>
      <c r="N2598" s="112"/>
      <c r="O2598" s="112"/>
      <c r="P2598" s="112" t="s">
        <v>1485</v>
      </c>
      <c r="Q2598" s="112" t="s">
        <v>1228</v>
      </c>
    </row>
    <row r="2599" spans="2:17" hidden="1" outlineLevel="2">
      <c r="B2599" s="2" t="s">
        <v>876</v>
      </c>
      <c r="D2599" s="268">
        <v>4357</v>
      </c>
      <c r="E2599" s="114" t="s">
        <v>212</v>
      </c>
      <c r="F2599" s="114" t="s">
        <v>3036</v>
      </c>
      <c r="G2599" s="114" t="s">
        <v>1512</v>
      </c>
      <c r="H2599" s="114" t="s">
        <v>1505</v>
      </c>
      <c r="I2599" s="114"/>
      <c r="J2599" s="114" t="b">
        <v>0</v>
      </c>
      <c r="K2599" s="114"/>
      <c r="L2599" s="114"/>
      <c r="M2599" s="114"/>
      <c r="N2599" s="114"/>
      <c r="O2599" s="114"/>
      <c r="P2599" s="114" t="s">
        <v>1485</v>
      </c>
      <c r="Q2599" s="114" t="s">
        <v>1228</v>
      </c>
    </row>
    <row r="2600" spans="2:17" hidden="1" outlineLevel="2">
      <c r="B2600" s="2" t="s">
        <v>876</v>
      </c>
      <c r="D2600" s="270">
        <v>4358</v>
      </c>
      <c r="E2600" s="112" t="s">
        <v>212</v>
      </c>
      <c r="F2600" s="112" t="s">
        <v>3037</v>
      </c>
      <c r="G2600" s="112" t="s">
        <v>1512</v>
      </c>
      <c r="H2600" s="112" t="s">
        <v>1505</v>
      </c>
      <c r="I2600" s="112"/>
      <c r="J2600" s="112" t="b">
        <v>0</v>
      </c>
      <c r="K2600" s="112"/>
      <c r="L2600" s="112"/>
      <c r="M2600" s="112"/>
      <c r="N2600" s="112"/>
      <c r="O2600" s="112"/>
      <c r="P2600" s="112" t="s">
        <v>1485</v>
      </c>
      <c r="Q2600" s="112" t="s">
        <v>1228</v>
      </c>
    </row>
    <row r="2601" spans="2:17" hidden="1" outlineLevel="2">
      <c r="B2601" s="2" t="s">
        <v>876</v>
      </c>
      <c r="D2601" s="268">
        <v>4359</v>
      </c>
      <c r="E2601" s="114" t="s">
        <v>212</v>
      </c>
      <c r="F2601" s="114" t="s">
        <v>3038</v>
      </c>
      <c r="G2601" s="114" t="s">
        <v>1512</v>
      </c>
      <c r="H2601" s="114" t="s">
        <v>1505</v>
      </c>
      <c r="I2601" s="114"/>
      <c r="J2601" s="114" t="b">
        <v>0</v>
      </c>
      <c r="K2601" s="114"/>
      <c r="L2601" s="114"/>
      <c r="M2601" s="114"/>
      <c r="N2601" s="114"/>
      <c r="O2601" s="114"/>
      <c r="P2601" s="114" t="s">
        <v>1485</v>
      </c>
      <c r="Q2601" s="114" t="s">
        <v>1228</v>
      </c>
    </row>
    <row r="2602" spans="2:17" hidden="1" outlineLevel="2">
      <c r="B2602" s="2" t="s">
        <v>876</v>
      </c>
      <c r="D2602" s="270">
        <v>4360</v>
      </c>
      <c r="E2602" s="112" t="s">
        <v>212</v>
      </c>
      <c r="F2602" s="112" t="s">
        <v>3039</v>
      </c>
      <c r="G2602" s="112" t="s">
        <v>1512</v>
      </c>
      <c r="H2602" s="112" t="s">
        <v>1505</v>
      </c>
      <c r="I2602" s="112"/>
      <c r="J2602" s="112" t="b">
        <v>0</v>
      </c>
      <c r="K2602" s="112"/>
      <c r="L2602" s="112" t="b">
        <v>1</v>
      </c>
      <c r="M2602" s="112"/>
      <c r="N2602" s="112"/>
      <c r="O2602" s="112"/>
      <c r="P2602" s="112" t="s">
        <v>1485</v>
      </c>
      <c r="Q2602" s="112" t="s">
        <v>1228</v>
      </c>
    </row>
    <row r="2603" spans="2:17" hidden="1" outlineLevel="2">
      <c r="B2603" s="2" t="s">
        <v>876</v>
      </c>
      <c r="D2603" s="268">
        <v>4361</v>
      </c>
      <c r="E2603" s="114" t="s">
        <v>212</v>
      </c>
      <c r="F2603" s="114" t="s">
        <v>3040</v>
      </c>
      <c r="G2603" s="114" t="s">
        <v>1512</v>
      </c>
      <c r="H2603" s="114" t="s">
        <v>1505</v>
      </c>
      <c r="I2603" s="114"/>
      <c r="J2603" s="114" t="b">
        <v>0</v>
      </c>
      <c r="K2603" s="114"/>
      <c r="L2603" s="114"/>
      <c r="M2603" s="114"/>
      <c r="N2603" s="114"/>
      <c r="O2603" s="114"/>
      <c r="P2603" s="114" t="s">
        <v>1485</v>
      </c>
      <c r="Q2603" s="114" t="s">
        <v>1228</v>
      </c>
    </row>
    <row r="2604" spans="2:17" hidden="1" outlineLevel="2">
      <c r="B2604" s="2" t="s">
        <v>876</v>
      </c>
      <c r="D2604" s="270">
        <v>4362</v>
      </c>
      <c r="E2604" s="112" t="s">
        <v>212</v>
      </c>
      <c r="F2604" s="112" t="s">
        <v>3041</v>
      </c>
      <c r="G2604" s="112" t="s">
        <v>1512</v>
      </c>
      <c r="H2604" s="112" t="s">
        <v>1505</v>
      </c>
      <c r="I2604" s="112"/>
      <c r="J2604" s="112" t="b">
        <v>0</v>
      </c>
      <c r="K2604" s="112"/>
      <c r="L2604" s="112"/>
      <c r="M2604" s="112"/>
      <c r="N2604" s="112"/>
      <c r="O2604" s="112"/>
      <c r="P2604" s="112" t="s">
        <v>1485</v>
      </c>
      <c r="Q2604" s="112" t="s">
        <v>1228</v>
      </c>
    </row>
    <row r="2605" spans="2:17" hidden="1" outlineLevel="2">
      <c r="B2605" s="2" t="s">
        <v>876</v>
      </c>
      <c r="D2605" s="268">
        <v>4363</v>
      </c>
      <c r="E2605" s="114" t="s">
        <v>212</v>
      </c>
      <c r="F2605" s="114" t="s">
        <v>3042</v>
      </c>
      <c r="G2605" s="114" t="s">
        <v>1512</v>
      </c>
      <c r="H2605" s="114" t="s">
        <v>1505</v>
      </c>
      <c r="I2605" s="114"/>
      <c r="J2605" s="114" t="b">
        <v>0</v>
      </c>
      <c r="K2605" s="114"/>
      <c r="L2605" s="114"/>
      <c r="M2605" s="114"/>
      <c r="N2605" s="114"/>
      <c r="O2605" s="114"/>
      <c r="P2605" s="114" t="s">
        <v>1485</v>
      </c>
      <c r="Q2605" s="114" t="s">
        <v>1228</v>
      </c>
    </row>
    <row r="2606" spans="2:17" hidden="1" outlineLevel="2">
      <c r="B2606" s="2" t="s">
        <v>876</v>
      </c>
      <c r="D2606" s="270">
        <v>4364</v>
      </c>
      <c r="E2606" s="112" t="s">
        <v>212</v>
      </c>
      <c r="F2606" s="112" t="s">
        <v>3043</v>
      </c>
      <c r="G2606" s="112" t="s">
        <v>1512</v>
      </c>
      <c r="H2606" s="112" t="s">
        <v>1505</v>
      </c>
      <c r="I2606" s="112"/>
      <c r="J2606" s="112" t="b">
        <v>0</v>
      </c>
      <c r="K2606" s="112"/>
      <c r="L2606" s="112"/>
      <c r="M2606" s="112"/>
      <c r="N2606" s="112"/>
      <c r="O2606" s="112"/>
      <c r="P2606" s="112" t="s">
        <v>1485</v>
      </c>
      <c r="Q2606" s="112" t="s">
        <v>1228</v>
      </c>
    </row>
    <row r="2607" spans="2:17" hidden="1" outlineLevel="2">
      <c r="B2607" s="2" t="s">
        <v>876</v>
      </c>
      <c r="D2607" s="268">
        <v>4365</v>
      </c>
      <c r="E2607" s="114" t="s">
        <v>212</v>
      </c>
      <c r="F2607" s="114" t="s">
        <v>3044</v>
      </c>
      <c r="G2607" s="114" t="s">
        <v>1512</v>
      </c>
      <c r="H2607" s="114" t="s">
        <v>1505</v>
      </c>
      <c r="I2607" s="114"/>
      <c r="J2607" s="114" t="b">
        <v>0</v>
      </c>
      <c r="K2607" s="114"/>
      <c r="L2607" s="114"/>
      <c r="M2607" s="114"/>
      <c r="N2607" s="114"/>
      <c r="O2607" s="114"/>
      <c r="P2607" s="114" t="s">
        <v>1485</v>
      </c>
      <c r="Q2607" s="114" t="s">
        <v>1228</v>
      </c>
    </row>
    <row r="2608" spans="2:17" hidden="1" outlineLevel="2">
      <c r="B2608" s="2" t="s">
        <v>876</v>
      </c>
      <c r="D2608" s="270">
        <v>4370</v>
      </c>
      <c r="E2608" s="112" t="s">
        <v>212</v>
      </c>
      <c r="F2608" s="112" t="s">
        <v>3045</v>
      </c>
      <c r="G2608" s="112" t="s">
        <v>1483</v>
      </c>
      <c r="H2608" s="112" t="s">
        <v>1494</v>
      </c>
      <c r="I2608" s="112"/>
      <c r="J2608" s="112" t="b">
        <v>0</v>
      </c>
      <c r="K2608" s="112"/>
      <c r="L2608" s="112"/>
      <c r="M2608" s="112"/>
      <c r="N2608" s="112"/>
      <c r="O2608" s="112"/>
      <c r="P2608" s="112" t="s">
        <v>1485</v>
      </c>
      <c r="Q2608" s="112" t="s">
        <v>1228</v>
      </c>
    </row>
    <row r="2609" spans="2:17" hidden="1" outlineLevel="2">
      <c r="B2609" s="2" t="s">
        <v>876</v>
      </c>
      <c r="D2609" s="268">
        <v>4371</v>
      </c>
      <c r="E2609" s="114" t="s">
        <v>212</v>
      </c>
      <c r="F2609" s="114" t="s">
        <v>3046</v>
      </c>
      <c r="G2609" s="114" t="s">
        <v>1512</v>
      </c>
      <c r="H2609" s="114" t="s">
        <v>1505</v>
      </c>
      <c r="I2609" s="114"/>
      <c r="J2609" s="114" t="b">
        <v>0</v>
      </c>
      <c r="K2609" s="114"/>
      <c r="L2609" s="114"/>
      <c r="M2609" s="114"/>
      <c r="N2609" s="114"/>
      <c r="O2609" s="114"/>
      <c r="P2609" s="114" t="s">
        <v>1485</v>
      </c>
      <c r="Q2609" s="114" t="s">
        <v>1228</v>
      </c>
    </row>
    <row r="2610" spans="2:17" hidden="1" outlineLevel="2">
      <c r="B2610" s="2" t="s">
        <v>876</v>
      </c>
      <c r="D2610" s="270">
        <v>4372</v>
      </c>
      <c r="E2610" s="112" t="s">
        <v>212</v>
      </c>
      <c r="F2610" s="112" t="s">
        <v>3047</v>
      </c>
      <c r="G2610" s="112" t="s">
        <v>1512</v>
      </c>
      <c r="H2610" s="112" t="s">
        <v>1505</v>
      </c>
      <c r="I2610" s="112"/>
      <c r="J2610" s="112" t="b">
        <v>0</v>
      </c>
      <c r="K2610" s="112"/>
      <c r="L2610" s="112"/>
      <c r="M2610" s="112"/>
      <c r="N2610" s="112"/>
      <c r="O2610" s="112"/>
      <c r="P2610" s="112" t="s">
        <v>1485</v>
      </c>
      <c r="Q2610" s="112" t="s">
        <v>1228</v>
      </c>
    </row>
    <row r="2611" spans="2:17" hidden="1" outlineLevel="2">
      <c r="B2611" s="2" t="s">
        <v>876</v>
      </c>
      <c r="D2611" s="268">
        <v>4373</v>
      </c>
      <c r="E2611" s="114" t="s">
        <v>212</v>
      </c>
      <c r="F2611" s="114" t="s">
        <v>3048</v>
      </c>
      <c r="G2611" s="114" t="s">
        <v>1512</v>
      </c>
      <c r="H2611" s="114" t="s">
        <v>1505</v>
      </c>
      <c r="I2611" s="114"/>
      <c r="J2611" s="114" t="b">
        <v>0</v>
      </c>
      <c r="K2611" s="114"/>
      <c r="L2611" s="114"/>
      <c r="M2611" s="114"/>
      <c r="N2611" s="114"/>
      <c r="O2611" s="114"/>
      <c r="P2611" s="114" t="s">
        <v>1485</v>
      </c>
      <c r="Q2611" s="114" t="s">
        <v>1228</v>
      </c>
    </row>
    <row r="2612" spans="2:17" hidden="1" outlineLevel="2">
      <c r="B2612" s="2" t="s">
        <v>876</v>
      </c>
      <c r="D2612" s="270">
        <v>4374</v>
      </c>
      <c r="E2612" s="112" t="s">
        <v>212</v>
      </c>
      <c r="F2612" s="112" t="s">
        <v>3049</v>
      </c>
      <c r="G2612" s="112" t="s">
        <v>1512</v>
      </c>
      <c r="H2612" s="112" t="s">
        <v>1505</v>
      </c>
      <c r="I2612" s="112"/>
      <c r="J2612" s="112" t="b">
        <v>0</v>
      </c>
      <c r="K2612" s="112"/>
      <c r="L2612" s="112" t="b">
        <v>1</v>
      </c>
      <c r="M2612" s="112"/>
      <c r="N2612" s="112"/>
      <c r="O2612" s="112"/>
      <c r="P2612" s="112" t="s">
        <v>1485</v>
      </c>
      <c r="Q2612" s="112" t="s">
        <v>1228</v>
      </c>
    </row>
    <row r="2613" spans="2:17" hidden="1" outlineLevel="2">
      <c r="B2613" s="2" t="s">
        <v>876</v>
      </c>
      <c r="D2613" s="268">
        <v>4375</v>
      </c>
      <c r="E2613" s="114" t="s">
        <v>212</v>
      </c>
      <c r="F2613" s="114" t="s">
        <v>3050</v>
      </c>
      <c r="G2613" s="114" t="s">
        <v>1512</v>
      </c>
      <c r="H2613" s="114" t="s">
        <v>1505</v>
      </c>
      <c r="I2613" s="114"/>
      <c r="J2613" s="114" t="b">
        <v>0</v>
      </c>
      <c r="K2613" s="114"/>
      <c r="L2613" s="114"/>
      <c r="M2613" s="114"/>
      <c r="N2613" s="114"/>
      <c r="O2613" s="114"/>
      <c r="P2613" s="114" t="s">
        <v>1485</v>
      </c>
      <c r="Q2613" s="114" t="s">
        <v>1228</v>
      </c>
    </row>
    <row r="2614" spans="2:17" hidden="1" outlineLevel="2">
      <c r="B2614" s="2" t="s">
        <v>876</v>
      </c>
      <c r="D2614" s="270">
        <v>4376</v>
      </c>
      <c r="E2614" s="112" t="s">
        <v>212</v>
      </c>
      <c r="F2614" s="112" t="s">
        <v>3051</v>
      </c>
      <c r="G2614" s="112" t="s">
        <v>1512</v>
      </c>
      <c r="H2614" s="112" t="s">
        <v>1505</v>
      </c>
      <c r="I2614" s="112"/>
      <c r="J2614" s="112" t="b">
        <v>0</v>
      </c>
      <c r="K2614" s="112"/>
      <c r="L2614" s="112"/>
      <c r="M2614" s="112"/>
      <c r="N2614" s="112"/>
      <c r="O2614" s="112"/>
      <c r="P2614" s="112" t="s">
        <v>1485</v>
      </c>
      <c r="Q2614" s="112" t="s">
        <v>1228</v>
      </c>
    </row>
    <row r="2615" spans="2:17" hidden="1" outlineLevel="2">
      <c r="B2615" s="2" t="s">
        <v>876</v>
      </c>
      <c r="D2615" s="268">
        <v>4377</v>
      </c>
      <c r="E2615" s="114" t="s">
        <v>212</v>
      </c>
      <c r="F2615" s="114" t="s">
        <v>3052</v>
      </c>
      <c r="G2615" s="114" t="s">
        <v>1512</v>
      </c>
      <c r="H2615" s="114" t="s">
        <v>1505</v>
      </c>
      <c r="I2615" s="114"/>
      <c r="J2615" s="114" t="b">
        <v>0</v>
      </c>
      <c r="K2615" s="114"/>
      <c r="L2615" s="114"/>
      <c r="M2615" s="114"/>
      <c r="N2615" s="114"/>
      <c r="O2615" s="114"/>
      <c r="P2615" s="114" t="s">
        <v>1485</v>
      </c>
      <c r="Q2615" s="114" t="s">
        <v>1228</v>
      </c>
    </row>
    <row r="2616" spans="2:17" hidden="1" outlineLevel="2">
      <c r="B2616" s="2" t="s">
        <v>876</v>
      </c>
      <c r="D2616" s="270">
        <v>4378</v>
      </c>
      <c r="E2616" s="112" t="s">
        <v>212</v>
      </c>
      <c r="F2616" s="112" t="s">
        <v>3053</v>
      </c>
      <c r="G2616" s="112" t="s">
        <v>1512</v>
      </c>
      <c r="H2616" s="112" t="s">
        <v>1512</v>
      </c>
      <c r="I2616" s="112"/>
      <c r="J2616" s="112" t="b">
        <v>0</v>
      </c>
      <c r="K2616" s="112"/>
      <c r="L2616" s="112"/>
      <c r="M2616" s="112"/>
      <c r="N2616" s="112"/>
      <c r="O2616" s="112"/>
      <c r="P2616" s="112" t="s">
        <v>1485</v>
      </c>
      <c r="Q2616" s="112" t="s">
        <v>1228</v>
      </c>
    </row>
    <row r="2617" spans="2:17" hidden="1" outlineLevel="2">
      <c r="B2617" s="2" t="s">
        <v>876</v>
      </c>
      <c r="D2617" s="268">
        <v>4380</v>
      </c>
      <c r="E2617" s="114" t="s">
        <v>212</v>
      </c>
      <c r="F2617" s="114" t="s">
        <v>3054</v>
      </c>
      <c r="G2617" s="114" t="s">
        <v>1493</v>
      </c>
      <c r="H2617" s="114" t="s">
        <v>1505</v>
      </c>
      <c r="I2617" s="114"/>
      <c r="J2617" s="114" t="b">
        <v>0</v>
      </c>
      <c r="K2617" s="114"/>
      <c r="L2617" s="114"/>
      <c r="M2617" s="114"/>
      <c r="N2617" s="114"/>
      <c r="O2617" s="114"/>
      <c r="P2617" s="114" t="s">
        <v>1485</v>
      </c>
      <c r="Q2617" s="114" t="s">
        <v>1228</v>
      </c>
    </row>
    <row r="2618" spans="2:17" hidden="1" outlineLevel="2">
      <c r="B2618" s="2" t="s">
        <v>876</v>
      </c>
      <c r="D2618" s="270">
        <v>4381</v>
      </c>
      <c r="E2618" s="112" t="s">
        <v>212</v>
      </c>
      <c r="F2618" s="112" t="s">
        <v>3055</v>
      </c>
      <c r="G2618" s="112" t="s">
        <v>1512</v>
      </c>
      <c r="H2618" s="112" t="s">
        <v>1505</v>
      </c>
      <c r="I2618" s="112"/>
      <c r="J2618" s="112" t="b">
        <v>0</v>
      </c>
      <c r="K2618" s="112"/>
      <c r="L2618" s="112"/>
      <c r="M2618" s="112"/>
      <c r="N2618" s="112"/>
      <c r="O2618" s="112"/>
      <c r="P2618" s="112" t="s">
        <v>1485</v>
      </c>
      <c r="Q2618" s="112" t="s">
        <v>1228</v>
      </c>
    </row>
    <row r="2619" spans="2:17" hidden="1" outlineLevel="2">
      <c r="B2619" s="2" t="s">
        <v>876</v>
      </c>
      <c r="D2619" s="268">
        <v>4382</v>
      </c>
      <c r="E2619" s="114" t="s">
        <v>212</v>
      </c>
      <c r="F2619" s="114" t="s">
        <v>3056</v>
      </c>
      <c r="G2619" s="114" t="s">
        <v>1512</v>
      </c>
      <c r="H2619" s="114" t="s">
        <v>1505</v>
      </c>
      <c r="I2619" s="114"/>
      <c r="J2619" s="114" t="b">
        <v>0</v>
      </c>
      <c r="K2619" s="114"/>
      <c r="L2619" s="114"/>
      <c r="M2619" s="114"/>
      <c r="N2619" s="114"/>
      <c r="O2619" s="114"/>
      <c r="P2619" s="114" t="s">
        <v>1485</v>
      </c>
      <c r="Q2619" s="114" t="s">
        <v>1228</v>
      </c>
    </row>
    <row r="2620" spans="2:17" hidden="1" outlineLevel="2">
      <c r="B2620" s="2" t="s">
        <v>876</v>
      </c>
      <c r="D2620" s="270">
        <v>4383</v>
      </c>
      <c r="E2620" s="112" t="s">
        <v>212</v>
      </c>
      <c r="F2620" s="112" t="s">
        <v>3057</v>
      </c>
      <c r="G2620" s="112" t="s">
        <v>1512</v>
      </c>
      <c r="H2620" s="112" t="s">
        <v>1505</v>
      </c>
      <c r="I2620" s="112"/>
      <c r="J2620" s="112" t="b">
        <v>0</v>
      </c>
      <c r="K2620" s="112"/>
      <c r="L2620" s="112"/>
      <c r="M2620" s="112"/>
      <c r="N2620" s="112"/>
      <c r="O2620" s="112"/>
      <c r="P2620" s="112" t="s">
        <v>1485</v>
      </c>
      <c r="Q2620" s="112" t="s">
        <v>1228</v>
      </c>
    </row>
    <row r="2621" spans="2:17" hidden="1" outlineLevel="2">
      <c r="B2621" s="2" t="s">
        <v>876</v>
      </c>
      <c r="D2621" s="268">
        <v>4384</v>
      </c>
      <c r="E2621" s="114" t="s">
        <v>212</v>
      </c>
      <c r="F2621" s="114" t="s">
        <v>3058</v>
      </c>
      <c r="G2621" s="114" t="s">
        <v>1512</v>
      </c>
      <c r="H2621" s="114" t="s">
        <v>1505</v>
      </c>
      <c r="I2621" s="114"/>
      <c r="J2621" s="114" t="b">
        <v>0</v>
      </c>
      <c r="K2621" s="114"/>
      <c r="L2621" s="114"/>
      <c r="M2621" s="114"/>
      <c r="N2621" s="114"/>
      <c r="O2621" s="114"/>
      <c r="P2621" s="114" t="s">
        <v>1485</v>
      </c>
      <c r="Q2621" s="114" t="s">
        <v>1228</v>
      </c>
    </row>
    <row r="2622" spans="2:17" hidden="1" outlineLevel="2">
      <c r="B2622" s="2" t="s">
        <v>876</v>
      </c>
      <c r="D2622" s="270">
        <v>4385</v>
      </c>
      <c r="E2622" s="112" t="s">
        <v>212</v>
      </c>
      <c r="F2622" s="112" t="s">
        <v>3059</v>
      </c>
      <c r="G2622" s="221" t="s">
        <v>1512</v>
      </c>
      <c r="H2622" s="112" t="s">
        <v>1505</v>
      </c>
      <c r="I2622" s="112"/>
      <c r="J2622" s="112" t="b">
        <v>0</v>
      </c>
      <c r="K2622" s="112"/>
      <c r="L2622" s="112"/>
      <c r="M2622" s="112"/>
      <c r="N2622" s="112"/>
      <c r="O2622" s="112"/>
      <c r="P2622" s="112" t="s">
        <v>1485</v>
      </c>
      <c r="Q2622" s="112" t="s">
        <v>1228</v>
      </c>
    </row>
    <row r="2623" spans="2:17" hidden="1" outlineLevel="2">
      <c r="B2623" s="2" t="s">
        <v>876</v>
      </c>
      <c r="D2623" s="268">
        <v>4387</v>
      </c>
      <c r="E2623" s="114" t="s">
        <v>212</v>
      </c>
      <c r="F2623" s="114" t="s">
        <v>3060</v>
      </c>
      <c r="G2623" s="114" t="s">
        <v>1512</v>
      </c>
      <c r="H2623" s="114" t="s">
        <v>1505</v>
      </c>
      <c r="I2623" s="114"/>
      <c r="J2623" s="114" t="b">
        <v>0</v>
      </c>
      <c r="K2623" s="114"/>
      <c r="L2623" s="114"/>
      <c r="M2623" s="114"/>
      <c r="N2623" s="114"/>
      <c r="O2623" s="114"/>
      <c r="P2623" s="114" t="s">
        <v>1485</v>
      </c>
      <c r="Q2623" s="114" t="s">
        <v>1228</v>
      </c>
    </row>
    <row r="2624" spans="2:17" hidden="1" outlineLevel="2">
      <c r="B2624" s="2" t="s">
        <v>876</v>
      </c>
      <c r="D2624" s="270">
        <v>4388</v>
      </c>
      <c r="E2624" s="112" t="s">
        <v>212</v>
      </c>
      <c r="F2624" s="112" t="s">
        <v>3061</v>
      </c>
      <c r="G2624" s="112" t="s">
        <v>1512</v>
      </c>
      <c r="H2624" s="112" t="s">
        <v>1512</v>
      </c>
      <c r="I2624" s="112"/>
      <c r="J2624" s="112" t="b">
        <v>0</v>
      </c>
      <c r="K2624" s="112"/>
      <c r="L2624" s="112" t="b">
        <v>1</v>
      </c>
      <c r="M2624" s="112"/>
      <c r="N2624" s="112"/>
      <c r="O2624" s="112"/>
      <c r="P2624" s="112" t="s">
        <v>1485</v>
      </c>
      <c r="Q2624" s="112" t="s">
        <v>1228</v>
      </c>
    </row>
    <row r="2625" spans="2:17" hidden="1" outlineLevel="2">
      <c r="B2625" s="2" t="s">
        <v>876</v>
      </c>
      <c r="D2625" s="268">
        <v>4390</v>
      </c>
      <c r="E2625" s="114" t="s">
        <v>212</v>
      </c>
      <c r="F2625" s="114" t="s">
        <v>3062</v>
      </c>
      <c r="G2625" s="114" t="s">
        <v>1493</v>
      </c>
      <c r="H2625" s="114" t="s">
        <v>1505</v>
      </c>
      <c r="I2625" s="114"/>
      <c r="J2625" s="114" t="b">
        <v>0</v>
      </c>
      <c r="K2625" s="114"/>
      <c r="L2625" s="114"/>
      <c r="M2625" s="114"/>
      <c r="N2625" s="114"/>
      <c r="O2625" s="114"/>
      <c r="P2625" s="114" t="s">
        <v>1485</v>
      </c>
      <c r="Q2625" s="114" t="s">
        <v>1228</v>
      </c>
    </row>
    <row r="2626" spans="2:17" hidden="1" outlineLevel="2">
      <c r="B2626" s="2" t="s">
        <v>876</v>
      </c>
      <c r="D2626" s="270">
        <v>4400</v>
      </c>
      <c r="E2626" s="112" t="s">
        <v>212</v>
      </c>
      <c r="F2626" s="112" t="s">
        <v>3063</v>
      </c>
      <c r="G2626" s="112" t="s">
        <v>1512</v>
      </c>
      <c r="H2626" s="112" t="s">
        <v>1505</v>
      </c>
      <c r="I2626" s="112"/>
      <c r="J2626" s="112" t="b">
        <v>0</v>
      </c>
      <c r="K2626" s="112"/>
      <c r="L2626" s="112"/>
      <c r="M2626" s="112"/>
      <c r="N2626" s="112"/>
      <c r="O2626" s="112"/>
      <c r="P2626" s="112" t="s">
        <v>1485</v>
      </c>
      <c r="Q2626" s="112" t="s">
        <v>1228</v>
      </c>
    </row>
    <row r="2627" spans="2:17" hidden="1" outlineLevel="2">
      <c r="B2627" s="2" t="s">
        <v>876</v>
      </c>
      <c r="D2627" s="268">
        <v>4401</v>
      </c>
      <c r="E2627" s="114" t="s">
        <v>212</v>
      </c>
      <c r="F2627" s="114" t="s">
        <v>3064</v>
      </c>
      <c r="G2627" s="114" t="s">
        <v>1493</v>
      </c>
      <c r="H2627" s="114" t="s">
        <v>1505</v>
      </c>
      <c r="I2627" s="114"/>
      <c r="J2627" s="114" t="b">
        <v>0</v>
      </c>
      <c r="K2627" s="114"/>
      <c r="L2627" s="114"/>
      <c r="M2627" s="114"/>
      <c r="N2627" s="114"/>
      <c r="O2627" s="114"/>
      <c r="P2627" s="114" t="s">
        <v>1485</v>
      </c>
      <c r="Q2627" s="114" t="s">
        <v>1228</v>
      </c>
    </row>
    <row r="2628" spans="2:17" hidden="1" outlineLevel="2">
      <c r="B2628" s="2" t="s">
        <v>876</v>
      </c>
      <c r="D2628" s="270">
        <v>4402</v>
      </c>
      <c r="E2628" s="112" t="s">
        <v>212</v>
      </c>
      <c r="F2628" s="112" t="s">
        <v>3065</v>
      </c>
      <c r="G2628" s="112" t="s">
        <v>1512</v>
      </c>
      <c r="H2628" s="112" t="s">
        <v>1505</v>
      </c>
      <c r="I2628" s="112"/>
      <c r="J2628" s="112" t="b">
        <v>0</v>
      </c>
      <c r="K2628" s="112"/>
      <c r="L2628" s="112"/>
      <c r="M2628" s="112"/>
      <c r="N2628" s="112"/>
      <c r="O2628" s="112"/>
      <c r="P2628" s="112" t="s">
        <v>1485</v>
      </c>
      <c r="Q2628" s="112" t="s">
        <v>1228</v>
      </c>
    </row>
    <row r="2629" spans="2:17" hidden="1" outlineLevel="2">
      <c r="B2629" s="2" t="s">
        <v>876</v>
      </c>
      <c r="D2629" s="268">
        <v>4403</v>
      </c>
      <c r="E2629" s="114" t="s">
        <v>212</v>
      </c>
      <c r="F2629" s="114" t="s">
        <v>3066</v>
      </c>
      <c r="G2629" s="114" t="s">
        <v>1512</v>
      </c>
      <c r="H2629" s="114" t="s">
        <v>1512</v>
      </c>
      <c r="I2629" s="114"/>
      <c r="J2629" s="114" t="b">
        <v>0</v>
      </c>
      <c r="K2629" s="114"/>
      <c r="L2629" s="114"/>
      <c r="M2629" s="114"/>
      <c r="N2629" s="114"/>
      <c r="O2629" s="114"/>
      <c r="P2629" s="114" t="s">
        <v>1485</v>
      </c>
      <c r="Q2629" s="114" t="s">
        <v>1228</v>
      </c>
    </row>
    <row r="2630" spans="2:17" hidden="1" outlineLevel="2">
      <c r="B2630" s="2" t="s">
        <v>876</v>
      </c>
      <c r="D2630" s="270">
        <v>4404</v>
      </c>
      <c r="E2630" s="112" t="s">
        <v>212</v>
      </c>
      <c r="F2630" s="112" t="s">
        <v>3067</v>
      </c>
      <c r="G2630" s="112" t="s">
        <v>1512</v>
      </c>
      <c r="H2630" s="112" t="s">
        <v>1505</v>
      </c>
      <c r="I2630" s="112"/>
      <c r="J2630" s="112" t="b">
        <v>0</v>
      </c>
      <c r="K2630" s="112"/>
      <c r="L2630" s="112"/>
      <c r="M2630" s="112"/>
      <c r="N2630" s="112"/>
      <c r="O2630" s="112"/>
      <c r="P2630" s="112" t="s">
        <v>1485</v>
      </c>
      <c r="Q2630" s="112" t="s">
        <v>1228</v>
      </c>
    </row>
    <row r="2631" spans="2:17" hidden="1" outlineLevel="2">
      <c r="B2631" s="2" t="s">
        <v>876</v>
      </c>
      <c r="D2631" s="268">
        <v>4405</v>
      </c>
      <c r="E2631" s="114" t="s">
        <v>212</v>
      </c>
      <c r="F2631" s="114" t="s">
        <v>2103</v>
      </c>
      <c r="G2631" s="114" t="s">
        <v>1493</v>
      </c>
      <c r="H2631" s="114" t="s">
        <v>1505</v>
      </c>
      <c r="I2631" s="114"/>
      <c r="J2631" s="114" t="b">
        <v>0</v>
      </c>
      <c r="K2631" s="114" t="s">
        <v>1484</v>
      </c>
      <c r="L2631" s="114" t="b">
        <v>1</v>
      </c>
      <c r="M2631" s="114"/>
      <c r="N2631" s="114"/>
      <c r="O2631" s="114"/>
      <c r="P2631" s="114" t="s">
        <v>1485</v>
      </c>
      <c r="Q2631" s="114" t="s">
        <v>1228</v>
      </c>
    </row>
    <row r="2632" spans="2:17" hidden="1" outlineLevel="2">
      <c r="B2632" s="2" t="s">
        <v>876</v>
      </c>
      <c r="D2632" s="270">
        <v>4406</v>
      </c>
      <c r="E2632" s="112" t="s">
        <v>212</v>
      </c>
      <c r="F2632" s="112" t="s">
        <v>3068</v>
      </c>
      <c r="G2632" s="112" t="s">
        <v>1512</v>
      </c>
      <c r="H2632" s="112" t="s">
        <v>1505</v>
      </c>
      <c r="I2632" s="112"/>
      <c r="J2632" s="112" t="b">
        <v>0</v>
      </c>
      <c r="K2632" s="112"/>
      <c r="L2632" s="112"/>
      <c r="M2632" s="112"/>
      <c r="N2632" s="112"/>
      <c r="O2632" s="112"/>
      <c r="P2632" s="112" t="s">
        <v>1485</v>
      </c>
      <c r="Q2632" s="112" t="s">
        <v>1228</v>
      </c>
    </row>
    <row r="2633" spans="2:17" hidden="1" outlineLevel="2">
      <c r="B2633" s="2" t="s">
        <v>876</v>
      </c>
      <c r="D2633" s="268">
        <v>4407</v>
      </c>
      <c r="E2633" s="114" t="s">
        <v>212</v>
      </c>
      <c r="F2633" s="114" t="s">
        <v>3069</v>
      </c>
      <c r="G2633" s="114" t="s">
        <v>1512</v>
      </c>
      <c r="H2633" s="114" t="s">
        <v>1505</v>
      </c>
      <c r="I2633" s="114"/>
      <c r="J2633" s="114" t="b">
        <v>0</v>
      </c>
      <c r="K2633" s="114"/>
      <c r="L2633" s="114"/>
      <c r="M2633" s="114"/>
      <c r="N2633" s="114"/>
      <c r="O2633" s="114"/>
      <c r="P2633" s="114" t="s">
        <v>1485</v>
      </c>
      <c r="Q2633" s="114" t="s">
        <v>1228</v>
      </c>
    </row>
    <row r="2634" spans="2:17" hidden="1" outlineLevel="2">
      <c r="B2634" s="2" t="s">
        <v>876</v>
      </c>
      <c r="D2634" s="270">
        <v>4408</v>
      </c>
      <c r="E2634" s="112" t="s">
        <v>212</v>
      </c>
      <c r="F2634" s="112" t="s">
        <v>2114</v>
      </c>
      <c r="G2634" s="112" t="s">
        <v>1512</v>
      </c>
      <c r="H2634" s="112" t="s">
        <v>1512</v>
      </c>
      <c r="I2634" s="112"/>
      <c r="J2634" s="112" t="b">
        <v>0</v>
      </c>
      <c r="K2634" s="112"/>
      <c r="L2634" s="112"/>
      <c r="M2634" s="112"/>
      <c r="N2634" s="112"/>
      <c r="O2634" s="112"/>
      <c r="P2634" s="112" t="s">
        <v>1485</v>
      </c>
      <c r="Q2634" s="112" t="s">
        <v>1228</v>
      </c>
    </row>
    <row r="2635" spans="2:17" hidden="1" outlineLevel="2">
      <c r="B2635" s="2" t="s">
        <v>876</v>
      </c>
      <c r="D2635" s="268">
        <v>4410</v>
      </c>
      <c r="E2635" s="114" t="s">
        <v>212</v>
      </c>
      <c r="F2635" s="114" t="s">
        <v>3070</v>
      </c>
      <c r="G2635" s="114" t="s">
        <v>1512</v>
      </c>
      <c r="H2635" s="114" t="s">
        <v>1505</v>
      </c>
      <c r="I2635" s="114"/>
      <c r="J2635" s="114" t="b">
        <v>0</v>
      </c>
      <c r="K2635" s="114"/>
      <c r="L2635" s="114" t="b">
        <v>1</v>
      </c>
      <c r="M2635" s="114"/>
      <c r="N2635" s="114"/>
      <c r="O2635" s="114"/>
      <c r="P2635" s="114" t="s">
        <v>1485</v>
      </c>
      <c r="Q2635" s="114" t="s">
        <v>1228</v>
      </c>
    </row>
    <row r="2636" spans="2:17" hidden="1" outlineLevel="2">
      <c r="B2636" s="2" t="s">
        <v>876</v>
      </c>
      <c r="D2636" s="270">
        <v>4411</v>
      </c>
      <c r="E2636" s="112" t="s">
        <v>212</v>
      </c>
      <c r="F2636" s="112" t="s">
        <v>3071</v>
      </c>
      <c r="G2636" s="112" t="s">
        <v>1512</v>
      </c>
      <c r="H2636" s="112" t="s">
        <v>1505</v>
      </c>
      <c r="I2636" s="112"/>
      <c r="J2636" s="112" t="b">
        <v>0</v>
      </c>
      <c r="K2636" s="112"/>
      <c r="L2636" s="112" t="b">
        <v>1</v>
      </c>
      <c r="M2636" s="112"/>
      <c r="N2636" s="112"/>
      <c r="O2636" s="112"/>
      <c r="P2636" s="112" t="s">
        <v>1485</v>
      </c>
      <c r="Q2636" s="112" t="s">
        <v>1228</v>
      </c>
    </row>
    <row r="2637" spans="2:17" hidden="1" outlineLevel="2">
      <c r="B2637" s="2" t="s">
        <v>876</v>
      </c>
      <c r="D2637" s="268">
        <v>4412</v>
      </c>
      <c r="E2637" s="114" t="s">
        <v>212</v>
      </c>
      <c r="F2637" s="114" t="s">
        <v>3072</v>
      </c>
      <c r="G2637" s="114" t="s">
        <v>1512</v>
      </c>
      <c r="H2637" s="114" t="s">
        <v>1505</v>
      </c>
      <c r="I2637" s="114"/>
      <c r="J2637" s="114" t="b">
        <v>0</v>
      </c>
      <c r="K2637" s="114"/>
      <c r="L2637" s="114" t="b">
        <v>1</v>
      </c>
      <c r="M2637" s="114"/>
      <c r="N2637" s="114"/>
      <c r="O2637" s="114"/>
      <c r="P2637" s="114" t="s">
        <v>1485</v>
      </c>
      <c r="Q2637" s="114" t="s">
        <v>1228</v>
      </c>
    </row>
    <row r="2638" spans="2:17" hidden="1" outlineLevel="2">
      <c r="B2638" s="2" t="s">
        <v>876</v>
      </c>
      <c r="D2638" s="270">
        <v>4413</v>
      </c>
      <c r="E2638" s="112" t="s">
        <v>212</v>
      </c>
      <c r="F2638" s="112" t="s">
        <v>3073</v>
      </c>
      <c r="G2638" s="221" t="s">
        <v>1493</v>
      </c>
      <c r="H2638" s="112" t="s">
        <v>1533</v>
      </c>
      <c r="I2638" s="112"/>
      <c r="J2638" s="112" t="b">
        <v>0</v>
      </c>
      <c r="K2638" s="112" t="s">
        <v>1552</v>
      </c>
      <c r="L2638" s="112" t="b">
        <v>1</v>
      </c>
      <c r="M2638" s="112"/>
      <c r="N2638" s="112"/>
      <c r="O2638" s="112"/>
      <c r="P2638" s="112" t="s">
        <v>1485</v>
      </c>
      <c r="Q2638" s="112" t="s">
        <v>1228</v>
      </c>
    </row>
    <row r="2639" spans="2:17" hidden="1" outlineLevel="2">
      <c r="B2639" s="2" t="s">
        <v>876</v>
      </c>
      <c r="D2639" s="268">
        <v>4415</v>
      </c>
      <c r="E2639" s="114" t="s">
        <v>212</v>
      </c>
      <c r="F2639" s="114" t="s">
        <v>3074</v>
      </c>
      <c r="G2639" s="114" t="s">
        <v>1512</v>
      </c>
      <c r="H2639" s="114" t="s">
        <v>1533</v>
      </c>
      <c r="I2639" s="114"/>
      <c r="J2639" s="114" t="b">
        <v>0</v>
      </c>
      <c r="K2639" s="114" t="s">
        <v>1552</v>
      </c>
      <c r="L2639" s="114" t="b">
        <v>1</v>
      </c>
      <c r="M2639" s="114"/>
      <c r="N2639" s="114"/>
      <c r="O2639" s="114"/>
      <c r="P2639" s="114" t="s">
        <v>1485</v>
      </c>
      <c r="Q2639" s="114" t="s">
        <v>1228</v>
      </c>
    </row>
    <row r="2640" spans="2:17" hidden="1" outlineLevel="2">
      <c r="B2640" s="2" t="s">
        <v>876</v>
      </c>
      <c r="D2640" s="270">
        <v>4416</v>
      </c>
      <c r="E2640" s="112" t="s">
        <v>212</v>
      </c>
      <c r="F2640" s="112" t="s">
        <v>3075</v>
      </c>
      <c r="G2640" s="112" t="s">
        <v>1512</v>
      </c>
      <c r="H2640" s="112" t="s">
        <v>1512</v>
      </c>
      <c r="I2640" s="112"/>
      <c r="J2640" s="112" t="b">
        <v>0</v>
      </c>
      <c r="K2640" s="112"/>
      <c r="L2640" s="112" t="b">
        <v>1</v>
      </c>
      <c r="M2640" s="112"/>
      <c r="N2640" s="112"/>
      <c r="O2640" s="112"/>
      <c r="P2640" s="112" t="s">
        <v>1485</v>
      </c>
      <c r="Q2640" s="112" t="s">
        <v>1228</v>
      </c>
    </row>
    <row r="2641" spans="2:17" hidden="1" outlineLevel="2">
      <c r="B2641" s="2" t="s">
        <v>876</v>
      </c>
      <c r="D2641" s="268">
        <v>4417</v>
      </c>
      <c r="E2641" s="114" t="s">
        <v>212</v>
      </c>
      <c r="F2641" s="114" t="s">
        <v>3076</v>
      </c>
      <c r="G2641" s="114" t="s">
        <v>1512</v>
      </c>
      <c r="H2641" s="114" t="s">
        <v>1505</v>
      </c>
      <c r="I2641" s="114"/>
      <c r="J2641" s="114" t="b">
        <v>0</v>
      </c>
      <c r="K2641" s="114"/>
      <c r="L2641" s="114"/>
      <c r="M2641" s="114"/>
      <c r="N2641" s="114"/>
      <c r="O2641" s="114"/>
      <c r="P2641" s="114" t="s">
        <v>1485</v>
      </c>
      <c r="Q2641" s="114" t="s">
        <v>1228</v>
      </c>
    </row>
    <row r="2642" spans="2:17" hidden="1" outlineLevel="2">
      <c r="B2642" s="2" t="s">
        <v>876</v>
      </c>
      <c r="D2642" s="270">
        <v>4418</v>
      </c>
      <c r="E2642" s="112" t="s">
        <v>212</v>
      </c>
      <c r="F2642" s="112" t="s">
        <v>3077</v>
      </c>
      <c r="G2642" s="112" t="s">
        <v>1512</v>
      </c>
      <c r="H2642" s="112" t="s">
        <v>1512</v>
      </c>
      <c r="I2642" s="112"/>
      <c r="J2642" s="112" t="b">
        <v>0</v>
      </c>
      <c r="K2642" s="112"/>
      <c r="L2642" s="112" t="b">
        <v>1</v>
      </c>
      <c r="M2642" s="112"/>
      <c r="N2642" s="112"/>
      <c r="O2642" s="112"/>
      <c r="P2642" s="112" t="s">
        <v>1485</v>
      </c>
      <c r="Q2642" s="112" t="s">
        <v>1228</v>
      </c>
    </row>
    <row r="2643" spans="2:17" hidden="1" outlineLevel="2">
      <c r="B2643" s="2" t="s">
        <v>876</v>
      </c>
      <c r="D2643" s="268">
        <v>4419</v>
      </c>
      <c r="E2643" s="114" t="s">
        <v>212</v>
      </c>
      <c r="F2643" s="114" t="s">
        <v>2735</v>
      </c>
      <c r="G2643" s="114" t="s">
        <v>1512</v>
      </c>
      <c r="H2643" s="114" t="s">
        <v>1505</v>
      </c>
      <c r="I2643" s="114"/>
      <c r="J2643" s="114" t="b">
        <v>0</v>
      </c>
      <c r="K2643" s="114"/>
      <c r="L2643" s="114" t="b">
        <v>1</v>
      </c>
      <c r="M2643" s="114"/>
      <c r="N2643" s="114"/>
      <c r="O2643" s="114"/>
      <c r="P2643" s="114" t="s">
        <v>1485</v>
      </c>
      <c r="Q2643" s="114" t="s">
        <v>1228</v>
      </c>
    </row>
    <row r="2644" spans="2:17" hidden="1" outlineLevel="2">
      <c r="B2644" s="2" t="s">
        <v>876</v>
      </c>
      <c r="D2644" s="270">
        <v>4420</v>
      </c>
      <c r="E2644" s="112" t="s">
        <v>212</v>
      </c>
      <c r="F2644" s="112" t="s">
        <v>3078</v>
      </c>
      <c r="G2644" s="112" t="s">
        <v>1533</v>
      </c>
      <c r="H2644" s="112" t="s">
        <v>1505</v>
      </c>
      <c r="I2644" s="112"/>
      <c r="J2644" s="112" t="b">
        <v>1</v>
      </c>
      <c r="K2644" s="112"/>
      <c r="L2644" s="112" t="b">
        <v>1</v>
      </c>
      <c r="M2644" s="112"/>
      <c r="N2644" s="112"/>
      <c r="O2644" s="112"/>
      <c r="P2644" s="112" t="s">
        <v>1485</v>
      </c>
      <c r="Q2644" s="112" t="s">
        <v>1228</v>
      </c>
    </row>
    <row r="2645" spans="2:17" hidden="1" outlineLevel="2">
      <c r="B2645" s="2" t="s">
        <v>876</v>
      </c>
      <c r="D2645" s="268">
        <v>4421</v>
      </c>
      <c r="E2645" s="114" t="s">
        <v>212</v>
      </c>
      <c r="F2645" s="114" t="s">
        <v>3079</v>
      </c>
      <c r="G2645" s="114" t="s">
        <v>1512</v>
      </c>
      <c r="H2645" s="114" t="s">
        <v>1505</v>
      </c>
      <c r="I2645" s="114"/>
      <c r="J2645" s="114" t="b">
        <v>0</v>
      </c>
      <c r="K2645" s="114"/>
      <c r="L2645" s="114"/>
      <c r="M2645" s="114"/>
      <c r="N2645" s="114"/>
      <c r="O2645" s="114"/>
      <c r="P2645" s="114" t="s">
        <v>1485</v>
      </c>
      <c r="Q2645" s="114" t="s">
        <v>1228</v>
      </c>
    </row>
    <row r="2646" spans="2:17" hidden="1" outlineLevel="2">
      <c r="B2646" s="2" t="s">
        <v>876</v>
      </c>
      <c r="D2646" s="270">
        <v>4422</v>
      </c>
      <c r="E2646" s="112" t="s">
        <v>212</v>
      </c>
      <c r="F2646" s="112" t="s">
        <v>3080</v>
      </c>
      <c r="G2646" s="112" t="s">
        <v>1512</v>
      </c>
      <c r="H2646" s="112" t="s">
        <v>1505</v>
      </c>
      <c r="I2646" s="112"/>
      <c r="J2646" s="112" t="b">
        <v>0</v>
      </c>
      <c r="K2646" s="112"/>
      <c r="L2646" s="112" t="b">
        <v>1</v>
      </c>
      <c r="M2646" s="112"/>
      <c r="N2646" s="112"/>
      <c r="O2646" s="112"/>
      <c r="P2646" s="112" t="s">
        <v>1485</v>
      </c>
      <c r="Q2646" s="112" t="s">
        <v>1228</v>
      </c>
    </row>
    <row r="2647" spans="2:17" hidden="1" outlineLevel="2">
      <c r="B2647" s="2" t="s">
        <v>876</v>
      </c>
      <c r="D2647" s="268">
        <v>4423</v>
      </c>
      <c r="E2647" s="114" t="s">
        <v>212</v>
      </c>
      <c r="F2647" s="114" t="s">
        <v>3081</v>
      </c>
      <c r="G2647" s="114" t="s">
        <v>1512</v>
      </c>
      <c r="H2647" s="114" t="s">
        <v>1505</v>
      </c>
      <c r="I2647" s="114"/>
      <c r="J2647" s="114" t="b">
        <v>0</v>
      </c>
      <c r="K2647" s="114"/>
      <c r="L2647" s="114"/>
      <c r="M2647" s="114"/>
      <c r="N2647" s="114"/>
      <c r="O2647" s="114"/>
      <c r="P2647" s="114" t="s">
        <v>1485</v>
      </c>
      <c r="Q2647" s="114" t="s">
        <v>1228</v>
      </c>
    </row>
    <row r="2648" spans="2:17" hidden="1" outlineLevel="2">
      <c r="B2648" s="2" t="s">
        <v>876</v>
      </c>
      <c r="D2648" s="270">
        <v>4424</v>
      </c>
      <c r="E2648" s="112" t="s">
        <v>212</v>
      </c>
      <c r="F2648" s="112" t="s">
        <v>3082</v>
      </c>
      <c r="G2648" s="112" t="s">
        <v>1512</v>
      </c>
      <c r="H2648" s="112" t="s">
        <v>1505</v>
      </c>
      <c r="I2648" s="112"/>
      <c r="J2648" s="112" t="b">
        <v>0</v>
      </c>
      <c r="K2648" s="112"/>
      <c r="L2648" s="112"/>
      <c r="M2648" s="112"/>
      <c r="N2648" s="112"/>
      <c r="O2648" s="112"/>
      <c r="P2648" s="112" t="s">
        <v>1485</v>
      </c>
      <c r="Q2648" s="112" t="s">
        <v>1228</v>
      </c>
    </row>
    <row r="2649" spans="2:17" hidden="1" outlineLevel="2">
      <c r="B2649" s="2" t="s">
        <v>876</v>
      </c>
      <c r="D2649" s="268">
        <v>4425</v>
      </c>
      <c r="E2649" s="114" t="s">
        <v>212</v>
      </c>
      <c r="F2649" s="114" t="s">
        <v>3083</v>
      </c>
      <c r="G2649" s="114" t="s">
        <v>1512</v>
      </c>
      <c r="H2649" s="114" t="s">
        <v>1505</v>
      </c>
      <c r="I2649" s="114"/>
      <c r="J2649" s="114" t="b">
        <v>0</v>
      </c>
      <c r="K2649" s="114"/>
      <c r="L2649" s="114"/>
      <c r="M2649" s="114"/>
      <c r="N2649" s="114"/>
      <c r="O2649" s="114"/>
      <c r="P2649" s="114" t="s">
        <v>1485</v>
      </c>
      <c r="Q2649" s="114" t="s">
        <v>1228</v>
      </c>
    </row>
    <row r="2650" spans="2:17" hidden="1" outlineLevel="2">
      <c r="B2650" s="2" t="s">
        <v>876</v>
      </c>
      <c r="D2650" s="270">
        <v>4426</v>
      </c>
      <c r="E2650" s="112" t="s">
        <v>212</v>
      </c>
      <c r="F2650" s="112" t="s">
        <v>3084</v>
      </c>
      <c r="G2650" s="112" t="s">
        <v>1512</v>
      </c>
      <c r="H2650" s="112" t="s">
        <v>1505</v>
      </c>
      <c r="I2650" s="112"/>
      <c r="J2650" s="112" t="b">
        <v>0</v>
      </c>
      <c r="K2650" s="112"/>
      <c r="L2650" s="112" t="b">
        <v>1</v>
      </c>
      <c r="M2650" s="112"/>
      <c r="N2650" s="112"/>
      <c r="O2650" s="112"/>
      <c r="P2650" s="112" t="s">
        <v>1485</v>
      </c>
      <c r="Q2650" s="112" t="s">
        <v>1228</v>
      </c>
    </row>
    <row r="2651" spans="2:17" hidden="1" outlineLevel="2">
      <c r="B2651" s="2" t="s">
        <v>876</v>
      </c>
      <c r="D2651" s="268">
        <v>4427</v>
      </c>
      <c r="E2651" s="114" t="s">
        <v>212</v>
      </c>
      <c r="F2651" s="114" t="s">
        <v>3085</v>
      </c>
      <c r="G2651" s="114" t="s">
        <v>1512</v>
      </c>
      <c r="H2651" s="114" t="s">
        <v>1505</v>
      </c>
      <c r="I2651" s="114"/>
      <c r="J2651" s="114" t="b">
        <v>0</v>
      </c>
      <c r="K2651" s="114"/>
      <c r="L2651" s="114"/>
      <c r="M2651" s="114"/>
      <c r="N2651" s="114"/>
      <c r="O2651" s="114"/>
      <c r="P2651" s="114" t="s">
        <v>1485</v>
      </c>
      <c r="Q2651" s="114" t="s">
        <v>1228</v>
      </c>
    </row>
    <row r="2652" spans="2:17" hidden="1" outlineLevel="2">
      <c r="B2652" s="2" t="s">
        <v>876</v>
      </c>
      <c r="D2652" s="270">
        <v>4428</v>
      </c>
      <c r="E2652" s="112" t="s">
        <v>212</v>
      </c>
      <c r="F2652" s="112" t="s">
        <v>3086</v>
      </c>
      <c r="G2652" s="112" t="s">
        <v>1512</v>
      </c>
      <c r="H2652" s="112" t="s">
        <v>1505</v>
      </c>
      <c r="I2652" s="112"/>
      <c r="J2652" s="112" t="b">
        <v>0</v>
      </c>
      <c r="K2652" s="112"/>
      <c r="L2652" s="112"/>
      <c r="M2652" s="112"/>
      <c r="N2652" s="112"/>
      <c r="O2652" s="112"/>
      <c r="P2652" s="112" t="s">
        <v>1485</v>
      </c>
      <c r="Q2652" s="112" t="s">
        <v>1228</v>
      </c>
    </row>
    <row r="2653" spans="2:17" hidden="1" outlineLevel="2">
      <c r="B2653" s="2" t="s">
        <v>876</v>
      </c>
      <c r="D2653" s="268">
        <v>4454</v>
      </c>
      <c r="E2653" s="114" t="s">
        <v>212</v>
      </c>
      <c r="F2653" s="114" t="s">
        <v>3087</v>
      </c>
      <c r="G2653" s="114" t="s">
        <v>1512</v>
      </c>
      <c r="H2653" s="114" t="s">
        <v>1505</v>
      </c>
      <c r="I2653" s="114"/>
      <c r="J2653" s="114" t="b">
        <v>0</v>
      </c>
      <c r="K2653" s="114"/>
      <c r="L2653" s="114"/>
      <c r="M2653" s="114"/>
      <c r="N2653" s="114"/>
      <c r="O2653" s="114"/>
      <c r="P2653" s="114" t="s">
        <v>1485</v>
      </c>
      <c r="Q2653" s="114" t="s">
        <v>1228</v>
      </c>
    </row>
    <row r="2654" spans="2:17" hidden="1" outlineLevel="2">
      <c r="B2654" s="2" t="s">
        <v>876</v>
      </c>
      <c r="D2654" s="270">
        <v>4455</v>
      </c>
      <c r="E2654" s="112" t="s">
        <v>212</v>
      </c>
      <c r="F2654" s="112" t="s">
        <v>3088</v>
      </c>
      <c r="G2654" s="221" t="s">
        <v>1493</v>
      </c>
      <c r="H2654" s="112" t="s">
        <v>1533</v>
      </c>
      <c r="I2654" s="112"/>
      <c r="J2654" s="112" t="b">
        <v>0</v>
      </c>
      <c r="K2654" s="112" t="s">
        <v>1552</v>
      </c>
      <c r="L2654" s="112" t="b">
        <v>1</v>
      </c>
      <c r="M2654" s="112"/>
      <c r="N2654" s="112"/>
      <c r="O2654" s="112"/>
      <c r="P2654" s="112" t="s">
        <v>1485</v>
      </c>
      <c r="Q2654" s="112" t="s">
        <v>1228</v>
      </c>
    </row>
    <row r="2655" spans="2:17" hidden="1" outlineLevel="2">
      <c r="B2655" s="2" t="s">
        <v>876</v>
      </c>
      <c r="D2655" s="268">
        <v>4461</v>
      </c>
      <c r="E2655" s="114" t="s">
        <v>212</v>
      </c>
      <c r="F2655" s="114" t="s">
        <v>3089</v>
      </c>
      <c r="G2655" s="114" t="s">
        <v>1512</v>
      </c>
      <c r="H2655" s="114" t="s">
        <v>1505</v>
      </c>
      <c r="I2655" s="114"/>
      <c r="J2655" s="114" t="b">
        <v>0</v>
      </c>
      <c r="K2655" s="114"/>
      <c r="L2655" s="114"/>
      <c r="M2655" s="114"/>
      <c r="N2655" s="114"/>
      <c r="O2655" s="114"/>
      <c r="P2655" s="114" t="s">
        <v>1485</v>
      </c>
      <c r="Q2655" s="114" t="s">
        <v>1228</v>
      </c>
    </row>
    <row r="2656" spans="2:17" hidden="1" outlineLevel="2">
      <c r="B2656" s="2" t="s">
        <v>876</v>
      </c>
      <c r="D2656" s="270">
        <v>4462</v>
      </c>
      <c r="E2656" s="112" t="s">
        <v>212</v>
      </c>
      <c r="F2656" s="112" t="s">
        <v>3090</v>
      </c>
      <c r="G2656" s="112" t="s">
        <v>1512</v>
      </c>
      <c r="H2656" s="112" t="s">
        <v>1505</v>
      </c>
      <c r="I2656" s="112"/>
      <c r="J2656" s="112" t="b">
        <v>0</v>
      </c>
      <c r="K2656" s="112"/>
      <c r="L2656" s="112"/>
      <c r="M2656" s="112"/>
      <c r="N2656" s="112"/>
      <c r="O2656" s="112"/>
      <c r="P2656" s="112" t="s">
        <v>1485</v>
      </c>
      <c r="Q2656" s="112" t="s">
        <v>1228</v>
      </c>
    </row>
    <row r="2657" spans="2:17" hidden="1" outlineLevel="2">
      <c r="B2657" s="2" t="s">
        <v>876</v>
      </c>
      <c r="D2657" s="268">
        <v>4465</v>
      </c>
      <c r="E2657" s="114" t="s">
        <v>212</v>
      </c>
      <c r="F2657" s="114" t="s">
        <v>2436</v>
      </c>
      <c r="G2657" s="114" t="s">
        <v>1512</v>
      </c>
      <c r="H2657" s="114" t="s">
        <v>1505</v>
      </c>
      <c r="I2657" s="114"/>
      <c r="J2657" s="114" t="b">
        <v>0</v>
      </c>
      <c r="K2657" s="114"/>
      <c r="L2657" s="114"/>
      <c r="M2657" s="114"/>
      <c r="N2657" s="114"/>
      <c r="O2657" s="114"/>
      <c r="P2657" s="114" t="s">
        <v>1485</v>
      </c>
      <c r="Q2657" s="114" t="s">
        <v>1228</v>
      </c>
    </row>
    <row r="2658" spans="2:17" hidden="1" outlineLevel="2">
      <c r="B2658" s="2" t="s">
        <v>876</v>
      </c>
      <c r="D2658" s="270">
        <v>4467</v>
      </c>
      <c r="E2658" s="112" t="s">
        <v>212</v>
      </c>
      <c r="F2658" s="112" t="s">
        <v>3091</v>
      </c>
      <c r="G2658" s="112" t="s">
        <v>1512</v>
      </c>
      <c r="H2658" s="112" t="s">
        <v>1505</v>
      </c>
      <c r="I2658" s="112"/>
      <c r="J2658" s="112" t="b">
        <v>0</v>
      </c>
      <c r="K2658" s="112"/>
      <c r="L2658" s="112"/>
      <c r="M2658" s="112"/>
      <c r="N2658" s="112"/>
      <c r="O2658" s="112"/>
      <c r="P2658" s="112" t="s">
        <v>1485</v>
      </c>
      <c r="Q2658" s="112" t="s">
        <v>1228</v>
      </c>
    </row>
    <row r="2659" spans="2:17" hidden="1" outlineLevel="2">
      <c r="B2659" s="2" t="s">
        <v>876</v>
      </c>
      <c r="D2659" s="268">
        <v>4468</v>
      </c>
      <c r="E2659" s="114" t="s">
        <v>212</v>
      </c>
      <c r="F2659" s="114" t="s">
        <v>3092</v>
      </c>
      <c r="G2659" s="114" t="s">
        <v>1512</v>
      </c>
      <c r="H2659" s="114" t="s">
        <v>1505</v>
      </c>
      <c r="I2659" s="114"/>
      <c r="J2659" s="114" t="b">
        <v>0</v>
      </c>
      <c r="K2659" s="114"/>
      <c r="L2659" s="114"/>
      <c r="M2659" s="114"/>
      <c r="N2659" s="114"/>
      <c r="O2659" s="114"/>
      <c r="P2659" s="114" t="s">
        <v>1485</v>
      </c>
      <c r="Q2659" s="114" t="s">
        <v>1228</v>
      </c>
    </row>
    <row r="2660" spans="2:17" hidden="1" outlineLevel="2">
      <c r="B2660" s="2" t="s">
        <v>876</v>
      </c>
      <c r="D2660" s="270">
        <v>4470</v>
      </c>
      <c r="E2660" s="112" t="s">
        <v>212</v>
      </c>
      <c r="F2660" s="112" t="s">
        <v>3093</v>
      </c>
      <c r="G2660" s="112" t="s">
        <v>1493</v>
      </c>
      <c r="H2660" s="112" t="s">
        <v>1505</v>
      </c>
      <c r="I2660" s="112"/>
      <c r="J2660" s="112" t="b">
        <v>0</v>
      </c>
      <c r="K2660" s="112"/>
      <c r="L2660" s="112" t="b">
        <v>1</v>
      </c>
      <c r="M2660" s="112"/>
      <c r="N2660" s="112"/>
      <c r="O2660" s="112"/>
      <c r="P2660" s="112" t="s">
        <v>1485</v>
      </c>
      <c r="Q2660" s="112" t="s">
        <v>1228</v>
      </c>
    </row>
    <row r="2661" spans="2:17" hidden="1" outlineLevel="2">
      <c r="B2661" s="2" t="s">
        <v>876</v>
      </c>
      <c r="D2661" s="268">
        <v>4471</v>
      </c>
      <c r="E2661" s="114" t="s">
        <v>212</v>
      </c>
      <c r="F2661" s="114" t="s">
        <v>3094</v>
      </c>
      <c r="G2661" s="114" t="s">
        <v>1512</v>
      </c>
      <c r="H2661" s="114" t="s">
        <v>1512</v>
      </c>
      <c r="I2661" s="114"/>
      <c r="J2661" s="114" t="b">
        <v>0</v>
      </c>
      <c r="K2661" s="114"/>
      <c r="L2661" s="114"/>
      <c r="M2661" s="114"/>
      <c r="N2661" s="114"/>
      <c r="O2661" s="114"/>
      <c r="P2661" s="114" t="s">
        <v>1485</v>
      </c>
      <c r="Q2661" s="114" t="s">
        <v>1228</v>
      </c>
    </row>
    <row r="2662" spans="2:17" hidden="1" outlineLevel="2">
      <c r="B2662" s="2" t="s">
        <v>876</v>
      </c>
      <c r="D2662" s="270">
        <v>4472</v>
      </c>
      <c r="E2662" s="112" t="s">
        <v>212</v>
      </c>
      <c r="F2662" s="112" t="s">
        <v>3095</v>
      </c>
      <c r="G2662" s="112" t="s">
        <v>1512</v>
      </c>
      <c r="H2662" s="112" t="s">
        <v>1505</v>
      </c>
      <c r="I2662" s="112"/>
      <c r="J2662" s="112" t="b">
        <v>0</v>
      </c>
      <c r="K2662" s="112"/>
      <c r="L2662" s="112"/>
      <c r="M2662" s="112"/>
      <c r="N2662" s="112"/>
      <c r="O2662" s="112"/>
      <c r="P2662" s="112" t="s">
        <v>1485</v>
      </c>
      <c r="Q2662" s="112" t="s">
        <v>1228</v>
      </c>
    </row>
    <row r="2663" spans="2:17" hidden="1" outlineLevel="2">
      <c r="B2663" s="2" t="s">
        <v>876</v>
      </c>
      <c r="D2663" s="268">
        <v>4474</v>
      </c>
      <c r="E2663" s="114" t="s">
        <v>212</v>
      </c>
      <c r="F2663" s="114" t="s">
        <v>3096</v>
      </c>
      <c r="G2663" s="114" t="s">
        <v>1512</v>
      </c>
      <c r="H2663" s="114" t="s">
        <v>1505</v>
      </c>
      <c r="I2663" s="114"/>
      <c r="J2663" s="114" t="b">
        <v>0</v>
      </c>
      <c r="K2663" s="114"/>
      <c r="L2663" s="114"/>
      <c r="M2663" s="114"/>
      <c r="N2663" s="114"/>
      <c r="O2663" s="114"/>
      <c r="P2663" s="114" t="s">
        <v>1485</v>
      </c>
      <c r="Q2663" s="114" t="s">
        <v>1228</v>
      </c>
    </row>
    <row r="2664" spans="2:17" hidden="1" outlineLevel="2">
      <c r="B2664" s="2" t="s">
        <v>876</v>
      </c>
      <c r="D2664" s="270">
        <v>4475</v>
      </c>
      <c r="E2664" s="112" t="s">
        <v>212</v>
      </c>
      <c r="F2664" s="112" t="s">
        <v>3097</v>
      </c>
      <c r="G2664" s="112" t="s">
        <v>1512</v>
      </c>
      <c r="H2664" s="112" t="s">
        <v>1505</v>
      </c>
      <c r="I2664" s="112"/>
      <c r="J2664" s="112" t="b">
        <v>0</v>
      </c>
      <c r="K2664" s="112"/>
      <c r="L2664" s="112"/>
      <c r="M2664" s="112"/>
      <c r="N2664" s="112"/>
      <c r="O2664" s="112"/>
      <c r="P2664" s="112" t="s">
        <v>1485</v>
      </c>
      <c r="Q2664" s="112" t="s">
        <v>1228</v>
      </c>
    </row>
    <row r="2665" spans="2:17" hidden="1" outlineLevel="2">
      <c r="B2665" s="2" t="s">
        <v>876</v>
      </c>
      <c r="D2665" s="268">
        <v>4477</v>
      </c>
      <c r="E2665" s="114" t="s">
        <v>212</v>
      </c>
      <c r="F2665" s="114" t="s">
        <v>3098</v>
      </c>
      <c r="G2665" s="221" t="s">
        <v>1512</v>
      </c>
      <c r="H2665" s="114" t="s">
        <v>1505</v>
      </c>
      <c r="I2665" s="114"/>
      <c r="J2665" s="114" t="b">
        <v>0</v>
      </c>
      <c r="K2665" s="114"/>
      <c r="L2665" s="114"/>
      <c r="M2665" s="114"/>
      <c r="N2665" s="114"/>
      <c r="O2665" s="114"/>
      <c r="P2665" s="114" t="s">
        <v>1485</v>
      </c>
      <c r="Q2665" s="114" t="s">
        <v>1228</v>
      </c>
    </row>
    <row r="2666" spans="2:17" hidden="1" outlineLevel="2">
      <c r="B2666" s="2" t="s">
        <v>876</v>
      </c>
      <c r="D2666" s="270">
        <v>4478</v>
      </c>
      <c r="E2666" s="112" t="s">
        <v>212</v>
      </c>
      <c r="F2666" s="112" t="s">
        <v>3099</v>
      </c>
      <c r="G2666" s="112" t="s">
        <v>1512</v>
      </c>
      <c r="H2666" s="112" t="s">
        <v>1505</v>
      </c>
      <c r="I2666" s="112"/>
      <c r="J2666" s="112" t="b">
        <v>0</v>
      </c>
      <c r="K2666" s="112"/>
      <c r="L2666" s="112"/>
      <c r="M2666" s="112"/>
      <c r="N2666" s="112"/>
      <c r="O2666" s="112"/>
      <c r="P2666" s="112" t="s">
        <v>1485</v>
      </c>
      <c r="Q2666" s="112" t="s">
        <v>1228</v>
      </c>
    </row>
    <row r="2667" spans="2:17" hidden="1" outlineLevel="2">
      <c r="B2667" s="2" t="s">
        <v>876</v>
      </c>
      <c r="D2667" s="268">
        <v>4479</v>
      </c>
      <c r="E2667" s="114" t="s">
        <v>212</v>
      </c>
      <c r="F2667" s="114" t="s">
        <v>3100</v>
      </c>
      <c r="G2667" s="114" t="s">
        <v>1512</v>
      </c>
      <c r="H2667" s="114" t="s">
        <v>1505</v>
      </c>
      <c r="I2667" s="114"/>
      <c r="J2667" s="114" t="b">
        <v>0</v>
      </c>
      <c r="K2667" s="114"/>
      <c r="L2667" s="114"/>
      <c r="M2667" s="114"/>
      <c r="N2667" s="114"/>
      <c r="O2667" s="114"/>
      <c r="P2667" s="114" t="s">
        <v>1485</v>
      </c>
      <c r="Q2667" s="114" t="s">
        <v>1228</v>
      </c>
    </row>
    <row r="2668" spans="2:17" hidden="1" outlineLevel="2">
      <c r="B2668" s="2" t="s">
        <v>876</v>
      </c>
      <c r="D2668" s="270">
        <v>4480</v>
      </c>
      <c r="E2668" s="112" t="s">
        <v>212</v>
      </c>
      <c r="F2668" s="112" t="s">
        <v>3101</v>
      </c>
      <c r="G2668" s="112" t="s">
        <v>1512</v>
      </c>
      <c r="H2668" s="112" t="s">
        <v>1505</v>
      </c>
      <c r="I2668" s="112"/>
      <c r="J2668" s="112" t="b">
        <v>0</v>
      </c>
      <c r="K2668" s="112"/>
      <c r="L2668" s="112" t="b">
        <v>1</v>
      </c>
      <c r="M2668" s="112"/>
      <c r="N2668" s="112"/>
      <c r="O2668" s="112"/>
      <c r="P2668" s="112" t="s">
        <v>1485</v>
      </c>
      <c r="Q2668" s="112" t="s">
        <v>1228</v>
      </c>
    </row>
    <row r="2669" spans="2:17" hidden="1" outlineLevel="2">
      <c r="B2669" s="2" t="s">
        <v>876</v>
      </c>
      <c r="D2669" s="268">
        <v>4481</v>
      </c>
      <c r="E2669" s="114" t="s">
        <v>212</v>
      </c>
      <c r="F2669" s="114" t="s">
        <v>3102</v>
      </c>
      <c r="G2669" s="114" t="s">
        <v>1512</v>
      </c>
      <c r="H2669" s="114" t="s">
        <v>1505</v>
      </c>
      <c r="I2669" s="114"/>
      <c r="J2669" s="114" t="b">
        <v>0</v>
      </c>
      <c r="K2669" s="114"/>
      <c r="L2669" s="114"/>
      <c r="M2669" s="114"/>
      <c r="N2669" s="114"/>
      <c r="O2669" s="114"/>
      <c r="P2669" s="114" t="s">
        <v>1485</v>
      </c>
      <c r="Q2669" s="114" t="s">
        <v>1228</v>
      </c>
    </row>
    <row r="2670" spans="2:17" hidden="1" outlineLevel="2">
      <c r="B2670" s="2" t="s">
        <v>876</v>
      </c>
      <c r="D2670" s="270">
        <v>4482</v>
      </c>
      <c r="E2670" s="112" t="s">
        <v>212</v>
      </c>
      <c r="F2670" s="112" t="s">
        <v>3103</v>
      </c>
      <c r="G2670" s="112" t="s">
        <v>1512</v>
      </c>
      <c r="H2670" s="112" t="s">
        <v>1505</v>
      </c>
      <c r="I2670" s="112"/>
      <c r="J2670" s="112" t="b">
        <v>0</v>
      </c>
      <c r="K2670" s="112"/>
      <c r="L2670" s="112"/>
      <c r="M2670" s="112"/>
      <c r="N2670" s="112"/>
      <c r="O2670" s="112"/>
      <c r="P2670" s="112" t="s">
        <v>1485</v>
      </c>
      <c r="Q2670" s="112" t="s">
        <v>1228</v>
      </c>
    </row>
    <row r="2671" spans="2:17" hidden="1" outlineLevel="2">
      <c r="B2671" s="2" t="s">
        <v>876</v>
      </c>
      <c r="D2671" s="268">
        <v>4486</v>
      </c>
      <c r="E2671" s="114" t="s">
        <v>212</v>
      </c>
      <c r="F2671" s="114" t="s">
        <v>3104</v>
      </c>
      <c r="G2671" s="114" t="s">
        <v>1512</v>
      </c>
      <c r="H2671" s="114" t="s">
        <v>1512</v>
      </c>
      <c r="I2671" s="114"/>
      <c r="J2671" s="114" t="b">
        <v>0</v>
      </c>
      <c r="K2671" s="114"/>
      <c r="L2671" s="114" t="b">
        <v>1</v>
      </c>
      <c r="M2671" s="114"/>
      <c r="N2671" s="114"/>
      <c r="O2671" s="114"/>
      <c r="P2671" s="114" t="s">
        <v>1485</v>
      </c>
      <c r="Q2671" s="114" t="s">
        <v>1228</v>
      </c>
    </row>
    <row r="2672" spans="2:17" hidden="1" outlineLevel="2">
      <c r="B2672" s="2" t="s">
        <v>876</v>
      </c>
      <c r="D2672" s="270">
        <v>4487</v>
      </c>
      <c r="E2672" s="112" t="s">
        <v>212</v>
      </c>
      <c r="F2672" s="112" t="s">
        <v>3105</v>
      </c>
      <c r="G2672" s="112" t="s">
        <v>1512</v>
      </c>
      <c r="H2672" s="112" t="s">
        <v>1505</v>
      </c>
      <c r="I2672" s="112"/>
      <c r="J2672" s="112" t="b">
        <v>0</v>
      </c>
      <c r="K2672" s="112"/>
      <c r="L2672" s="112"/>
      <c r="M2672" s="112"/>
      <c r="N2672" s="112"/>
      <c r="O2672" s="112"/>
      <c r="P2672" s="112" t="s">
        <v>1485</v>
      </c>
      <c r="Q2672" s="112" t="s">
        <v>1228</v>
      </c>
    </row>
    <row r="2673" spans="2:17" hidden="1" outlineLevel="2">
      <c r="B2673" s="2" t="s">
        <v>876</v>
      </c>
      <c r="D2673" s="268">
        <v>4488</v>
      </c>
      <c r="E2673" s="114" t="s">
        <v>212</v>
      </c>
      <c r="F2673" s="114" t="s">
        <v>3106</v>
      </c>
      <c r="G2673" s="114" t="s">
        <v>1512</v>
      </c>
      <c r="H2673" s="114" t="s">
        <v>1505</v>
      </c>
      <c r="I2673" s="114"/>
      <c r="J2673" s="114" t="b">
        <v>0</v>
      </c>
      <c r="K2673" s="114"/>
      <c r="L2673" s="114"/>
      <c r="M2673" s="114"/>
      <c r="N2673" s="114"/>
      <c r="O2673" s="114"/>
      <c r="P2673" s="114" t="s">
        <v>1485</v>
      </c>
      <c r="Q2673" s="114" t="s">
        <v>1228</v>
      </c>
    </row>
    <row r="2674" spans="2:17" hidden="1" outlineLevel="2">
      <c r="B2674" s="2" t="s">
        <v>876</v>
      </c>
      <c r="D2674" s="270">
        <v>4489</v>
      </c>
      <c r="E2674" s="112" t="s">
        <v>212</v>
      </c>
      <c r="F2674" s="112" t="s">
        <v>3107</v>
      </c>
      <c r="G2674" s="112" t="s">
        <v>1512</v>
      </c>
      <c r="H2674" s="112" t="s">
        <v>1505</v>
      </c>
      <c r="I2674" s="112"/>
      <c r="J2674" s="112" t="b">
        <v>0</v>
      </c>
      <c r="K2674" s="112"/>
      <c r="L2674" s="112"/>
      <c r="M2674" s="112"/>
      <c r="N2674" s="112"/>
      <c r="O2674" s="112"/>
      <c r="P2674" s="112" t="s">
        <v>1485</v>
      </c>
      <c r="Q2674" s="112" t="s">
        <v>1228</v>
      </c>
    </row>
    <row r="2675" spans="2:17" hidden="1" outlineLevel="2">
      <c r="B2675" s="2" t="s">
        <v>876</v>
      </c>
      <c r="D2675" s="268">
        <v>4490</v>
      </c>
      <c r="E2675" s="114" t="s">
        <v>212</v>
      </c>
      <c r="F2675" s="114" t="s">
        <v>3108</v>
      </c>
      <c r="G2675" s="114" t="s">
        <v>1512</v>
      </c>
      <c r="H2675" s="114" t="s">
        <v>1505</v>
      </c>
      <c r="I2675" s="114"/>
      <c r="J2675" s="114" t="b">
        <v>0</v>
      </c>
      <c r="K2675" s="114"/>
      <c r="L2675" s="114" t="b">
        <v>1</v>
      </c>
      <c r="M2675" s="114"/>
      <c r="N2675" s="114"/>
      <c r="O2675" s="114"/>
      <c r="P2675" s="114" t="s">
        <v>1485</v>
      </c>
      <c r="Q2675" s="114" t="s">
        <v>1228</v>
      </c>
    </row>
    <row r="2676" spans="2:17" hidden="1" outlineLevel="2">
      <c r="B2676" s="2" t="s">
        <v>876</v>
      </c>
      <c r="D2676" s="270">
        <v>4491</v>
      </c>
      <c r="E2676" s="112" t="s">
        <v>212</v>
      </c>
      <c r="F2676" s="112" t="s">
        <v>3109</v>
      </c>
      <c r="G2676" s="112" t="s">
        <v>1512</v>
      </c>
      <c r="H2676" s="112" t="s">
        <v>1505</v>
      </c>
      <c r="I2676" s="112"/>
      <c r="J2676" s="112" t="b">
        <v>0</v>
      </c>
      <c r="K2676" s="112"/>
      <c r="L2676" s="112" t="b">
        <v>1</v>
      </c>
      <c r="M2676" s="112"/>
      <c r="N2676" s="112"/>
      <c r="O2676" s="112"/>
      <c r="P2676" s="112" t="s">
        <v>1485</v>
      </c>
      <c r="Q2676" s="112" t="s">
        <v>1228</v>
      </c>
    </row>
    <row r="2677" spans="2:17" hidden="1" outlineLevel="2">
      <c r="B2677" s="2" t="s">
        <v>876</v>
      </c>
      <c r="D2677" s="268">
        <v>4492</v>
      </c>
      <c r="E2677" s="114" t="s">
        <v>212</v>
      </c>
      <c r="F2677" s="114" t="s">
        <v>3110</v>
      </c>
      <c r="G2677" s="114" t="s">
        <v>1512</v>
      </c>
      <c r="H2677" s="114" t="s">
        <v>1505</v>
      </c>
      <c r="I2677" s="114"/>
      <c r="J2677" s="114" t="b">
        <v>0</v>
      </c>
      <c r="K2677" s="114"/>
      <c r="L2677" s="114" t="b">
        <v>1</v>
      </c>
      <c r="M2677" s="114"/>
      <c r="N2677" s="114"/>
      <c r="O2677" s="114"/>
      <c r="P2677" s="114" t="s">
        <v>1485</v>
      </c>
      <c r="Q2677" s="114" t="s">
        <v>1228</v>
      </c>
    </row>
    <row r="2678" spans="2:17" hidden="1" outlineLevel="2">
      <c r="B2678" s="2" t="s">
        <v>876</v>
      </c>
      <c r="D2678" s="270">
        <v>4493</v>
      </c>
      <c r="E2678" s="112" t="s">
        <v>212</v>
      </c>
      <c r="F2678" s="112" t="s">
        <v>3111</v>
      </c>
      <c r="G2678" s="112" t="s">
        <v>1512</v>
      </c>
      <c r="H2678" s="112" t="s">
        <v>1505</v>
      </c>
      <c r="I2678" s="112"/>
      <c r="J2678" s="112" t="b">
        <v>0</v>
      </c>
      <c r="K2678" s="112"/>
      <c r="L2678" s="112"/>
      <c r="M2678" s="112"/>
      <c r="N2678" s="112"/>
      <c r="O2678" s="112"/>
      <c r="P2678" s="112" t="s">
        <v>1485</v>
      </c>
      <c r="Q2678" s="112" t="s">
        <v>1228</v>
      </c>
    </row>
    <row r="2679" spans="2:17" hidden="1" outlineLevel="2">
      <c r="B2679" s="2" t="s">
        <v>876</v>
      </c>
      <c r="D2679" s="268">
        <v>4494</v>
      </c>
      <c r="E2679" s="114" t="s">
        <v>212</v>
      </c>
      <c r="F2679" s="114" t="s">
        <v>3112</v>
      </c>
      <c r="G2679" s="114" t="s">
        <v>1512</v>
      </c>
      <c r="H2679" s="114" t="s">
        <v>1505</v>
      </c>
      <c r="I2679" s="114"/>
      <c r="J2679" s="114" t="b">
        <v>0</v>
      </c>
      <c r="K2679" s="114"/>
      <c r="L2679" s="114" t="b">
        <v>1</v>
      </c>
      <c r="M2679" s="114"/>
      <c r="N2679" s="114"/>
      <c r="O2679" s="114"/>
      <c r="P2679" s="114" t="s">
        <v>1485</v>
      </c>
      <c r="Q2679" s="114" t="s">
        <v>1228</v>
      </c>
    </row>
    <row r="2680" spans="2:17" hidden="1" outlineLevel="2">
      <c r="B2680" s="2" t="s">
        <v>876</v>
      </c>
      <c r="D2680" s="270">
        <v>4496</v>
      </c>
      <c r="E2680" s="112" t="s">
        <v>212</v>
      </c>
      <c r="F2680" s="112" t="s">
        <v>3113</v>
      </c>
      <c r="G2680" s="112" t="s">
        <v>1512</v>
      </c>
      <c r="H2680" s="112" t="s">
        <v>1505</v>
      </c>
      <c r="I2680" s="112"/>
      <c r="J2680" s="112" t="b">
        <v>0</v>
      </c>
      <c r="K2680" s="112"/>
      <c r="L2680" s="112" t="b">
        <v>1</v>
      </c>
      <c r="M2680" s="112"/>
      <c r="N2680" s="112"/>
      <c r="O2680" s="112"/>
      <c r="P2680" s="112" t="s">
        <v>1485</v>
      </c>
      <c r="Q2680" s="112" t="s">
        <v>1228</v>
      </c>
    </row>
    <row r="2681" spans="2:17" hidden="1" outlineLevel="2">
      <c r="B2681" s="2" t="s">
        <v>876</v>
      </c>
      <c r="D2681" s="268">
        <v>4497</v>
      </c>
      <c r="E2681" s="114" t="s">
        <v>212</v>
      </c>
      <c r="F2681" s="114" t="s">
        <v>3114</v>
      </c>
      <c r="G2681" s="114" t="s">
        <v>1512</v>
      </c>
      <c r="H2681" s="114" t="s">
        <v>1505</v>
      </c>
      <c r="I2681" s="114"/>
      <c r="J2681" s="114" t="b">
        <v>0</v>
      </c>
      <c r="K2681" s="114"/>
      <c r="L2681" s="114"/>
      <c r="M2681" s="114"/>
      <c r="N2681" s="114"/>
      <c r="O2681" s="114"/>
      <c r="P2681" s="114" t="s">
        <v>1485</v>
      </c>
      <c r="Q2681" s="114" t="s">
        <v>1228</v>
      </c>
    </row>
    <row r="2682" spans="2:17" hidden="1" outlineLevel="2">
      <c r="B2682" s="2" t="s">
        <v>876</v>
      </c>
      <c r="D2682" s="270">
        <v>4498</v>
      </c>
      <c r="E2682" s="112" t="s">
        <v>212</v>
      </c>
      <c r="F2682" s="112" t="s">
        <v>3115</v>
      </c>
      <c r="G2682" s="112" t="s">
        <v>1512</v>
      </c>
      <c r="H2682" s="112" t="s">
        <v>1505</v>
      </c>
      <c r="I2682" s="112"/>
      <c r="J2682" s="112" t="b">
        <v>0</v>
      </c>
      <c r="K2682" s="112"/>
      <c r="L2682" s="112"/>
      <c r="M2682" s="112"/>
      <c r="N2682" s="112"/>
      <c r="O2682" s="112"/>
      <c r="P2682" s="112" t="s">
        <v>1485</v>
      </c>
      <c r="Q2682" s="112" t="s">
        <v>1228</v>
      </c>
    </row>
    <row r="2683" spans="2:17" hidden="1" outlineLevel="2">
      <c r="B2683" s="2" t="s">
        <v>876</v>
      </c>
      <c r="D2683" s="268">
        <v>4500</v>
      </c>
      <c r="E2683" s="114" t="s">
        <v>212</v>
      </c>
      <c r="F2683" s="114" t="s">
        <v>3116</v>
      </c>
      <c r="G2683" s="114" t="s">
        <v>1572</v>
      </c>
      <c r="H2683" s="114" t="s">
        <v>1227</v>
      </c>
      <c r="I2683" s="114"/>
      <c r="J2683" s="114" t="b">
        <v>0</v>
      </c>
      <c r="K2683" s="114"/>
      <c r="L2683" s="114"/>
      <c r="M2683" s="114"/>
      <c r="N2683" s="114"/>
      <c r="O2683" s="114"/>
      <c r="P2683" s="114" t="s">
        <v>1485</v>
      </c>
      <c r="Q2683" s="114" t="s">
        <v>1227</v>
      </c>
    </row>
    <row r="2684" spans="2:17" hidden="1" outlineLevel="2">
      <c r="B2684" s="2" t="s">
        <v>876</v>
      </c>
      <c r="D2684" s="270">
        <v>4501</v>
      </c>
      <c r="E2684" s="112" t="s">
        <v>212</v>
      </c>
      <c r="F2684" s="112" t="s">
        <v>3117</v>
      </c>
      <c r="G2684" s="112" t="s">
        <v>1572</v>
      </c>
      <c r="H2684" s="112" t="s">
        <v>1227</v>
      </c>
      <c r="I2684" s="112"/>
      <c r="J2684" s="112" t="b">
        <v>0</v>
      </c>
      <c r="K2684" s="112"/>
      <c r="L2684" s="112"/>
      <c r="M2684" s="112"/>
      <c r="N2684" s="112"/>
      <c r="O2684" s="112"/>
      <c r="P2684" s="112" t="s">
        <v>1485</v>
      </c>
      <c r="Q2684" s="112" t="s">
        <v>1227</v>
      </c>
    </row>
    <row r="2685" spans="2:17" hidden="1" outlineLevel="2">
      <c r="B2685" s="2" t="s">
        <v>876</v>
      </c>
      <c r="D2685" s="268">
        <v>4502</v>
      </c>
      <c r="E2685" s="114" t="s">
        <v>212</v>
      </c>
      <c r="F2685" s="114" t="s">
        <v>3118</v>
      </c>
      <c r="G2685" s="114" t="s">
        <v>1572</v>
      </c>
      <c r="H2685" s="114" t="s">
        <v>1227</v>
      </c>
      <c r="I2685" s="114"/>
      <c r="J2685" s="114" t="b">
        <v>0</v>
      </c>
      <c r="K2685" s="114"/>
      <c r="L2685" s="114"/>
      <c r="M2685" s="114"/>
      <c r="N2685" s="114"/>
      <c r="O2685" s="114"/>
      <c r="P2685" s="114" t="s">
        <v>1485</v>
      </c>
      <c r="Q2685" s="114" t="s">
        <v>1227</v>
      </c>
    </row>
    <row r="2686" spans="2:17" hidden="1" outlineLevel="2">
      <c r="B2686" s="2" t="s">
        <v>876</v>
      </c>
      <c r="D2686" s="270">
        <v>4503</v>
      </c>
      <c r="E2686" s="112" t="s">
        <v>212</v>
      </c>
      <c r="F2686" s="112" t="s">
        <v>3119</v>
      </c>
      <c r="G2686" s="112" t="s">
        <v>1572</v>
      </c>
      <c r="H2686" s="112" t="s">
        <v>1227</v>
      </c>
      <c r="I2686" s="112"/>
      <c r="J2686" s="112" t="b">
        <v>0</v>
      </c>
      <c r="K2686" s="112"/>
      <c r="L2686" s="112"/>
      <c r="M2686" s="112"/>
      <c r="N2686" s="112"/>
      <c r="O2686" s="112"/>
      <c r="P2686" s="112" t="s">
        <v>1485</v>
      </c>
      <c r="Q2686" s="112" t="s">
        <v>1227</v>
      </c>
    </row>
    <row r="2687" spans="2:17" hidden="1" outlineLevel="2">
      <c r="B2687" s="2" t="s">
        <v>876</v>
      </c>
      <c r="D2687" s="268">
        <v>4504</v>
      </c>
      <c r="E2687" s="114" t="s">
        <v>212</v>
      </c>
      <c r="F2687" s="114" t="s">
        <v>3120</v>
      </c>
      <c r="G2687" s="114" t="s">
        <v>1572</v>
      </c>
      <c r="H2687" s="114" t="s">
        <v>1227</v>
      </c>
      <c r="I2687" s="114"/>
      <c r="J2687" s="114" t="b">
        <v>0</v>
      </c>
      <c r="K2687" s="114"/>
      <c r="L2687" s="114"/>
      <c r="M2687" s="114"/>
      <c r="N2687" s="114"/>
      <c r="O2687" s="114"/>
      <c r="P2687" s="114" t="s">
        <v>1485</v>
      </c>
      <c r="Q2687" s="114" t="s">
        <v>1227</v>
      </c>
    </row>
    <row r="2688" spans="2:17" hidden="1" outlineLevel="2">
      <c r="B2688" s="2" t="s">
        <v>876</v>
      </c>
      <c r="D2688" s="270">
        <v>4505</v>
      </c>
      <c r="E2688" s="112" t="s">
        <v>212</v>
      </c>
      <c r="F2688" s="112" t="s">
        <v>3121</v>
      </c>
      <c r="G2688" s="112" t="s">
        <v>1572</v>
      </c>
      <c r="H2688" s="112" t="s">
        <v>1227</v>
      </c>
      <c r="I2688" s="112"/>
      <c r="J2688" s="112" t="b">
        <v>0</v>
      </c>
      <c r="K2688" s="112"/>
      <c r="L2688" s="112"/>
      <c r="M2688" s="112"/>
      <c r="N2688" s="112"/>
      <c r="O2688" s="112"/>
      <c r="P2688" s="112" t="s">
        <v>1485</v>
      </c>
      <c r="Q2688" s="112" t="s">
        <v>1227</v>
      </c>
    </row>
    <row r="2689" spans="2:17" hidden="1" outlineLevel="2">
      <c r="B2689" s="2" t="s">
        <v>876</v>
      </c>
      <c r="D2689" s="268">
        <v>4506</v>
      </c>
      <c r="E2689" s="114" t="s">
        <v>212</v>
      </c>
      <c r="F2689" s="114" t="s">
        <v>3122</v>
      </c>
      <c r="G2689" s="114" t="s">
        <v>1572</v>
      </c>
      <c r="H2689" s="114" t="s">
        <v>1227</v>
      </c>
      <c r="I2689" s="114"/>
      <c r="J2689" s="114" t="b">
        <v>0</v>
      </c>
      <c r="K2689" s="114"/>
      <c r="L2689" s="114"/>
      <c r="M2689" s="114"/>
      <c r="N2689" s="114"/>
      <c r="O2689" s="114"/>
      <c r="P2689" s="114" t="s">
        <v>1485</v>
      </c>
      <c r="Q2689" s="114" t="s">
        <v>1227</v>
      </c>
    </row>
    <row r="2690" spans="2:17" hidden="1" outlineLevel="2">
      <c r="B2690" s="2" t="s">
        <v>876</v>
      </c>
      <c r="D2690" s="270">
        <v>4507</v>
      </c>
      <c r="E2690" s="112" t="s">
        <v>212</v>
      </c>
      <c r="F2690" s="112" t="s">
        <v>3123</v>
      </c>
      <c r="G2690" s="112" t="s">
        <v>1572</v>
      </c>
      <c r="H2690" s="112" t="s">
        <v>1227</v>
      </c>
      <c r="I2690" s="112"/>
      <c r="J2690" s="112" t="b">
        <v>0</v>
      </c>
      <c r="K2690" s="112"/>
      <c r="L2690" s="112"/>
      <c r="M2690" s="112"/>
      <c r="N2690" s="112"/>
      <c r="O2690" s="112"/>
      <c r="P2690" s="112" t="s">
        <v>1485</v>
      </c>
      <c r="Q2690" s="112" t="s">
        <v>1227</v>
      </c>
    </row>
    <row r="2691" spans="2:17" hidden="1" outlineLevel="2">
      <c r="B2691" s="2" t="s">
        <v>876</v>
      </c>
      <c r="D2691" s="268">
        <v>4508</v>
      </c>
      <c r="E2691" s="114" t="s">
        <v>212</v>
      </c>
      <c r="F2691" s="114" t="s">
        <v>3124</v>
      </c>
      <c r="G2691" s="114" t="s">
        <v>1572</v>
      </c>
      <c r="H2691" s="114" t="s">
        <v>1227</v>
      </c>
      <c r="I2691" s="114"/>
      <c r="J2691" s="114" t="b">
        <v>0</v>
      </c>
      <c r="K2691" s="114"/>
      <c r="L2691" s="114"/>
      <c r="M2691" s="114"/>
      <c r="N2691" s="114"/>
      <c r="O2691" s="114"/>
      <c r="P2691" s="114" t="s">
        <v>1485</v>
      </c>
      <c r="Q2691" s="114" t="s">
        <v>1227</v>
      </c>
    </row>
    <row r="2692" spans="2:17" hidden="1" outlineLevel="2">
      <c r="B2692" s="2" t="s">
        <v>876</v>
      </c>
      <c r="D2692" s="270">
        <v>4509</v>
      </c>
      <c r="E2692" s="112" t="s">
        <v>212</v>
      </c>
      <c r="F2692" s="112" t="s">
        <v>3125</v>
      </c>
      <c r="G2692" s="112" t="s">
        <v>1572</v>
      </c>
      <c r="H2692" s="112" t="s">
        <v>1227</v>
      </c>
      <c r="I2692" s="112"/>
      <c r="J2692" s="112" t="b">
        <v>0</v>
      </c>
      <c r="K2692" s="112"/>
      <c r="L2692" s="112"/>
      <c r="M2692" s="112"/>
      <c r="N2692" s="112"/>
      <c r="O2692" s="112"/>
      <c r="P2692" s="112" t="s">
        <v>1485</v>
      </c>
      <c r="Q2692" s="112" t="s">
        <v>1227</v>
      </c>
    </row>
    <row r="2693" spans="2:17" hidden="1" outlineLevel="2">
      <c r="B2693" s="2" t="s">
        <v>876</v>
      </c>
      <c r="D2693" s="268">
        <v>4510</v>
      </c>
      <c r="E2693" s="114" t="s">
        <v>212</v>
      </c>
      <c r="F2693" s="114" t="s">
        <v>3126</v>
      </c>
      <c r="G2693" s="114" t="s">
        <v>1572</v>
      </c>
      <c r="H2693" s="114" t="s">
        <v>1227</v>
      </c>
      <c r="I2693" s="114"/>
      <c r="J2693" s="114" t="b">
        <v>0</v>
      </c>
      <c r="K2693" s="114"/>
      <c r="L2693" s="114"/>
      <c r="M2693" s="114"/>
      <c r="N2693" s="114"/>
      <c r="O2693" s="114"/>
      <c r="P2693" s="114" t="s">
        <v>1485</v>
      </c>
      <c r="Q2693" s="114" t="s">
        <v>1227</v>
      </c>
    </row>
    <row r="2694" spans="2:17" hidden="1" outlineLevel="2">
      <c r="B2694" s="2" t="s">
        <v>876</v>
      </c>
      <c r="D2694" s="270">
        <v>4511</v>
      </c>
      <c r="E2694" s="112" t="s">
        <v>212</v>
      </c>
      <c r="F2694" s="112" t="s">
        <v>3127</v>
      </c>
      <c r="G2694" s="112" t="s">
        <v>1572</v>
      </c>
      <c r="H2694" s="112" t="s">
        <v>1227</v>
      </c>
      <c r="I2694" s="112"/>
      <c r="J2694" s="112" t="b">
        <v>0</v>
      </c>
      <c r="K2694" s="112"/>
      <c r="L2694" s="112"/>
      <c r="M2694" s="112"/>
      <c r="N2694" s="112"/>
      <c r="O2694" s="112"/>
      <c r="P2694" s="112" t="s">
        <v>1485</v>
      </c>
      <c r="Q2694" s="112" t="s">
        <v>1227</v>
      </c>
    </row>
    <row r="2695" spans="2:17" hidden="1" outlineLevel="2">
      <c r="B2695" s="2" t="s">
        <v>876</v>
      </c>
      <c r="D2695" s="268">
        <v>4512</v>
      </c>
      <c r="E2695" s="114" t="s">
        <v>212</v>
      </c>
      <c r="F2695" s="114" t="s">
        <v>3128</v>
      </c>
      <c r="G2695" s="114" t="s">
        <v>1572</v>
      </c>
      <c r="H2695" s="114" t="s">
        <v>1227</v>
      </c>
      <c r="I2695" s="114"/>
      <c r="J2695" s="114" t="b">
        <v>0</v>
      </c>
      <c r="K2695" s="114"/>
      <c r="L2695" s="114"/>
      <c r="M2695" s="114"/>
      <c r="N2695" s="114"/>
      <c r="O2695" s="114"/>
      <c r="P2695" s="114" t="s">
        <v>1485</v>
      </c>
      <c r="Q2695" s="114" t="s">
        <v>1227</v>
      </c>
    </row>
    <row r="2696" spans="2:17" hidden="1" outlineLevel="2">
      <c r="B2696" s="2" t="s">
        <v>876</v>
      </c>
      <c r="D2696" s="270">
        <v>4514</v>
      </c>
      <c r="E2696" s="112" t="s">
        <v>212</v>
      </c>
      <c r="F2696" s="112" t="s">
        <v>3129</v>
      </c>
      <c r="G2696" s="112" t="s">
        <v>1483</v>
      </c>
      <c r="H2696" s="112" t="s">
        <v>1494</v>
      </c>
      <c r="I2696" s="112"/>
      <c r="J2696" s="112" t="b">
        <v>0</v>
      </c>
      <c r="K2696" s="112"/>
      <c r="L2696" s="112"/>
      <c r="M2696" s="112"/>
      <c r="N2696" s="112"/>
      <c r="O2696" s="112"/>
      <c r="P2696" s="112" t="s">
        <v>1485</v>
      </c>
      <c r="Q2696" s="112" t="s">
        <v>1228</v>
      </c>
    </row>
    <row r="2697" spans="2:17" hidden="1" outlineLevel="2">
      <c r="B2697" s="2" t="s">
        <v>876</v>
      </c>
      <c r="D2697" s="268">
        <v>4515</v>
      </c>
      <c r="E2697" s="114" t="s">
        <v>212</v>
      </c>
      <c r="F2697" s="114" t="s">
        <v>3130</v>
      </c>
      <c r="G2697" s="114" t="s">
        <v>1483</v>
      </c>
      <c r="H2697" s="114" t="s">
        <v>1494</v>
      </c>
      <c r="I2697" s="114"/>
      <c r="J2697" s="114" t="b">
        <v>0</v>
      </c>
      <c r="K2697" s="114"/>
      <c r="L2697" s="114"/>
      <c r="M2697" s="114"/>
      <c r="N2697" s="114"/>
      <c r="O2697" s="114"/>
      <c r="P2697" s="114" t="s">
        <v>1485</v>
      </c>
      <c r="Q2697" s="114" t="s">
        <v>1228</v>
      </c>
    </row>
    <row r="2698" spans="2:17" hidden="1" outlineLevel="2">
      <c r="B2698" s="2" t="s">
        <v>876</v>
      </c>
      <c r="D2698" s="270">
        <v>4516</v>
      </c>
      <c r="E2698" s="112" t="s">
        <v>212</v>
      </c>
      <c r="F2698" s="112" t="s">
        <v>3131</v>
      </c>
      <c r="G2698" s="112" t="s">
        <v>1572</v>
      </c>
      <c r="H2698" s="112" t="s">
        <v>1227</v>
      </c>
      <c r="I2698" s="112"/>
      <c r="J2698" s="112" t="b">
        <v>0</v>
      </c>
      <c r="K2698" s="112"/>
      <c r="L2698" s="112"/>
      <c r="M2698" s="112"/>
      <c r="N2698" s="112"/>
      <c r="O2698" s="112"/>
      <c r="P2698" s="112" t="s">
        <v>1485</v>
      </c>
      <c r="Q2698" s="112" t="s">
        <v>1227</v>
      </c>
    </row>
    <row r="2699" spans="2:17" hidden="1" outlineLevel="2">
      <c r="B2699" s="2" t="s">
        <v>876</v>
      </c>
      <c r="D2699" s="268">
        <v>4517</v>
      </c>
      <c r="E2699" s="114" t="s">
        <v>212</v>
      </c>
      <c r="F2699" s="114" t="s">
        <v>3132</v>
      </c>
      <c r="G2699" s="114" t="s">
        <v>1572</v>
      </c>
      <c r="H2699" s="114" t="s">
        <v>1227</v>
      </c>
      <c r="I2699" s="114"/>
      <c r="J2699" s="114" t="b">
        <v>0</v>
      </c>
      <c r="K2699" s="114"/>
      <c r="L2699" s="114"/>
      <c r="M2699" s="114"/>
      <c r="N2699" s="114"/>
      <c r="O2699" s="114"/>
      <c r="P2699" s="114" t="s">
        <v>1485</v>
      </c>
      <c r="Q2699" s="114" t="s">
        <v>1227</v>
      </c>
    </row>
    <row r="2700" spans="2:17" hidden="1" outlineLevel="2">
      <c r="B2700" s="2" t="s">
        <v>876</v>
      </c>
      <c r="D2700" s="270">
        <v>4518</v>
      </c>
      <c r="E2700" s="112" t="s">
        <v>212</v>
      </c>
      <c r="F2700" s="112" t="s">
        <v>3133</v>
      </c>
      <c r="G2700" s="112" t="s">
        <v>1483</v>
      </c>
      <c r="H2700" s="112" t="s">
        <v>1494</v>
      </c>
      <c r="I2700" s="112"/>
      <c r="J2700" s="112" t="b">
        <v>0</v>
      </c>
      <c r="K2700" s="112"/>
      <c r="L2700" s="112"/>
      <c r="M2700" s="112"/>
      <c r="N2700" s="112"/>
      <c r="O2700" s="112"/>
      <c r="P2700" s="112" t="s">
        <v>1485</v>
      </c>
      <c r="Q2700" s="112" t="s">
        <v>1228</v>
      </c>
    </row>
    <row r="2701" spans="2:17" hidden="1" outlineLevel="2">
      <c r="B2701" s="2" t="s">
        <v>876</v>
      </c>
      <c r="D2701" s="268">
        <v>4519</v>
      </c>
      <c r="E2701" s="114" t="s">
        <v>212</v>
      </c>
      <c r="F2701" s="114" t="s">
        <v>3134</v>
      </c>
      <c r="G2701" s="114" t="s">
        <v>1483</v>
      </c>
      <c r="H2701" s="114" t="s">
        <v>1494</v>
      </c>
      <c r="I2701" s="114"/>
      <c r="J2701" s="114" t="b">
        <v>0</v>
      </c>
      <c r="K2701" s="114"/>
      <c r="L2701" s="114"/>
      <c r="M2701" s="114"/>
      <c r="N2701" s="114"/>
      <c r="O2701" s="114"/>
      <c r="P2701" s="114" t="s">
        <v>1485</v>
      </c>
      <c r="Q2701" s="114" t="s">
        <v>1228</v>
      </c>
    </row>
    <row r="2702" spans="2:17" hidden="1" outlineLevel="2">
      <c r="B2702" s="2" t="s">
        <v>876</v>
      </c>
      <c r="D2702" s="270">
        <v>4520</v>
      </c>
      <c r="E2702" s="112" t="s">
        <v>212</v>
      </c>
      <c r="F2702" s="112" t="s">
        <v>2379</v>
      </c>
      <c r="G2702" s="112" t="s">
        <v>1572</v>
      </c>
      <c r="H2702" s="112" t="s">
        <v>1227</v>
      </c>
      <c r="I2702" s="112"/>
      <c r="J2702" s="112" t="b">
        <v>0</v>
      </c>
      <c r="K2702" s="112"/>
      <c r="L2702" s="112"/>
      <c r="M2702" s="112"/>
      <c r="N2702" s="112"/>
      <c r="O2702" s="112"/>
      <c r="P2702" s="112" t="s">
        <v>1485</v>
      </c>
      <c r="Q2702" s="112" t="s">
        <v>1227</v>
      </c>
    </row>
    <row r="2703" spans="2:17" hidden="1" outlineLevel="2">
      <c r="B2703" s="2" t="s">
        <v>876</v>
      </c>
      <c r="D2703" s="268">
        <v>4521</v>
      </c>
      <c r="E2703" s="114" t="s">
        <v>212</v>
      </c>
      <c r="F2703" s="114" t="s">
        <v>3135</v>
      </c>
      <c r="G2703" s="114" t="s">
        <v>1572</v>
      </c>
      <c r="H2703" s="114" t="s">
        <v>1227</v>
      </c>
      <c r="I2703" s="114"/>
      <c r="J2703" s="114" t="b">
        <v>0</v>
      </c>
      <c r="K2703" s="114"/>
      <c r="L2703" s="114"/>
      <c r="M2703" s="114"/>
      <c r="N2703" s="114"/>
      <c r="O2703" s="114"/>
      <c r="P2703" s="114" t="s">
        <v>1485</v>
      </c>
      <c r="Q2703" s="114" t="s">
        <v>1227</v>
      </c>
    </row>
    <row r="2704" spans="2:17" hidden="1" outlineLevel="2">
      <c r="B2704" s="2" t="s">
        <v>876</v>
      </c>
      <c r="D2704" s="270">
        <v>4550</v>
      </c>
      <c r="E2704" s="112" t="s">
        <v>212</v>
      </c>
      <c r="F2704" s="112" t="s">
        <v>3136</v>
      </c>
      <c r="G2704" s="112" t="s">
        <v>1483</v>
      </c>
      <c r="H2704" s="112" t="s">
        <v>1494</v>
      </c>
      <c r="I2704" s="112"/>
      <c r="J2704" s="112" t="b">
        <v>0</v>
      </c>
      <c r="K2704" s="112"/>
      <c r="L2704" s="112"/>
      <c r="M2704" s="112"/>
      <c r="N2704" s="112"/>
      <c r="O2704" s="112"/>
      <c r="P2704" s="112" t="s">
        <v>1485</v>
      </c>
      <c r="Q2704" s="112" t="s">
        <v>1228</v>
      </c>
    </row>
    <row r="2705" spans="2:17" hidden="1" outlineLevel="2">
      <c r="B2705" s="2" t="s">
        <v>876</v>
      </c>
      <c r="D2705" s="268">
        <v>4551</v>
      </c>
      <c r="E2705" s="114" t="s">
        <v>212</v>
      </c>
      <c r="F2705" s="114" t="s">
        <v>3137</v>
      </c>
      <c r="G2705" s="114" t="s">
        <v>1572</v>
      </c>
      <c r="H2705" s="114" t="s">
        <v>1227</v>
      </c>
      <c r="I2705" s="114"/>
      <c r="J2705" s="114" t="b">
        <v>0</v>
      </c>
      <c r="K2705" s="114"/>
      <c r="L2705" s="114"/>
      <c r="M2705" s="114"/>
      <c r="N2705" s="114"/>
      <c r="O2705" s="114"/>
      <c r="P2705" s="114" t="s">
        <v>1485</v>
      </c>
      <c r="Q2705" s="114" t="s">
        <v>1227</v>
      </c>
    </row>
    <row r="2706" spans="2:17" hidden="1" outlineLevel="2">
      <c r="B2706" s="2" t="s">
        <v>876</v>
      </c>
      <c r="D2706" s="270">
        <v>4552</v>
      </c>
      <c r="E2706" s="112" t="s">
        <v>212</v>
      </c>
      <c r="F2706" s="112" t="s">
        <v>3138</v>
      </c>
      <c r="G2706" s="112" t="s">
        <v>1483</v>
      </c>
      <c r="H2706" s="112" t="s">
        <v>1494</v>
      </c>
      <c r="I2706" s="112"/>
      <c r="J2706" s="112" t="b">
        <v>0</v>
      </c>
      <c r="K2706" s="112"/>
      <c r="L2706" s="112"/>
      <c r="M2706" s="112"/>
      <c r="N2706" s="112"/>
      <c r="O2706" s="112"/>
      <c r="P2706" s="112" t="s">
        <v>1485</v>
      </c>
      <c r="Q2706" s="112" t="s">
        <v>1228</v>
      </c>
    </row>
    <row r="2707" spans="2:17" hidden="1" outlineLevel="2">
      <c r="B2707" s="2" t="s">
        <v>876</v>
      </c>
      <c r="D2707" s="268">
        <v>4553</v>
      </c>
      <c r="E2707" s="114" t="s">
        <v>212</v>
      </c>
      <c r="F2707" s="114" t="s">
        <v>3139</v>
      </c>
      <c r="G2707" s="114" t="s">
        <v>1572</v>
      </c>
      <c r="H2707" s="114" t="s">
        <v>1227</v>
      </c>
      <c r="I2707" s="114"/>
      <c r="J2707" s="114" t="b">
        <v>0</v>
      </c>
      <c r="K2707" s="114"/>
      <c r="L2707" s="114"/>
      <c r="M2707" s="114"/>
      <c r="N2707" s="114"/>
      <c r="O2707" s="114"/>
      <c r="P2707" s="114" t="s">
        <v>1485</v>
      </c>
      <c r="Q2707" s="114" t="s">
        <v>1227</v>
      </c>
    </row>
    <row r="2708" spans="2:17" hidden="1" outlineLevel="2">
      <c r="B2708" s="2" t="s">
        <v>876</v>
      </c>
      <c r="D2708" s="270">
        <v>4554</v>
      </c>
      <c r="E2708" s="112" t="s">
        <v>212</v>
      </c>
      <c r="F2708" s="112" t="s">
        <v>3140</v>
      </c>
      <c r="G2708" s="112" t="s">
        <v>1493</v>
      </c>
      <c r="H2708" s="112" t="s">
        <v>1505</v>
      </c>
      <c r="I2708" s="112"/>
      <c r="J2708" s="112" t="b">
        <v>0</v>
      </c>
      <c r="K2708" s="112"/>
      <c r="L2708" s="112" t="b">
        <v>1</v>
      </c>
      <c r="M2708" s="112"/>
      <c r="N2708" s="112"/>
      <c r="O2708" s="112"/>
      <c r="P2708" s="112" t="s">
        <v>1485</v>
      </c>
      <c r="Q2708" s="112" t="s">
        <v>1227</v>
      </c>
    </row>
    <row r="2709" spans="2:17" hidden="1" outlineLevel="2">
      <c r="B2709" s="2" t="s">
        <v>876</v>
      </c>
      <c r="D2709" s="268">
        <v>4555</v>
      </c>
      <c r="E2709" s="114" t="s">
        <v>212</v>
      </c>
      <c r="F2709" s="114" t="s">
        <v>3141</v>
      </c>
      <c r="G2709" s="114" t="s">
        <v>1572</v>
      </c>
      <c r="H2709" s="114" t="s">
        <v>1227</v>
      </c>
      <c r="I2709" s="114"/>
      <c r="J2709" s="114" t="b">
        <v>0</v>
      </c>
      <c r="K2709" s="114"/>
      <c r="L2709" s="114"/>
      <c r="M2709" s="114"/>
      <c r="N2709" s="114"/>
      <c r="O2709" s="114"/>
      <c r="P2709" s="114" t="s">
        <v>1485</v>
      </c>
      <c r="Q2709" s="114" t="s">
        <v>1227</v>
      </c>
    </row>
    <row r="2710" spans="2:17" hidden="1" outlineLevel="2">
      <c r="B2710" s="2" t="s">
        <v>876</v>
      </c>
      <c r="D2710" s="270">
        <v>4556</v>
      </c>
      <c r="E2710" s="112" t="s">
        <v>212</v>
      </c>
      <c r="F2710" s="112" t="s">
        <v>3142</v>
      </c>
      <c r="G2710" s="112" t="s">
        <v>1572</v>
      </c>
      <c r="H2710" s="112" t="s">
        <v>1227</v>
      </c>
      <c r="I2710" s="112"/>
      <c r="J2710" s="112" t="b">
        <v>0</v>
      </c>
      <c r="K2710" s="112"/>
      <c r="L2710" s="112"/>
      <c r="M2710" s="112"/>
      <c r="N2710" s="112"/>
      <c r="O2710" s="112"/>
      <c r="P2710" s="112" t="s">
        <v>1485</v>
      </c>
      <c r="Q2710" s="112" t="s">
        <v>1227</v>
      </c>
    </row>
    <row r="2711" spans="2:17" hidden="1" outlineLevel="2">
      <c r="B2711" s="2" t="s">
        <v>876</v>
      </c>
      <c r="D2711" s="268">
        <v>4557</v>
      </c>
      <c r="E2711" s="114" t="s">
        <v>212</v>
      </c>
      <c r="F2711" s="114" t="s">
        <v>3143</v>
      </c>
      <c r="G2711" s="114" t="s">
        <v>1572</v>
      </c>
      <c r="H2711" s="114" t="s">
        <v>1227</v>
      </c>
      <c r="I2711" s="114"/>
      <c r="J2711" s="114" t="b">
        <v>0</v>
      </c>
      <c r="K2711" s="114"/>
      <c r="L2711" s="114"/>
      <c r="M2711" s="114"/>
      <c r="N2711" s="114"/>
      <c r="O2711" s="114"/>
      <c r="P2711" s="114" t="s">
        <v>1485</v>
      </c>
      <c r="Q2711" s="114" t="s">
        <v>1227</v>
      </c>
    </row>
    <row r="2712" spans="2:17" hidden="1" outlineLevel="2">
      <c r="B2712" s="2" t="s">
        <v>876</v>
      </c>
      <c r="D2712" s="270">
        <v>4558</v>
      </c>
      <c r="E2712" s="112" t="s">
        <v>212</v>
      </c>
      <c r="F2712" s="112" t="s">
        <v>3144</v>
      </c>
      <c r="G2712" s="112" t="s">
        <v>1572</v>
      </c>
      <c r="H2712" s="112" t="s">
        <v>1227</v>
      </c>
      <c r="I2712" s="112"/>
      <c r="J2712" s="112" t="b">
        <v>0</v>
      </c>
      <c r="K2712" s="112"/>
      <c r="L2712" s="112"/>
      <c r="M2712" s="112"/>
      <c r="N2712" s="112"/>
      <c r="O2712" s="112"/>
      <c r="P2712" s="112" t="s">
        <v>1485</v>
      </c>
      <c r="Q2712" s="112" t="s">
        <v>1227</v>
      </c>
    </row>
    <row r="2713" spans="2:17" hidden="1" outlineLevel="2">
      <c r="B2713" s="2" t="s">
        <v>876</v>
      </c>
      <c r="D2713" s="268">
        <v>4559</v>
      </c>
      <c r="E2713" s="114" t="s">
        <v>212</v>
      </c>
      <c r="F2713" s="114" t="s">
        <v>3145</v>
      </c>
      <c r="G2713" s="114" t="s">
        <v>1483</v>
      </c>
      <c r="H2713" s="114" t="s">
        <v>1494</v>
      </c>
      <c r="I2713" s="114"/>
      <c r="J2713" s="114" t="b">
        <v>0</v>
      </c>
      <c r="K2713" s="114"/>
      <c r="L2713" s="114"/>
      <c r="M2713" s="114"/>
      <c r="N2713" s="114"/>
      <c r="O2713" s="114"/>
      <c r="P2713" s="114" t="s">
        <v>1485</v>
      </c>
      <c r="Q2713" s="114" t="s">
        <v>1227</v>
      </c>
    </row>
    <row r="2714" spans="2:17" hidden="1" outlineLevel="2">
      <c r="B2714" s="2" t="s">
        <v>876</v>
      </c>
      <c r="D2714" s="270">
        <v>4560</v>
      </c>
      <c r="E2714" s="112" t="s">
        <v>212</v>
      </c>
      <c r="F2714" s="112" t="s">
        <v>3146</v>
      </c>
      <c r="G2714" s="112" t="s">
        <v>1572</v>
      </c>
      <c r="H2714" s="112" t="s">
        <v>1227</v>
      </c>
      <c r="I2714" s="112"/>
      <c r="J2714" s="112" t="b">
        <v>0</v>
      </c>
      <c r="K2714" s="112"/>
      <c r="L2714" s="112"/>
      <c r="M2714" s="112"/>
      <c r="N2714" s="112"/>
      <c r="O2714" s="112"/>
      <c r="P2714" s="112" t="s">
        <v>1485</v>
      </c>
      <c r="Q2714" s="112" t="s">
        <v>1227</v>
      </c>
    </row>
    <row r="2715" spans="2:17" hidden="1" outlineLevel="2">
      <c r="B2715" s="2" t="s">
        <v>876</v>
      </c>
      <c r="D2715" s="268">
        <v>4561</v>
      </c>
      <c r="E2715" s="114" t="s">
        <v>212</v>
      </c>
      <c r="F2715" s="114" t="s">
        <v>3147</v>
      </c>
      <c r="G2715" s="114" t="s">
        <v>1483</v>
      </c>
      <c r="H2715" s="114" t="s">
        <v>1494</v>
      </c>
      <c r="I2715" s="114"/>
      <c r="J2715" s="114" t="b">
        <v>0</v>
      </c>
      <c r="K2715" s="114"/>
      <c r="L2715" s="114"/>
      <c r="M2715" s="114"/>
      <c r="N2715" s="114"/>
      <c r="O2715" s="114"/>
      <c r="P2715" s="114" t="s">
        <v>1485</v>
      </c>
      <c r="Q2715" s="114" t="s">
        <v>1228</v>
      </c>
    </row>
    <row r="2716" spans="2:17" hidden="1" outlineLevel="2">
      <c r="B2716" s="2" t="s">
        <v>876</v>
      </c>
      <c r="D2716" s="270">
        <v>4562</v>
      </c>
      <c r="E2716" s="112" t="s">
        <v>212</v>
      </c>
      <c r="F2716" s="112" t="s">
        <v>3148</v>
      </c>
      <c r="G2716" s="112" t="s">
        <v>1483</v>
      </c>
      <c r="H2716" s="112" t="s">
        <v>1494</v>
      </c>
      <c r="I2716" s="112"/>
      <c r="J2716" s="112" t="b">
        <v>0</v>
      </c>
      <c r="K2716" s="112"/>
      <c r="L2716" s="112"/>
      <c r="M2716" s="112"/>
      <c r="N2716" s="112"/>
      <c r="O2716" s="112"/>
      <c r="P2716" s="112" t="s">
        <v>1485</v>
      </c>
      <c r="Q2716" s="112" t="s">
        <v>1227</v>
      </c>
    </row>
    <row r="2717" spans="2:17" hidden="1" outlineLevel="2">
      <c r="B2717" s="2" t="s">
        <v>876</v>
      </c>
      <c r="D2717" s="268">
        <v>4563</v>
      </c>
      <c r="E2717" s="114" t="s">
        <v>212</v>
      </c>
      <c r="F2717" s="114" t="s">
        <v>3149</v>
      </c>
      <c r="G2717" s="114" t="s">
        <v>1483</v>
      </c>
      <c r="H2717" s="114" t="s">
        <v>1494</v>
      </c>
      <c r="I2717" s="114"/>
      <c r="J2717" s="114" t="b">
        <v>0</v>
      </c>
      <c r="K2717" s="114"/>
      <c r="L2717" s="114"/>
      <c r="M2717" s="114"/>
      <c r="N2717" s="114"/>
      <c r="O2717" s="114"/>
      <c r="P2717" s="114" t="s">
        <v>1485</v>
      </c>
      <c r="Q2717" s="114" t="s">
        <v>1228</v>
      </c>
    </row>
    <row r="2718" spans="2:17" hidden="1" outlineLevel="2">
      <c r="B2718" s="2" t="s">
        <v>876</v>
      </c>
      <c r="D2718" s="270">
        <v>4564</v>
      </c>
      <c r="E2718" s="112" t="s">
        <v>212</v>
      </c>
      <c r="F2718" s="112" t="s">
        <v>3150</v>
      </c>
      <c r="G2718" s="112" t="s">
        <v>1572</v>
      </c>
      <c r="H2718" s="112" t="s">
        <v>1227</v>
      </c>
      <c r="I2718" s="112"/>
      <c r="J2718" s="112" t="b">
        <v>0</v>
      </c>
      <c r="K2718" s="112"/>
      <c r="L2718" s="112"/>
      <c r="M2718" s="112"/>
      <c r="N2718" s="112"/>
      <c r="O2718" s="112"/>
      <c r="P2718" s="112" t="s">
        <v>1485</v>
      </c>
      <c r="Q2718" s="112" t="s">
        <v>1227</v>
      </c>
    </row>
    <row r="2719" spans="2:17" hidden="1" outlineLevel="2">
      <c r="B2719" s="2" t="s">
        <v>876</v>
      </c>
      <c r="D2719" s="268">
        <v>4565</v>
      </c>
      <c r="E2719" s="114" t="s">
        <v>212</v>
      </c>
      <c r="F2719" s="114" t="s">
        <v>3151</v>
      </c>
      <c r="G2719" s="114" t="s">
        <v>1572</v>
      </c>
      <c r="H2719" s="114" t="s">
        <v>1227</v>
      </c>
      <c r="I2719" s="114"/>
      <c r="J2719" s="114" t="b">
        <v>0</v>
      </c>
      <c r="K2719" s="114"/>
      <c r="L2719" s="114"/>
      <c r="M2719" s="114"/>
      <c r="N2719" s="114"/>
      <c r="O2719" s="114"/>
      <c r="P2719" s="114" t="s">
        <v>1485</v>
      </c>
      <c r="Q2719" s="114" t="s">
        <v>1227</v>
      </c>
    </row>
    <row r="2720" spans="2:17" hidden="1" outlineLevel="2">
      <c r="B2720" s="2" t="s">
        <v>876</v>
      </c>
      <c r="D2720" s="270">
        <v>4566</v>
      </c>
      <c r="E2720" s="112" t="s">
        <v>212</v>
      </c>
      <c r="F2720" s="112" t="s">
        <v>3152</v>
      </c>
      <c r="G2720" s="112" t="s">
        <v>1572</v>
      </c>
      <c r="H2720" s="112" t="s">
        <v>1227</v>
      </c>
      <c r="I2720" s="112"/>
      <c r="J2720" s="112" t="b">
        <v>0</v>
      </c>
      <c r="K2720" s="112"/>
      <c r="L2720" s="112"/>
      <c r="M2720" s="112"/>
      <c r="N2720" s="112"/>
      <c r="O2720" s="112"/>
      <c r="P2720" s="112" t="s">
        <v>1485</v>
      </c>
      <c r="Q2720" s="112" t="s">
        <v>1227</v>
      </c>
    </row>
    <row r="2721" spans="2:17" hidden="1" outlineLevel="2">
      <c r="B2721" s="2" t="s">
        <v>876</v>
      </c>
      <c r="D2721" s="268">
        <v>4567</v>
      </c>
      <c r="E2721" s="114" t="s">
        <v>212</v>
      </c>
      <c r="F2721" s="114" t="s">
        <v>3153</v>
      </c>
      <c r="G2721" s="114" t="s">
        <v>1572</v>
      </c>
      <c r="H2721" s="114" t="s">
        <v>1227</v>
      </c>
      <c r="I2721" s="114"/>
      <c r="J2721" s="114" t="b">
        <v>0</v>
      </c>
      <c r="K2721" s="114"/>
      <c r="L2721" s="114"/>
      <c r="M2721" s="114"/>
      <c r="N2721" s="114"/>
      <c r="O2721" s="114"/>
      <c r="P2721" s="114" t="s">
        <v>1485</v>
      </c>
      <c r="Q2721" s="114" t="s">
        <v>1227</v>
      </c>
    </row>
    <row r="2722" spans="2:17" hidden="1" outlineLevel="2">
      <c r="B2722" s="2" t="s">
        <v>876</v>
      </c>
      <c r="D2722" s="270">
        <v>4568</v>
      </c>
      <c r="E2722" s="112" t="s">
        <v>212</v>
      </c>
      <c r="F2722" s="112" t="s">
        <v>3154</v>
      </c>
      <c r="G2722" s="112" t="s">
        <v>1483</v>
      </c>
      <c r="H2722" s="112" t="s">
        <v>1494</v>
      </c>
      <c r="I2722" s="112"/>
      <c r="J2722" s="112" t="b">
        <v>0</v>
      </c>
      <c r="K2722" s="112"/>
      <c r="L2722" s="112"/>
      <c r="M2722" s="112"/>
      <c r="N2722" s="112"/>
      <c r="O2722" s="112"/>
      <c r="P2722" s="112" t="s">
        <v>1485</v>
      </c>
      <c r="Q2722" s="112" t="s">
        <v>1228</v>
      </c>
    </row>
    <row r="2723" spans="2:17" hidden="1" outlineLevel="2">
      <c r="B2723" s="2" t="s">
        <v>876</v>
      </c>
      <c r="D2723" s="268">
        <v>4569</v>
      </c>
      <c r="E2723" s="114" t="s">
        <v>212</v>
      </c>
      <c r="F2723" s="114" t="s">
        <v>3155</v>
      </c>
      <c r="G2723" s="269" t="s">
        <v>1493</v>
      </c>
      <c r="H2723" s="114" t="s">
        <v>1505</v>
      </c>
      <c r="I2723" s="114"/>
      <c r="J2723" s="114" t="b">
        <v>0</v>
      </c>
      <c r="K2723" s="114"/>
      <c r="L2723" s="114"/>
      <c r="M2723" s="114"/>
      <c r="N2723" s="114"/>
      <c r="O2723" s="114"/>
      <c r="P2723" s="114" t="s">
        <v>1485</v>
      </c>
      <c r="Q2723" s="114" t="s">
        <v>1228</v>
      </c>
    </row>
    <row r="2724" spans="2:17" hidden="1" outlineLevel="2">
      <c r="B2724" s="2" t="s">
        <v>876</v>
      </c>
      <c r="D2724" s="270">
        <v>4570</v>
      </c>
      <c r="E2724" s="112" t="s">
        <v>212</v>
      </c>
      <c r="F2724" s="112" t="s">
        <v>3156</v>
      </c>
      <c r="G2724" s="112" t="s">
        <v>1493</v>
      </c>
      <c r="H2724" s="112" t="s">
        <v>1494</v>
      </c>
      <c r="I2724" s="112"/>
      <c r="J2724" s="112" t="b">
        <v>0</v>
      </c>
      <c r="K2724" s="112"/>
      <c r="L2724" s="112"/>
      <c r="M2724" s="112"/>
      <c r="N2724" s="112"/>
      <c r="O2724" s="112"/>
      <c r="P2724" s="112" t="s">
        <v>1485</v>
      </c>
      <c r="Q2724" s="112" t="s">
        <v>1228</v>
      </c>
    </row>
    <row r="2725" spans="2:17" hidden="1" outlineLevel="2">
      <c r="B2725" s="2" t="s">
        <v>876</v>
      </c>
      <c r="D2725" s="268">
        <v>4571</v>
      </c>
      <c r="E2725" s="114" t="s">
        <v>212</v>
      </c>
      <c r="F2725" s="114" t="s">
        <v>3157</v>
      </c>
      <c r="G2725" s="114" t="s">
        <v>1493</v>
      </c>
      <c r="H2725" s="114" t="s">
        <v>1505</v>
      </c>
      <c r="I2725" s="114"/>
      <c r="J2725" s="114" t="b">
        <v>0</v>
      </c>
      <c r="K2725" s="114"/>
      <c r="L2725" s="114"/>
      <c r="M2725" s="114"/>
      <c r="N2725" s="114"/>
      <c r="O2725" s="114"/>
      <c r="P2725" s="114" t="s">
        <v>1485</v>
      </c>
      <c r="Q2725" s="114" t="s">
        <v>1228</v>
      </c>
    </row>
    <row r="2726" spans="2:17" hidden="1" outlineLevel="2">
      <c r="B2726" s="2" t="s">
        <v>876</v>
      </c>
      <c r="D2726" s="270">
        <v>4572</v>
      </c>
      <c r="E2726" s="112" t="s">
        <v>212</v>
      </c>
      <c r="F2726" s="112" t="s">
        <v>3158</v>
      </c>
      <c r="G2726" s="112" t="s">
        <v>1572</v>
      </c>
      <c r="H2726" s="112" t="s">
        <v>1227</v>
      </c>
      <c r="I2726" s="112"/>
      <c r="J2726" s="112" t="b">
        <v>0</v>
      </c>
      <c r="K2726" s="112"/>
      <c r="L2726" s="112"/>
      <c r="M2726" s="112"/>
      <c r="N2726" s="112"/>
      <c r="O2726" s="112"/>
      <c r="P2726" s="112" t="s">
        <v>1485</v>
      </c>
      <c r="Q2726" s="112" t="s">
        <v>1227</v>
      </c>
    </row>
    <row r="2727" spans="2:17" hidden="1" outlineLevel="2">
      <c r="B2727" s="2" t="s">
        <v>876</v>
      </c>
      <c r="D2727" s="268">
        <v>4573</v>
      </c>
      <c r="E2727" s="114" t="s">
        <v>212</v>
      </c>
      <c r="F2727" s="114" t="s">
        <v>3159</v>
      </c>
      <c r="G2727" s="114" t="s">
        <v>1572</v>
      </c>
      <c r="H2727" s="114" t="s">
        <v>1227</v>
      </c>
      <c r="I2727" s="114"/>
      <c r="J2727" s="114" t="b">
        <v>0</v>
      </c>
      <c r="K2727" s="114"/>
      <c r="L2727" s="114"/>
      <c r="M2727" s="114"/>
      <c r="N2727" s="114"/>
      <c r="O2727" s="114"/>
      <c r="P2727" s="114" t="s">
        <v>1485</v>
      </c>
      <c r="Q2727" s="114" t="s">
        <v>1227</v>
      </c>
    </row>
    <row r="2728" spans="2:17" hidden="1" outlineLevel="2">
      <c r="B2728" s="2" t="s">
        <v>876</v>
      </c>
      <c r="D2728" s="270">
        <v>4574</v>
      </c>
      <c r="E2728" s="112" t="s">
        <v>212</v>
      </c>
      <c r="F2728" s="112" t="s">
        <v>3160</v>
      </c>
      <c r="G2728" s="112" t="s">
        <v>1493</v>
      </c>
      <c r="H2728" s="112" t="s">
        <v>1505</v>
      </c>
      <c r="I2728" s="112"/>
      <c r="J2728" s="112" t="b">
        <v>0</v>
      </c>
      <c r="K2728" s="112"/>
      <c r="L2728" s="112"/>
      <c r="M2728" s="112"/>
      <c r="N2728" s="112"/>
      <c r="O2728" s="112"/>
      <c r="P2728" s="112" t="s">
        <v>1485</v>
      </c>
      <c r="Q2728" s="112" t="s">
        <v>1228</v>
      </c>
    </row>
    <row r="2729" spans="2:17" hidden="1" outlineLevel="2">
      <c r="B2729" s="2" t="s">
        <v>876</v>
      </c>
      <c r="D2729" s="268">
        <v>4575</v>
      </c>
      <c r="E2729" s="114" t="s">
        <v>212</v>
      </c>
      <c r="F2729" s="114" t="s">
        <v>3161</v>
      </c>
      <c r="G2729" s="114" t="s">
        <v>1572</v>
      </c>
      <c r="H2729" s="114" t="s">
        <v>1227</v>
      </c>
      <c r="I2729" s="114"/>
      <c r="J2729" s="114" t="b">
        <v>0</v>
      </c>
      <c r="K2729" s="114"/>
      <c r="L2729" s="114"/>
      <c r="M2729" s="114"/>
      <c r="N2729" s="114"/>
      <c r="O2729" s="114"/>
      <c r="P2729" s="114" t="s">
        <v>1485</v>
      </c>
      <c r="Q2729" s="114" t="s">
        <v>1227</v>
      </c>
    </row>
    <row r="2730" spans="2:17" hidden="1" outlineLevel="2">
      <c r="B2730" s="2" t="s">
        <v>876</v>
      </c>
      <c r="D2730" s="270">
        <v>4580</v>
      </c>
      <c r="E2730" s="112" t="s">
        <v>212</v>
      </c>
      <c r="F2730" s="112" t="s">
        <v>3162</v>
      </c>
      <c r="G2730" s="221" t="s">
        <v>1493</v>
      </c>
      <c r="H2730" s="112" t="s">
        <v>1505</v>
      </c>
      <c r="I2730" s="112"/>
      <c r="J2730" s="112" t="b">
        <v>0</v>
      </c>
      <c r="K2730" s="112"/>
      <c r="L2730" s="112"/>
      <c r="M2730" s="112"/>
      <c r="N2730" s="112"/>
      <c r="O2730" s="112"/>
      <c r="P2730" s="112" t="s">
        <v>1485</v>
      </c>
      <c r="Q2730" s="112" t="s">
        <v>1228</v>
      </c>
    </row>
    <row r="2731" spans="2:17" hidden="1" outlineLevel="2">
      <c r="B2731" s="2" t="s">
        <v>876</v>
      </c>
      <c r="D2731" s="268">
        <v>4581</v>
      </c>
      <c r="E2731" s="114" t="s">
        <v>212</v>
      </c>
      <c r="F2731" s="114" t="s">
        <v>3163</v>
      </c>
      <c r="G2731" s="114" t="s">
        <v>1512</v>
      </c>
      <c r="H2731" s="114" t="s">
        <v>1505</v>
      </c>
      <c r="I2731" s="114"/>
      <c r="J2731" s="114" t="b">
        <v>0</v>
      </c>
      <c r="K2731" s="114"/>
      <c r="L2731" s="114"/>
      <c r="M2731" s="114"/>
      <c r="N2731" s="114"/>
      <c r="O2731" s="114"/>
      <c r="P2731" s="114" t="s">
        <v>1485</v>
      </c>
      <c r="Q2731" s="114" t="s">
        <v>1228</v>
      </c>
    </row>
    <row r="2732" spans="2:17" hidden="1" outlineLevel="2">
      <c r="B2732" s="2" t="s">
        <v>876</v>
      </c>
      <c r="D2732" s="270">
        <v>4600</v>
      </c>
      <c r="E2732" s="112" t="s">
        <v>212</v>
      </c>
      <c r="F2732" s="112" t="s">
        <v>3164</v>
      </c>
      <c r="G2732" s="221" t="s">
        <v>1512</v>
      </c>
      <c r="H2732" s="112" t="s">
        <v>1505</v>
      </c>
      <c r="I2732" s="112"/>
      <c r="J2732" s="112" t="b">
        <v>0</v>
      </c>
      <c r="K2732" s="112"/>
      <c r="L2732" s="112"/>
      <c r="M2732" s="112"/>
      <c r="N2732" s="112"/>
      <c r="O2732" s="112"/>
      <c r="P2732" s="112" t="s">
        <v>1485</v>
      </c>
      <c r="Q2732" s="112" t="s">
        <v>1228</v>
      </c>
    </row>
    <row r="2733" spans="2:17" hidden="1" outlineLevel="2">
      <c r="B2733" s="2" t="s">
        <v>876</v>
      </c>
      <c r="D2733" s="268">
        <v>4601</v>
      </c>
      <c r="E2733" s="114" t="s">
        <v>212</v>
      </c>
      <c r="F2733" s="114" t="s">
        <v>3165</v>
      </c>
      <c r="G2733" s="114" t="s">
        <v>1512</v>
      </c>
      <c r="H2733" s="114" t="s">
        <v>1505</v>
      </c>
      <c r="I2733" s="114"/>
      <c r="J2733" s="114" t="b">
        <v>0</v>
      </c>
      <c r="K2733" s="114"/>
      <c r="L2733" s="114" t="b">
        <v>1</v>
      </c>
      <c r="M2733" s="114"/>
      <c r="N2733" s="114"/>
      <c r="O2733" s="114"/>
      <c r="P2733" s="114" t="s">
        <v>1485</v>
      </c>
      <c r="Q2733" s="114" t="s">
        <v>1228</v>
      </c>
    </row>
    <row r="2734" spans="2:17" hidden="1" outlineLevel="2">
      <c r="B2734" s="2" t="s">
        <v>876</v>
      </c>
      <c r="D2734" s="270">
        <v>4605</v>
      </c>
      <c r="E2734" s="112" t="s">
        <v>212</v>
      </c>
      <c r="F2734" s="112" t="s">
        <v>3166</v>
      </c>
      <c r="G2734" s="112" t="s">
        <v>1512</v>
      </c>
      <c r="H2734" s="112" t="s">
        <v>1505</v>
      </c>
      <c r="I2734" s="112"/>
      <c r="J2734" s="112" t="b">
        <v>0</v>
      </c>
      <c r="K2734" s="112"/>
      <c r="L2734" s="112"/>
      <c r="M2734" s="112"/>
      <c r="N2734" s="112"/>
      <c r="O2734" s="112"/>
      <c r="P2734" s="112" t="s">
        <v>1485</v>
      </c>
      <c r="Q2734" s="112" t="s">
        <v>1228</v>
      </c>
    </row>
    <row r="2735" spans="2:17" hidden="1" outlineLevel="2">
      <c r="B2735" s="2" t="s">
        <v>876</v>
      </c>
      <c r="D2735" s="268">
        <v>4606</v>
      </c>
      <c r="E2735" s="114" t="s">
        <v>212</v>
      </c>
      <c r="F2735" s="114" t="s">
        <v>3167</v>
      </c>
      <c r="G2735" s="114" t="s">
        <v>1512</v>
      </c>
      <c r="H2735" s="114" t="s">
        <v>1505</v>
      </c>
      <c r="I2735" s="114"/>
      <c r="J2735" s="114" t="b">
        <v>0</v>
      </c>
      <c r="K2735" s="114"/>
      <c r="L2735" s="114"/>
      <c r="M2735" s="114"/>
      <c r="N2735" s="114"/>
      <c r="O2735" s="114"/>
      <c r="P2735" s="114" t="s">
        <v>1485</v>
      </c>
      <c r="Q2735" s="114" t="s">
        <v>1228</v>
      </c>
    </row>
    <row r="2736" spans="2:17" hidden="1" outlineLevel="2">
      <c r="B2736" s="2" t="s">
        <v>876</v>
      </c>
      <c r="D2736" s="270">
        <v>4608</v>
      </c>
      <c r="E2736" s="112" t="s">
        <v>212</v>
      </c>
      <c r="F2736" s="112" t="s">
        <v>3168</v>
      </c>
      <c r="G2736" s="112" t="s">
        <v>1512</v>
      </c>
      <c r="H2736" s="112" t="s">
        <v>1505</v>
      </c>
      <c r="I2736" s="112"/>
      <c r="J2736" s="112" t="b">
        <v>0</v>
      </c>
      <c r="K2736" s="112"/>
      <c r="L2736" s="112"/>
      <c r="M2736" s="112"/>
      <c r="N2736" s="112"/>
      <c r="O2736" s="112"/>
      <c r="P2736" s="112" t="s">
        <v>1485</v>
      </c>
      <c r="Q2736" s="112" t="s">
        <v>1228</v>
      </c>
    </row>
    <row r="2737" spans="2:17" hidden="1" outlineLevel="2">
      <c r="B2737" s="2" t="s">
        <v>876</v>
      </c>
      <c r="D2737" s="268">
        <v>4610</v>
      </c>
      <c r="E2737" s="114" t="s">
        <v>212</v>
      </c>
      <c r="F2737" s="114" t="s">
        <v>3169</v>
      </c>
      <c r="G2737" s="114" t="s">
        <v>1493</v>
      </c>
      <c r="H2737" s="114" t="s">
        <v>1494</v>
      </c>
      <c r="I2737" s="114"/>
      <c r="J2737" s="114" t="b">
        <v>0</v>
      </c>
      <c r="K2737" s="114"/>
      <c r="L2737" s="114"/>
      <c r="M2737" s="114"/>
      <c r="N2737" s="114"/>
      <c r="O2737" s="114"/>
      <c r="P2737" s="114" t="s">
        <v>1485</v>
      </c>
      <c r="Q2737" s="114" t="s">
        <v>1228</v>
      </c>
    </row>
    <row r="2738" spans="2:17" hidden="1" outlineLevel="2">
      <c r="B2738" s="2" t="s">
        <v>876</v>
      </c>
      <c r="D2738" s="270">
        <v>4611</v>
      </c>
      <c r="E2738" s="112" t="s">
        <v>212</v>
      </c>
      <c r="F2738" s="112" t="s">
        <v>3170</v>
      </c>
      <c r="G2738" s="112" t="s">
        <v>1512</v>
      </c>
      <c r="H2738" s="112" t="s">
        <v>1505</v>
      </c>
      <c r="I2738" s="112"/>
      <c r="J2738" s="112" t="b">
        <v>0</v>
      </c>
      <c r="K2738" s="112"/>
      <c r="L2738" s="112"/>
      <c r="M2738" s="112"/>
      <c r="N2738" s="112"/>
      <c r="O2738" s="112"/>
      <c r="P2738" s="112" t="s">
        <v>1485</v>
      </c>
      <c r="Q2738" s="112" t="s">
        <v>1228</v>
      </c>
    </row>
    <row r="2739" spans="2:17" hidden="1" outlineLevel="2">
      <c r="B2739" s="2" t="s">
        <v>876</v>
      </c>
      <c r="D2739" s="268">
        <v>4612</v>
      </c>
      <c r="E2739" s="114" t="s">
        <v>212</v>
      </c>
      <c r="F2739" s="114" t="s">
        <v>3171</v>
      </c>
      <c r="G2739" s="114" t="s">
        <v>1512</v>
      </c>
      <c r="H2739" s="114" t="s">
        <v>1512</v>
      </c>
      <c r="I2739" s="114"/>
      <c r="J2739" s="114" t="b">
        <v>0</v>
      </c>
      <c r="K2739" s="114"/>
      <c r="L2739" s="114" t="b">
        <v>1</v>
      </c>
      <c r="M2739" s="114"/>
      <c r="N2739" s="114"/>
      <c r="O2739" s="114"/>
      <c r="P2739" s="114" t="s">
        <v>1485</v>
      </c>
      <c r="Q2739" s="114" t="s">
        <v>1228</v>
      </c>
    </row>
    <row r="2740" spans="2:17" hidden="1" outlineLevel="2">
      <c r="B2740" s="2" t="s">
        <v>876</v>
      </c>
      <c r="D2740" s="270">
        <v>4613</v>
      </c>
      <c r="E2740" s="112" t="s">
        <v>212</v>
      </c>
      <c r="F2740" s="112" t="s">
        <v>3172</v>
      </c>
      <c r="G2740" s="112" t="s">
        <v>1512</v>
      </c>
      <c r="H2740" s="112" t="s">
        <v>1505</v>
      </c>
      <c r="I2740" s="112"/>
      <c r="J2740" s="112" t="b">
        <v>0</v>
      </c>
      <c r="K2740" s="112"/>
      <c r="L2740" s="112" t="b">
        <v>1</v>
      </c>
      <c r="M2740" s="112"/>
      <c r="N2740" s="112"/>
      <c r="O2740" s="112"/>
      <c r="P2740" s="112" t="s">
        <v>1485</v>
      </c>
      <c r="Q2740" s="112" t="s">
        <v>1228</v>
      </c>
    </row>
    <row r="2741" spans="2:17" hidden="1" outlineLevel="2">
      <c r="B2741" s="2" t="s">
        <v>876</v>
      </c>
      <c r="D2741" s="268">
        <v>4614</v>
      </c>
      <c r="E2741" s="114" t="s">
        <v>212</v>
      </c>
      <c r="F2741" s="114" t="s">
        <v>3173</v>
      </c>
      <c r="G2741" s="114" t="s">
        <v>1512</v>
      </c>
      <c r="H2741" s="114" t="s">
        <v>1505</v>
      </c>
      <c r="I2741" s="114"/>
      <c r="J2741" s="114" t="b">
        <v>0</v>
      </c>
      <c r="K2741" s="114"/>
      <c r="L2741" s="114"/>
      <c r="M2741" s="114"/>
      <c r="N2741" s="114"/>
      <c r="O2741" s="114"/>
      <c r="P2741" s="114" t="s">
        <v>1485</v>
      </c>
      <c r="Q2741" s="114" t="s">
        <v>1228</v>
      </c>
    </row>
    <row r="2742" spans="2:17" hidden="1" outlineLevel="2">
      <c r="B2742" s="2" t="s">
        <v>876</v>
      </c>
      <c r="D2742" s="270">
        <v>4615</v>
      </c>
      <c r="E2742" s="112" t="s">
        <v>212</v>
      </c>
      <c r="F2742" s="112" t="s">
        <v>3174</v>
      </c>
      <c r="G2742" s="221" t="s">
        <v>1493</v>
      </c>
      <c r="H2742" s="112" t="s">
        <v>1505</v>
      </c>
      <c r="I2742" s="112"/>
      <c r="J2742" s="112" t="b">
        <v>0</v>
      </c>
      <c r="K2742" s="112"/>
      <c r="L2742" s="112"/>
      <c r="M2742" s="112"/>
      <c r="N2742" s="112"/>
      <c r="O2742" s="112"/>
      <c r="P2742" s="112" t="s">
        <v>1485</v>
      </c>
      <c r="Q2742" s="112" t="s">
        <v>1228</v>
      </c>
    </row>
    <row r="2743" spans="2:17" hidden="1" outlineLevel="2">
      <c r="B2743" s="2" t="s">
        <v>876</v>
      </c>
      <c r="D2743" s="268">
        <v>4620</v>
      </c>
      <c r="E2743" s="114" t="s">
        <v>212</v>
      </c>
      <c r="F2743" s="114" t="s">
        <v>3175</v>
      </c>
      <c r="G2743" s="114" t="s">
        <v>1512</v>
      </c>
      <c r="H2743" s="114" t="s">
        <v>1505</v>
      </c>
      <c r="I2743" s="114"/>
      <c r="J2743" s="114" t="b">
        <v>0</v>
      </c>
      <c r="K2743" s="114"/>
      <c r="L2743" s="114"/>
      <c r="M2743" s="114"/>
      <c r="N2743" s="114"/>
      <c r="O2743" s="114"/>
      <c r="P2743" s="114" t="s">
        <v>1485</v>
      </c>
      <c r="Q2743" s="114" t="s">
        <v>1228</v>
      </c>
    </row>
    <row r="2744" spans="2:17" hidden="1" outlineLevel="2">
      <c r="B2744" s="2" t="s">
        <v>876</v>
      </c>
      <c r="D2744" s="270">
        <v>4621</v>
      </c>
      <c r="E2744" s="112" t="s">
        <v>212</v>
      </c>
      <c r="F2744" s="112" t="s">
        <v>3176</v>
      </c>
      <c r="G2744" s="112" t="s">
        <v>1512</v>
      </c>
      <c r="H2744" s="112" t="s">
        <v>1505</v>
      </c>
      <c r="I2744" s="112"/>
      <c r="J2744" s="112" t="b">
        <v>0</v>
      </c>
      <c r="K2744" s="112"/>
      <c r="L2744" s="112"/>
      <c r="M2744" s="112"/>
      <c r="N2744" s="112"/>
      <c r="O2744" s="112"/>
      <c r="P2744" s="112" t="s">
        <v>1485</v>
      </c>
      <c r="Q2744" s="112" t="s">
        <v>1228</v>
      </c>
    </row>
    <row r="2745" spans="2:17" hidden="1" outlineLevel="2">
      <c r="B2745" s="2" t="s">
        <v>876</v>
      </c>
      <c r="D2745" s="268">
        <v>4625</v>
      </c>
      <c r="E2745" s="114" t="s">
        <v>212</v>
      </c>
      <c r="F2745" s="114" t="s">
        <v>3177</v>
      </c>
      <c r="G2745" s="114" t="s">
        <v>1493</v>
      </c>
      <c r="H2745" s="114" t="s">
        <v>1505</v>
      </c>
      <c r="I2745" s="114"/>
      <c r="J2745" s="114" t="b">
        <v>0</v>
      </c>
      <c r="K2745" s="114"/>
      <c r="L2745" s="114"/>
      <c r="M2745" s="114"/>
      <c r="N2745" s="114"/>
      <c r="O2745" s="114"/>
      <c r="P2745" s="114" t="s">
        <v>1485</v>
      </c>
      <c r="Q2745" s="114" t="s">
        <v>1228</v>
      </c>
    </row>
    <row r="2746" spans="2:17" hidden="1" outlineLevel="2">
      <c r="B2746" s="2" t="s">
        <v>876</v>
      </c>
      <c r="D2746" s="270">
        <v>4626</v>
      </c>
      <c r="E2746" s="112" t="s">
        <v>212</v>
      </c>
      <c r="F2746" s="112" t="s">
        <v>3178</v>
      </c>
      <c r="G2746" s="112" t="s">
        <v>1512</v>
      </c>
      <c r="H2746" s="112" t="s">
        <v>1505</v>
      </c>
      <c r="I2746" s="112"/>
      <c r="J2746" s="112" t="b">
        <v>0</v>
      </c>
      <c r="K2746" s="112"/>
      <c r="L2746" s="112"/>
      <c r="M2746" s="112"/>
      <c r="N2746" s="112"/>
      <c r="O2746" s="112"/>
      <c r="P2746" s="112" t="s">
        <v>1485</v>
      </c>
      <c r="Q2746" s="112" t="s">
        <v>1228</v>
      </c>
    </row>
    <row r="2747" spans="2:17" hidden="1" outlineLevel="2">
      <c r="B2747" s="2" t="s">
        <v>876</v>
      </c>
      <c r="D2747" s="268">
        <v>4627</v>
      </c>
      <c r="E2747" s="114" t="s">
        <v>212</v>
      </c>
      <c r="F2747" s="114" t="s">
        <v>3179</v>
      </c>
      <c r="G2747" s="114" t="s">
        <v>1512</v>
      </c>
      <c r="H2747" s="114" t="s">
        <v>1505</v>
      </c>
      <c r="I2747" s="114"/>
      <c r="J2747" s="114" t="b">
        <v>0</v>
      </c>
      <c r="K2747" s="114"/>
      <c r="L2747" s="114"/>
      <c r="M2747" s="114"/>
      <c r="N2747" s="114"/>
      <c r="O2747" s="114"/>
      <c r="P2747" s="114" t="s">
        <v>1485</v>
      </c>
      <c r="Q2747" s="114" t="s">
        <v>1228</v>
      </c>
    </row>
    <row r="2748" spans="2:17" hidden="1" outlineLevel="2">
      <c r="B2748" s="2" t="s">
        <v>876</v>
      </c>
      <c r="D2748" s="270">
        <v>4630</v>
      </c>
      <c r="E2748" s="112" t="s">
        <v>212</v>
      </c>
      <c r="F2748" s="112" t="s">
        <v>3180</v>
      </c>
      <c r="G2748" s="112" t="s">
        <v>1493</v>
      </c>
      <c r="H2748" s="112" t="s">
        <v>1505</v>
      </c>
      <c r="I2748" s="112"/>
      <c r="J2748" s="112" t="b">
        <v>0</v>
      </c>
      <c r="K2748" s="112"/>
      <c r="L2748" s="112"/>
      <c r="M2748" s="112"/>
      <c r="N2748" s="112"/>
      <c r="O2748" s="112"/>
      <c r="P2748" s="112" t="s">
        <v>1485</v>
      </c>
      <c r="Q2748" s="112" t="s">
        <v>1228</v>
      </c>
    </row>
    <row r="2749" spans="2:17" hidden="1" outlineLevel="2">
      <c r="B2749" s="2" t="s">
        <v>876</v>
      </c>
      <c r="D2749" s="268">
        <v>4650</v>
      </c>
      <c r="E2749" s="114" t="s">
        <v>212</v>
      </c>
      <c r="F2749" s="114" t="s">
        <v>3181</v>
      </c>
      <c r="G2749" s="114" t="s">
        <v>1493</v>
      </c>
      <c r="H2749" s="114" t="s">
        <v>1494</v>
      </c>
      <c r="I2749" s="114"/>
      <c r="J2749" s="114" t="b">
        <v>0</v>
      </c>
      <c r="K2749" s="114"/>
      <c r="L2749" s="114"/>
      <c r="M2749" s="114"/>
      <c r="N2749" s="114"/>
      <c r="O2749" s="114"/>
      <c r="P2749" s="114" t="s">
        <v>1485</v>
      </c>
      <c r="Q2749" s="114" t="s">
        <v>1228</v>
      </c>
    </row>
    <row r="2750" spans="2:17" hidden="1" outlineLevel="2">
      <c r="B2750" s="2" t="s">
        <v>876</v>
      </c>
      <c r="D2750" s="270">
        <v>4655</v>
      </c>
      <c r="E2750" s="112" t="s">
        <v>212</v>
      </c>
      <c r="F2750" s="112" t="s">
        <v>3182</v>
      </c>
      <c r="G2750" s="112" t="s">
        <v>1493</v>
      </c>
      <c r="H2750" s="112" t="s">
        <v>1494</v>
      </c>
      <c r="I2750" s="112"/>
      <c r="J2750" s="112" t="b">
        <v>0</v>
      </c>
      <c r="K2750" s="112"/>
      <c r="L2750" s="112"/>
      <c r="M2750" s="112"/>
      <c r="N2750" s="112"/>
      <c r="O2750" s="112"/>
      <c r="P2750" s="112" t="s">
        <v>1485</v>
      </c>
      <c r="Q2750" s="112" t="s">
        <v>1228</v>
      </c>
    </row>
    <row r="2751" spans="2:17" hidden="1" outlineLevel="2">
      <c r="B2751" s="2" t="s">
        <v>876</v>
      </c>
      <c r="D2751" s="268">
        <v>4659</v>
      </c>
      <c r="E2751" s="114" t="s">
        <v>212</v>
      </c>
      <c r="F2751" s="114" t="s">
        <v>3183</v>
      </c>
      <c r="G2751" s="114" t="s">
        <v>1493</v>
      </c>
      <c r="H2751" s="114" t="s">
        <v>1494</v>
      </c>
      <c r="I2751" s="114"/>
      <c r="J2751" s="114" t="b">
        <v>0</v>
      </c>
      <c r="K2751" s="114"/>
      <c r="L2751" s="114"/>
      <c r="M2751" s="114"/>
      <c r="N2751" s="114"/>
      <c r="O2751" s="114"/>
      <c r="P2751" s="114" t="s">
        <v>1485</v>
      </c>
      <c r="Q2751" s="114" t="s">
        <v>1228</v>
      </c>
    </row>
    <row r="2752" spans="2:17" hidden="1" outlineLevel="2">
      <c r="B2752" s="2" t="s">
        <v>876</v>
      </c>
      <c r="D2752" s="270">
        <v>4660</v>
      </c>
      <c r="E2752" s="112" t="s">
        <v>212</v>
      </c>
      <c r="F2752" s="112" t="s">
        <v>3184</v>
      </c>
      <c r="G2752" s="112" t="s">
        <v>1493</v>
      </c>
      <c r="H2752" s="112" t="s">
        <v>1505</v>
      </c>
      <c r="I2752" s="112"/>
      <c r="J2752" s="112" t="b">
        <v>0</v>
      </c>
      <c r="K2752" s="112"/>
      <c r="L2752" s="112"/>
      <c r="M2752" s="112"/>
      <c r="N2752" s="112"/>
      <c r="O2752" s="112"/>
      <c r="P2752" s="112" t="s">
        <v>1485</v>
      </c>
      <c r="Q2752" s="112" t="s">
        <v>1228</v>
      </c>
    </row>
    <row r="2753" spans="2:17" hidden="1" outlineLevel="2">
      <c r="B2753" s="2" t="s">
        <v>876</v>
      </c>
      <c r="D2753" s="268">
        <v>4662</v>
      </c>
      <c r="E2753" s="114" t="s">
        <v>212</v>
      </c>
      <c r="F2753" s="114" t="s">
        <v>3185</v>
      </c>
      <c r="G2753" s="114" t="s">
        <v>1512</v>
      </c>
      <c r="H2753" s="114" t="s">
        <v>1505</v>
      </c>
      <c r="I2753" s="114"/>
      <c r="J2753" s="114" t="b">
        <v>0</v>
      </c>
      <c r="K2753" s="114"/>
      <c r="L2753" s="114"/>
      <c r="M2753" s="114"/>
      <c r="N2753" s="114"/>
      <c r="O2753" s="114"/>
      <c r="P2753" s="114" t="s">
        <v>1485</v>
      </c>
      <c r="Q2753" s="114" t="s">
        <v>1228</v>
      </c>
    </row>
    <row r="2754" spans="2:17" hidden="1" outlineLevel="2">
      <c r="B2754" s="2" t="s">
        <v>876</v>
      </c>
      <c r="D2754" s="270">
        <v>4670</v>
      </c>
      <c r="E2754" s="112" t="s">
        <v>212</v>
      </c>
      <c r="F2754" s="112" t="s">
        <v>1596</v>
      </c>
      <c r="G2754" s="112" t="s">
        <v>1483</v>
      </c>
      <c r="H2754" s="112" t="s">
        <v>1494</v>
      </c>
      <c r="I2754" s="112"/>
      <c r="J2754" s="112" t="b">
        <v>0</v>
      </c>
      <c r="K2754" s="112"/>
      <c r="L2754" s="112"/>
      <c r="M2754" s="112"/>
      <c r="N2754" s="112"/>
      <c r="O2754" s="112"/>
      <c r="P2754" s="112" t="s">
        <v>1485</v>
      </c>
      <c r="Q2754" s="112" t="s">
        <v>1228</v>
      </c>
    </row>
    <row r="2755" spans="2:17" hidden="1" outlineLevel="2">
      <c r="B2755" s="2" t="s">
        <v>876</v>
      </c>
      <c r="D2755" s="268">
        <v>4671</v>
      </c>
      <c r="E2755" s="114" t="s">
        <v>212</v>
      </c>
      <c r="F2755" s="114" t="s">
        <v>3186</v>
      </c>
      <c r="G2755" s="114" t="s">
        <v>1533</v>
      </c>
      <c r="H2755" s="114" t="s">
        <v>1505</v>
      </c>
      <c r="I2755" s="114"/>
      <c r="J2755" s="114" t="b">
        <v>0</v>
      </c>
      <c r="K2755" s="114"/>
      <c r="L2755" s="114"/>
      <c r="M2755" s="114"/>
      <c r="N2755" s="114"/>
      <c r="O2755" s="114"/>
      <c r="P2755" s="114" t="s">
        <v>1485</v>
      </c>
      <c r="Q2755" s="114" t="s">
        <v>1228</v>
      </c>
    </row>
    <row r="2756" spans="2:17" hidden="1" outlineLevel="2">
      <c r="B2756" s="2" t="s">
        <v>876</v>
      </c>
      <c r="D2756" s="268">
        <v>4671</v>
      </c>
      <c r="E2756" s="114" t="s">
        <v>212</v>
      </c>
      <c r="F2756" s="114" t="s">
        <v>3187</v>
      </c>
      <c r="G2756" s="114" t="s">
        <v>1533</v>
      </c>
      <c r="H2756" s="114" t="s">
        <v>1505</v>
      </c>
      <c r="I2756" s="114"/>
      <c r="J2756" s="114" t="b">
        <v>1</v>
      </c>
      <c r="K2756" s="114"/>
      <c r="L2756" s="114"/>
      <c r="M2756" s="114"/>
      <c r="N2756" s="114"/>
      <c r="O2756" s="114"/>
      <c r="P2756" s="114" t="s">
        <v>1485</v>
      </c>
      <c r="Q2756" s="114" t="s">
        <v>1228</v>
      </c>
    </row>
    <row r="2757" spans="2:17" hidden="1" outlineLevel="2">
      <c r="B2757" s="2" t="s">
        <v>876</v>
      </c>
      <c r="D2757" s="268">
        <v>4671</v>
      </c>
      <c r="E2757" s="114" t="s">
        <v>212</v>
      </c>
      <c r="F2757" s="114" t="s">
        <v>3188</v>
      </c>
      <c r="G2757" s="114" t="s">
        <v>1533</v>
      </c>
      <c r="H2757" s="114" t="s">
        <v>1505</v>
      </c>
      <c r="I2757" s="114"/>
      <c r="J2757" s="114" t="b">
        <v>0</v>
      </c>
      <c r="K2757" s="114"/>
      <c r="L2757" s="114"/>
      <c r="M2757" s="114"/>
      <c r="N2757" s="114"/>
      <c r="O2757" s="114"/>
      <c r="P2757" s="114" t="s">
        <v>1485</v>
      </c>
      <c r="Q2757" s="114" t="s">
        <v>1228</v>
      </c>
    </row>
    <row r="2758" spans="2:17" hidden="1" outlineLevel="2">
      <c r="B2758" s="2" t="s">
        <v>876</v>
      </c>
      <c r="D2758" s="268">
        <v>4671</v>
      </c>
      <c r="E2758" s="114" t="s">
        <v>212</v>
      </c>
      <c r="F2758" s="114" t="s">
        <v>3189</v>
      </c>
      <c r="G2758" s="114" t="s">
        <v>1533</v>
      </c>
      <c r="H2758" s="114" t="s">
        <v>1505</v>
      </c>
      <c r="I2758" s="114"/>
      <c r="J2758" s="114" t="b">
        <v>0</v>
      </c>
      <c r="K2758" s="114"/>
      <c r="L2758" s="114"/>
      <c r="M2758" s="114"/>
      <c r="N2758" s="114"/>
      <c r="O2758" s="114"/>
      <c r="P2758" s="114" t="s">
        <v>1485</v>
      </c>
      <c r="Q2758" s="114" t="s">
        <v>1228</v>
      </c>
    </row>
    <row r="2759" spans="2:17" hidden="1" outlineLevel="2">
      <c r="B2759" s="2" t="s">
        <v>876</v>
      </c>
      <c r="D2759" s="268">
        <v>4671</v>
      </c>
      <c r="E2759" s="114" t="s">
        <v>212</v>
      </c>
      <c r="F2759" s="114" t="s">
        <v>3190</v>
      </c>
      <c r="G2759" s="114" t="s">
        <v>1533</v>
      </c>
      <c r="H2759" s="114" t="s">
        <v>1505</v>
      </c>
      <c r="I2759" s="114"/>
      <c r="J2759" s="114" t="b">
        <v>0</v>
      </c>
      <c r="K2759" s="114"/>
      <c r="L2759" s="114"/>
      <c r="M2759" s="114"/>
      <c r="N2759" s="114"/>
      <c r="O2759" s="114"/>
      <c r="P2759" s="114" t="s">
        <v>1485</v>
      </c>
      <c r="Q2759" s="114" t="s">
        <v>1228</v>
      </c>
    </row>
    <row r="2760" spans="2:17" hidden="1" outlineLevel="2">
      <c r="B2760" s="2" t="s">
        <v>876</v>
      </c>
      <c r="D2760" s="268">
        <v>4671</v>
      </c>
      <c r="E2760" s="114" t="s">
        <v>212</v>
      </c>
      <c r="F2760" s="114" t="s">
        <v>3191</v>
      </c>
      <c r="G2760" s="114" t="s">
        <v>1533</v>
      </c>
      <c r="H2760" s="114" t="s">
        <v>1505</v>
      </c>
      <c r="I2760" s="114"/>
      <c r="J2760" s="114" t="b">
        <v>0</v>
      </c>
      <c r="K2760" s="114"/>
      <c r="L2760" s="114"/>
      <c r="M2760" s="114"/>
      <c r="N2760" s="114"/>
      <c r="O2760" s="114"/>
      <c r="P2760" s="114" t="s">
        <v>1485</v>
      </c>
      <c r="Q2760" s="114" t="s">
        <v>1228</v>
      </c>
    </row>
    <row r="2761" spans="2:17" hidden="1" outlineLevel="2">
      <c r="B2761" s="2" t="s">
        <v>876</v>
      </c>
      <c r="D2761" s="268">
        <v>4671</v>
      </c>
      <c r="E2761" s="114" t="s">
        <v>212</v>
      </c>
      <c r="F2761" s="114" t="s">
        <v>3192</v>
      </c>
      <c r="G2761" s="114" t="s">
        <v>1533</v>
      </c>
      <c r="H2761" s="114" t="s">
        <v>1505</v>
      </c>
      <c r="I2761" s="114"/>
      <c r="J2761" s="114" t="b">
        <v>0</v>
      </c>
      <c r="K2761" s="114"/>
      <c r="L2761" s="114"/>
      <c r="M2761" s="114"/>
      <c r="N2761" s="114"/>
      <c r="O2761" s="114"/>
      <c r="P2761" s="114" t="s">
        <v>1485</v>
      </c>
      <c r="Q2761" s="114" t="s">
        <v>1228</v>
      </c>
    </row>
    <row r="2762" spans="2:17" hidden="1" outlineLevel="2">
      <c r="B2762" s="2" t="s">
        <v>876</v>
      </c>
      <c r="D2762" s="268">
        <v>4671</v>
      </c>
      <c r="E2762" s="114" t="s">
        <v>212</v>
      </c>
      <c r="F2762" s="114" t="s">
        <v>3193</v>
      </c>
      <c r="G2762" s="114" t="s">
        <v>1533</v>
      </c>
      <c r="H2762" s="114" t="s">
        <v>1505</v>
      </c>
      <c r="I2762" s="114"/>
      <c r="J2762" s="114" t="b">
        <v>0</v>
      </c>
      <c r="K2762" s="114"/>
      <c r="L2762" s="114"/>
      <c r="M2762" s="114"/>
      <c r="N2762" s="114"/>
      <c r="O2762" s="114"/>
      <c r="P2762" s="114" t="s">
        <v>1485</v>
      </c>
      <c r="Q2762" s="114" t="s">
        <v>1228</v>
      </c>
    </row>
    <row r="2763" spans="2:17" hidden="1" outlineLevel="2">
      <c r="B2763" s="2" t="s">
        <v>876</v>
      </c>
      <c r="D2763" s="268">
        <v>4671</v>
      </c>
      <c r="E2763" s="114" t="s">
        <v>212</v>
      </c>
      <c r="F2763" s="114" t="s">
        <v>3194</v>
      </c>
      <c r="G2763" s="114" t="s">
        <v>1533</v>
      </c>
      <c r="H2763" s="114" t="s">
        <v>1505</v>
      </c>
      <c r="I2763" s="114"/>
      <c r="J2763" s="114" t="b">
        <v>0</v>
      </c>
      <c r="K2763" s="114"/>
      <c r="L2763" s="114"/>
      <c r="M2763" s="114"/>
      <c r="N2763" s="114"/>
      <c r="O2763" s="114"/>
      <c r="P2763" s="114" t="s">
        <v>1485</v>
      </c>
      <c r="Q2763" s="114" t="s">
        <v>1228</v>
      </c>
    </row>
    <row r="2764" spans="2:17" hidden="1" outlineLevel="2">
      <c r="B2764" s="2" t="s">
        <v>876</v>
      </c>
      <c r="D2764" s="268">
        <v>4671</v>
      </c>
      <c r="E2764" s="114" t="s">
        <v>212</v>
      </c>
      <c r="F2764" s="114" t="s">
        <v>3195</v>
      </c>
      <c r="G2764" s="114" t="s">
        <v>1533</v>
      </c>
      <c r="H2764" s="114" t="s">
        <v>1505</v>
      </c>
      <c r="I2764" s="114"/>
      <c r="J2764" s="114" t="b">
        <v>0</v>
      </c>
      <c r="K2764" s="114"/>
      <c r="L2764" s="114"/>
      <c r="M2764" s="114"/>
      <c r="N2764" s="114"/>
      <c r="O2764" s="114"/>
      <c r="P2764" s="114" t="s">
        <v>1485</v>
      </c>
      <c r="Q2764" s="114" t="s">
        <v>1228</v>
      </c>
    </row>
    <row r="2765" spans="2:17" hidden="1" outlineLevel="2">
      <c r="B2765" s="2" t="s">
        <v>876</v>
      </c>
      <c r="D2765" s="268">
        <v>4671</v>
      </c>
      <c r="E2765" s="114" t="s">
        <v>212</v>
      </c>
      <c r="F2765" s="114" t="s">
        <v>3196</v>
      </c>
      <c r="G2765" s="114" t="s">
        <v>1533</v>
      </c>
      <c r="H2765" s="114" t="s">
        <v>1505</v>
      </c>
      <c r="I2765" s="114"/>
      <c r="J2765" s="114" t="b">
        <v>0</v>
      </c>
      <c r="K2765" s="114"/>
      <c r="L2765" s="114"/>
      <c r="M2765" s="114"/>
      <c r="N2765" s="114"/>
      <c r="O2765" s="114"/>
      <c r="P2765" s="114" t="s">
        <v>1485</v>
      </c>
      <c r="Q2765" s="114" t="s">
        <v>1228</v>
      </c>
    </row>
    <row r="2766" spans="2:17" hidden="1" outlineLevel="2">
      <c r="B2766" s="2" t="s">
        <v>876</v>
      </c>
      <c r="D2766" s="268">
        <v>4671</v>
      </c>
      <c r="E2766" s="114" t="s">
        <v>212</v>
      </c>
      <c r="F2766" s="114" t="s">
        <v>3197</v>
      </c>
      <c r="G2766" s="114" t="s">
        <v>1533</v>
      </c>
      <c r="H2766" s="114" t="s">
        <v>1505</v>
      </c>
      <c r="I2766" s="114"/>
      <c r="J2766" s="114" t="b">
        <v>0</v>
      </c>
      <c r="K2766" s="114"/>
      <c r="L2766" s="114"/>
      <c r="M2766" s="114"/>
      <c r="N2766" s="114"/>
      <c r="O2766" s="114"/>
      <c r="P2766" s="114" t="s">
        <v>1485</v>
      </c>
      <c r="Q2766" s="114" t="s">
        <v>1228</v>
      </c>
    </row>
    <row r="2767" spans="2:17" hidden="1" outlineLevel="2">
      <c r="B2767" s="2" t="s">
        <v>876</v>
      </c>
      <c r="D2767" s="268">
        <v>4671</v>
      </c>
      <c r="E2767" s="114" t="s">
        <v>212</v>
      </c>
      <c r="F2767" s="114" t="s">
        <v>3198</v>
      </c>
      <c r="G2767" s="114" t="s">
        <v>1533</v>
      </c>
      <c r="H2767" s="114" t="s">
        <v>1505</v>
      </c>
      <c r="I2767" s="114"/>
      <c r="J2767" s="114" t="b">
        <v>0</v>
      </c>
      <c r="K2767" s="114"/>
      <c r="L2767" s="114"/>
      <c r="M2767" s="114"/>
      <c r="N2767" s="114"/>
      <c r="O2767" s="114"/>
      <c r="P2767" s="114" t="s">
        <v>1485</v>
      </c>
      <c r="Q2767" s="114" t="s">
        <v>1228</v>
      </c>
    </row>
    <row r="2768" spans="2:17" hidden="1" outlineLevel="2">
      <c r="B2768" s="2" t="s">
        <v>876</v>
      </c>
      <c r="D2768" s="268">
        <v>4671</v>
      </c>
      <c r="E2768" s="114" t="s">
        <v>212</v>
      </c>
      <c r="F2768" s="114" t="s">
        <v>3199</v>
      </c>
      <c r="G2768" s="114" t="s">
        <v>1533</v>
      </c>
      <c r="H2768" s="114" t="s">
        <v>1505</v>
      </c>
      <c r="I2768" s="114"/>
      <c r="J2768" s="114" t="b">
        <v>0</v>
      </c>
      <c r="K2768" s="114"/>
      <c r="L2768" s="114"/>
      <c r="M2768" s="114"/>
      <c r="N2768" s="114"/>
      <c r="O2768" s="114"/>
      <c r="P2768" s="114" t="s">
        <v>1485</v>
      </c>
      <c r="Q2768" s="114" t="s">
        <v>1228</v>
      </c>
    </row>
    <row r="2769" spans="2:17" hidden="1" outlineLevel="2">
      <c r="B2769" s="2" t="s">
        <v>876</v>
      </c>
      <c r="D2769" s="268">
        <v>4671</v>
      </c>
      <c r="E2769" s="114" t="s">
        <v>212</v>
      </c>
      <c r="F2769" s="114" t="s">
        <v>3200</v>
      </c>
      <c r="G2769" s="114" t="s">
        <v>1533</v>
      </c>
      <c r="H2769" s="114" t="s">
        <v>1505</v>
      </c>
      <c r="I2769" s="114"/>
      <c r="J2769" s="114" t="b">
        <v>0</v>
      </c>
      <c r="K2769" s="114"/>
      <c r="L2769" s="114"/>
      <c r="M2769" s="114"/>
      <c r="N2769" s="114"/>
      <c r="O2769" s="114"/>
      <c r="P2769" s="114" t="s">
        <v>1485</v>
      </c>
      <c r="Q2769" s="114" t="s">
        <v>1228</v>
      </c>
    </row>
    <row r="2770" spans="2:17" hidden="1" outlineLevel="2">
      <c r="B2770" s="2" t="s">
        <v>876</v>
      </c>
      <c r="D2770" s="268">
        <v>4671</v>
      </c>
      <c r="E2770" s="114" t="s">
        <v>212</v>
      </c>
      <c r="F2770" s="114" t="s">
        <v>3201</v>
      </c>
      <c r="G2770" s="114" t="s">
        <v>1533</v>
      </c>
      <c r="H2770" s="114" t="s">
        <v>1505</v>
      </c>
      <c r="I2770" s="114"/>
      <c r="J2770" s="114" t="b">
        <v>0</v>
      </c>
      <c r="K2770" s="114"/>
      <c r="L2770" s="114"/>
      <c r="M2770" s="114"/>
      <c r="N2770" s="114"/>
      <c r="O2770" s="114"/>
      <c r="P2770" s="114" t="s">
        <v>1485</v>
      </c>
      <c r="Q2770" s="114" t="s">
        <v>1228</v>
      </c>
    </row>
    <row r="2771" spans="2:17" hidden="1" outlineLevel="2">
      <c r="B2771" s="2" t="s">
        <v>876</v>
      </c>
      <c r="D2771" s="268">
        <v>4671</v>
      </c>
      <c r="E2771" s="114" t="s">
        <v>212</v>
      </c>
      <c r="F2771" s="114" t="s">
        <v>3202</v>
      </c>
      <c r="G2771" s="114" t="s">
        <v>1533</v>
      </c>
      <c r="H2771" s="114" t="s">
        <v>1505</v>
      </c>
      <c r="I2771" s="114"/>
      <c r="J2771" s="114" t="b">
        <v>0</v>
      </c>
      <c r="K2771" s="114"/>
      <c r="L2771" s="114"/>
      <c r="M2771" s="114"/>
      <c r="N2771" s="114"/>
      <c r="O2771" s="114"/>
      <c r="P2771" s="114" t="s">
        <v>1485</v>
      </c>
      <c r="Q2771" s="114" t="s">
        <v>1228</v>
      </c>
    </row>
    <row r="2772" spans="2:17" hidden="1" outlineLevel="2">
      <c r="B2772" s="2" t="s">
        <v>876</v>
      </c>
      <c r="D2772" s="268">
        <v>4671</v>
      </c>
      <c r="E2772" s="114" t="s">
        <v>212</v>
      </c>
      <c r="F2772" s="114" t="s">
        <v>3203</v>
      </c>
      <c r="G2772" s="114" t="s">
        <v>1533</v>
      </c>
      <c r="H2772" s="114" t="s">
        <v>1505</v>
      </c>
      <c r="I2772" s="114"/>
      <c r="J2772" s="114" t="b">
        <v>0</v>
      </c>
      <c r="K2772" s="114"/>
      <c r="L2772" s="114"/>
      <c r="M2772" s="114"/>
      <c r="N2772" s="114"/>
      <c r="O2772" s="114"/>
      <c r="P2772" s="114" t="s">
        <v>1485</v>
      </c>
      <c r="Q2772" s="114" t="s">
        <v>1228</v>
      </c>
    </row>
    <row r="2773" spans="2:17" hidden="1" outlineLevel="2">
      <c r="B2773" s="2" t="s">
        <v>876</v>
      </c>
      <c r="D2773" s="268">
        <v>4671</v>
      </c>
      <c r="E2773" s="114" t="s">
        <v>212</v>
      </c>
      <c r="F2773" s="114" t="s">
        <v>3204</v>
      </c>
      <c r="G2773" s="114" t="s">
        <v>1533</v>
      </c>
      <c r="H2773" s="114" t="s">
        <v>1505</v>
      </c>
      <c r="I2773" s="114"/>
      <c r="J2773" s="114" t="b">
        <v>0</v>
      </c>
      <c r="K2773" s="114"/>
      <c r="L2773" s="114"/>
      <c r="M2773" s="114"/>
      <c r="N2773" s="114"/>
      <c r="O2773" s="114"/>
      <c r="P2773" s="114" t="s">
        <v>1485</v>
      </c>
      <c r="Q2773" s="114" t="s">
        <v>1228</v>
      </c>
    </row>
    <row r="2774" spans="2:17" hidden="1" outlineLevel="2">
      <c r="B2774" s="2" t="s">
        <v>876</v>
      </c>
      <c r="D2774" s="268">
        <v>4671</v>
      </c>
      <c r="E2774" s="114" t="s">
        <v>212</v>
      </c>
      <c r="F2774" s="114" t="s">
        <v>3205</v>
      </c>
      <c r="G2774" s="114" t="s">
        <v>1533</v>
      </c>
      <c r="H2774" s="114" t="s">
        <v>1505</v>
      </c>
      <c r="I2774" s="114"/>
      <c r="J2774" s="114" t="b">
        <v>0</v>
      </c>
      <c r="K2774" s="114"/>
      <c r="L2774" s="114"/>
      <c r="M2774" s="114"/>
      <c r="N2774" s="114"/>
      <c r="O2774" s="114"/>
      <c r="P2774" s="114" t="s">
        <v>1485</v>
      </c>
      <c r="Q2774" s="114" t="s">
        <v>1228</v>
      </c>
    </row>
    <row r="2775" spans="2:17" hidden="1" outlineLevel="2">
      <c r="B2775" s="2" t="s">
        <v>876</v>
      </c>
      <c r="D2775" s="268">
        <v>4671</v>
      </c>
      <c r="E2775" s="114" t="s">
        <v>212</v>
      </c>
      <c r="F2775" s="114" t="s">
        <v>3206</v>
      </c>
      <c r="G2775" s="114" t="s">
        <v>1533</v>
      </c>
      <c r="H2775" s="114" t="s">
        <v>1505</v>
      </c>
      <c r="I2775" s="114"/>
      <c r="J2775" s="114" t="b">
        <v>0</v>
      </c>
      <c r="K2775" s="114"/>
      <c r="L2775" s="114"/>
      <c r="M2775" s="114"/>
      <c r="N2775" s="114"/>
      <c r="O2775" s="114"/>
      <c r="P2775" s="114" t="s">
        <v>1485</v>
      </c>
      <c r="Q2775" s="114" t="s">
        <v>1228</v>
      </c>
    </row>
    <row r="2776" spans="2:17" hidden="1" outlineLevel="2">
      <c r="B2776" s="2" t="s">
        <v>876</v>
      </c>
      <c r="D2776" s="268">
        <v>4671</v>
      </c>
      <c r="E2776" s="114" t="s">
        <v>212</v>
      </c>
      <c r="F2776" s="114" t="s">
        <v>3207</v>
      </c>
      <c r="G2776" s="114" t="s">
        <v>1533</v>
      </c>
      <c r="H2776" s="114" t="s">
        <v>1505</v>
      </c>
      <c r="I2776" s="114"/>
      <c r="J2776" s="114" t="b">
        <v>0</v>
      </c>
      <c r="K2776" s="114"/>
      <c r="L2776" s="114"/>
      <c r="M2776" s="114"/>
      <c r="N2776" s="114"/>
      <c r="O2776" s="114"/>
      <c r="P2776" s="114" t="s">
        <v>1485</v>
      </c>
      <c r="Q2776" s="114" t="s">
        <v>1228</v>
      </c>
    </row>
    <row r="2777" spans="2:17" hidden="1" outlineLevel="2">
      <c r="B2777" s="2" t="s">
        <v>876</v>
      </c>
      <c r="D2777" s="268">
        <v>4671</v>
      </c>
      <c r="E2777" s="114" t="s">
        <v>212</v>
      </c>
      <c r="F2777" s="114" t="s">
        <v>3208</v>
      </c>
      <c r="G2777" s="114" t="s">
        <v>1533</v>
      </c>
      <c r="H2777" s="114" t="s">
        <v>1505</v>
      </c>
      <c r="I2777" s="114"/>
      <c r="J2777" s="114" t="b">
        <v>1</v>
      </c>
      <c r="K2777" s="114"/>
      <c r="L2777" s="114"/>
      <c r="M2777" s="114"/>
      <c r="N2777" s="114"/>
      <c r="O2777" s="114"/>
      <c r="P2777" s="114" t="s">
        <v>1485</v>
      </c>
      <c r="Q2777" s="114" t="s">
        <v>1228</v>
      </c>
    </row>
    <row r="2778" spans="2:17" hidden="1" outlineLevel="2">
      <c r="B2778" s="2" t="s">
        <v>876</v>
      </c>
      <c r="D2778" s="268">
        <v>4671</v>
      </c>
      <c r="E2778" s="114" t="s">
        <v>212</v>
      </c>
      <c r="F2778" s="114" t="s">
        <v>3209</v>
      </c>
      <c r="G2778" s="114" t="s">
        <v>1533</v>
      </c>
      <c r="H2778" s="114" t="s">
        <v>1505</v>
      </c>
      <c r="I2778" s="114"/>
      <c r="J2778" s="114" t="b">
        <v>0</v>
      </c>
      <c r="K2778" s="114"/>
      <c r="L2778" s="114"/>
      <c r="M2778" s="114"/>
      <c r="N2778" s="114"/>
      <c r="O2778" s="114"/>
      <c r="P2778" s="114" t="s">
        <v>1485</v>
      </c>
      <c r="Q2778" s="114" t="s">
        <v>1228</v>
      </c>
    </row>
    <row r="2779" spans="2:17" hidden="1" outlineLevel="2">
      <c r="B2779" s="2" t="s">
        <v>876</v>
      </c>
      <c r="D2779" s="268">
        <v>4671</v>
      </c>
      <c r="E2779" s="114" t="s">
        <v>212</v>
      </c>
      <c r="F2779" s="114" t="s">
        <v>3210</v>
      </c>
      <c r="G2779" s="114" t="s">
        <v>1533</v>
      </c>
      <c r="H2779" s="114" t="s">
        <v>1505</v>
      </c>
      <c r="I2779" s="114"/>
      <c r="J2779" s="114" t="b">
        <v>0</v>
      </c>
      <c r="K2779" s="114"/>
      <c r="L2779" s="114"/>
      <c r="M2779" s="114"/>
      <c r="N2779" s="114"/>
      <c r="O2779" s="114"/>
      <c r="P2779" s="114" t="s">
        <v>1485</v>
      </c>
      <c r="Q2779" s="114" t="s">
        <v>1228</v>
      </c>
    </row>
    <row r="2780" spans="2:17" hidden="1" outlineLevel="2">
      <c r="B2780" s="2" t="s">
        <v>876</v>
      </c>
      <c r="D2780" s="268">
        <v>4671</v>
      </c>
      <c r="E2780" s="114" t="s">
        <v>212</v>
      </c>
      <c r="F2780" s="114" t="s">
        <v>3211</v>
      </c>
      <c r="G2780" s="114" t="s">
        <v>1533</v>
      </c>
      <c r="H2780" s="114" t="s">
        <v>1505</v>
      </c>
      <c r="I2780" s="114"/>
      <c r="J2780" s="114" t="b">
        <v>0</v>
      </c>
      <c r="K2780" s="114"/>
      <c r="L2780" s="114"/>
      <c r="M2780" s="114"/>
      <c r="N2780" s="114"/>
      <c r="O2780" s="114"/>
      <c r="P2780" s="114" t="s">
        <v>1485</v>
      </c>
      <c r="Q2780" s="114" t="s">
        <v>1228</v>
      </c>
    </row>
    <row r="2781" spans="2:17" hidden="1" outlineLevel="2">
      <c r="B2781" s="2" t="s">
        <v>876</v>
      </c>
      <c r="D2781" s="268">
        <v>4671</v>
      </c>
      <c r="E2781" s="114" t="s">
        <v>212</v>
      </c>
      <c r="F2781" s="114" t="s">
        <v>3212</v>
      </c>
      <c r="G2781" s="114" t="s">
        <v>1533</v>
      </c>
      <c r="H2781" s="114" t="s">
        <v>1505</v>
      </c>
      <c r="I2781" s="114"/>
      <c r="J2781" s="114" t="b">
        <v>0</v>
      </c>
      <c r="K2781" s="114"/>
      <c r="L2781" s="114"/>
      <c r="M2781" s="114"/>
      <c r="N2781" s="114"/>
      <c r="O2781" s="114"/>
      <c r="P2781" s="114" t="s">
        <v>1485</v>
      </c>
      <c r="Q2781" s="114" t="s">
        <v>1228</v>
      </c>
    </row>
    <row r="2782" spans="2:17" hidden="1" outlineLevel="2">
      <c r="B2782" s="2" t="s">
        <v>876</v>
      </c>
      <c r="D2782" s="268">
        <v>4671</v>
      </c>
      <c r="E2782" s="114" t="s">
        <v>212</v>
      </c>
      <c r="F2782" s="114" t="s">
        <v>3213</v>
      </c>
      <c r="G2782" s="114" t="s">
        <v>1533</v>
      </c>
      <c r="H2782" s="114" t="s">
        <v>1505</v>
      </c>
      <c r="I2782" s="114"/>
      <c r="J2782" s="114" t="b">
        <v>0</v>
      </c>
      <c r="K2782" s="114"/>
      <c r="L2782" s="114"/>
      <c r="M2782" s="114"/>
      <c r="N2782" s="114"/>
      <c r="O2782" s="114"/>
      <c r="P2782" s="114" t="s">
        <v>1485</v>
      </c>
      <c r="Q2782" s="114" t="s">
        <v>1228</v>
      </c>
    </row>
    <row r="2783" spans="2:17" hidden="1" outlineLevel="2">
      <c r="B2783" s="2" t="s">
        <v>876</v>
      </c>
      <c r="D2783" s="268">
        <v>4671</v>
      </c>
      <c r="E2783" s="114" t="s">
        <v>212</v>
      </c>
      <c r="F2783" s="114" t="s">
        <v>3214</v>
      </c>
      <c r="G2783" s="114" t="s">
        <v>1533</v>
      </c>
      <c r="H2783" s="114" t="s">
        <v>1505</v>
      </c>
      <c r="I2783" s="114"/>
      <c r="J2783" s="114" t="b">
        <v>0</v>
      </c>
      <c r="K2783" s="114"/>
      <c r="L2783" s="114"/>
      <c r="M2783" s="114"/>
      <c r="N2783" s="114"/>
      <c r="O2783" s="114"/>
      <c r="P2783" s="114" t="s">
        <v>1485</v>
      </c>
      <c r="Q2783" s="114" t="s">
        <v>1228</v>
      </c>
    </row>
    <row r="2784" spans="2:17" hidden="1" outlineLevel="2">
      <c r="B2784" s="2" t="s">
        <v>876</v>
      </c>
      <c r="D2784" s="268">
        <v>4671</v>
      </c>
      <c r="E2784" s="114" t="s">
        <v>212</v>
      </c>
      <c r="F2784" s="114" t="s">
        <v>2348</v>
      </c>
      <c r="G2784" s="114" t="s">
        <v>1533</v>
      </c>
      <c r="H2784" s="114" t="s">
        <v>1505</v>
      </c>
      <c r="I2784" s="114"/>
      <c r="J2784" s="114" t="b">
        <v>0</v>
      </c>
      <c r="K2784" s="114"/>
      <c r="L2784" s="114"/>
      <c r="M2784" s="114"/>
      <c r="N2784" s="114"/>
      <c r="O2784" s="114"/>
      <c r="P2784" s="114" t="s">
        <v>1485</v>
      </c>
      <c r="Q2784" s="114" t="s">
        <v>1228</v>
      </c>
    </row>
    <row r="2785" spans="2:17" hidden="1" outlineLevel="2">
      <c r="B2785" s="2" t="s">
        <v>876</v>
      </c>
      <c r="D2785" s="268">
        <v>4671</v>
      </c>
      <c r="E2785" s="114" t="s">
        <v>212</v>
      </c>
      <c r="F2785" s="114" t="s">
        <v>3215</v>
      </c>
      <c r="G2785" s="114" t="s">
        <v>1533</v>
      </c>
      <c r="H2785" s="114" t="s">
        <v>1505</v>
      </c>
      <c r="I2785" s="114"/>
      <c r="J2785" s="114" t="b">
        <v>0</v>
      </c>
      <c r="K2785" s="114"/>
      <c r="L2785" s="114"/>
      <c r="M2785" s="114"/>
      <c r="N2785" s="114"/>
      <c r="O2785" s="114"/>
      <c r="P2785" s="114" t="s">
        <v>1485</v>
      </c>
      <c r="Q2785" s="114" t="s">
        <v>1228</v>
      </c>
    </row>
    <row r="2786" spans="2:17" hidden="1" outlineLevel="2">
      <c r="B2786" s="2" t="s">
        <v>876</v>
      </c>
      <c r="D2786" s="268">
        <v>4671</v>
      </c>
      <c r="E2786" s="114" t="s">
        <v>212</v>
      </c>
      <c r="F2786" s="114" t="s">
        <v>3216</v>
      </c>
      <c r="G2786" s="114" t="s">
        <v>1533</v>
      </c>
      <c r="H2786" s="114" t="s">
        <v>1505</v>
      </c>
      <c r="I2786" s="114"/>
      <c r="J2786" s="114" t="b">
        <v>0</v>
      </c>
      <c r="K2786" s="114"/>
      <c r="L2786" s="114"/>
      <c r="M2786" s="114"/>
      <c r="N2786" s="114"/>
      <c r="O2786" s="114"/>
      <c r="P2786" s="114" t="s">
        <v>1485</v>
      </c>
      <c r="Q2786" s="114" t="s">
        <v>1228</v>
      </c>
    </row>
    <row r="2787" spans="2:17" hidden="1" outlineLevel="2">
      <c r="B2787" s="2" t="s">
        <v>876</v>
      </c>
      <c r="D2787" s="268">
        <v>4671</v>
      </c>
      <c r="E2787" s="114" t="s">
        <v>212</v>
      </c>
      <c r="F2787" s="114" t="s">
        <v>3217</v>
      </c>
      <c r="G2787" s="114" t="s">
        <v>1533</v>
      </c>
      <c r="H2787" s="114" t="s">
        <v>1505</v>
      </c>
      <c r="I2787" s="114"/>
      <c r="J2787" s="114" t="b">
        <v>0</v>
      </c>
      <c r="K2787" s="114"/>
      <c r="L2787" s="114"/>
      <c r="M2787" s="114"/>
      <c r="N2787" s="114"/>
      <c r="O2787" s="114"/>
      <c r="P2787" s="114" t="s">
        <v>1485</v>
      </c>
      <c r="Q2787" s="114" t="s">
        <v>1228</v>
      </c>
    </row>
    <row r="2788" spans="2:17" hidden="1" outlineLevel="2">
      <c r="B2788" s="2" t="s">
        <v>876</v>
      </c>
      <c r="D2788" s="268">
        <v>4671</v>
      </c>
      <c r="E2788" s="114" t="s">
        <v>212</v>
      </c>
      <c r="F2788" s="114" t="s">
        <v>3218</v>
      </c>
      <c r="G2788" s="114" t="s">
        <v>1533</v>
      </c>
      <c r="H2788" s="114" t="s">
        <v>1505</v>
      </c>
      <c r="I2788" s="114"/>
      <c r="J2788" s="114" t="b">
        <v>1</v>
      </c>
      <c r="K2788" s="114"/>
      <c r="L2788" s="114"/>
      <c r="M2788" s="114"/>
      <c r="N2788" s="114"/>
      <c r="O2788" s="114"/>
      <c r="P2788" s="114" t="s">
        <v>1485</v>
      </c>
      <c r="Q2788" s="114" t="s">
        <v>1228</v>
      </c>
    </row>
    <row r="2789" spans="2:17" hidden="1" outlineLevel="2">
      <c r="B2789" s="2" t="s">
        <v>876</v>
      </c>
      <c r="D2789" s="268">
        <v>4671</v>
      </c>
      <c r="E2789" s="114" t="s">
        <v>212</v>
      </c>
      <c r="F2789" s="114" t="s">
        <v>3219</v>
      </c>
      <c r="G2789" s="114" t="s">
        <v>1533</v>
      </c>
      <c r="H2789" s="114" t="s">
        <v>1505</v>
      </c>
      <c r="I2789" s="114"/>
      <c r="J2789" s="114" t="b">
        <v>0</v>
      </c>
      <c r="K2789" s="114"/>
      <c r="L2789" s="114"/>
      <c r="M2789" s="114"/>
      <c r="N2789" s="114"/>
      <c r="O2789" s="114"/>
      <c r="P2789" s="114" t="s">
        <v>1485</v>
      </c>
      <c r="Q2789" s="114" t="s">
        <v>1228</v>
      </c>
    </row>
    <row r="2790" spans="2:17" hidden="1" outlineLevel="2">
      <c r="B2790" s="2" t="s">
        <v>876</v>
      </c>
      <c r="D2790" s="270">
        <v>4673</v>
      </c>
      <c r="E2790" s="112" t="s">
        <v>212</v>
      </c>
      <c r="F2790" s="112" t="s">
        <v>3220</v>
      </c>
      <c r="G2790" s="112" t="s">
        <v>1512</v>
      </c>
      <c r="H2790" s="112" t="s">
        <v>1505</v>
      </c>
      <c r="I2790" s="112"/>
      <c r="J2790" s="112" t="b">
        <v>0</v>
      </c>
      <c r="K2790" s="112"/>
      <c r="L2790" s="112"/>
      <c r="M2790" s="112"/>
      <c r="N2790" s="112"/>
      <c r="O2790" s="112"/>
      <c r="P2790" s="112" t="s">
        <v>1485</v>
      </c>
      <c r="Q2790" s="112" t="s">
        <v>1228</v>
      </c>
    </row>
    <row r="2791" spans="2:17" hidden="1" outlineLevel="2">
      <c r="B2791" s="2" t="s">
        <v>876</v>
      </c>
      <c r="D2791" s="268">
        <v>4674</v>
      </c>
      <c r="E2791" s="114" t="s">
        <v>212</v>
      </c>
      <c r="F2791" s="114" t="s">
        <v>3221</v>
      </c>
      <c r="G2791" s="114" t="s">
        <v>1512</v>
      </c>
      <c r="H2791" s="114" t="s">
        <v>1505</v>
      </c>
      <c r="I2791" s="114"/>
      <c r="J2791" s="114" t="b">
        <v>0</v>
      </c>
      <c r="K2791" s="114"/>
      <c r="L2791" s="114"/>
      <c r="M2791" s="114"/>
      <c r="N2791" s="114"/>
      <c r="O2791" s="114"/>
      <c r="P2791" s="114" t="s">
        <v>1485</v>
      </c>
      <c r="Q2791" s="114" t="s">
        <v>1228</v>
      </c>
    </row>
    <row r="2792" spans="2:17" hidden="1" outlineLevel="2">
      <c r="B2792" s="2" t="s">
        <v>876</v>
      </c>
      <c r="D2792" s="270">
        <v>4676</v>
      </c>
      <c r="E2792" s="112" t="s">
        <v>212</v>
      </c>
      <c r="F2792" s="112" t="s">
        <v>3222</v>
      </c>
      <c r="G2792" s="112" t="s">
        <v>1512</v>
      </c>
      <c r="H2792" s="112" t="s">
        <v>1505</v>
      </c>
      <c r="I2792" s="112"/>
      <c r="J2792" s="112" t="b">
        <v>0</v>
      </c>
      <c r="K2792" s="112"/>
      <c r="L2792" s="112"/>
      <c r="M2792" s="112"/>
      <c r="N2792" s="112"/>
      <c r="O2792" s="112"/>
      <c r="P2792" s="112" t="s">
        <v>1485</v>
      </c>
      <c r="Q2792" s="112" t="s">
        <v>1228</v>
      </c>
    </row>
    <row r="2793" spans="2:17" hidden="1" outlineLevel="2">
      <c r="B2793" s="2" t="s">
        <v>876</v>
      </c>
      <c r="D2793" s="268">
        <v>4677</v>
      </c>
      <c r="E2793" s="114" t="s">
        <v>212</v>
      </c>
      <c r="F2793" s="114" t="s">
        <v>3223</v>
      </c>
      <c r="G2793" s="269" t="s">
        <v>1493</v>
      </c>
      <c r="H2793" s="114" t="s">
        <v>1505</v>
      </c>
      <c r="I2793" s="114"/>
      <c r="J2793" s="114" t="b">
        <v>0</v>
      </c>
      <c r="K2793" s="114"/>
      <c r="L2793" s="114"/>
      <c r="M2793" s="114"/>
      <c r="N2793" s="114"/>
      <c r="O2793" s="114"/>
      <c r="P2793" s="114" t="s">
        <v>1485</v>
      </c>
      <c r="Q2793" s="114" t="s">
        <v>1228</v>
      </c>
    </row>
    <row r="2794" spans="2:17" hidden="1" outlineLevel="2">
      <c r="B2794" s="2" t="s">
        <v>876</v>
      </c>
      <c r="D2794" s="270">
        <v>4678</v>
      </c>
      <c r="E2794" s="112" t="s">
        <v>212</v>
      </c>
      <c r="F2794" s="112" t="s">
        <v>3224</v>
      </c>
      <c r="G2794" s="112" t="s">
        <v>1512</v>
      </c>
      <c r="H2794" s="112" t="s">
        <v>1505</v>
      </c>
      <c r="I2794" s="112"/>
      <c r="J2794" s="112" t="b">
        <v>0</v>
      </c>
      <c r="K2794" s="112"/>
      <c r="L2794" s="112" t="b">
        <v>1</v>
      </c>
      <c r="M2794" s="112"/>
      <c r="N2794" s="112"/>
      <c r="O2794" s="112"/>
      <c r="P2794" s="112" t="s">
        <v>1485</v>
      </c>
      <c r="Q2794" s="112" t="s">
        <v>1228</v>
      </c>
    </row>
    <row r="2795" spans="2:17" hidden="1" outlineLevel="2">
      <c r="B2795" s="2" t="s">
        <v>876</v>
      </c>
      <c r="D2795" s="268">
        <v>4680</v>
      </c>
      <c r="E2795" s="114" t="s">
        <v>212</v>
      </c>
      <c r="F2795" s="114" t="s">
        <v>3225</v>
      </c>
      <c r="G2795" s="114" t="s">
        <v>1493</v>
      </c>
      <c r="H2795" s="114" t="s">
        <v>1533</v>
      </c>
      <c r="I2795" s="114"/>
      <c r="J2795" s="114" t="b">
        <v>0</v>
      </c>
      <c r="K2795" s="114" t="s">
        <v>1552</v>
      </c>
      <c r="L2795" s="114" t="b">
        <v>1</v>
      </c>
      <c r="M2795" s="114"/>
      <c r="N2795" s="114"/>
      <c r="O2795" s="114"/>
      <c r="P2795" s="114" t="s">
        <v>1485</v>
      </c>
      <c r="Q2795" s="114" t="s">
        <v>1228</v>
      </c>
    </row>
    <row r="2796" spans="2:17" hidden="1" outlineLevel="2">
      <c r="B2796" s="2" t="s">
        <v>876</v>
      </c>
      <c r="D2796" s="270">
        <v>4694</v>
      </c>
      <c r="E2796" s="112" t="s">
        <v>212</v>
      </c>
      <c r="F2796" s="112" t="s">
        <v>3226</v>
      </c>
      <c r="G2796" s="112" t="s">
        <v>1512</v>
      </c>
      <c r="H2796" s="112" t="s">
        <v>1505</v>
      </c>
      <c r="I2796" s="112"/>
      <c r="J2796" s="112" t="b">
        <v>0</v>
      </c>
      <c r="K2796" s="112"/>
      <c r="L2796" s="112"/>
      <c r="M2796" s="112"/>
      <c r="N2796" s="112"/>
      <c r="O2796" s="112"/>
      <c r="P2796" s="112" t="s">
        <v>1485</v>
      </c>
      <c r="Q2796" s="112" t="s">
        <v>1228</v>
      </c>
    </row>
    <row r="2797" spans="2:17" hidden="1" outlineLevel="2">
      <c r="B2797" s="2" t="s">
        <v>876</v>
      </c>
      <c r="D2797" s="268">
        <v>4695</v>
      </c>
      <c r="E2797" s="114" t="s">
        <v>212</v>
      </c>
      <c r="F2797" s="114" t="s">
        <v>3227</v>
      </c>
      <c r="G2797" s="114" t="s">
        <v>1512</v>
      </c>
      <c r="H2797" s="114" t="s">
        <v>1505</v>
      </c>
      <c r="I2797" s="114"/>
      <c r="J2797" s="114" t="b">
        <v>0</v>
      </c>
      <c r="K2797" s="114"/>
      <c r="L2797" s="114"/>
      <c r="M2797" s="114"/>
      <c r="N2797" s="114"/>
      <c r="O2797" s="114"/>
      <c r="P2797" s="114" t="s">
        <v>1485</v>
      </c>
      <c r="Q2797" s="114" t="s">
        <v>1228</v>
      </c>
    </row>
    <row r="2798" spans="2:17" hidden="1" outlineLevel="2">
      <c r="B2798" s="2" t="s">
        <v>876</v>
      </c>
      <c r="D2798" s="270">
        <v>4697</v>
      </c>
      <c r="E2798" s="112" t="s">
        <v>212</v>
      </c>
      <c r="F2798" s="112" t="s">
        <v>3228</v>
      </c>
      <c r="G2798" s="112" t="s">
        <v>1512</v>
      </c>
      <c r="H2798" s="112" t="s">
        <v>1505</v>
      </c>
      <c r="I2798" s="112"/>
      <c r="J2798" s="112" t="b">
        <v>0</v>
      </c>
      <c r="K2798" s="112"/>
      <c r="L2798" s="112"/>
      <c r="M2798" s="112"/>
      <c r="N2798" s="112"/>
      <c r="O2798" s="112"/>
      <c r="P2798" s="112" t="s">
        <v>1485</v>
      </c>
      <c r="Q2798" s="112" t="s">
        <v>1228</v>
      </c>
    </row>
    <row r="2799" spans="2:17" hidden="1" outlineLevel="2">
      <c r="B2799" s="2" t="s">
        <v>876</v>
      </c>
      <c r="D2799" s="268">
        <v>4699</v>
      </c>
      <c r="E2799" s="114" t="s">
        <v>212</v>
      </c>
      <c r="F2799" s="114" t="s">
        <v>3229</v>
      </c>
      <c r="G2799" s="114" t="s">
        <v>1512</v>
      </c>
      <c r="H2799" s="114" t="s">
        <v>1505</v>
      </c>
      <c r="I2799" s="114"/>
      <c r="J2799" s="114" t="b">
        <v>0</v>
      </c>
      <c r="K2799" s="114"/>
      <c r="L2799" s="114"/>
      <c r="M2799" s="114"/>
      <c r="N2799" s="114"/>
      <c r="O2799" s="114"/>
      <c r="P2799" s="114" t="s">
        <v>1485</v>
      </c>
      <c r="Q2799" s="114" t="s">
        <v>1228</v>
      </c>
    </row>
    <row r="2800" spans="2:17" hidden="1" outlineLevel="2">
      <c r="B2800" s="2" t="s">
        <v>876</v>
      </c>
      <c r="D2800" s="270">
        <v>4700</v>
      </c>
      <c r="E2800" s="112" t="s">
        <v>212</v>
      </c>
      <c r="F2800" s="112" t="s">
        <v>3230</v>
      </c>
      <c r="G2800" s="112" t="s">
        <v>1483</v>
      </c>
      <c r="H2800" s="112" t="s">
        <v>1227</v>
      </c>
      <c r="I2800" s="112"/>
      <c r="J2800" s="112" t="b">
        <v>0</v>
      </c>
      <c r="K2800" s="112" t="s">
        <v>1484</v>
      </c>
      <c r="L2800" s="112" t="b">
        <v>1</v>
      </c>
      <c r="M2800" s="112"/>
      <c r="N2800" s="112"/>
      <c r="O2800" s="112"/>
      <c r="P2800" s="112" t="s">
        <v>1485</v>
      </c>
      <c r="Q2800" s="112" t="s">
        <v>1227</v>
      </c>
    </row>
    <row r="2801" spans="2:17" hidden="1" outlineLevel="2">
      <c r="B2801" s="2" t="s">
        <v>876</v>
      </c>
      <c r="D2801" s="268">
        <v>4701</v>
      </c>
      <c r="E2801" s="114" t="s">
        <v>212</v>
      </c>
      <c r="F2801" s="114" t="s">
        <v>3231</v>
      </c>
      <c r="G2801" s="114" t="s">
        <v>1483</v>
      </c>
      <c r="H2801" s="114" t="s">
        <v>1227</v>
      </c>
      <c r="I2801" s="114"/>
      <c r="J2801" s="114" t="b">
        <v>0</v>
      </c>
      <c r="K2801" s="114"/>
      <c r="L2801" s="114"/>
      <c r="M2801" s="114"/>
      <c r="N2801" s="114"/>
      <c r="O2801" s="114"/>
      <c r="P2801" s="114" t="s">
        <v>1485</v>
      </c>
      <c r="Q2801" s="114" t="s">
        <v>1227</v>
      </c>
    </row>
    <row r="2802" spans="2:17" hidden="1" outlineLevel="2">
      <c r="B2802" s="2" t="s">
        <v>876</v>
      </c>
      <c r="D2802" s="270">
        <v>4702</v>
      </c>
      <c r="E2802" s="112" t="s">
        <v>212</v>
      </c>
      <c r="F2802" s="112" t="s">
        <v>3232</v>
      </c>
      <c r="G2802" s="112" t="s">
        <v>1493</v>
      </c>
      <c r="H2802" s="112" t="s">
        <v>1533</v>
      </c>
      <c r="I2802" s="112"/>
      <c r="J2802" s="112" t="b">
        <v>0</v>
      </c>
      <c r="K2802" s="112" t="s">
        <v>1552</v>
      </c>
      <c r="L2802" s="112" t="b">
        <v>1</v>
      </c>
      <c r="M2802" s="112"/>
      <c r="N2802" s="112"/>
      <c r="O2802" s="112"/>
      <c r="P2802" s="112" t="s">
        <v>1485</v>
      </c>
      <c r="Q2802" s="112" t="s">
        <v>1228</v>
      </c>
    </row>
    <row r="2803" spans="2:17" hidden="1" outlineLevel="2">
      <c r="B2803" s="2" t="s">
        <v>876</v>
      </c>
      <c r="D2803" s="270">
        <v>4702</v>
      </c>
      <c r="E2803" s="112" t="s">
        <v>212</v>
      </c>
      <c r="F2803" s="112" t="s">
        <v>3233</v>
      </c>
      <c r="G2803" s="112" t="s">
        <v>1493</v>
      </c>
      <c r="H2803" s="112" t="s">
        <v>1533</v>
      </c>
      <c r="I2803" s="112"/>
      <c r="J2803" s="112" t="b">
        <v>0</v>
      </c>
      <c r="K2803" s="112" t="s">
        <v>1552</v>
      </c>
      <c r="L2803" s="112" t="b">
        <v>1</v>
      </c>
      <c r="M2803" s="112"/>
      <c r="N2803" s="112"/>
      <c r="O2803" s="112"/>
      <c r="P2803" s="112" t="s">
        <v>1485</v>
      </c>
      <c r="Q2803" s="112" t="s">
        <v>1228</v>
      </c>
    </row>
    <row r="2804" spans="2:17" hidden="1" outlineLevel="2">
      <c r="B2804" s="2" t="s">
        <v>876</v>
      </c>
      <c r="D2804" s="270">
        <v>4702</v>
      </c>
      <c r="E2804" s="112" t="s">
        <v>212</v>
      </c>
      <c r="F2804" s="112" t="s">
        <v>3234</v>
      </c>
      <c r="G2804" s="112" t="s">
        <v>1493</v>
      </c>
      <c r="H2804" s="112" t="s">
        <v>1533</v>
      </c>
      <c r="I2804" s="112"/>
      <c r="J2804" s="112" t="b">
        <v>0</v>
      </c>
      <c r="K2804" s="112" t="s">
        <v>1552</v>
      </c>
      <c r="L2804" s="112" t="b">
        <v>1</v>
      </c>
      <c r="M2804" s="112"/>
      <c r="N2804" s="112"/>
      <c r="O2804" s="112"/>
      <c r="P2804" s="112" t="s">
        <v>1485</v>
      </c>
      <c r="Q2804" s="112" t="s">
        <v>1228</v>
      </c>
    </row>
    <row r="2805" spans="2:17" hidden="1" outlineLevel="2">
      <c r="B2805" s="2" t="s">
        <v>876</v>
      </c>
      <c r="D2805" s="270">
        <v>4702</v>
      </c>
      <c r="E2805" s="112" t="s">
        <v>212</v>
      </c>
      <c r="F2805" s="112" t="s">
        <v>2376</v>
      </c>
      <c r="G2805" s="112" t="s">
        <v>1493</v>
      </c>
      <c r="H2805" s="112" t="s">
        <v>1533</v>
      </c>
      <c r="I2805" s="112"/>
      <c r="J2805" s="112" t="b">
        <v>0</v>
      </c>
      <c r="K2805" s="112" t="s">
        <v>1552</v>
      </c>
      <c r="L2805" s="112" t="b">
        <v>1</v>
      </c>
      <c r="M2805" s="112"/>
      <c r="N2805" s="112"/>
      <c r="O2805" s="112"/>
      <c r="P2805" s="112" t="s">
        <v>1485</v>
      </c>
      <c r="Q2805" s="112" t="s">
        <v>1228</v>
      </c>
    </row>
    <row r="2806" spans="2:17" hidden="1" outlineLevel="2">
      <c r="B2806" s="2" t="s">
        <v>876</v>
      </c>
      <c r="D2806" s="270">
        <v>4702</v>
      </c>
      <c r="E2806" s="112" t="s">
        <v>212</v>
      </c>
      <c r="F2806" s="112" t="s">
        <v>2054</v>
      </c>
      <c r="G2806" s="112" t="s">
        <v>1493</v>
      </c>
      <c r="H2806" s="112" t="s">
        <v>1533</v>
      </c>
      <c r="I2806" s="112"/>
      <c r="J2806" s="112" t="b">
        <v>0</v>
      </c>
      <c r="K2806" s="112" t="s">
        <v>1552</v>
      </c>
      <c r="L2806" s="112" t="b">
        <v>1</v>
      </c>
      <c r="M2806" s="112"/>
      <c r="N2806" s="112"/>
      <c r="O2806" s="112"/>
      <c r="P2806" s="112" t="s">
        <v>1485</v>
      </c>
      <c r="Q2806" s="112" t="s">
        <v>1228</v>
      </c>
    </row>
    <row r="2807" spans="2:17" hidden="1" outlineLevel="2">
      <c r="B2807" s="2" t="s">
        <v>876</v>
      </c>
      <c r="D2807" s="270">
        <v>4702</v>
      </c>
      <c r="E2807" s="112" t="s">
        <v>212</v>
      </c>
      <c r="F2807" s="112" t="s">
        <v>3235</v>
      </c>
      <c r="G2807" s="112" t="s">
        <v>1493</v>
      </c>
      <c r="H2807" s="112" t="s">
        <v>1533</v>
      </c>
      <c r="I2807" s="112"/>
      <c r="J2807" s="112" t="b">
        <v>0</v>
      </c>
      <c r="K2807" s="112" t="s">
        <v>1552</v>
      </c>
      <c r="L2807" s="112" t="b">
        <v>1</v>
      </c>
      <c r="M2807" s="112"/>
      <c r="N2807" s="112"/>
      <c r="O2807" s="112"/>
      <c r="P2807" s="112" t="s">
        <v>1485</v>
      </c>
      <c r="Q2807" s="112" t="s">
        <v>1228</v>
      </c>
    </row>
    <row r="2808" spans="2:17" hidden="1" outlineLevel="2">
      <c r="B2808" s="2" t="s">
        <v>876</v>
      </c>
      <c r="D2808" s="270">
        <v>4702</v>
      </c>
      <c r="E2808" s="112" t="s">
        <v>212</v>
      </c>
      <c r="F2808" s="112" t="s">
        <v>3236</v>
      </c>
      <c r="G2808" s="112" t="s">
        <v>1493</v>
      </c>
      <c r="H2808" s="112" t="s">
        <v>1533</v>
      </c>
      <c r="I2808" s="112"/>
      <c r="J2808" s="112" t="b">
        <v>0</v>
      </c>
      <c r="K2808" s="112" t="s">
        <v>1552</v>
      </c>
      <c r="L2808" s="112" t="b">
        <v>1</v>
      </c>
      <c r="M2808" s="112"/>
      <c r="N2808" s="112"/>
      <c r="O2808" s="112"/>
      <c r="P2808" s="112" t="s">
        <v>1485</v>
      </c>
      <c r="Q2808" s="112" t="s">
        <v>1228</v>
      </c>
    </row>
    <row r="2809" spans="2:17" hidden="1" outlineLevel="2">
      <c r="B2809" s="2" t="s">
        <v>876</v>
      </c>
      <c r="D2809" s="270">
        <v>4702</v>
      </c>
      <c r="E2809" s="112" t="s">
        <v>212</v>
      </c>
      <c r="F2809" s="112" t="s">
        <v>3237</v>
      </c>
      <c r="G2809" s="112" t="s">
        <v>1533</v>
      </c>
      <c r="H2809" s="112" t="s">
        <v>1533</v>
      </c>
      <c r="I2809" s="112"/>
      <c r="J2809" s="112" t="b">
        <v>1</v>
      </c>
      <c r="K2809" s="112" t="s">
        <v>1552</v>
      </c>
      <c r="L2809" s="112" t="b">
        <v>1</v>
      </c>
      <c r="M2809" s="112"/>
      <c r="N2809" s="112"/>
      <c r="O2809" s="112"/>
      <c r="P2809" s="112" t="s">
        <v>1485</v>
      </c>
      <c r="Q2809" s="112" t="s">
        <v>1228</v>
      </c>
    </row>
    <row r="2810" spans="2:17" hidden="1" outlineLevel="2">
      <c r="B2810" s="2" t="s">
        <v>876</v>
      </c>
      <c r="D2810" s="270">
        <v>4702</v>
      </c>
      <c r="E2810" s="112" t="s">
        <v>212</v>
      </c>
      <c r="F2810" s="112" t="s">
        <v>3238</v>
      </c>
      <c r="G2810" s="112" t="s">
        <v>1493</v>
      </c>
      <c r="H2810" s="112" t="s">
        <v>1533</v>
      </c>
      <c r="I2810" s="112"/>
      <c r="J2810" s="112" t="b">
        <v>0</v>
      </c>
      <c r="K2810" s="112" t="s">
        <v>1552</v>
      </c>
      <c r="L2810" s="112" t="b">
        <v>1</v>
      </c>
      <c r="M2810" s="112"/>
      <c r="N2810" s="112"/>
      <c r="O2810" s="112"/>
      <c r="P2810" s="112" t="s">
        <v>1485</v>
      </c>
      <c r="Q2810" s="112" t="s">
        <v>1228</v>
      </c>
    </row>
    <row r="2811" spans="2:17" hidden="1" outlineLevel="2">
      <c r="B2811" s="2" t="s">
        <v>876</v>
      </c>
      <c r="D2811" s="270">
        <v>4702</v>
      </c>
      <c r="E2811" s="112" t="s">
        <v>212</v>
      </c>
      <c r="F2811" s="112" t="s">
        <v>3239</v>
      </c>
      <c r="G2811" s="112" t="s">
        <v>1493</v>
      </c>
      <c r="H2811" s="112" t="s">
        <v>1533</v>
      </c>
      <c r="I2811" s="112"/>
      <c r="J2811" s="112" t="b">
        <v>0</v>
      </c>
      <c r="K2811" s="112" t="s">
        <v>1552</v>
      </c>
      <c r="L2811" s="112" t="b">
        <v>1</v>
      </c>
      <c r="M2811" s="112"/>
      <c r="N2811" s="112"/>
      <c r="O2811" s="112"/>
      <c r="P2811" s="112" t="s">
        <v>1485</v>
      </c>
      <c r="Q2811" s="112" t="s">
        <v>1228</v>
      </c>
    </row>
    <row r="2812" spans="2:17" hidden="1" outlineLevel="2">
      <c r="B2812" s="2" t="s">
        <v>876</v>
      </c>
      <c r="D2812" s="270">
        <v>4702</v>
      </c>
      <c r="E2812" s="112" t="s">
        <v>212</v>
      </c>
      <c r="F2812" s="112" t="s">
        <v>3240</v>
      </c>
      <c r="G2812" s="112" t="s">
        <v>1493</v>
      </c>
      <c r="H2812" s="112" t="s">
        <v>1533</v>
      </c>
      <c r="I2812" s="112"/>
      <c r="J2812" s="112" t="b">
        <v>0</v>
      </c>
      <c r="K2812" s="112" t="s">
        <v>1552</v>
      </c>
      <c r="L2812" s="112" t="b">
        <v>1</v>
      </c>
      <c r="M2812" s="112"/>
      <c r="N2812" s="112"/>
      <c r="O2812" s="112"/>
      <c r="P2812" s="112" t="s">
        <v>1485</v>
      </c>
      <c r="Q2812" s="112" t="s">
        <v>1228</v>
      </c>
    </row>
    <row r="2813" spans="2:17" hidden="1" outlineLevel="2">
      <c r="B2813" s="2" t="s">
        <v>876</v>
      </c>
      <c r="D2813" s="270">
        <v>4702</v>
      </c>
      <c r="E2813" s="112" t="s">
        <v>212</v>
      </c>
      <c r="F2813" s="112" t="s">
        <v>3241</v>
      </c>
      <c r="G2813" s="112" t="s">
        <v>1533</v>
      </c>
      <c r="H2813" s="112" t="s">
        <v>1533</v>
      </c>
      <c r="I2813" s="112"/>
      <c r="J2813" s="112" t="b">
        <v>1</v>
      </c>
      <c r="K2813" s="112" t="s">
        <v>1552</v>
      </c>
      <c r="L2813" s="112" t="b">
        <v>1</v>
      </c>
      <c r="M2813" s="112"/>
      <c r="N2813" s="112"/>
      <c r="O2813" s="112"/>
      <c r="P2813" s="112" t="s">
        <v>1485</v>
      </c>
      <c r="Q2813" s="112" t="s">
        <v>1228</v>
      </c>
    </row>
    <row r="2814" spans="2:17" hidden="1" outlineLevel="2">
      <c r="B2814" s="2" t="s">
        <v>876</v>
      </c>
      <c r="D2814" s="270">
        <v>4702</v>
      </c>
      <c r="E2814" s="112" t="s">
        <v>212</v>
      </c>
      <c r="F2814" s="112" t="s">
        <v>3242</v>
      </c>
      <c r="G2814" s="112" t="s">
        <v>1493</v>
      </c>
      <c r="H2814" s="112" t="s">
        <v>1533</v>
      </c>
      <c r="I2814" s="112"/>
      <c r="J2814" s="112" t="b">
        <v>0</v>
      </c>
      <c r="K2814" s="112" t="s">
        <v>1552</v>
      </c>
      <c r="L2814" s="112" t="b">
        <v>1</v>
      </c>
      <c r="M2814" s="112"/>
      <c r="N2814" s="112"/>
      <c r="O2814" s="112"/>
      <c r="P2814" s="112" t="s">
        <v>1485</v>
      </c>
      <c r="Q2814" s="112" t="s">
        <v>1228</v>
      </c>
    </row>
    <row r="2815" spans="2:17" hidden="1" outlineLevel="2">
      <c r="B2815" s="2" t="s">
        <v>876</v>
      </c>
      <c r="D2815" s="270">
        <v>4702</v>
      </c>
      <c r="E2815" s="112" t="s">
        <v>212</v>
      </c>
      <c r="F2815" s="112" t="s">
        <v>3243</v>
      </c>
      <c r="G2815" s="112" t="s">
        <v>1493</v>
      </c>
      <c r="H2815" s="112" t="s">
        <v>1533</v>
      </c>
      <c r="I2815" s="112"/>
      <c r="J2815" s="112" t="b">
        <v>0</v>
      </c>
      <c r="K2815" s="112" t="s">
        <v>1552</v>
      </c>
      <c r="L2815" s="112" t="b">
        <v>1</v>
      </c>
      <c r="M2815" s="112"/>
      <c r="N2815" s="112"/>
      <c r="O2815" s="112"/>
      <c r="P2815" s="112" t="s">
        <v>1485</v>
      </c>
      <c r="Q2815" s="112" t="s">
        <v>1228</v>
      </c>
    </row>
    <row r="2816" spans="2:17" hidden="1" outlineLevel="2">
      <c r="B2816" s="2" t="s">
        <v>876</v>
      </c>
      <c r="D2816" s="270">
        <v>4702</v>
      </c>
      <c r="E2816" s="112" t="s">
        <v>212</v>
      </c>
      <c r="F2816" s="112" t="s">
        <v>3244</v>
      </c>
      <c r="G2816" s="112" t="s">
        <v>1493</v>
      </c>
      <c r="H2816" s="112" t="s">
        <v>1533</v>
      </c>
      <c r="I2816" s="112"/>
      <c r="J2816" s="112" t="b">
        <v>0</v>
      </c>
      <c r="K2816" s="112" t="s">
        <v>1552</v>
      </c>
      <c r="L2816" s="112" t="b">
        <v>1</v>
      </c>
      <c r="M2816" s="112"/>
      <c r="N2816" s="112"/>
      <c r="O2816" s="112"/>
      <c r="P2816" s="112" t="s">
        <v>1485</v>
      </c>
      <c r="Q2816" s="112" t="s">
        <v>1228</v>
      </c>
    </row>
    <row r="2817" spans="2:17" hidden="1" outlineLevel="2">
      <c r="B2817" s="2" t="s">
        <v>876</v>
      </c>
      <c r="D2817" s="270">
        <v>4702</v>
      </c>
      <c r="E2817" s="112" t="s">
        <v>212</v>
      </c>
      <c r="F2817" s="112" t="s">
        <v>3245</v>
      </c>
      <c r="G2817" s="112" t="s">
        <v>1493</v>
      </c>
      <c r="H2817" s="112" t="s">
        <v>1533</v>
      </c>
      <c r="I2817" s="112"/>
      <c r="J2817" s="112" t="b">
        <v>0</v>
      </c>
      <c r="K2817" s="112" t="s">
        <v>1552</v>
      </c>
      <c r="L2817" s="112" t="b">
        <v>1</v>
      </c>
      <c r="M2817" s="112"/>
      <c r="N2817" s="112"/>
      <c r="O2817" s="112"/>
      <c r="P2817" s="112" t="s">
        <v>1485</v>
      </c>
      <c r="Q2817" s="112" t="s">
        <v>1228</v>
      </c>
    </row>
    <row r="2818" spans="2:17" hidden="1" outlineLevel="2">
      <c r="B2818" s="2" t="s">
        <v>876</v>
      </c>
      <c r="D2818" s="270">
        <v>4702</v>
      </c>
      <c r="E2818" s="112" t="s">
        <v>212</v>
      </c>
      <c r="F2818" s="112" t="s">
        <v>3246</v>
      </c>
      <c r="G2818" s="112" t="s">
        <v>1493</v>
      </c>
      <c r="H2818" s="112" t="s">
        <v>1533</v>
      </c>
      <c r="I2818" s="112"/>
      <c r="J2818" s="112" t="b">
        <v>0</v>
      </c>
      <c r="K2818" s="112" t="s">
        <v>1552</v>
      </c>
      <c r="L2818" s="112" t="b">
        <v>1</v>
      </c>
      <c r="M2818" s="112"/>
      <c r="N2818" s="112"/>
      <c r="O2818" s="112"/>
      <c r="P2818" s="112" t="s">
        <v>1485</v>
      </c>
      <c r="Q2818" s="112" t="s">
        <v>1228</v>
      </c>
    </row>
    <row r="2819" spans="2:17" hidden="1" outlineLevel="2">
      <c r="B2819" s="2" t="s">
        <v>876</v>
      </c>
      <c r="D2819" s="270">
        <v>4702</v>
      </c>
      <c r="E2819" s="112" t="s">
        <v>212</v>
      </c>
      <c r="F2819" s="112" t="s">
        <v>3247</v>
      </c>
      <c r="G2819" s="112" t="s">
        <v>1493</v>
      </c>
      <c r="H2819" s="112" t="s">
        <v>1533</v>
      </c>
      <c r="I2819" s="112"/>
      <c r="J2819" s="112" t="b">
        <v>0</v>
      </c>
      <c r="K2819" s="112" t="s">
        <v>1552</v>
      </c>
      <c r="L2819" s="112" t="b">
        <v>1</v>
      </c>
      <c r="M2819" s="112"/>
      <c r="N2819" s="112"/>
      <c r="O2819" s="112"/>
      <c r="P2819" s="112" t="s">
        <v>1485</v>
      </c>
      <c r="Q2819" s="112" t="s">
        <v>1228</v>
      </c>
    </row>
    <row r="2820" spans="2:17" hidden="1" outlineLevel="2">
      <c r="B2820" s="2" t="s">
        <v>876</v>
      </c>
      <c r="D2820" s="270">
        <v>4702</v>
      </c>
      <c r="E2820" s="112" t="s">
        <v>212</v>
      </c>
      <c r="F2820" s="112" t="s">
        <v>3248</v>
      </c>
      <c r="G2820" s="112" t="s">
        <v>1493</v>
      </c>
      <c r="H2820" s="112" t="s">
        <v>1533</v>
      </c>
      <c r="I2820" s="112"/>
      <c r="J2820" s="112" t="b">
        <v>0</v>
      </c>
      <c r="K2820" s="112" t="s">
        <v>1552</v>
      </c>
      <c r="L2820" s="112" t="b">
        <v>1</v>
      </c>
      <c r="M2820" s="112"/>
      <c r="N2820" s="112"/>
      <c r="O2820" s="112"/>
      <c r="P2820" s="112" t="s">
        <v>1485</v>
      </c>
      <c r="Q2820" s="112" t="s">
        <v>1228</v>
      </c>
    </row>
    <row r="2821" spans="2:17" hidden="1" outlineLevel="2">
      <c r="B2821" s="2" t="s">
        <v>876</v>
      </c>
      <c r="D2821" s="270">
        <v>4702</v>
      </c>
      <c r="E2821" s="112" t="s">
        <v>212</v>
      </c>
      <c r="F2821" s="112" t="s">
        <v>3249</v>
      </c>
      <c r="G2821" s="112" t="s">
        <v>1493</v>
      </c>
      <c r="H2821" s="112" t="s">
        <v>1533</v>
      </c>
      <c r="I2821" s="112"/>
      <c r="J2821" s="112" t="b">
        <v>0</v>
      </c>
      <c r="K2821" s="112" t="s">
        <v>1552</v>
      </c>
      <c r="L2821" s="112" t="b">
        <v>1</v>
      </c>
      <c r="M2821" s="112"/>
      <c r="N2821" s="112"/>
      <c r="O2821" s="112"/>
      <c r="P2821" s="112" t="s">
        <v>1485</v>
      </c>
      <c r="Q2821" s="112" t="s">
        <v>1228</v>
      </c>
    </row>
    <row r="2822" spans="2:17" hidden="1" outlineLevel="2">
      <c r="B2822" s="2" t="s">
        <v>876</v>
      </c>
      <c r="D2822" s="270">
        <v>4702</v>
      </c>
      <c r="E2822" s="112" t="s">
        <v>212</v>
      </c>
      <c r="F2822" s="112" t="s">
        <v>3250</v>
      </c>
      <c r="G2822" s="112" t="s">
        <v>1493</v>
      </c>
      <c r="H2822" s="112" t="s">
        <v>1533</v>
      </c>
      <c r="I2822" s="112"/>
      <c r="J2822" s="112" t="b">
        <v>0</v>
      </c>
      <c r="K2822" s="112" t="s">
        <v>1552</v>
      </c>
      <c r="L2822" s="112" t="b">
        <v>1</v>
      </c>
      <c r="M2822" s="112"/>
      <c r="N2822" s="112"/>
      <c r="O2822" s="112"/>
      <c r="P2822" s="112" t="s">
        <v>1485</v>
      </c>
      <c r="Q2822" s="112" t="s">
        <v>1228</v>
      </c>
    </row>
    <row r="2823" spans="2:17" hidden="1" outlineLevel="2">
      <c r="B2823" s="2" t="s">
        <v>876</v>
      </c>
      <c r="D2823" s="270">
        <v>4702</v>
      </c>
      <c r="E2823" s="112" t="s">
        <v>212</v>
      </c>
      <c r="F2823" s="112" t="s">
        <v>3251</v>
      </c>
      <c r="G2823" s="112" t="s">
        <v>1493</v>
      </c>
      <c r="H2823" s="112" t="s">
        <v>1533</v>
      </c>
      <c r="I2823" s="112"/>
      <c r="J2823" s="112" t="b">
        <v>0</v>
      </c>
      <c r="K2823" s="112" t="s">
        <v>1552</v>
      </c>
      <c r="L2823" s="112" t="b">
        <v>1</v>
      </c>
      <c r="M2823" s="112"/>
      <c r="N2823" s="112"/>
      <c r="O2823" s="112"/>
      <c r="P2823" s="112" t="s">
        <v>1485</v>
      </c>
      <c r="Q2823" s="112" t="s">
        <v>1228</v>
      </c>
    </row>
    <row r="2824" spans="2:17" hidden="1" outlineLevel="2">
      <c r="B2824" s="2" t="s">
        <v>876</v>
      </c>
      <c r="D2824" s="270">
        <v>4702</v>
      </c>
      <c r="E2824" s="112" t="s">
        <v>212</v>
      </c>
      <c r="F2824" s="112" t="s">
        <v>3252</v>
      </c>
      <c r="G2824" s="112" t="s">
        <v>1493</v>
      </c>
      <c r="H2824" s="112" t="s">
        <v>1533</v>
      </c>
      <c r="I2824" s="112"/>
      <c r="J2824" s="112" t="b">
        <v>0</v>
      </c>
      <c r="K2824" s="112" t="s">
        <v>1552</v>
      </c>
      <c r="L2824" s="112" t="b">
        <v>1</v>
      </c>
      <c r="M2824" s="112"/>
      <c r="N2824" s="112"/>
      <c r="O2824" s="112"/>
      <c r="P2824" s="112" t="s">
        <v>1485</v>
      </c>
      <c r="Q2824" s="112" t="s">
        <v>1228</v>
      </c>
    </row>
    <row r="2825" spans="2:17" hidden="1" outlineLevel="2">
      <c r="B2825" s="2" t="s">
        <v>876</v>
      </c>
      <c r="D2825" s="270">
        <v>4702</v>
      </c>
      <c r="E2825" s="112" t="s">
        <v>212</v>
      </c>
      <c r="F2825" s="112" t="s">
        <v>3253</v>
      </c>
      <c r="G2825" s="112" t="s">
        <v>1493</v>
      </c>
      <c r="H2825" s="112" t="s">
        <v>1533</v>
      </c>
      <c r="I2825" s="112"/>
      <c r="J2825" s="112" t="b">
        <v>0</v>
      </c>
      <c r="K2825" s="112" t="s">
        <v>1552</v>
      </c>
      <c r="L2825" s="112" t="b">
        <v>1</v>
      </c>
      <c r="M2825" s="112"/>
      <c r="N2825" s="112"/>
      <c r="O2825" s="112"/>
      <c r="P2825" s="112" t="s">
        <v>1485</v>
      </c>
      <c r="Q2825" s="112" t="s">
        <v>1228</v>
      </c>
    </row>
    <row r="2826" spans="2:17" hidden="1" outlineLevel="2">
      <c r="B2826" s="2" t="s">
        <v>876</v>
      </c>
      <c r="D2826" s="270">
        <v>4702</v>
      </c>
      <c r="E2826" s="112" t="s">
        <v>212</v>
      </c>
      <c r="F2826" s="112" t="s">
        <v>3254</v>
      </c>
      <c r="G2826" s="112" t="s">
        <v>1493</v>
      </c>
      <c r="H2826" s="112" t="s">
        <v>1533</v>
      </c>
      <c r="I2826" s="112"/>
      <c r="J2826" s="112" t="b">
        <v>0</v>
      </c>
      <c r="K2826" s="112" t="s">
        <v>1552</v>
      </c>
      <c r="L2826" s="112" t="b">
        <v>1</v>
      </c>
      <c r="M2826" s="112"/>
      <c r="N2826" s="112"/>
      <c r="O2826" s="112"/>
      <c r="P2826" s="112" t="s">
        <v>1485</v>
      </c>
      <c r="Q2826" s="112" t="s">
        <v>1228</v>
      </c>
    </row>
    <row r="2827" spans="2:17" hidden="1" outlineLevel="2">
      <c r="B2827" s="2" t="s">
        <v>876</v>
      </c>
      <c r="D2827" s="270">
        <v>4702</v>
      </c>
      <c r="E2827" s="112" t="s">
        <v>212</v>
      </c>
      <c r="F2827" s="112" t="s">
        <v>3255</v>
      </c>
      <c r="G2827" s="112" t="s">
        <v>1493</v>
      </c>
      <c r="H2827" s="112" t="s">
        <v>1533</v>
      </c>
      <c r="I2827" s="112"/>
      <c r="J2827" s="112" t="b">
        <v>0</v>
      </c>
      <c r="K2827" s="112" t="s">
        <v>1552</v>
      </c>
      <c r="L2827" s="112" t="b">
        <v>1</v>
      </c>
      <c r="M2827" s="112"/>
      <c r="N2827" s="112"/>
      <c r="O2827" s="112"/>
      <c r="P2827" s="112" t="s">
        <v>1485</v>
      </c>
      <c r="Q2827" s="112" t="s">
        <v>1228</v>
      </c>
    </row>
    <row r="2828" spans="2:17" hidden="1" outlineLevel="2">
      <c r="B2828" s="2" t="s">
        <v>876</v>
      </c>
      <c r="D2828" s="270">
        <v>4702</v>
      </c>
      <c r="E2828" s="112" t="s">
        <v>212</v>
      </c>
      <c r="F2828" s="112" t="s">
        <v>3256</v>
      </c>
      <c r="G2828" s="112" t="s">
        <v>1533</v>
      </c>
      <c r="H2828" s="112" t="s">
        <v>1533</v>
      </c>
      <c r="I2828" s="112"/>
      <c r="J2828" s="112" t="b">
        <v>1</v>
      </c>
      <c r="K2828" s="112" t="s">
        <v>1552</v>
      </c>
      <c r="L2828" s="112" t="b">
        <v>1</v>
      </c>
      <c r="M2828" s="112"/>
      <c r="N2828" s="112"/>
      <c r="O2828" s="112"/>
      <c r="P2828" s="112" t="s">
        <v>1485</v>
      </c>
      <c r="Q2828" s="112" t="s">
        <v>1228</v>
      </c>
    </row>
    <row r="2829" spans="2:17" hidden="1" outlineLevel="2">
      <c r="B2829" s="2" t="s">
        <v>876</v>
      </c>
      <c r="D2829" s="270">
        <v>4702</v>
      </c>
      <c r="E2829" s="112" t="s">
        <v>212</v>
      </c>
      <c r="F2829" s="112" t="s">
        <v>3257</v>
      </c>
      <c r="G2829" s="112" t="s">
        <v>1493</v>
      </c>
      <c r="H2829" s="112" t="s">
        <v>1533</v>
      </c>
      <c r="I2829" s="112"/>
      <c r="J2829" s="112" t="b">
        <v>0</v>
      </c>
      <c r="K2829" s="112" t="s">
        <v>1552</v>
      </c>
      <c r="L2829" s="112" t="b">
        <v>1</v>
      </c>
      <c r="M2829" s="112"/>
      <c r="N2829" s="112"/>
      <c r="O2829" s="112"/>
      <c r="P2829" s="112" t="s">
        <v>1485</v>
      </c>
      <c r="Q2829" s="112" t="s">
        <v>1228</v>
      </c>
    </row>
    <row r="2830" spans="2:17" hidden="1" outlineLevel="2">
      <c r="B2830" s="2" t="s">
        <v>876</v>
      </c>
      <c r="D2830" s="270">
        <v>4702</v>
      </c>
      <c r="E2830" s="112" t="s">
        <v>212</v>
      </c>
      <c r="F2830" s="112" t="s">
        <v>3258</v>
      </c>
      <c r="G2830" s="112" t="s">
        <v>1493</v>
      </c>
      <c r="H2830" s="112" t="s">
        <v>1533</v>
      </c>
      <c r="I2830" s="112"/>
      <c r="J2830" s="112" t="b">
        <v>0</v>
      </c>
      <c r="K2830" s="112" t="s">
        <v>1552</v>
      </c>
      <c r="L2830" s="112" t="b">
        <v>1</v>
      </c>
      <c r="M2830" s="112"/>
      <c r="N2830" s="112"/>
      <c r="O2830" s="112"/>
      <c r="P2830" s="112" t="s">
        <v>1485</v>
      </c>
      <c r="Q2830" s="112" t="s">
        <v>1228</v>
      </c>
    </row>
    <row r="2831" spans="2:17" hidden="1" outlineLevel="2">
      <c r="B2831" s="2" t="s">
        <v>876</v>
      </c>
      <c r="D2831" s="270">
        <v>4702</v>
      </c>
      <c r="E2831" s="112" t="s">
        <v>212</v>
      </c>
      <c r="F2831" s="112" t="s">
        <v>3259</v>
      </c>
      <c r="G2831" s="112" t="s">
        <v>1493</v>
      </c>
      <c r="H2831" s="112" t="s">
        <v>1533</v>
      </c>
      <c r="I2831" s="112"/>
      <c r="J2831" s="112" t="b">
        <v>0</v>
      </c>
      <c r="K2831" s="112" t="s">
        <v>1552</v>
      </c>
      <c r="L2831" s="112" t="b">
        <v>1</v>
      </c>
      <c r="M2831" s="112"/>
      <c r="N2831" s="112"/>
      <c r="O2831" s="112"/>
      <c r="P2831" s="112" t="s">
        <v>1485</v>
      </c>
      <c r="Q2831" s="112" t="s">
        <v>1228</v>
      </c>
    </row>
    <row r="2832" spans="2:17" hidden="1" outlineLevel="2">
      <c r="B2832" s="2" t="s">
        <v>876</v>
      </c>
      <c r="D2832" s="270">
        <v>4702</v>
      </c>
      <c r="E2832" s="112" t="s">
        <v>212</v>
      </c>
      <c r="F2832" s="112" t="s">
        <v>3260</v>
      </c>
      <c r="G2832" s="112" t="s">
        <v>1493</v>
      </c>
      <c r="H2832" s="112" t="s">
        <v>1533</v>
      </c>
      <c r="I2832" s="112"/>
      <c r="J2832" s="112" t="b">
        <v>0</v>
      </c>
      <c r="K2832" s="112" t="s">
        <v>1552</v>
      </c>
      <c r="L2832" s="112" t="b">
        <v>1</v>
      </c>
      <c r="M2832" s="112"/>
      <c r="N2832" s="112"/>
      <c r="O2832" s="112"/>
      <c r="P2832" s="112" t="s">
        <v>1485</v>
      </c>
      <c r="Q2832" s="112" t="s">
        <v>1228</v>
      </c>
    </row>
    <row r="2833" spans="2:17" hidden="1" outlineLevel="2">
      <c r="B2833" s="2" t="s">
        <v>876</v>
      </c>
      <c r="D2833" s="270">
        <v>4702</v>
      </c>
      <c r="E2833" s="112" t="s">
        <v>212</v>
      </c>
      <c r="F2833" s="112" t="s">
        <v>3261</v>
      </c>
      <c r="G2833" s="112" t="s">
        <v>1493</v>
      </c>
      <c r="H2833" s="112" t="s">
        <v>1533</v>
      </c>
      <c r="I2833" s="112"/>
      <c r="J2833" s="112" t="b">
        <v>0</v>
      </c>
      <c r="K2833" s="112" t="s">
        <v>1552</v>
      </c>
      <c r="L2833" s="112" t="b">
        <v>1</v>
      </c>
      <c r="M2833" s="112"/>
      <c r="N2833" s="112"/>
      <c r="O2833" s="112"/>
      <c r="P2833" s="112" t="s">
        <v>1485</v>
      </c>
      <c r="Q2833" s="112" t="s">
        <v>1228</v>
      </c>
    </row>
    <row r="2834" spans="2:17" hidden="1" outlineLevel="2">
      <c r="B2834" s="2" t="s">
        <v>876</v>
      </c>
      <c r="D2834" s="270">
        <v>4702</v>
      </c>
      <c r="E2834" s="112" t="s">
        <v>212</v>
      </c>
      <c r="F2834" s="112" t="s">
        <v>3262</v>
      </c>
      <c r="G2834" s="112" t="s">
        <v>1493</v>
      </c>
      <c r="H2834" s="112" t="s">
        <v>1533</v>
      </c>
      <c r="I2834" s="112"/>
      <c r="J2834" s="112" t="b">
        <v>0</v>
      </c>
      <c r="K2834" s="112" t="s">
        <v>1552</v>
      </c>
      <c r="L2834" s="112" t="b">
        <v>1</v>
      </c>
      <c r="M2834" s="112"/>
      <c r="N2834" s="112"/>
      <c r="O2834" s="112"/>
      <c r="P2834" s="112" t="s">
        <v>1485</v>
      </c>
      <c r="Q2834" s="112" t="s">
        <v>1228</v>
      </c>
    </row>
    <row r="2835" spans="2:17" hidden="1" outlineLevel="2">
      <c r="B2835" s="2" t="s">
        <v>876</v>
      </c>
      <c r="D2835" s="270">
        <v>4702</v>
      </c>
      <c r="E2835" s="112" t="s">
        <v>212</v>
      </c>
      <c r="F2835" s="112" t="s">
        <v>3263</v>
      </c>
      <c r="G2835" s="112" t="s">
        <v>1493</v>
      </c>
      <c r="H2835" s="112" t="s">
        <v>1533</v>
      </c>
      <c r="I2835" s="112"/>
      <c r="J2835" s="112" t="b">
        <v>0</v>
      </c>
      <c r="K2835" s="112" t="s">
        <v>1552</v>
      </c>
      <c r="L2835" s="112" t="b">
        <v>1</v>
      </c>
      <c r="M2835" s="112"/>
      <c r="N2835" s="112"/>
      <c r="O2835" s="112"/>
      <c r="P2835" s="112" t="s">
        <v>1485</v>
      </c>
      <c r="Q2835" s="112" t="s">
        <v>1228</v>
      </c>
    </row>
    <row r="2836" spans="2:17" hidden="1" outlineLevel="2">
      <c r="B2836" s="2" t="s">
        <v>876</v>
      </c>
      <c r="D2836" s="270">
        <v>4702</v>
      </c>
      <c r="E2836" s="112" t="s">
        <v>212</v>
      </c>
      <c r="F2836" s="112" t="s">
        <v>2234</v>
      </c>
      <c r="G2836" s="112" t="s">
        <v>1493</v>
      </c>
      <c r="H2836" s="112" t="s">
        <v>1533</v>
      </c>
      <c r="I2836" s="112"/>
      <c r="J2836" s="112" t="b">
        <v>0</v>
      </c>
      <c r="K2836" s="112" t="s">
        <v>1552</v>
      </c>
      <c r="L2836" s="112" t="b">
        <v>1</v>
      </c>
      <c r="M2836" s="112"/>
      <c r="N2836" s="112"/>
      <c r="O2836" s="112"/>
      <c r="P2836" s="112" t="s">
        <v>1485</v>
      </c>
      <c r="Q2836" s="112" t="s">
        <v>1228</v>
      </c>
    </row>
    <row r="2837" spans="2:17" hidden="1" outlineLevel="2">
      <c r="B2837" s="2" t="s">
        <v>876</v>
      </c>
      <c r="D2837" s="270">
        <v>4702</v>
      </c>
      <c r="E2837" s="112" t="s">
        <v>212</v>
      </c>
      <c r="F2837" s="112" t="s">
        <v>3264</v>
      </c>
      <c r="G2837" s="112" t="s">
        <v>1493</v>
      </c>
      <c r="H2837" s="112" t="s">
        <v>1533</v>
      </c>
      <c r="I2837" s="112"/>
      <c r="J2837" s="112" t="b">
        <v>0</v>
      </c>
      <c r="K2837" s="112" t="s">
        <v>1552</v>
      </c>
      <c r="L2837" s="112" t="b">
        <v>1</v>
      </c>
      <c r="M2837" s="112"/>
      <c r="N2837" s="112"/>
      <c r="O2837" s="112"/>
      <c r="P2837" s="112" t="s">
        <v>1485</v>
      </c>
      <c r="Q2837" s="112" t="s">
        <v>1228</v>
      </c>
    </row>
    <row r="2838" spans="2:17" hidden="1" outlineLevel="2">
      <c r="B2838" s="2" t="s">
        <v>876</v>
      </c>
      <c r="D2838" s="270">
        <v>4702</v>
      </c>
      <c r="E2838" s="112" t="s">
        <v>212</v>
      </c>
      <c r="F2838" s="112" t="s">
        <v>3265</v>
      </c>
      <c r="G2838" s="112" t="s">
        <v>1493</v>
      </c>
      <c r="H2838" s="112" t="s">
        <v>1533</v>
      </c>
      <c r="I2838" s="112"/>
      <c r="J2838" s="112" t="b">
        <v>0</v>
      </c>
      <c r="K2838" s="112" t="s">
        <v>1552</v>
      </c>
      <c r="L2838" s="112" t="b">
        <v>1</v>
      </c>
      <c r="M2838" s="112"/>
      <c r="N2838" s="112"/>
      <c r="O2838" s="112"/>
      <c r="P2838" s="112" t="s">
        <v>1485</v>
      </c>
      <c r="Q2838" s="112" t="s">
        <v>1228</v>
      </c>
    </row>
    <row r="2839" spans="2:17" hidden="1" outlineLevel="2">
      <c r="B2839" s="2" t="s">
        <v>876</v>
      </c>
      <c r="D2839" s="270">
        <v>4702</v>
      </c>
      <c r="E2839" s="112" t="s">
        <v>212</v>
      </c>
      <c r="F2839" s="112" t="s">
        <v>3266</v>
      </c>
      <c r="G2839" s="112" t="s">
        <v>1533</v>
      </c>
      <c r="H2839" s="112" t="s">
        <v>1533</v>
      </c>
      <c r="I2839" s="112"/>
      <c r="J2839" s="112" t="b">
        <v>1</v>
      </c>
      <c r="K2839" s="112" t="s">
        <v>1552</v>
      </c>
      <c r="L2839" s="112" t="b">
        <v>1</v>
      </c>
      <c r="M2839" s="112"/>
      <c r="N2839" s="112"/>
      <c r="O2839" s="112"/>
      <c r="P2839" s="112" t="s">
        <v>1485</v>
      </c>
      <c r="Q2839" s="112" t="s">
        <v>1228</v>
      </c>
    </row>
    <row r="2840" spans="2:17" hidden="1" outlineLevel="2">
      <c r="B2840" s="2" t="s">
        <v>876</v>
      </c>
      <c r="D2840" s="270">
        <v>4702</v>
      </c>
      <c r="E2840" s="112" t="s">
        <v>212</v>
      </c>
      <c r="F2840" s="112" t="s">
        <v>3267</v>
      </c>
      <c r="G2840" s="112" t="s">
        <v>1493</v>
      </c>
      <c r="H2840" s="112" t="s">
        <v>1533</v>
      </c>
      <c r="I2840" s="112"/>
      <c r="J2840" s="112" t="b">
        <v>0</v>
      </c>
      <c r="K2840" s="112" t="s">
        <v>1552</v>
      </c>
      <c r="L2840" s="112" t="b">
        <v>1</v>
      </c>
      <c r="M2840" s="112"/>
      <c r="N2840" s="112"/>
      <c r="O2840" s="112"/>
      <c r="P2840" s="112" t="s">
        <v>1485</v>
      </c>
      <c r="Q2840" s="112" t="s">
        <v>1228</v>
      </c>
    </row>
    <row r="2841" spans="2:17" hidden="1" outlineLevel="2">
      <c r="B2841" s="2" t="s">
        <v>876</v>
      </c>
      <c r="D2841" s="270">
        <v>4702</v>
      </c>
      <c r="E2841" s="112" t="s">
        <v>212</v>
      </c>
      <c r="F2841" s="112" t="s">
        <v>3268</v>
      </c>
      <c r="G2841" s="112" t="s">
        <v>1493</v>
      </c>
      <c r="H2841" s="112" t="s">
        <v>1533</v>
      </c>
      <c r="I2841" s="112"/>
      <c r="J2841" s="112" t="b">
        <v>0</v>
      </c>
      <c r="K2841" s="112" t="s">
        <v>1552</v>
      </c>
      <c r="L2841" s="112" t="b">
        <v>1</v>
      </c>
      <c r="M2841" s="112"/>
      <c r="N2841" s="112"/>
      <c r="O2841" s="112"/>
      <c r="P2841" s="112" t="s">
        <v>1485</v>
      </c>
      <c r="Q2841" s="112" t="s">
        <v>1228</v>
      </c>
    </row>
    <row r="2842" spans="2:17" hidden="1" outlineLevel="2">
      <c r="B2842" s="2" t="s">
        <v>876</v>
      </c>
      <c r="D2842" s="270">
        <v>4702</v>
      </c>
      <c r="E2842" s="112" t="s">
        <v>212</v>
      </c>
      <c r="F2842" s="112" t="s">
        <v>3269</v>
      </c>
      <c r="G2842" s="112" t="s">
        <v>1493</v>
      </c>
      <c r="H2842" s="112" t="s">
        <v>1533</v>
      </c>
      <c r="I2842" s="112"/>
      <c r="J2842" s="112" t="b">
        <v>0</v>
      </c>
      <c r="K2842" s="112" t="s">
        <v>1552</v>
      </c>
      <c r="L2842" s="112" t="b">
        <v>1</v>
      </c>
      <c r="M2842" s="112"/>
      <c r="N2842" s="112"/>
      <c r="O2842" s="112"/>
      <c r="P2842" s="112" t="s">
        <v>1485</v>
      </c>
      <c r="Q2842" s="112" t="s">
        <v>1228</v>
      </c>
    </row>
    <row r="2843" spans="2:17" hidden="1" outlineLevel="2">
      <c r="B2843" s="2" t="s">
        <v>876</v>
      </c>
      <c r="D2843" s="270">
        <v>4702</v>
      </c>
      <c r="E2843" s="112" t="s">
        <v>212</v>
      </c>
      <c r="F2843" s="112" t="s">
        <v>3270</v>
      </c>
      <c r="G2843" s="112" t="s">
        <v>1493</v>
      </c>
      <c r="H2843" s="112" t="s">
        <v>1533</v>
      </c>
      <c r="I2843" s="112"/>
      <c r="J2843" s="112" t="b">
        <v>0</v>
      </c>
      <c r="K2843" s="112" t="s">
        <v>1552</v>
      </c>
      <c r="L2843" s="112" t="b">
        <v>1</v>
      </c>
      <c r="M2843" s="112"/>
      <c r="N2843" s="112"/>
      <c r="O2843" s="112"/>
      <c r="P2843" s="112" t="s">
        <v>1485</v>
      </c>
      <c r="Q2843" s="112" t="s">
        <v>1228</v>
      </c>
    </row>
    <row r="2844" spans="2:17" hidden="1" outlineLevel="2">
      <c r="B2844" s="2" t="s">
        <v>876</v>
      </c>
      <c r="D2844" s="270">
        <v>4702</v>
      </c>
      <c r="E2844" s="112" t="s">
        <v>212</v>
      </c>
      <c r="F2844" s="112" t="s">
        <v>3271</v>
      </c>
      <c r="G2844" s="112" t="s">
        <v>1493</v>
      </c>
      <c r="H2844" s="112" t="s">
        <v>1533</v>
      </c>
      <c r="I2844" s="112"/>
      <c r="J2844" s="112" t="b">
        <v>0</v>
      </c>
      <c r="K2844" s="112" t="s">
        <v>1552</v>
      </c>
      <c r="L2844" s="112" t="b">
        <v>1</v>
      </c>
      <c r="M2844" s="112"/>
      <c r="N2844" s="112"/>
      <c r="O2844" s="112"/>
      <c r="P2844" s="112" t="s">
        <v>1485</v>
      </c>
      <c r="Q2844" s="112" t="s">
        <v>1228</v>
      </c>
    </row>
    <row r="2845" spans="2:17" hidden="1" outlineLevel="2">
      <c r="B2845" s="2" t="s">
        <v>876</v>
      </c>
      <c r="D2845" s="270">
        <v>4702</v>
      </c>
      <c r="E2845" s="112" t="s">
        <v>212</v>
      </c>
      <c r="F2845" s="112" t="s">
        <v>3272</v>
      </c>
      <c r="G2845" s="112" t="s">
        <v>1493</v>
      </c>
      <c r="H2845" s="112" t="s">
        <v>1533</v>
      </c>
      <c r="I2845" s="112"/>
      <c r="J2845" s="112" t="b">
        <v>0</v>
      </c>
      <c r="K2845" s="112" t="s">
        <v>1552</v>
      </c>
      <c r="L2845" s="112" t="b">
        <v>1</v>
      </c>
      <c r="M2845" s="112"/>
      <c r="N2845" s="112"/>
      <c r="O2845" s="112"/>
      <c r="P2845" s="112" t="s">
        <v>1485</v>
      </c>
      <c r="Q2845" s="112" t="s">
        <v>1228</v>
      </c>
    </row>
    <row r="2846" spans="2:17" hidden="1" outlineLevel="2">
      <c r="B2846" s="2" t="s">
        <v>876</v>
      </c>
      <c r="D2846" s="270">
        <v>4702</v>
      </c>
      <c r="E2846" s="112" t="s">
        <v>212</v>
      </c>
      <c r="F2846" s="112" t="s">
        <v>3273</v>
      </c>
      <c r="G2846" s="112" t="s">
        <v>1493</v>
      </c>
      <c r="H2846" s="112" t="s">
        <v>1533</v>
      </c>
      <c r="I2846" s="112"/>
      <c r="J2846" s="112" t="b">
        <v>0</v>
      </c>
      <c r="K2846" s="112" t="s">
        <v>1552</v>
      </c>
      <c r="L2846" s="112" t="b">
        <v>1</v>
      </c>
      <c r="M2846" s="112"/>
      <c r="N2846" s="112"/>
      <c r="O2846" s="112"/>
      <c r="P2846" s="112" t="s">
        <v>1485</v>
      </c>
      <c r="Q2846" s="112" t="s">
        <v>1228</v>
      </c>
    </row>
    <row r="2847" spans="2:17" hidden="1" outlineLevel="2">
      <c r="B2847" s="2" t="s">
        <v>876</v>
      </c>
      <c r="D2847" s="270">
        <v>4702</v>
      </c>
      <c r="E2847" s="112" t="s">
        <v>212</v>
      </c>
      <c r="F2847" s="112" t="s">
        <v>3274</v>
      </c>
      <c r="G2847" s="112" t="s">
        <v>1493</v>
      </c>
      <c r="H2847" s="112" t="s">
        <v>1533</v>
      </c>
      <c r="I2847" s="112"/>
      <c r="J2847" s="112" t="b">
        <v>0</v>
      </c>
      <c r="K2847" s="112" t="s">
        <v>1552</v>
      </c>
      <c r="L2847" s="112" t="b">
        <v>1</v>
      </c>
      <c r="M2847" s="112"/>
      <c r="N2847" s="112"/>
      <c r="O2847" s="112"/>
      <c r="P2847" s="112" t="s">
        <v>1485</v>
      </c>
      <c r="Q2847" s="112" t="s">
        <v>1228</v>
      </c>
    </row>
    <row r="2848" spans="2:17" hidden="1" outlineLevel="2">
      <c r="B2848" s="2" t="s">
        <v>876</v>
      </c>
      <c r="D2848" s="270">
        <v>4702</v>
      </c>
      <c r="E2848" s="112" t="s">
        <v>212</v>
      </c>
      <c r="F2848" s="112" t="s">
        <v>3275</v>
      </c>
      <c r="G2848" s="112" t="s">
        <v>1493</v>
      </c>
      <c r="H2848" s="112" t="s">
        <v>1533</v>
      </c>
      <c r="I2848" s="112"/>
      <c r="J2848" s="112" t="b">
        <v>0</v>
      </c>
      <c r="K2848" s="112" t="s">
        <v>1552</v>
      </c>
      <c r="L2848" s="112" t="b">
        <v>1</v>
      </c>
      <c r="M2848" s="112"/>
      <c r="N2848" s="112"/>
      <c r="O2848" s="112"/>
      <c r="P2848" s="112" t="s">
        <v>1485</v>
      </c>
      <c r="Q2848" s="112" t="s">
        <v>1228</v>
      </c>
    </row>
    <row r="2849" spans="2:17" hidden="1" outlineLevel="2">
      <c r="B2849" s="2" t="s">
        <v>876</v>
      </c>
      <c r="D2849" s="270">
        <v>4702</v>
      </c>
      <c r="E2849" s="112" t="s">
        <v>212</v>
      </c>
      <c r="F2849" s="112" t="s">
        <v>3276</v>
      </c>
      <c r="G2849" s="112" t="s">
        <v>1493</v>
      </c>
      <c r="H2849" s="112" t="s">
        <v>1533</v>
      </c>
      <c r="I2849" s="112"/>
      <c r="J2849" s="112" t="b">
        <v>0</v>
      </c>
      <c r="K2849" s="112" t="s">
        <v>1552</v>
      </c>
      <c r="L2849" s="112" t="b">
        <v>1</v>
      </c>
      <c r="M2849" s="112"/>
      <c r="N2849" s="112"/>
      <c r="O2849" s="112"/>
      <c r="P2849" s="112" t="s">
        <v>1485</v>
      </c>
      <c r="Q2849" s="112" t="s">
        <v>1228</v>
      </c>
    </row>
    <row r="2850" spans="2:17" hidden="1" outlineLevel="2">
      <c r="B2850" s="2" t="s">
        <v>876</v>
      </c>
      <c r="D2850" s="270">
        <v>4702</v>
      </c>
      <c r="E2850" s="112" t="s">
        <v>212</v>
      </c>
      <c r="F2850" s="112" t="s">
        <v>3277</v>
      </c>
      <c r="G2850" s="112" t="s">
        <v>1493</v>
      </c>
      <c r="H2850" s="112" t="s">
        <v>1533</v>
      </c>
      <c r="I2850" s="112"/>
      <c r="J2850" s="112" t="b">
        <v>0</v>
      </c>
      <c r="K2850" s="112" t="s">
        <v>1552</v>
      </c>
      <c r="L2850" s="112" t="b">
        <v>1</v>
      </c>
      <c r="M2850" s="112"/>
      <c r="N2850" s="112"/>
      <c r="O2850" s="112"/>
      <c r="P2850" s="112" t="s">
        <v>1485</v>
      </c>
      <c r="Q2850" s="112" t="s">
        <v>1228</v>
      </c>
    </row>
    <row r="2851" spans="2:17" hidden="1" outlineLevel="2">
      <c r="B2851" s="2" t="s">
        <v>876</v>
      </c>
      <c r="D2851" s="270">
        <v>4702</v>
      </c>
      <c r="E2851" s="112" t="s">
        <v>212</v>
      </c>
      <c r="F2851" s="112" t="s">
        <v>3278</v>
      </c>
      <c r="G2851" s="112" t="s">
        <v>1493</v>
      </c>
      <c r="H2851" s="112" t="s">
        <v>1533</v>
      </c>
      <c r="I2851" s="112"/>
      <c r="J2851" s="112" t="b">
        <v>0</v>
      </c>
      <c r="K2851" s="112" t="s">
        <v>1552</v>
      </c>
      <c r="L2851" s="112" t="b">
        <v>1</v>
      </c>
      <c r="M2851" s="112"/>
      <c r="N2851" s="112"/>
      <c r="O2851" s="112"/>
      <c r="P2851" s="112" t="s">
        <v>1485</v>
      </c>
      <c r="Q2851" s="112" t="s">
        <v>1228</v>
      </c>
    </row>
    <row r="2852" spans="2:17" hidden="1" outlineLevel="2">
      <c r="B2852" s="2" t="s">
        <v>876</v>
      </c>
      <c r="D2852" s="270">
        <v>4702</v>
      </c>
      <c r="E2852" s="112" t="s">
        <v>212</v>
      </c>
      <c r="F2852" s="112" t="s">
        <v>3279</v>
      </c>
      <c r="G2852" s="112" t="s">
        <v>1493</v>
      </c>
      <c r="H2852" s="112" t="s">
        <v>1533</v>
      </c>
      <c r="I2852" s="112"/>
      <c r="J2852" s="112" t="b">
        <v>0</v>
      </c>
      <c r="K2852" s="112" t="s">
        <v>1552</v>
      </c>
      <c r="L2852" s="112" t="b">
        <v>1</v>
      </c>
      <c r="M2852" s="112"/>
      <c r="N2852" s="112"/>
      <c r="O2852" s="112"/>
      <c r="P2852" s="112" t="s">
        <v>1485</v>
      </c>
      <c r="Q2852" s="112" t="s">
        <v>1228</v>
      </c>
    </row>
    <row r="2853" spans="2:17" hidden="1" outlineLevel="2">
      <c r="B2853" s="2" t="s">
        <v>876</v>
      </c>
      <c r="D2853" s="270">
        <v>4702</v>
      </c>
      <c r="E2853" s="112" t="s">
        <v>212</v>
      </c>
      <c r="F2853" s="112" t="s">
        <v>3280</v>
      </c>
      <c r="G2853" s="112" t="s">
        <v>1493</v>
      </c>
      <c r="H2853" s="112" t="s">
        <v>1533</v>
      </c>
      <c r="I2853" s="112"/>
      <c r="J2853" s="112" t="b">
        <v>0</v>
      </c>
      <c r="K2853" s="112" t="s">
        <v>1552</v>
      </c>
      <c r="L2853" s="112" t="b">
        <v>1</v>
      </c>
      <c r="M2853" s="112"/>
      <c r="N2853" s="112"/>
      <c r="O2853" s="112"/>
      <c r="P2853" s="112" t="s">
        <v>1485</v>
      </c>
      <c r="Q2853" s="112" t="s">
        <v>1228</v>
      </c>
    </row>
    <row r="2854" spans="2:17" hidden="1" outlineLevel="2">
      <c r="B2854" s="2" t="s">
        <v>876</v>
      </c>
      <c r="D2854" s="270">
        <v>4702</v>
      </c>
      <c r="E2854" s="112" t="s">
        <v>212</v>
      </c>
      <c r="F2854" s="112" t="s">
        <v>3281</v>
      </c>
      <c r="G2854" s="112" t="s">
        <v>1493</v>
      </c>
      <c r="H2854" s="112" t="s">
        <v>1533</v>
      </c>
      <c r="I2854" s="112"/>
      <c r="J2854" s="112" t="b">
        <v>0</v>
      </c>
      <c r="K2854" s="112" t="s">
        <v>1552</v>
      </c>
      <c r="L2854" s="112" t="b">
        <v>1</v>
      </c>
      <c r="M2854" s="112"/>
      <c r="N2854" s="112"/>
      <c r="O2854" s="112"/>
      <c r="P2854" s="112" t="s">
        <v>1485</v>
      </c>
      <c r="Q2854" s="112" t="s">
        <v>1228</v>
      </c>
    </row>
    <row r="2855" spans="2:17" hidden="1" outlineLevel="2">
      <c r="B2855" s="2" t="s">
        <v>876</v>
      </c>
      <c r="D2855" s="270">
        <v>4702</v>
      </c>
      <c r="E2855" s="112" t="s">
        <v>212</v>
      </c>
      <c r="F2855" s="112" t="s">
        <v>3282</v>
      </c>
      <c r="G2855" s="112" t="s">
        <v>1493</v>
      </c>
      <c r="H2855" s="112" t="s">
        <v>1533</v>
      </c>
      <c r="I2855" s="112"/>
      <c r="J2855" s="112" t="b">
        <v>0</v>
      </c>
      <c r="K2855" s="112" t="s">
        <v>1552</v>
      </c>
      <c r="L2855" s="112" t="b">
        <v>1</v>
      </c>
      <c r="M2855" s="112"/>
      <c r="N2855" s="112"/>
      <c r="O2855" s="112"/>
      <c r="P2855" s="112" t="s">
        <v>1485</v>
      </c>
      <c r="Q2855" s="112" t="s">
        <v>1228</v>
      </c>
    </row>
    <row r="2856" spans="2:17" hidden="1" outlineLevel="2">
      <c r="B2856" s="2" t="s">
        <v>876</v>
      </c>
      <c r="D2856" s="270">
        <v>4702</v>
      </c>
      <c r="E2856" s="112" t="s">
        <v>212</v>
      </c>
      <c r="F2856" s="112" t="s">
        <v>3283</v>
      </c>
      <c r="G2856" s="112" t="s">
        <v>1493</v>
      </c>
      <c r="H2856" s="112" t="s">
        <v>1533</v>
      </c>
      <c r="I2856" s="112"/>
      <c r="J2856" s="112" t="b">
        <v>0</v>
      </c>
      <c r="K2856" s="112" t="s">
        <v>1552</v>
      </c>
      <c r="L2856" s="112" t="b">
        <v>1</v>
      </c>
      <c r="M2856" s="112"/>
      <c r="N2856" s="112"/>
      <c r="O2856" s="112"/>
      <c r="P2856" s="112" t="s">
        <v>1485</v>
      </c>
      <c r="Q2856" s="112" t="s">
        <v>1228</v>
      </c>
    </row>
    <row r="2857" spans="2:17" hidden="1" outlineLevel="2">
      <c r="B2857" s="2" t="s">
        <v>876</v>
      </c>
      <c r="D2857" s="270">
        <v>4702</v>
      </c>
      <c r="E2857" s="112" t="s">
        <v>212</v>
      </c>
      <c r="F2857" s="112" t="s">
        <v>3284</v>
      </c>
      <c r="G2857" s="112" t="s">
        <v>1493</v>
      </c>
      <c r="H2857" s="112" t="s">
        <v>1533</v>
      </c>
      <c r="I2857" s="112"/>
      <c r="J2857" s="112" t="b">
        <v>0</v>
      </c>
      <c r="K2857" s="112" t="s">
        <v>1552</v>
      </c>
      <c r="L2857" s="112" t="b">
        <v>1</v>
      </c>
      <c r="M2857" s="112"/>
      <c r="N2857" s="112"/>
      <c r="O2857" s="112"/>
      <c r="P2857" s="112" t="s">
        <v>1485</v>
      </c>
      <c r="Q2857" s="112" t="s">
        <v>1228</v>
      </c>
    </row>
    <row r="2858" spans="2:17" hidden="1" outlineLevel="2">
      <c r="B2858" s="2" t="s">
        <v>876</v>
      </c>
      <c r="D2858" s="270">
        <v>4702</v>
      </c>
      <c r="E2858" s="112" t="s">
        <v>212</v>
      </c>
      <c r="F2858" s="112" t="s">
        <v>3285</v>
      </c>
      <c r="G2858" s="112" t="s">
        <v>1493</v>
      </c>
      <c r="H2858" s="112" t="s">
        <v>1533</v>
      </c>
      <c r="I2858" s="112"/>
      <c r="J2858" s="112" t="b">
        <v>0</v>
      </c>
      <c r="K2858" s="112" t="s">
        <v>1552</v>
      </c>
      <c r="L2858" s="112" t="b">
        <v>1</v>
      </c>
      <c r="M2858" s="112"/>
      <c r="N2858" s="112"/>
      <c r="O2858" s="112"/>
      <c r="P2858" s="112" t="s">
        <v>1485</v>
      </c>
      <c r="Q2858" s="112" t="s">
        <v>1228</v>
      </c>
    </row>
    <row r="2859" spans="2:17" hidden="1" outlineLevel="2">
      <c r="B2859" s="2" t="s">
        <v>876</v>
      </c>
      <c r="D2859" s="270">
        <v>4702</v>
      </c>
      <c r="E2859" s="112" t="s">
        <v>212</v>
      </c>
      <c r="F2859" s="112" t="s">
        <v>3286</v>
      </c>
      <c r="G2859" s="112" t="s">
        <v>1493</v>
      </c>
      <c r="H2859" s="112" t="s">
        <v>1533</v>
      </c>
      <c r="I2859" s="112"/>
      <c r="J2859" s="112" t="b">
        <v>0</v>
      </c>
      <c r="K2859" s="112" t="s">
        <v>1552</v>
      </c>
      <c r="L2859" s="112" t="b">
        <v>1</v>
      </c>
      <c r="M2859" s="112"/>
      <c r="N2859" s="112"/>
      <c r="O2859" s="112"/>
      <c r="P2859" s="112" t="s">
        <v>1485</v>
      </c>
      <c r="Q2859" s="112" t="s">
        <v>1228</v>
      </c>
    </row>
    <row r="2860" spans="2:17" hidden="1" outlineLevel="2">
      <c r="B2860" s="2" t="s">
        <v>876</v>
      </c>
      <c r="D2860" s="270">
        <v>4702</v>
      </c>
      <c r="E2860" s="112" t="s">
        <v>212</v>
      </c>
      <c r="F2860" s="112" t="s">
        <v>3287</v>
      </c>
      <c r="G2860" s="112" t="s">
        <v>1493</v>
      </c>
      <c r="H2860" s="112" t="s">
        <v>1533</v>
      </c>
      <c r="I2860" s="112"/>
      <c r="J2860" s="112" t="b">
        <v>0</v>
      </c>
      <c r="K2860" s="112" t="s">
        <v>1552</v>
      </c>
      <c r="L2860" s="112" t="b">
        <v>1</v>
      </c>
      <c r="M2860" s="112"/>
      <c r="N2860" s="112"/>
      <c r="O2860" s="112"/>
      <c r="P2860" s="112" t="s">
        <v>1485</v>
      </c>
      <c r="Q2860" s="112" t="s">
        <v>1228</v>
      </c>
    </row>
    <row r="2861" spans="2:17" hidden="1" outlineLevel="2">
      <c r="B2861" s="2" t="s">
        <v>876</v>
      </c>
      <c r="D2861" s="270">
        <v>4702</v>
      </c>
      <c r="E2861" s="112" t="s">
        <v>212</v>
      </c>
      <c r="F2861" s="112" t="s">
        <v>3288</v>
      </c>
      <c r="G2861" s="112" t="s">
        <v>1493</v>
      </c>
      <c r="H2861" s="112" t="s">
        <v>1533</v>
      </c>
      <c r="I2861" s="112"/>
      <c r="J2861" s="112" t="b">
        <v>0</v>
      </c>
      <c r="K2861" s="112" t="s">
        <v>1552</v>
      </c>
      <c r="L2861" s="112" t="b">
        <v>1</v>
      </c>
      <c r="M2861" s="112"/>
      <c r="N2861" s="112"/>
      <c r="O2861" s="112"/>
      <c r="P2861" s="112" t="s">
        <v>1485</v>
      </c>
      <c r="Q2861" s="112" t="s">
        <v>1228</v>
      </c>
    </row>
    <row r="2862" spans="2:17" hidden="1" outlineLevel="2">
      <c r="B2862" s="2" t="s">
        <v>876</v>
      </c>
      <c r="D2862" s="270">
        <v>4702</v>
      </c>
      <c r="E2862" s="112" t="s">
        <v>212</v>
      </c>
      <c r="F2862" s="112" t="s">
        <v>3289</v>
      </c>
      <c r="G2862" s="112" t="s">
        <v>1493</v>
      </c>
      <c r="H2862" s="112" t="s">
        <v>1533</v>
      </c>
      <c r="I2862" s="112"/>
      <c r="J2862" s="112" t="b">
        <v>0</v>
      </c>
      <c r="K2862" s="112" t="s">
        <v>1552</v>
      </c>
      <c r="L2862" s="112" t="b">
        <v>1</v>
      </c>
      <c r="M2862" s="112"/>
      <c r="N2862" s="112"/>
      <c r="O2862" s="112"/>
      <c r="P2862" s="112" t="s">
        <v>1485</v>
      </c>
      <c r="Q2862" s="112" t="s">
        <v>1228</v>
      </c>
    </row>
    <row r="2863" spans="2:17" hidden="1" outlineLevel="2">
      <c r="B2863" s="2" t="s">
        <v>876</v>
      </c>
      <c r="D2863" s="270">
        <v>4702</v>
      </c>
      <c r="E2863" s="112" t="s">
        <v>212</v>
      </c>
      <c r="F2863" s="112" t="s">
        <v>3290</v>
      </c>
      <c r="G2863" s="112" t="s">
        <v>1493</v>
      </c>
      <c r="H2863" s="112" t="s">
        <v>1533</v>
      </c>
      <c r="I2863" s="112"/>
      <c r="J2863" s="112" t="b">
        <v>0</v>
      </c>
      <c r="K2863" s="112" t="s">
        <v>1552</v>
      </c>
      <c r="L2863" s="112" t="b">
        <v>1</v>
      </c>
      <c r="M2863" s="112"/>
      <c r="N2863" s="112"/>
      <c r="O2863" s="112"/>
      <c r="P2863" s="112" t="s">
        <v>1485</v>
      </c>
      <c r="Q2863" s="112" t="s">
        <v>1228</v>
      </c>
    </row>
    <row r="2864" spans="2:17" hidden="1" outlineLevel="2">
      <c r="B2864" s="2" t="s">
        <v>876</v>
      </c>
      <c r="D2864" s="270">
        <v>4702</v>
      </c>
      <c r="E2864" s="112" t="s">
        <v>212</v>
      </c>
      <c r="F2864" s="112" t="s">
        <v>3291</v>
      </c>
      <c r="G2864" s="112" t="s">
        <v>1493</v>
      </c>
      <c r="H2864" s="112" t="s">
        <v>1533</v>
      </c>
      <c r="I2864" s="112"/>
      <c r="J2864" s="112" t="b">
        <v>0</v>
      </c>
      <c r="K2864" s="112" t="s">
        <v>1552</v>
      </c>
      <c r="L2864" s="112" t="b">
        <v>1</v>
      </c>
      <c r="M2864" s="112"/>
      <c r="N2864" s="112"/>
      <c r="O2864" s="112"/>
      <c r="P2864" s="112" t="s">
        <v>1485</v>
      </c>
      <c r="Q2864" s="112" t="s">
        <v>1228</v>
      </c>
    </row>
    <row r="2865" spans="2:17" hidden="1" outlineLevel="2">
      <c r="B2865" s="2" t="s">
        <v>876</v>
      </c>
      <c r="D2865" s="270">
        <v>4702</v>
      </c>
      <c r="E2865" s="112" t="s">
        <v>212</v>
      </c>
      <c r="F2865" s="112" t="s">
        <v>3292</v>
      </c>
      <c r="G2865" s="112" t="s">
        <v>1493</v>
      </c>
      <c r="H2865" s="112" t="s">
        <v>1533</v>
      </c>
      <c r="I2865" s="112"/>
      <c r="J2865" s="112" t="b">
        <v>0</v>
      </c>
      <c r="K2865" s="112" t="s">
        <v>1552</v>
      </c>
      <c r="L2865" s="112" t="b">
        <v>1</v>
      </c>
      <c r="M2865" s="112"/>
      <c r="N2865" s="112"/>
      <c r="O2865" s="112"/>
      <c r="P2865" s="112" t="s">
        <v>1485</v>
      </c>
      <c r="Q2865" s="112" t="s">
        <v>1228</v>
      </c>
    </row>
    <row r="2866" spans="2:17" hidden="1" outlineLevel="2">
      <c r="B2866" s="2" t="s">
        <v>876</v>
      </c>
      <c r="D2866" s="270">
        <v>4702</v>
      </c>
      <c r="E2866" s="112" t="s">
        <v>212</v>
      </c>
      <c r="F2866" s="112" t="s">
        <v>3293</v>
      </c>
      <c r="G2866" s="112" t="s">
        <v>1533</v>
      </c>
      <c r="H2866" s="112" t="s">
        <v>1533</v>
      </c>
      <c r="I2866" s="112"/>
      <c r="J2866" s="112" t="b">
        <v>1</v>
      </c>
      <c r="K2866" s="112" t="s">
        <v>1552</v>
      </c>
      <c r="L2866" s="112" t="b">
        <v>1</v>
      </c>
      <c r="M2866" s="112"/>
      <c r="N2866" s="112"/>
      <c r="O2866" s="112"/>
      <c r="P2866" s="112" t="s">
        <v>1485</v>
      </c>
      <c r="Q2866" s="112" t="s">
        <v>1228</v>
      </c>
    </row>
    <row r="2867" spans="2:17" hidden="1" outlineLevel="2">
      <c r="B2867" s="2" t="s">
        <v>876</v>
      </c>
      <c r="D2867" s="270">
        <v>4702</v>
      </c>
      <c r="E2867" s="112" t="s">
        <v>212</v>
      </c>
      <c r="F2867" s="112" t="s">
        <v>3294</v>
      </c>
      <c r="G2867" s="112" t="s">
        <v>1493</v>
      </c>
      <c r="H2867" s="112" t="s">
        <v>1533</v>
      </c>
      <c r="I2867" s="112"/>
      <c r="J2867" s="112" t="b">
        <v>0</v>
      </c>
      <c r="K2867" s="112" t="s">
        <v>1552</v>
      </c>
      <c r="L2867" s="112" t="b">
        <v>1</v>
      </c>
      <c r="M2867" s="112"/>
      <c r="N2867" s="112"/>
      <c r="O2867" s="112"/>
      <c r="P2867" s="112" t="s">
        <v>1485</v>
      </c>
      <c r="Q2867" s="112" t="s">
        <v>1228</v>
      </c>
    </row>
    <row r="2868" spans="2:17" hidden="1" outlineLevel="2">
      <c r="B2868" s="2" t="s">
        <v>876</v>
      </c>
      <c r="D2868" s="270">
        <v>4702</v>
      </c>
      <c r="E2868" s="112" t="s">
        <v>212</v>
      </c>
      <c r="F2868" s="112" t="s">
        <v>3295</v>
      </c>
      <c r="G2868" s="112" t="s">
        <v>1493</v>
      </c>
      <c r="H2868" s="112" t="s">
        <v>1533</v>
      </c>
      <c r="I2868" s="112"/>
      <c r="J2868" s="112" t="b">
        <v>0</v>
      </c>
      <c r="K2868" s="112" t="s">
        <v>1552</v>
      </c>
      <c r="L2868" s="112" t="b">
        <v>1</v>
      </c>
      <c r="M2868" s="112"/>
      <c r="N2868" s="112"/>
      <c r="O2868" s="112"/>
      <c r="P2868" s="112" t="s">
        <v>1485</v>
      </c>
      <c r="Q2868" s="112" t="s">
        <v>1228</v>
      </c>
    </row>
    <row r="2869" spans="2:17" hidden="1" outlineLevel="2">
      <c r="B2869" s="2" t="s">
        <v>876</v>
      </c>
      <c r="D2869" s="270">
        <v>4702</v>
      </c>
      <c r="E2869" s="112" t="s">
        <v>212</v>
      </c>
      <c r="F2869" s="112" t="s">
        <v>3296</v>
      </c>
      <c r="G2869" s="112" t="s">
        <v>1493</v>
      </c>
      <c r="H2869" s="112" t="s">
        <v>1533</v>
      </c>
      <c r="I2869" s="112"/>
      <c r="J2869" s="112" t="b">
        <v>0</v>
      </c>
      <c r="K2869" s="112" t="s">
        <v>1552</v>
      </c>
      <c r="L2869" s="112" t="b">
        <v>1</v>
      </c>
      <c r="M2869" s="112"/>
      <c r="N2869" s="112"/>
      <c r="O2869" s="112"/>
      <c r="P2869" s="112" t="s">
        <v>1485</v>
      </c>
      <c r="Q2869" s="112" t="s">
        <v>1228</v>
      </c>
    </row>
    <row r="2870" spans="2:17" hidden="1" outlineLevel="2">
      <c r="B2870" s="2" t="s">
        <v>876</v>
      </c>
      <c r="D2870" s="270">
        <v>4702</v>
      </c>
      <c r="E2870" s="112" t="s">
        <v>212</v>
      </c>
      <c r="F2870" s="112" t="s">
        <v>3297</v>
      </c>
      <c r="G2870" s="112" t="s">
        <v>1493</v>
      </c>
      <c r="H2870" s="112" t="s">
        <v>1533</v>
      </c>
      <c r="I2870" s="112"/>
      <c r="J2870" s="112" t="b">
        <v>0</v>
      </c>
      <c r="K2870" s="112" t="s">
        <v>1552</v>
      </c>
      <c r="L2870" s="112" t="b">
        <v>1</v>
      </c>
      <c r="M2870" s="112"/>
      <c r="N2870" s="112"/>
      <c r="O2870" s="112"/>
      <c r="P2870" s="112" t="s">
        <v>1485</v>
      </c>
      <c r="Q2870" s="112" t="s">
        <v>1228</v>
      </c>
    </row>
    <row r="2871" spans="2:17" hidden="1" outlineLevel="2">
      <c r="B2871" s="2" t="s">
        <v>876</v>
      </c>
      <c r="D2871" s="270">
        <v>4702</v>
      </c>
      <c r="E2871" s="112" t="s">
        <v>212</v>
      </c>
      <c r="F2871" s="112" t="s">
        <v>3298</v>
      </c>
      <c r="G2871" s="112" t="s">
        <v>1493</v>
      </c>
      <c r="H2871" s="112" t="s">
        <v>1533</v>
      </c>
      <c r="I2871" s="112"/>
      <c r="J2871" s="112" t="b">
        <v>0</v>
      </c>
      <c r="K2871" s="112" t="s">
        <v>1552</v>
      </c>
      <c r="L2871" s="112" t="b">
        <v>1</v>
      </c>
      <c r="M2871" s="112"/>
      <c r="N2871" s="112"/>
      <c r="O2871" s="112"/>
      <c r="P2871" s="112" t="s">
        <v>1485</v>
      </c>
      <c r="Q2871" s="112" t="s">
        <v>1228</v>
      </c>
    </row>
    <row r="2872" spans="2:17" hidden="1" outlineLevel="2">
      <c r="B2872" s="2" t="s">
        <v>876</v>
      </c>
      <c r="D2872" s="270">
        <v>4702</v>
      </c>
      <c r="E2872" s="112" t="s">
        <v>212</v>
      </c>
      <c r="F2872" s="112" t="s">
        <v>3299</v>
      </c>
      <c r="G2872" s="112" t="s">
        <v>1493</v>
      </c>
      <c r="H2872" s="112" t="s">
        <v>1533</v>
      </c>
      <c r="I2872" s="112"/>
      <c r="J2872" s="112" t="b">
        <v>0</v>
      </c>
      <c r="K2872" s="112" t="s">
        <v>1552</v>
      </c>
      <c r="L2872" s="112" t="b">
        <v>1</v>
      </c>
      <c r="M2872" s="112"/>
      <c r="N2872" s="112"/>
      <c r="O2872" s="112"/>
      <c r="P2872" s="112" t="s">
        <v>1485</v>
      </c>
      <c r="Q2872" s="112" t="s">
        <v>1228</v>
      </c>
    </row>
    <row r="2873" spans="2:17" hidden="1" outlineLevel="2">
      <c r="B2873" s="2" t="s">
        <v>876</v>
      </c>
      <c r="D2873" s="270">
        <v>4702</v>
      </c>
      <c r="E2873" s="112" t="s">
        <v>212</v>
      </c>
      <c r="F2873" s="112" t="s">
        <v>3300</v>
      </c>
      <c r="G2873" s="112" t="s">
        <v>1493</v>
      </c>
      <c r="H2873" s="112" t="s">
        <v>1533</v>
      </c>
      <c r="I2873" s="112"/>
      <c r="J2873" s="112" t="b">
        <v>0</v>
      </c>
      <c r="K2873" s="112" t="s">
        <v>1552</v>
      </c>
      <c r="L2873" s="112" t="b">
        <v>1</v>
      </c>
      <c r="M2873" s="112"/>
      <c r="N2873" s="112"/>
      <c r="O2873" s="112"/>
      <c r="P2873" s="112" t="s">
        <v>1485</v>
      </c>
      <c r="Q2873" s="112" t="s">
        <v>1228</v>
      </c>
    </row>
    <row r="2874" spans="2:17" hidden="1" outlineLevel="2">
      <c r="B2874" s="2" t="s">
        <v>876</v>
      </c>
      <c r="D2874" s="270">
        <v>4702</v>
      </c>
      <c r="E2874" s="112" t="s">
        <v>212</v>
      </c>
      <c r="F2874" s="112" t="s">
        <v>3301</v>
      </c>
      <c r="G2874" s="112" t="s">
        <v>1493</v>
      </c>
      <c r="H2874" s="112" t="s">
        <v>1533</v>
      </c>
      <c r="I2874" s="112"/>
      <c r="J2874" s="112" t="b">
        <v>0</v>
      </c>
      <c r="K2874" s="112" t="s">
        <v>1552</v>
      </c>
      <c r="L2874" s="112" t="b">
        <v>1</v>
      </c>
      <c r="M2874" s="112"/>
      <c r="N2874" s="112"/>
      <c r="O2874" s="112"/>
      <c r="P2874" s="112" t="s">
        <v>1485</v>
      </c>
      <c r="Q2874" s="112" t="s">
        <v>1228</v>
      </c>
    </row>
    <row r="2875" spans="2:17" hidden="1" outlineLevel="2">
      <c r="B2875" s="2" t="s">
        <v>876</v>
      </c>
      <c r="D2875" s="270">
        <v>4702</v>
      </c>
      <c r="E2875" s="112" t="s">
        <v>212</v>
      </c>
      <c r="F2875" s="112" t="s">
        <v>3302</v>
      </c>
      <c r="G2875" s="112" t="s">
        <v>1493</v>
      </c>
      <c r="H2875" s="112" t="s">
        <v>1533</v>
      </c>
      <c r="I2875" s="112"/>
      <c r="J2875" s="112" t="b">
        <v>0</v>
      </c>
      <c r="K2875" s="112" t="s">
        <v>1552</v>
      </c>
      <c r="L2875" s="112" t="b">
        <v>1</v>
      </c>
      <c r="M2875" s="112"/>
      <c r="N2875" s="112"/>
      <c r="O2875" s="112"/>
      <c r="P2875" s="112" t="s">
        <v>1485</v>
      </c>
      <c r="Q2875" s="112" t="s">
        <v>1228</v>
      </c>
    </row>
    <row r="2876" spans="2:17" hidden="1" outlineLevel="2">
      <c r="B2876" s="2" t="s">
        <v>876</v>
      </c>
      <c r="D2876" s="270">
        <v>4702</v>
      </c>
      <c r="E2876" s="112" t="s">
        <v>212</v>
      </c>
      <c r="F2876" s="112" t="s">
        <v>3303</v>
      </c>
      <c r="G2876" s="112" t="s">
        <v>1493</v>
      </c>
      <c r="H2876" s="112" t="s">
        <v>1533</v>
      </c>
      <c r="I2876" s="112"/>
      <c r="J2876" s="112" t="b">
        <v>0</v>
      </c>
      <c r="K2876" s="112" t="s">
        <v>1552</v>
      </c>
      <c r="L2876" s="112" t="b">
        <v>1</v>
      </c>
      <c r="M2876" s="112"/>
      <c r="N2876" s="112"/>
      <c r="O2876" s="112"/>
      <c r="P2876" s="112" t="s">
        <v>1485</v>
      </c>
      <c r="Q2876" s="112" t="s">
        <v>1228</v>
      </c>
    </row>
    <row r="2877" spans="2:17" hidden="1" outlineLevel="2">
      <c r="B2877" s="2" t="s">
        <v>876</v>
      </c>
      <c r="D2877" s="270">
        <v>4702</v>
      </c>
      <c r="E2877" s="112" t="s">
        <v>212</v>
      </c>
      <c r="F2877" s="112" t="s">
        <v>3304</v>
      </c>
      <c r="G2877" s="112" t="s">
        <v>1493</v>
      </c>
      <c r="H2877" s="112" t="s">
        <v>1533</v>
      </c>
      <c r="I2877" s="112"/>
      <c r="J2877" s="112" t="b">
        <v>0</v>
      </c>
      <c r="K2877" s="112" t="s">
        <v>1552</v>
      </c>
      <c r="L2877" s="112" t="b">
        <v>1</v>
      </c>
      <c r="M2877" s="112"/>
      <c r="N2877" s="112"/>
      <c r="O2877" s="112"/>
      <c r="P2877" s="112" t="s">
        <v>1485</v>
      </c>
      <c r="Q2877" s="112" t="s">
        <v>1228</v>
      </c>
    </row>
    <row r="2878" spans="2:17" hidden="1" outlineLevel="2">
      <c r="B2878" s="2" t="s">
        <v>876</v>
      </c>
      <c r="D2878" s="270">
        <v>4702</v>
      </c>
      <c r="E2878" s="112" t="s">
        <v>212</v>
      </c>
      <c r="F2878" s="112" t="s">
        <v>3305</v>
      </c>
      <c r="G2878" s="112" t="s">
        <v>1533</v>
      </c>
      <c r="H2878" s="112" t="s">
        <v>1533</v>
      </c>
      <c r="I2878" s="112"/>
      <c r="J2878" s="112" t="b">
        <v>1</v>
      </c>
      <c r="K2878" s="112" t="s">
        <v>1552</v>
      </c>
      <c r="L2878" s="112" t="b">
        <v>1</v>
      </c>
      <c r="M2878" s="112"/>
      <c r="N2878" s="112"/>
      <c r="O2878" s="112"/>
      <c r="P2878" s="112" t="s">
        <v>1485</v>
      </c>
      <c r="Q2878" s="112" t="s">
        <v>1228</v>
      </c>
    </row>
    <row r="2879" spans="2:17" hidden="1" outlineLevel="2">
      <c r="B2879" s="2" t="s">
        <v>876</v>
      </c>
      <c r="D2879" s="270">
        <v>4702</v>
      </c>
      <c r="E2879" s="112" t="s">
        <v>212</v>
      </c>
      <c r="F2879" s="112" t="s">
        <v>3306</v>
      </c>
      <c r="G2879" s="112" t="s">
        <v>1493</v>
      </c>
      <c r="H2879" s="112" t="s">
        <v>1533</v>
      </c>
      <c r="I2879" s="112"/>
      <c r="J2879" s="112" t="b">
        <v>0</v>
      </c>
      <c r="K2879" s="112" t="s">
        <v>1552</v>
      </c>
      <c r="L2879" s="112" t="b">
        <v>1</v>
      </c>
      <c r="M2879" s="112"/>
      <c r="N2879" s="112"/>
      <c r="O2879" s="112"/>
      <c r="P2879" s="112" t="s">
        <v>1485</v>
      </c>
      <c r="Q2879" s="112" t="s">
        <v>1228</v>
      </c>
    </row>
    <row r="2880" spans="2:17" hidden="1" outlineLevel="2">
      <c r="B2880" s="2" t="s">
        <v>876</v>
      </c>
      <c r="D2880" s="270">
        <v>4702</v>
      </c>
      <c r="E2880" s="112" t="s">
        <v>212</v>
      </c>
      <c r="F2880" s="112" t="s">
        <v>3307</v>
      </c>
      <c r="G2880" s="112" t="s">
        <v>1493</v>
      </c>
      <c r="H2880" s="112" t="s">
        <v>1533</v>
      </c>
      <c r="I2880" s="112"/>
      <c r="J2880" s="112" t="b">
        <v>0</v>
      </c>
      <c r="K2880" s="112" t="s">
        <v>1552</v>
      </c>
      <c r="L2880" s="112" t="b">
        <v>1</v>
      </c>
      <c r="M2880" s="112"/>
      <c r="N2880" s="112"/>
      <c r="O2880" s="112"/>
      <c r="P2880" s="112" t="s">
        <v>1485</v>
      </c>
      <c r="Q2880" s="112" t="s">
        <v>1228</v>
      </c>
    </row>
    <row r="2881" spans="2:17" hidden="1" outlineLevel="2">
      <c r="B2881" s="2" t="s">
        <v>876</v>
      </c>
      <c r="D2881" s="270">
        <v>4702</v>
      </c>
      <c r="E2881" s="112" t="s">
        <v>212</v>
      </c>
      <c r="F2881" s="112" t="s">
        <v>3308</v>
      </c>
      <c r="G2881" s="112" t="s">
        <v>1493</v>
      </c>
      <c r="H2881" s="112" t="s">
        <v>1533</v>
      </c>
      <c r="I2881" s="112"/>
      <c r="J2881" s="112" t="b">
        <v>0</v>
      </c>
      <c r="K2881" s="112" t="s">
        <v>1552</v>
      </c>
      <c r="L2881" s="112" t="b">
        <v>1</v>
      </c>
      <c r="M2881" s="112"/>
      <c r="N2881" s="112"/>
      <c r="O2881" s="112"/>
      <c r="P2881" s="112" t="s">
        <v>1485</v>
      </c>
      <c r="Q2881" s="112" t="s">
        <v>1228</v>
      </c>
    </row>
    <row r="2882" spans="2:17" hidden="1" outlineLevel="2">
      <c r="B2882" s="2" t="s">
        <v>876</v>
      </c>
      <c r="D2882" s="270">
        <v>4702</v>
      </c>
      <c r="E2882" s="112" t="s">
        <v>212</v>
      </c>
      <c r="F2882" s="112" t="s">
        <v>3309</v>
      </c>
      <c r="G2882" s="112" t="s">
        <v>1493</v>
      </c>
      <c r="H2882" s="112" t="s">
        <v>1533</v>
      </c>
      <c r="I2882" s="112"/>
      <c r="J2882" s="112" t="b">
        <v>0</v>
      </c>
      <c r="K2882" s="112" t="s">
        <v>1552</v>
      </c>
      <c r="L2882" s="112" t="b">
        <v>1</v>
      </c>
      <c r="M2882" s="112"/>
      <c r="N2882" s="112"/>
      <c r="O2882" s="112"/>
      <c r="P2882" s="112" t="s">
        <v>1485</v>
      </c>
      <c r="Q2882" s="112" t="s">
        <v>1228</v>
      </c>
    </row>
    <row r="2883" spans="2:17" hidden="1" outlineLevel="2">
      <c r="B2883" s="2" t="s">
        <v>876</v>
      </c>
      <c r="D2883" s="270">
        <v>4702</v>
      </c>
      <c r="E2883" s="112" t="s">
        <v>212</v>
      </c>
      <c r="F2883" s="112" t="s">
        <v>3310</v>
      </c>
      <c r="G2883" s="112" t="s">
        <v>1493</v>
      </c>
      <c r="H2883" s="112" t="s">
        <v>1533</v>
      </c>
      <c r="I2883" s="112"/>
      <c r="J2883" s="112" t="b">
        <v>0</v>
      </c>
      <c r="K2883" s="112" t="s">
        <v>1552</v>
      </c>
      <c r="L2883" s="112" t="b">
        <v>1</v>
      </c>
      <c r="M2883" s="112"/>
      <c r="N2883" s="112"/>
      <c r="O2883" s="112"/>
      <c r="P2883" s="112" t="s">
        <v>1485</v>
      </c>
      <c r="Q2883" s="112" t="s">
        <v>1228</v>
      </c>
    </row>
    <row r="2884" spans="2:17" hidden="1" outlineLevel="2">
      <c r="B2884" s="2" t="s">
        <v>876</v>
      </c>
      <c r="D2884" s="270">
        <v>4702</v>
      </c>
      <c r="E2884" s="112" t="s">
        <v>212</v>
      </c>
      <c r="F2884" s="112" t="s">
        <v>3311</v>
      </c>
      <c r="G2884" s="112" t="s">
        <v>1493</v>
      </c>
      <c r="H2884" s="112" t="s">
        <v>1533</v>
      </c>
      <c r="I2884" s="112"/>
      <c r="J2884" s="112" t="b">
        <v>0</v>
      </c>
      <c r="K2884" s="112" t="s">
        <v>1552</v>
      </c>
      <c r="L2884" s="112" t="b">
        <v>1</v>
      </c>
      <c r="M2884" s="112"/>
      <c r="N2884" s="112"/>
      <c r="O2884" s="112"/>
      <c r="P2884" s="112" t="s">
        <v>1485</v>
      </c>
      <c r="Q2884" s="112" t="s">
        <v>1228</v>
      </c>
    </row>
    <row r="2885" spans="2:17" hidden="1" outlineLevel="2">
      <c r="B2885" s="2" t="s">
        <v>876</v>
      </c>
      <c r="D2885" s="270">
        <v>4702</v>
      </c>
      <c r="E2885" s="112" t="s">
        <v>212</v>
      </c>
      <c r="F2885" s="112" t="s">
        <v>3312</v>
      </c>
      <c r="G2885" s="112" t="s">
        <v>1493</v>
      </c>
      <c r="H2885" s="112" t="s">
        <v>1533</v>
      </c>
      <c r="I2885" s="112"/>
      <c r="J2885" s="112" t="b">
        <v>0</v>
      </c>
      <c r="K2885" s="112" t="s">
        <v>1552</v>
      </c>
      <c r="L2885" s="112" t="b">
        <v>1</v>
      </c>
      <c r="M2885" s="112"/>
      <c r="N2885" s="112"/>
      <c r="O2885" s="112"/>
      <c r="P2885" s="112" t="s">
        <v>1485</v>
      </c>
      <c r="Q2885" s="112" t="s">
        <v>1228</v>
      </c>
    </row>
    <row r="2886" spans="2:17" hidden="1" outlineLevel="2">
      <c r="B2886" s="2" t="s">
        <v>876</v>
      </c>
      <c r="D2886" s="270">
        <v>4702</v>
      </c>
      <c r="E2886" s="112" t="s">
        <v>212</v>
      </c>
      <c r="F2886" s="112" t="s">
        <v>3313</v>
      </c>
      <c r="G2886" s="112" t="s">
        <v>1493</v>
      </c>
      <c r="H2886" s="112" t="s">
        <v>1533</v>
      </c>
      <c r="I2886" s="112"/>
      <c r="J2886" s="112" t="b">
        <v>0</v>
      </c>
      <c r="K2886" s="112" t="s">
        <v>1552</v>
      </c>
      <c r="L2886" s="112" t="b">
        <v>1</v>
      </c>
      <c r="M2886" s="112"/>
      <c r="N2886" s="112"/>
      <c r="O2886" s="112"/>
      <c r="P2886" s="112" t="s">
        <v>1485</v>
      </c>
      <c r="Q2886" s="112" t="s">
        <v>1228</v>
      </c>
    </row>
    <row r="2887" spans="2:17" hidden="1" outlineLevel="2">
      <c r="B2887" s="2" t="s">
        <v>876</v>
      </c>
      <c r="D2887" s="270">
        <v>4702</v>
      </c>
      <c r="E2887" s="112" t="s">
        <v>212</v>
      </c>
      <c r="F2887" s="112" t="s">
        <v>3314</v>
      </c>
      <c r="G2887" s="112" t="s">
        <v>1493</v>
      </c>
      <c r="H2887" s="112" t="s">
        <v>1533</v>
      </c>
      <c r="I2887" s="112"/>
      <c r="J2887" s="112" t="b">
        <v>0</v>
      </c>
      <c r="K2887" s="112" t="s">
        <v>1552</v>
      </c>
      <c r="L2887" s="112" t="b">
        <v>1</v>
      </c>
      <c r="M2887" s="112"/>
      <c r="N2887" s="112"/>
      <c r="O2887" s="112"/>
      <c r="P2887" s="112" t="s">
        <v>1485</v>
      </c>
      <c r="Q2887" s="112" t="s">
        <v>1228</v>
      </c>
    </row>
    <row r="2888" spans="2:17" hidden="1" outlineLevel="2">
      <c r="B2888" s="2" t="s">
        <v>876</v>
      </c>
      <c r="D2888" s="270">
        <v>4702</v>
      </c>
      <c r="E2888" s="112" t="s">
        <v>212</v>
      </c>
      <c r="F2888" s="112" t="s">
        <v>3315</v>
      </c>
      <c r="G2888" s="112" t="s">
        <v>1493</v>
      </c>
      <c r="H2888" s="112" t="s">
        <v>1533</v>
      </c>
      <c r="I2888" s="112"/>
      <c r="J2888" s="112" t="b">
        <v>0</v>
      </c>
      <c r="K2888" s="112" t="s">
        <v>1552</v>
      </c>
      <c r="L2888" s="112" t="b">
        <v>1</v>
      </c>
      <c r="M2888" s="112"/>
      <c r="N2888" s="112"/>
      <c r="O2888" s="112"/>
      <c r="P2888" s="112" t="s">
        <v>1485</v>
      </c>
      <c r="Q2888" s="112" t="s">
        <v>1228</v>
      </c>
    </row>
    <row r="2889" spans="2:17" hidden="1" outlineLevel="2">
      <c r="B2889" s="2" t="s">
        <v>876</v>
      </c>
      <c r="D2889" s="270">
        <v>4702</v>
      </c>
      <c r="E2889" s="112" t="s">
        <v>212</v>
      </c>
      <c r="F2889" s="112" t="s">
        <v>3316</v>
      </c>
      <c r="G2889" s="112" t="s">
        <v>1493</v>
      </c>
      <c r="H2889" s="112" t="s">
        <v>1533</v>
      </c>
      <c r="I2889" s="112"/>
      <c r="J2889" s="112" t="b">
        <v>0</v>
      </c>
      <c r="K2889" s="112" t="s">
        <v>1552</v>
      </c>
      <c r="L2889" s="112" t="b">
        <v>1</v>
      </c>
      <c r="M2889" s="112"/>
      <c r="N2889" s="112"/>
      <c r="O2889" s="112"/>
      <c r="P2889" s="112" t="s">
        <v>1485</v>
      </c>
      <c r="Q2889" s="112" t="s">
        <v>1228</v>
      </c>
    </row>
    <row r="2890" spans="2:17" hidden="1" outlineLevel="2">
      <c r="B2890" s="2" t="s">
        <v>876</v>
      </c>
      <c r="D2890" s="268">
        <v>4703</v>
      </c>
      <c r="E2890" s="114" t="s">
        <v>212</v>
      </c>
      <c r="F2890" s="114" t="s">
        <v>3317</v>
      </c>
      <c r="G2890" s="114" t="s">
        <v>1483</v>
      </c>
      <c r="H2890" s="114" t="s">
        <v>1494</v>
      </c>
      <c r="I2890" s="114"/>
      <c r="J2890" s="114" t="b">
        <v>0</v>
      </c>
      <c r="K2890" s="114"/>
      <c r="L2890" s="114"/>
      <c r="M2890" s="114"/>
      <c r="N2890" s="114"/>
      <c r="O2890" s="114"/>
      <c r="P2890" s="114" t="s">
        <v>1485</v>
      </c>
      <c r="Q2890" s="114" t="s">
        <v>1228</v>
      </c>
    </row>
    <row r="2891" spans="2:17" hidden="1" outlineLevel="2">
      <c r="B2891" s="2" t="s">
        <v>876</v>
      </c>
      <c r="D2891" s="270">
        <v>4704</v>
      </c>
      <c r="E2891" s="112" t="s">
        <v>212</v>
      </c>
      <c r="F2891" s="112" t="s">
        <v>3318</v>
      </c>
      <c r="G2891" s="112" t="s">
        <v>1512</v>
      </c>
      <c r="H2891" s="112" t="s">
        <v>1505</v>
      </c>
      <c r="I2891" s="112"/>
      <c r="J2891" s="112" t="b">
        <v>0</v>
      </c>
      <c r="K2891" s="112"/>
      <c r="L2891" s="112"/>
      <c r="M2891" s="112"/>
      <c r="N2891" s="112"/>
      <c r="O2891" s="112"/>
      <c r="P2891" s="112" t="s">
        <v>1485</v>
      </c>
      <c r="Q2891" s="112" t="s">
        <v>1228</v>
      </c>
    </row>
    <row r="2892" spans="2:17" hidden="1" outlineLevel="2">
      <c r="B2892" s="2" t="s">
        <v>876</v>
      </c>
      <c r="D2892" s="268">
        <v>4705</v>
      </c>
      <c r="E2892" s="114" t="s">
        <v>212</v>
      </c>
      <c r="F2892" s="114" t="s">
        <v>3319</v>
      </c>
      <c r="G2892" s="114" t="s">
        <v>1512</v>
      </c>
      <c r="H2892" s="114" t="s">
        <v>1505</v>
      </c>
      <c r="I2892" s="114"/>
      <c r="J2892" s="114" t="b">
        <v>0</v>
      </c>
      <c r="K2892" s="114"/>
      <c r="L2892" s="114" t="b">
        <v>1</v>
      </c>
      <c r="M2892" s="114"/>
      <c r="N2892" s="114"/>
      <c r="O2892" s="114"/>
      <c r="P2892" s="114" t="s">
        <v>1485</v>
      </c>
      <c r="Q2892" s="114" t="s">
        <v>1228</v>
      </c>
    </row>
    <row r="2893" spans="2:17" hidden="1" outlineLevel="2">
      <c r="B2893" s="2" t="s">
        <v>876</v>
      </c>
      <c r="D2893" s="270">
        <v>4706</v>
      </c>
      <c r="E2893" s="112" t="s">
        <v>212</v>
      </c>
      <c r="F2893" s="112" t="s">
        <v>3320</v>
      </c>
      <c r="G2893" s="112" t="s">
        <v>1512</v>
      </c>
      <c r="H2893" s="112" t="s">
        <v>1505</v>
      </c>
      <c r="I2893" s="112"/>
      <c r="J2893" s="112" t="b">
        <v>0</v>
      </c>
      <c r="K2893" s="112"/>
      <c r="L2893" s="112"/>
      <c r="M2893" s="112"/>
      <c r="N2893" s="112"/>
      <c r="O2893" s="112"/>
      <c r="P2893" s="112" t="s">
        <v>1485</v>
      </c>
      <c r="Q2893" s="112" t="s">
        <v>1228</v>
      </c>
    </row>
    <row r="2894" spans="2:17" hidden="1" outlineLevel="2">
      <c r="B2894" s="2" t="s">
        <v>876</v>
      </c>
      <c r="D2894" s="268">
        <v>4707</v>
      </c>
      <c r="E2894" s="114" t="s">
        <v>212</v>
      </c>
      <c r="F2894" s="114" t="s">
        <v>1636</v>
      </c>
      <c r="G2894" s="114" t="s">
        <v>1512</v>
      </c>
      <c r="H2894" s="114" t="s">
        <v>1505</v>
      </c>
      <c r="I2894" s="114"/>
      <c r="J2894" s="114" t="b">
        <v>0</v>
      </c>
      <c r="K2894" s="114"/>
      <c r="L2894" s="114"/>
      <c r="M2894" s="114"/>
      <c r="N2894" s="114"/>
      <c r="O2894" s="114"/>
      <c r="P2894" s="114" t="s">
        <v>1485</v>
      </c>
      <c r="Q2894" s="114" t="s">
        <v>1228</v>
      </c>
    </row>
    <row r="2895" spans="2:17" hidden="1" outlineLevel="2">
      <c r="B2895" s="2" t="s">
        <v>876</v>
      </c>
      <c r="D2895" s="270">
        <v>4709</v>
      </c>
      <c r="E2895" s="112" t="s">
        <v>212</v>
      </c>
      <c r="F2895" s="112" t="s">
        <v>3321</v>
      </c>
      <c r="G2895" s="112" t="s">
        <v>1533</v>
      </c>
      <c r="H2895" s="112" t="s">
        <v>1533</v>
      </c>
      <c r="I2895" s="112"/>
      <c r="J2895" s="112" t="b">
        <v>1</v>
      </c>
      <c r="K2895" s="112" t="s">
        <v>1552</v>
      </c>
      <c r="L2895" s="112" t="b">
        <v>1</v>
      </c>
      <c r="M2895" s="112"/>
      <c r="N2895" s="112"/>
      <c r="O2895" s="112"/>
      <c r="P2895" s="112" t="s">
        <v>1485</v>
      </c>
      <c r="Q2895" s="112" t="s">
        <v>1228</v>
      </c>
    </row>
    <row r="2896" spans="2:17" hidden="1" outlineLevel="2">
      <c r="B2896" s="2" t="s">
        <v>876</v>
      </c>
      <c r="D2896" s="268">
        <v>4710</v>
      </c>
      <c r="E2896" s="114" t="s">
        <v>212</v>
      </c>
      <c r="F2896" s="114" t="s">
        <v>3322</v>
      </c>
      <c r="G2896" s="114" t="s">
        <v>1493</v>
      </c>
      <c r="H2896" s="114" t="s">
        <v>1494</v>
      </c>
      <c r="I2896" s="114"/>
      <c r="J2896" s="114" t="b">
        <v>0</v>
      </c>
      <c r="K2896" s="114"/>
      <c r="L2896" s="114"/>
      <c r="M2896" s="114"/>
      <c r="N2896" s="114"/>
      <c r="O2896" s="114"/>
      <c r="P2896" s="114" t="s">
        <v>1485</v>
      </c>
      <c r="Q2896" s="114" t="s">
        <v>1228</v>
      </c>
    </row>
    <row r="2897" spans="2:17" hidden="1" outlineLevel="2">
      <c r="B2897" s="2" t="s">
        <v>876</v>
      </c>
      <c r="D2897" s="270">
        <v>4711</v>
      </c>
      <c r="E2897" s="112" t="s">
        <v>212</v>
      </c>
      <c r="F2897" s="112" t="s">
        <v>3323</v>
      </c>
      <c r="G2897" s="112" t="s">
        <v>1493</v>
      </c>
      <c r="H2897" s="112" t="s">
        <v>1505</v>
      </c>
      <c r="I2897" s="112"/>
      <c r="J2897" s="112" t="b">
        <v>0</v>
      </c>
      <c r="K2897" s="112"/>
      <c r="L2897" s="112"/>
      <c r="M2897" s="112"/>
      <c r="N2897" s="112"/>
      <c r="O2897" s="112"/>
      <c r="P2897" s="112" t="s">
        <v>1485</v>
      </c>
      <c r="Q2897" s="112" t="s">
        <v>1228</v>
      </c>
    </row>
    <row r="2898" spans="2:17" hidden="1" outlineLevel="2">
      <c r="B2898" s="2" t="s">
        <v>876</v>
      </c>
      <c r="D2898" s="268">
        <v>4712</v>
      </c>
      <c r="E2898" s="114" t="s">
        <v>212</v>
      </c>
      <c r="F2898" s="114" t="s">
        <v>3324</v>
      </c>
      <c r="G2898" s="114" t="s">
        <v>1512</v>
      </c>
      <c r="H2898" s="114" t="s">
        <v>1505</v>
      </c>
      <c r="I2898" s="114"/>
      <c r="J2898" s="114" t="b">
        <v>0</v>
      </c>
      <c r="K2898" s="114"/>
      <c r="L2898" s="114"/>
      <c r="M2898" s="114"/>
      <c r="N2898" s="114"/>
      <c r="O2898" s="114"/>
      <c r="P2898" s="114" t="s">
        <v>1485</v>
      </c>
      <c r="Q2898" s="114" t="s">
        <v>1228</v>
      </c>
    </row>
    <row r="2899" spans="2:17" hidden="1" outlineLevel="2">
      <c r="B2899" s="2" t="s">
        <v>876</v>
      </c>
      <c r="D2899" s="270">
        <v>4713</v>
      </c>
      <c r="E2899" s="112" t="s">
        <v>212</v>
      </c>
      <c r="F2899" s="112" t="s">
        <v>3325</v>
      </c>
      <c r="G2899" s="112" t="s">
        <v>1512</v>
      </c>
      <c r="H2899" s="112" t="s">
        <v>1505</v>
      </c>
      <c r="I2899" s="112"/>
      <c r="J2899" s="112" t="b">
        <v>0</v>
      </c>
      <c r="K2899" s="112"/>
      <c r="L2899" s="112" t="b">
        <v>1</v>
      </c>
      <c r="M2899" s="112"/>
      <c r="N2899" s="112"/>
      <c r="O2899" s="112"/>
      <c r="P2899" s="112" t="s">
        <v>1485</v>
      </c>
      <c r="Q2899" s="112" t="s">
        <v>1228</v>
      </c>
    </row>
    <row r="2900" spans="2:17" hidden="1" outlineLevel="2">
      <c r="B2900" s="2" t="s">
        <v>876</v>
      </c>
      <c r="D2900" s="268">
        <v>4714</v>
      </c>
      <c r="E2900" s="114" t="s">
        <v>212</v>
      </c>
      <c r="F2900" s="114" t="s">
        <v>3326</v>
      </c>
      <c r="G2900" s="114" t="s">
        <v>1512</v>
      </c>
      <c r="H2900" s="114" t="s">
        <v>1505</v>
      </c>
      <c r="I2900" s="114"/>
      <c r="J2900" s="114" t="b">
        <v>0</v>
      </c>
      <c r="K2900" s="114" t="s">
        <v>1484</v>
      </c>
      <c r="L2900" s="114" t="b">
        <v>1</v>
      </c>
      <c r="M2900" s="114"/>
      <c r="N2900" s="114"/>
      <c r="O2900" s="114"/>
      <c r="P2900" s="114" t="s">
        <v>1485</v>
      </c>
      <c r="Q2900" s="114" t="s">
        <v>1228</v>
      </c>
    </row>
    <row r="2901" spans="2:17" hidden="1" outlineLevel="2">
      <c r="B2901" s="2" t="s">
        <v>876</v>
      </c>
      <c r="D2901" s="270">
        <v>4715</v>
      </c>
      <c r="E2901" s="112" t="s">
        <v>212</v>
      </c>
      <c r="F2901" s="112" t="s">
        <v>3327</v>
      </c>
      <c r="G2901" s="691" t="s">
        <v>1493</v>
      </c>
      <c r="H2901" s="112" t="s">
        <v>1505</v>
      </c>
      <c r="I2901" s="112"/>
      <c r="J2901" s="505" t="b">
        <v>0</v>
      </c>
      <c r="K2901" s="112"/>
      <c r="L2901" s="112"/>
      <c r="M2901" s="112"/>
      <c r="N2901" s="112"/>
      <c r="O2901" s="112"/>
      <c r="P2901" s="112" t="s">
        <v>1485</v>
      </c>
      <c r="Q2901" s="112" t="s">
        <v>1228</v>
      </c>
    </row>
    <row r="2902" spans="2:17" hidden="1" outlineLevel="2">
      <c r="B2902" s="2" t="s">
        <v>876</v>
      </c>
      <c r="D2902" s="268">
        <v>4716</v>
      </c>
      <c r="E2902" s="114" t="s">
        <v>212</v>
      </c>
      <c r="F2902" s="114" t="s">
        <v>3328</v>
      </c>
      <c r="G2902" s="114" t="s">
        <v>1512</v>
      </c>
      <c r="H2902" s="114" t="s">
        <v>1505</v>
      </c>
      <c r="I2902" s="114"/>
      <c r="J2902" s="114" t="b">
        <v>0</v>
      </c>
      <c r="K2902" s="114"/>
      <c r="L2902" s="114"/>
      <c r="M2902" s="114"/>
      <c r="N2902" s="114"/>
      <c r="O2902" s="114"/>
      <c r="P2902" s="114" t="s">
        <v>1485</v>
      </c>
      <c r="Q2902" s="114" t="s">
        <v>1228</v>
      </c>
    </row>
    <row r="2903" spans="2:17" hidden="1" outlineLevel="2">
      <c r="B2903" s="2" t="s">
        <v>876</v>
      </c>
      <c r="D2903" s="270">
        <v>4717</v>
      </c>
      <c r="E2903" s="112" t="s">
        <v>212</v>
      </c>
      <c r="F2903" s="112" t="s">
        <v>3329</v>
      </c>
      <c r="G2903" s="112" t="s">
        <v>1533</v>
      </c>
      <c r="H2903" s="112" t="s">
        <v>1533</v>
      </c>
      <c r="I2903" s="112"/>
      <c r="J2903" s="112" t="b">
        <v>1</v>
      </c>
      <c r="K2903" s="112" t="s">
        <v>1552</v>
      </c>
      <c r="L2903" s="112" t="b">
        <v>1</v>
      </c>
      <c r="M2903" s="112"/>
      <c r="N2903" s="112"/>
      <c r="O2903" s="112"/>
      <c r="P2903" s="112" t="s">
        <v>1485</v>
      </c>
      <c r="Q2903" s="112" t="s">
        <v>1228</v>
      </c>
    </row>
    <row r="2904" spans="2:17" hidden="1" outlineLevel="2">
      <c r="B2904" s="2" t="s">
        <v>876</v>
      </c>
      <c r="D2904" s="268">
        <v>4718</v>
      </c>
      <c r="E2904" s="114" t="s">
        <v>212</v>
      </c>
      <c r="F2904" s="114" t="s">
        <v>3330</v>
      </c>
      <c r="G2904" s="505" t="s">
        <v>1512</v>
      </c>
      <c r="H2904" s="114" t="s">
        <v>1505</v>
      </c>
      <c r="I2904" s="114"/>
      <c r="J2904" s="505" t="b">
        <v>0</v>
      </c>
      <c r="K2904" s="505"/>
      <c r="L2904" s="114" t="b">
        <v>1</v>
      </c>
      <c r="M2904" s="114"/>
      <c r="N2904" s="114"/>
      <c r="O2904" s="114"/>
      <c r="P2904" s="114" t="s">
        <v>1485</v>
      </c>
      <c r="Q2904" s="114" t="s">
        <v>1228</v>
      </c>
    </row>
    <row r="2905" spans="2:17" hidden="1" outlineLevel="2">
      <c r="B2905" s="2" t="s">
        <v>876</v>
      </c>
      <c r="D2905" s="270">
        <v>4719</v>
      </c>
      <c r="E2905" s="112" t="s">
        <v>212</v>
      </c>
      <c r="F2905" s="112" t="s">
        <v>3331</v>
      </c>
      <c r="G2905" s="112" t="s">
        <v>1533</v>
      </c>
      <c r="H2905" s="112" t="s">
        <v>1533</v>
      </c>
      <c r="I2905" s="112"/>
      <c r="J2905" s="112" t="b">
        <v>1</v>
      </c>
      <c r="K2905" s="112" t="s">
        <v>1552</v>
      </c>
      <c r="L2905" s="112" t="b">
        <v>1</v>
      </c>
      <c r="M2905" s="112"/>
      <c r="N2905" s="112"/>
      <c r="O2905" s="112"/>
      <c r="P2905" s="112" t="s">
        <v>1485</v>
      </c>
      <c r="Q2905" s="112" t="s">
        <v>1228</v>
      </c>
    </row>
    <row r="2906" spans="2:17" hidden="1" outlineLevel="2">
      <c r="B2906" s="2" t="s">
        <v>876</v>
      </c>
      <c r="D2906" s="268">
        <v>4720</v>
      </c>
      <c r="E2906" s="114" t="s">
        <v>212</v>
      </c>
      <c r="F2906" s="114" t="s">
        <v>3332</v>
      </c>
      <c r="G2906" s="691" t="s">
        <v>1493</v>
      </c>
      <c r="H2906" s="114" t="s">
        <v>1494</v>
      </c>
      <c r="I2906" s="114"/>
      <c r="J2906" s="114" t="b">
        <v>0</v>
      </c>
      <c r="K2906" s="114" t="s">
        <v>1484</v>
      </c>
      <c r="L2906" s="114" t="b">
        <v>1</v>
      </c>
      <c r="M2906" s="114"/>
      <c r="N2906" s="114"/>
      <c r="O2906" s="114"/>
      <c r="P2906" s="114" t="s">
        <v>1485</v>
      </c>
      <c r="Q2906" s="114" t="s">
        <v>1228</v>
      </c>
    </row>
    <row r="2907" spans="2:17" hidden="1" outlineLevel="2">
      <c r="B2907" s="2" t="s">
        <v>876</v>
      </c>
      <c r="D2907" s="270">
        <v>4721</v>
      </c>
      <c r="E2907" s="112" t="s">
        <v>212</v>
      </c>
      <c r="F2907" s="112" t="s">
        <v>3333</v>
      </c>
      <c r="G2907" s="112" t="s">
        <v>1512</v>
      </c>
      <c r="H2907" s="112" t="s">
        <v>1533</v>
      </c>
      <c r="I2907" s="112"/>
      <c r="J2907" s="112" t="b">
        <v>0</v>
      </c>
      <c r="K2907" s="112" t="s">
        <v>1552</v>
      </c>
      <c r="L2907" s="112" t="b">
        <v>1</v>
      </c>
      <c r="M2907" s="112"/>
      <c r="N2907" s="112"/>
      <c r="O2907" s="112"/>
      <c r="P2907" s="112" t="s">
        <v>1485</v>
      </c>
      <c r="Q2907" s="112" t="s">
        <v>1228</v>
      </c>
    </row>
    <row r="2908" spans="2:17" hidden="1" outlineLevel="2">
      <c r="B2908" s="2" t="s">
        <v>876</v>
      </c>
      <c r="D2908" s="268">
        <v>4722</v>
      </c>
      <c r="E2908" s="114" t="s">
        <v>212</v>
      </c>
      <c r="F2908" s="114" t="s">
        <v>2706</v>
      </c>
      <c r="G2908" s="114" t="s">
        <v>1533</v>
      </c>
      <c r="H2908" s="114" t="s">
        <v>1505</v>
      </c>
      <c r="I2908" s="114"/>
      <c r="J2908" s="114" t="b">
        <v>1</v>
      </c>
      <c r="K2908" s="114"/>
      <c r="L2908" s="114"/>
      <c r="M2908" s="114"/>
      <c r="N2908" s="114"/>
      <c r="O2908" s="114"/>
      <c r="P2908" s="114" t="s">
        <v>1485</v>
      </c>
      <c r="Q2908" s="114" t="s">
        <v>1228</v>
      </c>
    </row>
    <row r="2909" spans="2:17" hidden="1" outlineLevel="2">
      <c r="B2909" s="2" t="s">
        <v>876</v>
      </c>
      <c r="D2909" s="270">
        <v>4723</v>
      </c>
      <c r="E2909" s="112" t="s">
        <v>212</v>
      </c>
      <c r="F2909" s="112" t="s">
        <v>3334</v>
      </c>
      <c r="G2909" s="221" t="s">
        <v>1512</v>
      </c>
      <c r="H2909" s="112" t="s">
        <v>1505</v>
      </c>
      <c r="I2909" s="112"/>
      <c r="J2909" s="112" t="b">
        <v>0</v>
      </c>
      <c r="K2909" s="112"/>
      <c r="L2909" s="112"/>
      <c r="M2909" s="112"/>
      <c r="N2909" s="112"/>
      <c r="O2909" s="112"/>
      <c r="P2909" s="112" t="s">
        <v>1485</v>
      </c>
      <c r="Q2909" s="112" t="s">
        <v>1228</v>
      </c>
    </row>
    <row r="2910" spans="2:17" hidden="1" outlineLevel="2">
      <c r="B2910" s="2" t="s">
        <v>876</v>
      </c>
      <c r="D2910" s="268">
        <v>4724</v>
      </c>
      <c r="E2910" s="114" t="s">
        <v>212</v>
      </c>
      <c r="F2910" s="114" t="s">
        <v>3335</v>
      </c>
      <c r="G2910" s="114" t="s">
        <v>1512</v>
      </c>
      <c r="H2910" s="114" t="s">
        <v>1512</v>
      </c>
      <c r="I2910" s="114"/>
      <c r="J2910" s="114" t="b">
        <v>0</v>
      </c>
      <c r="K2910" s="114"/>
      <c r="L2910" s="114"/>
      <c r="M2910" s="114"/>
      <c r="N2910" s="114"/>
      <c r="O2910" s="114"/>
      <c r="P2910" s="114" t="s">
        <v>1485</v>
      </c>
      <c r="Q2910" s="114" t="s">
        <v>1228</v>
      </c>
    </row>
    <row r="2911" spans="2:17" hidden="1" outlineLevel="2">
      <c r="B2911" s="2" t="s">
        <v>876</v>
      </c>
      <c r="D2911" s="270">
        <v>4725</v>
      </c>
      <c r="E2911" s="112" t="s">
        <v>212</v>
      </c>
      <c r="F2911" s="112" t="s">
        <v>3336</v>
      </c>
      <c r="G2911" s="112" t="s">
        <v>1512</v>
      </c>
      <c r="H2911" s="112" t="s">
        <v>1505</v>
      </c>
      <c r="I2911" s="112"/>
      <c r="J2911" s="112" t="b">
        <v>0</v>
      </c>
      <c r="K2911" s="112"/>
      <c r="L2911" s="112"/>
      <c r="M2911" s="112"/>
      <c r="N2911" s="112"/>
      <c r="O2911" s="112"/>
      <c r="P2911" s="112" t="s">
        <v>1485</v>
      </c>
      <c r="Q2911" s="112" t="s">
        <v>1228</v>
      </c>
    </row>
    <row r="2912" spans="2:17" hidden="1" outlineLevel="2">
      <c r="B2912" s="2" t="s">
        <v>876</v>
      </c>
      <c r="D2912" s="268">
        <v>4726</v>
      </c>
      <c r="E2912" s="114" t="s">
        <v>212</v>
      </c>
      <c r="F2912" s="114" t="s">
        <v>3337</v>
      </c>
      <c r="G2912" s="114" t="s">
        <v>1512</v>
      </c>
      <c r="H2912" s="114" t="s">
        <v>1505</v>
      </c>
      <c r="I2912" s="114"/>
      <c r="J2912" s="114" t="b">
        <v>0</v>
      </c>
      <c r="K2912" s="114"/>
      <c r="L2912" s="114"/>
      <c r="M2912" s="114"/>
      <c r="N2912" s="114"/>
      <c r="O2912" s="114"/>
      <c r="P2912" s="114" t="s">
        <v>1485</v>
      </c>
      <c r="Q2912" s="114" t="s">
        <v>1228</v>
      </c>
    </row>
    <row r="2913" spans="2:17" hidden="1" outlineLevel="2">
      <c r="B2913" s="2" t="s">
        <v>876</v>
      </c>
      <c r="D2913" s="270">
        <v>4727</v>
      </c>
      <c r="E2913" s="112" t="s">
        <v>212</v>
      </c>
      <c r="F2913" s="112" t="s">
        <v>3338</v>
      </c>
      <c r="G2913" s="112" t="s">
        <v>1512</v>
      </c>
      <c r="H2913" s="112" t="s">
        <v>1505</v>
      </c>
      <c r="I2913" s="112"/>
      <c r="J2913" s="112" t="b">
        <v>0</v>
      </c>
      <c r="K2913" s="112"/>
      <c r="L2913" s="112" t="b">
        <v>1</v>
      </c>
      <c r="M2913" s="112"/>
      <c r="N2913" s="112"/>
      <c r="O2913" s="112"/>
      <c r="P2913" s="112" t="s">
        <v>1485</v>
      </c>
      <c r="Q2913" s="112" t="s">
        <v>1228</v>
      </c>
    </row>
    <row r="2914" spans="2:17" hidden="1" outlineLevel="2">
      <c r="B2914" s="2" t="s">
        <v>876</v>
      </c>
      <c r="D2914" s="268">
        <v>4728</v>
      </c>
      <c r="E2914" s="114" t="s">
        <v>212</v>
      </c>
      <c r="F2914" s="114" t="s">
        <v>3339</v>
      </c>
      <c r="G2914" s="114" t="s">
        <v>1512</v>
      </c>
      <c r="H2914" s="114" t="s">
        <v>1505</v>
      </c>
      <c r="I2914" s="114"/>
      <c r="J2914" s="114" t="b">
        <v>0</v>
      </c>
      <c r="K2914" s="114"/>
      <c r="L2914" s="114"/>
      <c r="M2914" s="114"/>
      <c r="N2914" s="114"/>
      <c r="O2914" s="114"/>
      <c r="P2914" s="114" t="s">
        <v>1485</v>
      </c>
      <c r="Q2914" s="114" t="s">
        <v>1228</v>
      </c>
    </row>
    <row r="2915" spans="2:17" hidden="1" outlineLevel="2">
      <c r="B2915" s="2" t="s">
        <v>876</v>
      </c>
      <c r="D2915" s="270">
        <v>4730</v>
      </c>
      <c r="E2915" s="112" t="s">
        <v>212</v>
      </c>
      <c r="F2915" s="112" t="s">
        <v>3340</v>
      </c>
      <c r="G2915" s="112" t="s">
        <v>1493</v>
      </c>
      <c r="H2915" s="112" t="s">
        <v>1505</v>
      </c>
      <c r="I2915" s="112"/>
      <c r="J2915" s="112" t="b">
        <v>0</v>
      </c>
      <c r="K2915" s="112"/>
      <c r="L2915" s="112" t="b">
        <v>1</v>
      </c>
      <c r="M2915" s="112"/>
      <c r="N2915" s="112"/>
      <c r="O2915" s="112"/>
      <c r="P2915" s="112" t="s">
        <v>1485</v>
      </c>
      <c r="Q2915" s="112" t="s">
        <v>1228</v>
      </c>
    </row>
    <row r="2916" spans="2:17" hidden="1" outlineLevel="2">
      <c r="B2916" s="2" t="s">
        <v>876</v>
      </c>
      <c r="D2916" s="268">
        <v>4731</v>
      </c>
      <c r="E2916" s="114" t="s">
        <v>212</v>
      </c>
      <c r="F2916" s="114" t="s">
        <v>3341</v>
      </c>
      <c r="G2916" s="114" t="s">
        <v>1512</v>
      </c>
      <c r="H2916" s="114" t="s">
        <v>1505</v>
      </c>
      <c r="I2916" s="114"/>
      <c r="J2916" s="114" t="b">
        <v>0</v>
      </c>
      <c r="K2916" s="114"/>
      <c r="L2916" s="114"/>
      <c r="M2916" s="114"/>
      <c r="N2916" s="114"/>
      <c r="O2916" s="114"/>
      <c r="P2916" s="114" t="s">
        <v>1485</v>
      </c>
      <c r="Q2916" s="114" t="s">
        <v>1228</v>
      </c>
    </row>
    <row r="2917" spans="2:17" hidden="1" outlineLevel="2">
      <c r="B2917" s="2" t="s">
        <v>876</v>
      </c>
      <c r="D2917" s="270">
        <v>4732</v>
      </c>
      <c r="E2917" s="112" t="s">
        <v>212</v>
      </c>
      <c r="F2917" s="112" t="s">
        <v>3342</v>
      </c>
      <c r="G2917" s="112" t="s">
        <v>1512</v>
      </c>
      <c r="H2917" s="112" t="s">
        <v>1505</v>
      </c>
      <c r="I2917" s="112"/>
      <c r="J2917" s="112" t="b">
        <v>0</v>
      </c>
      <c r="K2917" s="112"/>
      <c r="L2917" s="112"/>
      <c r="M2917" s="112"/>
      <c r="N2917" s="112"/>
      <c r="O2917" s="112"/>
      <c r="P2917" s="112" t="s">
        <v>1485</v>
      </c>
      <c r="Q2917" s="112" t="s">
        <v>1228</v>
      </c>
    </row>
    <row r="2918" spans="2:17" hidden="1" outlineLevel="2">
      <c r="B2918" s="2" t="s">
        <v>876</v>
      </c>
      <c r="D2918" s="268">
        <v>4733</v>
      </c>
      <c r="E2918" s="114" t="s">
        <v>212</v>
      </c>
      <c r="F2918" s="114" t="s">
        <v>3343</v>
      </c>
      <c r="G2918" s="114" t="s">
        <v>1512</v>
      </c>
      <c r="H2918" s="114" t="s">
        <v>1505</v>
      </c>
      <c r="I2918" s="114"/>
      <c r="J2918" s="114" t="b">
        <v>0</v>
      </c>
      <c r="K2918" s="114"/>
      <c r="L2918" s="114"/>
      <c r="M2918" s="114"/>
      <c r="N2918" s="114"/>
      <c r="O2918" s="114"/>
      <c r="P2918" s="114" t="s">
        <v>1485</v>
      </c>
      <c r="Q2918" s="114" t="s">
        <v>1228</v>
      </c>
    </row>
    <row r="2919" spans="2:17" hidden="1" outlineLevel="2">
      <c r="B2919" s="2" t="s">
        <v>876</v>
      </c>
      <c r="D2919" s="270">
        <v>4735</v>
      </c>
      <c r="E2919" s="112" t="s">
        <v>212</v>
      </c>
      <c r="F2919" s="112" t="s">
        <v>3344</v>
      </c>
      <c r="G2919" s="112" t="s">
        <v>1512</v>
      </c>
      <c r="H2919" s="112" t="s">
        <v>1505</v>
      </c>
      <c r="I2919" s="112"/>
      <c r="J2919" s="112" t="b">
        <v>0</v>
      </c>
      <c r="K2919" s="112"/>
      <c r="L2919" s="112"/>
      <c r="M2919" s="112"/>
      <c r="N2919" s="112"/>
      <c r="O2919" s="112"/>
      <c r="P2919" s="112" t="s">
        <v>1485</v>
      </c>
      <c r="Q2919" s="112" t="s">
        <v>1228</v>
      </c>
    </row>
    <row r="2920" spans="2:17" hidden="1" outlineLevel="2">
      <c r="B2920" s="2" t="s">
        <v>876</v>
      </c>
      <c r="D2920" s="268">
        <v>4736</v>
      </c>
      <c r="E2920" s="114" t="s">
        <v>212</v>
      </c>
      <c r="F2920" s="114" t="s">
        <v>3345</v>
      </c>
      <c r="G2920" s="114" t="s">
        <v>1512</v>
      </c>
      <c r="H2920" s="114" t="s">
        <v>1505</v>
      </c>
      <c r="I2920" s="114"/>
      <c r="J2920" s="114" t="b">
        <v>0</v>
      </c>
      <c r="K2920" s="114"/>
      <c r="L2920" s="114"/>
      <c r="M2920" s="114"/>
      <c r="N2920" s="114"/>
      <c r="O2920" s="114"/>
      <c r="P2920" s="114" t="s">
        <v>1485</v>
      </c>
      <c r="Q2920" s="114" t="s">
        <v>1228</v>
      </c>
    </row>
    <row r="2921" spans="2:17" hidden="1" outlineLevel="2">
      <c r="B2921" s="2" t="s">
        <v>876</v>
      </c>
      <c r="D2921" s="270">
        <v>4737</v>
      </c>
      <c r="E2921" s="112" t="s">
        <v>212</v>
      </c>
      <c r="F2921" s="112" t="s">
        <v>3346</v>
      </c>
      <c r="G2921" s="112" t="s">
        <v>1493</v>
      </c>
      <c r="H2921" s="112" t="s">
        <v>1494</v>
      </c>
      <c r="I2921" s="112"/>
      <c r="J2921" s="112" t="b">
        <v>0</v>
      </c>
      <c r="K2921" s="112"/>
      <c r="L2921" s="112"/>
      <c r="M2921" s="112"/>
      <c r="N2921" s="112"/>
      <c r="O2921" s="112"/>
      <c r="P2921" s="112" t="s">
        <v>1485</v>
      </c>
      <c r="Q2921" s="112" t="s">
        <v>1228</v>
      </c>
    </row>
    <row r="2922" spans="2:17" hidden="1" outlineLevel="2">
      <c r="B2922" s="2" t="s">
        <v>876</v>
      </c>
      <c r="D2922" s="268">
        <v>4738</v>
      </c>
      <c r="E2922" s="114" t="s">
        <v>212</v>
      </c>
      <c r="F2922" s="114" t="s">
        <v>3347</v>
      </c>
      <c r="G2922" s="114" t="s">
        <v>1512</v>
      </c>
      <c r="H2922" s="114" t="s">
        <v>1505</v>
      </c>
      <c r="I2922" s="114"/>
      <c r="J2922" s="114" t="b">
        <v>0</v>
      </c>
      <c r="K2922" s="114"/>
      <c r="L2922" s="114"/>
      <c r="M2922" s="114"/>
      <c r="N2922" s="114"/>
      <c r="O2922" s="114"/>
      <c r="P2922" s="114" t="s">
        <v>1485</v>
      </c>
      <c r="Q2922" s="114" t="s">
        <v>1228</v>
      </c>
    </row>
    <row r="2923" spans="2:17" hidden="1" outlineLevel="2">
      <c r="B2923" s="2" t="s">
        <v>876</v>
      </c>
      <c r="D2923" s="270">
        <v>4739</v>
      </c>
      <c r="E2923" s="112" t="s">
        <v>212</v>
      </c>
      <c r="F2923" s="112" t="s">
        <v>3348</v>
      </c>
      <c r="G2923" s="112" t="s">
        <v>1512</v>
      </c>
      <c r="H2923" s="112" t="s">
        <v>1505</v>
      </c>
      <c r="I2923" s="112"/>
      <c r="J2923" s="112" t="b">
        <v>0</v>
      </c>
      <c r="K2923" s="112"/>
      <c r="L2923" s="112"/>
      <c r="M2923" s="112"/>
      <c r="N2923" s="112"/>
      <c r="O2923" s="112"/>
      <c r="P2923" s="112" t="s">
        <v>1485</v>
      </c>
      <c r="Q2923" s="112" t="s">
        <v>1228</v>
      </c>
    </row>
    <row r="2924" spans="2:17" hidden="1" outlineLevel="2">
      <c r="B2924" s="2" t="s">
        <v>876</v>
      </c>
      <c r="D2924" s="268">
        <v>4740</v>
      </c>
      <c r="E2924" s="114" t="s">
        <v>212</v>
      </c>
      <c r="F2924" s="114" t="s">
        <v>3349</v>
      </c>
      <c r="G2924" s="114" t="s">
        <v>1493</v>
      </c>
      <c r="H2924" s="114" t="s">
        <v>1494</v>
      </c>
      <c r="I2924" s="114"/>
      <c r="J2924" s="114" t="b">
        <v>0</v>
      </c>
      <c r="K2924" s="114" t="s">
        <v>1484</v>
      </c>
      <c r="L2924" s="114" t="b">
        <v>1</v>
      </c>
      <c r="M2924" s="114"/>
      <c r="N2924" s="114"/>
      <c r="O2924" s="114"/>
      <c r="P2924" s="114" t="s">
        <v>1485</v>
      </c>
      <c r="Q2924" s="114" t="s">
        <v>1228</v>
      </c>
    </row>
    <row r="2925" spans="2:17" hidden="1" outlineLevel="2">
      <c r="B2925" s="2" t="s">
        <v>876</v>
      </c>
      <c r="D2925" s="270">
        <v>4741</v>
      </c>
      <c r="E2925" s="112" t="s">
        <v>212</v>
      </c>
      <c r="F2925" s="112" t="s">
        <v>3350</v>
      </c>
      <c r="G2925" s="221" t="s">
        <v>1493</v>
      </c>
      <c r="H2925" s="112" t="s">
        <v>1505</v>
      </c>
      <c r="I2925" s="112"/>
      <c r="J2925" s="112" t="b">
        <v>0</v>
      </c>
      <c r="K2925" s="112"/>
      <c r="L2925" s="112"/>
      <c r="M2925" s="112"/>
      <c r="N2925" s="112"/>
      <c r="O2925" s="112"/>
      <c r="P2925" s="112" t="s">
        <v>1485</v>
      </c>
      <c r="Q2925" s="112" t="s">
        <v>1228</v>
      </c>
    </row>
    <row r="2926" spans="2:17" hidden="1" outlineLevel="2">
      <c r="B2926" s="2" t="s">
        <v>876</v>
      </c>
      <c r="D2926" s="268">
        <v>4742</v>
      </c>
      <c r="E2926" s="114" t="s">
        <v>212</v>
      </c>
      <c r="F2926" s="114" t="s">
        <v>3351</v>
      </c>
      <c r="G2926" s="114" t="s">
        <v>1512</v>
      </c>
      <c r="H2926" s="114" t="s">
        <v>1512</v>
      </c>
      <c r="I2926" s="114"/>
      <c r="J2926" s="114" t="b">
        <v>0</v>
      </c>
      <c r="K2926" s="114"/>
      <c r="L2926" s="114" t="b">
        <v>1</v>
      </c>
      <c r="M2926" s="114"/>
      <c r="N2926" s="114"/>
      <c r="O2926" s="114"/>
      <c r="P2926" s="114" t="s">
        <v>1485</v>
      </c>
      <c r="Q2926" s="114" t="s">
        <v>1228</v>
      </c>
    </row>
    <row r="2927" spans="2:17" hidden="1" outlineLevel="2">
      <c r="B2927" s="2" t="s">
        <v>876</v>
      </c>
      <c r="D2927" s="270">
        <v>4743</v>
      </c>
      <c r="E2927" s="112" t="s">
        <v>212</v>
      </c>
      <c r="F2927" s="112" t="s">
        <v>3352</v>
      </c>
      <c r="G2927" s="112" t="s">
        <v>1533</v>
      </c>
      <c r="H2927" s="112" t="s">
        <v>1505</v>
      </c>
      <c r="I2927" s="112"/>
      <c r="J2927" s="112" t="b">
        <v>1</v>
      </c>
      <c r="K2927" s="112" t="s">
        <v>1484</v>
      </c>
      <c r="L2927" s="112" t="b">
        <v>1</v>
      </c>
      <c r="M2927" s="112"/>
      <c r="N2927" s="112"/>
      <c r="O2927" s="112"/>
      <c r="P2927" s="112" t="s">
        <v>1485</v>
      </c>
      <c r="Q2927" s="112" t="s">
        <v>1228</v>
      </c>
    </row>
    <row r="2928" spans="2:17" hidden="1" outlineLevel="2">
      <c r="B2928" s="2" t="s">
        <v>876</v>
      </c>
      <c r="D2928" s="268">
        <v>4744</v>
      </c>
      <c r="E2928" s="114" t="s">
        <v>212</v>
      </c>
      <c r="F2928" s="114" t="s">
        <v>3353</v>
      </c>
      <c r="G2928" s="114" t="s">
        <v>1533</v>
      </c>
      <c r="H2928" s="114" t="s">
        <v>1533</v>
      </c>
      <c r="I2928" s="114"/>
      <c r="J2928" s="114" t="b">
        <v>1</v>
      </c>
      <c r="K2928" s="114" t="s">
        <v>1552</v>
      </c>
      <c r="L2928" s="114" t="b">
        <v>1</v>
      </c>
      <c r="M2928" s="114"/>
      <c r="N2928" s="114"/>
      <c r="O2928" s="114"/>
      <c r="P2928" s="114" t="s">
        <v>1485</v>
      </c>
      <c r="Q2928" s="114" t="s">
        <v>1228</v>
      </c>
    </row>
    <row r="2929" spans="2:17" hidden="1" outlineLevel="2">
      <c r="B2929" s="2" t="s">
        <v>876</v>
      </c>
      <c r="D2929" s="270">
        <v>4745</v>
      </c>
      <c r="E2929" s="112" t="s">
        <v>212</v>
      </c>
      <c r="F2929" s="112" t="s">
        <v>3354</v>
      </c>
      <c r="G2929" s="112" t="s">
        <v>1533</v>
      </c>
      <c r="H2929" s="112" t="s">
        <v>1533</v>
      </c>
      <c r="I2929" s="112"/>
      <c r="J2929" s="112" t="b">
        <v>1</v>
      </c>
      <c r="K2929" s="112" t="s">
        <v>1552</v>
      </c>
      <c r="L2929" s="112" t="b">
        <v>1</v>
      </c>
      <c r="M2929" s="112"/>
      <c r="N2929" s="112"/>
      <c r="O2929" s="112"/>
      <c r="P2929" s="112" t="s">
        <v>1485</v>
      </c>
      <c r="Q2929" s="112" t="s">
        <v>1228</v>
      </c>
    </row>
    <row r="2930" spans="2:17" hidden="1" outlineLevel="2">
      <c r="B2930" s="2" t="s">
        <v>876</v>
      </c>
      <c r="D2930" s="268">
        <v>4746</v>
      </c>
      <c r="E2930" s="114" t="s">
        <v>212</v>
      </c>
      <c r="F2930" s="114" t="s">
        <v>3355</v>
      </c>
      <c r="G2930" s="114" t="s">
        <v>1533</v>
      </c>
      <c r="H2930" s="114" t="s">
        <v>1512</v>
      </c>
      <c r="I2930" s="114"/>
      <c r="J2930" s="114" t="b">
        <v>1</v>
      </c>
      <c r="K2930" s="114" t="s">
        <v>1484</v>
      </c>
      <c r="L2930" s="114" t="b">
        <v>1</v>
      </c>
      <c r="M2930" s="114"/>
      <c r="N2930" s="114"/>
      <c r="O2930" s="114"/>
      <c r="P2930" s="114" t="s">
        <v>1485</v>
      </c>
      <c r="Q2930" s="114" t="s">
        <v>1228</v>
      </c>
    </row>
    <row r="2931" spans="2:17" hidden="1" outlineLevel="2">
      <c r="B2931" s="2" t="s">
        <v>876</v>
      </c>
      <c r="D2931" s="270">
        <v>4750</v>
      </c>
      <c r="E2931" s="112" t="s">
        <v>212</v>
      </c>
      <c r="F2931" s="112" t="s">
        <v>3356</v>
      </c>
      <c r="G2931" s="112" t="s">
        <v>1493</v>
      </c>
      <c r="H2931" s="112" t="s">
        <v>1494</v>
      </c>
      <c r="I2931" s="112"/>
      <c r="J2931" s="112" t="b">
        <v>0</v>
      </c>
      <c r="K2931" s="112"/>
      <c r="L2931" s="112"/>
      <c r="M2931" s="112"/>
      <c r="N2931" s="112"/>
      <c r="O2931" s="112"/>
      <c r="P2931" s="112" t="s">
        <v>1485</v>
      </c>
      <c r="Q2931" s="112" t="s">
        <v>1228</v>
      </c>
    </row>
    <row r="2932" spans="2:17" hidden="1" outlineLevel="2">
      <c r="B2932" s="2" t="s">
        <v>876</v>
      </c>
      <c r="D2932" s="268">
        <v>4751</v>
      </c>
      <c r="E2932" s="114" t="s">
        <v>212</v>
      </c>
      <c r="F2932" s="114" t="s">
        <v>3357</v>
      </c>
      <c r="G2932" s="114" t="s">
        <v>1483</v>
      </c>
      <c r="H2932" s="114" t="s">
        <v>1494</v>
      </c>
      <c r="I2932" s="114"/>
      <c r="J2932" s="114" t="b">
        <v>0</v>
      </c>
      <c r="K2932" s="114"/>
      <c r="L2932" s="114"/>
      <c r="M2932" s="114"/>
      <c r="N2932" s="114"/>
      <c r="O2932" s="114"/>
      <c r="P2932" s="114" t="s">
        <v>1485</v>
      </c>
      <c r="Q2932" s="114" t="s">
        <v>1228</v>
      </c>
    </row>
    <row r="2933" spans="2:17" hidden="1" outlineLevel="2">
      <c r="B2933" s="2" t="s">
        <v>876</v>
      </c>
      <c r="D2933" s="270">
        <v>4753</v>
      </c>
      <c r="E2933" s="112" t="s">
        <v>212</v>
      </c>
      <c r="F2933" s="112" t="s">
        <v>3358</v>
      </c>
      <c r="G2933" s="269" t="s">
        <v>1493</v>
      </c>
      <c r="H2933" s="112" t="s">
        <v>1505</v>
      </c>
      <c r="I2933" s="112"/>
      <c r="J2933" s="112" t="b">
        <v>0</v>
      </c>
      <c r="K2933" s="112"/>
      <c r="L2933" s="112"/>
      <c r="M2933" s="112"/>
      <c r="N2933" s="112"/>
      <c r="O2933" s="112"/>
      <c r="P2933" s="112" t="s">
        <v>1485</v>
      </c>
      <c r="Q2933" s="112" t="s">
        <v>1228</v>
      </c>
    </row>
    <row r="2934" spans="2:17" hidden="1" outlineLevel="2">
      <c r="B2934" s="2" t="s">
        <v>876</v>
      </c>
      <c r="D2934" s="268">
        <v>4754</v>
      </c>
      <c r="E2934" s="114" t="s">
        <v>212</v>
      </c>
      <c r="F2934" s="114" t="s">
        <v>3359</v>
      </c>
      <c r="G2934" s="114" t="s">
        <v>1512</v>
      </c>
      <c r="H2934" s="114" t="s">
        <v>1505</v>
      </c>
      <c r="I2934" s="114"/>
      <c r="J2934" s="114" t="b">
        <v>0</v>
      </c>
      <c r="K2934" s="114"/>
      <c r="L2934" s="114"/>
      <c r="M2934" s="114"/>
      <c r="N2934" s="114"/>
      <c r="O2934" s="114"/>
      <c r="P2934" s="114" t="s">
        <v>1485</v>
      </c>
      <c r="Q2934" s="114" t="s">
        <v>1228</v>
      </c>
    </row>
    <row r="2935" spans="2:17" hidden="1" outlineLevel="2">
      <c r="B2935" s="2" t="s">
        <v>876</v>
      </c>
      <c r="D2935" s="270">
        <v>4756</v>
      </c>
      <c r="E2935" s="112" t="s">
        <v>212</v>
      </c>
      <c r="F2935" s="112" t="s">
        <v>3360</v>
      </c>
      <c r="G2935" s="112" t="s">
        <v>1512</v>
      </c>
      <c r="H2935" s="112" t="s">
        <v>1505</v>
      </c>
      <c r="I2935" s="112"/>
      <c r="J2935" s="112" t="b">
        <v>0</v>
      </c>
      <c r="K2935" s="112"/>
      <c r="L2935" s="112" t="b">
        <v>1</v>
      </c>
      <c r="M2935" s="112"/>
      <c r="N2935" s="112"/>
      <c r="O2935" s="112"/>
      <c r="P2935" s="112" t="s">
        <v>1485</v>
      </c>
      <c r="Q2935" s="112" t="s">
        <v>1228</v>
      </c>
    </row>
    <row r="2936" spans="2:17" hidden="1" outlineLevel="2">
      <c r="B2936" s="2" t="s">
        <v>876</v>
      </c>
      <c r="D2936" s="268">
        <v>4757</v>
      </c>
      <c r="E2936" s="114" t="s">
        <v>212</v>
      </c>
      <c r="F2936" s="114" t="s">
        <v>3361</v>
      </c>
      <c r="G2936" s="114" t="s">
        <v>1512</v>
      </c>
      <c r="H2936" s="114" t="s">
        <v>1505</v>
      </c>
      <c r="I2936" s="114"/>
      <c r="J2936" s="114" t="b">
        <v>0</v>
      </c>
      <c r="K2936" s="114"/>
      <c r="L2936" s="114" t="b">
        <v>1</v>
      </c>
      <c r="M2936" s="114"/>
      <c r="N2936" s="114"/>
      <c r="O2936" s="114"/>
      <c r="P2936" s="114" t="s">
        <v>1485</v>
      </c>
      <c r="Q2936" s="114" t="s">
        <v>1228</v>
      </c>
    </row>
    <row r="2937" spans="2:17" hidden="1" outlineLevel="2">
      <c r="B2937" s="2" t="s">
        <v>876</v>
      </c>
      <c r="D2937" s="270">
        <v>4798</v>
      </c>
      <c r="E2937" s="112" t="s">
        <v>212</v>
      </c>
      <c r="F2937" s="112" t="s">
        <v>3362</v>
      </c>
      <c r="G2937" s="112" t="s">
        <v>1512</v>
      </c>
      <c r="H2937" s="112" t="s">
        <v>1505</v>
      </c>
      <c r="I2937" s="112"/>
      <c r="J2937" s="112" t="b">
        <v>0</v>
      </c>
      <c r="K2937" s="112"/>
      <c r="L2937" s="112"/>
      <c r="M2937" s="112"/>
      <c r="N2937" s="112"/>
      <c r="O2937" s="112"/>
      <c r="P2937" s="112" t="s">
        <v>1485</v>
      </c>
      <c r="Q2937" s="112" t="s">
        <v>1228</v>
      </c>
    </row>
    <row r="2938" spans="2:17" hidden="1" outlineLevel="2">
      <c r="B2938" s="2" t="s">
        <v>876</v>
      </c>
      <c r="D2938" s="268">
        <v>4799</v>
      </c>
      <c r="E2938" s="114" t="s">
        <v>212</v>
      </c>
      <c r="F2938" s="114" t="s">
        <v>3363</v>
      </c>
      <c r="G2938" s="114" t="s">
        <v>1512</v>
      </c>
      <c r="H2938" s="114" t="s">
        <v>1512</v>
      </c>
      <c r="I2938" s="114"/>
      <c r="J2938" s="114" t="b">
        <v>0</v>
      </c>
      <c r="K2938" s="114"/>
      <c r="L2938" s="114"/>
      <c r="M2938" s="114"/>
      <c r="N2938" s="114"/>
      <c r="O2938" s="114"/>
      <c r="P2938" s="114" t="s">
        <v>1485</v>
      </c>
      <c r="Q2938" s="114" t="s">
        <v>1228</v>
      </c>
    </row>
    <row r="2939" spans="2:17" hidden="1" outlineLevel="2">
      <c r="B2939" s="2" t="s">
        <v>876</v>
      </c>
      <c r="D2939" s="270">
        <v>4800</v>
      </c>
      <c r="E2939" s="112" t="s">
        <v>212</v>
      </c>
      <c r="F2939" s="112" t="s">
        <v>3364</v>
      </c>
      <c r="G2939" s="112" t="s">
        <v>1493</v>
      </c>
      <c r="H2939" s="112" t="s">
        <v>1505</v>
      </c>
      <c r="I2939" s="112"/>
      <c r="J2939" s="112" t="b">
        <v>0</v>
      </c>
      <c r="K2939" s="112"/>
      <c r="L2939" s="112"/>
      <c r="M2939" s="112"/>
      <c r="N2939" s="112"/>
      <c r="O2939" s="112"/>
      <c r="P2939" s="112" t="s">
        <v>1485</v>
      </c>
      <c r="Q2939" s="112" t="s">
        <v>1228</v>
      </c>
    </row>
    <row r="2940" spans="2:17" hidden="1" outlineLevel="2">
      <c r="B2940" s="2" t="s">
        <v>876</v>
      </c>
      <c r="D2940" s="268">
        <v>4801</v>
      </c>
      <c r="E2940" s="114" t="s">
        <v>212</v>
      </c>
      <c r="F2940" s="114" t="s">
        <v>3365</v>
      </c>
      <c r="G2940" s="114" t="s">
        <v>1533</v>
      </c>
      <c r="H2940" s="114" t="s">
        <v>1533</v>
      </c>
      <c r="I2940" s="114"/>
      <c r="J2940" s="114" t="b">
        <v>0</v>
      </c>
      <c r="K2940" s="114"/>
      <c r="L2940" s="114"/>
      <c r="M2940" s="114"/>
      <c r="N2940" s="114"/>
      <c r="O2940" s="114"/>
      <c r="P2940" s="114" t="s">
        <v>1485</v>
      </c>
      <c r="Q2940" s="114" t="s">
        <v>1228</v>
      </c>
    </row>
    <row r="2941" spans="2:17" hidden="1" outlineLevel="2">
      <c r="B2941" s="2" t="s">
        <v>876</v>
      </c>
      <c r="D2941" s="270">
        <v>4802</v>
      </c>
      <c r="E2941" s="112" t="s">
        <v>212</v>
      </c>
      <c r="F2941" s="112" t="s">
        <v>3366</v>
      </c>
      <c r="G2941" s="112" t="s">
        <v>1483</v>
      </c>
      <c r="H2941" s="112" t="s">
        <v>1494</v>
      </c>
      <c r="I2941" s="112"/>
      <c r="J2941" s="112" t="b">
        <v>0</v>
      </c>
      <c r="K2941" s="112"/>
      <c r="L2941" s="112"/>
      <c r="M2941" s="112"/>
      <c r="N2941" s="112"/>
      <c r="O2941" s="112"/>
      <c r="P2941" s="112" t="s">
        <v>1485</v>
      </c>
      <c r="Q2941" s="112" t="s">
        <v>1228</v>
      </c>
    </row>
    <row r="2942" spans="2:17" hidden="1" outlineLevel="2">
      <c r="B2942" s="2" t="s">
        <v>876</v>
      </c>
      <c r="D2942" s="268">
        <v>4803</v>
      </c>
      <c r="E2942" s="114" t="s">
        <v>212</v>
      </c>
      <c r="F2942" s="114" t="s">
        <v>3367</v>
      </c>
      <c r="G2942" s="114" t="s">
        <v>1533</v>
      </c>
      <c r="H2942" s="114" t="s">
        <v>1533</v>
      </c>
      <c r="I2942" s="114"/>
      <c r="J2942" s="114" t="b">
        <v>0</v>
      </c>
      <c r="K2942" s="114"/>
      <c r="L2942" s="114"/>
      <c r="M2942" s="114"/>
      <c r="N2942" s="114"/>
      <c r="O2942" s="114"/>
      <c r="P2942" s="114" t="s">
        <v>1485</v>
      </c>
      <c r="Q2942" s="114" t="s">
        <v>1228</v>
      </c>
    </row>
    <row r="2943" spans="2:17" hidden="1" outlineLevel="2">
      <c r="B2943" s="2" t="s">
        <v>876</v>
      </c>
      <c r="D2943" s="270">
        <v>4804</v>
      </c>
      <c r="E2943" s="112" t="s">
        <v>212</v>
      </c>
      <c r="F2943" s="112" t="s">
        <v>3368</v>
      </c>
      <c r="G2943" s="112" t="s">
        <v>1533</v>
      </c>
      <c r="H2943" s="112" t="s">
        <v>1533</v>
      </c>
      <c r="I2943" s="112"/>
      <c r="J2943" s="112" t="b">
        <v>1</v>
      </c>
      <c r="K2943" s="112" t="s">
        <v>1552</v>
      </c>
      <c r="L2943" s="112" t="b">
        <v>1</v>
      </c>
      <c r="M2943" s="112"/>
      <c r="N2943" s="112"/>
      <c r="O2943" s="112"/>
      <c r="P2943" s="112" t="s">
        <v>1485</v>
      </c>
      <c r="Q2943" s="112" t="s">
        <v>1228</v>
      </c>
    </row>
    <row r="2944" spans="2:17" hidden="1" outlineLevel="2">
      <c r="B2944" s="2" t="s">
        <v>876</v>
      </c>
      <c r="D2944" s="268">
        <v>4805</v>
      </c>
      <c r="E2944" s="114" t="s">
        <v>212</v>
      </c>
      <c r="F2944" s="114" t="s">
        <v>3369</v>
      </c>
      <c r="G2944" s="114" t="s">
        <v>1493</v>
      </c>
      <c r="H2944" s="114" t="s">
        <v>1494</v>
      </c>
      <c r="I2944" s="114"/>
      <c r="J2944" s="114" t="b">
        <v>0</v>
      </c>
      <c r="K2944" s="114" t="s">
        <v>1484</v>
      </c>
      <c r="L2944" s="114" t="b">
        <v>1</v>
      </c>
      <c r="M2944" s="114"/>
      <c r="N2944" s="114"/>
      <c r="O2944" s="114"/>
      <c r="P2944" s="114" t="s">
        <v>1485</v>
      </c>
      <c r="Q2944" s="114" t="s">
        <v>1228</v>
      </c>
    </row>
    <row r="2945" spans="2:17" hidden="1" outlineLevel="2">
      <c r="B2945" s="2" t="s">
        <v>876</v>
      </c>
      <c r="D2945" s="270">
        <v>4806</v>
      </c>
      <c r="E2945" s="112" t="s">
        <v>212</v>
      </c>
      <c r="F2945" s="112" t="s">
        <v>3370</v>
      </c>
      <c r="G2945" s="112" t="s">
        <v>1512</v>
      </c>
      <c r="H2945" s="112" t="s">
        <v>1505</v>
      </c>
      <c r="I2945" s="112"/>
      <c r="J2945" s="112" t="b">
        <v>0</v>
      </c>
      <c r="K2945" s="112"/>
      <c r="L2945" s="112"/>
      <c r="M2945" s="112"/>
      <c r="N2945" s="112"/>
      <c r="O2945" s="112"/>
      <c r="P2945" s="112" t="s">
        <v>1485</v>
      </c>
      <c r="Q2945" s="112" t="s">
        <v>1228</v>
      </c>
    </row>
    <row r="2946" spans="2:17" hidden="1" outlineLevel="2">
      <c r="B2946" s="2" t="s">
        <v>876</v>
      </c>
      <c r="D2946" s="268">
        <v>4807</v>
      </c>
      <c r="E2946" s="114" t="s">
        <v>212</v>
      </c>
      <c r="F2946" s="114" t="s">
        <v>3371</v>
      </c>
      <c r="G2946" s="221" t="s">
        <v>1493</v>
      </c>
      <c r="H2946" s="114" t="s">
        <v>1505</v>
      </c>
      <c r="I2946" s="114"/>
      <c r="J2946" s="114" t="b">
        <v>0</v>
      </c>
      <c r="K2946" s="114"/>
      <c r="L2946" s="114"/>
      <c r="M2946" s="114"/>
      <c r="N2946" s="114"/>
      <c r="O2946" s="114"/>
      <c r="P2946" s="114" t="s">
        <v>1485</v>
      </c>
      <c r="Q2946" s="114" t="s">
        <v>1228</v>
      </c>
    </row>
    <row r="2947" spans="2:17" hidden="1" outlineLevel="2">
      <c r="B2947" s="2" t="s">
        <v>876</v>
      </c>
      <c r="D2947" s="270">
        <v>4808</v>
      </c>
      <c r="E2947" s="112" t="s">
        <v>212</v>
      </c>
      <c r="F2947" s="112" t="s">
        <v>3372</v>
      </c>
      <c r="G2947" s="112" t="s">
        <v>1512</v>
      </c>
      <c r="H2947" s="112" t="s">
        <v>1505</v>
      </c>
      <c r="I2947" s="112"/>
      <c r="J2947" s="112" t="b">
        <v>0</v>
      </c>
      <c r="K2947" s="112"/>
      <c r="L2947" s="112"/>
      <c r="M2947" s="112"/>
      <c r="N2947" s="112"/>
      <c r="O2947" s="112"/>
      <c r="P2947" s="112" t="s">
        <v>1485</v>
      </c>
      <c r="Q2947" s="112" t="s">
        <v>1228</v>
      </c>
    </row>
    <row r="2948" spans="2:17" hidden="1" outlineLevel="2">
      <c r="B2948" s="2" t="s">
        <v>876</v>
      </c>
      <c r="D2948" s="268">
        <v>4809</v>
      </c>
      <c r="E2948" s="114" t="s">
        <v>212</v>
      </c>
      <c r="F2948" s="114" t="s">
        <v>2055</v>
      </c>
      <c r="G2948" s="114" t="s">
        <v>1512</v>
      </c>
      <c r="H2948" s="114" t="s">
        <v>1505</v>
      </c>
      <c r="I2948" s="114"/>
      <c r="J2948" s="114" t="b">
        <v>0</v>
      </c>
      <c r="K2948" s="114"/>
      <c r="L2948" s="114"/>
      <c r="M2948" s="114"/>
      <c r="N2948" s="114"/>
      <c r="O2948" s="114"/>
      <c r="P2948" s="114" t="s">
        <v>1485</v>
      </c>
      <c r="Q2948" s="114" t="s">
        <v>1228</v>
      </c>
    </row>
    <row r="2949" spans="2:17" hidden="1" outlineLevel="2">
      <c r="B2949" s="2" t="s">
        <v>876</v>
      </c>
      <c r="D2949" s="270">
        <v>4810</v>
      </c>
      <c r="E2949" s="112" t="s">
        <v>212</v>
      </c>
      <c r="F2949" s="112" t="s">
        <v>3373</v>
      </c>
      <c r="G2949" s="112" t="s">
        <v>1483</v>
      </c>
      <c r="H2949" s="112" t="s">
        <v>1227</v>
      </c>
      <c r="I2949" s="112"/>
      <c r="J2949" s="112" t="b">
        <v>0</v>
      </c>
      <c r="K2949" s="112"/>
      <c r="L2949" s="112"/>
      <c r="M2949" s="112"/>
      <c r="N2949" s="112"/>
      <c r="O2949" s="112"/>
      <c r="P2949" s="112" t="s">
        <v>1485</v>
      </c>
      <c r="Q2949" s="112" t="s">
        <v>1227</v>
      </c>
    </row>
    <row r="2950" spans="2:17" hidden="1" outlineLevel="2">
      <c r="B2950" s="2" t="s">
        <v>876</v>
      </c>
      <c r="D2950" s="268">
        <v>4811</v>
      </c>
      <c r="E2950" s="114" t="s">
        <v>212</v>
      </c>
      <c r="F2950" s="114" t="s">
        <v>3374</v>
      </c>
      <c r="G2950" s="114" t="s">
        <v>1483</v>
      </c>
      <c r="H2950" s="114" t="s">
        <v>1494</v>
      </c>
      <c r="I2950" s="114"/>
      <c r="J2950" s="114" t="b">
        <v>0</v>
      </c>
      <c r="K2950" s="114"/>
      <c r="L2950" s="114"/>
      <c r="M2950" s="114"/>
      <c r="N2950" s="114"/>
      <c r="O2950" s="114"/>
      <c r="P2950" s="114" t="s">
        <v>1485</v>
      </c>
      <c r="Q2950" s="114" t="s">
        <v>1227</v>
      </c>
    </row>
    <row r="2951" spans="2:17" hidden="1" outlineLevel="2">
      <c r="B2951" s="2" t="s">
        <v>876</v>
      </c>
      <c r="D2951" s="270">
        <v>4812</v>
      </c>
      <c r="E2951" s="112" t="s">
        <v>212</v>
      </c>
      <c r="F2951" s="112" t="s">
        <v>3375</v>
      </c>
      <c r="G2951" s="112" t="s">
        <v>1483</v>
      </c>
      <c r="H2951" s="112" t="s">
        <v>1227</v>
      </c>
      <c r="I2951" s="112"/>
      <c r="J2951" s="112" t="b">
        <v>0</v>
      </c>
      <c r="K2951" s="112"/>
      <c r="L2951" s="112"/>
      <c r="M2951" s="112"/>
      <c r="N2951" s="112"/>
      <c r="O2951" s="112"/>
      <c r="P2951" s="112" t="s">
        <v>1485</v>
      </c>
      <c r="Q2951" s="112" t="s">
        <v>1227</v>
      </c>
    </row>
    <row r="2952" spans="2:17" hidden="1" outlineLevel="2">
      <c r="B2952" s="2" t="s">
        <v>876</v>
      </c>
      <c r="D2952" s="268">
        <v>4813</v>
      </c>
      <c r="E2952" s="114" t="s">
        <v>212</v>
      </c>
      <c r="F2952" s="114" t="s">
        <v>3376</v>
      </c>
      <c r="G2952" s="114" t="s">
        <v>1533</v>
      </c>
      <c r="H2952" s="114" t="s">
        <v>1512</v>
      </c>
      <c r="I2952" s="114"/>
      <c r="J2952" s="114" t="b">
        <v>0</v>
      </c>
      <c r="K2952" s="114"/>
      <c r="L2952" s="114"/>
      <c r="M2952" s="114"/>
      <c r="N2952" s="114"/>
      <c r="O2952" s="114"/>
      <c r="P2952" s="114" t="s">
        <v>1485</v>
      </c>
      <c r="Q2952" s="114" t="s">
        <v>1228</v>
      </c>
    </row>
    <row r="2953" spans="2:17" hidden="1" outlineLevel="2">
      <c r="B2953" s="2" t="s">
        <v>876</v>
      </c>
      <c r="D2953" s="270">
        <v>4814</v>
      </c>
      <c r="E2953" s="112" t="s">
        <v>212</v>
      </c>
      <c r="F2953" s="112" t="s">
        <v>3377</v>
      </c>
      <c r="G2953" s="112" t="s">
        <v>1483</v>
      </c>
      <c r="H2953" s="112" t="s">
        <v>1227</v>
      </c>
      <c r="I2953" s="112"/>
      <c r="J2953" s="112" t="b">
        <v>0</v>
      </c>
      <c r="K2953" s="112"/>
      <c r="L2953" s="112"/>
      <c r="M2953" s="112"/>
      <c r="N2953" s="112"/>
      <c r="O2953" s="112"/>
      <c r="P2953" s="112" t="s">
        <v>1485</v>
      </c>
      <c r="Q2953" s="112" t="s">
        <v>1227</v>
      </c>
    </row>
    <row r="2954" spans="2:17" hidden="1" outlineLevel="2">
      <c r="B2954" s="2" t="s">
        <v>876</v>
      </c>
      <c r="D2954" s="268">
        <v>4815</v>
      </c>
      <c r="E2954" s="114" t="s">
        <v>212</v>
      </c>
      <c r="F2954" s="114" t="s">
        <v>3378</v>
      </c>
      <c r="G2954" s="114" t="s">
        <v>1483</v>
      </c>
      <c r="H2954" s="114" t="s">
        <v>1227</v>
      </c>
      <c r="I2954" s="114"/>
      <c r="J2954" s="114" t="b">
        <v>0</v>
      </c>
      <c r="K2954" s="114"/>
      <c r="L2954" s="114"/>
      <c r="M2954" s="114"/>
      <c r="N2954" s="114"/>
      <c r="O2954" s="114"/>
      <c r="P2954" s="114" t="s">
        <v>1485</v>
      </c>
      <c r="Q2954" s="114" t="s">
        <v>1227</v>
      </c>
    </row>
    <row r="2955" spans="2:17" hidden="1" outlineLevel="2">
      <c r="B2955" s="2" t="s">
        <v>876</v>
      </c>
      <c r="D2955" s="270">
        <v>4816</v>
      </c>
      <c r="E2955" s="112" t="s">
        <v>212</v>
      </c>
      <c r="F2955" s="112" t="s">
        <v>3379</v>
      </c>
      <c r="G2955" s="221" t="s">
        <v>1493</v>
      </c>
      <c r="H2955" s="112" t="s">
        <v>1505</v>
      </c>
      <c r="I2955" s="112"/>
      <c r="J2955" s="112" t="b">
        <v>0</v>
      </c>
      <c r="K2955" s="112" t="s">
        <v>1484</v>
      </c>
      <c r="L2955" s="112" t="b">
        <v>1</v>
      </c>
      <c r="M2955" s="112"/>
      <c r="N2955" s="112"/>
      <c r="O2955" s="112"/>
      <c r="P2955" s="112" t="s">
        <v>1485</v>
      </c>
      <c r="Q2955" s="112" t="s">
        <v>1228</v>
      </c>
    </row>
    <row r="2956" spans="2:17" hidden="1" outlineLevel="2">
      <c r="B2956" s="2" t="s">
        <v>876</v>
      </c>
      <c r="D2956" s="268">
        <v>4817</v>
      </c>
      <c r="E2956" s="114" t="s">
        <v>212</v>
      </c>
      <c r="F2956" s="114" t="s">
        <v>3380</v>
      </c>
      <c r="G2956" s="114" t="s">
        <v>1483</v>
      </c>
      <c r="H2956" s="114" t="s">
        <v>1227</v>
      </c>
      <c r="I2956" s="114"/>
      <c r="J2956" s="114" t="b">
        <v>0</v>
      </c>
      <c r="K2956" s="114"/>
      <c r="L2956" s="114"/>
      <c r="M2956" s="114"/>
      <c r="N2956" s="114"/>
      <c r="O2956" s="114"/>
      <c r="P2956" s="114" t="s">
        <v>1485</v>
      </c>
      <c r="Q2956" s="114" t="s">
        <v>1227</v>
      </c>
    </row>
    <row r="2957" spans="2:17" hidden="1" outlineLevel="2">
      <c r="B2957" s="2" t="s">
        <v>876</v>
      </c>
      <c r="D2957" s="270">
        <v>4818</v>
      </c>
      <c r="E2957" s="112" t="s">
        <v>212</v>
      </c>
      <c r="F2957" s="112" t="s">
        <v>3381</v>
      </c>
      <c r="G2957" s="112" t="s">
        <v>1493</v>
      </c>
      <c r="H2957" s="112" t="s">
        <v>1494</v>
      </c>
      <c r="I2957" s="112"/>
      <c r="J2957" s="112" t="b">
        <v>0</v>
      </c>
      <c r="K2957" s="112"/>
      <c r="L2957" s="112"/>
      <c r="M2957" s="112"/>
      <c r="N2957" s="112"/>
      <c r="O2957" s="112"/>
      <c r="P2957" s="112" t="s">
        <v>1485</v>
      </c>
      <c r="Q2957" s="112" t="s">
        <v>1228</v>
      </c>
    </row>
    <row r="2958" spans="2:17" hidden="1" outlineLevel="2">
      <c r="B2958" s="2" t="s">
        <v>876</v>
      </c>
      <c r="D2958" s="268">
        <v>4819</v>
      </c>
      <c r="E2958" s="114" t="s">
        <v>212</v>
      </c>
      <c r="F2958" s="114" t="s">
        <v>3382</v>
      </c>
      <c r="G2958" s="114" t="s">
        <v>1512</v>
      </c>
      <c r="H2958" s="114" t="s">
        <v>1512</v>
      </c>
      <c r="I2958" s="114"/>
      <c r="J2958" s="114" t="b">
        <v>0</v>
      </c>
      <c r="K2958" s="114"/>
      <c r="L2958" s="114"/>
      <c r="M2958" s="114"/>
      <c r="N2958" s="114"/>
      <c r="O2958" s="114"/>
      <c r="P2958" s="114" t="s">
        <v>1485</v>
      </c>
      <c r="Q2958" s="114" t="s">
        <v>1228</v>
      </c>
    </row>
    <row r="2959" spans="2:17" hidden="1" outlineLevel="2">
      <c r="B2959" s="2" t="s">
        <v>876</v>
      </c>
      <c r="D2959" s="270">
        <v>4820</v>
      </c>
      <c r="E2959" s="112" t="s">
        <v>212</v>
      </c>
      <c r="F2959" s="112" t="s">
        <v>3383</v>
      </c>
      <c r="G2959" s="221" t="s">
        <v>1493</v>
      </c>
      <c r="H2959" s="112" t="s">
        <v>1505</v>
      </c>
      <c r="I2959" s="112"/>
      <c r="J2959" s="112" t="b">
        <v>0</v>
      </c>
      <c r="K2959" s="112" t="s">
        <v>1484</v>
      </c>
      <c r="L2959" s="112" t="b">
        <v>1</v>
      </c>
      <c r="M2959" s="112"/>
      <c r="N2959" s="112"/>
      <c r="O2959" s="112"/>
      <c r="P2959" s="112" t="s">
        <v>1485</v>
      </c>
      <c r="Q2959" s="112" t="s">
        <v>1228</v>
      </c>
    </row>
    <row r="2960" spans="2:17" hidden="1" outlineLevel="2">
      <c r="B2960" s="2" t="s">
        <v>876</v>
      </c>
      <c r="D2960" s="268">
        <v>4821</v>
      </c>
      <c r="E2960" s="114" t="s">
        <v>212</v>
      </c>
      <c r="F2960" s="114" t="s">
        <v>3384</v>
      </c>
      <c r="G2960" s="221" t="s">
        <v>1512</v>
      </c>
      <c r="H2960" s="114" t="s">
        <v>1505</v>
      </c>
      <c r="I2960" s="114"/>
      <c r="J2960" s="114" t="b">
        <v>0</v>
      </c>
      <c r="K2960" s="114"/>
      <c r="L2960" s="114"/>
      <c r="M2960" s="114"/>
      <c r="N2960" s="114"/>
      <c r="O2960" s="114"/>
      <c r="P2960" s="114" t="s">
        <v>1485</v>
      </c>
      <c r="Q2960" s="114" t="s">
        <v>1228</v>
      </c>
    </row>
    <row r="2961" spans="2:17" hidden="1" outlineLevel="2">
      <c r="B2961" s="2" t="s">
        <v>876</v>
      </c>
      <c r="D2961" s="270">
        <v>4822</v>
      </c>
      <c r="E2961" s="112" t="s">
        <v>212</v>
      </c>
      <c r="F2961" s="112" t="s">
        <v>2209</v>
      </c>
      <c r="G2961" s="112" t="s">
        <v>1512</v>
      </c>
      <c r="H2961" s="112" t="s">
        <v>1505</v>
      </c>
      <c r="I2961" s="112"/>
      <c r="J2961" s="112" t="b">
        <v>0</v>
      </c>
      <c r="K2961" s="112"/>
      <c r="L2961" s="112"/>
      <c r="M2961" s="112"/>
      <c r="N2961" s="112"/>
      <c r="O2961" s="112"/>
      <c r="P2961" s="112" t="s">
        <v>1485</v>
      </c>
      <c r="Q2961" s="112" t="s">
        <v>1228</v>
      </c>
    </row>
    <row r="2962" spans="2:17" hidden="1" outlineLevel="2">
      <c r="B2962" s="2" t="s">
        <v>876</v>
      </c>
      <c r="D2962" s="268">
        <v>4823</v>
      </c>
      <c r="E2962" s="114" t="s">
        <v>212</v>
      </c>
      <c r="F2962" s="114" t="s">
        <v>3385</v>
      </c>
      <c r="G2962" s="114" t="s">
        <v>1512</v>
      </c>
      <c r="H2962" s="114" t="s">
        <v>1505</v>
      </c>
      <c r="I2962" s="114"/>
      <c r="J2962" s="114" t="b">
        <v>0</v>
      </c>
      <c r="K2962" s="114"/>
      <c r="L2962" s="114"/>
      <c r="M2962" s="114"/>
      <c r="N2962" s="114"/>
      <c r="O2962" s="114"/>
      <c r="P2962" s="114" t="s">
        <v>1485</v>
      </c>
      <c r="Q2962" s="114" t="s">
        <v>1228</v>
      </c>
    </row>
    <row r="2963" spans="2:17" hidden="1" outlineLevel="2">
      <c r="B2963" s="2" t="s">
        <v>876</v>
      </c>
      <c r="D2963" s="270">
        <v>4824</v>
      </c>
      <c r="E2963" s="112" t="s">
        <v>212</v>
      </c>
      <c r="F2963" s="112" t="s">
        <v>3386</v>
      </c>
      <c r="G2963" s="112" t="s">
        <v>1512</v>
      </c>
      <c r="H2963" s="112" t="s">
        <v>1512</v>
      </c>
      <c r="I2963" s="112"/>
      <c r="J2963" s="112" t="b">
        <v>0</v>
      </c>
      <c r="K2963" s="112" t="s">
        <v>1484</v>
      </c>
      <c r="L2963" s="112" t="b">
        <v>1</v>
      </c>
      <c r="M2963" s="112"/>
      <c r="N2963" s="112"/>
      <c r="O2963" s="112"/>
      <c r="P2963" s="112" t="s">
        <v>1485</v>
      </c>
      <c r="Q2963" s="112" t="s">
        <v>1228</v>
      </c>
    </row>
    <row r="2964" spans="2:17" hidden="1" outlineLevel="2">
      <c r="B2964" s="2" t="s">
        <v>876</v>
      </c>
      <c r="D2964" s="268">
        <v>4825</v>
      </c>
      <c r="E2964" s="114" t="s">
        <v>212</v>
      </c>
      <c r="F2964" s="114" t="s">
        <v>3387</v>
      </c>
      <c r="G2964" s="114" t="s">
        <v>1493</v>
      </c>
      <c r="H2964" s="114" t="s">
        <v>1494</v>
      </c>
      <c r="I2964" s="114"/>
      <c r="J2964" s="114" t="b">
        <v>0</v>
      </c>
      <c r="K2964" s="114" t="s">
        <v>1484</v>
      </c>
      <c r="L2964" s="114" t="b">
        <v>1</v>
      </c>
      <c r="M2964" s="114"/>
      <c r="N2964" s="114"/>
      <c r="O2964" s="114"/>
      <c r="P2964" s="114" t="s">
        <v>1485</v>
      </c>
      <c r="Q2964" s="114" t="s">
        <v>1228</v>
      </c>
    </row>
    <row r="2965" spans="2:17" hidden="1" outlineLevel="2">
      <c r="B2965" s="2" t="s">
        <v>876</v>
      </c>
      <c r="D2965" s="270">
        <v>4828</v>
      </c>
      <c r="E2965" s="112" t="s">
        <v>212</v>
      </c>
      <c r="F2965" s="112" t="s">
        <v>3388</v>
      </c>
      <c r="G2965" s="112" t="s">
        <v>1512</v>
      </c>
      <c r="H2965" s="112" t="s">
        <v>1505</v>
      </c>
      <c r="I2965" s="112"/>
      <c r="J2965" s="112" t="b">
        <v>0</v>
      </c>
      <c r="K2965" s="112"/>
      <c r="L2965" s="112"/>
      <c r="M2965" s="112"/>
      <c r="N2965" s="112"/>
      <c r="O2965" s="112"/>
      <c r="P2965" s="112" t="s">
        <v>1485</v>
      </c>
      <c r="Q2965" s="112" t="s">
        <v>1228</v>
      </c>
    </row>
    <row r="2966" spans="2:17" hidden="1" outlineLevel="2">
      <c r="B2966" s="2" t="s">
        <v>876</v>
      </c>
      <c r="D2966" s="268">
        <v>4829</v>
      </c>
      <c r="E2966" s="114" t="s">
        <v>212</v>
      </c>
      <c r="F2966" s="114" t="s">
        <v>2168</v>
      </c>
      <c r="G2966" s="114" t="s">
        <v>1512</v>
      </c>
      <c r="H2966" s="114" t="s">
        <v>1512</v>
      </c>
      <c r="I2966" s="114"/>
      <c r="J2966" s="114" t="b">
        <v>0</v>
      </c>
      <c r="K2966" s="114"/>
      <c r="L2966" s="114"/>
      <c r="M2966" s="114"/>
      <c r="N2966" s="114"/>
      <c r="O2966" s="114"/>
      <c r="P2966" s="114" t="s">
        <v>1485</v>
      </c>
      <c r="Q2966" s="114" t="s">
        <v>1228</v>
      </c>
    </row>
    <row r="2967" spans="2:17" hidden="1" outlineLevel="2">
      <c r="B2967" s="2" t="s">
        <v>876</v>
      </c>
      <c r="D2967" s="270">
        <v>4830</v>
      </c>
      <c r="E2967" s="112" t="s">
        <v>212</v>
      </c>
      <c r="F2967" s="112" t="s">
        <v>3389</v>
      </c>
      <c r="G2967" s="112" t="s">
        <v>1512</v>
      </c>
      <c r="H2967" s="112" t="s">
        <v>1505</v>
      </c>
      <c r="I2967" s="112"/>
      <c r="J2967" s="112" t="b">
        <v>0</v>
      </c>
      <c r="K2967" s="112"/>
      <c r="L2967" s="112"/>
      <c r="M2967" s="112"/>
      <c r="N2967" s="112"/>
      <c r="O2967" s="112"/>
      <c r="P2967" s="112" t="s">
        <v>1485</v>
      </c>
      <c r="Q2967" s="112" t="s">
        <v>1228</v>
      </c>
    </row>
    <row r="2968" spans="2:17" hidden="1" outlineLevel="2">
      <c r="B2968" s="2" t="s">
        <v>876</v>
      </c>
      <c r="D2968" s="268">
        <v>4849</v>
      </c>
      <c r="E2968" s="114" t="s">
        <v>212</v>
      </c>
      <c r="F2968" s="114" t="s">
        <v>3390</v>
      </c>
      <c r="G2968" s="114" t="s">
        <v>1512</v>
      </c>
      <c r="H2968" s="114" t="s">
        <v>1505</v>
      </c>
      <c r="I2968" s="114"/>
      <c r="J2968" s="114" t="b">
        <v>0</v>
      </c>
      <c r="K2968" s="114"/>
      <c r="L2968" s="114"/>
      <c r="M2968" s="114"/>
      <c r="N2968" s="114"/>
      <c r="O2968" s="114"/>
      <c r="P2968" s="114" t="s">
        <v>1485</v>
      </c>
      <c r="Q2968" s="114" t="s">
        <v>1228</v>
      </c>
    </row>
    <row r="2969" spans="2:17" hidden="1" outlineLevel="2">
      <c r="B2969" s="2" t="s">
        <v>876</v>
      </c>
      <c r="D2969" s="270">
        <v>4850</v>
      </c>
      <c r="E2969" s="112" t="s">
        <v>212</v>
      </c>
      <c r="F2969" s="112" t="s">
        <v>3391</v>
      </c>
      <c r="G2969" s="221" t="s">
        <v>1493</v>
      </c>
      <c r="H2969" s="112" t="s">
        <v>1505</v>
      </c>
      <c r="I2969" s="112"/>
      <c r="J2969" s="112" t="b">
        <v>0</v>
      </c>
      <c r="K2969" s="112"/>
      <c r="L2969" s="112"/>
      <c r="M2969" s="112"/>
      <c r="N2969" s="112"/>
      <c r="O2969" s="112"/>
      <c r="P2969" s="112" t="s">
        <v>1485</v>
      </c>
      <c r="Q2969" s="112" t="s">
        <v>1228</v>
      </c>
    </row>
    <row r="2970" spans="2:17" hidden="1" outlineLevel="2">
      <c r="B2970" s="2" t="s">
        <v>876</v>
      </c>
      <c r="D2970" s="268">
        <v>4852</v>
      </c>
      <c r="E2970" s="114" t="s">
        <v>212</v>
      </c>
      <c r="F2970" s="114" t="s">
        <v>3392</v>
      </c>
      <c r="G2970" s="114" t="s">
        <v>1493</v>
      </c>
      <c r="H2970" s="114" t="s">
        <v>1505</v>
      </c>
      <c r="I2970" s="114"/>
      <c r="J2970" s="114" t="b">
        <v>0</v>
      </c>
      <c r="K2970" s="114"/>
      <c r="L2970" s="114"/>
      <c r="M2970" s="114"/>
      <c r="N2970" s="114"/>
      <c r="O2970" s="114"/>
      <c r="P2970" s="114" t="s">
        <v>1485</v>
      </c>
      <c r="Q2970" s="114" t="s">
        <v>1228</v>
      </c>
    </row>
    <row r="2971" spans="2:17" hidden="1" outlineLevel="2">
      <c r="B2971" s="2" t="s">
        <v>876</v>
      </c>
      <c r="D2971" s="270">
        <v>4854</v>
      </c>
      <c r="E2971" s="112" t="s">
        <v>212</v>
      </c>
      <c r="F2971" s="112" t="s">
        <v>3393</v>
      </c>
      <c r="G2971" s="691" t="s">
        <v>1493</v>
      </c>
      <c r="H2971" s="112" t="s">
        <v>1505</v>
      </c>
      <c r="I2971" s="112"/>
      <c r="J2971" s="112" t="b">
        <v>0</v>
      </c>
      <c r="K2971" s="112"/>
      <c r="L2971" s="112"/>
      <c r="M2971" s="112"/>
      <c r="N2971" s="112"/>
      <c r="O2971" s="112"/>
      <c r="P2971" s="112" t="s">
        <v>1485</v>
      </c>
      <c r="Q2971" s="112" t="s">
        <v>1228</v>
      </c>
    </row>
    <row r="2972" spans="2:17" hidden="1" outlineLevel="2">
      <c r="B2972" s="2" t="s">
        <v>876</v>
      </c>
      <c r="D2972" s="268">
        <v>4855</v>
      </c>
      <c r="E2972" s="114" t="s">
        <v>212</v>
      </c>
      <c r="F2972" s="114" t="s">
        <v>3394</v>
      </c>
      <c r="G2972" s="114" t="s">
        <v>1512</v>
      </c>
      <c r="H2972" s="114" t="s">
        <v>1505</v>
      </c>
      <c r="I2972" s="114"/>
      <c r="J2972" s="114" t="b">
        <v>0</v>
      </c>
      <c r="K2972" s="114"/>
      <c r="L2972" s="114" t="b">
        <v>1</v>
      </c>
      <c r="M2972" s="114"/>
      <c r="N2972" s="114"/>
      <c r="O2972" s="114"/>
      <c r="P2972" s="114" t="s">
        <v>1485</v>
      </c>
      <c r="Q2972" s="114" t="s">
        <v>1228</v>
      </c>
    </row>
    <row r="2973" spans="2:17" hidden="1" outlineLevel="2">
      <c r="B2973" s="2" t="s">
        <v>876</v>
      </c>
      <c r="D2973" s="270">
        <v>4856</v>
      </c>
      <c r="E2973" s="112" t="s">
        <v>212</v>
      </c>
      <c r="F2973" s="112" t="s">
        <v>3395</v>
      </c>
      <c r="G2973" s="112" t="s">
        <v>1512</v>
      </c>
      <c r="H2973" s="112" t="s">
        <v>1505</v>
      </c>
      <c r="I2973" s="112"/>
      <c r="J2973" s="112" t="b">
        <v>0</v>
      </c>
      <c r="K2973" s="112"/>
      <c r="L2973" s="112" t="b">
        <v>1</v>
      </c>
      <c r="M2973" s="112"/>
      <c r="N2973" s="112"/>
      <c r="O2973" s="112"/>
      <c r="P2973" s="112" t="s">
        <v>1485</v>
      </c>
      <c r="Q2973" s="112" t="s">
        <v>1228</v>
      </c>
    </row>
    <row r="2974" spans="2:17" hidden="1" outlineLevel="2">
      <c r="B2974" s="2" t="s">
        <v>876</v>
      </c>
      <c r="D2974" s="268">
        <v>4857</v>
      </c>
      <c r="E2974" s="114" t="s">
        <v>212</v>
      </c>
      <c r="F2974" s="114" t="s">
        <v>3396</v>
      </c>
      <c r="G2974" s="114" t="s">
        <v>1512</v>
      </c>
      <c r="H2974" s="114" t="s">
        <v>1505</v>
      </c>
      <c r="I2974" s="114"/>
      <c r="J2974" s="114" t="b">
        <v>0</v>
      </c>
      <c r="K2974" s="114"/>
      <c r="L2974" s="114"/>
      <c r="M2974" s="114"/>
      <c r="N2974" s="114"/>
      <c r="O2974" s="114"/>
      <c r="P2974" s="114" t="s">
        <v>1485</v>
      </c>
      <c r="Q2974" s="114" t="s">
        <v>1228</v>
      </c>
    </row>
    <row r="2975" spans="2:17" hidden="1" outlineLevel="2">
      <c r="B2975" s="2" t="s">
        <v>876</v>
      </c>
      <c r="D2975" s="270">
        <v>4858</v>
      </c>
      <c r="E2975" s="112" t="s">
        <v>212</v>
      </c>
      <c r="F2975" s="112" t="s">
        <v>3397</v>
      </c>
      <c r="G2975" s="112" t="s">
        <v>1512</v>
      </c>
      <c r="H2975" s="112" t="s">
        <v>1512</v>
      </c>
      <c r="I2975" s="112"/>
      <c r="J2975" s="112" t="b">
        <v>0</v>
      </c>
      <c r="K2975" s="112"/>
      <c r="L2975" s="112"/>
      <c r="M2975" s="112"/>
      <c r="N2975" s="112"/>
      <c r="O2975" s="112"/>
      <c r="P2975" s="112" t="s">
        <v>1485</v>
      </c>
      <c r="Q2975" s="112" t="s">
        <v>1228</v>
      </c>
    </row>
    <row r="2976" spans="2:17" hidden="1" outlineLevel="2">
      <c r="B2976" s="2" t="s">
        <v>876</v>
      </c>
      <c r="D2976" s="268">
        <v>4859</v>
      </c>
      <c r="E2976" s="114" t="s">
        <v>212</v>
      </c>
      <c r="F2976" s="114" t="s">
        <v>3398</v>
      </c>
      <c r="G2976" s="114" t="s">
        <v>1512</v>
      </c>
      <c r="H2976" s="114" t="s">
        <v>1505</v>
      </c>
      <c r="I2976" s="114"/>
      <c r="J2976" s="114" t="b">
        <v>0</v>
      </c>
      <c r="K2976" s="114"/>
      <c r="L2976" s="114" t="b">
        <v>1</v>
      </c>
      <c r="M2976" s="114"/>
      <c r="N2976" s="114"/>
      <c r="O2976" s="114"/>
      <c r="P2976" s="114" t="s">
        <v>1485</v>
      </c>
      <c r="Q2976" s="114" t="s">
        <v>1228</v>
      </c>
    </row>
    <row r="2977" spans="2:17" hidden="1" outlineLevel="2">
      <c r="B2977" s="2" t="s">
        <v>876</v>
      </c>
      <c r="D2977" s="270">
        <v>4860</v>
      </c>
      <c r="E2977" s="112" t="s">
        <v>212</v>
      </c>
      <c r="F2977" s="112" t="s">
        <v>3399</v>
      </c>
      <c r="G2977" s="221" t="s">
        <v>1493</v>
      </c>
      <c r="H2977" s="112" t="s">
        <v>1505</v>
      </c>
      <c r="I2977" s="112"/>
      <c r="J2977" s="112" t="b">
        <v>0</v>
      </c>
      <c r="K2977" s="112"/>
      <c r="L2977" s="112"/>
      <c r="M2977" s="112"/>
      <c r="N2977" s="112"/>
      <c r="O2977" s="112"/>
      <c r="P2977" s="112" t="s">
        <v>1485</v>
      </c>
      <c r="Q2977" s="112" t="s">
        <v>1228</v>
      </c>
    </row>
    <row r="2978" spans="2:17" hidden="1" outlineLevel="2">
      <c r="B2978" s="2" t="s">
        <v>876</v>
      </c>
      <c r="D2978" s="268">
        <v>4861</v>
      </c>
      <c r="E2978" s="114" t="s">
        <v>212</v>
      </c>
      <c r="F2978" s="114" t="s">
        <v>2142</v>
      </c>
      <c r="G2978" s="114" t="s">
        <v>1512</v>
      </c>
      <c r="H2978" s="114" t="s">
        <v>1505</v>
      </c>
      <c r="I2978" s="114"/>
      <c r="J2978" s="114" t="b">
        <v>0</v>
      </c>
      <c r="K2978" s="114"/>
      <c r="L2978" s="114"/>
      <c r="M2978" s="114"/>
      <c r="N2978" s="114"/>
      <c r="O2978" s="114"/>
      <c r="P2978" s="114" t="s">
        <v>1485</v>
      </c>
      <c r="Q2978" s="114" t="s">
        <v>1228</v>
      </c>
    </row>
    <row r="2979" spans="2:17" hidden="1" outlineLevel="2">
      <c r="B2979" s="2" t="s">
        <v>876</v>
      </c>
      <c r="D2979" s="270">
        <v>4865</v>
      </c>
      <c r="E2979" s="112" t="s">
        <v>212</v>
      </c>
      <c r="F2979" s="112" t="s">
        <v>3400</v>
      </c>
      <c r="G2979" s="112" t="s">
        <v>1483</v>
      </c>
      <c r="H2979" s="112" t="s">
        <v>1494</v>
      </c>
      <c r="I2979" s="112"/>
      <c r="J2979" s="112" t="b">
        <v>0</v>
      </c>
      <c r="K2979" s="112"/>
      <c r="L2979" s="112"/>
      <c r="M2979" s="112"/>
      <c r="N2979" s="112"/>
      <c r="O2979" s="112"/>
      <c r="P2979" s="112" t="s">
        <v>1485</v>
      </c>
      <c r="Q2979" s="112" t="s">
        <v>1228</v>
      </c>
    </row>
    <row r="2980" spans="2:17" hidden="1" outlineLevel="2">
      <c r="B2980" s="2" t="s">
        <v>876</v>
      </c>
      <c r="D2980" s="268">
        <v>4868</v>
      </c>
      <c r="E2980" s="114" t="s">
        <v>212</v>
      </c>
      <c r="F2980" s="114" t="s">
        <v>3401</v>
      </c>
      <c r="G2980" s="114" t="s">
        <v>1483</v>
      </c>
      <c r="H2980" s="114" t="s">
        <v>1494</v>
      </c>
      <c r="I2980" s="114"/>
      <c r="J2980" s="114" t="b">
        <v>0</v>
      </c>
      <c r="K2980" s="114"/>
      <c r="L2980" s="114"/>
      <c r="M2980" s="114"/>
      <c r="N2980" s="114"/>
      <c r="O2980" s="114"/>
      <c r="P2980" s="114" t="s">
        <v>1485</v>
      </c>
      <c r="Q2980" s="114" t="s">
        <v>1228</v>
      </c>
    </row>
    <row r="2981" spans="2:17" hidden="1" outlineLevel="2">
      <c r="B2981" s="2" t="s">
        <v>876</v>
      </c>
      <c r="D2981" s="270">
        <v>4869</v>
      </c>
      <c r="E2981" s="112" t="s">
        <v>212</v>
      </c>
      <c r="F2981" s="112" t="s">
        <v>3402</v>
      </c>
      <c r="G2981" s="112" t="s">
        <v>1483</v>
      </c>
      <c r="H2981" s="112" t="s">
        <v>1494</v>
      </c>
      <c r="I2981" s="112"/>
      <c r="J2981" s="112" t="b">
        <v>0</v>
      </c>
      <c r="K2981" s="112"/>
      <c r="L2981" s="112"/>
      <c r="M2981" s="112"/>
      <c r="N2981" s="112"/>
      <c r="O2981" s="112"/>
      <c r="P2981" s="112" t="s">
        <v>1485</v>
      </c>
      <c r="Q2981" s="112" t="s">
        <v>1228</v>
      </c>
    </row>
    <row r="2982" spans="2:17" hidden="1" outlineLevel="2">
      <c r="B2982" s="2" t="s">
        <v>876</v>
      </c>
      <c r="D2982" s="268">
        <v>4870</v>
      </c>
      <c r="E2982" s="114" t="s">
        <v>212</v>
      </c>
      <c r="F2982" s="114" t="s">
        <v>3403</v>
      </c>
      <c r="G2982" s="269" t="s">
        <v>1483</v>
      </c>
      <c r="H2982" s="114" t="s">
        <v>1494</v>
      </c>
      <c r="I2982" s="114"/>
      <c r="J2982" s="114" t="b">
        <v>0</v>
      </c>
      <c r="K2982" s="114"/>
      <c r="L2982" s="114"/>
      <c r="M2982" s="114"/>
      <c r="N2982" s="114"/>
      <c r="O2982" s="114"/>
      <c r="P2982" s="114" t="s">
        <v>1485</v>
      </c>
      <c r="Q2982" s="114" t="s">
        <v>1228</v>
      </c>
    </row>
    <row r="2983" spans="2:17" hidden="1" outlineLevel="2">
      <c r="B2983" s="2" t="s">
        <v>876</v>
      </c>
      <c r="D2983" s="270">
        <v>4871</v>
      </c>
      <c r="E2983" s="112" t="s">
        <v>212</v>
      </c>
      <c r="F2983" s="112" t="s">
        <v>3404</v>
      </c>
      <c r="G2983" s="221" t="s">
        <v>1493</v>
      </c>
      <c r="H2983" s="112" t="s">
        <v>1505</v>
      </c>
      <c r="I2983" s="112"/>
      <c r="J2983" s="112" t="b">
        <v>0</v>
      </c>
      <c r="K2983" s="112" t="s">
        <v>1484</v>
      </c>
      <c r="L2983" s="112" t="b">
        <v>1</v>
      </c>
      <c r="M2983" s="112"/>
      <c r="N2983" s="112"/>
      <c r="O2983" s="112"/>
      <c r="P2983" s="112" t="s">
        <v>1485</v>
      </c>
      <c r="Q2983" s="112" t="s">
        <v>1228</v>
      </c>
    </row>
    <row r="2984" spans="2:17" hidden="1" outlineLevel="2">
      <c r="B2984" s="2" t="s">
        <v>876</v>
      </c>
      <c r="D2984" s="268">
        <v>4872</v>
      </c>
      <c r="E2984" s="114" t="s">
        <v>212</v>
      </c>
      <c r="F2984" s="114" t="s">
        <v>3405</v>
      </c>
      <c r="G2984" s="114" t="s">
        <v>1512</v>
      </c>
      <c r="H2984" s="114" t="s">
        <v>1512</v>
      </c>
      <c r="I2984" s="114"/>
      <c r="J2984" s="114" t="b">
        <v>0</v>
      </c>
      <c r="K2984" s="114"/>
      <c r="L2984" s="114"/>
      <c r="M2984" s="114"/>
      <c r="N2984" s="114"/>
      <c r="O2984" s="114"/>
      <c r="P2984" s="114" t="s">
        <v>1485</v>
      </c>
      <c r="Q2984" s="114" t="s">
        <v>1228</v>
      </c>
    </row>
    <row r="2985" spans="2:17" hidden="1" outlineLevel="2">
      <c r="B2985" s="2" t="s">
        <v>876</v>
      </c>
      <c r="D2985" s="270">
        <v>4873</v>
      </c>
      <c r="E2985" s="112" t="s">
        <v>212</v>
      </c>
      <c r="F2985" s="112" t="s">
        <v>3406</v>
      </c>
      <c r="G2985" s="221" t="s">
        <v>1493</v>
      </c>
      <c r="H2985" s="112" t="s">
        <v>1512</v>
      </c>
      <c r="I2985" s="112"/>
      <c r="J2985" s="112" t="b">
        <v>0</v>
      </c>
      <c r="K2985" s="112"/>
      <c r="L2985" s="112"/>
      <c r="M2985" s="112"/>
      <c r="N2985" s="112"/>
      <c r="O2985" s="112"/>
      <c r="P2985" s="112" t="s">
        <v>1485</v>
      </c>
      <c r="Q2985" s="112" t="s">
        <v>1228</v>
      </c>
    </row>
    <row r="2986" spans="2:17" hidden="1" outlineLevel="2">
      <c r="B2986" s="2" t="s">
        <v>876</v>
      </c>
      <c r="D2986" s="268">
        <v>4874</v>
      </c>
      <c r="E2986" s="114" t="s">
        <v>212</v>
      </c>
      <c r="F2986" s="114" t="s">
        <v>3407</v>
      </c>
      <c r="G2986" s="505" t="s">
        <v>1512</v>
      </c>
      <c r="H2986" s="114" t="s">
        <v>1505</v>
      </c>
      <c r="I2986" s="114"/>
      <c r="J2986" s="505" t="b">
        <v>0</v>
      </c>
      <c r="K2986" s="505"/>
      <c r="L2986" s="114" t="b">
        <v>1</v>
      </c>
      <c r="M2986" s="114"/>
      <c r="N2986" s="114"/>
      <c r="O2986" s="114"/>
      <c r="P2986" s="114" t="s">
        <v>1485</v>
      </c>
      <c r="Q2986" s="114" t="s">
        <v>1228</v>
      </c>
    </row>
    <row r="2987" spans="2:17" hidden="1" outlineLevel="2">
      <c r="B2987" s="2" t="s">
        <v>876</v>
      </c>
      <c r="D2987" s="270">
        <v>4875</v>
      </c>
      <c r="E2987" s="112" t="s">
        <v>212</v>
      </c>
      <c r="F2987" s="112" t="s">
        <v>3408</v>
      </c>
      <c r="G2987" s="112" t="s">
        <v>1533</v>
      </c>
      <c r="H2987" s="112" t="s">
        <v>1533</v>
      </c>
      <c r="I2987" s="112"/>
      <c r="J2987" s="112" t="b">
        <v>0</v>
      </c>
      <c r="K2987" s="112"/>
      <c r="L2987" s="112"/>
      <c r="M2987" s="112"/>
      <c r="N2987" s="112"/>
      <c r="O2987" s="112"/>
      <c r="P2987" s="112" t="s">
        <v>1485</v>
      </c>
      <c r="Q2987" s="112" t="s">
        <v>1228</v>
      </c>
    </row>
    <row r="2988" spans="2:17" hidden="1" outlineLevel="2">
      <c r="B2988" s="2" t="s">
        <v>876</v>
      </c>
      <c r="D2988" s="268">
        <v>4876</v>
      </c>
      <c r="E2988" s="114" t="s">
        <v>212</v>
      </c>
      <c r="F2988" s="114" t="s">
        <v>3409</v>
      </c>
      <c r="G2988" s="114" t="s">
        <v>1512</v>
      </c>
      <c r="H2988" s="114" t="s">
        <v>1505</v>
      </c>
      <c r="I2988" s="114"/>
      <c r="J2988" s="114" t="b">
        <v>0</v>
      </c>
      <c r="K2988" s="114"/>
      <c r="L2988" s="114"/>
      <c r="M2988" s="114"/>
      <c r="N2988" s="114"/>
      <c r="O2988" s="114"/>
      <c r="P2988" s="114" t="s">
        <v>1485</v>
      </c>
      <c r="Q2988" s="114" t="s">
        <v>1228</v>
      </c>
    </row>
    <row r="2989" spans="2:17" hidden="1" outlineLevel="2">
      <c r="B2989" s="2" t="s">
        <v>876</v>
      </c>
      <c r="D2989" s="270">
        <v>4877</v>
      </c>
      <c r="E2989" s="112" t="s">
        <v>212</v>
      </c>
      <c r="F2989" s="112" t="s">
        <v>3410</v>
      </c>
      <c r="G2989" s="112" t="s">
        <v>1572</v>
      </c>
      <c r="H2989" s="112" t="s">
        <v>1227</v>
      </c>
      <c r="I2989" s="112"/>
      <c r="J2989" s="112" t="b">
        <v>0</v>
      </c>
      <c r="K2989" s="112"/>
      <c r="L2989" s="112"/>
      <c r="M2989" s="112"/>
      <c r="N2989" s="112"/>
      <c r="O2989" s="112"/>
      <c r="P2989" s="112" t="s">
        <v>1485</v>
      </c>
      <c r="Q2989" s="112" t="s">
        <v>1227</v>
      </c>
    </row>
    <row r="2990" spans="2:17" hidden="1" outlineLevel="2">
      <c r="B2990" s="2" t="s">
        <v>876</v>
      </c>
      <c r="D2990" s="268">
        <v>4878</v>
      </c>
      <c r="E2990" s="114" t="s">
        <v>212</v>
      </c>
      <c r="F2990" s="114" t="s">
        <v>3411</v>
      </c>
      <c r="G2990" s="114" t="s">
        <v>1483</v>
      </c>
      <c r="H2990" s="114" t="s">
        <v>1494</v>
      </c>
      <c r="I2990" s="114"/>
      <c r="J2990" s="114" t="b">
        <v>0</v>
      </c>
      <c r="K2990" s="114"/>
      <c r="L2990" s="114"/>
      <c r="M2990" s="114"/>
      <c r="N2990" s="114"/>
      <c r="O2990" s="114"/>
      <c r="P2990" s="114" t="s">
        <v>1485</v>
      </c>
      <c r="Q2990" s="114" t="s">
        <v>1228</v>
      </c>
    </row>
    <row r="2991" spans="2:17" hidden="1" outlineLevel="2">
      <c r="B2991" s="2" t="s">
        <v>876</v>
      </c>
      <c r="D2991" s="270">
        <v>4879</v>
      </c>
      <c r="E2991" s="112" t="s">
        <v>212</v>
      </c>
      <c r="F2991" s="112" t="s">
        <v>3412</v>
      </c>
      <c r="G2991" s="112" t="s">
        <v>1483</v>
      </c>
      <c r="H2991" s="112" t="s">
        <v>1494</v>
      </c>
      <c r="I2991" s="112"/>
      <c r="J2991" s="112" t="b">
        <v>0</v>
      </c>
      <c r="K2991" s="112"/>
      <c r="L2991" s="112"/>
      <c r="M2991" s="112"/>
      <c r="N2991" s="112"/>
      <c r="O2991" s="112"/>
      <c r="P2991" s="112" t="s">
        <v>1485</v>
      </c>
      <c r="Q2991" s="112" t="s">
        <v>1228</v>
      </c>
    </row>
    <row r="2992" spans="2:17" hidden="1" outlineLevel="2">
      <c r="B2992" s="2" t="s">
        <v>876</v>
      </c>
      <c r="D2992" s="268">
        <v>4880</v>
      </c>
      <c r="E2992" s="114" t="s">
        <v>212</v>
      </c>
      <c r="F2992" s="114" t="s">
        <v>3413</v>
      </c>
      <c r="G2992" s="221" t="s">
        <v>1493</v>
      </c>
      <c r="H2992" s="114" t="s">
        <v>1505</v>
      </c>
      <c r="I2992" s="114"/>
      <c r="J2992" s="114" t="b">
        <v>0</v>
      </c>
      <c r="K2992" s="114"/>
      <c r="L2992" s="114"/>
      <c r="M2992" s="114"/>
      <c r="N2992" s="114"/>
      <c r="O2992" s="114"/>
      <c r="P2992" s="114" t="s">
        <v>1485</v>
      </c>
      <c r="Q2992" s="114" t="s">
        <v>1228</v>
      </c>
    </row>
    <row r="2993" spans="2:17" hidden="1" outlineLevel="2">
      <c r="B2993" s="2" t="s">
        <v>876</v>
      </c>
      <c r="D2993" s="270">
        <v>4881</v>
      </c>
      <c r="E2993" s="112" t="s">
        <v>212</v>
      </c>
      <c r="F2993" s="112" t="s">
        <v>3414</v>
      </c>
      <c r="G2993" s="112" t="s">
        <v>1493</v>
      </c>
      <c r="H2993" s="112" t="s">
        <v>1494</v>
      </c>
      <c r="I2993" s="112"/>
      <c r="J2993" s="112" t="b">
        <v>0</v>
      </c>
      <c r="K2993" s="112"/>
      <c r="L2993" s="112"/>
      <c r="M2993" s="112"/>
      <c r="N2993" s="112"/>
      <c r="O2993" s="112"/>
      <c r="P2993" s="112" t="s">
        <v>1485</v>
      </c>
      <c r="Q2993" s="112" t="s">
        <v>1228</v>
      </c>
    </row>
    <row r="2994" spans="2:17" hidden="1" outlineLevel="2">
      <c r="B2994" s="2" t="s">
        <v>876</v>
      </c>
      <c r="D2994" s="268">
        <v>4882</v>
      </c>
      <c r="E2994" s="114" t="s">
        <v>212</v>
      </c>
      <c r="F2994" s="114" t="s">
        <v>3415</v>
      </c>
      <c r="G2994" s="114" t="s">
        <v>1493</v>
      </c>
      <c r="H2994" s="114" t="s">
        <v>1505</v>
      </c>
      <c r="I2994" s="114"/>
      <c r="J2994" s="114" t="b">
        <v>0</v>
      </c>
      <c r="K2994" s="114"/>
      <c r="L2994" s="114"/>
      <c r="M2994" s="114"/>
      <c r="N2994" s="114"/>
      <c r="O2994" s="114"/>
      <c r="P2994" s="114" t="s">
        <v>1485</v>
      </c>
      <c r="Q2994" s="114" t="s">
        <v>1228</v>
      </c>
    </row>
    <row r="2995" spans="2:17" hidden="1" outlineLevel="2">
      <c r="B2995" s="2" t="s">
        <v>876</v>
      </c>
      <c r="D2995" s="270">
        <v>4883</v>
      </c>
      <c r="E2995" s="112" t="s">
        <v>212</v>
      </c>
      <c r="F2995" s="112" t="s">
        <v>3416</v>
      </c>
      <c r="G2995" s="112" t="s">
        <v>1483</v>
      </c>
      <c r="H2995" s="112" t="s">
        <v>1494</v>
      </c>
      <c r="I2995" s="112"/>
      <c r="J2995" s="112" t="b">
        <v>0</v>
      </c>
      <c r="K2995" s="112"/>
      <c r="L2995" s="112"/>
      <c r="M2995" s="112"/>
      <c r="N2995" s="112"/>
      <c r="O2995" s="112"/>
      <c r="P2995" s="112" t="s">
        <v>1485</v>
      </c>
      <c r="Q2995" s="112" t="s">
        <v>1228</v>
      </c>
    </row>
    <row r="2996" spans="2:17" hidden="1" outlineLevel="2">
      <c r="B2996" s="2" t="s">
        <v>876</v>
      </c>
      <c r="D2996" s="268">
        <v>4884</v>
      </c>
      <c r="E2996" s="114" t="s">
        <v>212</v>
      </c>
      <c r="F2996" s="114" t="s">
        <v>3417</v>
      </c>
      <c r="G2996" s="114" t="s">
        <v>1512</v>
      </c>
      <c r="H2996" s="114" t="s">
        <v>1505</v>
      </c>
      <c r="I2996" s="114"/>
      <c r="J2996" s="114" t="b">
        <v>0</v>
      </c>
      <c r="K2996" s="114"/>
      <c r="L2996" s="114"/>
      <c r="M2996" s="114"/>
      <c r="N2996" s="114"/>
      <c r="O2996" s="114"/>
      <c r="P2996" s="114" t="s">
        <v>1485</v>
      </c>
      <c r="Q2996" s="114" t="s">
        <v>1228</v>
      </c>
    </row>
    <row r="2997" spans="2:17" hidden="1" outlineLevel="2">
      <c r="B2997" s="2" t="s">
        <v>876</v>
      </c>
      <c r="D2997" s="270">
        <v>4885</v>
      </c>
      <c r="E2997" s="112" t="s">
        <v>212</v>
      </c>
      <c r="F2997" s="112" t="s">
        <v>3418</v>
      </c>
      <c r="G2997" s="112" t="s">
        <v>1512</v>
      </c>
      <c r="H2997" s="112" t="s">
        <v>1505</v>
      </c>
      <c r="I2997" s="112"/>
      <c r="J2997" s="112" t="b">
        <v>0</v>
      </c>
      <c r="K2997" s="112"/>
      <c r="L2997" s="112"/>
      <c r="M2997" s="112"/>
      <c r="N2997" s="112"/>
      <c r="O2997" s="112"/>
      <c r="P2997" s="112" t="s">
        <v>1485</v>
      </c>
      <c r="Q2997" s="112" t="s">
        <v>1228</v>
      </c>
    </row>
    <row r="2998" spans="2:17" hidden="1" outlineLevel="2">
      <c r="B2998" s="2" t="s">
        <v>876</v>
      </c>
      <c r="D2998" s="268">
        <v>4886</v>
      </c>
      <c r="E2998" s="114" t="s">
        <v>212</v>
      </c>
      <c r="F2998" s="114" t="s">
        <v>3419</v>
      </c>
      <c r="G2998" s="114" t="s">
        <v>1512</v>
      </c>
      <c r="H2998" s="114" t="s">
        <v>1505</v>
      </c>
      <c r="I2998" s="114"/>
      <c r="J2998" s="114" t="b">
        <v>0</v>
      </c>
      <c r="K2998" s="114"/>
      <c r="L2998" s="114"/>
      <c r="M2998" s="114"/>
      <c r="N2998" s="114"/>
      <c r="O2998" s="114"/>
      <c r="P2998" s="114" t="s">
        <v>1485</v>
      </c>
      <c r="Q2998" s="114" t="s">
        <v>1228</v>
      </c>
    </row>
    <row r="2999" spans="2:17" hidden="1" outlineLevel="2">
      <c r="B2999" s="2" t="s">
        <v>876</v>
      </c>
      <c r="D2999" s="270">
        <v>4887</v>
      </c>
      <c r="E2999" s="112" t="s">
        <v>212</v>
      </c>
      <c r="F2999" s="112" t="s">
        <v>3420</v>
      </c>
      <c r="G2999" s="112" t="s">
        <v>1512</v>
      </c>
      <c r="H2999" s="112" t="s">
        <v>1505</v>
      </c>
      <c r="I2999" s="112"/>
      <c r="J2999" s="112" t="b">
        <v>0</v>
      </c>
      <c r="K2999" s="112"/>
      <c r="L2999" s="112" t="b">
        <v>1</v>
      </c>
      <c r="M2999" s="112"/>
      <c r="N2999" s="112"/>
      <c r="O2999" s="112"/>
      <c r="P2999" s="112" t="s">
        <v>1485</v>
      </c>
      <c r="Q2999" s="112" t="s">
        <v>1228</v>
      </c>
    </row>
    <row r="3000" spans="2:17" hidden="1" outlineLevel="2">
      <c r="B3000" s="2" t="s">
        <v>876</v>
      </c>
      <c r="D3000" s="268">
        <v>4888</v>
      </c>
      <c r="E3000" s="114" t="s">
        <v>212</v>
      </c>
      <c r="F3000" s="114" t="s">
        <v>3421</v>
      </c>
      <c r="G3000" s="114" t="s">
        <v>1512</v>
      </c>
      <c r="H3000" s="114" t="s">
        <v>1505</v>
      </c>
      <c r="I3000" s="114"/>
      <c r="J3000" s="114" t="b">
        <v>0</v>
      </c>
      <c r="K3000" s="114"/>
      <c r="L3000" s="114"/>
      <c r="M3000" s="114"/>
      <c r="N3000" s="114"/>
      <c r="O3000" s="114"/>
      <c r="P3000" s="114" t="s">
        <v>1485</v>
      </c>
      <c r="Q3000" s="114" t="s">
        <v>1228</v>
      </c>
    </row>
    <row r="3001" spans="2:17" hidden="1" outlineLevel="2">
      <c r="B3001" s="2" t="s">
        <v>876</v>
      </c>
      <c r="D3001" s="270">
        <v>4890</v>
      </c>
      <c r="E3001" s="112" t="s">
        <v>212</v>
      </c>
      <c r="F3001" s="112" t="s">
        <v>3422</v>
      </c>
      <c r="G3001" s="112" t="s">
        <v>1512</v>
      </c>
      <c r="H3001" s="112" t="s">
        <v>1505</v>
      </c>
      <c r="I3001" s="112"/>
      <c r="J3001" s="112" t="b">
        <v>0</v>
      </c>
      <c r="K3001" s="112"/>
      <c r="L3001" s="112" t="b">
        <v>1</v>
      </c>
      <c r="M3001" s="112"/>
      <c r="N3001" s="112"/>
      <c r="O3001" s="112"/>
      <c r="P3001" s="112" t="s">
        <v>1485</v>
      </c>
      <c r="Q3001" s="112" t="s">
        <v>1228</v>
      </c>
    </row>
    <row r="3002" spans="2:17" hidden="1" outlineLevel="2">
      <c r="B3002" s="2" t="s">
        <v>876</v>
      </c>
      <c r="D3002" s="268">
        <v>4891</v>
      </c>
      <c r="E3002" s="114" t="s">
        <v>212</v>
      </c>
      <c r="F3002" s="114" t="s">
        <v>3423</v>
      </c>
      <c r="G3002" s="114" t="s">
        <v>1512</v>
      </c>
      <c r="H3002" s="114" t="s">
        <v>1505</v>
      </c>
      <c r="I3002" s="114"/>
      <c r="J3002" s="114" t="b">
        <v>0</v>
      </c>
      <c r="K3002" s="114"/>
      <c r="L3002" s="114" t="b">
        <v>1</v>
      </c>
      <c r="M3002" s="114"/>
      <c r="N3002" s="114"/>
      <c r="O3002" s="114"/>
      <c r="P3002" s="114" t="s">
        <v>1485</v>
      </c>
      <c r="Q3002" s="114" t="s">
        <v>1228</v>
      </c>
    </row>
    <row r="3003" spans="2:17" hidden="1" outlineLevel="2">
      <c r="B3003" s="2" t="s">
        <v>876</v>
      </c>
      <c r="D3003" s="272">
        <v>4892</v>
      </c>
      <c r="E3003" s="114" t="s">
        <v>212</v>
      </c>
      <c r="F3003" s="114" t="s">
        <v>3424</v>
      </c>
      <c r="G3003" s="114" t="s">
        <v>1533</v>
      </c>
      <c r="H3003" s="114" t="s">
        <v>1505</v>
      </c>
      <c r="I3003" s="114"/>
      <c r="J3003" s="114" t="b">
        <v>0</v>
      </c>
      <c r="K3003" s="114"/>
      <c r="L3003" s="114" t="b">
        <v>1</v>
      </c>
      <c r="M3003" s="114"/>
      <c r="N3003" s="114"/>
      <c r="O3003" s="114"/>
      <c r="P3003" s="114" t="s">
        <v>1485</v>
      </c>
      <c r="Q3003" s="114" t="s">
        <v>1228</v>
      </c>
    </row>
    <row r="3004" spans="2:17" hidden="1" outlineLevel="2">
      <c r="B3004" s="2" t="s">
        <v>876</v>
      </c>
      <c r="D3004" s="270">
        <v>4895</v>
      </c>
      <c r="E3004" s="112" t="s">
        <v>212</v>
      </c>
      <c r="F3004" s="112" t="s">
        <v>3425</v>
      </c>
      <c r="G3004" s="221" t="s">
        <v>1493</v>
      </c>
      <c r="H3004" s="112" t="s">
        <v>1505</v>
      </c>
      <c r="I3004" s="112"/>
      <c r="J3004" s="112" t="b">
        <v>0</v>
      </c>
      <c r="K3004" s="112"/>
      <c r="L3004" s="112"/>
      <c r="M3004" s="112"/>
      <c r="N3004" s="112"/>
      <c r="O3004" s="112"/>
      <c r="P3004" s="112" t="s">
        <v>1485</v>
      </c>
      <c r="Q3004" s="112" t="s">
        <v>1228</v>
      </c>
    </row>
    <row r="3005" spans="2:17" hidden="1" outlineLevel="2">
      <c r="B3005" s="2" t="s">
        <v>876</v>
      </c>
      <c r="D3005" s="268">
        <v>5000</v>
      </c>
      <c r="E3005" s="114" t="s">
        <v>214</v>
      </c>
      <c r="F3005" s="114" t="s">
        <v>3426</v>
      </c>
      <c r="G3005" s="114" t="s">
        <v>1572</v>
      </c>
      <c r="H3005" s="114" t="s">
        <v>1227</v>
      </c>
      <c r="I3005" s="114"/>
      <c r="J3005" s="114" t="b">
        <v>0</v>
      </c>
      <c r="K3005" s="114"/>
      <c r="L3005" s="114"/>
      <c r="M3005" s="114"/>
      <c r="N3005" s="114"/>
      <c r="O3005" s="114"/>
      <c r="P3005" s="114" t="s">
        <v>1485</v>
      </c>
      <c r="Q3005" s="114" t="s">
        <v>1227</v>
      </c>
    </row>
    <row r="3006" spans="2:17" hidden="1" outlineLevel="2">
      <c r="B3006" s="2" t="s">
        <v>876</v>
      </c>
      <c r="D3006" s="270">
        <v>5006</v>
      </c>
      <c r="E3006" s="112" t="s">
        <v>214</v>
      </c>
      <c r="F3006" s="112" t="s">
        <v>3427</v>
      </c>
      <c r="G3006" s="112" t="s">
        <v>1572</v>
      </c>
      <c r="H3006" s="112" t="s">
        <v>1227</v>
      </c>
      <c r="I3006" s="112"/>
      <c r="J3006" s="112" t="b">
        <v>0</v>
      </c>
      <c r="K3006" s="112"/>
      <c r="L3006" s="112"/>
      <c r="M3006" s="112"/>
      <c r="N3006" s="112"/>
      <c r="O3006" s="112"/>
      <c r="P3006" s="112" t="s">
        <v>1485</v>
      </c>
      <c r="Q3006" s="112" t="s">
        <v>1227</v>
      </c>
    </row>
    <row r="3007" spans="2:17" hidden="1" outlineLevel="2">
      <c r="B3007" s="2" t="s">
        <v>876</v>
      </c>
      <c r="D3007" s="268">
        <v>5007</v>
      </c>
      <c r="E3007" s="114" t="s">
        <v>214</v>
      </c>
      <c r="F3007" s="114" t="s">
        <v>3428</v>
      </c>
      <c r="G3007" s="114" t="s">
        <v>1572</v>
      </c>
      <c r="H3007" s="114" t="s">
        <v>1227</v>
      </c>
      <c r="I3007" s="114"/>
      <c r="J3007" s="114" t="b">
        <v>0</v>
      </c>
      <c r="K3007" s="114"/>
      <c r="L3007" s="114"/>
      <c r="M3007" s="114"/>
      <c r="N3007" s="114"/>
      <c r="O3007" s="114"/>
      <c r="P3007" s="114" t="s">
        <v>1485</v>
      </c>
      <c r="Q3007" s="114" t="s">
        <v>1227</v>
      </c>
    </row>
    <row r="3008" spans="2:17" hidden="1" outlineLevel="2">
      <c r="B3008" s="2" t="s">
        <v>876</v>
      </c>
      <c r="D3008" s="270">
        <v>5008</v>
      </c>
      <c r="E3008" s="112" t="s">
        <v>214</v>
      </c>
      <c r="F3008" s="112" t="s">
        <v>1665</v>
      </c>
      <c r="G3008" s="112" t="s">
        <v>1572</v>
      </c>
      <c r="H3008" s="112" t="s">
        <v>1227</v>
      </c>
      <c r="I3008" s="112"/>
      <c r="J3008" s="112" t="b">
        <v>0</v>
      </c>
      <c r="K3008" s="112"/>
      <c r="L3008" s="112"/>
      <c r="M3008" s="112"/>
      <c r="N3008" s="112"/>
      <c r="O3008" s="112"/>
      <c r="P3008" s="112" t="s">
        <v>1485</v>
      </c>
      <c r="Q3008" s="112" t="s">
        <v>1227</v>
      </c>
    </row>
    <row r="3009" spans="2:17" hidden="1" outlineLevel="2">
      <c r="B3009" s="2" t="s">
        <v>876</v>
      </c>
      <c r="D3009" s="268">
        <v>5009</v>
      </c>
      <c r="E3009" s="114" t="s">
        <v>214</v>
      </c>
      <c r="F3009" s="114" t="s">
        <v>3429</v>
      </c>
      <c r="G3009" s="114" t="s">
        <v>1572</v>
      </c>
      <c r="H3009" s="114" t="s">
        <v>1227</v>
      </c>
      <c r="I3009" s="114"/>
      <c r="J3009" s="114" t="b">
        <v>0</v>
      </c>
      <c r="K3009" s="114"/>
      <c r="L3009" s="114"/>
      <c r="M3009" s="114"/>
      <c r="N3009" s="114"/>
      <c r="O3009" s="114"/>
      <c r="P3009" s="114" t="s">
        <v>1485</v>
      </c>
      <c r="Q3009" s="114" t="s">
        <v>1227</v>
      </c>
    </row>
    <row r="3010" spans="2:17" hidden="1" outlineLevel="2">
      <c r="B3010" s="2" t="s">
        <v>876</v>
      </c>
      <c r="D3010" s="270">
        <v>5010</v>
      </c>
      <c r="E3010" s="112" t="s">
        <v>214</v>
      </c>
      <c r="F3010" s="112" t="s">
        <v>3430</v>
      </c>
      <c r="G3010" s="112" t="s">
        <v>1572</v>
      </c>
      <c r="H3010" s="112" t="s">
        <v>1227</v>
      </c>
      <c r="I3010" s="112"/>
      <c r="J3010" s="112" t="b">
        <v>0</v>
      </c>
      <c r="K3010" s="112"/>
      <c r="L3010" s="112"/>
      <c r="M3010" s="112"/>
      <c r="N3010" s="112"/>
      <c r="O3010" s="112"/>
      <c r="P3010" s="112" t="s">
        <v>1485</v>
      </c>
      <c r="Q3010" s="112" t="s">
        <v>1227</v>
      </c>
    </row>
    <row r="3011" spans="2:17" hidden="1" outlineLevel="2">
      <c r="B3011" s="2" t="s">
        <v>876</v>
      </c>
      <c r="D3011" s="268">
        <v>5011</v>
      </c>
      <c r="E3011" s="114" t="s">
        <v>214</v>
      </c>
      <c r="F3011" s="114" t="s">
        <v>3431</v>
      </c>
      <c r="G3011" s="114" t="s">
        <v>1572</v>
      </c>
      <c r="H3011" s="114" t="s">
        <v>1227</v>
      </c>
      <c r="I3011" s="114"/>
      <c r="J3011" s="114" t="b">
        <v>0</v>
      </c>
      <c r="K3011" s="114"/>
      <c r="L3011" s="114"/>
      <c r="M3011" s="114"/>
      <c r="N3011" s="114"/>
      <c r="O3011" s="114"/>
      <c r="P3011" s="114" t="s">
        <v>1485</v>
      </c>
      <c r="Q3011" s="114" t="s">
        <v>1227</v>
      </c>
    </row>
    <row r="3012" spans="2:17" hidden="1" outlineLevel="2">
      <c r="B3012" s="2" t="s">
        <v>876</v>
      </c>
      <c r="D3012" s="270">
        <v>5012</v>
      </c>
      <c r="E3012" s="112" t="s">
        <v>214</v>
      </c>
      <c r="F3012" s="112" t="s">
        <v>3432</v>
      </c>
      <c r="G3012" s="112" t="s">
        <v>1572</v>
      </c>
      <c r="H3012" s="112" t="s">
        <v>1227</v>
      </c>
      <c r="I3012" s="112"/>
      <c r="J3012" s="112" t="b">
        <v>0</v>
      </c>
      <c r="K3012" s="112"/>
      <c r="L3012" s="112"/>
      <c r="M3012" s="112"/>
      <c r="N3012" s="112"/>
      <c r="O3012" s="112"/>
      <c r="P3012" s="112" t="s">
        <v>1485</v>
      </c>
      <c r="Q3012" s="112" t="s">
        <v>1227</v>
      </c>
    </row>
    <row r="3013" spans="2:17" hidden="1" outlineLevel="2">
      <c r="B3013" s="2" t="s">
        <v>876</v>
      </c>
      <c r="D3013" s="268">
        <v>5013</v>
      </c>
      <c r="E3013" s="114" t="s">
        <v>214</v>
      </c>
      <c r="F3013" s="114" t="s">
        <v>3433</v>
      </c>
      <c r="G3013" s="114" t="s">
        <v>1572</v>
      </c>
      <c r="H3013" s="114" t="s">
        <v>1227</v>
      </c>
      <c r="I3013" s="114"/>
      <c r="J3013" s="114" t="b">
        <v>0</v>
      </c>
      <c r="K3013" s="114"/>
      <c r="L3013" s="114"/>
      <c r="M3013" s="114"/>
      <c r="N3013" s="114"/>
      <c r="O3013" s="114"/>
      <c r="P3013" s="114" t="s">
        <v>1485</v>
      </c>
      <c r="Q3013" s="114" t="s">
        <v>1227</v>
      </c>
    </row>
    <row r="3014" spans="2:17" hidden="1" outlineLevel="2">
      <c r="B3014" s="2" t="s">
        <v>876</v>
      </c>
      <c r="D3014" s="270">
        <v>5014</v>
      </c>
      <c r="E3014" s="112" t="s">
        <v>214</v>
      </c>
      <c r="F3014" s="112" t="s">
        <v>2371</v>
      </c>
      <c r="G3014" s="112" t="s">
        <v>1572</v>
      </c>
      <c r="H3014" s="112" t="s">
        <v>1227</v>
      </c>
      <c r="I3014" s="112"/>
      <c r="J3014" s="112" t="b">
        <v>0</v>
      </c>
      <c r="K3014" s="112"/>
      <c r="L3014" s="112"/>
      <c r="M3014" s="112"/>
      <c r="N3014" s="112"/>
      <c r="O3014" s="112"/>
      <c r="P3014" s="112" t="s">
        <v>1485</v>
      </c>
      <c r="Q3014" s="112" t="s">
        <v>1227</v>
      </c>
    </row>
    <row r="3015" spans="2:17" hidden="1" outlineLevel="2">
      <c r="B3015" s="2" t="s">
        <v>876</v>
      </c>
      <c r="D3015" s="268">
        <v>5015</v>
      </c>
      <c r="E3015" s="114" t="s">
        <v>214</v>
      </c>
      <c r="F3015" s="114" t="s">
        <v>3434</v>
      </c>
      <c r="G3015" s="114" t="s">
        <v>1572</v>
      </c>
      <c r="H3015" s="114" t="s">
        <v>1227</v>
      </c>
      <c r="I3015" s="114"/>
      <c r="J3015" s="114" t="b">
        <v>0</v>
      </c>
      <c r="K3015" s="114"/>
      <c r="L3015" s="114"/>
      <c r="M3015" s="114"/>
      <c r="N3015" s="114"/>
      <c r="O3015" s="114"/>
      <c r="P3015" s="114" t="s">
        <v>1485</v>
      </c>
      <c r="Q3015" s="114" t="s">
        <v>1227</v>
      </c>
    </row>
    <row r="3016" spans="2:17" hidden="1" outlineLevel="2">
      <c r="B3016" s="2" t="s">
        <v>876</v>
      </c>
      <c r="D3016" s="270">
        <v>5016</v>
      </c>
      <c r="E3016" s="112" t="s">
        <v>214</v>
      </c>
      <c r="F3016" s="112" t="s">
        <v>3435</v>
      </c>
      <c r="G3016" s="112" t="s">
        <v>1572</v>
      </c>
      <c r="H3016" s="112" t="s">
        <v>1227</v>
      </c>
      <c r="I3016" s="112"/>
      <c r="J3016" s="112" t="b">
        <v>0</v>
      </c>
      <c r="K3016" s="112"/>
      <c r="L3016" s="112"/>
      <c r="M3016" s="112"/>
      <c r="N3016" s="112"/>
      <c r="O3016" s="112"/>
      <c r="P3016" s="112" t="s">
        <v>1485</v>
      </c>
      <c r="Q3016" s="112" t="s">
        <v>1227</v>
      </c>
    </row>
    <row r="3017" spans="2:17" hidden="1" outlineLevel="2">
      <c r="B3017" s="2" t="s">
        <v>876</v>
      </c>
      <c r="D3017" s="268">
        <v>5017</v>
      </c>
      <c r="E3017" s="114" t="s">
        <v>214</v>
      </c>
      <c r="F3017" s="114" t="s">
        <v>3436</v>
      </c>
      <c r="G3017" s="114" t="s">
        <v>1572</v>
      </c>
      <c r="H3017" s="114" t="s">
        <v>1227</v>
      </c>
      <c r="I3017" s="114"/>
      <c r="J3017" s="114" t="b">
        <v>0</v>
      </c>
      <c r="K3017" s="114"/>
      <c r="L3017" s="114"/>
      <c r="M3017" s="114"/>
      <c r="N3017" s="114"/>
      <c r="O3017" s="114"/>
      <c r="P3017" s="114" t="s">
        <v>1485</v>
      </c>
      <c r="Q3017" s="114" t="s">
        <v>1227</v>
      </c>
    </row>
    <row r="3018" spans="2:17" hidden="1" outlineLevel="2">
      <c r="B3018" s="2" t="s">
        <v>876</v>
      </c>
      <c r="D3018" s="270">
        <v>5018</v>
      </c>
      <c r="E3018" s="112" t="s">
        <v>214</v>
      </c>
      <c r="F3018" s="112" t="s">
        <v>3437</v>
      </c>
      <c r="G3018" s="112" t="s">
        <v>1572</v>
      </c>
      <c r="H3018" s="112" t="s">
        <v>1227</v>
      </c>
      <c r="I3018" s="112"/>
      <c r="J3018" s="112" t="b">
        <v>0</v>
      </c>
      <c r="K3018" s="112"/>
      <c r="L3018" s="112"/>
      <c r="M3018" s="112"/>
      <c r="N3018" s="112"/>
      <c r="O3018" s="112"/>
      <c r="P3018" s="112" t="s">
        <v>1485</v>
      </c>
      <c r="Q3018" s="112" t="s">
        <v>1227</v>
      </c>
    </row>
    <row r="3019" spans="2:17" hidden="1" outlineLevel="2">
      <c r="B3019" s="2" t="s">
        <v>876</v>
      </c>
      <c r="D3019" s="268">
        <v>5019</v>
      </c>
      <c r="E3019" s="114" t="s">
        <v>214</v>
      </c>
      <c r="F3019" s="114" t="s">
        <v>3438</v>
      </c>
      <c r="G3019" s="114" t="s">
        <v>1572</v>
      </c>
      <c r="H3019" s="114" t="s">
        <v>1227</v>
      </c>
      <c r="I3019" s="114"/>
      <c r="J3019" s="114" t="b">
        <v>0</v>
      </c>
      <c r="K3019" s="114"/>
      <c r="L3019" s="114"/>
      <c r="M3019" s="114"/>
      <c r="N3019" s="114"/>
      <c r="O3019" s="114"/>
      <c r="P3019" s="114" t="s">
        <v>1485</v>
      </c>
      <c r="Q3019" s="114" t="s">
        <v>1227</v>
      </c>
    </row>
    <row r="3020" spans="2:17" hidden="1" outlineLevel="2">
      <c r="B3020" s="2" t="s">
        <v>876</v>
      </c>
      <c r="D3020" s="270">
        <v>5020</v>
      </c>
      <c r="E3020" s="112" t="s">
        <v>214</v>
      </c>
      <c r="F3020" s="112" t="s">
        <v>3439</v>
      </c>
      <c r="G3020" s="112" t="s">
        <v>1572</v>
      </c>
      <c r="H3020" s="112" t="s">
        <v>1227</v>
      </c>
      <c r="I3020" s="112"/>
      <c r="J3020" s="112" t="b">
        <v>0</v>
      </c>
      <c r="K3020" s="112"/>
      <c r="L3020" s="112"/>
      <c r="M3020" s="112"/>
      <c r="N3020" s="112"/>
      <c r="O3020" s="112"/>
      <c r="P3020" s="112" t="s">
        <v>1485</v>
      </c>
      <c r="Q3020" s="112" t="s">
        <v>1227</v>
      </c>
    </row>
    <row r="3021" spans="2:17" hidden="1" outlineLevel="2">
      <c r="B3021" s="2" t="s">
        <v>876</v>
      </c>
      <c r="D3021" s="268">
        <v>5021</v>
      </c>
      <c r="E3021" s="114" t="s">
        <v>214</v>
      </c>
      <c r="F3021" s="114" t="s">
        <v>3440</v>
      </c>
      <c r="G3021" s="114" t="s">
        <v>1572</v>
      </c>
      <c r="H3021" s="114" t="s">
        <v>1227</v>
      </c>
      <c r="I3021" s="114"/>
      <c r="J3021" s="114" t="b">
        <v>0</v>
      </c>
      <c r="K3021" s="114"/>
      <c r="L3021" s="114"/>
      <c r="M3021" s="114"/>
      <c r="N3021" s="114"/>
      <c r="O3021" s="114"/>
      <c r="P3021" s="114" t="s">
        <v>1485</v>
      </c>
      <c r="Q3021" s="114" t="s">
        <v>1227</v>
      </c>
    </row>
    <row r="3022" spans="2:17" hidden="1" outlineLevel="2">
      <c r="B3022" s="2" t="s">
        <v>876</v>
      </c>
      <c r="D3022" s="270">
        <v>5022</v>
      </c>
      <c r="E3022" s="112" t="s">
        <v>214</v>
      </c>
      <c r="F3022" s="112" t="s">
        <v>3441</v>
      </c>
      <c r="G3022" s="112" t="s">
        <v>1572</v>
      </c>
      <c r="H3022" s="112" t="s">
        <v>1227</v>
      </c>
      <c r="I3022" s="112"/>
      <c r="J3022" s="112" t="b">
        <v>0</v>
      </c>
      <c r="K3022" s="112"/>
      <c r="L3022" s="112"/>
      <c r="M3022" s="112"/>
      <c r="N3022" s="112"/>
      <c r="O3022" s="112"/>
      <c r="P3022" s="112" t="s">
        <v>1485</v>
      </c>
      <c r="Q3022" s="112" t="s">
        <v>1227</v>
      </c>
    </row>
    <row r="3023" spans="2:17" hidden="1" outlineLevel="2">
      <c r="B3023" s="2" t="s">
        <v>876</v>
      </c>
      <c r="D3023" s="268">
        <v>5023</v>
      </c>
      <c r="E3023" s="114" t="s">
        <v>214</v>
      </c>
      <c r="F3023" s="114" t="s">
        <v>3442</v>
      </c>
      <c r="G3023" s="114" t="s">
        <v>1572</v>
      </c>
      <c r="H3023" s="114" t="s">
        <v>1227</v>
      </c>
      <c r="I3023" s="114"/>
      <c r="J3023" s="114" t="b">
        <v>0</v>
      </c>
      <c r="K3023" s="114"/>
      <c r="L3023" s="114"/>
      <c r="M3023" s="114"/>
      <c r="N3023" s="114"/>
      <c r="O3023" s="114"/>
      <c r="P3023" s="114" t="s">
        <v>1485</v>
      </c>
      <c r="Q3023" s="114" t="s">
        <v>1227</v>
      </c>
    </row>
    <row r="3024" spans="2:17" hidden="1" outlineLevel="2">
      <c r="B3024" s="2" t="s">
        <v>876</v>
      </c>
      <c r="D3024" s="270">
        <v>5024</v>
      </c>
      <c r="E3024" s="112" t="s">
        <v>214</v>
      </c>
      <c r="F3024" s="112" t="s">
        <v>3443</v>
      </c>
      <c r="G3024" s="112" t="s">
        <v>1572</v>
      </c>
      <c r="H3024" s="112" t="s">
        <v>1227</v>
      </c>
      <c r="I3024" s="112"/>
      <c r="J3024" s="112" t="b">
        <v>0</v>
      </c>
      <c r="K3024" s="112"/>
      <c r="L3024" s="112"/>
      <c r="M3024" s="112"/>
      <c r="N3024" s="112"/>
      <c r="O3024" s="112"/>
      <c r="P3024" s="112" t="s">
        <v>1485</v>
      </c>
      <c r="Q3024" s="112" t="s">
        <v>1227</v>
      </c>
    </row>
    <row r="3025" spans="2:17" hidden="1" outlineLevel="2">
      <c r="B3025" s="2" t="s">
        <v>876</v>
      </c>
      <c r="D3025" s="268">
        <v>5025</v>
      </c>
      <c r="E3025" s="114" t="s">
        <v>214</v>
      </c>
      <c r="F3025" s="114" t="s">
        <v>3444</v>
      </c>
      <c r="G3025" s="114" t="s">
        <v>1572</v>
      </c>
      <c r="H3025" s="114" t="s">
        <v>1227</v>
      </c>
      <c r="I3025" s="114"/>
      <c r="J3025" s="114" t="b">
        <v>0</v>
      </c>
      <c r="K3025" s="114"/>
      <c r="L3025" s="114"/>
      <c r="M3025" s="114"/>
      <c r="N3025" s="114"/>
      <c r="O3025" s="114"/>
      <c r="P3025" s="114" t="s">
        <v>1485</v>
      </c>
      <c r="Q3025" s="114" t="s">
        <v>1227</v>
      </c>
    </row>
    <row r="3026" spans="2:17" hidden="1" outlineLevel="2">
      <c r="B3026" s="2" t="s">
        <v>876</v>
      </c>
      <c r="D3026" s="270">
        <v>5031</v>
      </c>
      <c r="E3026" s="112" t="s">
        <v>214</v>
      </c>
      <c r="F3026" s="112" t="s">
        <v>3445</v>
      </c>
      <c r="G3026" s="112" t="s">
        <v>1572</v>
      </c>
      <c r="H3026" s="112" t="s">
        <v>1227</v>
      </c>
      <c r="I3026" s="112"/>
      <c r="J3026" s="112" t="b">
        <v>0</v>
      </c>
      <c r="K3026" s="112"/>
      <c r="L3026" s="112"/>
      <c r="M3026" s="112"/>
      <c r="N3026" s="112"/>
      <c r="O3026" s="112"/>
      <c r="P3026" s="112" t="s">
        <v>1485</v>
      </c>
      <c r="Q3026" s="112" t="s">
        <v>1227</v>
      </c>
    </row>
    <row r="3027" spans="2:17" hidden="1" outlineLevel="2">
      <c r="B3027" s="2" t="s">
        <v>876</v>
      </c>
      <c r="D3027" s="268">
        <v>5032</v>
      </c>
      <c r="E3027" s="114" t="s">
        <v>214</v>
      </c>
      <c r="F3027" s="114" t="s">
        <v>3446</v>
      </c>
      <c r="G3027" s="114" t="s">
        <v>1572</v>
      </c>
      <c r="H3027" s="114" t="s">
        <v>1227</v>
      </c>
      <c r="I3027" s="114"/>
      <c r="J3027" s="114" t="b">
        <v>0</v>
      </c>
      <c r="K3027" s="114"/>
      <c r="L3027" s="114"/>
      <c r="M3027" s="114"/>
      <c r="N3027" s="114"/>
      <c r="O3027" s="114"/>
      <c r="P3027" s="114" t="s">
        <v>1485</v>
      </c>
      <c r="Q3027" s="114" t="s">
        <v>1227</v>
      </c>
    </row>
    <row r="3028" spans="2:17" hidden="1" outlineLevel="2">
      <c r="B3028" s="2" t="s">
        <v>876</v>
      </c>
      <c r="D3028" s="270">
        <v>5033</v>
      </c>
      <c r="E3028" s="112" t="s">
        <v>214</v>
      </c>
      <c r="F3028" s="112" t="s">
        <v>3447</v>
      </c>
      <c r="G3028" s="112" t="s">
        <v>1572</v>
      </c>
      <c r="H3028" s="112" t="s">
        <v>1227</v>
      </c>
      <c r="I3028" s="112"/>
      <c r="J3028" s="112" t="b">
        <v>0</v>
      </c>
      <c r="K3028" s="112"/>
      <c r="L3028" s="112"/>
      <c r="M3028" s="112"/>
      <c r="N3028" s="112"/>
      <c r="O3028" s="112"/>
      <c r="P3028" s="112" t="s">
        <v>1485</v>
      </c>
      <c r="Q3028" s="112" t="s">
        <v>1227</v>
      </c>
    </row>
    <row r="3029" spans="2:17" hidden="1" outlineLevel="2">
      <c r="B3029" s="2" t="s">
        <v>876</v>
      </c>
      <c r="D3029" s="268">
        <v>5034</v>
      </c>
      <c r="E3029" s="114" t="s">
        <v>214</v>
      </c>
      <c r="F3029" s="114" t="s">
        <v>3448</v>
      </c>
      <c r="G3029" s="114" t="s">
        <v>1572</v>
      </c>
      <c r="H3029" s="114" t="s">
        <v>1227</v>
      </c>
      <c r="I3029" s="114"/>
      <c r="J3029" s="114" t="b">
        <v>0</v>
      </c>
      <c r="K3029" s="114"/>
      <c r="L3029" s="114"/>
      <c r="M3029" s="114"/>
      <c r="N3029" s="114"/>
      <c r="O3029" s="114"/>
      <c r="P3029" s="114" t="s">
        <v>1485</v>
      </c>
      <c r="Q3029" s="114" t="s">
        <v>1227</v>
      </c>
    </row>
    <row r="3030" spans="2:17" hidden="1" outlineLevel="2">
      <c r="B3030" s="2" t="s">
        <v>876</v>
      </c>
      <c r="D3030" s="270">
        <v>5035</v>
      </c>
      <c r="E3030" s="112" t="s">
        <v>214</v>
      </c>
      <c r="F3030" s="112" t="s">
        <v>1837</v>
      </c>
      <c r="G3030" s="112" t="s">
        <v>1572</v>
      </c>
      <c r="H3030" s="112" t="s">
        <v>1227</v>
      </c>
      <c r="I3030" s="112"/>
      <c r="J3030" s="112" t="b">
        <v>0</v>
      </c>
      <c r="K3030" s="112"/>
      <c r="L3030" s="112"/>
      <c r="M3030" s="112"/>
      <c r="N3030" s="112"/>
      <c r="O3030" s="112"/>
      <c r="P3030" s="112" t="s">
        <v>1485</v>
      </c>
      <c r="Q3030" s="112" t="s">
        <v>1227</v>
      </c>
    </row>
    <row r="3031" spans="2:17" hidden="1" outlineLevel="2">
      <c r="B3031" s="2" t="s">
        <v>876</v>
      </c>
      <c r="D3031" s="268">
        <v>5037</v>
      </c>
      <c r="E3031" s="114" t="s">
        <v>214</v>
      </c>
      <c r="F3031" s="114" t="s">
        <v>3449</v>
      </c>
      <c r="G3031" s="114" t="s">
        <v>1572</v>
      </c>
      <c r="H3031" s="114" t="s">
        <v>1227</v>
      </c>
      <c r="I3031" s="114"/>
      <c r="J3031" s="114" t="b">
        <v>0</v>
      </c>
      <c r="K3031" s="114"/>
      <c r="L3031" s="114"/>
      <c r="M3031" s="114"/>
      <c r="N3031" s="114"/>
      <c r="O3031" s="114"/>
      <c r="P3031" s="114" t="s">
        <v>1485</v>
      </c>
      <c r="Q3031" s="114" t="s">
        <v>1227</v>
      </c>
    </row>
    <row r="3032" spans="2:17" hidden="1" outlineLevel="2">
      <c r="B3032" s="2" t="s">
        <v>876</v>
      </c>
      <c r="D3032" s="270">
        <v>5038</v>
      </c>
      <c r="E3032" s="112" t="s">
        <v>214</v>
      </c>
      <c r="F3032" s="112" t="s">
        <v>3450</v>
      </c>
      <c r="G3032" s="112" t="s">
        <v>1572</v>
      </c>
      <c r="H3032" s="112" t="s">
        <v>1227</v>
      </c>
      <c r="I3032" s="112"/>
      <c r="J3032" s="112" t="b">
        <v>0</v>
      </c>
      <c r="K3032" s="112"/>
      <c r="L3032" s="112"/>
      <c r="M3032" s="112"/>
      <c r="N3032" s="112"/>
      <c r="O3032" s="112"/>
      <c r="P3032" s="112" t="s">
        <v>1485</v>
      </c>
      <c r="Q3032" s="112" t="s">
        <v>1227</v>
      </c>
    </row>
    <row r="3033" spans="2:17" hidden="1" outlineLevel="2">
      <c r="B3033" s="2" t="s">
        <v>876</v>
      </c>
      <c r="D3033" s="268">
        <v>5039</v>
      </c>
      <c r="E3033" s="114" t="s">
        <v>214</v>
      </c>
      <c r="F3033" s="114" t="s">
        <v>3451</v>
      </c>
      <c r="G3033" s="114" t="s">
        <v>1572</v>
      </c>
      <c r="H3033" s="114" t="s">
        <v>1227</v>
      </c>
      <c r="I3033" s="114"/>
      <c r="J3033" s="114" t="b">
        <v>0</v>
      </c>
      <c r="K3033" s="114"/>
      <c r="L3033" s="114"/>
      <c r="M3033" s="114"/>
      <c r="N3033" s="114"/>
      <c r="O3033" s="114"/>
      <c r="P3033" s="114" t="s">
        <v>1485</v>
      </c>
      <c r="Q3033" s="114" t="s">
        <v>1227</v>
      </c>
    </row>
    <row r="3034" spans="2:17" hidden="1" outlineLevel="2">
      <c r="B3034" s="2" t="s">
        <v>876</v>
      </c>
      <c r="D3034" s="270">
        <v>5040</v>
      </c>
      <c r="E3034" s="112" t="s">
        <v>214</v>
      </c>
      <c r="F3034" s="112" t="s">
        <v>3452</v>
      </c>
      <c r="G3034" s="112" t="s">
        <v>1572</v>
      </c>
      <c r="H3034" s="112" t="s">
        <v>1227</v>
      </c>
      <c r="I3034" s="112"/>
      <c r="J3034" s="112" t="b">
        <v>0</v>
      </c>
      <c r="K3034" s="112"/>
      <c r="L3034" s="112"/>
      <c r="M3034" s="112"/>
      <c r="N3034" s="112"/>
      <c r="O3034" s="112"/>
      <c r="P3034" s="112" t="s">
        <v>1485</v>
      </c>
      <c r="Q3034" s="112" t="s">
        <v>1227</v>
      </c>
    </row>
    <row r="3035" spans="2:17" hidden="1" outlineLevel="2">
      <c r="B3035" s="2" t="s">
        <v>876</v>
      </c>
      <c r="D3035" s="268">
        <v>5041</v>
      </c>
      <c r="E3035" s="114" t="s">
        <v>214</v>
      </c>
      <c r="F3035" s="114" t="s">
        <v>3453</v>
      </c>
      <c r="G3035" s="114" t="s">
        <v>1572</v>
      </c>
      <c r="H3035" s="114" t="s">
        <v>1227</v>
      </c>
      <c r="I3035" s="114"/>
      <c r="J3035" s="114" t="b">
        <v>0</v>
      </c>
      <c r="K3035" s="114"/>
      <c r="L3035" s="114"/>
      <c r="M3035" s="114"/>
      <c r="N3035" s="114"/>
      <c r="O3035" s="114"/>
      <c r="P3035" s="114" t="s">
        <v>1485</v>
      </c>
      <c r="Q3035" s="114" t="s">
        <v>1227</v>
      </c>
    </row>
    <row r="3036" spans="2:17" hidden="1" outlineLevel="2">
      <c r="B3036" s="2" t="s">
        <v>876</v>
      </c>
      <c r="D3036" s="270">
        <v>5042</v>
      </c>
      <c r="E3036" s="112" t="s">
        <v>214</v>
      </c>
      <c r="F3036" s="112" t="s">
        <v>3454</v>
      </c>
      <c r="G3036" s="112" t="s">
        <v>1572</v>
      </c>
      <c r="H3036" s="112" t="s">
        <v>1227</v>
      </c>
      <c r="I3036" s="112"/>
      <c r="J3036" s="112" t="b">
        <v>0</v>
      </c>
      <c r="K3036" s="112"/>
      <c r="L3036" s="112"/>
      <c r="M3036" s="112"/>
      <c r="N3036" s="112"/>
      <c r="O3036" s="112"/>
      <c r="P3036" s="112" t="s">
        <v>1485</v>
      </c>
      <c r="Q3036" s="112" t="s">
        <v>1227</v>
      </c>
    </row>
    <row r="3037" spans="2:17" hidden="1" outlineLevel="2">
      <c r="B3037" s="2" t="s">
        <v>876</v>
      </c>
      <c r="D3037" s="268">
        <v>5043</v>
      </c>
      <c r="E3037" s="114" t="s">
        <v>214</v>
      </c>
      <c r="F3037" s="114" t="s">
        <v>3455</v>
      </c>
      <c r="G3037" s="114" t="s">
        <v>1572</v>
      </c>
      <c r="H3037" s="114" t="s">
        <v>1227</v>
      </c>
      <c r="I3037" s="114"/>
      <c r="J3037" s="114" t="b">
        <v>0</v>
      </c>
      <c r="K3037" s="114"/>
      <c r="L3037" s="114"/>
      <c r="M3037" s="114"/>
      <c r="N3037" s="114"/>
      <c r="O3037" s="114"/>
      <c r="P3037" s="114" t="s">
        <v>1485</v>
      </c>
      <c r="Q3037" s="114" t="s">
        <v>1227</v>
      </c>
    </row>
    <row r="3038" spans="2:17" hidden="1" outlineLevel="2">
      <c r="B3038" s="2" t="s">
        <v>876</v>
      </c>
      <c r="D3038" s="270">
        <v>5044</v>
      </c>
      <c r="E3038" s="112" t="s">
        <v>214</v>
      </c>
      <c r="F3038" s="112" t="s">
        <v>3456</v>
      </c>
      <c r="G3038" s="112" t="s">
        <v>1572</v>
      </c>
      <c r="H3038" s="112" t="s">
        <v>1227</v>
      </c>
      <c r="I3038" s="112"/>
      <c r="J3038" s="112" t="b">
        <v>0</v>
      </c>
      <c r="K3038" s="112"/>
      <c r="L3038" s="112"/>
      <c r="M3038" s="112"/>
      <c r="N3038" s="112"/>
      <c r="O3038" s="112"/>
      <c r="P3038" s="112" t="s">
        <v>1485</v>
      </c>
      <c r="Q3038" s="112" t="s">
        <v>1227</v>
      </c>
    </row>
    <row r="3039" spans="2:17" hidden="1" outlineLevel="2">
      <c r="B3039" s="2" t="s">
        <v>876</v>
      </c>
      <c r="D3039" s="268">
        <v>5045</v>
      </c>
      <c r="E3039" s="114" t="s">
        <v>214</v>
      </c>
      <c r="F3039" s="114" t="s">
        <v>3457</v>
      </c>
      <c r="G3039" s="114" t="s">
        <v>1572</v>
      </c>
      <c r="H3039" s="114" t="s">
        <v>1227</v>
      </c>
      <c r="I3039" s="114"/>
      <c r="J3039" s="114" t="b">
        <v>0</v>
      </c>
      <c r="K3039" s="114"/>
      <c r="L3039" s="114"/>
      <c r="M3039" s="114"/>
      <c r="N3039" s="114"/>
      <c r="O3039" s="114"/>
      <c r="P3039" s="114" t="s">
        <v>1485</v>
      </c>
      <c r="Q3039" s="114" t="s">
        <v>1227</v>
      </c>
    </row>
    <row r="3040" spans="2:17" hidden="1" outlineLevel="2">
      <c r="B3040" s="2" t="s">
        <v>876</v>
      </c>
      <c r="D3040" s="270">
        <v>5046</v>
      </c>
      <c r="E3040" s="112" t="s">
        <v>214</v>
      </c>
      <c r="F3040" s="112" t="s">
        <v>3458</v>
      </c>
      <c r="G3040" s="112" t="s">
        <v>1572</v>
      </c>
      <c r="H3040" s="112" t="s">
        <v>1227</v>
      </c>
      <c r="I3040" s="112"/>
      <c r="J3040" s="112" t="b">
        <v>0</v>
      </c>
      <c r="K3040" s="112"/>
      <c r="L3040" s="112"/>
      <c r="M3040" s="112"/>
      <c r="N3040" s="112"/>
      <c r="O3040" s="112"/>
      <c r="P3040" s="112" t="s">
        <v>1485</v>
      </c>
      <c r="Q3040" s="112" t="s">
        <v>1227</v>
      </c>
    </row>
    <row r="3041" spans="2:17" hidden="1" outlineLevel="2">
      <c r="B3041" s="2" t="s">
        <v>876</v>
      </c>
      <c r="D3041" s="268">
        <v>5047</v>
      </c>
      <c r="E3041" s="114" t="s">
        <v>214</v>
      </c>
      <c r="F3041" s="114" t="s">
        <v>2416</v>
      </c>
      <c r="G3041" s="114" t="s">
        <v>1572</v>
      </c>
      <c r="H3041" s="114" t="s">
        <v>1227</v>
      </c>
      <c r="I3041" s="114"/>
      <c r="J3041" s="114" t="b">
        <v>0</v>
      </c>
      <c r="K3041" s="114"/>
      <c r="L3041" s="114"/>
      <c r="M3041" s="114"/>
      <c r="N3041" s="114"/>
      <c r="O3041" s="114"/>
      <c r="P3041" s="114" t="s">
        <v>1485</v>
      </c>
      <c r="Q3041" s="114" t="s">
        <v>1227</v>
      </c>
    </row>
    <row r="3042" spans="2:17" hidden="1" outlineLevel="2">
      <c r="B3042" s="2" t="s">
        <v>876</v>
      </c>
      <c r="D3042" s="270">
        <v>5048</v>
      </c>
      <c r="E3042" s="112" t="s">
        <v>214</v>
      </c>
      <c r="F3042" s="112" t="s">
        <v>2352</v>
      </c>
      <c r="G3042" s="112" t="s">
        <v>1572</v>
      </c>
      <c r="H3042" s="112" t="s">
        <v>1227</v>
      </c>
      <c r="I3042" s="112"/>
      <c r="J3042" s="112" t="b">
        <v>0</v>
      </c>
      <c r="K3042" s="112"/>
      <c r="L3042" s="112"/>
      <c r="M3042" s="112"/>
      <c r="N3042" s="112"/>
      <c r="O3042" s="112"/>
      <c r="P3042" s="112" t="s">
        <v>1485</v>
      </c>
      <c r="Q3042" s="112" t="s">
        <v>1227</v>
      </c>
    </row>
    <row r="3043" spans="2:17" hidden="1" outlineLevel="2">
      <c r="B3043" s="2" t="s">
        <v>876</v>
      </c>
      <c r="D3043" s="268">
        <v>5049</v>
      </c>
      <c r="E3043" s="114" t="s">
        <v>214</v>
      </c>
      <c r="F3043" s="114" t="s">
        <v>3459</v>
      </c>
      <c r="G3043" s="114" t="s">
        <v>1572</v>
      </c>
      <c r="H3043" s="114" t="s">
        <v>1227</v>
      </c>
      <c r="I3043" s="114"/>
      <c r="J3043" s="114" t="b">
        <v>0</v>
      </c>
      <c r="K3043" s="114"/>
      <c r="L3043" s="114"/>
      <c r="M3043" s="114"/>
      <c r="N3043" s="114"/>
      <c r="O3043" s="114"/>
      <c r="P3043" s="114" t="s">
        <v>1485</v>
      </c>
      <c r="Q3043" s="114" t="s">
        <v>1227</v>
      </c>
    </row>
    <row r="3044" spans="2:17" hidden="1" outlineLevel="2">
      <c r="B3044" s="2" t="s">
        <v>876</v>
      </c>
      <c r="D3044" s="270">
        <v>5050</v>
      </c>
      <c r="E3044" s="112" t="s">
        <v>214</v>
      </c>
      <c r="F3044" s="112" t="s">
        <v>3460</v>
      </c>
      <c r="G3044" s="112" t="s">
        <v>1572</v>
      </c>
      <c r="H3044" s="112" t="s">
        <v>1227</v>
      </c>
      <c r="I3044" s="112"/>
      <c r="J3044" s="112" t="b">
        <v>0</v>
      </c>
      <c r="K3044" s="112"/>
      <c r="L3044" s="112"/>
      <c r="M3044" s="112"/>
      <c r="N3044" s="112"/>
      <c r="O3044" s="112"/>
      <c r="P3044" s="112" t="s">
        <v>1485</v>
      </c>
      <c r="Q3044" s="112" t="s">
        <v>1227</v>
      </c>
    </row>
    <row r="3045" spans="2:17" hidden="1" outlineLevel="2">
      <c r="B3045" s="2" t="s">
        <v>876</v>
      </c>
      <c r="D3045" s="268">
        <v>5051</v>
      </c>
      <c r="E3045" s="114" t="s">
        <v>214</v>
      </c>
      <c r="F3045" s="114" t="s">
        <v>3461</v>
      </c>
      <c r="G3045" s="114" t="s">
        <v>1572</v>
      </c>
      <c r="H3045" s="114" t="s">
        <v>1227</v>
      </c>
      <c r="I3045" s="114"/>
      <c r="J3045" s="114" t="b">
        <v>0</v>
      </c>
      <c r="K3045" s="114"/>
      <c r="L3045" s="114"/>
      <c r="M3045" s="114"/>
      <c r="N3045" s="114"/>
      <c r="O3045" s="114"/>
      <c r="P3045" s="114" t="s">
        <v>1485</v>
      </c>
      <c r="Q3045" s="114" t="s">
        <v>1227</v>
      </c>
    </row>
    <row r="3046" spans="2:17" hidden="1" outlineLevel="2">
      <c r="B3046" s="2" t="s">
        <v>876</v>
      </c>
      <c r="D3046" s="270">
        <v>5052</v>
      </c>
      <c r="E3046" s="112" t="s">
        <v>214</v>
      </c>
      <c r="F3046" s="112" t="s">
        <v>3462</v>
      </c>
      <c r="G3046" s="112" t="s">
        <v>1572</v>
      </c>
      <c r="H3046" s="112" t="s">
        <v>1227</v>
      </c>
      <c r="I3046" s="112"/>
      <c r="J3046" s="112" t="b">
        <v>0</v>
      </c>
      <c r="K3046" s="112"/>
      <c r="L3046" s="112"/>
      <c r="M3046" s="112"/>
      <c r="N3046" s="112"/>
      <c r="O3046" s="112"/>
      <c r="P3046" s="112" t="s">
        <v>1485</v>
      </c>
      <c r="Q3046" s="112" t="s">
        <v>1227</v>
      </c>
    </row>
    <row r="3047" spans="2:17" hidden="1" outlineLevel="2">
      <c r="B3047" s="2" t="s">
        <v>876</v>
      </c>
      <c r="D3047" s="268">
        <v>5061</v>
      </c>
      <c r="E3047" s="114" t="s">
        <v>214</v>
      </c>
      <c r="F3047" s="114" t="s">
        <v>3463</v>
      </c>
      <c r="G3047" s="114" t="s">
        <v>1572</v>
      </c>
      <c r="H3047" s="114" t="s">
        <v>1227</v>
      </c>
      <c r="I3047" s="114"/>
      <c r="J3047" s="114" t="b">
        <v>0</v>
      </c>
      <c r="K3047" s="114"/>
      <c r="L3047" s="114"/>
      <c r="M3047" s="114"/>
      <c r="N3047" s="114"/>
      <c r="O3047" s="114"/>
      <c r="P3047" s="114" t="s">
        <v>1485</v>
      </c>
      <c r="Q3047" s="114" t="s">
        <v>1227</v>
      </c>
    </row>
    <row r="3048" spans="2:17" hidden="1" outlineLevel="2">
      <c r="B3048" s="2" t="s">
        <v>876</v>
      </c>
      <c r="D3048" s="270">
        <v>5062</v>
      </c>
      <c r="E3048" s="112" t="s">
        <v>214</v>
      </c>
      <c r="F3048" s="112" t="s">
        <v>3464</v>
      </c>
      <c r="G3048" s="112" t="s">
        <v>1572</v>
      </c>
      <c r="H3048" s="112" t="s">
        <v>1227</v>
      </c>
      <c r="I3048" s="112"/>
      <c r="J3048" s="112" t="b">
        <v>0</v>
      </c>
      <c r="K3048" s="112"/>
      <c r="L3048" s="112"/>
      <c r="M3048" s="112"/>
      <c r="N3048" s="112"/>
      <c r="O3048" s="112"/>
      <c r="P3048" s="112" t="s">
        <v>1485</v>
      </c>
      <c r="Q3048" s="112" t="s">
        <v>1227</v>
      </c>
    </row>
    <row r="3049" spans="2:17" hidden="1" outlineLevel="2">
      <c r="B3049" s="2" t="s">
        <v>876</v>
      </c>
      <c r="D3049" s="268">
        <v>5063</v>
      </c>
      <c r="E3049" s="114" t="s">
        <v>214</v>
      </c>
      <c r="F3049" s="114" t="s">
        <v>1658</v>
      </c>
      <c r="G3049" s="114" t="s">
        <v>1572</v>
      </c>
      <c r="H3049" s="114" t="s">
        <v>1227</v>
      </c>
      <c r="I3049" s="114"/>
      <c r="J3049" s="114" t="b">
        <v>0</v>
      </c>
      <c r="K3049" s="114"/>
      <c r="L3049" s="114"/>
      <c r="M3049" s="114"/>
      <c r="N3049" s="114"/>
      <c r="O3049" s="114"/>
      <c r="P3049" s="114" t="s">
        <v>1485</v>
      </c>
      <c r="Q3049" s="114" t="s">
        <v>1227</v>
      </c>
    </row>
    <row r="3050" spans="2:17" hidden="1" outlineLevel="2">
      <c r="B3050" s="2" t="s">
        <v>876</v>
      </c>
      <c r="D3050" s="270">
        <v>5064</v>
      </c>
      <c r="E3050" s="112" t="s">
        <v>214</v>
      </c>
      <c r="F3050" s="112" t="s">
        <v>3465</v>
      </c>
      <c r="G3050" s="112" t="s">
        <v>1572</v>
      </c>
      <c r="H3050" s="112" t="s">
        <v>1227</v>
      </c>
      <c r="I3050" s="112"/>
      <c r="J3050" s="112" t="b">
        <v>0</v>
      </c>
      <c r="K3050" s="112"/>
      <c r="L3050" s="112"/>
      <c r="M3050" s="112"/>
      <c r="N3050" s="112"/>
      <c r="O3050" s="112"/>
      <c r="P3050" s="112" t="s">
        <v>1485</v>
      </c>
      <c r="Q3050" s="112" t="s">
        <v>1227</v>
      </c>
    </row>
    <row r="3051" spans="2:17" hidden="1" outlineLevel="2">
      <c r="B3051" s="2" t="s">
        <v>876</v>
      </c>
      <c r="D3051" s="268">
        <v>5065</v>
      </c>
      <c r="E3051" s="114" t="s">
        <v>214</v>
      </c>
      <c r="F3051" s="114" t="s">
        <v>3466</v>
      </c>
      <c r="G3051" s="114" t="s">
        <v>1572</v>
      </c>
      <c r="H3051" s="114" t="s">
        <v>1227</v>
      </c>
      <c r="I3051" s="114"/>
      <c r="J3051" s="114" t="b">
        <v>0</v>
      </c>
      <c r="K3051" s="114"/>
      <c r="L3051" s="114"/>
      <c r="M3051" s="114"/>
      <c r="N3051" s="114"/>
      <c r="O3051" s="114"/>
      <c r="P3051" s="114" t="s">
        <v>1485</v>
      </c>
      <c r="Q3051" s="114" t="s">
        <v>1227</v>
      </c>
    </row>
    <row r="3052" spans="2:17" hidden="1" outlineLevel="2">
      <c r="B3052" s="2" t="s">
        <v>876</v>
      </c>
      <c r="D3052" s="270">
        <v>5066</v>
      </c>
      <c r="E3052" s="112" t="s">
        <v>214</v>
      </c>
      <c r="F3052" s="112" t="s">
        <v>3467</v>
      </c>
      <c r="G3052" s="112" t="s">
        <v>1572</v>
      </c>
      <c r="H3052" s="112" t="s">
        <v>1227</v>
      </c>
      <c r="I3052" s="112"/>
      <c r="J3052" s="112" t="b">
        <v>0</v>
      </c>
      <c r="K3052" s="112"/>
      <c r="L3052" s="112"/>
      <c r="M3052" s="112"/>
      <c r="N3052" s="112"/>
      <c r="O3052" s="112"/>
      <c r="P3052" s="112" t="s">
        <v>1485</v>
      </c>
      <c r="Q3052" s="112" t="s">
        <v>1227</v>
      </c>
    </row>
    <row r="3053" spans="2:17" hidden="1" outlineLevel="2">
      <c r="B3053" s="2" t="s">
        <v>876</v>
      </c>
      <c r="D3053" s="268">
        <v>5067</v>
      </c>
      <c r="E3053" s="114" t="s">
        <v>214</v>
      </c>
      <c r="F3053" s="114" t="s">
        <v>3468</v>
      </c>
      <c r="G3053" s="114" t="s">
        <v>1572</v>
      </c>
      <c r="H3053" s="114" t="s">
        <v>1227</v>
      </c>
      <c r="I3053" s="114"/>
      <c r="J3053" s="114" t="b">
        <v>0</v>
      </c>
      <c r="K3053" s="114"/>
      <c r="L3053" s="114"/>
      <c r="M3053" s="114"/>
      <c r="N3053" s="114"/>
      <c r="O3053" s="114"/>
      <c r="P3053" s="114" t="s">
        <v>1485</v>
      </c>
      <c r="Q3053" s="114" t="s">
        <v>1227</v>
      </c>
    </row>
    <row r="3054" spans="2:17" hidden="1" outlineLevel="2">
      <c r="B3054" s="2" t="s">
        <v>876</v>
      </c>
      <c r="D3054" s="270">
        <v>5068</v>
      </c>
      <c r="E3054" s="112" t="s">
        <v>214</v>
      </c>
      <c r="F3054" s="112" t="s">
        <v>3469</v>
      </c>
      <c r="G3054" s="112" t="s">
        <v>1572</v>
      </c>
      <c r="H3054" s="112" t="s">
        <v>1227</v>
      </c>
      <c r="I3054" s="112"/>
      <c r="J3054" s="112" t="b">
        <v>0</v>
      </c>
      <c r="K3054" s="112"/>
      <c r="L3054" s="112"/>
      <c r="M3054" s="112"/>
      <c r="N3054" s="112"/>
      <c r="O3054" s="112"/>
      <c r="P3054" s="112" t="s">
        <v>1485</v>
      </c>
      <c r="Q3054" s="112" t="s">
        <v>1227</v>
      </c>
    </row>
    <row r="3055" spans="2:17" hidden="1" outlineLevel="2">
      <c r="B3055" s="2" t="s">
        <v>876</v>
      </c>
      <c r="D3055" s="268">
        <v>5069</v>
      </c>
      <c r="E3055" s="114" t="s">
        <v>214</v>
      </c>
      <c r="F3055" s="114" t="s">
        <v>3470</v>
      </c>
      <c r="G3055" s="114" t="s">
        <v>1572</v>
      </c>
      <c r="H3055" s="114" t="s">
        <v>1227</v>
      </c>
      <c r="I3055" s="114"/>
      <c r="J3055" s="114" t="b">
        <v>0</v>
      </c>
      <c r="K3055" s="114"/>
      <c r="L3055" s="114"/>
      <c r="M3055" s="114"/>
      <c r="N3055" s="114"/>
      <c r="O3055" s="114"/>
      <c r="P3055" s="114" t="s">
        <v>1485</v>
      </c>
      <c r="Q3055" s="114" t="s">
        <v>1227</v>
      </c>
    </row>
    <row r="3056" spans="2:17" hidden="1" outlineLevel="2">
      <c r="B3056" s="2" t="s">
        <v>876</v>
      </c>
      <c r="D3056" s="270">
        <v>5070</v>
      </c>
      <c r="E3056" s="112" t="s">
        <v>214</v>
      </c>
      <c r="F3056" s="112" t="s">
        <v>3471</v>
      </c>
      <c r="G3056" s="112" t="s">
        <v>1572</v>
      </c>
      <c r="H3056" s="112" t="s">
        <v>1227</v>
      </c>
      <c r="I3056" s="112"/>
      <c r="J3056" s="112" t="b">
        <v>0</v>
      </c>
      <c r="K3056" s="112"/>
      <c r="L3056" s="112"/>
      <c r="M3056" s="112"/>
      <c r="N3056" s="112"/>
      <c r="O3056" s="112"/>
      <c r="P3056" s="112" t="s">
        <v>1485</v>
      </c>
      <c r="Q3056" s="112" t="s">
        <v>1227</v>
      </c>
    </row>
    <row r="3057" spans="2:17" hidden="1" outlineLevel="2">
      <c r="B3057" s="2" t="s">
        <v>876</v>
      </c>
      <c r="D3057" s="268">
        <v>5072</v>
      </c>
      <c r="E3057" s="114" t="s">
        <v>214</v>
      </c>
      <c r="F3057" s="114" t="s">
        <v>3472</v>
      </c>
      <c r="G3057" s="114" t="s">
        <v>1572</v>
      </c>
      <c r="H3057" s="114" t="s">
        <v>1227</v>
      </c>
      <c r="I3057" s="114"/>
      <c r="J3057" s="114" t="b">
        <v>0</v>
      </c>
      <c r="K3057" s="114"/>
      <c r="L3057" s="114"/>
      <c r="M3057" s="114"/>
      <c r="N3057" s="114"/>
      <c r="O3057" s="114"/>
      <c r="P3057" s="114" t="s">
        <v>1485</v>
      </c>
      <c r="Q3057" s="114" t="s">
        <v>1227</v>
      </c>
    </row>
    <row r="3058" spans="2:17" hidden="1" outlineLevel="2">
      <c r="B3058" s="2" t="s">
        <v>876</v>
      </c>
      <c r="D3058" s="270">
        <v>5073</v>
      </c>
      <c r="E3058" s="112" t="s">
        <v>214</v>
      </c>
      <c r="F3058" s="112" t="s">
        <v>3473</v>
      </c>
      <c r="G3058" s="112" t="s">
        <v>1572</v>
      </c>
      <c r="H3058" s="112" t="s">
        <v>1227</v>
      </c>
      <c r="I3058" s="112"/>
      <c r="J3058" s="112" t="b">
        <v>0</v>
      </c>
      <c r="K3058" s="112"/>
      <c r="L3058" s="112"/>
      <c r="M3058" s="112"/>
      <c r="N3058" s="112"/>
      <c r="O3058" s="112"/>
      <c r="P3058" s="112" t="s">
        <v>1485</v>
      </c>
      <c r="Q3058" s="112" t="s">
        <v>1227</v>
      </c>
    </row>
    <row r="3059" spans="2:17" hidden="1" outlineLevel="2">
      <c r="B3059" s="2" t="s">
        <v>876</v>
      </c>
      <c r="D3059" s="268">
        <v>5074</v>
      </c>
      <c r="E3059" s="114" t="s">
        <v>214</v>
      </c>
      <c r="F3059" s="114" t="s">
        <v>3474</v>
      </c>
      <c r="G3059" s="114" t="s">
        <v>1572</v>
      </c>
      <c r="H3059" s="114" t="s">
        <v>1227</v>
      </c>
      <c r="I3059" s="114"/>
      <c r="J3059" s="114" t="b">
        <v>0</v>
      </c>
      <c r="K3059" s="114"/>
      <c r="L3059" s="114"/>
      <c r="M3059" s="114"/>
      <c r="N3059" s="114"/>
      <c r="O3059" s="114"/>
      <c r="P3059" s="114" t="s">
        <v>1485</v>
      </c>
      <c r="Q3059" s="114" t="s">
        <v>1227</v>
      </c>
    </row>
    <row r="3060" spans="2:17" hidden="1" outlineLevel="2">
      <c r="B3060" s="2" t="s">
        <v>876</v>
      </c>
      <c r="D3060" s="270">
        <v>5075</v>
      </c>
      <c r="E3060" s="112" t="s">
        <v>214</v>
      </c>
      <c r="F3060" s="112" t="s">
        <v>3475</v>
      </c>
      <c r="G3060" s="112" t="s">
        <v>1572</v>
      </c>
      <c r="H3060" s="112" t="s">
        <v>1227</v>
      </c>
      <c r="I3060" s="112"/>
      <c r="J3060" s="112" t="b">
        <v>0</v>
      </c>
      <c r="K3060" s="112"/>
      <c r="L3060" s="112"/>
      <c r="M3060" s="112"/>
      <c r="N3060" s="112"/>
      <c r="O3060" s="112"/>
      <c r="P3060" s="112" t="s">
        <v>1485</v>
      </c>
      <c r="Q3060" s="112" t="s">
        <v>1227</v>
      </c>
    </row>
    <row r="3061" spans="2:17" hidden="1" outlineLevel="2">
      <c r="B3061" s="2" t="s">
        <v>876</v>
      </c>
      <c r="D3061" s="268">
        <v>5076</v>
      </c>
      <c r="E3061" s="114" t="s">
        <v>214</v>
      </c>
      <c r="F3061" s="114" t="s">
        <v>3476</v>
      </c>
      <c r="G3061" s="114" t="s">
        <v>1572</v>
      </c>
      <c r="H3061" s="114" t="s">
        <v>1227</v>
      </c>
      <c r="I3061" s="114"/>
      <c r="J3061" s="114" t="b">
        <v>0</v>
      </c>
      <c r="K3061" s="114"/>
      <c r="L3061" s="114"/>
      <c r="M3061" s="114"/>
      <c r="N3061" s="114"/>
      <c r="O3061" s="114"/>
      <c r="P3061" s="114" t="s">
        <v>1485</v>
      </c>
      <c r="Q3061" s="114" t="s">
        <v>1227</v>
      </c>
    </row>
    <row r="3062" spans="2:17" hidden="1" outlineLevel="2">
      <c r="B3062" s="2" t="s">
        <v>876</v>
      </c>
      <c r="D3062" s="270">
        <v>5081</v>
      </c>
      <c r="E3062" s="112" t="s">
        <v>214</v>
      </c>
      <c r="F3062" s="112" t="s">
        <v>3477</v>
      </c>
      <c r="G3062" s="112" t="s">
        <v>1572</v>
      </c>
      <c r="H3062" s="112" t="s">
        <v>1227</v>
      </c>
      <c r="I3062" s="112"/>
      <c r="J3062" s="112" t="b">
        <v>0</v>
      </c>
      <c r="K3062" s="112"/>
      <c r="L3062" s="112"/>
      <c r="M3062" s="112"/>
      <c r="N3062" s="112"/>
      <c r="O3062" s="112"/>
      <c r="P3062" s="112" t="s">
        <v>1485</v>
      </c>
      <c r="Q3062" s="112" t="s">
        <v>1227</v>
      </c>
    </row>
    <row r="3063" spans="2:17" hidden="1" outlineLevel="2">
      <c r="B3063" s="2" t="s">
        <v>876</v>
      </c>
      <c r="D3063" s="268">
        <v>5082</v>
      </c>
      <c r="E3063" s="114" t="s">
        <v>214</v>
      </c>
      <c r="F3063" s="114" t="s">
        <v>2252</v>
      </c>
      <c r="G3063" s="114" t="s">
        <v>1572</v>
      </c>
      <c r="H3063" s="114" t="s">
        <v>1227</v>
      </c>
      <c r="I3063" s="114"/>
      <c r="J3063" s="114" t="b">
        <v>0</v>
      </c>
      <c r="K3063" s="114"/>
      <c r="L3063" s="114"/>
      <c r="M3063" s="114"/>
      <c r="N3063" s="114"/>
      <c r="O3063" s="114"/>
      <c r="P3063" s="114" t="s">
        <v>1485</v>
      </c>
      <c r="Q3063" s="114" t="s">
        <v>1227</v>
      </c>
    </row>
    <row r="3064" spans="2:17" hidden="1" outlineLevel="2">
      <c r="B3064" s="2" t="s">
        <v>876</v>
      </c>
      <c r="D3064" s="270">
        <v>5083</v>
      </c>
      <c r="E3064" s="112" t="s">
        <v>214</v>
      </c>
      <c r="F3064" s="112" t="s">
        <v>3478</v>
      </c>
      <c r="G3064" s="112" t="s">
        <v>1572</v>
      </c>
      <c r="H3064" s="112" t="s">
        <v>1227</v>
      </c>
      <c r="I3064" s="112"/>
      <c r="J3064" s="112" t="b">
        <v>0</v>
      </c>
      <c r="K3064" s="112"/>
      <c r="L3064" s="112"/>
      <c r="M3064" s="112"/>
      <c r="N3064" s="112"/>
      <c r="O3064" s="112"/>
      <c r="P3064" s="112" t="s">
        <v>1485</v>
      </c>
      <c r="Q3064" s="112" t="s">
        <v>1227</v>
      </c>
    </row>
    <row r="3065" spans="2:17" hidden="1" outlineLevel="2">
      <c r="B3065" s="2" t="s">
        <v>876</v>
      </c>
      <c r="D3065" s="268">
        <v>5084</v>
      </c>
      <c r="E3065" s="114" t="s">
        <v>214</v>
      </c>
      <c r="F3065" s="114" t="s">
        <v>3479</v>
      </c>
      <c r="G3065" s="114" t="s">
        <v>1572</v>
      </c>
      <c r="H3065" s="114" t="s">
        <v>1227</v>
      </c>
      <c r="I3065" s="114"/>
      <c r="J3065" s="114" t="b">
        <v>0</v>
      </c>
      <c r="K3065" s="114"/>
      <c r="L3065" s="114"/>
      <c r="M3065" s="114"/>
      <c r="N3065" s="114"/>
      <c r="O3065" s="114"/>
      <c r="P3065" s="114" t="s">
        <v>1485</v>
      </c>
      <c r="Q3065" s="114" t="s">
        <v>1227</v>
      </c>
    </row>
    <row r="3066" spans="2:17" hidden="1" outlineLevel="2">
      <c r="B3066" s="2" t="s">
        <v>876</v>
      </c>
      <c r="D3066" s="270">
        <v>5085</v>
      </c>
      <c r="E3066" s="112" t="s">
        <v>214</v>
      </c>
      <c r="F3066" s="112" t="s">
        <v>3480</v>
      </c>
      <c r="G3066" s="112" t="s">
        <v>1572</v>
      </c>
      <c r="H3066" s="112" t="s">
        <v>1227</v>
      </c>
      <c r="I3066" s="112"/>
      <c r="J3066" s="112" t="b">
        <v>0</v>
      </c>
      <c r="K3066" s="112"/>
      <c r="L3066" s="112"/>
      <c r="M3066" s="112"/>
      <c r="N3066" s="112"/>
      <c r="O3066" s="112"/>
      <c r="P3066" s="112" t="s">
        <v>1485</v>
      </c>
      <c r="Q3066" s="112" t="s">
        <v>1227</v>
      </c>
    </row>
    <row r="3067" spans="2:17" hidden="1" outlineLevel="2">
      <c r="B3067" s="2" t="s">
        <v>876</v>
      </c>
      <c r="D3067" s="268">
        <v>5086</v>
      </c>
      <c r="E3067" s="114" t="s">
        <v>214</v>
      </c>
      <c r="F3067" s="114" t="s">
        <v>3481</v>
      </c>
      <c r="G3067" s="114" t="s">
        <v>1572</v>
      </c>
      <c r="H3067" s="114" t="s">
        <v>1227</v>
      </c>
      <c r="I3067" s="114"/>
      <c r="J3067" s="114" t="b">
        <v>0</v>
      </c>
      <c r="K3067" s="114"/>
      <c r="L3067" s="114"/>
      <c r="M3067" s="114"/>
      <c r="N3067" s="114"/>
      <c r="O3067" s="114"/>
      <c r="P3067" s="114" t="s">
        <v>1485</v>
      </c>
      <c r="Q3067" s="114" t="s">
        <v>1227</v>
      </c>
    </row>
    <row r="3068" spans="2:17" hidden="1" outlineLevel="2">
      <c r="B3068" s="2" t="s">
        <v>876</v>
      </c>
      <c r="D3068" s="270">
        <v>5087</v>
      </c>
      <c r="E3068" s="112" t="s">
        <v>214</v>
      </c>
      <c r="F3068" s="112" t="s">
        <v>3482</v>
      </c>
      <c r="G3068" s="112" t="s">
        <v>1572</v>
      </c>
      <c r="H3068" s="112" t="s">
        <v>1227</v>
      </c>
      <c r="I3068" s="112"/>
      <c r="J3068" s="112" t="b">
        <v>0</v>
      </c>
      <c r="K3068" s="112"/>
      <c r="L3068" s="112"/>
      <c r="M3068" s="112"/>
      <c r="N3068" s="112"/>
      <c r="O3068" s="112"/>
      <c r="P3068" s="112" t="s">
        <v>1485</v>
      </c>
      <c r="Q3068" s="112" t="s">
        <v>1227</v>
      </c>
    </row>
    <row r="3069" spans="2:17" hidden="1" outlineLevel="2">
      <c r="B3069" s="2" t="s">
        <v>876</v>
      </c>
      <c r="D3069" s="268">
        <v>5088</v>
      </c>
      <c r="E3069" s="114" t="s">
        <v>214</v>
      </c>
      <c r="F3069" s="114" t="s">
        <v>3483</v>
      </c>
      <c r="G3069" s="114" t="s">
        <v>1572</v>
      </c>
      <c r="H3069" s="114" t="s">
        <v>1227</v>
      </c>
      <c r="I3069" s="114"/>
      <c r="J3069" s="114" t="b">
        <v>0</v>
      </c>
      <c r="K3069" s="114"/>
      <c r="L3069" s="114"/>
      <c r="M3069" s="114"/>
      <c r="N3069" s="114"/>
      <c r="O3069" s="114"/>
      <c r="P3069" s="114" t="s">
        <v>1485</v>
      </c>
      <c r="Q3069" s="114" t="s">
        <v>1227</v>
      </c>
    </row>
    <row r="3070" spans="2:17" hidden="1" outlineLevel="2">
      <c r="B3070" s="2" t="s">
        <v>876</v>
      </c>
      <c r="D3070" s="270">
        <v>5089</v>
      </c>
      <c r="E3070" s="112" t="s">
        <v>214</v>
      </c>
      <c r="F3070" s="112" t="s">
        <v>3484</v>
      </c>
      <c r="G3070" s="112" t="s">
        <v>1572</v>
      </c>
      <c r="H3070" s="112" t="s">
        <v>1227</v>
      </c>
      <c r="I3070" s="112"/>
      <c r="J3070" s="112" t="b">
        <v>0</v>
      </c>
      <c r="K3070" s="112"/>
      <c r="L3070" s="112"/>
      <c r="M3070" s="112"/>
      <c r="N3070" s="112"/>
      <c r="O3070" s="112"/>
      <c r="P3070" s="112" t="s">
        <v>1485</v>
      </c>
      <c r="Q3070" s="112" t="s">
        <v>1227</v>
      </c>
    </row>
    <row r="3071" spans="2:17" hidden="1" outlineLevel="2">
      <c r="B3071" s="2" t="s">
        <v>876</v>
      </c>
      <c r="D3071" s="268">
        <v>5090</v>
      </c>
      <c r="E3071" s="114" t="s">
        <v>214</v>
      </c>
      <c r="F3071" s="114" t="s">
        <v>3485</v>
      </c>
      <c r="G3071" s="114" t="s">
        <v>1572</v>
      </c>
      <c r="H3071" s="114" t="s">
        <v>1227</v>
      </c>
      <c r="I3071" s="114"/>
      <c r="J3071" s="114" t="b">
        <v>0</v>
      </c>
      <c r="K3071" s="114"/>
      <c r="L3071" s="114"/>
      <c r="M3071" s="114"/>
      <c r="N3071" s="114"/>
      <c r="O3071" s="114"/>
      <c r="P3071" s="114" t="s">
        <v>1485</v>
      </c>
      <c r="Q3071" s="114" t="s">
        <v>1227</v>
      </c>
    </row>
    <row r="3072" spans="2:17" hidden="1" outlineLevel="2">
      <c r="B3072" s="2" t="s">
        <v>876</v>
      </c>
      <c r="D3072" s="270">
        <v>5091</v>
      </c>
      <c r="E3072" s="112" t="s">
        <v>214</v>
      </c>
      <c r="F3072" s="112" t="s">
        <v>3486</v>
      </c>
      <c r="G3072" s="112" t="s">
        <v>1572</v>
      </c>
      <c r="H3072" s="112" t="s">
        <v>1227</v>
      </c>
      <c r="I3072" s="112"/>
      <c r="J3072" s="112" t="b">
        <v>0</v>
      </c>
      <c r="K3072" s="112"/>
      <c r="L3072" s="112"/>
      <c r="M3072" s="112"/>
      <c r="N3072" s="112"/>
      <c r="O3072" s="112"/>
      <c r="P3072" s="112" t="s">
        <v>1485</v>
      </c>
      <c r="Q3072" s="112" t="s">
        <v>1227</v>
      </c>
    </row>
    <row r="3073" spans="2:17" hidden="1" outlineLevel="2">
      <c r="B3073" s="2" t="s">
        <v>876</v>
      </c>
      <c r="D3073" s="268">
        <v>5092</v>
      </c>
      <c r="E3073" s="114" t="s">
        <v>214</v>
      </c>
      <c r="F3073" s="114" t="s">
        <v>3487</v>
      </c>
      <c r="G3073" s="114" t="s">
        <v>1572</v>
      </c>
      <c r="H3073" s="114" t="s">
        <v>1227</v>
      </c>
      <c r="I3073" s="114"/>
      <c r="J3073" s="114" t="b">
        <v>0</v>
      </c>
      <c r="K3073" s="114"/>
      <c r="L3073" s="114"/>
      <c r="M3073" s="114"/>
      <c r="N3073" s="114"/>
      <c r="O3073" s="114"/>
      <c r="P3073" s="114" t="s">
        <v>1485</v>
      </c>
      <c r="Q3073" s="114" t="s">
        <v>1227</v>
      </c>
    </row>
    <row r="3074" spans="2:17" hidden="1" outlineLevel="2">
      <c r="B3074" s="2" t="s">
        <v>876</v>
      </c>
      <c r="D3074" s="270">
        <v>5093</v>
      </c>
      <c r="E3074" s="112" t="s">
        <v>214</v>
      </c>
      <c r="F3074" s="112" t="s">
        <v>3488</v>
      </c>
      <c r="G3074" s="112" t="s">
        <v>1572</v>
      </c>
      <c r="H3074" s="112" t="s">
        <v>1227</v>
      </c>
      <c r="I3074" s="112"/>
      <c r="J3074" s="112" t="b">
        <v>0</v>
      </c>
      <c r="K3074" s="112"/>
      <c r="L3074" s="112"/>
      <c r="M3074" s="112"/>
      <c r="N3074" s="112"/>
      <c r="O3074" s="112"/>
      <c r="P3074" s="112" t="s">
        <v>1485</v>
      </c>
      <c r="Q3074" s="112" t="s">
        <v>1227</v>
      </c>
    </row>
    <row r="3075" spans="2:17" hidden="1" outlineLevel="2">
      <c r="B3075" s="2" t="s">
        <v>876</v>
      </c>
      <c r="D3075" s="268">
        <v>5094</v>
      </c>
      <c r="E3075" s="114" t="s">
        <v>214</v>
      </c>
      <c r="F3075" s="114" t="s">
        <v>3489</v>
      </c>
      <c r="G3075" s="114" t="s">
        <v>1572</v>
      </c>
      <c r="H3075" s="114" t="s">
        <v>1227</v>
      </c>
      <c r="I3075" s="114"/>
      <c r="J3075" s="114" t="b">
        <v>0</v>
      </c>
      <c r="K3075" s="114"/>
      <c r="L3075" s="114"/>
      <c r="M3075" s="114"/>
      <c r="N3075" s="114"/>
      <c r="O3075" s="114"/>
      <c r="P3075" s="114" t="s">
        <v>1485</v>
      </c>
      <c r="Q3075" s="114" t="s">
        <v>1227</v>
      </c>
    </row>
    <row r="3076" spans="2:17" hidden="1" outlineLevel="2">
      <c r="B3076" s="2" t="s">
        <v>876</v>
      </c>
      <c r="D3076" s="270">
        <v>5095</v>
      </c>
      <c r="E3076" s="112" t="s">
        <v>214</v>
      </c>
      <c r="F3076" s="112" t="s">
        <v>3490</v>
      </c>
      <c r="G3076" s="112" t="s">
        <v>1572</v>
      </c>
      <c r="H3076" s="112" t="s">
        <v>1227</v>
      </c>
      <c r="I3076" s="112"/>
      <c r="J3076" s="112" t="b">
        <v>0</v>
      </c>
      <c r="K3076" s="112"/>
      <c r="L3076" s="112"/>
      <c r="M3076" s="112"/>
      <c r="N3076" s="112"/>
      <c r="O3076" s="112"/>
      <c r="P3076" s="112" t="s">
        <v>1485</v>
      </c>
      <c r="Q3076" s="112" t="s">
        <v>1227</v>
      </c>
    </row>
    <row r="3077" spans="2:17" hidden="1" outlineLevel="2">
      <c r="B3077" s="2" t="s">
        <v>876</v>
      </c>
      <c r="D3077" s="268">
        <v>5096</v>
      </c>
      <c r="E3077" s="114" t="s">
        <v>214</v>
      </c>
      <c r="F3077" s="114" t="s">
        <v>3491</v>
      </c>
      <c r="G3077" s="114" t="s">
        <v>1572</v>
      </c>
      <c r="H3077" s="114" t="s">
        <v>1227</v>
      </c>
      <c r="I3077" s="114"/>
      <c r="J3077" s="114" t="b">
        <v>0</v>
      </c>
      <c r="K3077" s="114"/>
      <c r="L3077" s="114"/>
      <c r="M3077" s="114"/>
      <c r="N3077" s="114"/>
      <c r="O3077" s="114"/>
      <c r="P3077" s="114" t="s">
        <v>1485</v>
      </c>
      <c r="Q3077" s="114" t="s">
        <v>1227</v>
      </c>
    </row>
    <row r="3078" spans="2:17" hidden="1" outlineLevel="2">
      <c r="B3078" s="2" t="s">
        <v>876</v>
      </c>
      <c r="D3078" s="270">
        <v>5097</v>
      </c>
      <c r="E3078" s="112" t="s">
        <v>214</v>
      </c>
      <c r="F3078" s="112" t="s">
        <v>3492</v>
      </c>
      <c r="G3078" s="112" t="s">
        <v>1572</v>
      </c>
      <c r="H3078" s="112" t="s">
        <v>1227</v>
      </c>
      <c r="I3078" s="112"/>
      <c r="J3078" s="112" t="b">
        <v>0</v>
      </c>
      <c r="K3078" s="112"/>
      <c r="L3078" s="112"/>
      <c r="M3078" s="112"/>
      <c r="N3078" s="112"/>
      <c r="O3078" s="112"/>
      <c r="P3078" s="112" t="s">
        <v>1485</v>
      </c>
      <c r="Q3078" s="112" t="s">
        <v>1227</v>
      </c>
    </row>
    <row r="3079" spans="2:17" hidden="1" outlineLevel="2">
      <c r="B3079" s="2" t="s">
        <v>876</v>
      </c>
      <c r="D3079" s="268">
        <v>5098</v>
      </c>
      <c r="E3079" s="114" t="s">
        <v>214</v>
      </c>
      <c r="F3079" s="114" t="s">
        <v>3493</v>
      </c>
      <c r="G3079" s="114" t="s">
        <v>1572</v>
      </c>
      <c r="H3079" s="114" t="s">
        <v>1227</v>
      </c>
      <c r="I3079" s="114"/>
      <c r="J3079" s="114" t="b">
        <v>0</v>
      </c>
      <c r="K3079" s="114"/>
      <c r="L3079" s="114"/>
      <c r="M3079" s="114"/>
      <c r="N3079" s="114"/>
      <c r="O3079" s="114"/>
      <c r="P3079" s="114" t="s">
        <v>1485</v>
      </c>
      <c r="Q3079" s="114" t="s">
        <v>1227</v>
      </c>
    </row>
    <row r="3080" spans="2:17" hidden="1" outlineLevel="2">
      <c r="B3080" s="2" t="s">
        <v>876</v>
      </c>
      <c r="D3080" s="270">
        <v>5106</v>
      </c>
      <c r="E3080" s="112" t="s">
        <v>214</v>
      </c>
      <c r="F3080" s="112" t="s">
        <v>3494</v>
      </c>
      <c r="G3080" s="112" t="s">
        <v>1572</v>
      </c>
      <c r="H3080" s="112" t="s">
        <v>1227</v>
      </c>
      <c r="I3080" s="112"/>
      <c r="J3080" s="112" t="b">
        <v>0</v>
      </c>
      <c r="K3080" s="112"/>
      <c r="L3080" s="112"/>
      <c r="M3080" s="112"/>
      <c r="N3080" s="112"/>
      <c r="O3080" s="112"/>
      <c r="P3080" s="112" t="s">
        <v>1485</v>
      </c>
      <c r="Q3080" s="112" t="s">
        <v>1227</v>
      </c>
    </row>
    <row r="3081" spans="2:17" hidden="1" outlineLevel="2">
      <c r="B3081" s="2" t="s">
        <v>876</v>
      </c>
      <c r="D3081" s="268">
        <v>5107</v>
      </c>
      <c r="E3081" s="114" t="s">
        <v>214</v>
      </c>
      <c r="F3081" s="114" t="s">
        <v>3495</v>
      </c>
      <c r="G3081" s="114" t="s">
        <v>1572</v>
      </c>
      <c r="H3081" s="114" t="s">
        <v>1227</v>
      </c>
      <c r="I3081" s="114"/>
      <c r="J3081" s="114" t="b">
        <v>0</v>
      </c>
      <c r="K3081" s="114"/>
      <c r="L3081" s="114"/>
      <c r="M3081" s="114"/>
      <c r="N3081" s="114"/>
      <c r="O3081" s="114"/>
      <c r="P3081" s="114" t="s">
        <v>1485</v>
      </c>
      <c r="Q3081" s="114" t="s">
        <v>1227</v>
      </c>
    </row>
    <row r="3082" spans="2:17" hidden="1" outlineLevel="2">
      <c r="B3082" s="2" t="s">
        <v>876</v>
      </c>
      <c r="D3082" s="270">
        <v>5108</v>
      </c>
      <c r="E3082" s="112" t="s">
        <v>214</v>
      </c>
      <c r="F3082" s="112" t="s">
        <v>3496</v>
      </c>
      <c r="G3082" s="112" t="s">
        <v>1572</v>
      </c>
      <c r="H3082" s="112" t="s">
        <v>1227</v>
      </c>
      <c r="I3082" s="112"/>
      <c r="J3082" s="112" t="b">
        <v>0</v>
      </c>
      <c r="K3082" s="112"/>
      <c r="L3082" s="112"/>
      <c r="M3082" s="112"/>
      <c r="N3082" s="112"/>
      <c r="O3082" s="112"/>
      <c r="P3082" s="112" t="s">
        <v>1485</v>
      </c>
      <c r="Q3082" s="112" t="s">
        <v>1227</v>
      </c>
    </row>
    <row r="3083" spans="2:17" hidden="1" outlineLevel="2">
      <c r="B3083" s="2" t="s">
        <v>876</v>
      </c>
      <c r="D3083" s="268">
        <v>5109</v>
      </c>
      <c r="E3083" s="114" t="s">
        <v>214</v>
      </c>
      <c r="F3083" s="114" t="s">
        <v>3497</v>
      </c>
      <c r="G3083" s="114" t="s">
        <v>1572</v>
      </c>
      <c r="H3083" s="114" t="s">
        <v>1227</v>
      </c>
      <c r="I3083" s="114"/>
      <c r="J3083" s="114" t="b">
        <v>0</v>
      </c>
      <c r="K3083" s="114"/>
      <c r="L3083" s="114"/>
      <c r="M3083" s="114"/>
      <c r="N3083" s="114"/>
      <c r="O3083" s="114"/>
      <c r="P3083" s="114" t="s">
        <v>1485</v>
      </c>
      <c r="Q3083" s="114" t="s">
        <v>1227</v>
      </c>
    </row>
    <row r="3084" spans="2:17" hidden="1" outlineLevel="2">
      <c r="B3084" s="2" t="s">
        <v>876</v>
      </c>
      <c r="D3084" s="270">
        <v>5110</v>
      </c>
      <c r="E3084" s="112" t="s">
        <v>214</v>
      </c>
      <c r="F3084" s="112" t="s">
        <v>3498</v>
      </c>
      <c r="G3084" s="112" t="s">
        <v>1572</v>
      </c>
      <c r="H3084" s="112" t="s">
        <v>1227</v>
      </c>
      <c r="I3084" s="112"/>
      <c r="J3084" s="112" t="b">
        <v>0</v>
      </c>
      <c r="K3084" s="112"/>
      <c r="L3084" s="112"/>
      <c r="M3084" s="112"/>
      <c r="N3084" s="112"/>
      <c r="O3084" s="112"/>
      <c r="P3084" s="112" t="s">
        <v>1485</v>
      </c>
      <c r="Q3084" s="112" t="s">
        <v>1227</v>
      </c>
    </row>
    <row r="3085" spans="2:17" hidden="1" outlineLevel="2">
      <c r="B3085" s="2" t="s">
        <v>876</v>
      </c>
      <c r="D3085" s="268">
        <v>5111</v>
      </c>
      <c r="E3085" s="114" t="s">
        <v>214</v>
      </c>
      <c r="F3085" s="114" t="s">
        <v>3499</v>
      </c>
      <c r="G3085" s="114" t="s">
        <v>1572</v>
      </c>
      <c r="H3085" s="114" t="s">
        <v>1227</v>
      </c>
      <c r="I3085" s="114"/>
      <c r="J3085" s="114" t="b">
        <v>0</v>
      </c>
      <c r="K3085" s="114"/>
      <c r="L3085" s="114"/>
      <c r="M3085" s="114"/>
      <c r="N3085" s="114"/>
      <c r="O3085" s="114"/>
      <c r="P3085" s="114" t="s">
        <v>1485</v>
      </c>
      <c r="Q3085" s="114" t="s">
        <v>1227</v>
      </c>
    </row>
    <row r="3086" spans="2:17" hidden="1" outlineLevel="2">
      <c r="B3086" s="2" t="s">
        <v>876</v>
      </c>
      <c r="D3086" s="270">
        <v>5112</v>
      </c>
      <c r="E3086" s="112" t="s">
        <v>214</v>
      </c>
      <c r="F3086" s="112" t="s">
        <v>3500</v>
      </c>
      <c r="G3086" s="112" t="s">
        <v>1572</v>
      </c>
      <c r="H3086" s="112" t="s">
        <v>1227</v>
      </c>
      <c r="I3086" s="112"/>
      <c r="J3086" s="112" t="b">
        <v>0</v>
      </c>
      <c r="K3086" s="112"/>
      <c r="L3086" s="112"/>
      <c r="M3086" s="112"/>
      <c r="N3086" s="112"/>
      <c r="O3086" s="112"/>
      <c r="P3086" s="112" t="s">
        <v>1485</v>
      </c>
      <c r="Q3086" s="112" t="s">
        <v>1227</v>
      </c>
    </row>
    <row r="3087" spans="2:17" hidden="1" outlineLevel="2">
      <c r="B3087" s="2" t="s">
        <v>876</v>
      </c>
      <c r="D3087" s="268">
        <v>5113</v>
      </c>
      <c r="E3087" s="114" t="s">
        <v>214</v>
      </c>
      <c r="F3087" s="114" t="s">
        <v>3501</v>
      </c>
      <c r="G3087" s="114" t="s">
        <v>1572</v>
      </c>
      <c r="H3087" s="114" t="s">
        <v>1227</v>
      </c>
      <c r="I3087" s="114"/>
      <c r="J3087" s="114" t="b">
        <v>0</v>
      </c>
      <c r="K3087" s="114"/>
      <c r="L3087" s="114"/>
      <c r="M3087" s="114"/>
      <c r="N3087" s="114"/>
      <c r="O3087" s="114"/>
      <c r="P3087" s="114" t="s">
        <v>1485</v>
      </c>
      <c r="Q3087" s="114" t="s">
        <v>1227</v>
      </c>
    </row>
    <row r="3088" spans="2:17" hidden="1" outlineLevel="2">
      <c r="B3088" s="2" t="s">
        <v>876</v>
      </c>
      <c r="D3088" s="270">
        <v>5114</v>
      </c>
      <c r="E3088" s="112" t="s">
        <v>214</v>
      </c>
      <c r="F3088" s="112" t="s">
        <v>3502</v>
      </c>
      <c r="G3088" s="112" t="s">
        <v>1572</v>
      </c>
      <c r="H3088" s="112" t="s">
        <v>1227</v>
      </c>
      <c r="I3088" s="112"/>
      <c r="J3088" s="112" t="b">
        <v>0</v>
      </c>
      <c r="K3088" s="112"/>
      <c r="L3088" s="112"/>
      <c r="M3088" s="112"/>
      <c r="N3088" s="112"/>
      <c r="O3088" s="112"/>
      <c r="P3088" s="112" t="s">
        <v>1485</v>
      </c>
      <c r="Q3088" s="112" t="s">
        <v>1227</v>
      </c>
    </row>
    <row r="3089" spans="2:17" hidden="1" outlineLevel="2">
      <c r="B3089" s="2" t="s">
        <v>876</v>
      </c>
      <c r="D3089" s="268">
        <v>5115</v>
      </c>
      <c r="E3089" s="114" t="s">
        <v>214</v>
      </c>
      <c r="F3089" s="114" t="s">
        <v>3503</v>
      </c>
      <c r="G3089" s="114" t="s">
        <v>1572</v>
      </c>
      <c r="H3089" s="114" t="s">
        <v>1227</v>
      </c>
      <c r="I3089" s="114"/>
      <c r="J3089" s="114" t="b">
        <v>0</v>
      </c>
      <c r="K3089" s="114"/>
      <c r="L3089" s="114"/>
      <c r="M3089" s="114"/>
      <c r="N3089" s="114"/>
      <c r="O3089" s="114"/>
      <c r="P3089" s="114" t="s">
        <v>1485</v>
      </c>
      <c r="Q3089" s="114" t="s">
        <v>1227</v>
      </c>
    </row>
    <row r="3090" spans="2:17" hidden="1" outlineLevel="2">
      <c r="B3090" s="2" t="s">
        <v>876</v>
      </c>
      <c r="D3090" s="270">
        <v>5116</v>
      </c>
      <c r="E3090" s="112" t="s">
        <v>214</v>
      </c>
      <c r="F3090" s="112" t="s">
        <v>3504</v>
      </c>
      <c r="G3090" s="112" t="s">
        <v>1572</v>
      </c>
      <c r="H3090" s="112" t="s">
        <v>1227</v>
      </c>
      <c r="I3090" s="112"/>
      <c r="J3090" s="112" t="b">
        <v>0</v>
      </c>
      <c r="K3090" s="112"/>
      <c r="L3090" s="112"/>
      <c r="M3090" s="112"/>
      <c r="N3090" s="112"/>
      <c r="O3090" s="112"/>
      <c r="P3090" s="112" t="s">
        <v>1485</v>
      </c>
      <c r="Q3090" s="112" t="s">
        <v>1227</v>
      </c>
    </row>
    <row r="3091" spans="2:17" hidden="1" outlineLevel="2">
      <c r="B3091" s="2" t="s">
        <v>876</v>
      </c>
      <c r="D3091" s="268">
        <v>5117</v>
      </c>
      <c r="E3091" s="114" t="s">
        <v>214</v>
      </c>
      <c r="F3091" s="114" t="s">
        <v>3505</v>
      </c>
      <c r="G3091" s="114" t="s">
        <v>1572</v>
      </c>
      <c r="H3091" s="114" t="s">
        <v>1227</v>
      </c>
      <c r="I3091" s="114"/>
      <c r="J3091" s="114" t="b">
        <v>0</v>
      </c>
      <c r="K3091" s="114"/>
      <c r="L3091" s="114"/>
      <c r="M3091" s="114"/>
      <c r="N3091" s="114"/>
      <c r="O3091" s="114"/>
      <c r="P3091" s="114" t="s">
        <v>1485</v>
      </c>
      <c r="Q3091" s="114" t="s">
        <v>1227</v>
      </c>
    </row>
    <row r="3092" spans="2:17" hidden="1" outlineLevel="2">
      <c r="B3092" s="2" t="s">
        <v>876</v>
      </c>
      <c r="D3092" s="270">
        <v>5118</v>
      </c>
      <c r="E3092" s="112" t="s">
        <v>214</v>
      </c>
      <c r="F3092" s="112" t="s">
        <v>3506</v>
      </c>
      <c r="G3092" s="112" t="s">
        <v>1572</v>
      </c>
      <c r="H3092" s="112" t="s">
        <v>1227</v>
      </c>
      <c r="I3092" s="112"/>
      <c r="J3092" s="112" t="b">
        <v>0</v>
      </c>
      <c r="K3092" s="112"/>
      <c r="L3092" s="112"/>
      <c r="M3092" s="112"/>
      <c r="N3092" s="112"/>
      <c r="O3092" s="112"/>
      <c r="P3092" s="112" t="s">
        <v>1485</v>
      </c>
      <c r="Q3092" s="112" t="s">
        <v>1227</v>
      </c>
    </row>
    <row r="3093" spans="2:17" hidden="1" outlineLevel="2">
      <c r="B3093" s="2" t="s">
        <v>876</v>
      </c>
      <c r="D3093" s="268">
        <v>5120</v>
      </c>
      <c r="E3093" s="114" t="s">
        <v>214</v>
      </c>
      <c r="F3093" s="114" t="s">
        <v>3507</v>
      </c>
      <c r="G3093" s="114" t="s">
        <v>1572</v>
      </c>
      <c r="H3093" s="114" t="s">
        <v>1227</v>
      </c>
      <c r="I3093" s="114"/>
      <c r="J3093" s="114" t="b">
        <v>0</v>
      </c>
      <c r="K3093" s="114"/>
      <c r="L3093" s="114"/>
      <c r="M3093" s="114"/>
      <c r="N3093" s="114"/>
      <c r="O3093" s="114"/>
      <c r="P3093" s="114" t="s">
        <v>1485</v>
      </c>
      <c r="Q3093" s="114" t="s">
        <v>1227</v>
      </c>
    </row>
    <row r="3094" spans="2:17" hidden="1" outlineLevel="2">
      <c r="B3094" s="2" t="s">
        <v>876</v>
      </c>
      <c r="D3094" s="270">
        <v>5121</v>
      </c>
      <c r="E3094" s="112" t="s">
        <v>214</v>
      </c>
      <c r="F3094" s="112" t="s">
        <v>3508</v>
      </c>
      <c r="G3094" s="112" t="s">
        <v>1572</v>
      </c>
      <c r="H3094" s="112" t="s">
        <v>1227</v>
      </c>
      <c r="I3094" s="112"/>
      <c r="J3094" s="112" t="b">
        <v>0</v>
      </c>
      <c r="K3094" s="112"/>
      <c r="L3094" s="112"/>
      <c r="M3094" s="112"/>
      <c r="N3094" s="112"/>
      <c r="O3094" s="112"/>
      <c r="P3094" s="112" t="s">
        <v>1485</v>
      </c>
      <c r="Q3094" s="112" t="s">
        <v>1227</v>
      </c>
    </row>
    <row r="3095" spans="2:17" hidden="1" outlineLevel="2">
      <c r="B3095" s="2" t="s">
        <v>876</v>
      </c>
      <c r="D3095" s="268">
        <v>5125</v>
      </c>
      <c r="E3095" s="114" t="s">
        <v>214</v>
      </c>
      <c r="F3095" s="114" t="s">
        <v>3509</v>
      </c>
      <c r="G3095" s="114" t="s">
        <v>1572</v>
      </c>
      <c r="H3095" s="114" t="s">
        <v>1227</v>
      </c>
      <c r="I3095" s="114"/>
      <c r="J3095" s="114" t="b">
        <v>0</v>
      </c>
      <c r="K3095" s="114"/>
      <c r="L3095" s="114"/>
      <c r="M3095" s="114"/>
      <c r="N3095" s="114"/>
      <c r="O3095" s="114"/>
      <c r="P3095" s="114" t="s">
        <v>1485</v>
      </c>
      <c r="Q3095" s="114" t="s">
        <v>1227</v>
      </c>
    </row>
    <row r="3096" spans="2:17" hidden="1" outlineLevel="2">
      <c r="B3096" s="2" t="s">
        <v>876</v>
      </c>
      <c r="D3096" s="270">
        <v>5126</v>
      </c>
      <c r="E3096" s="112" t="s">
        <v>214</v>
      </c>
      <c r="F3096" s="112" t="s">
        <v>3510</v>
      </c>
      <c r="G3096" s="112" t="s">
        <v>1572</v>
      </c>
      <c r="H3096" s="112" t="s">
        <v>1227</v>
      </c>
      <c r="I3096" s="112"/>
      <c r="J3096" s="112" t="b">
        <v>0</v>
      </c>
      <c r="K3096" s="112"/>
      <c r="L3096" s="112"/>
      <c r="M3096" s="112"/>
      <c r="N3096" s="112"/>
      <c r="O3096" s="112"/>
      <c r="P3096" s="112" t="s">
        <v>1485</v>
      </c>
      <c r="Q3096" s="112" t="s">
        <v>1227</v>
      </c>
    </row>
    <row r="3097" spans="2:17" hidden="1" outlineLevel="2">
      <c r="B3097" s="2" t="s">
        <v>876</v>
      </c>
      <c r="D3097" s="268">
        <v>5127</v>
      </c>
      <c r="E3097" s="114" t="s">
        <v>214</v>
      </c>
      <c r="F3097" s="114" t="s">
        <v>3511</v>
      </c>
      <c r="G3097" s="114" t="s">
        <v>1572</v>
      </c>
      <c r="H3097" s="114" t="s">
        <v>1227</v>
      </c>
      <c r="I3097" s="114"/>
      <c r="J3097" s="114" t="b">
        <v>0</v>
      </c>
      <c r="K3097" s="114"/>
      <c r="L3097" s="114"/>
      <c r="M3097" s="114"/>
      <c r="N3097" s="114"/>
      <c r="O3097" s="114"/>
      <c r="P3097" s="114" t="s">
        <v>1485</v>
      </c>
      <c r="Q3097" s="114" t="s">
        <v>1227</v>
      </c>
    </row>
    <row r="3098" spans="2:17" hidden="1" outlineLevel="2">
      <c r="B3098" s="2" t="s">
        <v>876</v>
      </c>
      <c r="D3098" s="270">
        <v>5131</v>
      </c>
      <c r="E3098" s="112" t="s">
        <v>214</v>
      </c>
      <c r="F3098" s="112" t="s">
        <v>3512</v>
      </c>
      <c r="G3098" s="112" t="s">
        <v>1572</v>
      </c>
      <c r="H3098" s="112" t="s">
        <v>1227</v>
      </c>
      <c r="I3098" s="112"/>
      <c r="J3098" s="112" t="b">
        <v>0</v>
      </c>
      <c r="K3098" s="112"/>
      <c r="L3098" s="112"/>
      <c r="M3098" s="112"/>
      <c r="N3098" s="112"/>
      <c r="O3098" s="112"/>
      <c r="P3098" s="112" t="s">
        <v>1485</v>
      </c>
      <c r="Q3098" s="112" t="s">
        <v>1227</v>
      </c>
    </row>
    <row r="3099" spans="2:17" hidden="1" outlineLevel="2">
      <c r="B3099" s="2" t="s">
        <v>876</v>
      </c>
      <c r="D3099" s="268">
        <v>5132</v>
      </c>
      <c r="E3099" s="114" t="s">
        <v>214</v>
      </c>
      <c r="F3099" s="114" t="s">
        <v>3513</v>
      </c>
      <c r="G3099" s="114" t="s">
        <v>1572</v>
      </c>
      <c r="H3099" s="114" t="s">
        <v>1227</v>
      </c>
      <c r="I3099" s="114"/>
      <c r="J3099" s="114" t="b">
        <v>0</v>
      </c>
      <c r="K3099" s="114"/>
      <c r="L3099" s="114"/>
      <c r="M3099" s="114"/>
      <c r="N3099" s="114"/>
      <c r="O3099" s="114"/>
      <c r="P3099" s="114" t="s">
        <v>1485</v>
      </c>
      <c r="Q3099" s="114" t="s">
        <v>1227</v>
      </c>
    </row>
    <row r="3100" spans="2:17" hidden="1" outlineLevel="2">
      <c r="B3100" s="2" t="s">
        <v>876</v>
      </c>
      <c r="D3100" s="270">
        <v>5133</v>
      </c>
      <c r="E3100" s="112" t="s">
        <v>214</v>
      </c>
      <c r="F3100" s="112" t="s">
        <v>3514</v>
      </c>
      <c r="G3100" s="112" t="s">
        <v>1572</v>
      </c>
      <c r="H3100" s="112" t="s">
        <v>1227</v>
      </c>
      <c r="I3100" s="112"/>
      <c r="J3100" s="112" t="b">
        <v>0</v>
      </c>
      <c r="K3100" s="112"/>
      <c r="L3100" s="112"/>
      <c r="M3100" s="112"/>
      <c r="N3100" s="112"/>
      <c r="O3100" s="112"/>
      <c r="P3100" s="112" t="s">
        <v>1485</v>
      </c>
      <c r="Q3100" s="112" t="s">
        <v>1227</v>
      </c>
    </row>
    <row r="3101" spans="2:17" hidden="1" outlineLevel="2">
      <c r="B3101" s="2" t="s">
        <v>876</v>
      </c>
      <c r="D3101" s="268">
        <v>5134</v>
      </c>
      <c r="E3101" s="114" t="s">
        <v>214</v>
      </c>
      <c r="F3101" s="114" t="s">
        <v>3515</v>
      </c>
      <c r="G3101" s="114" t="s">
        <v>1572</v>
      </c>
      <c r="H3101" s="114" t="s">
        <v>1227</v>
      </c>
      <c r="I3101" s="114"/>
      <c r="J3101" s="114" t="b">
        <v>0</v>
      </c>
      <c r="K3101" s="114"/>
      <c r="L3101" s="114"/>
      <c r="M3101" s="114"/>
      <c r="N3101" s="114"/>
      <c r="O3101" s="114"/>
      <c r="P3101" s="114" t="s">
        <v>1485</v>
      </c>
      <c r="Q3101" s="114" t="s">
        <v>1227</v>
      </c>
    </row>
    <row r="3102" spans="2:17" hidden="1" outlineLevel="2">
      <c r="B3102" s="2" t="s">
        <v>876</v>
      </c>
      <c r="D3102" s="270">
        <v>5136</v>
      </c>
      <c r="E3102" s="112" t="s">
        <v>214</v>
      </c>
      <c r="F3102" s="112" t="s">
        <v>3516</v>
      </c>
      <c r="G3102" s="112" t="s">
        <v>1572</v>
      </c>
      <c r="H3102" s="112" t="s">
        <v>1227</v>
      </c>
      <c r="I3102" s="112"/>
      <c r="J3102" s="112" t="b">
        <v>0</v>
      </c>
      <c r="K3102" s="112"/>
      <c r="L3102" s="112"/>
      <c r="M3102" s="112"/>
      <c r="N3102" s="112"/>
      <c r="O3102" s="112"/>
      <c r="P3102" s="112" t="s">
        <v>1485</v>
      </c>
      <c r="Q3102" s="112" t="s">
        <v>1227</v>
      </c>
    </row>
    <row r="3103" spans="2:17" hidden="1" outlineLevel="2">
      <c r="B3103" s="2" t="s">
        <v>876</v>
      </c>
      <c r="D3103" s="268">
        <v>5137</v>
      </c>
      <c r="E3103" s="114" t="s">
        <v>214</v>
      </c>
      <c r="F3103" s="114" t="s">
        <v>3517</v>
      </c>
      <c r="G3103" s="114" t="s">
        <v>1572</v>
      </c>
      <c r="H3103" s="114" t="s">
        <v>1227</v>
      </c>
      <c r="I3103" s="114"/>
      <c r="J3103" s="114" t="b">
        <v>0</v>
      </c>
      <c r="K3103" s="114"/>
      <c r="L3103" s="114"/>
      <c r="M3103" s="114"/>
      <c r="N3103" s="114"/>
      <c r="O3103" s="114"/>
      <c r="P3103" s="114" t="s">
        <v>1485</v>
      </c>
      <c r="Q3103" s="114" t="s">
        <v>1227</v>
      </c>
    </row>
    <row r="3104" spans="2:17" hidden="1" outlineLevel="2">
      <c r="B3104" s="2" t="s">
        <v>876</v>
      </c>
      <c r="D3104" s="270">
        <v>5138</v>
      </c>
      <c r="E3104" s="112" t="s">
        <v>214</v>
      </c>
      <c r="F3104" s="112" t="s">
        <v>3518</v>
      </c>
      <c r="G3104" s="112" t="s">
        <v>1572</v>
      </c>
      <c r="H3104" s="112" t="s">
        <v>1227</v>
      </c>
      <c r="I3104" s="112"/>
      <c r="J3104" s="112" t="b">
        <v>0</v>
      </c>
      <c r="K3104" s="112"/>
      <c r="L3104" s="112" t="b">
        <v>1</v>
      </c>
      <c r="M3104" s="112"/>
      <c r="N3104" s="112"/>
      <c r="O3104" s="112"/>
      <c r="P3104" s="112" t="s">
        <v>1485</v>
      </c>
      <c r="Q3104" s="112" t="s">
        <v>1227</v>
      </c>
    </row>
    <row r="3105" spans="2:17" hidden="1" outlineLevel="2">
      <c r="B3105" s="2" t="s">
        <v>876</v>
      </c>
      <c r="D3105" s="268">
        <v>5139</v>
      </c>
      <c r="E3105" s="114" t="s">
        <v>214</v>
      </c>
      <c r="F3105" s="114" t="s">
        <v>3519</v>
      </c>
      <c r="G3105" s="114" t="s">
        <v>1572</v>
      </c>
      <c r="H3105" s="114" t="s">
        <v>1227</v>
      </c>
      <c r="I3105" s="114"/>
      <c r="J3105" s="114" t="b">
        <v>0</v>
      </c>
      <c r="K3105" s="114"/>
      <c r="L3105" s="114" t="b">
        <v>1</v>
      </c>
      <c r="M3105" s="114"/>
      <c r="N3105" s="114"/>
      <c r="O3105" s="114"/>
      <c r="P3105" s="114" t="s">
        <v>1485</v>
      </c>
      <c r="Q3105" s="114" t="s">
        <v>1227</v>
      </c>
    </row>
    <row r="3106" spans="2:17" hidden="1" outlineLevel="2">
      <c r="B3106" s="2" t="s">
        <v>876</v>
      </c>
      <c r="D3106" s="270">
        <v>5140</v>
      </c>
      <c r="E3106" s="112" t="s">
        <v>214</v>
      </c>
      <c r="F3106" s="112" t="s">
        <v>3520</v>
      </c>
      <c r="G3106" s="112" t="s">
        <v>1572</v>
      </c>
      <c r="H3106" s="112" t="s">
        <v>1227</v>
      </c>
      <c r="I3106" s="112"/>
      <c r="J3106" s="112" t="b">
        <v>0</v>
      </c>
      <c r="K3106" s="112"/>
      <c r="L3106" s="112"/>
      <c r="M3106" s="112"/>
      <c r="N3106" s="112"/>
      <c r="O3106" s="112"/>
      <c r="P3106" s="112" t="s">
        <v>1485</v>
      </c>
      <c r="Q3106" s="112" t="s">
        <v>1227</v>
      </c>
    </row>
    <row r="3107" spans="2:17" hidden="1" outlineLevel="2">
      <c r="B3107" s="2" t="s">
        <v>876</v>
      </c>
      <c r="D3107" s="268">
        <v>5141</v>
      </c>
      <c r="E3107" s="114" t="s">
        <v>214</v>
      </c>
      <c r="F3107" s="114" t="s">
        <v>3521</v>
      </c>
      <c r="G3107" s="114" t="s">
        <v>1572</v>
      </c>
      <c r="H3107" s="114" t="s">
        <v>1227</v>
      </c>
      <c r="I3107" s="114"/>
      <c r="J3107" s="114" t="b">
        <v>0</v>
      </c>
      <c r="K3107" s="114"/>
      <c r="L3107" s="114"/>
      <c r="M3107" s="114"/>
      <c r="N3107" s="114"/>
      <c r="O3107" s="114"/>
      <c r="P3107" s="114" t="s">
        <v>1485</v>
      </c>
      <c r="Q3107" s="114" t="s">
        <v>1227</v>
      </c>
    </row>
    <row r="3108" spans="2:17" hidden="1" outlineLevel="2">
      <c r="B3108" s="2" t="s">
        <v>876</v>
      </c>
      <c r="D3108" s="270">
        <v>5142</v>
      </c>
      <c r="E3108" s="112" t="s">
        <v>214</v>
      </c>
      <c r="F3108" s="112" t="s">
        <v>3522</v>
      </c>
      <c r="G3108" s="112" t="s">
        <v>1572</v>
      </c>
      <c r="H3108" s="112" t="s">
        <v>1227</v>
      </c>
      <c r="I3108" s="112"/>
      <c r="J3108" s="112" t="b">
        <v>0</v>
      </c>
      <c r="K3108" s="112"/>
      <c r="L3108" s="112"/>
      <c r="M3108" s="112"/>
      <c r="N3108" s="112"/>
      <c r="O3108" s="112"/>
      <c r="P3108" s="112" t="s">
        <v>1485</v>
      </c>
      <c r="Q3108" s="112" t="s">
        <v>1227</v>
      </c>
    </row>
    <row r="3109" spans="2:17" hidden="1" outlineLevel="2">
      <c r="B3109" s="2" t="s">
        <v>876</v>
      </c>
      <c r="D3109" s="268">
        <v>5144</v>
      </c>
      <c r="E3109" s="114" t="s">
        <v>214</v>
      </c>
      <c r="F3109" s="114" t="s">
        <v>3523</v>
      </c>
      <c r="G3109" s="114" t="s">
        <v>1572</v>
      </c>
      <c r="H3109" s="114" t="s">
        <v>1227</v>
      </c>
      <c r="I3109" s="114"/>
      <c r="J3109" s="114" t="b">
        <v>0</v>
      </c>
      <c r="K3109" s="114"/>
      <c r="L3109" s="114"/>
      <c r="M3109" s="114"/>
      <c r="N3109" s="114"/>
      <c r="O3109" s="114"/>
      <c r="P3109" s="114" t="s">
        <v>1485</v>
      </c>
      <c r="Q3109" s="114" t="s">
        <v>1227</v>
      </c>
    </row>
    <row r="3110" spans="2:17" hidden="1" outlineLevel="2">
      <c r="B3110" s="2" t="s">
        <v>876</v>
      </c>
      <c r="D3110" s="270">
        <v>5150</v>
      </c>
      <c r="E3110" s="112" t="s">
        <v>214</v>
      </c>
      <c r="F3110" s="112" t="s">
        <v>3524</v>
      </c>
      <c r="G3110" s="112" t="s">
        <v>1572</v>
      </c>
      <c r="H3110" s="112" t="s">
        <v>1227</v>
      </c>
      <c r="I3110" s="112"/>
      <c r="J3110" s="112" t="b">
        <v>0</v>
      </c>
      <c r="K3110" s="112"/>
      <c r="L3110" s="112"/>
      <c r="M3110" s="112"/>
      <c r="N3110" s="112"/>
      <c r="O3110" s="112"/>
      <c r="P3110" s="112" t="s">
        <v>1485</v>
      </c>
      <c r="Q3110" s="112" t="s">
        <v>1227</v>
      </c>
    </row>
    <row r="3111" spans="2:17" hidden="1" outlineLevel="2">
      <c r="B3111" s="2" t="s">
        <v>876</v>
      </c>
      <c r="D3111" s="268">
        <v>5151</v>
      </c>
      <c r="E3111" s="114" t="s">
        <v>214</v>
      </c>
      <c r="F3111" s="114" t="s">
        <v>3525</v>
      </c>
      <c r="G3111" s="114" t="s">
        <v>1572</v>
      </c>
      <c r="H3111" s="114" t="s">
        <v>1227</v>
      </c>
      <c r="I3111" s="114"/>
      <c r="J3111" s="114" t="b">
        <v>0</v>
      </c>
      <c r="K3111" s="114"/>
      <c r="L3111" s="114"/>
      <c r="M3111" s="114"/>
      <c r="N3111" s="114"/>
      <c r="O3111" s="114"/>
      <c r="P3111" s="114" t="s">
        <v>1485</v>
      </c>
      <c r="Q3111" s="114" t="s">
        <v>1227</v>
      </c>
    </row>
    <row r="3112" spans="2:17" hidden="1" outlineLevel="2">
      <c r="B3112" s="2" t="s">
        <v>876</v>
      </c>
      <c r="D3112" s="270">
        <v>5152</v>
      </c>
      <c r="E3112" s="112" t="s">
        <v>214</v>
      </c>
      <c r="F3112" s="112" t="s">
        <v>3526</v>
      </c>
      <c r="G3112" s="112" t="s">
        <v>1572</v>
      </c>
      <c r="H3112" s="112" t="s">
        <v>1227</v>
      </c>
      <c r="I3112" s="112"/>
      <c r="J3112" s="112" t="b">
        <v>0</v>
      </c>
      <c r="K3112" s="112"/>
      <c r="L3112" s="112"/>
      <c r="M3112" s="112"/>
      <c r="N3112" s="112"/>
      <c r="O3112" s="112"/>
      <c r="P3112" s="112" t="s">
        <v>1485</v>
      </c>
      <c r="Q3112" s="112" t="s">
        <v>1227</v>
      </c>
    </row>
    <row r="3113" spans="2:17" hidden="1" outlineLevel="2">
      <c r="B3113" s="2" t="s">
        <v>876</v>
      </c>
      <c r="D3113" s="268">
        <v>5153</v>
      </c>
      <c r="E3113" s="114" t="s">
        <v>214</v>
      </c>
      <c r="F3113" s="114" t="s">
        <v>3527</v>
      </c>
      <c r="G3113" s="114" t="s">
        <v>1572</v>
      </c>
      <c r="H3113" s="114" t="s">
        <v>1227</v>
      </c>
      <c r="I3113" s="114"/>
      <c r="J3113" s="114" t="b">
        <v>0</v>
      </c>
      <c r="K3113" s="114"/>
      <c r="L3113" s="114"/>
      <c r="M3113" s="114"/>
      <c r="N3113" s="114"/>
      <c r="O3113" s="114"/>
      <c r="P3113" s="114" t="s">
        <v>1485</v>
      </c>
      <c r="Q3113" s="114" t="s">
        <v>1227</v>
      </c>
    </row>
    <row r="3114" spans="2:17" hidden="1" outlineLevel="2">
      <c r="B3114" s="2" t="s">
        <v>876</v>
      </c>
      <c r="D3114" s="270">
        <v>5154</v>
      </c>
      <c r="E3114" s="112" t="s">
        <v>214</v>
      </c>
      <c r="F3114" s="112" t="s">
        <v>3528</v>
      </c>
      <c r="G3114" s="112" t="s">
        <v>1572</v>
      </c>
      <c r="H3114" s="112" t="s">
        <v>1227</v>
      </c>
      <c r="I3114" s="112"/>
      <c r="J3114" s="112" t="b">
        <v>0</v>
      </c>
      <c r="K3114" s="112"/>
      <c r="L3114" s="112"/>
      <c r="M3114" s="112"/>
      <c r="N3114" s="112"/>
      <c r="O3114" s="112"/>
      <c r="P3114" s="112" t="s">
        <v>1485</v>
      </c>
      <c r="Q3114" s="112" t="s">
        <v>1227</v>
      </c>
    </row>
    <row r="3115" spans="2:17" hidden="1" outlineLevel="2">
      <c r="B3115" s="2" t="s">
        <v>876</v>
      </c>
      <c r="D3115" s="268">
        <v>5155</v>
      </c>
      <c r="E3115" s="114" t="s">
        <v>214</v>
      </c>
      <c r="F3115" s="114" t="s">
        <v>2566</v>
      </c>
      <c r="G3115" s="114" t="s">
        <v>1572</v>
      </c>
      <c r="H3115" s="114" t="s">
        <v>1227</v>
      </c>
      <c r="I3115" s="114"/>
      <c r="J3115" s="114" t="b">
        <v>0</v>
      </c>
      <c r="K3115" s="114"/>
      <c r="L3115" s="114"/>
      <c r="M3115" s="114"/>
      <c r="N3115" s="114"/>
      <c r="O3115" s="114"/>
      <c r="P3115" s="114" t="s">
        <v>1485</v>
      </c>
      <c r="Q3115" s="114" t="s">
        <v>1227</v>
      </c>
    </row>
    <row r="3116" spans="2:17" hidden="1" outlineLevel="2">
      <c r="B3116" s="2" t="s">
        <v>876</v>
      </c>
      <c r="D3116" s="270">
        <v>5156</v>
      </c>
      <c r="E3116" s="112" t="s">
        <v>214</v>
      </c>
      <c r="F3116" s="112" t="s">
        <v>3529</v>
      </c>
      <c r="G3116" s="112" t="s">
        <v>1572</v>
      </c>
      <c r="H3116" s="112" t="s">
        <v>1227</v>
      </c>
      <c r="I3116" s="112"/>
      <c r="J3116" s="112" t="b">
        <v>0</v>
      </c>
      <c r="K3116" s="112"/>
      <c r="L3116" s="112"/>
      <c r="M3116" s="112"/>
      <c r="N3116" s="112"/>
      <c r="O3116" s="112"/>
      <c r="P3116" s="112" t="s">
        <v>1485</v>
      </c>
      <c r="Q3116" s="112" t="s">
        <v>1227</v>
      </c>
    </row>
    <row r="3117" spans="2:17" hidden="1" outlineLevel="2">
      <c r="B3117" s="2" t="s">
        <v>876</v>
      </c>
      <c r="D3117" s="268">
        <v>5157</v>
      </c>
      <c r="E3117" s="114" t="s">
        <v>214</v>
      </c>
      <c r="F3117" s="114" t="s">
        <v>2525</v>
      </c>
      <c r="G3117" s="114" t="s">
        <v>1572</v>
      </c>
      <c r="H3117" s="114" t="s">
        <v>1227</v>
      </c>
      <c r="I3117" s="114"/>
      <c r="J3117" s="114" t="b">
        <v>0</v>
      </c>
      <c r="K3117" s="114"/>
      <c r="L3117" s="114"/>
      <c r="M3117" s="114"/>
      <c r="N3117" s="114"/>
      <c r="O3117" s="114"/>
      <c r="P3117" s="114" t="s">
        <v>1485</v>
      </c>
      <c r="Q3117" s="114" t="s">
        <v>1227</v>
      </c>
    </row>
    <row r="3118" spans="2:17" hidden="1" outlineLevel="2">
      <c r="B3118" s="2" t="s">
        <v>876</v>
      </c>
      <c r="D3118" s="270">
        <v>5158</v>
      </c>
      <c r="E3118" s="112" t="s">
        <v>214</v>
      </c>
      <c r="F3118" s="112" t="s">
        <v>3530</v>
      </c>
      <c r="G3118" s="112" t="s">
        <v>1572</v>
      </c>
      <c r="H3118" s="112" t="s">
        <v>1227</v>
      </c>
      <c r="I3118" s="112"/>
      <c r="J3118" s="112" t="b">
        <v>0</v>
      </c>
      <c r="K3118" s="112"/>
      <c r="L3118" s="112"/>
      <c r="M3118" s="112"/>
      <c r="N3118" s="112"/>
      <c r="O3118" s="112"/>
      <c r="P3118" s="112" t="s">
        <v>1485</v>
      </c>
      <c r="Q3118" s="112" t="s">
        <v>1227</v>
      </c>
    </row>
    <row r="3119" spans="2:17" hidden="1" outlineLevel="2">
      <c r="B3119" s="2" t="s">
        <v>876</v>
      </c>
      <c r="D3119" s="268">
        <v>5159</v>
      </c>
      <c r="E3119" s="114" t="s">
        <v>214</v>
      </c>
      <c r="F3119" s="114" t="s">
        <v>3531</v>
      </c>
      <c r="G3119" s="114" t="s">
        <v>1572</v>
      </c>
      <c r="H3119" s="114" t="s">
        <v>1227</v>
      </c>
      <c r="I3119" s="114"/>
      <c r="J3119" s="114" t="b">
        <v>0</v>
      </c>
      <c r="K3119" s="114"/>
      <c r="L3119" s="114"/>
      <c r="M3119" s="114"/>
      <c r="N3119" s="114"/>
      <c r="O3119" s="114"/>
      <c r="P3119" s="114" t="s">
        <v>1485</v>
      </c>
      <c r="Q3119" s="114" t="s">
        <v>1227</v>
      </c>
    </row>
    <row r="3120" spans="2:17" hidden="1" outlineLevel="2">
      <c r="B3120" s="2" t="s">
        <v>876</v>
      </c>
      <c r="D3120" s="270">
        <v>5160</v>
      </c>
      <c r="E3120" s="112" t="s">
        <v>214</v>
      </c>
      <c r="F3120" s="112" t="s">
        <v>3532</v>
      </c>
      <c r="G3120" s="112" t="s">
        <v>1572</v>
      </c>
      <c r="H3120" s="112" t="s">
        <v>1227</v>
      </c>
      <c r="I3120" s="112"/>
      <c r="J3120" s="112" t="b">
        <v>0</v>
      </c>
      <c r="K3120" s="112"/>
      <c r="L3120" s="112"/>
      <c r="M3120" s="112"/>
      <c r="N3120" s="112"/>
      <c r="O3120" s="112"/>
      <c r="P3120" s="112" t="s">
        <v>1485</v>
      </c>
      <c r="Q3120" s="112" t="s">
        <v>1227</v>
      </c>
    </row>
    <row r="3121" spans="2:17" hidden="1" outlineLevel="2">
      <c r="B3121" s="2" t="s">
        <v>876</v>
      </c>
      <c r="D3121" s="268">
        <v>5161</v>
      </c>
      <c r="E3121" s="114" t="s">
        <v>214</v>
      </c>
      <c r="F3121" s="114" t="s">
        <v>3533</v>
      </c>
      <c r="G3121" s="114" t="s">
        <v>1572</v>
      </c>
      <c r="H3121" s="114" t="s">
        <v>1227</v>
      </c>
      <c r="I3121" s="114"/>
      <c r="J3121" s="114" t="b">
        <v>0</v>
      </c>
      <c r="K3121" s="114"/>
      <c r="L3121" s="114"/>
      <c r="M3121" s="114"/>
      <c r="N3121" s="114"/>
      <c r="O3121" s="114"/>
      <c r="P3121" s="114" t="s">
        <v>1485</v>
      </c>
      <c r="Q3121" s="114" t="s">
        <v>1227</v>
      </c>
    </row>
    <row r="3122" spans="2:17" hidden="1" outlineLevel="2">
      <c r="B3122" s="2" t="s">
        <v>876</v>
      </c>
      <c r="D3122" s="270">
        <v>5162</v>
      </c>
      <c r="E3122" s="112" t="s">
        <v>214</v>
      </c>
      <c r="F3122" s="112" t="s">
        <v>3534</v>
      </c>
      <c r="G3122" s="112" t="s">
        <v>1572</v>
      </c>
      <c r="H3122" s="112" t="s">
        <v>1227</v>
      </c>
      <c r="I3122" s="112"/>
      <c r="J3122" s="112" t="b">
        <v>0</v>
      </c>
      <c r="K3122" s="112"/>
      <c r="L3122" s="112"/>
      <c r="M3122" s="112"/>
      <c r="N3122" s="112"/>
      <c r="O3122" s="112"/>
      <c r="P3122" s="112" t="s">
        <v>1485</v>
      </c>
      <c r="Q3122" s="112" t="s">
        <v>1227</v>
      </c>
    </row>
    <row r="3123" spans="2:17" hidden="1" outlineLevel="2">
      <c r="B3123" s="2" t="s">
        <v>876</v>
      </c>
      <c r="D3123" s="268">
        <v>5163</v>
      </c>
      <c r="E3123" s="114" t="s">
        <v>214</v>
      </c>
      <c r="F3123" s="114" t="s">
        <v>3535</v>
      </c>
      <c r="G3123" s="114" t="s">
        <v>1572</v>
      </c>
      <c r="H3123" s="114" t="s">
        <v>1227</v>
      </c>
      <c r="I3123" s="114"/>
      <c r="J3123" s="114" t="b">
        <v>0</v>
      </c>
      <c r="K3123" s="114"/>
      <c r="L3123" s="114"/>
      <c r="M3123" s="114"/>
      <c r="N3123" s="114"/>
      <c r="O3123" s="114"/>
      <c r="P3123" s="114" t="s">
        <v>1485</v>
      </c>
      <c r="Q3123" s="114" t="s">
        <v>1227</v>
      </c>
    </row>
    <row r="3124" spans="2:17" hidden="1" outlineLevel="2">
      <c r="B3124" s="2" t="s">
        <v>876</v>
      </c>
      <c r="D3124" s="270">
        <v>5164</v>
      </c>
      <c r="E3124" s="112" t="s">
        <v>214</v>
      </c>
      <c r="F3124" s="112" t="s">
        <v>3536</v>
      </c>
      <c r="G3124" s="112" t="s">
        <v>1572</v>
      </c>
      <c r="H3124" s="112" t="s">
        <v>1227</v>
      </c>
      <c r="I3124" s="112"/>
      <c r="J3124" s="112" t="b">
        <v>0</v>
      </c>
      <c r="K3124" s="112"/>
      <c r="L3124" s="112"/>
      <c r="M3124" s="112"/>
      <c r="N3124" s="112"/>
      <c r="O3124" s="112"/>
      <c r="P3124" s="112" t="s">
        <v>1485</v>
      </c>
      <c r="Q3124" s="112" t="s">
        <v>1227</v>
      </c>
    </row>
    <row r="3125" spans="2:17" hidden="1" outlineLevel="2">
      <c r="B3125" s="2" t="s">
        <v>876</v>
      </c>
      <c r="D3125" s="268">
        <v>5165</v>
      </c>
      <c r="E3125" s="114" t="s">
        <v>214</v>
      </c>
      <c r="F3125" s="114" t="s">
        <v>3537</v>
      </c>
      <c r="G3125" s="114" t="s">
        <v>1572</v>
      </c>
      <c r="H3125" s="114" t="s">
        <v>1227</v>
      </c>
      <c r="I3125" s="114"/>
      <c r="J3125" s="114" t="b">
        <v>0</v>
      </c>
      <c r="K3125" s="114"/>
      <c r="L3125" s="114"/>
      <c r="M3125" s="114"/>
      <c r="N3125" s="114"/>
      <c r="O3125" s="114"/>
      <c r="P3125" s="114" t="s">
        <v>1485</v>
      </c>
      <c r="Q3125" s="114" t="s">
        <v>1227</v>
      </c>
    </row>
    <row r="3126" spans="2:17" hidden="1" outlineLevel="2">
      <c r="B3126" s="2" t="s">
        <v>876</v>
      </c>
      <c r="D3126" s="270">
        <v>5166</v>
      </c>
      <c r="E3126" s="112" t="s">
        <v>214</v>
      </c>
      <c r="F3126" s="112" t="s">
        <v>3538</v>
      </c>
      <c r="G3126" s="112" t="s">
        <v>1572</v>
      </c>
      <c r="H3126" s="112" t="s">
        <v>1227</v>
      </c>
      <c r="I3126" s="112"/>
      <c r="J3126" s="112" t="b">
        <v>0</v>
      </c>
      <c r="K3126" s="112"/>
      <c r="L3126" s="112"/>
      <c r="M3126" s="112"/>
      <c r="N3126" s="112"/>
      <c r="O3126" s="112"/>
      <c r="P3126" s="112" t="s">
        <v>1485</v>
      </c>
      <c r="Q3126" s="112" t="s">
        <v>1227</v>
      </c>
    </row>
    <row r="3127" spans="2:17" hidden="1" outlineLevel="2">
      <c r="B3127" s="2" t="s">
        <v>876</v>
      </c>
      <c r="D3127" s="268">
        <v>5167</v>
      </c>
      <c r="E3127" s="114" t="s">
        <v>214</v>
      </c>
      <c r="F3127" s="114" t="s">
        <v>3539</v>
      </c>
      <c r="G3127" s="114" t="s">
        <v>1572</v>
      </c>
      <c r="H3127" s="114" t="s">
        <v>1227</v>
      </c>
      <c r="I3127" s="114"/>
      <c r="J3127" s="114" t="b">
        <v>0</v>
      </c>
      <c r="K3127" s="114"/>
      <c r="L3127" s="114"/>
      <c r="M3127" s="114"/>
      <c r="N3127" s="114"/>
      <c r="O3127" s="114"/>
      <c r="P3127" s="114" t="s">
        <v>1485</v>
      </c>
      <c r="Q3127" s="114" t="s">
        <v>1227</v>
      </c>
    </row>
    <row r="3128" spans="2:17" hidden="1" outlineLevel="2">
      <c r="B3128" s="2" t="s">
        <v>876</v>
      </c>
      <c r="D3128" s="270">
        <v>5168</v>
      </c>
      <c r="E3128" s="112" t="s">
        <v>214</v>
      </c>
      <c r="F3128" s="112" t="s">
        <v>3540</v>
      </c>
      <c r="G3128" s="112" t="s">
        <v>1572</v>
      </c>
      <c r="H3128" s="112" t="s">
        <v>1227</v>
      </c>
      <c r="I3128" s="112"/>
      <c r="J3128" s="112" t="b">
        <v>0</v>
      </c>
      <c r="K3128" s="112"/>
      <c r="L3128" s="112"/>
      <c r="M3128" s="112"/>
      <c r="N3128" s="112"/>
      <c r="O3128" s="112"/>
      <c r="P3128" s="112" t="s">
        <v>1485</v>
      </c>
      <c r="Q3128" s="112" t="s">
        <v>1227</v>
      </c>
    </row>
    <row r="3129" spans="2:17" hidden="1" outlineLevel="2">
      <c r="B3129" s="2" t="s">
        <v>876</v>
      </c>
      <c r="D3129" s="268">
        <v>5169</v>
      </c>
      <c r="E3129" s="114" t="s">
        <v>214</v>
      </c>
      <c r="F3129" s="114" t="s">
        <v>3541</v>
      </c>
      <c r="G3129" s="114" t="s">
        <v>1572</v>
      </c>
      <c r="H3129" s="114" t="s">
        <v>1227</v>
      </c>
      <c r="I3129" s="114"/>
      <c r="J3129" s="114" t="b">
        <v>0</v>
      </c>
      <c r="K3129" s="114"/>
      <c r="L3129" s="114"/>
      <c r="M3129" s="114"/>
      <c r="N3129" s="114"/>
      <c r="O3129" s="114"/>
      <c r="P3129" s="114" t="s">
        <v>1485</v>
      </c>
      <c r="Q3129" s="114" t="s">
        <v>1227</v>
      </c>
    </row>
    <row r="3130" spans="2:17" hidden="1" outlineLevel="2">
      <c r="B3130" s="2" t="s">
        <v>876</v>
      </c>
      <c r="D3130" s="270">
        <v>5170</v>
      </c>
      <c r="E3130" s="112" t="s">
        <v>214</v>
      </c>
      <c r="F3130" s="112" t="s">
        <v>3542</v>
      </c>
      <c r="G3130" s="112" t="s">
        <v>1572</v>
      </c>
      <c r="H3130" s="112" t="s">
        <v>1227</v>
      </c>
      <c r="I3130" s="112"/>
      <c r="J3130" s="112" t="b">
        <v>0</v>
      </c>
      <c r="K3130" s="112"/>
      <c r="L3130" s="112"/>
      <c r="M3130" s="112"/>
      <c r="N3130" s="112"/>
      <c r="O3130" s="112"/>
      <c r="P3130" s="112" t="s">
        <v>1485</v>
      </c>
      <c r="Q3130" s="112" t="s">
        <v>1227</v>
      </c>
    </row>
    <row r="3131" spans="2:17" hidden="1" outlineLevel="2">
      <c r="B3131" s="2" t="s">
        <v>876</v>
      </c>
      <c r="D3131" s="268">
        <v>5171</v>
      </c>
      <c r="E3131" s="114" t="s">
        <v>214</v>
      </c>
      <c r="F3131" s="114" t="s">
        <v>3543</v>
      </c>
      <c r="G3131" s="114" t="s">
        <v>1572</v>
      </c>
      <c r="H3131" s="114" t="s">
        <v>1227</v>
      </c>
      <c r="I3131" s="114"/>
      <c r="J3131" s="114" t="b">
        <v>0</v>
      </c>
      <c r="K3131" s="114"/>
      <c r="L3131" s="114"/>
      <c r="M3131" s="114"/>
      <c r="N3131" s="114"/>
      <c r="O3131" s="114"/>
      <c r="P3131" s="114" t="s">
        <v>1485</v>
      </c>
      <c r="Q3131" s="114" t="s">
        <v>1227</v>
      </c>
    </row>
    <row r="3132" spans="2:17" hidden="1" outlineLevel="2">
      <c r="B3132" s="2" t="s">
        <v>876</v>
      </c>
      <c r="D3132" s="270">
        <v>5172</v>
      </c>
      <c r="E3132" s="112" t="s">
        <v>214</v>
      </c>
      <c r="F3132" s="112" t="s">
        <v>3544</v>
      </c>
      <c r="G3132" s="112" t="s">
        <v>1572</v>
      </c>
      <c r="H3132" s="112" t="s">
        <v>1227</v>
      </c>
      <c r="I3132" s="112"/>
      <c r="J3132" s="112" t="b">
        <v>0</v>
      </c>
      <c r="K3132" s="112"/>
      <c r="L3132" s="112"/>
      <c r="M3132" s="112"/>
      <c r="N3132" s="112"/>
      <c r="O3132" s="112"/>
      <c r="P3132" s="112" t="s">
        <v>1485</v>
      </c>
      <c r="Q3132" s="112" t="s">
        <v>1227</v>
      </c>
    </row>
    <row r="3133" spans="2:17" hidden="1" outlineLevel="2">
      <c r="B3133" s="2" t="s">
        <v>876</v>
      </c>
      <c r="D3133" s="268">
        <v>5173</v>
      </c>
      <c r="E3133" s="114" t="s">
        <v>214</v>
      </c>
      <c r="F3133" s="114" t="s">
        <v>3545</v>
      </c>
      <c r="G3133" s="114" t="s">
        <v>1572</v>
      </c>
      <c r="H3133" s="114" t="s">
        <v>1227</v>
      </c>
      <c r="I3133" s="114"/>
      <c r="J3133" s="114" t="b">
        <v>0</v>
      </c>
      <c r="K3133" s="114"/>
      <c r="L3133" s="114"/>
      <c r="M3133" s="114"/>
      <c r="N3133" s="114"/>
      <c r="O3133" s="114"/>
      <c r="P3133" s="114" t="s">
        <v>1485</v>
      </c>
      <c r="Q3133" s="114" t="s">
        <v>1227</v>
      </c>
    </row>
    <row r="3134" spans="2:17" hidden="1" outlineLevel="2">
      <c r="B3134" s="2" t="s">
        <v>876</v>
      </c>
      <c r="D3134" s="270">
        <v>5174</v>
      </c>
      <c r="E3134" s="112" t="s">
        <v>214</v>
      </c>
      <c r="F3134" s="112" t="s">
        <v>3546</v>
      </c>
      <c r="G3134" s="112" t="s">
        <v>1572</v>
      </c>
      <c r="H3134" s="112" t="s">
        <v>1227</v>
      </c>
      <c r="I3134" s="112"/>
      <c r="J3134" s="112" t="b">
        <v>0</v>
      </c>
      <c r="K3134" s="112"/>
      <c r="L3134" s="112"/>
      <c r="M3134" s="112"/>
      <c r="N3134" s="112"/>
      <c r="O3134" s="112"/>
      <c r="P3134" s="112" t="s">
        <v>1485</v>
      </c>
      <c r="Q3134" s="112" t="s">
        <v>1227</v>
      </c>
    </row>
    <row r="3135" spans="2:17" hidden="1" outlineLevel="2">
      <c r="B3135" s="2" t="s">
        <v>876</v>
      </c>
      <c r="D3135" s="268">
        <v>5201</v>
      </c>
      <c r="E3135" s="114" t="s">
        <v>214</v>
      </c>
      <c r="F3135" s="114" t="s">
        <v>3547</v>
      </c>
      <c r="G3135" s="114" t="s">
        <v>1572</v>
      </c>
      <c r="H3135" s="114" t="s">
        <v>1227</v>
      </c>
      <c r="I3135" s="114"/>
      <c r="J3135" s="114" t="b">
        <v>0</v>
      </c>
      <c r="K3135" s="114"/>
      <c r="L3135" s="114"/>
      <c r="M3135" s="114"/>
      <c r="N3135" s="114"/>
      <c r="O3135" s="114"/>
      <c r="P3135" s="114" t="s">
        <v>1485</v>
      </c>
      <c r="Q3135" s="114" t="s">
        <v>1227</v>
      </c>
    </row>
    <row r="3136" spans="2:17" hidden="1" outlineLevel="2">
      <c r="B3136" s="2" t="s">
        <v>876</v>
      </c>
      <c r="D3136" s="270">
        <v>5202</v>
      </c>
      <c r="E3136" s="112" t="s">
        <v>214</v>
      </c>
      <c r="F3136" s="112" t="s">
        <v>3548</v>
      </c>
      <c r="G3136" s="112" t="s">
        <v>1483</v>
      </c>
      <c r="H3136" s="112" t="s">
        <v>1494</v>
      </c>
      <c r="I3136" s="112"/>
      <c r="J3136" s="112" t="b">
        <v>0</v>
      </c>
      <c r="K3136" s="112"/>
      <c r="L3136" s="112"/>
      <c r="M3136" s="112"/>
      <c r="N3136" s="112"/>
      <c r="O3136" s="112"/>
      <c r="P3136" s="112" t="s">
        <v>1485</v>
      </c>
      <c r="Q3136" s="112" t="s">
        <v>1228</v>
      </c>
    </row>
    <row r="3137" spans="2:17" hidden="1" outlineLevel="2">
      <c r="B3137" s="2" t="s">
        <v>876</v>
      </c>
      <c r="D3137" s="268">
        <v>5203</v>
      </c>
      <c r="E3137" s="114" t="s">
        <v>214</v>
      </c>
      <c r="F3137" s="114" t="s">
        <v>1949</v>
      </c>
      <c r="G3137" s="114" t="s">
        <v>1493</v>
      </c>
      <c r="H3137" s="114" t="s">
        <v>1494</v>
      </c>
      <c r="I3137" s="114"/>
      <c r="J3137" s="114" t="b">
        <v>0</v>
      </c>
      <c r="K3137" s="114"/>
      <c r="L3137" s="114"/>
      <c r="M3137" s="114"/>
      <c r="N3137" s="114"/>
      <c r="O3137" s="114"/>
      <c r="P3137" s="114" t="s">
        <v>1485</v>
      </c>
      <c r="Q3137" s="114" t="s">
        <v>1228</v>
      </c>
    </row>
    <row r="3138" spans="2:17" hidden="1" outlineLevel="2">
      <c r="B3138" s="2" t="s">
        <v>876</v>
      </c>
      <c r="D3138" s="270">
        <v>5204</v>
      </c>
      <c r="E3138" s="112" t="s">
        <v>214</v>
      </c>
      <c r="F3138" s="112" t="s">
        <v>3549</v>
      </c>
      <c r="G3138" s="112" t="s">
        <v>1493</v>
      </c>
      <c r="H3138" s="112" t="s">
        <v>1494</v>
      </c>
      <c r="I3138" s="112"/>
      <c r="J3138" s="112" t="b">
        <v>0</v>
      </c>
      <c r="K3138" s="112" t="s">
        <v>1484</v>
      </c>
      <c r="L3138" s="112" t="b">
        <v>1</v>
      </c>
      <c r="M3138" s="112"/>
      <c r="N3138" s="112"/>
      <c r="O3138" s="112"/>
      <c r="P3138" s="112" t="s">
        <v>1485</v>
      </c>
      <c r="Q3138" s="112" t="s">
        <v>1228</v>
      </c>
    </row>
    <row r="3139" spans="2:17" hidden="1" outlineLevel="2">
      <c r="B3139" s="2" t="s">
        <v>876</v>
      </c>
      <c r="D3139" s="268">
        <v>5210</v>
      </c>
      <c r="E3139" s="114" t="s">
        <v>214</v>
      </c>
      <c r="F3139" s="114" t="s">
        <v>3550</v>
      </c>
      <c r="G3139" s="114" t="s">
        <v>1493</v>
      </c>
      <c r="H3139" s="114" t="s">
        <v>1505</v>
      </c>
      <c r="I3139" s="114"/>
      <c r="J3139" s="114" t="b">
        <v>0</v>
      </c>
      <c r="K3139" s="114"/>
      <c r="L3139" s="114"/>
      <c r="M3139" s="114"/>
      <c r="N3139" s="114"/>
      <c r="O3139" s="114"/>
      <c r="P3139" s="114" t="s">
        <v>1485</v>
      </c>
      <c r="Q3139" s="114" t="s">
        <v>1228</v>
      </c>
    </row>
    <row r="3140" spans="2:17" hidden="1" outlineLevel="2">
      <c r="B3140" s="2" t="s">
        <v>876</v>
      </c>
      <c r="D3140" s="270">
        <v>5211</v>
      </c>
      <c r="E3140" s="112" t="s">
        <v>214</v>
      </c>
      <c r="F3140" s="112" t="s">
        <v>3551</v>
      </c>
      <c r="G3140" s="112" t="s">
        <v>1493</v>
      </c>
      <c r="H3140" s="112" t="s">
        <v>1494</v>
      </c>
      <c r="I3140" s="112"/>
      <c r="J3140" s="112" t="b">
        <v>0</v>
      </c>
      <c r="K3140" s="112"/>
      <c r="L3140" s="112"/>
      <c r="M3140" s="112"/>
      <c r="N3140" s="112"/>
      <c r="O3140" s="112"/>
      <c r="P3140" s="112" t="s">
        <v>1485</v>
      </c>
      <c r="Q3140" s="112" t="s">
        <v>1228</v>
      </c>
    </row>
    <row r="3141" spans="2:17" hidden="1" outlineLevel="2">
      <c r="B3141" s="2" t="s">
        <v>876</v>
      </c>
      <c r="D3141" s="268">
        <v>5212</v>
      </c>
      <c r="E3141" s="114" t="s">
        <v>214</v>
      </c>
      <c r="F3141" s="114" t="s">
        <v>3552</v>
      </c>
      <c r="G3141" s="114" t="s">
        <v>1493</v>
      </c>
      <c r="H3141" s="114" t="s">
        <v>1494</v>
      </c>
      <c r="I3141" s="114"/>
      <c r="J3141" s="114" t="b">
        <v>0</v>
      </c>
      <c r="K3141" s="114"/>
      <c r="L3141" s="114"/>
      <c r="M3141" s="114"/>
      <c r="N3141" s="114"/>
      <c r="O3141" s="114"/>
      <c r="P3141" s="114" t="s">
        <v>1485</v>
      </c>
      <c r="Q3141" s="114" t="s">
        <v>1228</v>
      </c>
    </row>
    <row r="3142" spans="2:17" hidden="1" outlineLevel="2">
      <c r="B3142" s="2" t="s">
        <v>876</v>
      </c>
      <c r="D3142" s="270">
        <v>5213</v>
      </c>
      <c r="E3142" s="112" t="s">
        <v>214</v>
      </c>
      <c r="F3142" s="112" t="s">
        <v>3553</v>
      </c>
      <c r="G3142" s="112" t="s">
        <v>1493</v>
      </c>
      <c r="H3142" s="112" t="s">
        <v>1494</v>
      </c>
      <c r="I3142" s="112"/>
      <c r="J3142" s="112" t="b">
        <v>0</v>
      </c>
      <c r="K3142" s="112"/>
      <c r="L3142" s="112"/>
      <c r="M3142" s="112"/>
      <c r="N3142" s="112"/>
      <c r="O3142" s="112"/>
      <c r="P3142" s="112" t="s">
        <v>1485</v>
      </c>
      <c r="Q3142" s="112" t="s">
        <v>1228</v>
      </c>
    </row>
    <row r="3143" spans="2:17" hidden="1" outlineLevel="2">
      <c r="B3143" s="2" t="s">
        <v>876</v>
      </c>
      <c r="D3143" s="268">
        <v>5214</v>
      </c>
      <c r="E3143" s="114" t="s">
        <v>214</v>
      </c>
      <c r="F3143" s="114" t="s">
        <v>3554</v>
      </c>
      <c r="G3143" s="114" t="s">
        <v>1493</v>
      </c>
      <c r="H3143" s="114" t="s">
        <v>1494</v>
      </c>
      <c r="I3143" s="114"/>
      <c r="J3143" s="114" t="b">
        <v>0</v>
      </c>
      <c r="K3143" s="114"/>
      <c r="L3143" s="114"/>
      <c r="M3143" s="114"/>
      <c r="N3143" s="114"/>
      <c r="O3143" s="114"/>
      <c r="P3143" s="114" t="s">
        <v>1485</v>
      </c>
      <c r="Q3143" s="114" t="s">
        <v>1228</v>
      </c>
    </row>
    <row r="3144" spans="2:17" hidden="1" outlineLevel="2">
      <c r="B3144" s="2" t="s">
        <v>876</v>
      </c>
      <c r="D3144" s="270">
        <v>5220</v>
      </c>
      <c r="E3144" s="112" t="s">
        <v>214</v>
      </c>
      <c r="F3144" s="112" t="s">
        <v>3555</v>
      </c>
      <c r="G3144" s="112" t="s">
        <v>1512</v>
      </c>
      <c r="H3144" s="112" t="s">
        <v>1505</v>
      </c>
      <c r="I3144" s="112"/>
      <c r="J3144" s="112" t="b">
        <v>0</v>
      </c>
      <c r="K3144" s="112"/>
      <c r="L3144" s="112"/>
      <c r="M3144" s="112"/>
      <c r="N3144" s="112"/>
      <c r="O3144" s="112"/>
      <c r="P3144" s="112" t="s">
        <v>1485</v>
      </c>
      <c r="Q3144" s="112" t="s">
        <v>1228</v>
      </c>
    </row>
    <row r="3145" spans="2:17" hidden="1" outlineLevel="2">
      <c r="B3145" s="2" t="s">
        <v>876</v>
      </c>
      <c r="D3145" s="268">
        <v>5221</v>
      </c>
      <c r="E3145" s="114" t="s">
        <v>214</v>
      </c>
      <c r="F3145" s="114" t="s">
        <v>3556</v>
      </c>
      <c r="G3145" s="114" t="s">
        <v>1512</v>
      </c>
      <c r="H3145" s="114" t="s">
        <v>1505</v>
      </c>
      <c r="I3145" s="114"/>
      <c r="J3145" s="114" t="b">
        <v>0</v>
      </c>
      <c r="K3145" s="114"/>
      <c r="L3145" s="114" t="b">
        <v>1</v>
      </c>
      <c r="M3145" s="114"/>
      <c r="N3145" s="114"/>
      <c r="O3145" s="114"/>
      <c r="P3145" s="114" t="s">
        <v>1485</v>
      </c>
      <c r="Q3145" s="114" t="s">
        <v>1228</v>
      </c>
    </row>
    <row r="3146" spans="2:17" hidden="1" outlineLevel="2">
      <c r="B3146" s="2" t="s">
        <v>876</v>
      </c>
      <c r="D3146" s="270">
        <v>5222</v>
      </c>
      <c r="E3146" s="112" t="s">
        <v>214</v>
      </c>
      <c r="F3146" s="112" t="s">
        <v>3557</v>
      </c>
      <c r="G3146" s="112" t="s">
        <v>1512</v>
      </c>
      <c r="H3146" s="112" t="s">
        <v>1512</v>
      </c>
      <c r="I3146" s="112"/>
      <c r="J3146" s="112" t="b">
        <v>0</v>
      </c>
      <c r="K3146" s="112"/>
      <c r="L3146" s="112"/>
      <c r="M3146" s="112"/>
      <c r="N3146" s="112"/>
      <c r="O3146" s="112"/>
      <c r="P3146" s="112" t="s">
        <v>1485</v>
      </c>
      <c r="Q3146" s="112" t="s">
        <v>1228</v>
      </c>
    </row>
    <row r="3147" spans="2:17" hidden="1" outlineLevel="2">
      <c r="B3147" s="2" t="s">
        <v>876</v>
      </c>
      <c r="D3147" s="268">
        <v>5223</v>
      </c>
      <c r="E3147" s="114" t="s">
        <v>214</v>
      </c>
      <c r="F3147" s="114" t="s">
        <v>3558</v>
      </c>
      <c r="G3147" s="221" t="s">
        <v>1493</v>
      </c>
      <c r="H3147" s="114" t="s">
        <v>1505</v>
      </c>
      <c r="I3147" s="114"/>
      <c r="J3147" s="114" t="b">
        <v>0</v>
      </c>
      <c r="K3147" s="114"/>
      <c r="L3147" s="114"/>
      <c r="M3147" s="114"/>
      <c r="N3147" s="114"/>
      <c r="O3147" s="114"/>
      <c r="P3147" s="114" t="s">
        <v>1485</v>
      </c>
      <c r="Q3147" s="114" t="s">
        <v>1228</v>
      </c>
    </row>
    <row r="3148" spans="2:17" hidden="1" outlineLevel="2">
      <c r="B3148" s="2" t="s">
        <v>876</v>
      </c>
      <c r="D3148" s="270">
        <v>5231</v>
      </c>
      <c r="E3148" s="112" t="s">
        <v>214</v>
      </c>
      <c r="F3148" s="112" t="s">
        <v>3559</v>
      </c>
      <c r="G3148" s="112" t="s">
        <v>1572</v>
      </c>
      <c r="H3148" s="112" t="s">
        <v>1227</v>
      </c>
      <c r="I3148" s="112"/>
      <c r="J3148" s="112" t="b">
        <v>0</v>
      </c>
      <c r="K3148" s="112"/>
      <c r="L3148" s="112" t="b">
        <v>1</v>
      </c>
      <c r="M3148" s="112"/>
      <c r="N3148" s="112"/>
      <c r="O3148" s="112"/>
      <c r="P3148" s="112" t="s">
        <v>1485</v>
      </c>
      <c r="Q3148" s="112" t="s">
        <v>1227</v>
      </c>
    </row>
    <row r="3149" spans="2:17" hidden="1" outlineLevel="2">
      <c r="B3149" s="2" t="s">
        <v>876</v>
      </c>
      <c r="D3149" s="268">
        <v>5232</v>
      </c>
      <c r="E3149" s="114" t="s">
        <v>214</v>
      </c>
      <c r="F3149" s="114" t="s">
        <v>3560</v>
      </c>
      <c r="G3149" s="114" t="s">
        <v>1572</v>
      </c>
      <c r="H3149" s="114" t="s">
        <v>1227</v>
      </c>
      <c r="I3149" s="114"/>
      <c r="J3149" s="114" t="b">
        <v>0</v>
      </c>
      <c r="K3149" s="114"/>
      <c r="L3149" s="114"/>
      <c r="M3149" s="114"/>
      <c r="N3149" s="114"/>
      <c r="O3149" s="114"/>
      <c r="P3149" s="114" t="s">
        <v>1485</v>
      </c>
      <c r="Q3149" s="114" t="s">
        <v>1227</v>
      </c>
    </row>
    <row r="3150" spans="2:17" hidden="1" outlineLevel="2">
      <c r="B3150" s="2" t="s">
        <v>876</v>
      </c>
      <c r="D3150" s="270">
        <v>5233</v>
      </c>
      <c r="E3150" s="112" t="s">
        <v>214</v>
      </c>
      <c r="F3150" s="112" t="s">
        <v>3561</v>
      </c>
      <c r="G3150" s="112" t="s">
        <v>1572</v>
      </c>
      <c r="H3150" s="112" t="s">
        <v>1227</v>
      </c>
      <c r="I3150" s="112"/>
      <c r="J3150" s="112" t="b">
        <v>0</v>
      </c>
      <c r="K3150" s="112"/>
      <c r="L3150" s="112" t="b">
        <v>1</v>
      </c>
      <c r="M3150" s="112"/>
      <c r="N3150" s="112"/>
      <c r="O3150" s="112"/>
      <c r="P3150" s="112" t="s">
        <v>1485</v>
      </c>
      <c r="Q3150" s="112" t="s">
        <v>1227</v>
      </c>
    </row>
    <row r="3151" spans="2:17" hidden="1" outlineLevel="2">
      <c r="B3151" s="2" t="s">
        <v>876</v>
      </c>
      <c r="D3151" s="268">
        <v>5234</v>
      </c>
      <c r="E3151" s="114" t="s">
        <v>214</v>
      </c>
      <c r="F3151" s="114" t="s">
        <v>3562</v>
      </c>
      <c r="G3151" s="114" t="s">
        <v>1572</v>
      </c>
      <c r="H3151" s="114" t="s">
        <v>1227</v>
      </c>
      <c r="I3151" s="114"/>
      <c r="J3151" s="114" t="b">
        <v>0</v>
      </c>
      <c r="K3151" s="114"/>
      <c r="L3151" s="114"/>
      <c r="M3151" s="114"/>
      <c r="N3151" s="114"/>
      <c r="O3151" s="114"/>
      <c r="P3151" s="114" t="s">
        <v>1485</v>
      </c>
      <c r="Q3151" s="114" t="s">
        <v>1227</v>
      </c>
    </row>
    <row r="3152" spans="2:17" hidden="1" outlineLevel="2">
      <c r="B3152" s="2" t="s">
        <v>876</v>
      </c>
      <c r="D3152" s="270">
        <v>5235</v>
      </c>
      <c r="E3152" s="112" t="s">
        <v>214</v>
      </c>
      <c r="F3152" s="112" t="s">
        <v>1637</v>
      </c>
      <c r="G3152" s="112" t="s">
        <v>1512</v>
      </c>
      <c r="H3152" s="112" t="s">
        <v>1505</v>
      </c>
      <c r="I3152" s="112"/>
      <c r="J3152" s="112" t="b">
        <v>0</v>
      </c>
      <c r="K3152" s="112"/>
      <c r="L3152" s="112"/>
      <c r="M3152" s="112"/>
      <c r="N3152" s="112"/>
      <c r="O3152" s="112"/>
      <c r="P3152" s="112" t="s">
        <v>1485</v>
      </c>
      <c r="Q3152" s="112" t="s">
        <v>1228</v>
      </c>
    </row>
    <row r="3153" spans="2:17" hidden="1" outlineLevel="2">
      <c r="B3153" s="2" t="s">
        <v>876</v>
      </c>
      <c r="D3153" s="268">
        <v>5236</v>
      </c>
      <c r="E3153" s="114" t="s">
        <v>214</v>
      </c>
      <c r="F3153" s="114" t="s">
        <v>3563</v>
      </c>
      <c r="G3153" s="114" t="s">
        <v>1512</v>
      </c>
      <c r="H3153" s="114" t="s">
        <v>1505</v>
      </c>
      <c r="I3153" s="114"/>
      <c r="J3153" s="114" t="b">
        <v>0</v>
      </c>
      <c r="K3153" s="114"/>
      <c r="L3153" s="114"/>
      <c r="M3153" s="114"/>
      <c r="N3153" s="114"/>
      <c r="O3153" s="114"/>
      <c r="P3153" s="114" t="s">
        <v>1485</v>
      </c>
      <c r="Q3153" s="114" t="s">
        <v>1228</v>
      </c>
    </row>
    <row r="3154" spans="2:17" hidden="1" outlineLevel="2">
      <c r="B3154" s="2" t="s">
        <v>876</v>
      </c>
      <c r="D3154" s="270">
        <v>5237</v>
      </c>
      <c r="E3154" s="112" t="s">
        <v>214</v>
      </c>
      <c r="F3154" s="112" t="s">
        <v>3564</v>
      </c>
      <c r="G3154" s="112" t="s">
        <v>1512</v>
      </c>
      <c r="H3154" s="112" t="s">
        <v>1505</v>
      </c>
      <c r="I3154" s="112"/>
      <c r="J3154" s="112" t="b">
        <v>0</v>
      </c>
      <c r="K3154" s="112"/>
      <c r="L3154" s="112"/>
      <c r="M3154" s="112"/>
      <c r="N3154" s="112"/>
      <c r="O3154" s="112"/>
      <c r="P3154" s="112" t="s">
        <v>1485</v>
      </c>
      <c r="Q3154" s="112" t="s">
        <v>1228</v>
      </c>
    </row>
    <row r="3155" spans="2:17" hidden="1" outlineLevel="2">
      <c r="B3155" s="2" t="s">
        <v>876</v>
      </c>
      <c r="D3155" s="268">
        <v>5238</v>
      </c>
      <c r="E3155" s="114" t="s">
        <v>214</v>
      </c>
      <c r="F3155" s="114" t="s">
        <v>3565</v>
      </c>
      <c r="G3155" s="114" t="s">
        <v>1512</v>
      </c>
      <c r="H3155" s="114" t="s">
        <v>1505</v>
      </c>
      <c r="I3155" s="114"/>
      <c r="J3155" s="114" t="b">
        <v>0</v>
      </c>
      <c r="K3155" s="114"/>
      <c r="L3155" s="114"/>
      <c r="M3155" s="114"/>
      <c r="N3155" s="114"/>
      <c r="O3155" s="114"/>
      <c r="P3155" s="114" t="s">
        <v>1485</v>
      </c>
      <c r="Q3155" s="114" t="s">
        <v>1228</v>
      </c>
    </row>
    <row r="3156" spans="2:17" hidden="1" outlineLevel="2">
      <c r="B3156" s="2" t="s">
        <v>876</v>
      </c>
      <c r="D3156" s="270">
        <v>5240</v>
      </c>
      <c r="E3156" s="112" t="s">
        <v>214</v>
      </c>
      <c r="F3156" s="112" t="s">
        <v>3566</v>
      </c>
      <c r="G3156" s="112" t="s">
        <v>1572</v>
      </c>
      <c r="H3156" s="112" t="s">
        <v>1227</v>
      </c>
      <c r="I3156" s="112"/>
      <c r="J3156" s="112" t="b">
        <v>0</v>
      </c>
      <c r="K3156" s="112"/>
      <c r="L3156" s="112"/>
      <c r="M3156" s="112"/>
      <c r="N3156" s="112"/>
      <c r="O3156" s="112"/>
      <c r="P3156" s="112" t="s">
        <v>1485</v>
      </c>
      <c r="Q3156" s="112" t="s">
        <v>1227</v>
      </c>
    </row>
    <row r="3157" spans="2:17" hidden="1" outlineLevel="2">
      <c r="B3157" s="2" t="s">
        <v>876</v>
      </c>
      <c r="D3157" s="268">
        <v>5241</v>
      </c>
      <c r="E3157" s="114" t="s">
        <v>214</v>
      </c>
      <c r="F3157" s="114" t="s">
        <v>3567</v>
      </c>
      <c r="G3157" s="114" t="s">
        <v>1572</v>
      </c>
      <c r="H3157" s="114" t="s">
        <v>1227</v>
      </c>
      <c r="I3157" s="114"/>
      <c r="J3157" s="114" t="b">
        <v>0</v>
      </c>
      <c r="K3157" s="114"/>
      <c r="L3157" s="114"/>
      <c r="M3157" s="114"/>
      <c r="N3157" s="114"/>
      <c r="O3157" s="114"/>
      <c r="P3157" s="114" t="s">
        <v>1485</v>
      </c>
      <c r="Q3157" s="114" t="s">
        <v>1227</v>
      </c>
    </row>
    <row r="3158" spans="2:17" hidden="1" outlineLevel="2">
      <c r="B3158" s="2" t="s">
        <v>876</v>
      </c>
      <c r="D3158" s="270">
        <v>5242</v>
      </c>
      <c r="E3158" s="112" t="s">
        <v>214</v>
      </c>
      <c r="F3158" s="112" t="s">
        <v>3568</v>
      </c>
      <c r="G3158" s="112" t="s">
        <v>1572</v>
      </c>
      <c r="H3158" s="112" t="s">
        <v>1227</v>
      </c>
      <c r="I3158" s="112"/>
      <c r="J3158" s="112" t="b">
        <v>0</v>
      </c>
      <c r="K3158" s="112"/>
      <c r="L3158" s="112"/>
      <c r="M3158" s="112"/>
      <c r="N3158" s="112"/>
      <c r="O3158" s="112"/>
      <c r="P3158" s="112" t="s">
        <v>1485</v>
      </c>
      <c r="Q3158" s="112" t="s">
        <v>1227</v>
      </c>
    </row>
    <row r="3159" spans="2:17" hidden="1" outlineLevel="2">
      <c r="B3159" s="2" t="s">
        <v>876</v>
      </c>
      <c r="D3159" s="268">
        <v>5243</v>
      </c>
      <c r="E3159" s="114" t="s">
        <v>214</v>
      </c>
      <c r="F3159" s="114" t="s">
        <v>3569</v>
      </c>
      <c r="G3159" s="114" t="s">
        <v>1572</v>
      </c>
      <c r="H3159" s="114" t="s">
        <v>1227</v>
      </c>
      <c r="I3159" s="114"/>
      <c r="J3159" s="114" t="b">
        <v>0</v>
      </c>
      <c r="K3159" s="114"/>
      <c r="L3159" s="114" t="b">
        <v>1</v>
      </c>
      <c r="M3159" s="114"/>
      <c r="N3159" s="114"/>
      <c r="O3159" s="114"/>
      <c r="P3159" s="114" t="s">
        <v>1485</v>
      </c>
      <c r="Q3159" s="114" t="s">
        <v>1227</v>
      </c>
    </row>
    <row r="3160" spans="2:17" hidden="1" outlineLevel="2">
      <c r="B3160" s="2" t="s">
        <v>876</v>
      </c>
      <c r="D3160" s="270">
        <v>5244</v>
      </c>
      <c r="E3160" s="112" t="s">
        <v>214</v>
      </c>
      <c r="F3160" s="112" t="s">
        <v>3570</v>
      </c>
      <c r="G3160" s="112" t="s">
        <v>1572</v>
      </c>
      <c r="H3160" s="112" t="s">
        <v>1227</v>
      </c>
      <c r="I3160" s="112"/>
      <c r="J3160" s="112" t="b">
        <v>0</v>
      </c>
      <c r="K3160" s="112"/>
      <c r="L3160" s="112"/>
      <c r="M3160" s="112"/>
      <c r="N3160" s="112"/>
      <c r="O3160" s="112"/>
      <c r="P3160" s="112" t="s">
        <v>1485</v>
      </c>
      <c r="Q3160" s="112" t="s">
        <v>1227</v>
      </c>
    </row>
    <row r="3161" spans="2:17" hidden="1" outlineLevel="2">
      <c r="B3161" s="2" t="s">
        <v>876</v>
      </c>
      <c r="D3161" s="268">
        <v>5245</v>
      </c>
      <c r="E3161" s="114" t="s">
        <v>214</v>
      </c>
      <c r="F3161" s="114" t="s">
        <v>3571</v>
      </c>
      <c r="G3161" s="114" t="s">
        <v>1572</v>
      </c>
      <c r="H3161" s="114" t="s">
        <v>1227</v>
      </c>
      <c r="I3161" s="114"/>
      <c r="J3161" s="114" t="b">
        <v>0</v>
      </c>
      <c r="K3161" s="114"/>
      <c r="L3161" s="114"/>
      <c r="M3161" s="114"/>
      <c r="N3161" s="114"/>
      <c r="O3161" s="114"/>
      <c r="P3161" s="114" t="s">
        <v>1485</v>
      </c>
      <c r="Q3161" s="114" t="s">
        <v>1227</v>
      </c>
    </row>
    <row r="3162" spans="2:17" hidden="1" outlineLevel="2">
      <c r="B3162" s="2" t="s">
        <v>876</v>
      </c>
      <c r="D3162" s="270">
        <v>5250</v>
      </c>
      <c r="E3162" s="112" t="s">
        <v>214</v>
      </c>
      <c r="F3162" s="112" t="s">
        <v>3572</v>
      </c>
      <c r="G3162" s="112" t="s">
        <v>1572</v>
      </c>
      <c r="H3162" s="112" t="s">
        <v>1227</v>
      </c>
      <c r="I3162" s="112"/>
      <c r="J3162" s="112" t="b">
        <v>0</v>
      </c>
      <c r="K3162" s="112"/>
      <c r="L3162" s="112"/>
      <c r="M3162" s="112"/>
      <c r="N3162" s="112"/>
      <c r="O3162" s="112"/>
      <c r="P3162" s="112" t="s">
        <v>1485</v>
      </c>
      <c r="Q3162" s="112" t="s">
        <v>1227</v>
      </c>
    </row>
    <row r="3163" spans="2:17" hidden="1" outlineLevel="2">
      <c r="B3163" s="2" t="s">
        <v>876</v>
      </c>
      <c r="D3163" s="268">
        <v>5251</v>
      </c>
      <c r="E3163" s="114" t="s">
        <v>214</v>
      </c>
      <c r="F3163" s="114" t="s">
        <v>3573</v>
      </c>
      <c r="G3163" s="114" t="s">
        <v>1572</v>
      </c>
      <c r="H3163" s="114" t="s">
        <v>1227</v>
      </c>
      <c r="I3163" s="114"/>
      <c r="J3163" s="114" t="b">
        <v>0</v>
      </c>
      <c r="K3163" s="114"/>
      <c r="L3163" s="114"/>
      <c r="M3163" s="114"/>
      <c r="N3163" s="114"/>
      <c r="O3163" s="114"/>
      <c r="P3163" s="114" t="s">
        <v>1485</v>
      </c>
      <c r="Q3163" s="114" t="s">
        <v>1227</v>
      </c>
    </row>
    <row r="3164" spans="2:17" hidden="1" outlineLevel="2">
      <c r="B3164" s="2" t="s">
        <v>876</v>
      </c>
      <c r="D3164" s="270">
        <v>5252</v>
      </c>
      <c r="E3164" s="112" t="s">
        <v>214</v>
      </c>
      <c r="F3164" s="112" t="s">
        <v>3574</v>
      </c>
      <c r="G3164" s="112" t="s">
        <v>1572</v>
      </c>
      <c r="H3164" s="112" t="s">
        <v>1227</v>
      </c>
      <c r="I3164" s="112"/>
      <c r="J3164" s="112" t="b">
        <v>0</v>
      </c>
      <c r="K3164" s="112" t="s">
        <v>1758</v>
      </c>
      <c r="L3164" s="112" t="b">
        <v>1</v>
      </c>
      <c r="M3164" s="112"/>
      <c r="N3164" s="112"/>
      <c r="O3164" s="112"/>
      <c r="P3164" s="112" t="s">
        <v>1485</v>
      </c>
      <c r="Q3164" s="112" t="s">
        <v>1227</v>
      </c>
    </row>
    <row r="3165" spans="2:17" hidden="1" outlineLevel="2">
      <c r="B3165" s="2" t="s">
        <v>876</v>
      </c>
      <c r="D3165" s="268">
        <v>5253</v>
      </c>
      <c r="E3165" s="114" t="s">
        <v>214</v>
      </c>
      <c r="F3165" s="114" t="s">
        <v>3575</v>
      </c>
      <c r="G3165" s="114" t="s">
        <v>1493</v>
      </c>
      <c r="H3165" s="114" t="s">
        <v>1494</v>
      </c>
      <c r="I3165" s="114"/>
      <c r="J3165" s="114" t="b">
        <v>0</v>
      </c>
      <c r="K3165" s="114"/>
      <c r="L3165" s="114"/>
      <c r="M3165" s="114"/>
      <c r="N3165" s="114"/>
      <c r="O3165" s="114"/>
      <c r="P3165" s="114" t="s">
        <v>1485</v>
      </c>
      <c r="Q3165" s="114" t="s">
        <v>1228</v>
      </c>
    </row>
    <row r="3166" spans="2:17" hidden="1" outlineLevel="2">
      <c r="B3166" s="2" t="s">
        <v>876</v>
      </c>
      <c r="D3166" s="270">
        <v>5254</v>
      </c>
      <c r="E3166" s="112" t="s">
        <v>214</v>
      </c>
      <c r="F3166" s="112" t="s">
        <v>3576</v>
      </c>
      <c r="G3166" s="112" t="s">
        <v>1512</v>
      </c>
      <c r="H3166" s="112" t="s">
        <v>1512</v>
      </c>
      <c r="I3166" s="112"/>
      <c r="J3166" s="112" t="b">
        <v>0</v>
      </c>
      <c r="K3166" s="112"/>
      <c r="L3166" s="112"/>
      <c r="M3166" s="112"/>
      <c r="N3166" s="112"/>
      <c r="O3166" s="112"/>
      <c r="P3166" s="112" t="s">
        <v>1485</v>
      </c>
      <c r="Q3166" s="112" t="s">
        <v>1228</v>
      </c>
    </row>
    <row r="3167" spans="2:17" hidden="1" outlineLevel="2">
      <c r="B3167" s="2" t="s">
        <v>876</v>
      </c>
      <c r="D3167" s="268">
        <v>5255</v>
      </c>
      <c r="E3167" s="114" t="s">
        <v>214</v>
      </c>
      <c r="F3167" s="114" t="s">
        <v>3577</v>
      </c>
      <c r="G3167" s="114" t="s">
        <v>1483</v>
      </c>
      <c r="H3167" s="114" t="s">
        <v>1494</v>
      </c>
      <c r="I3167" s="114"/>
      <c r="J3167" s="114" t="b">
        <v>0</v>
      </c>
      <c r="K3167" s="114"/>
      <c r="L3167" s="114"/>
      <c r="M3167" s="114"/>
      <c r="N3167" s="114"/>
      <c r="O3167" s="114"/>
      <c r="P3167" s="114" t="s">
        <v>1485</v>
      </c>
      <c r="Q3167" s="114" t="s">
        <v>1228</v>
      </c>
    </row>
    <row r="3168" spans="2:17" hidden="1" outlineLevel="2">
      <c r="B3168" s="2" t="s">
        <v>876</v>
      </c>
      <c r="D3168" s="270">
        <v>5256</v>
      </c>
      <c r="E3168" s="112" t="s">
        <v>214</v>
      </c>
      <c r="F3168" s="112" t="s">
        <v>3578</v>
      </c>
      <c r="G3168" s="112" t="s">
        <v>1512</v>
      </c>
      <c r="H3168" s="112" t="s">
        <v>1512</v>
      </c>
      <c r="I3168" s="112"/>
      <c r="J3168" s="112" t="b">
        <v>0</v>
      </c>
      <c r="K3168" s="112"/>
      <c r="L3168" s="112"/>
      <c r="M3168" s="112"/>
      <c r="N3168" s="112"/>
      <c r="O3168" s="112"/>
      <c r="P3168" s="112" t="s">
        <v>1485</v>
      </c>
      <c r="Q3168" s="112" t="s">
        <v>1228</v>
      </c>
    </row>
    <row r="3169" spans="2:17" hidden="1" outlineLevel="2">
      <c r="B3169" s="2" t="s">
        <v>876</v>
      </c>
      <c r="D3169" s="268">
        <v>5259</v>
      </c>
      <c r="E3169" s="114" t="s">
        <v>214</v>
      </c>
      <c r="F3169" s="114" t="s">
        <v>3579</v>
      </c>
      <c r="G3169" s="114" t="s">
        <v>1512</v>
      </c>
      <c r="H3169" s="114" t="s">
        <v>1505</v>
      </c>
      <c r="I3169" s="114"/>
      <c r="J3169" s="114" t="b">
        <v>0</v>
      </c>
      <c r="K3169" s="114"/>
      <c r="L3169" s="114"/>
      <c r="M3169" s="114"/>
      <c r="N3169" s="114"/>
      <c r="O3169" s="114"/>
      <c r="P3169" s="114" t="s">
        <v>1485</v>
      </c>
      <c r="Q3169" s="114" t="s">
        <v>1228</v>
      </c>
    </row>
    <row r="3170" spans="2:17" hidden="1" outlineLevel="2">
      <c r="B3170" s="2" t="s">
        <v>876</v>
      </c>
      <c r="D3170" s="270">
        <v>5260</v>
      </c>
      <c r="E3170" s="112" t="s">
        <v>214</v>
      </c>
      <c r="F3170" s="112" t="s">
        <v>3580</v>
      </c>
      <c r="G3170" s="221" t="s">
        <v>1512</v>
      </c>
      <c r="H3170" s="112" t="s">
        <v>1505</v>
      </c>
      <c r="I3170" s="112"/>
      <c r="J3170" s="112" t="b">
        <v>0</v>
      </c>
      <c r="K3170" s="112"/>
      <c r="L3170" s="112"/>
      <c r="M3170" s="112"/>
      <c r="N3170" s="112"/>
      <c r="O3170" s="112"/>
      <c r="P3170" s="112" t="s">
        <v>1485</v>
      </c>
      <c r="Q3170" s="112" t="s">
        <v>1228</v>
      </c>
    </row>
    <row r="3171" spans="2:17" hidden="1" outlineLevel="2">
      <c r="B3171" s="2" t="s">
        <v>876</v>
      </c>
      <c r="D3171" s="268">
        <v>5261</v>
      </c>
      <c r="E3171" s="114" t="s">
        <v>214</v>
      </c>
      <c r="F3171" s="114" t="s">
        <v>3581</v>
      </c>
      <c r="G3171" s="114" t="s">
        <v>1512</v>
      </c>
      <c r="H3171" s="114" t="s">
        <v>1505</v>
      </c>
      <c r="I3171" s="114"/>
      <c r="J3171" s="114" t="b">
        <v>0</v>
      </c>
      <c r="K3171" s="114"/>
      <c r="L3171" s="114"/>
      <c r="M3171" s="114"/>
      <c r="N3171" s="114"/>
      <c r="O3171" s="114"/>
      <c r="P3171" s="114"/>
      <c r="Q3171" s="114" t="s">
        <v>1228</v>
      </c>
    </row>
    <row r="3172" spans="2:17" hidden="1" outlineLevel="2">
      <c r="B3172" s="2" t="s">
        <v>876</v>
      </c>
      <c r="D3172" s="270">
        <v>5262</v>
      </c>
      <c r="E3172" s="112" t="s">
        <v>214</v>
      </c>
      <c r="F3172" s="112" t="s">
        <v>3582</v>
      </c>
      <c r="G3172" s="112" t="s">
        <v>1512</v>
      </c>
      <c r="H3172" s="112" t="s">
        <v>1505</v>
      </c>
      <c r="I3172" s="112"/>
      <c r="J3172" s="112" t="b">
        <v>0</v>
      </c>
      <c r="K3172" s="112"/>
      <c r="L3172" s="112"/>
      <c r="M3172" s="112"/>
      <c r="N3172" s="112"/>
      <c r="O3172" s="112"/>
      <c r="P3172" s="112"/>
      <c r="Q3172" s="112" t="s">
        <v>1228</v>
      </c>
    </row>
    <row r="3173" spans="2:17" hidden="1" outlineLevel="2">
      <c r="B3173" s="2" t="s">
        <v>876</v>
      </c>
      <c r="D3173" s="268">
        <v>5263</v>
      </c>
      <c r="E3173" s="114" t="s">
        <v>214</v>
      </c>
      <c r="F3173" s="114" t="s">
        <v>3583</v>
      </c>
      <c r="G3173" s="114" t="s">
        <v>1512</v>
      </c>
      <c r="H3173" s="114" t="s">
        <v>1505</v>
      </c>
      <c r="I3173" s="114"/>
      <c r="J3173" s="114" t="b">
        <v>0</v>
      </c>
      <c r="K3173" s="114"/>
      <c r="L3173" s="114"/>
      <c r="M3173" s="114"/>
      <c r="N3173" s="114"/>
      <c r="O3173" s="114"/>
      <c r="P3173" s="114"/>
      <c r="Q3173" s="114" t="s">
        <v>1228</v>
      </c>
    </row>
    <row r="3174" spans="2:17" hidden="1" outlineLevel="2">
      <c r="B3174" s="2" t="s">
        <v>876</v>
      </c>
      <c r="D3174" s="270">
        <v>5264</v>
      </c>
      <c r="E3174" s="112" t="s">
        <v>214</v>
      </c>
      <c r="F3174" s="112" t="s">
        <v>3584</v>
      </c>
      <c r="G3174" s="112" t="s">
        <v>1512</v>
      </c>
      <c r="H3174" s="112" t="s">
        <v>1512</v>
      </c>
      <c r="I3174" s="112"/>
      <c r="J3174" s="112" t="b">
        <v>0</v>
      </c>
      <c r="K3174" s="112"/>
      <c r="L3174" s="112"/>
      <c r="M3174" s="112"/>
      <c r="N3174" s="112"/>
      <c r="O3174" s="112"/>
      <c r="P3174" s="112"/>
      <c r="Q3174" s="112" t="s">
        <v>1228</v>
      </c>
    </row>
    <row r="3175" spans="2:17" hidden="1" outlineLevel="2">
      <c r="B3175" s="2" t="s">
        <v>876</v>
      </c>
      <c r="D3175" s="268">
        <v>5265</v>
      </c>
      <c r="E3175" s="114" t="s">
        <v>214</v>
      </c>
      <c r="F3175" s="114" t="s">
        <v>3585</v>
      </c>
      <c r="G3175" s="114" t="s">
        <v>1512</v>
      </c>
      <c r="H3175" s="114" t="s">
        <v>1505</v>
      </c>
      <c r="I3175" s="114"/>
      <c r="J3175" s="114" t="b">
        <v>0</v>
      </c>
      <c r="K3175" s="114"/>
      <c r="L3175" s="114"/>
      <c r="M3175" s="114"/>
      <c r="N3175" s="114"/>
      <c r="O3175" s="114"/>
      <c r="P3175" s="114"/>
      <c r="Q3175" s="114" t="s">
        <v>1228</v>
      </c>
    </row>
    <row r="3176" spans="2:17" hidden="1" outlineLevel="2">
      <c r="B3176" s="2" t="s">
        <v>876</v>
      </c>
      <c r="D3176" s="270">
        <v>5266</v>
      </c>
      <c r="E3176" s="112" t="s">
        <v>214</v>
      </c>
      <c r="F3176" s="112" t="s">
        <v>3586</v>
      </c>
      <c r="G3176" s="112" t="s">
        <v>1512</v>
      </c>
      <c r="H3176" s="112" t="s">
        <v>1505</v>
      </c>
      <c r="I3176" s="112"/>
      <c r="J3176" s="112" t="b">
        <v>0</v>
      </c>
      <c r="K3176" s="112"/>
      <c r="L3176" s="112" t="b">
        <v>1</v>
      </c>
      <c r="M3176" s="112"/>
      <c r="N3176" s="112"/>
      <c r="O3176" s="112"/>
      <c r="P3176" s="112"/>
      <c r="Q3176" s="112" t="s">
        <v>1228</v>
      </c>
    </row>
    <row r="3177" spans="2:17" hidden="1" outlineLevel="2">
      <c r="B3177" s="2" t="s">
        <v>876</v>
      </c>
      <c r="D3177" s="268">
        <v>5267</v>
      </c>
      <c r="E3177" s="114" t="s">
        <v>214</v>
      </c>
      <c r="F3177" s="114" t="s">
        <v>3587</v>
      </c>
      <c r="G3177" s="221" t="s">
        <v>1512</v>
      </c>
      <c r="H3177" s="114" t="s">
        <v>1505</v>
      </c>
      <c r="I3177" s="114"/>
      <c r="J3177" s="114" t="b">
        <v>0</v>
      </c>
      <c r="K3177" s="114"/>
      <c r="L3177" s="114"/>
      <c r="M3177" s="114"/>
      <c r="N3177" s="114"/>
      <c r="O3177" s="114"/>
      <c r="P3177" s="114"/>
      <c r="Q3177" s="114" t="s">
        <v>1228</v>
      </c>
    </row>
    <row r="3178" spans="2:17" hidden="1" outlineLevel="2">
      <c r="B3178" s="2" t="s">
        <v>876</v>
      </c>
      <c r="D3178" s="270">
        <v>5268</v>
      </c>
      <c r="E3178" s="112" t="s">
        <v>214</v>
      </c>
      <c r="F3178" s="112" t="s">
        <v>3588</v>
      </c>
      <c r="G3178" s="112" t="s">
        <v>1512</v>
      </c>
      <c r="H3178" s="112" t="s">
        <v>1512</v>
      </c>
      <c r="I3178" s="112"/>
      <c r="J3178" s="112" t="b">
        <v>0</v>
      </c>
      <c r="K3178" s="112"/>
      <c r="L3178" s="112"/>
      <c r="M3178" s="112"/>
      <c r="N3178" s="112"/>
      <c r="O3178" s="112"/>
      <c r="P3178" s="112"/>
      <c r="Q3178" s="112" t="s">
        <v>1228</v>
      </c>
    </row>
    <row r="3179" spans="2:17" hidden="1" outlineLevel="2">
      <c r="B3179" s="2" t="s">
        <v>876</v>
      </c>
      <c r="D3179" s="268">
        <v>5269</v>
      </c>
      <c r="E3179" s="114" t="s">
        <v>214</v>
      </c>
      <c r="F3179" s="114" t="s">
        <v>3589</v>
      </c>
      <c r="G3179" s="114" t="s">
        <v>1512</v>
      </c>
      <c r="H3179" s="114" t="s">
        <v>1505</v>
      </c>
      <c r="I3179" s="114"/>
      <c r="J3179" s="114" t="b">
        <v>0</v>
      </c>
      <c r="K3179" s="114"/>
      <c r="L3179" s="114"/>
      <c r="M3179" s="114"/>
      <c r="N3179" s="114"/>
      <c r="O3179" s="114"/>
      <c r="P3179" s="114"/>
      <c r="Q3179" s="114" t="s">
        <v>1228</v>
      </c>
    </row>
    <row r="3180" spans="2:17" hidden="1" outlineLevel="2">
      <c r="B3180" s="2" t="s">
        <v>876</v>
      </c>
      <c r="D3180" s="270">
        <v>5270</v>
      </c>
      <c r="E3180" s="112" t="s">
        <v>214</v>
      </c>
      <c r="F3180" s="112" t="s">
        <v>3590</v>
      </c>
      <c r="G3180" s="112" t="s">
        <v>1512</v>
      </c>
      <c r="H3180" s="112" t="s">
        <v>1512</v>
      </c>
      <c r="I3180" s="112"/>
      <c r="J3180" s="112" t="b">
        <v>0</v>
      </c>
      <c r="K3180" s="112"/>
      <c r="L3180" s="112" t="b">
        <v>1</v>
      </c>
      <c r="M3180" s="112"/>
      <c r="N3180" s="112"/>
      <c r="O3180" s="112"/>
      <c r="P3180" s="112"/>
      <c r="Q3180" s="112" t="s">
        <v>1228</v>
      </c>
    </row>
    <row r="3181" spans="2:17" hidden="1" outlineLevel="2">
      <c r="B3181" s="2" t="s">
        <v>876</v>
      </c>
      <c r="D3181" s="268">
        <v>5271</v>
      </c>
      <c r="E3181" s="114" t="s">
        <v>214</v>
      </c>
      <c r="F3181" s="114" t="s">
        <v>3591</v>
      </c>
      <c r="G3181" s="114" t="s">
        <v>1493</v>
      </c>
      <c r="H3181" s="114" t="s">
        <v>1505</v>
      </c>
      <c r="I3181" s="114"/>
      <c r="J3181" s="114" t="b">
        <v>0</v>
      </c>
      <c r="K3181" s="114"/>
      <c r="L3181" s="114"/>
      <c r="M3181" s="114"/>
      <c r="N3181" s="114"/>
      <c r="O3181" s="114"/>
      <c r="P3181" s="114"/>
      <c r="Q3181" s="114" t="s">
        <v>1228</v>
      </c>
    </row>
    <row r="3182" spans="2:17" hidden="1" outlineLevel="2">
      <c r="B3182" s="2" t="s">
        <v>876</v>
      </c>
      <c r="D3182" s="270">
        <v>5272</v>
      </c>
      <c r="E3182" s="112" t="s">
        <v>214</v>
      </c>
      <c r="F3182" s="112" t="s">
        <v>3592</v>
      </c>
      <c r="G3182" s="112" t="s">
        <v>1512</v>
      </c>
      <c r="H3182" s="112" t="s">
        <v>1505</v>
      </c>
      <c r="I3182" s="112"/>
      <c r="J3182" s="112" t="b">
        <v>0</v>
      </c>
      <c r="K3182" s="112"/>
      <c r="L3182" s="112" t="b">
        <v>1</v>
      </c>
      <c r="M3182" s="112"/>
      <c r="N3182" s="112"/>
      <c r="O3182" s="112"/>
      <c r="P3182" s="112"/>
      <c r="Q3182" s="112" t="s">
        <v>1228</v>
      </c>
    </row>
    <row r="3183" spans="2:17" hidden="1" outlineLevel="2">
      <c r="B3183" s="2" t="s">
        <v>876</v>
      </c>
      <c r="D3183" s="268">
        <v>5273</v>
      </c>
      <c r="E3183" s="114" t="s">
        <v>214</v>
      </c>
      <c r="F3183" s="114" t="s">
        <v>3593</v>
      </c>
      <c r="G3183" s="114" t="s">
        <v>1512</v>
      </c>
      <c r="H3183" s="114" t="s">
        <v>1505</v>
      </c>
      <c r="I3183" s="114"/>
      <c r="J3183" s="114" t="b">
        <v>0</v>
      </c>
      <c r="K3183" s="114"/>
      <c r="L3183" s="114" t="b">
        <v>1</v>
      </c>
      <c r="M3183" s="114"/>
      <c r="N3183" s="114"/>
      <c r="O3183" s="114"/>
      <c r="P3183" s="114"/>
      <c r="Q3183" s="114" t="s">
        <v>1228</v>
      </c>
    </row>
    <row r="3184" spans="2:17" hidden="1" outlineLevel="2">
      <c r="B3184" s="2" t="s">
        <v>876</v>
      </c>
      <c r="D3184" s="270">
        <v>5275</v>
      </c>
      <c r="E3184" s="112" t="s">
        <v>214</v>
      </c>
      <c r="F3184" s="112" t="s">
        <v>3594</v>
      </c>
      <c r="G3184" s="112" t="s">
        <v>1493</v>
      </c>
      <c r="H3184" s="112" t="s">
        <v>1505</v>
      </c>
      <c r="I3184" s="112"/>
      <c r="J3184" s="112" t="b">
        <v>0</v>
      </c>
      <c r="K3184" s="112"/>
      <c r="L3184" s="112"/>
      <c r="M3184" s="112"/>
      <c r="N3184" s="112"/>
      <c r="O3184" s="112"/>
      <c r="P3184" s="112"/>
      <c r="Q3184" s="112" t="s">
        <v>1228</v>
      </c>
    </row>
    <row r="3185" spans="2:17" hidden="1" outlineLevel="2">
      <c r="B3185" s="2" t="s">
        <v>876</v>
      </c>
      <c r="D3185" s="268">
        <v>5276</v>
      </c>
      <c r="E3185" s="114" t="s">
        <v>214</v>
      </c>
      <c r="F3185" s="114" t="s">
        <v>3595</v>
      </c>
      <c r="G3185" s="221" t="s">
        <v>1512</v>
      </c>
      <c r="H3185" s="114" t="s">
        <v>1505</v>
      </c>
      <c r="I3185" s="114"/>
      <c r="J3185" s="114" t="b">
        <v>0</v>
      </c>
      <c r="K3185" s="114"/>
      <c r="L3185" s="114"/>
      <c r="M3185" s="114"/>
      <c r="N3185" s="114"/>
      <c r="O3185" s="114"/>
      <c r="P3185" s="114"/>
      <c r="Q3185" s="114" t="s">
        <v>1228</v>
      </c>
    </row>
    <row r="3186" spans="2:17" hidden="1" outlineLevel="2">
      <c r="B3186" s="2" t="s">
        <v>876</v>
      </c>
      <c r="D3186" s="270">
        <v>5277</v>
      </c>
      <c r="E3186" s="112" t="s">
        <v>214</v>
      </c>
      <c r="F3186" s="112" t="s">
        <v>3596</v>
      </c>
      <c r="G3186" s="112" t="s">
        <v>1493</v>
      </c>
      <c r="H3186" s="112" t="s">
        <v>1505</v>
      </c>
      <c r="I3186" s="112"/>
      <c r="J3186" s="112" t="b">
        <v>0</v>
      </c>
      <c r="K3186" s="112"/>
      <c r="L3186" s="112"/>
      <c r="M3186" s="112"/>
      <c r="N3186" s="112"/>
      <c r="O3186" s="112"/>
      <c r="P3186" s="112"/>
      <c r="Q3186" s="112" t="s">
        <v>1228</v>
      </c>
    </row>
    <row r="3187" spans="2:17" hidden="1" outlineLevel="2">
      <c r="B3187" s="2" t="s">
        <v>876</v>
      </c>
      <c r="D3187" s="268">
        <v>5278</v>
      </c>
      <c r="E3187" s="114" t="s">
        <v>214</v>
      </c>
      <c r="F3187" s="114" t="s">
        <v>3597</v>
      </c>
      <c r="G3187" s="114" t="s">
        <v>1512</v>
      </c>
      <c r="H3187" s="114" t="s">
        <v>1505</v>
      </c>
      <c r="I3187" s="114"/>
      <c r="J3187" s="114" t="b">
        <v>0</v>
      </c>
      <c r="K3187" s="114"/>
      <c r="L3187" s="114" t="b">
        <v>1</v>
      </c>
      <c r="M3187" s="114"/>
      <c r="N3187" s="114"/>
      <c r="O3187" s="114"/>
      <c r="P3187" s="114"/>
      <c r="Q3187" s="114" t="s">
        <v>1228</v>
      </c>
    </row>
    <row r="3188" spans="2:17" hidden="1" outlineLevel="2">
      <c r="B3188" s="2" t="s">
        <v>876</v>
      </c>
      <c r="D3188" s="270">
        <v>5279</v>
      </c>
      <c r="E3188" s="112" t="s">
        <v>214</v>
      </c>
      <c r="F3188" s="112" t="s">
        <v>3598</v>
      </c>
      <c r="G3188" s="112" t="s">
        <v>1512</v>
      </c>
      <c r="H3188" s="112" t="s">
        <v>1505</v>
      </c>
      <c r="I3188" s="112"/>
      <c r="J3188" s="112" t="b">
        <v>0</v>
      </c>
      <c r="K3188" s="112"/>
      <c r="L3188" s="112"/>
      <c r="M3188" s="112"/>
      <c r="N3188" s="112"/>
      <c r="O3188" s="112"/>
      <c r="P3188" s="112"/>
      <c r="Q3188" s="112" t="s">
        <v>1228</v>
      </c>
    </row>
    <row r="3189" spans="2:17" hidden="1" outlineLevel="2">
      <c r="B3189" s="2" t="s">
        <v>876</v>
      </c>
      <c r="D3189" s="268">
        <v>5280</v>
      </c>
      <c r="E3189" s="114" t="s">
        <v>214</v>
      </c>
      <c r="F3189" s="114" t="s">
        <v>3599</v>
      </c>
      <c r="G3189" s="114" t="s">
        <v>1493</v>
      </c>
      <c r="H3189" s="114" t="s">
        <v>1505</v>
      </c>
      <c r="I3189" s="114"/>
      <c r="J3189" s="114" t="b">
        <v>0</v>
      </c>
      <c r="K3189" s="114"/>
      <c r="L3189" s="114"/>
      <c r="M3189" s="114"/>
      <c r="N3189" s="114"/>
      <c r="O3189" s="114"/>
      <c r="P3189" s="114"/>
      <c r="Q3189" s="114" t="s">
        <v>1228</v>
      </c>
    </row>
    <row r="3190" spans="2:17" hidden="1" outlineLevel="2">
      <c r="B3190" s="2" t="s">
        <v>876</v>
      </c>
      <c r="D3190" s="270">
        <v>5290</v>
      </c>
      <c r="E3190" s="112" t="s">
        <v>214</v>
      </c>
      <c r="F3190" s="112" t="s">
        <v>3600</v>
      </c>
      <c r="G3190" s="112" t="s">
        <v>1493</v>
      </c>
      <c r="H3190" s="112" t="s">
        <v>1494</v>
      </c>
      <c r="I3190" s="112"/>
      <c r="J3190" s="112" t="b">
        <v>0</v>
      </c>
      <c r="K3190" s="112"/>
      <c r="L3190" s="112"/>
      <c r="M3190" s="112"/>
      <c r="N3190" s="112"/>
      <c r="O3190" s="112"/>
      <c r="P3190" s="112"/>
      <c r="Q3190" s="112" t="s">
        <v>1228</v>
      </c>
    </row>
    <row r="3191" spans="2:17" hidden="1" outlineLevel="2">
      <c r="B3191" s="2" t="s">
        <v>876</v>
      </c>
      <c r="D3191" s="268">
        <v>5291</v>
      </c>
      <c r="E3191" s="114" t="s">
        <v>214</v>
      </c>
      <c r="F3191" s="114" t="s">
        <v>3601</v>
      </c>
      <c r="G3191" s="114" t="s">
        <v>1483</v>
      </c>
      <c r="H3191" s="114" t="s">
        <v>1494</v>
      </c>
      <c r="I3191" s="114"/>
      <c r="J3191" s="114" t="b">
        <v>0</v>
      </c>
      <c r="K3191" s="114"/>
      <c r="L3191" s="114"/>
      <c r="M3191" s="114"/>
      <c r="N3191" s="114"/>
      <c r="O3191" s="114"/>
      <c r="P3191" s="114"/>
      <c r="Q3191" s="114" t="s">
        <v>1228</v>
      </c>
    </row>
    <row r="3192" spans="2:17" hidden="1" outlineLevel="2">
      <c r="B3192" s="2" t="s">
        <v>876</v>
      </c>
      <c r="D3192" s="270">
        <v>5301</v>
      </c>
      <c r="E3192" s="112" t="s">
        <v>214</v>
      </c>
      <c r="F3192" s="112" t="s">
        <v>3602</v>
      </c>
      <c r="G3192" s="112" t="s">
        <v>1512</v>
      </c>
      <c r="H3192" s="112" t="s">
        <v>1505</v>
      </c>
      <c r="I3192" s="112"/>
      <c r="J3192" s="112" t="b">
        <v>0</v>
      </c>
      <c r="K3192" s="112"/>
      <c r="L3192" s="112"/>
      <c r="M3192" s="112"/>
      <c r="N3192" s="112"/>
      <c r="O3192" s="112"/>
      <c r="P3192" s="112"/>
      <c r="Q3192" s="112" t="s">
        <v>1228</v>
      </c>
    </row>
    <row r="3193" spans="2:17" hidden="1" outlineLevel="2">
      <c r="B3193" s="2" t="s">
        <v>876</v>
      </c>
      <c r="D3193" s="268">
        <v>5302</v>
      </c>
      <c r="E3193" s="114" t="s">
        <v>214</v>
      </c>
      <c r="F3193" s="114" t="s">
        <v>3603</v>
      </c>
      <c r="G3193" s="114" t="s">
        <v>1512</v>
      </c>
      <c r="H3193" s="114" t="s">
        <v>1505</v>
      </c>
      <c r="I3193" s="114"/>
      <c r="J3193" s="114" t="b">
        <v>0</v>
      </c>
      <c r="K3193" s="114"/>
      <c r="L3193" s="114"/>
      <c r="M3193" s="114"/>
      <c r="N3193" s="114"/>
      <c r="O3193" s="114"/>
      <c r="P3193" s="114"/>
      <c r="Q3193" s="114" t="s">
        <v>1228</v>
      </c>
    </row>
    <row r="3194" spans="2:17" hidden="1" outlineLevel="2">
      <c r="B3194" s="2" t="s">
        <v>876</v>
      </c>
      <c r="D3194" s="270">
        <v>5303</v>
      </c>
      <c r="E3194" s="112" t="s">
        <v>214</v>
      </c>
      <c r="F3194" s="112" t="s">
        <v>3604</v>
      </c>
      <c r="G3194" s="112" t="s">
        <v>1512</v>
      </c>
      <c r="H3194" s="112" t="s">
        <v>1505</v>
      </c>
      <c r="I3194" s="112"/>
      <c r="J3194" s="112" t="b">
        <v>0</v>
      </c>
      <c r="K3194" s="112"/>
      <c r="L3194" s="112"/>
      <c r="M3194" s="112"/>
      <c r="N3194" s="112"/>
      <c r="O3194" s="112"/>
      <c r="P3194" s="112"/>
      <c r="Q3194" s="112" t="s">
        <v>1228</v>
      </c>
    </row>
    <row r="3195" spans="2:17" hidden="1" outlineLevel="2">
      <c r="B3195" s="2" t="s">
        <v>876</v>
      </c>
      <c r="D3195" s="268">
        <v>5304</v>
      </c>
      <c r="E3195" s="114" t="s">
        <v>214</v>
      </c>
      <c r="F3195" s="114" t="s">
        <v>3605</v>
      </c>
      <c r="G3195" s="221" t="s">
        <v>1493</v>
      </c>
      <c r="H3195" s="114" t="s">
        <v>1505</v>
      </c>
      <c r="I3195" s="114"/>
      <c r="J3195" s="114" t="b">
        <v>0</v>
      </c>
      <c r="K3195" s="114"/>
      <c r="L3195" s="114"/>
      <c r="M3195" s="114"/>
      <c r="N3195" s="114"/>
      <c r="O3195" s="114"/>
      <c r="P3195" s="114"/>
      <c r="Q3195" s="114" t="s">
        <v>1228</v>
      </c>
    </row>
    <row r="3196" spans="2:17" hidden="1" outlineLevel="2">
      <c r="B3196" s="2" t="s">
        <v>876</v>
      </c>
      <c r="D3196" s="270">
        <v>5306</v>
      </c>
      <c r="E3196" s="112" t="s">
        <v>214</v>
      </c>
      <c r="F3196" s="112" t="s">
        <v>3606</v>
      </c>
      <c r="G3196" s="112" t="s">
        <v>1512</v>
      </c>
      <c r="H3196" s="112" t="s">
        <v>1505</v>
      </c>
      <c r="I3196" s="112"/>
      <c r="J3196" s="112" t="b">
        <v>0</v>
      </c>
      <c r="K3196" s="112"/>
      <c r="L3196" s="112"/>
      <c r="M3196" s="112"/>
      <c r="N3196" s="112"/>
      <c r="O3196" s="112"/>
      <c r="P3196" s="112"/>
      <c r="Q3196" s="112" t="s">
        <v>1228</v>
      </c>
    </row>
    <row r="3197" spans="2:17" hidden="1" outlineLevel="2">
      <c r="B3197" s="2" t="s">
        <v>876</v>
      </c>
      <c r="D3197" s="268">
        <v>5307</v>
      </c>
      <c r="E3197" s="114" t="s">
        <v>214</v>
      </c>
      <c r="F3197" s="114" t="s">
        <v>3607</v>
      </c>
      <c r="G3197" s="114" t="s">
        <v>1512</v>
      </c>
      <c r="H3197" s="114" t="s">
        <v>1512</v>
      </c>
      <c r="I3197" s="114"/>
      <c r="J3197" s="114" t="b">
        <v>0</v>
      </c>
      <c r="K3197" s="114"/>
      <c r="L3197" s="114"/>
      <c r="M3197" s="114"/>
      <c r="N3197" s="114"/>
      <c r="O3197" s="114"/>
      <c r="P3197" s="114"/>
      <c r="Q3197" s="114" t="s">
        <v>1228</v>
      </c>
    </row>
    <row r="3198" spans="2:17" hidden="1" outlineLevel="2">
      <c r="B3198" s="2" t="s">
        <v>876</v>
      </c>
      <c r="D3198" s="270">
        <v>5308</v>
      </c>
      <c r="E3198" s="112" t="s">
        <v>214</v>
      </c>
      <c r="F3198" s="112" t="s">
        <v>3608</v>
      </c>
      <c r="G3198" s="112" t="s">
        <v>1512</v>
      </c>
      <c r="H3198" s="112" t="s">
        <v>1505</v>
      </c>
      <c r="I3198" s="112"/>
      <c r="J3198" s="112" t="b">
        <v>0</v>
      </c>
      <c r="K3198" s="112"/>
      <c r="L3198" s="112"/>
      <c r="M3198" s="112"/>
      <c r="N3198" s="112"/>
      <c r="O3198" s="112"/>
      <c r="P3198" s="112"/>
      <c r="Q3198" s="112" t="s">
        <v>1228</v>
      </c>
    </row>
    <row r="3199" spans="2:17" hidden="1" outlineLevel="2">
      <c r="B3199" s="2" t="s">
        <v>876</v>
      </c>
      <c r="D3199" s="268">
        <v>5309</v>
      </c>
      <c r="E3199" s="114" t="s">
        <v>214</v>
      </c>
      <c r="F3199" s="114" t="s">
        <v>3609</v>
      </c>
      <c r="G3199" s="114" t="s">
        <v>1512</v>
      </c>
      <c r="H3199" s="114" t="s">
        <v>1505</v>
      </c>
      <c r="I3199" s="114"/>
      <c r="J3199" s="114" t="b">
        <v>0</v>
      </c>
      <c r="K3199" s="114"/>
      <c r="L3199" s="114" t="b">
        <v>1</v>
      </c>
      <c r="M3199" s="114"/>
      <c r="N3199" s="114"/>
      <c r="O3199" s="114"/>
      <c r="P3199" s="114"/>
      <c r="Q3199" s="114" t="s">
        <v>1228</v>
      </c>
    </row>
    <row r="3200" spans="2:17" hidden="1" outlineLevel="2">
      <c r="B3200" s="2" t="s">
        <v>876</v>
      </c>
      <c r="D3200" s="270">
        <v>5310</v>
      </c>
      <c r="E3200" s="112" t="s">
        <v>214</v>
      </c>
      <c r="F3200" s="112" t="s">
        <v>3610</v>
      </c>
      <c r="G3200" s="112" t="s">
        <v>1512</v>
      </c>
      <c r="H3200" s="112" t="s">
        <v>1505</v>
      </c>
      <c r="I3200" s="112"/>
      <c r="J3200" s="112" t="b">
        <v>0</v>
      </c>
      <c r="K3200" s="112"/>
      <c r="L3200" s="112"/>
      <c r="M3200" s="112"/>
      <c r="N3200" s="112"/>
      <c r="O3200" s="112"/>
      <c r="P3200" s="112"/>
      <c r="Q3200" s="112" t="s">
        <v>1228</v>
      </c>
    </row>
    <row r="3201" spans="2:18" hidden="1" outlineLevel="2">
      <c r="B3201" s="2" t="s">
        <v>876</v>
      </c>
      <c r="D3201" s="268">
        <v>5311</v>
      </c>
      <c r="E3201" s="114" t="s">
        <v>214</v>
      </c>
      <c r="F3201" s="114" t="s">
        <v>3611</v>
      </c>
      <c r="G3201" s="114" t="s">
        <v>1512</v>
      </c>
      <c r="H3201" s="114" t="s">
        <v>1505</v>
      </c>
      <c r="I3201" s="114"/>
      <c r="J3201" s="114" t="b">
        <v>0</v>
      </c>
      <c r="K3201" s="114"/>
      <c r="L3201" s="114"/>
      <c r="M3201" s="114"/>
      <c r="N3201" s="114"/>
      <c r="O3201" s="114"/>
      <c r="P3201" s="114"/>
      <c r="Q3201" s="114" t="s">
        <v>1228</v>
      </c>
      <c r="R3201" s="274"/>
    </row>
    <row r="3202" spans="2:18" hidden="1" outlineLevel="2">
      <c r="B3202" s="2" t="s">
        <v>876</v>
      </c>
      <c r="D3202" s="270">
        <v>5312</v>
      </c>
      <c r="E3202" s="112" t="s">
        <v>214</v>
      </c>
      <c r="F3202" s="112" t="s">
        <v>3612</v>
      </c>
      <c r="G3202" s="112" t="s">
        <v>1533</v>
      </c>
      <c r="H3202" s="112" t="s">
        <v>1533</v>
      </c>
      <c r="I3202" s="112"/>
      <c r="J3202" s="112"/>
      <c r="K3202" s="112"/>
      <c r="L3202" s="112"/>
      <c r="M3202" s="112"/>
      <c r="N3202" s="112"/>
      <c r="O3202" s="112"/>
      <c r="P3202" s="112"/>
      <c r="Q3202" s="112" t="s">
        <v>1228</v>
      </c>
    </row>
    <row r="3203" spans="2:18" hidden="1" outlineLevel="2">
      <c r="B3203" s="2" t="s">
        <v>876</v>
      </c>
      <c r="D3203" s="268">
        <v>5320</v>
      </c>
      <c r="E3203" s="114" t="s">
        <v>214</v>
      </c>
      <c r="F3203" s="114" t="s">
        <v>3613</v>
      </c>
      <c r="G3203" s="114" t="s">
        <v>1512</v>
      </c>
      <c r="H3203" s="114" t="s">
        <v>1505</v>
      </c>
      <c r="I3203" s="114"/>
      <c r="J3203" s="114" t="b">
        <v>0</v>
      </c>
      <c r="K3203" s="114"/>
      <c r="L3203" s="114" t="b">
        <v>1</v>
      </c>
      <c r="M3203" s="114"/>
      <c r="N3203" s="114"/>
      <c r="O3203" s="114"/>
      <c r="P3203" s="114"/>
      <c r="Q3203" s="114" t="s">
        <v>1228</v>
      </c>
    </row>
    <row r="3204" spans="2:18" hidden="1" outlineLevel="2">
      <c r="B3204" s="2" t="s">
        <v>876</v>
      </c>
      <c r="D3204" s="270">
        <v>5321</v>
      </c>
      <c r="E3204" s="112" t="s">
        <v>214</v>
      </c>
      <c r="F3204" s="112" t="s">
        <v>3614</v>
      </c>
      <c r="G3204" s="112" t="s">
        <v>1512</v>
      </c>
      <c r="H3204" s="112" t="s">
        <v>1512</v>
      </c>
      <c r="I3204" s="112"/>
      <c r="J3204" s="112" t="b">
        <v>0</v>
      </c>
      <c r="K3204" s="112"/>
      <c r="L3204" s="112"/>
      <c r="M3204" s="112"/>
      <c r="N3204" s="112"/>
      <c r="O3204" s="112"/>
      <c r="P3204" s="112"/>
      <c r="Q3204" s="112" t="s">
        <v>1228</v>
      </c>
    </row>
    <row r="3205" spans="2:18" hidden="1" outlineLevel="2">
      <c r="B3205" s="2" t="s">
        <v>876</v>
      </c>
      <c r="D3205" s="268">
        <v>5322</v>
      </c>
      <c r="E3205" s="114" t="s">
        <v>214</v>
      </c>
      <c r="F3205" s="114" t="s">
        <v>3615</v>
      </c>
      <c r="G3205" s="221" t="s">
        <v>1512</v>
      </c>
      <c r="H3205" s="114" t="s">
        <v>1505</v>
      </c>
      <c r="I3205" s="114"/>
      <c r="J3205" s="114" t="b">
        <v>0</v>
      </c>
      <c r="K3205" s="114"/>
      <c r="L3205" s="114"/>
      <c r="M3205" s="114"/>
      <c r="N3205" s="114"/>
      <c r="O3205" s="114"/>
      <c r="P3205" s="114"/>
      <c r="Q3205" s="114" t="s">
        <v>1228</v>
      </c>
    </row>
    <row r="3206" spans="2:18" hidden="1" outlineLevel="2">
      <c r="B3206" s="2" t="s">
        <v>876</v>
      </c>
      <c r="D3206" s="270">
        <v>5330</v>
      </c>
      <c r="E3206" s="112" t="s">
        <v>214</v>
      </c>
      <c r="F3206" s="112" t="s">
        <v>3616</v>
      </c>
      <c r="G3206" s="112" t="s">
        <v>1493</v>
      </c>
      <c r="H3206" s="112" t="s">
        <v>1494</v>
      </c>
      <c r="I3206" s="112"/>
      <c r="J3206" s="112" t="b">
        <v>0</v>
      </c>
      <c r="K3206" s="112"/>
      <c r="L3206" s="112"/>
      <c r="M3206" s="112"/>
      <c r="N3206" s="112"/>
      <c r="O3206" s="112"/>
      <c r="P3206" s="112"/>
      <c r="Q3206" s="112" t="s">
        <v>1228</v>
      </c>
    </row>
    <row r="3207" spans="2:18" hidden="1" outlineLevel="2">
      <c r="B3207" s="2" t="s">
        <v>876</v>
      </c>
      <c r="D3207" s="268">
        <v>5331</v>
      </c>
      <c r="E3207" s="114" t="s">
        <v>214</v>
      </c>
      <c r="F3207" s="114" t="s">
        <v>3617</v>
      </c>
      <c r="G3207" s="114" t="s">
        <v>1512</v>
      </c>
      <c r="H3207" s="114" t="s">
        <v>1505</v>
      </c>
      <c r="I3207" s="114"/>
      <c r="J3207" s="114" t="b">
        <v>0</v>
      </c>
      <c r="K3207" s="114"/>
      <c r="L3207" s="114" t="b">
        <v>1</v>
      </c>
      <c r="M3207" s="114"/>
      <c r="N3207" s="114"/>
      <c r="O3207" s="114"/>
      <c r="P3207" s="114"/>
      <c r="Q3207" s="114" t="s">
        <v>1228</v>
      </c>
    </row>
    <row r="3208" spans="2:18" hidden="1" outlineLevel="2">
      <c r="B3208" s="2" t="s">
        <v>876</v>
      </c>
      <c r="D3208" s="270">
        <v>5332</v>
      </c>
      <c r="E3208" s="112" t="s">
        <v>214</v>
      </c>
      <c r="F3208" s="112" t="s">
        <v>3618</v>
      </c>
      <c r="G3208" s="112" t="s">
        <v>1512</v>
      </c>
      <c r="H3208" s="112" t="s">
        <v>1512</v>
      </c>
      <c r="I3208" s="112"/>
      <c r="J3208" s="112" t="b">
        <v>0</v>
      </c>
      <c r="K3208" s="112"/>
      <c r="L3208" s="112"/>
      <c r="M3208" s="112"/>
      <c r="N3208" s="112"/>
      <c r="O3208" s="112"/>
      <c r="P3208" s="112"/>
      <c r="Q3208" s="112" t="s">
        <v>1228</v>
      </c>
    </row>
    <row r="3209" spans="2:18" hidden="1" outlineLevel="2">
      <c r="B3209" s="2" t="s">
        <v>876</v>
      </c>
      <c r="D3209" s="268">
        <v>5333</v>
      </c>
      <c r="E3209" s="114" t="s">
        <v>214</v>
      </c>
      <c r="F3209" s="114" t="s">
        <v>3619</v>
      </c>
      <c r="G3209" s="114" t="s">
        <v>1493</v>
      </c>
      <c r="H3209" s="114" t="s">
        <v>1494</v>
      </c>
      <c r="I3209" s="114"/>
      <c r="J3209" s="114" t="b">
        <v>0</v>
      </c>
      <c r="K3209" s="114"/>
      <c r="L3209" s="114"/>
      <c r="M3209" s="114"/>
      <c r="N3209" s="114"/>
      <c r="O3209" s="114"/>
      <c r="P3209" s="114"/>
      <c r="Q3209" s="114" t="s">
        <v>1228</v>
      </c>
    </row>
    <row r="3210" spans="2:18" hidden="1" outlineLevel="2">
      <c r="B3210" s="2" t="s">
        <v>876</v>
      </c>
      <c r="D3210" s="270">
        <v>5340</v>
      </c>
      <c r="E3210" s="112" t="s">
        <v>214</v>
      </c>
      <c r="F3210" s="112" t="s">
        <v>3620</v>
      </c>
      <c r="G3210" s="221" t="s">
        <v>1512</v>
      </c>
      <c r="H3210" s="112" t="s">
        <v>1494</v>
      </c>
      <c r="I3210" s="112"/>
      <c r="J3210" s="112" t="b">
        <v>0</v>
      </c>
      <c r="K3210" s="112"/>
      <c r="L3210" s="112"/>
      <c r="M3210" s="112"/>
      <c r="N3210" s="112"/>
      <c r="O3210" s="112"/>
      <c r="P3210" s="112"/>
      <c r="Q3210" s="112" t="s">
        <v>1228</v>
      </c>
    </row>
    <row r="3211" spans="2:18" hidden="1" outlineLevel="2">
      <c r="B3211" s="2" t="s">
        <v>876</v>
      </c>
      <c r="D3211" s="268">
        <v>5341</v>
      </c>
      <c r="E3211" s="114" t="s">
        <v>214</v>
      </c>
      <c r="F3211" s="114" t="s">
        <v>3621</v>
      </c>
      <c r="G3211" s="114" t="s">
        <v>1493</v>
      </c>
      <c r="H3211" s="114" t="s">
        <v>1505</v>
      </c>
      <c r="I3211" s="114"/>
      <c r="J3211" s="114" t="b">
        <v>0</v>
      </c>
      <c r="K3211" s="114"/>
      <c r="L3211" s="114"/>
      <c r="M3211" s="114"/>
      <c r="N3211" s="114"/>
      <c r="O3211" s="114"/>
      <c r="P3211" s="114"/>
      <c r="Q3211" s="114" t="s">
        <v>1228</v>
      </c>
    </row>
    <row r="3212" spans="2:18" hidden="1" outlineLevel="2">
      <c r="B3212" s="2" t="s">
        <v>876</v>
      </c>
      <c r="D3212" s="270">
        <v>5342</v>
      </c>
      <c r="E3212" s="112" t="s">
        <v>214</v>
      </c>
      <c r="F3212" s="112" t="s">
        <v>3622</v>
      </c>
      <c r="G3212" s="112" t="s">
        <v>1512</v>
      </c>
      <c r="H3212" s="112" t="s">
        <v>1512</v>
      </c>
      <c r="I3212" s="112"/>
      <c r="J3212" s="112" t="b">
        <v>0</v>
      </c>
      <c r="K3212" s="112"/>
      <c r="L3212" s="112" t="b">
        <v>1</v>
      </c>
      <c r="M3212" s="112"/>
      <c r="N3212" s="112"/>
      <c r="O3212" s="112"/>
      <c r="P3212" s="112"/>
      <c r="Q3212" s="112" t="s">
        <v>1228</v>
      </c>
    </row>
    <row r="3213" spans="2:18" hidden="1" outlineLevel="2">
      <c r="B3213" s="2" t="s">
        <v>876</v>
      </c>
      <c r="D3213" s="268">
        <v>5343</v>
      </c>
      <c r="E3213" s="114" t="s">
        <v>214</v>
      </c>
      <c r="F3213" s="114" t="s">
        <v>3623</v>
      </c>
      <c r="G3213" s="114" t="s">
        <v>1493</v>
      </c>
      <c r="H3213" s="114" t="s">
        <v>1494</v>
      </c>
      <c r="I3213" s="114"/>
      <c r="J3213" s="114" t="b">
        <v>0</v>
      </c>
      <c r="K3213" s="114"/>
      <c r="L3213" s="114"/>
      <c r="M3213" s="114"/>
      <c r="N3213" s="114"/>
      <c r="O3213" s="114"/>
      <c r="P3213" s="114"/>
      <c r="Q3213" s="114" t="s">
        <v>1228</v>
      </c>
    </row>
    <row r="3214" spans="2:18" hidden="1" outlineLevel="2">
      <c r="B3214" s="2" t="s">
        <v>876</v>
      </c>
      <c r="D3214" s="270">
        <v>5344</v>
      </c>
      <c r="E3214" s="112" t="s">
        <v>214</v>
      </c>
      <c r="F3214" s="112" t="s">
        <v>3624</v>
      </c>
      <c r="G3214" s="221" t="s">
        <v>1512</v>
      </c>
      <c r="H3214" s="112" t="s">
        <v>1494</v>
      </c>
      <c r="I3214" s="112"/>
      <c r="J3214" s="112" t="b">
        <v>0</v>
      </c>
      <c r="K3214" s="112"/>
      <c r="L3214" s="112"/>
      <c r="M3214" s="112"/>
      <c r="N3214" s="112"/>
      <c r="O3214" s="112"/>
      <c r="P3214" s="112" t="s">
        <v>1485</v>
      </c>
      <c r="Q3214" s="112" t="s">
        <v>1228</v>
      </c>
    </row>
    <row r="3215" spans="2:18" hidden="1" outlineLevel="2">
      <c r="B3215" s="2" t="s">
        <v>876</v>
      </c>
      <c r="D3215" s="268">
        <v>5345</v>
      </c>
      <c r="E3215" s="114" t="s">
        <v>214</v>
      </c>
      <c r="F3215" s="114" t="s">
        <v>3625</v>
      </c>
      <c r="G3215" s="114" t="s">
        <v>1493</v>
      </c>
      <c r="H3215" s="114" t="s">
        <v>1494</v>
      </c>
      <c r="I3215" s="114"/>
      <c r="J3215" s="114" t="b">
        <v>0</v>
      </c>
      <c r="K3215" s="114"/>
      <c r="L3215" s="114"/>
      <c r="M3215" s="114"/>
      <c r="N3215" s="114"/>
      <c r="O3215" s="114"/>
      <c r="P3215" s="114" t="s">
        <v>1485</v>
      </c>
      <c r="Q3215" s="114" t="s">
        <v>1228</v>
      </c>
    </row>
    <row r="3216" spans="2:18" hidden="1" outlineLevel="2">
      <c r="B3216" s="2" t="s">
        <v>876</v>
      </c>
      <c r="D3216" s="270">
        <v>5346</v>
      </c>
      <c r="E3216" s="112" t="s">
        <v>214</v>
      </c>
      <c r="F3216" s="112" t="s">
        <v>3626</v>
      </c>
      <c r="G3216" s="112" t="s">
        <v>1512</v>
      </c>
      <c r="H3216" s="112" t="s">
        <v>1505</v>
      </c>
      <c r="I3216" s="112"/>
      <c r="J3216" s="112" t="b">
        <v>0</v>
      </c>
      <c r="K3216" s="112"/>
      <c r="L3216" s="112" t="b">
        <v>1</v>
      </c>
      <c r="M3216" s="112"/>
      <c r="N3216" s="112"/>
      <c r="O3216" s="112"/>
      <c r="P3216" s="112" t="s">
        <v>1485</v>
      </c>
      <c r="Q3216" s="112" t="s">
        <v>1228</v>
      </c>
    </row>
    <row r="3217" spans="2:17" hidden="1" outlineLevel="2">
      <c r="B3217" s="2" t="s">
        <v>876</v>
      </c>
      <c r="D3217" s="268">
        <v>5350</v>
      </c>
      <c r="E3217" s="114" t="s">
        <v>214</v>
      </c>
      <c r="F3217" s="114" t="s">
        <v>3627</v>
      </c>
      <c r="G3217" s="114" t="s">
        <v>1493</v>
      </c>
      <c r="H3217" s="114" t="s">
        <v>1505</v>
      </c>
      <c r="I3217" s="114"/>
      <c r="J3217" s="114" t="b">
        <v>0</v>
      </c>
      <c r="K3217" s="114"/>
      <c r="L3217" s="114"/>
      <c r="M3217" s="114"/>
      <c r="N3217" s="114"/>
      <c r="O3217" s="114"/>
      <c r="P3217" s="114" t="s">
        <v>1485</v>
      </c>
      <c r="Q3217" s="114" t="s">
        <v>1227</v>
      </c>
    </row>
    <row r="3218" spans="2:17" hidden="1" outlineLevel="2">
      <c r="B3218" s="2" t="s">
        <v>876</v>
      </c>
      <c r="D3218" s="270">
        <v>5351</v>
      </c>
      <c r="E3218" s="112" t="s">
        <v>214</v>
      </c>
      <c r="F3218" s="112" t="s">
        <v>2207</v>
      </c>
      <c r="G3218" s="112" t="s">
        <v>1483</v>
      </c>
      <c r="H3218" s="112" t="s">
        <v>1494</v>
      </c>
      <c r="I3218" s="112"/>
      <c r="J3218" s="112" t="b">
        <v>0</v>
      </c>
      <c r="K3218" s="112"/>
      <c r="L3218" s="112"/>
      <c r="M3218" s="112"/>
      <c r="N3218" s="112"/>
      <c r="O3218" s="112"/>
      <c r="P3218" s="112" t="s">
        <v>1485</v>
      </c>
      <c r="Q3218" s="112" t="s">
        <v>1228</v>
      </c>
    </row>
    <row r="3219" spans="2:17" hidden="1" outlineLevel="2">
      <c r="B3219" s="2" t="s">
        <v>876</v>
      </c>
      <c r="D3219" s="268">
        <v>5352</v>
      </c>
      <c r="E3219" s="114" t="s">
        <v>214</v>
      </c>
      <c r="F3219" s="114" t="s">
        <v>3628</v>
      </c>
      <c r="G3219" s="114" t="s">
        <v>1483</v>
      </c>
      <c r="H3219" s="114" t="s">
        <v>1494</v>
      </c>
      <c r="I3219" s="114"/>
      <c r="J3219" s="114" t="b">
        <v>0</v>
      </c>
      <c r="K3219" s="114"/>
      <c r="L3219" s="114"/>
      <c r="M3219" s="114"/>
      <c r="N3219" s="114"/>
      <c r="O3219" s="114"/>
      <c r="P3219" s="114" t="s">
        <v>1485</v>
      </c>
      <c r="Q3219" s="114" t="s">
        <v>1228</v>
      </c>
    </row>
    <row r="3220" spans="2:17" hidden="1" outlineLevel="2">
      <c r="B3220" s="2" t="s">
        <v>876</v>
      </c>
      <c r="D3220" s="270">
        <v>5353</v>
      </c>
      <c r="E3220" s="112" t="s">
        <v>214</v>
      </c>
      <c r="F3220" s="112" t="s">
        <v>3629</v>
      </c>
      <c r="G3220" s="112" t="s">
        <v>1483</v>
      </c>
      <c r="H3220" s="112" t="s">
        <v>1494</v>
      </c>
      <c r="I3220" s="112"/>
      <c r="J3220" s="112" t="b">
        <v>0</v>
      </c>
      <c r="K3220" s="112"/>
      <c r="L3220" s="112"/>
      <c r="M3220" s="112"/>
      <c r="N3220" s="112"/>
      <c r="O3220" s="112"/>
      <c r="P3220" s="112" t="s">
        <v>1485</v>
      </c>
      <c r="Q3220" s="112" t="s">
        <v>1228</v>
      </c>
    </row>
    <row r="3221" spans="2:17" hidden="1" outlineLevel="2">
      <c r="B3221" s="2" t="s">
        <v>876</v>
      </c>
      <c r="D3221" s="268">
        <v>5354</v>
      </c>
      <c r="E3221" s="114" t="s">
        <v>214</v>
      </c>
      <c r="F3221" s="114" t="s">
        <v>3630</v>
      </c>
      <c r="G3221" s="114" t="s">
        <v>1512</v>
      </c>
      <c r="H3221" s="114" t="s">
        <v>1505</v>
      </c>
      <c r="I3221" s="114"/>
      <c r="J3221" s="114" t="b">
        <v>0</v>
      </c>
      <c r="K3221" s="114"/>
      <c r="L3221" s="114"/>
      <c r="M3221" s="114"/>
      <c r="N3221" s="114"/>
      <c r="O3221" s="114"/>
      <c r="P3221" s="114" t="s">
        <v>1485</v>
      </c>
      <c r="Q3221" s="114" t="s">
        <v>1228</v>
      </c>
    </row>
    <row r="3222" spans="2:17" hidden="1" outlineLevel="2">
      <c r="B3222" s="2" t="s">
        <v>876</v>
      </c>
      <c r="D3222" s="270">
        <v>5355</v>
      </c>
      <c r="E3222" s="112" t="s">
        <v>214</v>
      </c>
      <c r="F3222" s="112" t="s">
        <v>3631</v>
      </c>
      <c r="G3222" s="112" t="s">
        <v>1483</v>
      </c>
      <c r="H3222" s="112" t="s">
        <v>1494</v>
      </c>
      <c r="I3222" s="112"/>
      <c r="J3222" s="112" t="b">
        <v>0</v>
      </c>
      <c r="K3222" s="112"/>
      <c r="L3222" s="112"/>
      <c r="M3222" s="112"/>
      <c r="N3222" s="112"/>
      <c r="O3222" s="112"/>
      <c r="P3222" s="112" t="s">
        <v>1485</v>
      </c>
      <c r="Q3222" s="112" t="s">
        <v>1228</v>
      </c>
    </row>
    <row r="3223" spans="2:17" hidden="1" outlineLevel="2">
      <c r="B3223" s="2" t="s">
        <v>876</v>
      </c>
      <c r="D3223" s="268">
        <v>5356</v>
      </c>
      <c r="E3223" s="114" t="s">
        <v>214</v>
      </c>
      <c r="F3223" s="114" t="s">
        <v>3632</v>
      </c>
      <c r="G3223" s="114" t="s">
        <v>1512</v>
      </c>
      <c r="H3223" s="114" t="s">
        <v>1505</v>
      </c>
      <c r="I3223" s="114"/>
      <c r="J3223" s="114" t="b">
        <v>0</v>
      </c>
      <c r="K3223" s="114"/>
      <c r="L3223" s="114"/>
      <c r="M3223" s="114"/>
      <c r="N3223" s="114"/>
      <c r="O3223" s="114"/>
      <c r="P3223" s="114" t="s">
        <v>1485</v>
      </c>
      <c r="Q3223" s="114" t="s">
        <v>1228</v>
      </c>
    </row>
    <row r="3224" spans="2:17" hidden="1" outlineLevel="2">
      <c r="B3224" s="2" t="s">
        <v>876</v>
      </c>
      <c r="D3224" s="270">
        <v>5357</v>
      </c>
      <c r="E3224" s="112" t="s">
        <v>214</v>
      </c>
      <c r="F3224" s="112" t="s">
        <v>3633</v>
      </c>
      <c r="G3224" s="112" t="s">
        <v>1512</v>
      </c>
      <c r="H3224" s="112" t="s">
        <v>1505</v>
      </c>
      <c r="I3224" s="112"/>
      <c r="J3224" s="112" t="b">
        <v>0</v>
      </c>
      <c r="K3224" s="112"/>
      <c r="L3224" s="112" t="b">
        <v>1</v>
      </c>
      <c r="M3224" s="112"/>
      <c r="N3224" s="112"/>
      <c r="O3224" s="112"/>
      <c r="P3224" s="112" t="s">
        <v>1485</v>
      </c>
      <c r="Q3224" s="112" t="s">
        <v>1228</v>
      </c>
    </row>
    <row r="3225" spans="2:17" hidden="1" outlineLevel="2">
      <c r="B3225" s="2" t="s">
        <v>876</v>
      </c>
      <c r="D3225" s="268">
        <v>5360</v>
      </c>
      <c r="E3225" s="114" t="s">
        <v>214</v>
      </c>
      <c r="F3225" s="114" t="s">
        <v>3634</v>
      </c>
      <c r="G3225" s="114" t="s">
        <v>1483</v>
      </c>
      <c r="H3225" s="114" t="s">
        <v>1494</v>
      </c>
      <c r="I3225" s="114"/>
      <c r="J3225" s="114" t="b">
        <v>0</v>
      </c>
      <c r="K3225" s="114"/>
      <c r="L3225" s="114"/>
      <c r="M3225" s="114"/>
      <c r="N3225" s="114"/>
      <c r="O3225" s="114"/>
      <c r="P3225" s="114" t="s">
        <v>1485</v>
      </c>
      <c r="Q3225" s="114" t="s">
        <v>1228</v>
      </c>
    </row>
    <row r="3226" spans="2:17" hidden="1" outlineLevel="2">
      <c r="B3226" s="2" t="s">
        <v>876</v>
      </c>
      <c r="D3226" s="270">
        <v>5371</v>
      </c>
      <c r="E3226" s="112" t="s">
        <v>214</v>
      </c>
      <c r="F3226" s="112" t="s">
        <v>3635</v>
      </c>
      <c r="G3226" s="112" t="s">
        <v>1493</v>
      </c>
      <c r="H3226" s="112" t="s">
        <v>1505</v>
      </c>
      <c r="I3226" s="112"/>
      <c r="J3226" s="112" t="b">
        <v>0</v>
      </c>
      <c r="K3226" s="112"/>
      <c r="L3226" s="112"/>
      <c r="M3226" s="112"/>
      <c r="N3226" s="112"/>
      <c r="O3226" s="112"/>
      <c r="P3226" s="112" t="s">
        <v>1485</v>
      </c>
      <c r="Q3226" s="112" t="s">
        <v>1228</v>
      </c>
    </row>
    <row r="3227" spans="2:17" hidden="1" outlineLevel="2">
      <c r="B3227" s="2" t="s">
        <v>876</v>
      </c>
      <c r="D3227" s="268">
        <v>5372</v>
      </c>
      <c r="E3227" s="114" t="s">
        <v>214</v>
      </c>
      <c r="F3227" s="114" t="s">
        <v>3636</v>
      </c>
      <c r="G3227" s="114" t="s">
        <v>1493</v>
      </c>
      <c r="H3227" s="114" t="s">
        <v>1505</v>
      </c>
      <c r="I3227" s="114"/>
      <c r="J3227" s="114" t="b">
        <v>0</v>
      </c>
      <c r="K3227" s="114"/>
      <c r="L3227" s="114"/>
      <c r="M3227" s="114"/>
      <c r="N3227" s="114"/>
      <c r="O3227" s="114"/>
      <c r="P3227" s="114" t="s">
        <v>1485</v>
      </c>
      <c r="Q3227" s="114" t="s">
        <v>1228</v>
      </c>
    </row>
    <row r="3228" spans="2:17" hidden="1" outlineLevel="2">
      <c r="B3228" s="2" t="s">
        <v>876</v>
      </c>
      <c r="D3228" s="270">
        <v>5373</v>
      </c>
      <c r="E3228" s="112" t="s">
        <v>214</v>
      </c>
      <c r="F3228" s="112" t="s">
        <v>3637</v>
      </c>
      <c r="G3228" s="112" t="s">
        <v>1493</v>
      </c>
      <c r="H3228" s="112" t="s">
        <v>1505</v>
      </c>
      <c r="I3228" s="112"/>
      <c r="J3228" s="112" t="b">
        <v>0</v>
      </c>
      <c r="K3228" s="112"/>
      <c r="L3228" s="112"/>
      <c r="M3228" s="112"/>
      <c r="N3228" s="112"/>
      <c r="O3228" s="112"/>
      <c r="P3228" s="112" t="s">
        <v>1485</v>
      </c>
      <c r="Q3228" s="112" t="s">
        <v>1228</v>
      </c>
    </row>
    <row r="3229" spans="2:17" hidden="1" outlineLevel="2">
      <c r="B3229" s="2" t="s">
        <v>876</v>
      </c>
      <c r="D3229" s="268">
        <v>5374</v>
      </c>
      <c r="E3229" s="114" t="s">
        <v>214</v>
      </c>
      <c r="F3229" s="114" t="s">
        <v>3638</v>
      </c>
      <c r="G3229" s="221" t="s">
        <v>1512</v>
      </c>
      <c r="H3229" s="114" t="s">
        <v>1505</v>
      </c>
      <c r="I3229" s="114"/>
      <c r="J3229" s="114" t="b">
        <v>0</v>
      </c>
      <c r="K3229" s="114"/>
      <c r="L3229" s="114"/>
      <c r="M3229" s="114"/>
      <c r="N3229" s="114"/>
      <c r="O3229" s="114"/>
      <c r="P3229" s="114" t="s">
        <v>1485</v>
      </c>
      <c r="Q3229" s="114" t="s">
        <v>1228</v>
      </c>
    </row>
    <row r="3230" spans="2:17" hidden="1" outlineLevel="2">
      <c r="B3230" s="2" t="s">
        <v>876</v>
      </c>
      <c r="D3230" s="270">
        <v>5381</v>
      </c>
      <c r="E3230" s="112" t="s">
        <v>214</v>
      </c>
      <c r="F3230" s="112" t="s">
        <v>3639</v>
      </c>
      <c r="G3230" s="112" t="s">
        <v>1512</v>
      </c>
      <c r="H3230" s="112" t="s">
        <v>1512</v>
      </c>
      <c r="I3230" s="112"/>
      <c r="J3230" s="112" t="b">
        <v>0</v>
      </c>
      <c r="K3230" s="112"/>
      <c r="L3230" s="112"/>
      <c r="M3230" s="112"/>
      <c r="N3230" s="112"/>
      <c r="O3230" s="112"/>
      <c r="P3230" s="112" t="s">
        <v>1485</v>
      </c>
      <c r="Q3230" s="112" t="s">
        <v>1228</v>
      </c>
    </row>
    <row r="3231" spans="2:17" hidden="1" outlineLevel="2">
      <c r="B3231" s="2" t="s">
        <v>876</v>
      </c>
      <c r="D3231" s="268">
        <v>5400</v>
      </c>
      <c r="E3231" s="114" t="s">
        <v>214</v>
      </c>
      <c r="F3231" s="114" t="s">
        <v>3640</v>
      </c>
      <c r="G3231" s="114" t="s">
        <v>1512</v>
      </c>
      <c r="H3231" s="114" t="s">
        <v>1505</v>
      </c>
      <c r="I3231" s="114"/>
      <c r="J3231" s="114" t="b">
        <v>0</v>
      </c>
      <c r="K3231" s="114"/>
      <c r="L3231" s="114"/>
      <c r="M3231" s="114"/>
      <c r="N3231" s="114"/>
      <c r="O3231" s="114"/>
      <c r="P3231" s="114" t="s">
        <v>1485</v>
      </c>
      <c r="Q3231" s="114" t="s">
        <v>1228</v>
      </c>
    </row>
    <row r="3232" spans="2:17" hidden="1" outlineLevel="2">
      <c r="B3232" s="2" t="s">
        <v>876</v>
      </c>
      <c r="D3232" s="270">
        <v>5401</v>
      </c>
      <c r="E3232" s="112" t="s">
        <v>214</v>
      </c>
      <c r="F3232" s="112" t="s">
        <v>3641</v>
      </c>
      <c r="G3232" s="112" t="s">
        <v>1512</v>
      </c>
      <c r="H3232" s="112" t="s">
        <v>1505</v>
      </c>
      <c r="I3232" s="112"/>
      <c r="J3232" s="112" t="b">
        <v>0</v>
      </c>
      <c r="K3232" s="112"/>
      <c r="L3232" s="112"/>
      <c r="M3232" s="112"/>
      <c r="N3232" s="112"/>
      <c r="O3232" s="112"/>
      <c r="P3232" s="112" t="s">
        <v>1485</v>
      </c>
      <c r="Q3232" s="112" t="s">
        <v>1228</v>
      </c>
    </row>
    <row r="3233" spans="2:17" hidden="1" outlineLevel="2">
      <c r="B3233" s="2" t="s">
        <v>876</v>
      </c>
      <c r="D3233" s="268">
        <v>5410</v>
      </c>
      <c r="E3233" s="114" t="s">
        <v>214</v>
      </c>
      <c r="F3233" s="114" t="s">
        <v>3642</v>
      </c>
      <c r="G3233" s="114" t="s">
        <v>1512</v>
      </c>
      <c r="H3233" s="114" t="s">
        <v>1512</v>
      </c>
      <c r="I3233" s="114"/>
      <c r="J3233" s="114" t="b">
        <v>0</v>
      </c>
      <c r="K3233" s="114"/>
      <c r="L3233" s="114"/>
      <c r="M3233" s="114"/>
      <c r="N3233" s="114"/>
      <c r="O3233" s="114"/>
      <c r="P3233" s="114" t="s">
        <v>1485</v>
      </c>
      <c r="Q3233" s="114" t="s">
        <v>1228</v>
      </c>
    </row>
    <row r="3234" spans="2:17" hidden="1" outlineLevel="2">
      <c r="B3234" s="2" t="s">
        <v>876</v>
      </c>
      <c r="D3234" s="270">
        <v>5411</v>
      </c>
      <c r="E3234" s="112" t="s">
        <v>214</v>
      </c>
      <c r="F3234" s="112" t="s">
        <v>3643</v>
      </c>
      <c r="G3234" s="112" t="s">
        <v>1512</v>
      </c>
      <c r="H3234" s="112" t="s">
        <v>1505</v>
      </c>
      <c r="I3234" s="112"/>
      <c r="J3234" s="112" t="b">
        <v>0</v>
      </c>
      <c r="K3234" s="112"/>
      <c r="L3234" s="112"/>
      <c r="M3234" s="112"/>
      <c r="N3234" s="112"/>
      <c r="O3234" s="112"/>
      <c r="P3234" s="112" t="s">
        <v>1485</v>
      </c>
      <c r="Q3234" s="112" t="s">
        <v>1228</v>
      </c>
    </row>
    <row r="3235" spans="2:17" hidden="1" outlineLevel="2">
      <c r="B3235" s="2" t="s">
        <v>876</v>
      </c>
      <c r="D3235" s="268">
        <v>5412</v>
      </c>
      <c r="E3235" s="114" t="s">
        <v>214</v>
      </c>
      <c r="F3235" s="114" t="s">
        <v>3644</v>
      </c>
      <c r="G3235" s="221" t="s">
        <v>1512</v>
      </c>
      <c r="H3235" s="114" t="s">
        <v>1505</v>
      </c>
      <c r="I3235" s="114"/>
      <c r="J3235" s="114" t="b">
        <v>0</v>
      </c>
      <c r="K3235" s="114"/>
      <c r="L3235" s="114"/>
      <c r="M3235" s="114"/>
      <c r="N3235" s="114"/>
      <c r="O3235" s="114"/>
      <c r="P3235" s="114" t="s">
        <v>1485</v>
      </c>
      <c r="Q3235" s="114" t="s">
        <v>1228</v>
      </c>
    </row>
    <row r="3236" spans="2:17" hidden="1" outlineLevel="2">
      <c r="B3236" s="2" t="s">
        <v>876</v>
      </c>
      <c r="D3236" s="270">
        <v>5413</v>
      </c>
      <c r="E3236" s="112" t="s">
        <v>214</v>
      </c>
      <c r="F3236" s="112" t="s">
        <v>3645</v>
      </c>
      <c r="G3236" s="112" t="s">
        <v>1512</v>
      </c>
      <c r="H3236" s="112" t="s">
        <v>1505</v>
      </c>
      <c r="I3236" s="112"/>
      <c r="J3236" s="112" t="b">
        <v>0</v>
      </c>
      <c r="K3236" s="112"/>
      <c r="L3236" s="112" t="b">
        <v>1</v>
      </c>
      <c r="M3236" s="112"/>
      <c r="N3236" s="112"/>
      <c r="O3236" s="112"/>
      <c r="P3236" s="112" t="s">
        <v>1485</v>
      </c>
      <c r="Q3236" s="112" t="s">
        <v>1228</v>
      </c>
    </row>
    <row r="3237" spans="2:17" hidden="1" outlineLevel="2">
      <c r="B3237" s="2" t="s">
        <v>876</v>
      </c>
      <c r="D3237" s="268">
        <v>5414</v>
      </c>
      <c r="E3237" s="114" t="s">
        <v>214</v>
      </c>
      <c r="F3237" s="114" t="s">
        <v>3646</v>
      </c>
      <c r="G3237" s="114" t="s">
        <v>1512</v>
      </c>
      <c r="H3237" s="114" t="s">
        <v>1505</v>
      </c>
      <c r="I3237" s="114"/>
      <c r="J3237" s="114" t="b">
        <v>0</v>
      </c>
      <c r="K3237" s="114"/>
      <c r="L3237" s="114" t="b">
        <v>1</v>
      </c>
      <c r="M3237" s="114"/>
      <c r="N3237" s="114"/>
      <c r="O3237" s="114"/>
      <c r="P3237" s="114" t="s">
        <v>1485</v>
      </c>
      <c r="Q3237" s="114" t="s">
        <v>1228</v>
      </c>
    </row>
    <row r="3238" spans="2:17" hidden="1" outlineLevel="2">
      <c r="B3238" s="2" t="s">
        <v>876</v>
      </c>
      <c r="D3238" s="270">
        <v>5415</v>
      </c>
      <c r="E3238" s="112" t="s">
        <v>214</v>
      </c>
      <c r="F3238" s="112" t="s">
        <v>3647</v>
      </c>
      <c r="G3238" s="112" t="s">
        <v>1512</v>
      </c>
      <c r="H3238" s="112" t="s">
        <v>1505</v>
      </c>
      <c r="I3238" s="112"/>
      <c r="J3238" s="112" t="b">
        <v>0</v>
      </c>
      <c r="K3238" s="112"/>
      <c r="L3238" s="112" t="b">
        <v>1</v>
      </c>
      <c r="M3238" s="112"/>
      <c r="N3238" s="112"/>
      <c r="O3238" s="112"/>
      <c r="P3238" s="112" t="s">
        <v>1485</v>
      </c>
      <c r="Q3238" s="112" t="s">
        <v>1228</v>
      </c>
    </row>
    <row r="3239" spans="2:17" hidden="1" outlineLevel="2">
      <c r="B3239" s="2" t="s">
        <v>876</v>
      </c>
      <c r="D3239" s="268">
        <v>5416</v>
      </c>
      <c r="E3239" s="114" t="s">
        <v>214</v>
      </c>
      <c r="F3239" s="114" t="s">
        <v>3648</v>
      </c>
      <c r="G3239" s="114" t="s">
        <v>1512</v>
      </c>
      <c r="H3239" s="114" t="s">
        <v>1505</v>
      </c>
      <c r="I3239" s="114"/>
      <c r="J3239" s="114" t="b">
        <v>0</v>
      </c>
      <c r="K3239" s="114"/>
      <c r="L3239" s="114"/>
      <c r="M3239" s="114"/>
      <c r="N3239" s="114"/>
      <c r="O3239" s="114"/>
      <c r="P3239" s="114" t="s">
        <v>1485</v>
      </c>
      <c r="Q3239" s="114" t="s">
        <v>1228</v>
      </c>
    </row>
    <row r="3240" spans="2:17" hidden="1" outlineLevel="2">
      <c r="B3240" s="2" t="s">
        <v>876</v>
      </c>
      <c r="D3240" s="270">
        <v>5417</v>
      </c>
      <c r="E3240" s="112" t="s">
        <v>214</v>
      </c>
      <c r="F3240" s="112" t="s">
        <v>3649</v>
      </c>
      <c r="G3240" s="112" t="s">
        <v>1512</v>
      </c>
      <c r="H3240" s="112" t="s">
        <v>1512</v>
      </c>
      <c r="I3240" s="112"/>
      <c r="J3240" s="112" t="b">
        <v>0</v>
      </c>
      <c r="K3240" s="112" t="s">
        <v>1484</v>
      </c>
      <c r="L3240" s="112" t="b">
        <v>1</v>
      </c>
      <c r="M3240" s="112"/>
      <c r="N3240" s="112"/>
      <c r="O3240" s="112"/>
      <c r="P3240" s="112" t="s">
        <v>1485</v>
      </c>
      <c r="Q3240" s="112" t="s">
        <v>1228</v>
      </c>
    </row>
    <row r="3241" spans="2:17" hidden="1" outlineLevel="2">
      <c r="B3241" s="2" t="s">
        <v>876</v>
      </c>
      <c r="D3241" s="268">
        <v>5418</v>
      </c>
      <c r="E3241" s="114" t="s">
        <v>214</v>
      </c>
      <c r="F3241" s="114" t="s">
        <v>3368</v>
      </c>
      <c r="G3241" s="114" t="s">
        <v>1512</v>
      </c>
      <c r="H3241" s="114" t="s">
        <v>1505</v>
      </c>
      <c r="I3241" s="114"/>
      <c r="J3241" s="114" t="b">
        <v>0</v>
      </c>
      <c r="K3241" s="114"/>
      <c r="L3241" s="114"/>
      <c r="M3241" s="114"/>
      <c r="N3241" s="114"/>
      <c r="O3241" s="114"/>
      <c r="P3241" s="114" t="s">
        <v>1485</v>
      </c>
      <c r="Q3241" s="114" t="s">
        <v>1228</v>
      </c>
    </row>
    <row r="3242" spans="2:17" hidden="1" outlineLevel="2">
      <c r="B3242" s="2" t="s">
        <v>876</v>
      </c>
      <c r="D3242" s="270">
        <v>5419</v>
      </c>
      <c r="E3242" s="112" t="s">
        <v>214</v>
      </c>
      <c r="F3242" s="112" t="s">
        <v>3650</v>
      </c>
      <c r="G3242" s="112" t="s">
        <v>1512</v>
      </c>
      <c r="H3242" s="112" t="s">
        <v>1505</v>
      </c>
      <c r="I3242" s="112"/>
      <c r="J3242" s="112" t="b">
        <v>0</v>
      </c>
      <c r="K3242" s="112"/>
      <c r="L3242" s="112"/>
      <c r="M3242" s="112"/>
      <c r="N3242" s="112"/>
      <c r="O3242" s="112"/>
      <c r="P3242" s="112" t="s">
        <v>1485</v>
      </c>
      <c r="Q3242" s="112" t="s">
        <v>1228</v>
      </c>
    </row>
    <row r="3243" spans="2:17" hidden="1" outlineLevel="2">
      <c r="B3243" s="2" t="s">
        <v>876</v>
      </c>
      <c r="D3243" s="268">
        <v>5420</v>
      </c>
      <c r="E3243" s="114" t="s">
        <v>214</v>
      </c>
      <c r="F3243" s="114" t="s">
        <v>3651</v>
      </c>
      <c r="G3243" s="114" t="s">
        <v>1512</v>
      </c>
      <c r="H3243" s="114" t="s">
        <v>1505</v>
      </c>
      <c r="I3243" s="114"/>
      <c r="J3243" s="114" t="b">
        <v>0</v>
      </c>
      <c r="K3243" s="114"/>
      <c r="L3243" s="114" t="b">
        <v>1</v>
      </c>
      <c r="M3243" s="114"/>
      <c r="N3243" s="114"/>
      <c r="O3243" s="114"/>
      <c r="P3243" s="114" t="s">
        <v>1485</v>
      </c>
      <c r="Q3243" s="114" t="s">
        <v>1228</v>
      </c>
    </row>
    <row r="3244" spans="2:17" hidden="1" outlineLevel="2">
      <c r="B3244" s="2" t="s">
        <v>876</v>
      </c>
      <c r="D3244" s="270">
        <v>5421</v>
      </c>
      <c r="E3244" s="112" t="s">
        <v>214</v>
      </c>
      <c r="F3244" s="112" t="s">
        <v>3652</v>
      </c>
      <c r="G3244" s="112" t="s">
        <v>1512</v>
      </c>
      <c r="H3244" s="112" t="s">
        <v>1505</v>
      </c>
      <c r="I3244" s="112"/>
      <c r="J3244" s="112" t="b">
        <v>0</v>
      </c>
      <c r="K3244" s="112"/>
      <c r="L3244" s="112" t="b">
        <v>1</v>
      </c>
      <c r="M3244" s="112"/>
      <c r="N3244" s="112"/>
      <c r="O3244" s="112"/>
      <c r="P3244" s="112" t="s">
        <v>1485</v>
      </c>
      <c r="Q3244" s="112" t="s">
        <v>1228</v>
      </c>
    </row>
    <row r="3245" spans="2:17" hidden="1" outlineLevel="2">
      <c r="B3245" s="2" t="s">
        <v>876</v>
      </c>
      <c r="D3245" s="268">
        <v>5422</v>
      </c>
      <c r="E3245" s="114" t="s">
        <v>214</v>
      </c>
      <c r="F3245" s="114" t="s">
        <v>3653</v>
      </c>
      <c r="G3245" s="114" t="s">
        <v>1512</v>
      </c>
      <c r="H3245" s="114" t="s">
        <v>1512</v>
      </c>
      <c r="I3245" s="114"/>
      <c r="J3245" s="114" t="b">
        <v>0</v>
      </c>
      <c r="K3245" s="114"/>
      <c r="L3245" s="114"/>
      <c r="M3245" s="114"/>
      <c r="N3245" s="114"/>
      <c r="O3245" s="114"/>
      <c r="P3245" s="114" t="s">
        <v>1485</v>
      </c>
      <c r="Q3245" s="114" t="s">
        <v>1228</v>
      </c>
    </row>
    <row r="3246" spans="2:17" hidden="1" outlineLevel="2">
      <c r="B3246" s="2" t="s">
        <v>876</v>
      </c>
      <c r="D3246" s="270">
        <v>5431</v>
      </c>
      <c r="E3246" s="112" t="s">
        <v>214</v>
      </c>
      <c r="F3246" s="112" t="s">
        <v>3654</v>
      </c>
      <c r="G3246" s="112" t="s">
        <v>1512</v>
      </c>
      <c r="H3246" s="112" t="s">
        <v>1505</v>
      </c>
      <c r="I3246" s="112"/>
      <c r="J3246" s="112" t="b">
        <v>0</v>
      </c>
      <c r="K3246" s="112"/>
      <c r="L3246" s="112" t="b">
        <v>1</v>
      </c>
      <c r="M3246" s="112"/>
      <c r="N3246" s="112"/>
      <c r="O3246" s="112"/>
      <c r="P3246" s="112" t="s">
        <v>1485</v>
      </c>
      <c r="Q3246" s="112" t="s">
        <v>1228</v>
      </c>
    </row>
    <row r="3247" spans="2:17" hidden="1" outlineLevel="2">
      <c r="B3247" s="2" t="s">
        <v>876</v>
      </c>
      <c r="D3247" s="268">
        <v>5432</v>
      </c>
      <c r="E3247" s="114" t="s">
        <v>214</v>
      </c>
      <c r="F3247" s="114" t="s">
        <v>3655</v>
      </c>
      <c r="G3247" s="114" t="s">
        <v>1512</v>
      </c>
      <c r="H3247" s="114" t="s">
        <v>1505</v>
      </c>
      <c r="I3247" s="114"/>
      <c r="J3247" s="114" t="b">
        <v>0</v>
      </c>
      <c r="K3247" s="114"/>
      <c r="L3247" s="114" t="b">
        <v>1</v>
      </c>
      <c r="M3247" s="114"/>
      <c r="N3247" s="114"/>
      <c r="O3247" s="114"/>
      <c r="P3247" s="114" t="s">
        <v>1485</v>
      </c>
      <c r="Q3247" s="114" t="s">
        <v>1228</v>
      </c>
    </row>
    <row r="3248" spans="2:17" hidden="1" outlineLevel="2">
      <c r="B3248" s="2" t="s">
        <v>876</v>
      </c>
      <c r="D3248" s="270">
        <v>5433</v>
      </c>
      <c r="E3248" s="112" t="s">
        <v>214</v>
      </c>
      <c r="F3248" s="112" t="s">
        <v>3656</v>
      </c>
      <c r="G3248" s="112" t="s">
        <v>1512</v>
      </c>
      <c r="H3248" s="112" t="s">
        <v>1505</v>
      </c>
      <c r="I3248" s="112"/>
      <c r="J3248" s="112" t="b">
        <v>0</v>
      </c>
      <c r="K3248" s="112"/>
      <c r="L3248" s="112" t="b">
        <v>1</v>
      </c>
      <c r="M3248" s="112"/>
      <c r="N3248" s="112"/>
      <c r="O3248" s="112"/>
      <c r="P3248" s="112" t="s">
        <v>1485</v>
      </c>
      <c r="Q3248" s="112" t="s">
        <v>1228</v>
      </c>
    </row>
    <row r="3249" spans="2:17" hidden="1" outlineLevel="2">
      <c r="B3249" s="2" t="s">
        <v>876</v>
      </c>
      <c r="D3249" s="268">
        <v>5434</v>
      </c>
      <c r="E3249" s="114" t="s">
        <v>214</v>
      </c>
      <c r="F3249" s="114" t="s">
        <v>3657</v>
      </c>
      <c r="G3249" s="114" t="s">
        <v>1512</v>
      </c>
      <c r="H3249" s="114" t="s">
        <v>1505</v>
      </c>
      <c r="I3249" s="114"/>
      <c r="J3249" s="114" t="b">
        <v>0</v>
      </c>
      <c r="K3249" s="114"/>
      <c r="L3249" s="114"/>
      <c r="M3249" s="114"/>
      <c r="N3249" s="114"/>
      <c r="O3249" s="114"/>
      <c r="P3249" s="114" t="s">
        <v>1485</v>
      </c>
      <c r="Q3249" s="114" t="s">
        <v>1228</v>
      </c>
    </row>
    <row r="3250" spans="2:17" hidden="1" outlineLevel="2">
      <c r="B3250" s="2" t="s">
        <v>876</v>
      </c>
      <c r="D3250" s="270">
        <v>5440</v>
      </c>
      <c r="E3250" s="112" t="s">
        <v>214</v>
      </c>
      <c r="F3250" s="112" t="s">
        <v>3658</v>
      </c>
      <c r="G3250" s="112" t="s">
        <v>1512</v>
      </c>
      <c r="H3250" s="112" t="s">
        <v>1505</v>
      </c>
      <c r="I3250" s="112"/>
      <c r="J3250" s="112" t="b">
        <v>0</v>
      </c>
      <c r="K3250" s="112"/>
      <c r="L3250" s="112" t="b">
        <v>1</v>
      </c>
      <c r="M3250" s="112"/>
      <c r="N3250" s="112"/>
      <c r="O3250" s="112"/>
      <c r="P3250" s="112" t="s">
        <v>1485</v>
      </c>
      <c r="Q3250" s="112" t="s">
        <v>1228</v>
      </c>
    </row>
    <row r="3251" spans="2:17" hidden="1" outlineLevel="2">
      <c r="B3251" s="2" t="s">
        <v>876</v>
      </c>
      <c r="D3251" s="268">
        <v>5451</v>
      </c>
      <c r="E3251" s="114" t="s">
        <v>214</v>
      </c>
      <c r="F3251" s="114" t="s">
        <v>1676</v>
      </c>
      <c r="G3251" s="221" t="s">
        <v>1512</v>
      </c>
      <c r="H3251" s="114" t="s">
        <v>1505</v>
      </c>
      <c r="I3251" s="114"/>
      <c r="J3251" s="114" t="b">
        <v>0</v>
      </c>
      <c r="K3251" s="114"/>
      <c r="L3251" s="114" t="b">
        <v>1</v>
      </c>
      <c r="M3251" s="114"/>
      <c r="N3251" s="114"/>
      <c r="O3251" s="114"/>
      <c r="P3251" s="114" t="s">
        <v>1485</v>
      </c>
      <c r="Q3251" s="114" t="s">
        <v>1228</v>
      </c>
    </row>
    <row r="3252" spans="2:17" hidden="1" outlineLevel="2">
      <c r="B3252" s="2" t="s">
        <v>876</v>
      </c>
      <c r="D3252" s="270">
        <v>5452</v>
      </c>
      <c r="E3252" s="112" t="s">
        <v>214</v>
      </c>
      <c r="F3252" s="112" t="s">
        <v>3659</v>
      </c>
      <c r="G3252" s="112" t="s">
        <v>1512</v>
      </c>
      <c r="H3252" s="112" t="s">
        <v>1505</v>
      </c>
      <c r="I3252" s="112"/>
      <c r="J3252" s="112" t="b">
        <v>0</v>
      </c>
      <c r="K3252" s="112"/>
      <c r="L3252" s="112" t="b">
        <v>1</v>
      </c>
      <c r="M3252" s="112"/>
      <c r="N3252" s="112"/>
      <c r="O3252" s="112"/>
      <c r="P3252" s="112" t="s">
        <v>1485</v>
      </c>
      <c r="Q3252" s="112" t="s">
        <v>1228</v>
      </c>
    </row>
    <row r="3253" spans="2:17" hidden="1" outlineLevel="2">
      <c r="B3253" s="2" t="s">
        <v>876</v>
      </c>
      <c r="D3253" s="268">
        <v>5453</v>
      </c>
      <c r="E3253" s="114" t="s">
        <v>214</v>
      </c>
      <c r="F3253" s="114" t="s">
        <v>3660</v>
      </c>
      <c r="G3253" s="114" t="s">
        <v>1483</v>
      </c>
      <c r="H3253" s="114" t="s">
        <v>1494</v>
      </c>
      <c r="I3253" s="114"/>
      <c r="J3253" s="114" t="b">
        <v>0</v>
      </c>
      <c r="K3253" s="114"/>
      <c r="L3253" s="114"/>
      <c r="M3253" s="114"/>
      <c r="N3253" s="114"/>
      <c r="O3253" s="114"/>
      <c r="P3253" s="114" t="s">
        <v>1485</v>
      </c>
      <c r="Q3253" s="114" t="s">
        <v>1228</v>
      </c>
    </row>
    <row r="3254" spans="2:17" hidden="1" outlineLevel="2">
      <c r="B3254" s="2" t="s">
        <v>876</v>
      </c>
      <c r="D3254" s="270">
        <v>5454</v>
      </c>
      <c r="E3254" s="112" t="s">
        <v>214</v>
      </c>
      <c r="F3254" s="112" t="s">
        <v>3661</v>
      </c>
      <c r="G3254" s="112" t="s">
        <v>1512</v>
      </c>
      <c r="H3254" s="112" t="s">
        <v>1505</v>
      </c>
      <c r="I3254" s="112"/>
      <c r="J3254" s="112" t="b">
        <v>0</v>
      </c>
      <c r="K3254" s="112"/>
      <c r="L3254" s="112"/>
      <c r="M3254" s="112"/>
      <c r="N3254" s="112"/>
      <c r="O3254" s="112"/>
      <c r="P3254" s="112" t="s">
        <v>1485</v>
      </c>
      <c r="Q3254" s="112" t="s">
        <v>1228</v>
      </c>
    </row>
    <row r="3255" spans="2:17" hidden="1" outlineLevel="2">
      <c r="B3255" s="2" t="s">
        <v>876</v>
      </c>
      <c r="D3255" s="268">
        <v>5455</v>
      </c>
      <c r="E3255" s="114" t="s">
        <v>214</v>
      </c>
      <c r="F3255" s="114" t="s">
        <v>3662</v>
      </c>
      <c r="G3255" s="114" t="s">
        <v>1512</v>
      </c>
      <c r="H3255" s="114" t="s">
        <v>1505</v>
      </c>
      <c r="I3255" s="114"/>
      <c r="J3255" s="114" t="b">
        <v>0</v>
      </c>
      <c r="K3255" s="114"/>
      <c r="L3255" s="114"/>
      <c r="M3255" s="114"/>
      <c r="N3255" s="114"/>
      <c r="O3255" s="114"/>
      <c r="P3255" s="114" t="s">
        <v>1485</v>
      </c>
      <c r="Q3255" s="114" t="s">
        <v>1228</v>
      </c>
    </row>
    <row r="3256" spans="2:17" hidden="1" outlineLevel="2">
      <c r="B3256" s="2" t="s">
        <v>876</v>
      </c>
      <c r="D3256" s="270">
        <v>5460</v>
      </c>
      <c r="E3256" s="112" t="s">
        <v>214</v>
      </c>
      <c r="F3256" s="112" t="s">
        <v>3663</v>
      </c>
      <c r="G3256" s="112" t="s">
        <v>1512</v>
      </c>
      <c r="H3256" s="112" t="s">
        <v>1505</v>
      </c>
      <c r="I3256" s="112"/>
      <c r="J3256" s="112" t="b">
        <v>0</v>
      </c>
      <c r="K3256" s="112"/>
      <c r="L3256" s="112"/>
      <c r="M3256" s="112"/>
      <c r="N3256" s="112"/>
      <c r="O3256" s="112"/>
      <c r="P3256" s="112" t="s">
        <v>1485</v>
      </c>
      <c r="Q3256" s="112" t="s">
        <v>1228</v>
      </c>
    </row>
    <row r="3257" spans="2:17" hidden="1" outlineLevel="2">
      <c r="B3257" s="2" t="s">
        <v>876</v>
      </c>
      <c r="D3257" s="268">
        <v>5461</v>
      </c>
      <c r="E3257" s="114" t="s">
        <v>214</v>
      </c>
      <c r="F3257" s="114" t="s">
        <v>3664</v>
      </c>
      <c r="G3257" s="114" t="s">
        <v>1493</v>
      </c>
      <c r="H3257" s="114" t="s">
        <v>1505</v>
      </c>
      <c r="I3257" s="114"/>
      <c r="J3257" s="114" t="b">
        <v>0</v>
      </c>
      <c r="K3257" s="114"/>
      <c r="L3257" s="114"/>
      <c r="M3257" s="114"/>
      <c r="N3257" s="114"/>
      <c r="O3257" s="114"/>
      <c r="P3257" s="114" t="s">
        <v>1485</v>
      </c>
      <c r="Q3257" s="114" t="s">
        <v>1228</v>
      </c>
    </row>
    <row r="3258" spans="2:17" hidden="1" outlineLevel="2">
      <c r="B3258" s="2" t="s">
        <v>876</v>
      </c>
      <c r="D3258" s="270">
        <v>5462</v>
      </c>
      <c r="E3258" s="112" t="s">
        <v>214</v>
      </c>
      <c r="F3258" s="112" t="s">
        <v>3665</v>
      </c>
      <c r="G3258" s="221" t="s">
        <v>1512</v>
      </c>
      <c r="H3258" s="112" t="s">
        <v>1505</v>
      </c>
      <c r="I3258" s="112"/>
      <c r="J3258" s="112" t="b">
        <v>0</v>
      </c>
      <c r="K3258" s="112"/>
      <c r="L3258" s="112"/>
      <c r="M3258" s="112"/>
      <c r="N3258" s="112"/>
      <c r="O3258" s="112"/>
      <c r="P3258" s="112" t="s">
        <v>1485</v>
      </c>
      <c r="Q3258" s="112" t="s">
        <v>1228</v>
      </c>
    </row>
    <row r="3259" spans="2:17" hidden="1" outlineLevel="2">
      <c r="B3259" s="2" t="s">
        <v>876</v>
      </c>
      <c r="D3259" s="268">
        <v>5464</v>
      </c>
      <c r="E3259" s="114" t="s">
        <v>214</v>
      </c>
      <c r="F3259" s="114" t="s">
        <v>3666</v>
      </c>
      <c r="G3259" s="114" t="s">
        <v>1512</v>
      </c>
      <c r="H3259" s="114" t="s">
        <v>1505</v>
      </c>
      <c r="I3259" s="114"/>
      <c r="J3259" s="114" t="b">
        <v>0</v>
      </c>
      <c r="K3259" s="114"/>
      <c r="L3259" s="114"/>
      <c r="M3259" s="114"/>
      <c r="N3259" s="114"/>
      <c r="O3259" s="114"/>
      <c r="P3259" s="114" t="s">
        <v>1485</v>
      </c>
      <c r="Q3259" s="114" t="s">
        <v>1228</v>
      </c>
    </row>
    <row r="3260" spans="2:17" hidden="1" outlineLevel="2">
      <c r="B3260" s="2" t="s">
        <v>876</v>
      </c>
      <c r="D3260" s="270">
        <v>5470</v>
      </c>
      <c r="E3260" s="112" t="s">
        <v>214</v>
      </c>
      <c r="F3260" s="112" t="s">
        <v>3667</v>
      </c>
      <c r="G3260" s="112" t="s">
        <v>1512</v>
      </c>
      <c r="H3260" s="112" t="s">
        <v>1512</v>
      </c>
      <c r="I3260" s="112"/>
      <c r="J3260" s="112" t="b">
        <v>0</v>
      </c>
      <c r="K3260" s="112"/>
      <c r="L3260" s="112"/>
      <c r="M3260" s="112"/>
      <c r="N3260" s="112"/>
      <c r="O3260" s="112"/>
      <c r="P3260" s="112" t="s">
        <v>1485</v>
      </c>
      <c r="Q3260" s="112" t="s">
        <v>1228</v>
      </c>
    </row>
    <row r="3261" spans="2:17" hidden="1" outlineLevel="2">
      <c r="B3261" s="2" t="s">
        <v>876</v>
      </c>
      <c r="D3261" s="268">
        <v>5471</v>
      </c>
      <c r="E3261" s="114" t="s">
        <v>214</v>
      </c>
      <c r="F3261" s="114" t="s">
        <v>3668</v>
      </c>
      <c r="G3261" s="114" t="s">
        <v>1512</v>
      </c>
      <c r="H3261" s="114" t="s">
        <v>1505</v>
      </c>
      <c r="I3261" s="114"/>
      <c r="J3261" s="114" t="b">
        <v>0</v>
      </c>
      <c r="K3261" s="114"/>
      <c r="L3261" s="114"/>
      <c r="M3261" s="114"/>
      <c r="N3261" s="114"/>
      <c r="O3261" s="114"/>
      <c r="P3261" s="114" t="s">
        <v>1485</v>
      </c>
      <c r="Q3261" s="114" t="s">
        <v>1228</v>
      </c>
    </row>
    <row r="3262" spans="2:17" hidden="1" outlineLevel="2">
      <c r="B3262" s="2" t="s">
        <v>876</v>
      </c>
      <c r="D3262" s="270">
        <v>5472</v>
      </c>
      <c r="E3262" s="112" t="s">
        <v>214</v>
      </c>
      <c r="F3262" s="112" t="s">
        <v>1784</v>
      </c>
      <c r="G3262" s="112" t="s">
        <v>1512</v>
      </c>
      <c r="H3262" s="112" t="s">
        <v>1505</v>
      </c>
      <c r="I3262" s="112"/>
      <c r="J3262" s="112" t="b">
        <v>0</v>
      </c>
      <c r="K3262" s="112"/>
      <c r="L3262" s="112" t="b">
        <v>1</v>
      </c>
      <c r="M3262" s="112"/>
      <c r="N3262" s="112"/>
      <c r="O3262" s="112"/>
      <c r="P3262" s="112" t="s">
        <v>1485</v>
      </c>
      <c r="Q3262" s="112" t="s">
        <v>1228</v>
      </c>
    </row>
    <row r="3263" spans="2:17" hidden="1" outlineLevel="2">
      <c r="B3263" s="2" t="s">
        <v>876</v>
      </c>
      <c r="D3263" s="268">
        <v>5473</v>
      </c>
      <c r="E3263" s="114" t="s">
        <v>214</v>
      </c>
      <c r="F3263" s="114" t="s">
        <v>3669</v>
      </c>
      <c r="G3263" s="114" t="s">
        <v>1512</v>
      </c>
      <c r="H3263" s="114" t="s">
        <v>1512</v>
      </c>
      <c r="I3263" s="114"/>
      <c r="J3263" s="114" t="b">
        <v>0</v>
      </c>
      <c r="K3263" s="114"/>
      <c r="L3263" s="114" t="b">
        <v>1</v>
      </c>
      <c r="M3263" s="114"/>
      <c r="N3263" s="114"/>
      <c r="O3263" s="114"/>
      <c r="P3263" s="114" t="s">
        <v>1485</v>
      </c>
      <c r="Q3263" s="114" t="s">
        <v>1228</v>
      </c>
    </row>
    <row r="3264" spans="2:17" hidden="1" outlineLevel="2">
      <c r="B3264" s="2" t="s">
        <v>876</v>
      </c>
      <c r="D3264" s="270">
        <v>5480</v>
      </c>
      <c r="E3264" s="112" t="s">
        <v>214</v>
      </c>
      <c r="F3264" s="112" t="s">
        <v>3670</v>
      </c>
      <c r="G3264" s="221" t="s">
        <v>1512</v>
      </c>
      <c r="H3264" s="112" t="s">
        <v>1505</v>
      </c>
      <c r="I3264" s="112"/>
      <c r="J3264" s="112" t="b">
        <v>0</v>
      </c>
      <c r="K3264" s="112"/>
      <c r="L3264" s="112"/>
      <c r="M3264" s="112"/>
      <c r="N3264" s="112"/>
      <c r="O3264" s="112"/>
      <c r="P3264" s="112" t="s">
        <v>1485</v>
      </c>
      <c r="Q3264" s="112" t="s">
        <v>1228</v>
      </c>
    </row>
    <row r="3265" spans="2:17" hidden="1" outlineLevel="2">
      <c r="B3265" s="2" t="s">
        <v>876</v>
      </c>
      <c r="D3265" s="268">
        <v>5481</v>
      </c>
      <c r="E3265" s="114" t="s">
        <v>214</v>
      </c>
      <c r="F3265" s="114" t="s">
        <v>3671</v>
      </c>
      <c r="G3265" s="114" t="s">
        <v>1512</v>
      </c>
      <c r="H3265" s="114" t="s">
        <v>1505</v>
      </c>
      <c r="I3265" s="114"/>
      <c r="J3265" s="114" t="b">
        <v>0</v>
      </c>
      <c r="K3265" s="114"/>
      <c r="L3265" s="114"/>
      <c r="M3265" s="114"/>
      <c r="N3265" s="114"/>
      <c r="O3265" s="114"/>
      <c r="P3265" s="114" t="s">
        <v>1485</v>
      </c>
      <c r="Q3265" s="114" t="s">
        <v>1228</v>
      </c>
    </row>
    <row r="3266" spans="2:17" hidden="1" outlineLevel="2">
      <c r="B3266" s="2" t="s">
        <v>876</v>
      </c>
      <c r="D3266" s="270">
        <v>5482</v>
      </c>
      <c r="E3266" s="112" t="s">
        <v>214</v>
      </c>
      <c r="F3266" s="112" t="s">
        <v>3672</v>
      </c>
      <c r="G3266" s="112" t="s">
        <v>1512</v>
      </c>
      <c r="H3266" s="112" t="s">
        <v>1512</v>
      </c>
      <c r="I3266" s="112"/>
      <c r="J3266" s="112" t="b">
        <v>0</v>
      </c>
      <c r="K3266" s="112"/>
      <c r="L3266" s="112"/>
      <c r="M3266" s="112"/>
      <c r="N3266" s="112"/>
      <c r="O3266" s="112"/>
      <c r="P3266" s="112" t="s">
        <v>1485</v>
      </c>
      <c r="Q3266" s="112" t="s">
        <v>1228</v>
      </c>
    </row>
    <row r="3267" spans="2:17" hidden="1" outlineLevel="2">
      <c r="B3267" s="2" t="s">
        <v>876</v>
      </c>
      <c r="D3267" s="268">
        <v>5483</v>
      </c>
      <c r="E3267" s="114" t="s">
        <v>214</v>
      </c>
      <c r="F3267" s="114" t="s">
        <v>3673</v>
      </c>
      <c r="G3267" s="114" t="s">
        <v>1512</v>
      </c>
      <c r="H3267" s="114" t="s">
        <v>1505</v>
      </c>
      <c r="I3267" s="114"/>
      <c r="J3267" s="114" t="b">
        <v>0</v>
      </c>
      <c r="K3267" s="114"/>
      <c r="L3267" s="114"/>
      <c r="M3267" s="114"/>
      <c r="N3267" s="114"/>
      <c r="O3267" s="114"/>
      <c r="P3267" s="114" t="s">
        <v>1485</v>
      </c>
      <c r="Q3267" s="114" t="s">
        <v>1228</v>
      </c>
    </row>
    <row r="3268" spans="2:17" hidden="1" outlineLevel="2">
      <c r="B3268" s="2" t="s">
        <v>876</v>
      </c>
      <c r="D3268" s="270">
        <v>5485</v>
      </c>
      <c r="E3268" s="112" t="s">
        <v>214</v>
      </c>
      <c r="F3268" s="112" t="s">
        <v>3674</v>
      </c>
      <c r="G3268" s="112" t="s">
        <v>1512</v>
      </c>
      <c r="H3268" s="112" t="s">
        <v>1505</v>
      </c>
      <c r="I3268" s="112"/>
      <c r="J3268" s="112" t="b">
        <v>0</v>
      </c>
      <c r="K3268" s="112"/>
      <c r="L3268" s="112" t="b">
        <v>1</v>
      </c>
      <c r="M3268" s="112"/>
      <c r="N3268" s="112"/>
      <c r="O3268" s="112"/>
      <c r="P3268" s="112" t="s">
        <v>1485</v>
      </c>
      <c r="Q3268" s="112" t="s">
        <v>1228</v>
      </c>
    </row>
    <row r="3269" spans="2:17" hidden="1" outlineLevel="2">
      <c r="B3269" s="2" t="s">
        <v>876</v>
      </c>
      <c r="D3269" s="268">
        <v>5490</v>
      </c>
      <c r="E3269" s="114" t="s">
        <v>214</v>
      </c>
      <c r="F3269" s="114" t="s">
        <v>3675</v>
      </c>
      <c r="G3269" s="114" t="s">
        <v>1512</v>
      </c>
      <c r="H3269" s="114" t="s">
        <v>1505</v>
      </c>
      <c r="I3269" s="114"/>
      <c r="J3269" s="114" t="b">
        <v>0</v>
      </c>
      <c r="K3269" s="114"/>
      <c r="L3269" s="114"/>
      <c r="M3269" s="114"/>
      <c r="N3269" s="114"/>
      <c r="O3269" s="114"/>
      <c r="P3269" s="114" t="s">
        <v>1485</v>
      </c>
      <c r="Q3269" s="114" t="s">
        <v>1228</v>
      </c>
    </row>
    <row r="3270" spans="2:17" hidden="1" outlineLevel="2">
      <c r="B3270" s="2" t="s">
        <v>876</v>
      </c>
      <c r="D3270" s="270">
        <v>5491</v>
      </c>
      <c r="E3270" s="112" t="s">
        <v>214</v>
      </c>
      <c r="F3270" s="112" t="s">
        <v>3676</v>
      </c>
      <c r="G3270" s="221" t="s">
        <v>1493</v>
      </c>
      <c r="H3270" s="112" t="s">
        <v>1512</v>
      </c>
      <c r="I3270" s="112"/>
      <c r="J3270" s="112" t="b">
        <v>0</v>
      </c>
      <c r="K3270" s="112"/>
      <c r="L3270" s="112"/>
      <c r="M3270" s="112"/>
      <c r="N3270" s="112"/>
      <c r="O3270" s="112"/>
      <c r="P3270" s="112" t="s">
        <v>1485</v>
      </c>
      <c r="Q3270" s="112" t="s">
        <v>1228</v>
      </c>
    </row>
    <row r="3271" spans="2:17" hidden="1" outlineLevel="2">
      <c r="B3271" s="2" t="s">
        <v>876</v>
      </c>
      <c r="D3271" s="268">
        <v>5493</v>
      </c>
      <c r="E3271" s="114" t="s">
        <v>214</v>
      </c>
      <c r="F3271" s="114" t="s">
        <v>3677</v>
      </c>
      <c r="G3271" s="114" t="s">
        <v>1512</v>
      </c>
      <c r="H3271" s="114" t="s">
        <v>1505</v>
      </c>
      <c r="I3271" s="114"/>
      <c r="J3271" s="114" t="b">
        <v>0</v>
      </c>
      <c r="K3271" s="114"/>
      <c r="L3271" s="114" t="b">
        <v>1</v>
      </c>
      <c r="M3271" s="114"/>
      <c r="N3271" s="114"/>
      <c r="O3271" s="114"/>
      <c r="P3271" s="114" t="s">
        <v>1485</v>
      </c>
      <c r="Q3271" s="114" t="s">
        <v>1228</v>
      </c>
    </row>
    <row r="3272" spans="2:17" hidden="1" outlineLevel="2">
      <c r="B3272" s="2" t="s">
        <v>876</v>
      </c>
      <c r="D3272" s="270">
        <v>5495</v>
      </c>
      <c r="E3272" s="112" t="s">
        <v>214</v>
      </c>
      <c r="F3272" s="112" t="s">
        <v>3678</v>
      </c>
      <c r="G3272" s="112" t="s">
        <v>1512</v>
      </c>
      <c r="H3272" s="112" t="s">
        <v>1505</v>
      </c>
      <c r="I3272" s="112"/>
      <c r="J3272" s="112" t="b">
        <v>0</v>
      </c>
      <c r="K3272" s="112"/>
      <c r="L3272" s="112"/>
      <c r="M3272" s="112"/>
      <c r="N3272" s="112"/>
      <c r="O3272" s="112"/>
      <c r="P3272" s="112" t="s">
        <v>1485</v>
      </c>
      <c r="Q3272" s="112" t="s">
        <v>1228</v>
      </c>
    </row>
    <row r="3273" spans="2:17" hidden="1" outlineLevel="2">
      <c r="B3273" s="2" t="s">
        <v>876</v>
      </c>
      <c r="D3273" s="268">
        <v>5501</v>
      </c>
      <c r="E3273" s="114" t="s">
        <v>214</v>
      </c>
      <c r="F3273" s="114" t="s">
        <v>1969</v>
      </c>
      <c r="G3273" s="114" t="s">
        <v>1483</v>
      </c>
      <c r="H3273" s="114" t="s">
        <v>1494</v>
      </c>
      <c r="I3273" s="114"/>
      <c r="J3273" s="114" t="b">
        <v>0</v>
      </c>
      <c r="K3273" s="114"/>
      <c r="L3273" s="114"/>
      <c r="M3273" s="114"/>
      <c r="N3273" s="114"/>
      <c r="O3273" s="114"/>
      <c r="P3273" s="114" t="s">
        <v>1485</v>
      </c>
      <c r="Q3273" s="114" t="s">
        <v>1228</v>
      </c>
    </row>
    <row r="3274" spans="2:17" hidden="1" outlineLevel="2">
      <c r="B3274" s="2" t="s">
        <v>876</v>
      </c>
      <c r="D3274" s="270">
        <v>5502</v>
      </c>
      <c r="E3274" s="112" t="s">
        <v>214</v>
      </c>
      <c r="F3274" s="112" t="s">
        <v>3679</v>
      </c>
      <c r="G3274" s="112" t="s">
        <v>1512</v>
      </c>
      <c r="H3274" s="112" t="s">
        <v>1505</v>
      </c>
      <c r="I3274" s="112"/>
      <c r="J3274" s="112" t="b">
        <v>0</v>
      </c>
      <c r="K3274" s="112"/>
      <c r="L3274" s="112"/>
      <c r="M3274" s="112"/>
      <c r="N3274" s="112"/>
      <c r="O3274" s="112"/>
      <c r="P3274" s="112" t="s">
        <v>1485</v>
      </c>
      <c r="Q3274" s="112" t="s">
        <v>1228</v>
      </c>
    </row>
    <row r="3275" spans="2:17" hidden="1" outlineLevel="2">
      <c r="B3275" s="2" t="s">
        <v>876</v>
      </c>
      <c r="D3275" s="268">
        <v>5510</v>
      </c>
      <c r="E3275" s="114" t="s">
        <v>214</v>
      </c>
      <c r="F3275" s="114" t="s">
        <v>3680</v>
      </c>
      <c r="G3275" s="114" t="s">
        <v>1512</v>
      </c>
      <c r="H3275" s="114" t="s">
        <v>1505</v>
      </c>
      <c r="I3275" s="114"/>
      <c r="J3275" s="114" t="b">
        <v>0</v>
      </c>
      <c r="K3275" s="114"/>
      <c r="L3275" s="114"/>
      <c r="M3275" s="114"/>
      <c r="N3275" s="114"/>
      <c r="O3275" s="114"/>
      <c r="P3275" s="114" t="s">
        <v>1485</v>
      </c>
      <c r="Q3275" s="114" t="s">
        <v>1228</v>
      </c>
    </row>
    <row r="3276" spans="2:17" hidden="1" outlineLevel="2">
      <c r="B3276" s="2" t="s">
        <v>876</v>
      </c>
      <c r="D3276" s="270">
        <v>5520</v>
      </c>
      <c r="E3276" s="112" t="s">
        <v>214</v>
      </c>
      <c r="F3276" s="112" t="s">
        <v>3681</v>
      </c>
      <c r="G3276" s="112" t="s">
        <v>1512</v>
      </c>
      <c r="H3276" s="112" t="s">
        <v>1505</v>
      </c>
      <c r="I3276" s="112"/>
      <c r="J3276" s="112" t="b">
        <v>0</v>
      </c>
      <c r="K3276" s="112"/>
      <c r="L3276" s="112"/>
      <c r="M3276" s="112"/>
      <c r="N3276" s="112"/>
      <c r="O3276" s="112"/>
      <c r="P3276" s="112" t="s">
        <v>1485</v>
      </c>
      <c r="Q3276" s="112" t="s">
        <v>1228</v>
      </c>
    </row>
    <row r="3277" spans="2:17" hidden="1" outlineLevel="2">
      <c r="B3277" s="2" t="s">
        <v>876</v>
      </c>
      <c r="D3277" s="268">
        <v>5521</v>
      </c>
      <c r="E3277" s="114" t="s">
        <v>214</v>
      </c>
      <c r="F3277" s="114" t="s">
        <v>3682</v>
      </c>
      <c r="G3277" s="114" t="s">
        <v>1512</v>
      </c>
      <c r="H3277" s="114" t="s">
        <v>1505</v>
      </c>
      <c r="I3277" s="114"/>
      <c r="J3277" s="114" t="b">
        <v>0</v>
      </c>
      <c r="K3277" s="114"/>
      <c r="L3277" s="114"/>
      <c r="M3277" s="114"/>
      <c r="N3277" s="114"/>
      <c r="O3277" s="114"/>
      <c r="P3277" s="114" t="s">
        <v>1485</v>
      </c>
      <c r="Q3277" s="114" t="s">
        <v>1228</v>
      </c>
    </row>
    <row r="3278" spans="2:17" hidden="1" outlineLevel="2">
      <c r="B3278" s="2" t="s">
        <v>876</v>
      </c>
      <c r="D3278" s="270">
        <v>5522</v>
      </c>
      <c r="E3278" s="112" t="s">
        <v>214</v>
      </c>
      <c r="F3278" s="112" t="s">
        <v>3683</v>
      </c>
      <c r="G3278" s="221" t="s">
        <v>1512</v>
      </c>
      <c r="H3278" s="112" t="s">
        <v>1505</v>
      </c>
      <c r="I3278" s="112"/>
      <c r="J3278" s="112" t="b">
        <v>0</v>
      </c>
      <c r="K3278" s="112"/>
      <c r="L3278" s="112"/>
      <c r="M3278" s="112"/>
      <c r="N3278" s="112"/>
      <c r="O3278" s="112"/>
      <c r="P3278" s="112" t="s">
        <v>1485</v>
      </c>
      <c r="Q3278" s="112" t="s">
        <v>1228</v>
      </c>
    </row>
    <row r="3279" spans="2:17" hidden="1" outlineLevel="2">
      <c r="B3279" s="2" t="s">
        <v>876</v>
      </c>
      <c r="D3279" s="268">
        <v>5523</v>
      </c>
      <c r="E3279" s="114" t="s">
        <v>214</v>
      </c>
      <c r="F3279" s="114" t="s">
        <v>3684</v>
      </c>
      <c r="G3279" s="221" t="s">
        <v>1512</v>
      </c>
      <c r="H3279" s="114" t="s">
        <v>1505</v>
      </c>
      <c r="I3279" s="114"/>
      <c r="J3279" s="114" t="b">
        <v>0</v>
      </c>
      <c r="K3279" s="114"/>
      <c r="L3279" s="114"/>
      <c r="M3279" s="114"/>
      <c r="N3279" s="114"/>
      <c r="O3279" s="114"/>
      <c r="P3279" s="114" t="s">
        <v>1485</v>
      </c>
      <c r="Q3279" s="114" t="s">
        <v>1228</v>
      </c>
    </row>
    <row r="3280" spans="2:17" hidden="1" outlineLevel="2">
      <c r="B3280" s="2" t="s">
        <v>876</v>
      </c>
      <c r="D3280" s="270">
        <v>5540</v>
      </c>
      <c r="E3280" s="112" t="s">
        <v>214</v>
      </c>
      <c r="F3280" s="112" t="s">
        <v>3685</v>
      </c>
      <c r="G3280" s="691" t="s">
        <v>1493</v>
      </c>
      <c r="H3280" s="112" t="s">
        <v>1533</v>
      </c>
      <c r="I3280" s="112"/>
      <c r="J3280" s="112" t="b">
        <v>0</v>
      </c>
      <c r="K3280" s="112" t="s">
        <v>1552</v>
      </c>
      <c r="L3280" s="112" t="b">
        <v>1</v>
      </c>
      <c r="M3280" s="112"/>
      <c r="N3280" s="112"/>
      <c r="O3280" s="112"/>
      <c r="P3280" s="112" t="s">
        <v>1485</v>
      </c>
      <c r="Q3280" s="112" t="s">
        <v>1228</v>
      </c>
    </row>
    <row r="3281" spans="2:17" hidden="1" outlineLevel="2">
      <c r="B3281" s="2" t="s">
        <v>876</v>
      </c>
      <c r="D3281" s="268">
        <v>5550</v>
      </c>
      <c r="E3281" s="114" t="s">
        <v>214</v>
      </c>
      <c r="F3281" s="114" t="s">
        <v>2484</v>
      </c>
      <c r="G3281" s="114" t="s">
        <v>1512</v>
      </c>
      <c r="H3281" s="114" t="s">
        <v>1505</v>
      </c>
      <c r="I3281" s="114"/>
      <c r="J3281" s="114" t="b">
        <v>0</v>
      </c>
      <c r="K3281" s="114"/>
      <c r="L3281" s="114"/>
      <c r="M3281" s="114"/>
      <c r="N3281" s="114"/>
      <c r="O3281" s="114"/>
      <c r="P3281" s="114" t="s">
        <v>1485</v>
      </c>
      <c r="Q3281" s="114" t="s">
        <v>1228</v>
      </c>
    </row>
    <row r="3282" spans="2:17" hidden="1" outlineLevel="2">
      <c r="B3282" s="2" t="s">
        <v>876</v>
      </c>
      <c r="D3282" s="270">
        <v>5552</v>
      </c>
      <c r="E3282" s="112" t="s">
        <v>214</v>
      </c>
      <c r="F3282" s="112" t="s">
        <v>3686</v>
      </c>
      <c r="G3282" s="112" t="s">
        <v>1512</v>
      </c>
      <c r="H3282" s="112" t="s">
        <v>1512</v>
      </c>
      <c r="I3282" s="112"/>
      <c r="J3282" s="112" t="b">
        <v>0</v>
      </c>
      <c r="K3282" s="112"/>
      <c r="L3282" s="112" t="b">
        <v>1</v>
      </c>
      <c r="M3282" s="112"/>
      <c r="N3282" s="112"/>
      <c r="O3282" s="112"/>
      <c r="P3282" s="112" t="s">
        <v>1485</v>
      </c>
      <c r="Q3282" s="112" t="s">
        <v>1228</v>
      </c>
    </row>
    <row r="3283" spans="2:17" hidden="1" outlineLevel="2">
      <c r="B3283" s="2" t="s">
        <v>876</v>
      </c>
      <c r="D3283" s="268">
        <v>5554</v>
      </c>
      <c r="E3283" s="114" t="s">
        <v>214</v>
      </c>
      <c r="F3283" s="114" t="s">
        <v>3687</v>
      </c>
      <c r="G3283" s="221" t="s">
        <v>1493</v>
      </c>
      <c r="H3283" s="114" t="s">
        <v>1505</v>
      </c>
      <c r="I3283" s="114"/>
      <c r="J3283" s="114" t="b">
        <v>0</v>
      </c>
      <c r="K3283" s="114" t="s">
        <v>1484</v>
      </c>
      <c r="L3283" s="114" t="b">
        <v>1</v>
      </c>
      <c r="M3283" s="114"/>
      <c r="N3283" s="114"/>
      <c r="O3283" s="114"/>
      <c r="P3283" s="114" t="s">
        <v>1485</v>
      </c>
      <c r="Q3283" s="114" t="s">
        <v>1228</v>
      </c>
    </row>
    <row r="3284" spans="2:17" hidden="1" outlineLevel="2">
      <c r="B3284" s="2" t="s">
        <v>876</v>
      </c>
      <c r="D3284" s="270">
        <v>5555</v>
      </c>
      <c r="E3284" s="112" t="s">
        <v>214</v>
      </c>
      <c r="F3284" s="112" t="s">
        <v>3688</v>
      </c>
      <c r="G3284" s="112" t="s">
        <v>1512</v>
      </c>
      <c r="H3284" s="112" t="s">
        <v>1512</v>
      </c>
      <c r="I3284" s="112"/>
      <c r="J3284" s="112" t="b">
        <v>0</v>
      </c>
      <c r="K3284" s="112"/>
      <c r="L3284" s="112"/>
      <c r="M3284" s="112"/>
      <c r="N3284" s="112"/>
      <c r="O3284" s="112"/>
      <c r="P3284" s="112" t="s">
        <v>1485</v>
      </c>
      <c r="Q3284" s="112" t="s">
        <v>1228</v>
      </c>
    </row>
    <row r="3285" spans="2:17" hidden="1" outlineLevel="2">
      <c r="B3285" s="2" t="s">
        <v>876</v>
      </c>
      <c r="D3285" s="268">
        <v>5556</v>
      </c>
      <c r="E3285" s="114" t="s">
        <v>214</v>
      </c>
      <c r="F3285" s="114" t="s">
        <v>3689</v>
      </c>
      <c r="G3285" s="114" t="s">
        <v>1512</v>
      </c>
      <c r="H3285" s="114" t="s">
        <v>1505</v>
      </c>
      <c r="I3285" s="114"/>
      <c r="J3285" s="114" t="b">
        <v>0</v>
      </c>
      <c r="K3285" s="114" t="s">
        <v>1484</v>
      </c>
      <c r="L3285" s="114" t="b">
        <v>1</v>
      </c>
      <c r="M3285" s="114"/>
      <c r="N3285" s="114"/>
      <c r="O3285" s="114"/>
      <c r="P3285" s="114" t="s">
        <v>1485</v>
      </c>
      <c r="Q3285" s="114" t="s">
        <v>1228</v>
      </c>
    </row>
    <row r="3286" spans="2:17" hidden="1" outlineLevel="2">
      <c r="B3286" s="2" t="s">
        <v>876</v>
      </c>
      <c r="D3286" s="270">
        <v>5558</v>
      </c>
      <c r="E3286" s="112" t="s">
        <v>214</v>
      </c>
      <c r="F3286" s="112" t="s">
        <v>3690</v>
      </c>
      <c r="G3286" s="112" t="s">
        <v>1512</v>
      </c>
      <c r="H3286" s="112" t="s">
        <v>1505</v>
      </c>
      <c r="I3286" s="112"/>
      <c r="J3286" s="112" t="b">
        <v>0</v>
      </c>
      <c r="K3286" s="112" t="s">
        <v>1484</v>
      </c>
      <c r="L3286" s="112" t="b">
        <v>1</v>
      </c>
      <c r="M3286" s="112"/>
      <c r="N3286" s="112"/>
      <c r="O3286" s="112"/>
      <c r="P3286" s="112" t="s">
        <v>1485</v>
      </c>
      <c r="Q3286" s="112" t="s">
        <v>1228</v>
      </c>
    </row>
    <row r="3287" spans="2:17" hidden="1" outlineLevel="2">
      <c r="B3287" s="2" t="s">
        <v>876</v>
      </c>
      <c r="D3287" s="268">
        <v>5560</v>
      </c>
      <c r="E3287" s="114" t="s">
        <v>214</v>
      </c>
      <c r="F3287" s="114" t="s">
        <v>3691</v>
      </c>
      <c r="G3287" s="114" t="s">
        <v>1512</v>
      </c>
      <c r="H3287" s="114" t="s">
        <v>1505</v>
      </c>
      <c r="I3287" s="114"/>
      <c r="J3287" s="114" t="b">
        <v>0</v>
      </c>
      <c r="K3287" s="114"/>
      <c r="L3287" s="114"/>
      <c r="M3287" s="114"/>
      <c r="N3287" s="114"/>
      <c r="O3287" s="114"/>
      <c r="P3287" s="114" t="s">
        <v>1485</v>
      </c>
      <c r="Q3287" s="114" t="s">
        <v>1228</v>
      </c>
    </row>
    <row r="3288" spans="2:17" hidden="1" outlineLevel="2">
      <c r="B3288" s="2" t="s">
        <v>876</v>
      </c>
      <c r="D3288" s="270">
        <v>5570</v>
      </c>
      <c r="E3288" s="112" t="s">
        <v>214</v>
      </c>
      <c r="F3288" s="112" t="s">
        <v>3692</v>
      </c>
      <c r="G3288" s="112" t="s">
        <v>1512</v>
      </c>
      <c r="H3288" s="112" t="s">
        <v>1505</v>
      </c>
      <c r="I3288" s="112"/>
      <c r="J3288" s="112" t="b">
        <v>0</v>
      </c>
      <c r="K3288" s="112"/>
      <c r="L3288" s="112"/>
      <c r="M3288" s="112"/>
      <c r="N3288" s="112"/>
      <c r="O3288" s="112"/>
      <c r="P3288" s="112" t="s">
        <v>1485</v>
      </c>
      <c r="Q3288" s="112" t="s">
        <v>1228</v>
      </c>
    </row>
    <row r="3289" spans="2:17" hidden="1" outlineLevel="2">
      <c r="B3289" s="2" t="s">
        <v>876</v>
      </c>
      <c r="D3289" s="268">
        <v>5571</v>
      </c>
      <c r="E3289" s="114" t="s">
        <v>214</v>
      </c>
      <c r="F3289" s="114" t="s">
        <v>3693</v>
      </c>
      <c r="G3289" s="221" t="s">
        <v>1512</v>
      </c>
      <c r="H3289" s="114" t="s">
        <v>1505</v>
      </c>
      <c r="I3289" s="114"/>
      <c r="J3289" s="114" t="b">
        <v>0</v>
      </c>
      <c r="K3289" s="114"/>
      <c r="L3289" s="114"/>
      <c r="M3289" s="114"/>
      <c r="N3289" s="114"/>
      <c r="O3289" s="114"/>
      <c r="P3289" s="114" t="s">
        <v>1485</v>
      </c>
      <c r="Q3289" s="114" t="s">
        <v>1228</v>
      </c>
    </row>
    <row r="3290" spans="2:17" hidden="1" outlineLevel="2">
      <c r="B3290" s="2" t="s">
        <v>876</v>
      </c>
      <c r="D3290" s="270">
        <v>5572</v>
      </c>
      <c r="E3290" s="112" t="s">
        <v>214</v>
      </c>
      <c r="F3290" s="112" t="s">
        <v>3694</v>
      </c>
      <c r="G3290" s="112" t="s">
        <v>1512</v>
      </c>
      <c r="H3290" s="112" t="s">
        <v>1505</v>
      </c>
      <c r="I3290" s="112"/>
      <c r="J3290" s="112" t="b">
        <v>0</v>
      </c>
      <c r="K3290" s="112"/>
      <c r="L3290" s="112"/>
      <c r="M3290" s="112"/>
      <c r="N3290" s="112"/>
      <c r="O3290" s="112"/>
      <c r="P3290" s="112" t="s">
        <v>1485</v>
      </c>
      <c r="Q3290" s="112" t="s">
        <v>1228</v>
      </c>
    </row>
    <row r="3291" spans="2:17" hidden="1" outlineLevel="2">
      <c r="B3291" s="2" t="s">
        <v>876</v>
      </c>
      <c r="D3291" s="268">
        <v>5573</v>
      </c>
      <c r="E3291" s="114" t="s">
        <v>214</v>
      </c>
      <c r="F3291" s="114" t="s">
        <v>3695</v>
      </c>
      <c r="G3291" s="114" t="s">
        <v>1493</v>
      </c>
      <c r="H3291" s="114" t="s">
        <v>1505</v>
      </c>
      <c r="I3291" s="114"/>
      <c r="J3291" s="114" t="b">
        <v>0</v>
      </c>
      <c r="K3291" s="114"/>
      <c r="L3291" s="114"/>
      <c r="M3291" s="114"/>
      <c r="N3291" s="114"/>
      <c r="O3291" s="114"/>
      <c r="P3291" s="114" t="s">
        <v>1485</v>
      </c>
      <c r="Q3291" s="114" t="s">
        <v>1228</v>
      </c>
    </row>
    <row r="3292" spans="2:17" hidden="1" outlineLevel="2">
      <c r="B3292" s="2" t="s">
        <v>876</v>
      </c>
      <c r="D3292" s="270">
        <v>5575</v>
      </c>
      <c r="E3292" s="112" t="s">
        <v>214</v>
      </c>
      <c r="F3292" s="112" t="s">
        <v>3696</v>
      </c>
      <c r="G3292" s="221" t="s">
        <v>1493</v>
      </c>
      <c r="H3292" s="112" t="s">
        <v>1505</v>
      </c>
      <c r="I3292" s="112"/>
      <c r="J3292" s="112" t="b">
        <v>0</v>
      </c>
      <c r="K3292" s="112"/>
      <c r="L3292" s="112"/>
      <c r="M3292" s="112"/>
      <c r="N3292" s="112"/>
      <c r="O3292" s="112"/>
      <c r="P3292" s="112" t="s">
        <v>1485</v>
      </c>
      <c r="Q3292" s="112" t="s">
        <v>1228</v>
      </c>
    </row>
    <row r="3293" spans="2:17" hidden="1" outlineLevel="2">
      <c r="B3293" s="2" t="s">
        <v>876</v>
      </c>
      <c r="D3293" s="268">
        <v>5576</v>
      </c>
      <c r="E3293" s="114" t="s">
        <v>214</v>
      </c>
      <c r="F3293" s="114" t="s">
        <v>3697</v>
      </c>
      <c r="G3293" s="221" t="s">
        <v>1493</v>
      </c>
      <c r="H3293" s="114" t="s">
        <v>1505</v>
      </c>
      <c r="I3293" s="114"/>
      <c r="J3293" s="114" t="b">
        <v>0</v>
      </c>
      <c r="K3293" s="114"/>
      <c r="L3293" s="114"/>
      <c r="M3293" s="114"/>
      <c r="N3293" s="114"/>
      <c r="O3293" s="114"/>
      <c r="P3293" s="114" t="s">
        <v>1485</v>
      </c>
      <c r="Q3293" s="114" t="s">
        <v>1228</v>
      </c>
    </row>
    <row r="3294" spans="2:17" hidden="1" outlineLevel="2">
      <c r="B3294" s="2" t="s">
        <v>876</v>
      </c>
      <c r="D3294" s="270">
        <v>5577</v>
      </c>
      <c r="E3294" s="112" t="s">
        <v>214</v>
      </c>
      <c r="F3294" s="112" t="s">
        <v>3698</v>
      </c>
      <c r="G3294" s="112" t="s">
        <v>1512</v>
      </c>
      <c r="H3294" s="112" t="s">
        <v>1505</v>
      </c>
      <c r="I3294" s="112"/>
      <c r="J3294" s="112" t="b">
        <v>0</v>
      </c>
      <c r="K3294" s="112"/>
      <c r="L3294" s="112"/>
      <c r="M3294" s="112"/>
      <c r="N3294" s="112"/>
      <c r="O3294" s="112"/>
      <c r="P3294" s="112" t="s">
        <v>1485</v>
      </c>
      <c r="Q3294" s="112" t="s">
        <v>1228</v>
      </c>
    </row>
    <row r="3295" spans="2:17" hidden="1" outlineLevel="2">
      <c r="B3295" s="2" t="s">
        <v>876</v>
      </c>
      <c r="D3295" s="268">
        <v>5580</v>
      </c>
      <c r="E3295" s="114" t="s">
        <v>214</v>
      </c>
      <c r="F3295" s="114" t="s">
        <v>3699</v>
      </c>
      <c r="G3295" s="114" t="s">
        <v>1512</v>
      </c>
      <c r="H3295" s="114" t="s">
        <v>1505</v>
      </c>
      <c r="I3295" s="114"/>
      <c r="J3295" s="114" t="b">
        <v>0</v>
      </c>
      <c r="K3295" s="114"/>
      <c r="L3295" s="114" t="b">
        <v>1</v>
      </c>
      <c r="M3295" s="114"/>
      <c r="N3295" s="114"/>
      <c r="O3295" s="114"/>
      <c r="P3295" s="114" t="s">
        <v>1485</v>
      </c>
      <c r="Q3295" s="114" t="s">
        <v>1228</v>
      </c>
    </row>
    <row r="3296" spans="2:17" hidden="1" outlineLevel="2">
      <c r="B3296" s="2" t="s">
        <v>876</v>
      </c>
      <c r="D3296" s="270">
        <v>5581</v>
      </c>
      <c r="E3296" s="112" t="s">
        <v>214</v>
      </c>
      <c r="F3296" s="112" t="s">
        <v>3700</v>
      </c>
      <c r="G3296" s="112" t="s">
        <v>1512</v>
      </c>
      <c r="H3296" s="112" t="s">
        <v>1505</v>
      </c>
      <c r="I3296" s="112"/>
      <c r="J3296" s="112" t="b">
        <v>0</v>
      </c>
      <c r="K3296" s="112"/>
      <c r="L3296" s="112"/>
      <c r="M3296" s="112"/>
      <c r="N3296" s="112"/>
      <c r="O3296" s="112"/>
      <c r="P3296" s="112" t="s">
        <v>1485</v>
      </c>
      <c r="Q3296" s="112" t="s">
        <v>1228</v>
      </c>
    </row>
    <row r="3297" spans="2:17" hidden="1" outlineLevel="2">
      <c r="B3297" s="2" t="s">
        <v>876</v>
      </c>
      <c r="D3297" s="268">
        <v>5582</v>
      </c>
      <c r="E3297" s="114" t="s">
        <v>214</v>
      </c>
      <c r="F3297" s="114" t="s">
        <v>3701</v>
      </c>
      <c r="G3297" s="114" t="s">
        <v>1512</v>
      </c>
      <c r="H3297" s="114" t="s">
        <v>1505</v>
      </c>
      <c r="I3297" s="114"/>
      <c r="J3297" s="114" t="b">
        <v>0</v>
      </c>
      <c r="K3297" s="114"/>
      <c r="L3297" s="114" t="b">
        <v>1</v>
      </c>
      <c r="M3297" s="114"/>
      <c r="N3297" s="114"/>
      <c r="O3297" s="114"/>
      <c r="P3297" s="114" t="s">
        <v>1485</v>
      </c>
      <c r="Q3297" s="114" t="s">
        <v>1228</v>
      </c>
    </row>
    <row r="3298" spans="2:17" hidden="1" outlineLevel="2">
      <c r="B3298" s="2" t="s">
        <v>876</v>
      </c>
      <c r="D3298" s="270">
        <v>5583</v>
      </c>
      <c r="E3298" s="112" t="s">
        <v>214</v>
      </c>
      <c r="F3298" s="112" t="s">
        <v>3702</v>
      </c>
      <c r="G3298" s="112" t="s">
        <v>1512</v>
      </c>
      <c r="H3298" s="112" t="s">
        <v>1505</v>
      </c>
      <c r="I3298" s="112"/>
      <c r="J3298" s="112" t="b">
        <v>0</v>
      </c>
      <c r="K3298" s="112"/>
      <c r="L3298" s="112"/>
      <c r="M3298" s="112"/>
      <c r="N3298" s="112"/>
      <c r="O3298" s="112"/>
      <c r="P3298" s="112" t="s">
        <v>1485</v>
      </c>
      <c r="Q3298" s="112" t="s">
        <v>1228</v>
      </c>
    </row>
    <row r="3299" spans="2:17" hidden="1" outlineLevel="2">
      <c r="B3299" s="2" t="s">
        <v>876</v>
      </c>
      <c r="D3299" s="268">
        <v>5600</v>
      </c>
      <c r="E3299" s="114" t="s">
        <v>214</v>
      </c>
      <c r="F3299" s="114" t="s">
        <v>3703</v>
      </c>
      <c r="G3299" s="114" t="s">
        <v>1493</v>
      </c>
      <c r="H3299" s="114" t="s">
        <v>1494</v>
      </c>
      <c r="I3299" s="114"/>
      <c r="J3299" s="114" t="b">
        <v>0</v>
      </c>
      <c r="K3299" s="114" t="s">
        <v>1484</v>
      </c>
      <c r="L3299" s="114" t="b">
        <v>1</v>
      </c>
      <c r="M3299" s="114"/>
      <c r="N3299" s="114"/>
      <c r="O3299" s="114"/>
      <c r="P3299" s="114" t="s">
        <v>1485</v>
      </c>
      <c r="Q3299" s="114" t="s">
        <v>1228</v>
      </c>
    </row>
    <row r="3300" spans="2:17" hidden="1" outlineLevel="2">
      <c r="B3300" s="2" t="s">
        <v>876</v>
      </c>
      <c r="D3300" s="270">
        <v>5601</v>
      </c>
      <c r="E3300" s="112" t="s">
        <v>214</v>
      </c>
      <c r="F3300" s="112" t="s">
        <v>3704</v>
      </c>
      <c r="G3300" s="112" t="s">
        <v>1512</v>
      </c>
      <c r="H3300" s="112" t="s">
        <v>1512</v>
      </c>
      <c r="I3300" s="112"/>
      <c r="J3300" s="112" t="b">
        <v>0</v>
      </c>
      <c r="K3300" s="112" t="s">
        <v>1484</v>
      </c>
      <c r="L3300" s="112" t="b">
        <v>1</v>
      </c>
      <c r="M3300" s="112"/>
      <c r="N3300" s="112"/>
      <c r="O3300" s="112"/>
      <c r="P3300" s="112" t="s">
        <v>1485</v>
      </c>
      <c r="Q3300" s="112" t="s">
        <v>1228</v>
      </c>
    </row>
    <row r="3301" spans="2:17" hidden="1" outlineLevel="2">
      <c r="B3301" s="2" t="s">
        <v>876</v>
      </c>
      <c r="D3301" s="268">
        <v>5602</v>
      </c>
      <c r="E3301" s="114" t="s">
        <v>214</v>
      </c>
      <c r="F3301" s="114" t="s">
        <v>3705</v>
      </c>
      <c r="G3301" s="114" t="s">
        <v>1512</v>
      </c>
      <c r="H3301" s="114" t="s">
        <v>1505</v>
      </c>
      <c r="I3301" s="114"/>
      <c r="J3301" s="114" t="b">
        <v>0</v>
      </c>
      <c r="K3301" s="114"/>
      <c r="L3301" s="114"/>
      <c r="M3301" s="114"/>
      <c r="N3301" s="114"/>
      <c r="O3301" s="114"/>
      <c r="P3301" s="114" t="s">
        <v>1485</v>
      </c>
      <c r="Q3301" s="114" t="s">
        <v>1228</v>
      </c>
    </row>
    <row r="3302" spans="2:17" hidden="1" outlineLevel="2">
      <c r="B3302" s="2" t="s">
        <v>876</v>
      </c>
      <c r="D3302" s="270">
        <v>5603</v>
      </c>
      <c r="E3302" s="112" t="s">
        <v>214</v>
      </c>
      <c r="F3302" s="112" t="s">
        <v>3706</v>
      </c>
      <c r="G3302" s="112" t="s">
        <v>1512</v>
      </c>
      <c r="H3302" s="112" t="s">
        <v>1505</v>
      </c>
      <c r="I3302" s="112"/>
      <c r="J3302" s="112" t="b">
        <v>0</v>
      </c>
      <c r="K3302" s="112"/>
      <c r="L3302" s="112"/>
      <c r="M3302" s="112"/>
      <c r="N3302" s="112"/>
      <c r="O3302" s="112"/>
      <c r="P3302" s="112" t="s">
        <v>1485</v>
      </c>
      <c r="Q3302" s="112" t="s">
        <v>1228</v>
      </c>
    </row>
    <row r="3303" spans="2:17" hidden="1" outlineLevel="2">
      <c r="B3303" s="2" t="s">
        <v>876</v>
      </c>
      <c r="D3303" s="268">
        <v>5604</v>
      </c>
      <c r="E3303" s="114" t="s">
        <v>214</v>
      </c>
      <c r="F3303" s="114" t="s">
        <v>3707</v>
      </c>
      <c r="G3303" s="114" t="s">
        <v>1512</v>
      </c>
      <c r="H3303" s="114" t="s">
        <v>1505</v>
      </c>
      <c r="I3303" s="114"/>
      <c r="J3303" s="114" t="b">
        <v>0</v>
      </c>
      <c r="K3303" s="114"/>
      <c r="L3303" s="114"/>
      <c r="M3303" s="114"/>
      <c r="N3303" s="114"/>
      <c r="O3303" s="114"/>
      <c r="P3303" s="114" t="s">
        <v>1485</v>
      </c>
      <c r="Q3303" s="114" t="s">
        <v>1228</v>
      </c>
    </row>
    <row r="3304" spans="2:17" hidden="1" outlineLevel="2">
      <c r="B3304" s="2" t="s">
        <v>876</v>
      </c>
      <c r="D3304" s="270">
        <v>5605</v>
      </c>
      <c r="E3304" s="112" t="s">
        <v>214</v>
      </c>
      <c r="F3304" s="112" t="s">
        <v>3708</v>
      </c>
      <c r="G3304" s="221" t="s">
        <v>1512</v>
      </c>
      <c r="H3304" s="112" t="s">
        <v>1505</v>
      </c>
      <c r="I3304" s="112"/>
      <c r="J3304" s="112" t="b">
        <v>0</v>
      </c>
      <c r="K3304" s="112"/>
      <c r="L3304" s="112"/>
      <c r="M3304" s="112"/>
      <c r="N3304" s="112"/>
      <c r="O3304" s="112"/>
      <c r="P3304" s="112" t="s">
        <v>1485</v>
      </c>
      <c r="Q3304" s="112" t="s">
        <v>1228</v>
      </c>
    </row>
    <row r="3305" spans="2:17" hidden="1" outlineLevel="2">
      <c r="B3305" s="2" t="s">
        <v>876</v>
      </c>
      <c r="D3305" s="268">
        <v>5606</v>
      </c>
      <c r="E3305" s="114" t="s">
        <v>214</v>
      </c>
      <c r="F3305" s="114" t="s">
        <v>3709</v>
      </c>
      <c r="G3305" s="114" t="s">
        <v>1493</v>
      </c>
      <c r="H3305" s="114" t="s">
        <v>1494</v>
      </c>
      <c r="I3305" s="114"/>
      <c r="J3305" s="114" t="b">
        <v>0</v>
      </c>
      <c r="K3305" s="114"/>
      <c r="L3305" s="114"/>
      <c r="M3305" s="114"/>
      <c r="N3305" s="114"/>
      <c r="O3305" s="114"/>
      <c r="P3305" s="114" t="s">
        <v>1485</v>
      </c>
      <c r="Q3305" s="114" t="s">
        <v>1228</v>
      </c>
    </row>
    <row r="3306" spans="2:17" hidden="1" outlineLevel="2">
      <c r="B3306" s="2" t="s">
        <v>876</v>
      </c>
      <c r="D3306" s="270">
        <v>5607</v>
      </c>
      <c r="E3306" s="112" t="s">
        <v>214</v>
      </c>
      <c r="F3306" s="112" t="s">
        <v>3710</v>
      </c>
      <c r="G3306" s="112" t="s">
        <v>1512</v>
      </c>
      <c r="H3306" s="112" t="s">
        <v>1505</v>
      </c>
      <c r="I3306" s="112"/>
      <c r="J3306" s="112" t="b">
        <v>0</v>
      </c>
      <c r="K3306" s="112"/>
      <c r="L3306" s="112"/>
      <c r="M3306" s="112"/>
      <c r="N3306" s="112"/>
      <c r="O3306" s="112"/>
      <c r="P3306" s="112" t="s">
        <v>1485</v>
      </c>
      <c r="Q3306" s="112" t="s">
        <v>1228</v>
      </c>
    </row>
    <row r="3307" spans="2:17" hidden="1" outlineLevel="2">
      <c r="B3307" s="2" t="s">
        <v>876</v>
      </c>
      <c r="D3307" s="268">
        <v>5608</v>
      </c>
      <c r="E3307" s="114" t="s">
        <v>214</v>
      </c>
      <c r="F3307" s="114" t="s">
        <v>3711</v>
      </c>
      <c r="G3307" s="114" t="s">
        <v>1493</v>
      </c>
      <c r="H3307" s="114" t="s">
        <v>1494</v>
      </c>
      <c r="I3307" s="114"/>
      <c r="J3307" s="114" t="b">
        <v>0</v>
      </c>
      <c r="K3307" s="114"/>
      <c r="L3307" s="114"/>
      <c r="M3307" s="114"/>
      <c r="N3307" s="114"/>
      <c r="O3307" s="114"/>
      <c r="P3307" s="114" t="s">
        <v>1485</v>
      </c>
      <c r="Q3307" s="114" t="s">
        <v>1228</v>
      </c>
    </row>
    <row r="3308" spans="2:17" hidden="1" outlineLevel="2">
      <c r="B3308" s="2" t="s">
        <v>876</v>
      </c>
      <c r="D3308" s="270">
        <v>5609</v>
      </c>
      <c r="E3308" s="112" t="s">
        <v>214</v>
      </c>
      <c r="F3308" s="112" t="s">
        <v>3712</v>
      </c>
      <c r="G3308" s="691" t="s">
        <v>1493</v>
      </c>
      <c r="H3308" s="112" t="s">
        <v>1494</v>
      </c>
      <c r="I3308" s="112"/>
      <c r="J3308" s="112" t="b">
        <v>0</v>
      </c>
      <c r="K3308" s="112"/>
      <c r="L3308" s="112"/>
      <c r="M3308" s="112"/>
      <c r="N3308" s="112"/>
      <c r="O3308" s="112"/>
      <c r="P3308" s="112" t="s">
        <v>1485</v>
      </c>
      <c r="Q3308" s="112" t="s">
        <v>1228</v>
      </c>
    </row>
    <row r="3309" spans="2:17" hidden="1" outlineLevel="2">
      <c r="B3309" s="2" t="s">
        <v>876</v>
      </c>
      <c r="D3309" s="272">
        <v>5611</v>
      </c>
      <c r="E3309" s="114" t="s">
        <v>214</v>
      </c>
      <c r="F3309" s="114" t="s">
        <v>3713</v>
      </c>
      <c r="G3309" s="114" t="s">
        <v>1512</v>
      </c>
      <c r="H3309" s="114" t="s">
        <v>1512</v>
      </c>
      <c r="I3309" s="114"/>
      <c r="J3309" s="114" t="b">
        <v>0</v>
      </c>
      <c r="K3309" s="114"/>
      <c r="L3309" s="114"/>
      <c r="M3309" s="114"/>
      <c r="N3309" s="114"/>
      <c r="O3309" s="114"/>
      <c r="P3309" s="114" t="s">
        <v>1485</v>
      </c>
      <c r="Q3309" s="114" t="s">
        <v>1228</v>
      </c>
    </row>
    <row r="3310" spans="2:17" hidden="1" outlineLevel="2">
      <c r="B3310" s="2" t="s">
        <v>876</v>
      </c>
      <c r="D3310" s="270">
        <v>5630</v>
      </c>
      <c r="E3310" s="112" t="s">
        <v>214</v>
      </c>
      <c r="F3310" s="112" t="s">
        <v>3714</v>
      </c>
      <c r="G3310" s="112" t="s">
        <v>1512</v>
      </c>
      <c r="H3310" s="112" t="s">
        <v>1512</v>
      </c>
      <c r="I3310" s="112"/>
      <c r="J3310" s="112" t="b">
        <v>0</v>
      </c>
      <c r="K3310" s="112"/>
      <c r="L3310" s="112"/>
      <c r="M3310" s="112"/>
      <c r="N3310" s="112"/>
      <c r="O3310" s="112"/>
      <c r="P3310" s="112" t="s">
        <v>1485</v>
      </c>
      <c r="Q3310" s="112" t="s">
        <v>1228</v>
      </c>
    </row>
    <row r="3311" spans="2:17" hidden="1" outlineLevel="2">
      <c r="B3311" s="2" t="s">
        <v>876</v>
      </c>
      <c r="D3311" s="268">
        <v>5631</v>
      </c>
      <c r="E3311" s="114" t="s">
        <v>214</v>
      </c>
      <c r="F3311" s="114" t="s">
        <v>3715</v>
      </c>
      <c r="G3311" s="114" t="s">
        <v>1512</v>
      </c>
      <c r="H3311" s="114" t="s">
        <v>1505</v>
      </c>
      <c r="I3311" s="114"/>
      <c r="J3311" s="114" t="b">
        <v>0</v>
      </c>
      <c r="K3311" s="114"/>
      <c r="L3311" s="114"/>
      <c r="M3311" s="114"/>
      <c r="N3311" s="114"/>
      <c r="O3311" s="114"/>
      <c r="P3311" s="114" t="s">
        <v>1485</v>
      </c>
      <c r="Q3311" s="114" t="s">
        <v>1228</v>
      </c>
    </row>
    <row r="3312" spans="2:17" hidden="1" outlineLevel="2">
      <c r="B3312" s="2" t="s">
        <v>876</v>
      </c>
      <c r="D3312" s="270">
        <v>5632</v>
      </c>
      <c r="E3312" s="112" t="s">
        <v>214</v>
      </c>
      <c r="F3312" s="112" t="s">
        <v>3716</v>
      </c>
      <c r="G3312" s="112" t="s">
        <v>1512</v>
      </c>
      <c r="H3312" s="112" t="s">
        <v>1505</v>
      </c>
      <c r="I3312" s="112"/>
      <c r="J3312" s="112" t="b">
        <v>0</v>
      </c>
      <c r="K3312" s="112"/>
      <c r="L3312" s="112"/>
      <c r="M3312" s="112"/>
      <c r="N3312" s="112"/>
      <c r="O3312" s="112"/>
      <c r="P3312" s="112" t="s">
        <v>1485</v>
      </c>
      <c r="Q3312" s="112" t="s">
        <v>1228</v>
      </c>
    </row>
    <row r="3313" spans="2:17" hidden="1" outlineLevel="2">
      <c r="B3313" s="2" t="s">
        <v>876</v>
      </c>
      <c r="D3313" s="268">
        <v>5633</v>
      </c>
      <c r="E3313" s="114" t="s">
        <v>214</v>
      </c>
      <c r="F3313" s="114" t="s">
        <v>3717</v>
      </c>
      <c r="G3313" s="114" t="s">
        <v>1512</v>
      </c>
      <c r="H3313" s="114" t="s">
        <v>1505</v>
      </c>
      <c r="I3313" s="114"/>
      <c r="J3313" s="114" t="b">
        <v>0</v>
      </c>
      <c r="K3313" s="114"/>
      <c r="L3313" s="114" t="b">
        <v>1</v>
      </c>
      <c r="M3313" s="114"/>
      <c r="N3313" s="114"/>
      <c r="O3313" s="114"/>
      <c r="P3313" s="114" t="s">
        <v>1485</v>
      </c>
      <c r="Q3313" s="114" t="s">
        <v>1228</v>
      </c>
    </row>
    <row r="3314" spans="2:17" hidden="1" outlineLevel="2">
      <c r="B3314" s="2" t="s">
        <v>876</v>
      </c>
      <c r="D3314" s="270">
        <v>5640</v>
      </c>
      <c r="E3314" s="112" t="s">
        <v>214</v>
      </c>
      <c r="F3314" s="112" t="s">
        <v>3718</v>
      </c>
      <c r="G3314" s="221" t="s">
        <v>1512</v>
      </c>
      <c r="H3314" s="112" t="s">
        <v>1505</v>
      </c>
      <c r="I3314" s="112"/>
      <c r="J3314" s="112" t="b">
        <v>0</v>
      </c>
      <c r="K3314" s="112"/>
      <c r="L3314" s="112" t="b">
        <v>1</v>
      </c>
      <c r="M3314" s="112"/>
      <c r="N3314" s="112"/>
      <c r="O3314" s="112"/>
      <c r="P3314" s="112" t="s">
        <v>1485</v>
      </c>
      <c r="Q3314" s="112" t="s">
        <v>1228</v>
      </c>
    </row>
    <row r="3315" spans="2:17" hidden="1" outlineLevel="2">
      <c r="B3315" s="2" t="s">
        <v>876</v>
      </c>
      <c r="D3315" s="268">
        <v>5641</v>
      </c>
      <c r="E3315" s="114" t="s">
        <v>214</v>
      </c>
      <c r="F3315" s="114" t="s">
        <v>3719</v>
      </c>
      <c r="G3315" s="221" t="s">
        <v>1512</v>
      </c>
      <c r="H3315" s="114" t="s">
        <v>1505</v>
      </c>
      <c r="I3315" s="114"/>
      <c r="J3315" s="114" t="b">
        <v>0</v>
      </c>
      <c r="K3315" s="114"/>
      <c r="L3315" s="114" t="b">
        <v>1</v>
      </c>
      <c r="M3315" s="114"/>
      <c r="N3315" s="114"/>
      <c r="O3315" s="114"/>
      <c r="P3315" s="114" t="s">
        <v>1485</v>
      </c>
      <c r="Q3315" s="114" t="s">
        <v>1228</v>
      </c>
    </row>
    <row r="3316" spans="2:17" hidden="1" outlineLevel="2">
      <c r="B3316" s="2" t="s">
        <v>876</v>
      </c>
      <c r="D3316" s="270">
        <v>5642</v>
      </c>
      <c r="E3316" s="112" t="s">
        <v>214</v>
      </c>
      <c r="F3316" s="112" t="s">
        <v>3720</v>
      </c>
      <c r="G3316" s="112" t="s">
        <v>1512</v>
      </c>
      <c r="H3316" s="112" t="s">
        <v>1505</v>
      </c>
      <c r="I3316" s="112"/>
      <c r="J3316" s="112" t="b">
        <v>0</v>
      </c>
      <c r="K3316" s="112"/>
      <c r="L3316" s="112" t="b">
        <v>1</v>
      </c>
      <c r="M3316" s="112"/>
      <c r="N3316" s="112"/>
      <c r="O3316" s="112"/>
      <c r="P3316" s="112" t="s">
        <v>1485</v>
      </c>
      <c r="Q3316" s="112" t="s">
        <v>1228</v>
      </c>
    </row>
    <row r="3317" spans="2:17" hidden="1" outlineLevel="2">
      <c r="B3317" s="2" t="s">
        <v>876</v>
      </c>
      <c r="D3317" s="268">
        <v>5650</v>
      </c>
      <c r="E3317" s="114" t="s">
        <v>214</v>
      </c>
      <c r="F3317" s="114" t="s">
        <v>3721</v>
      </c>
      <c r="G3317" s="114" t="s">
        <v>1512</v>
      </c>
      <c r="H3317" s="114" t="s">
        <v>1505</v>
      </c>
      <c r="I3317" s="114"/>
      <c r="J3317" s="114" t="b">
        <v>0</v>
      </c>
      <c r="K3317" s="114"/>
      <c r="L3317" s="114"/>
      <c r="M3317" s="114"/>
      <c r="N3317" s="114"/>
      <c r="O3317" s="114"/>
      <c r="P3317" s="114" t="s">
        <v>1485</v>
      </c>
      <c r="Q3317" s="114" t="s">
        <v>1228</v>
      </c>
    </row>
    <row r="3318" spans="2:17" hidden="1" outlineLevel="2">
      <c r="B3318" s="2" t="s">
        <v>876</v>
      </c>
      <c r="D3318" s="270">
        <v>5651</v>
      </c>
      <c r="E3318" s="112" t="s">
        <v>214</v>
      </c>
      <c r="F3318" s="112" t="s">
        <v>3722</v>
      </c>
      <c r="G3318" s="112" t="s">
        <v>1512</v>
      </c>
      <c r="H3318" s="112" t="s">
        <v>1505</v>
      </c>
      <c r="I3318" s="112"/>
      <c r="J3318" s="112" t="b">
        <v>0</v>
      </c>
      <c r="K3318" s="112"/>
      <c r="L3318" s="112"/>
      <c r="M3318" s="112"/>
      <c r="N3318" s="112"/>
      <c r="O3318" s="112"/>
      <c r="P3318" s="112" t="s">
        <v>1485</v>
      </c>
      <c r="Q3318" s="112" t="s">
        <v>1228</v>
      </c>
    </row>
    <row r="3319" spans="2:17" hidden="1" outlineLevel="2">
      <c r="B3319" s="2" t="s">
        <v>876</v>
      </c>
      <c r="D3319" s="268">
        <v>5652</v>
      </c>
      <c r="E3319" s="114" t="s">
        <v>214</v>
      </c>
      <c r="F3319" s="114" t="s">
        <v>3723</v>
      </c>
      <c r="G3319" s="114" t="s">
        <v>1512</v>
      </c>
      <c r="H3319" s="114" t="s">
        <v>1505</v>
      </c>
      <c r="I3319" s="114"/>
      <c r="J3319" s="114" t="b">
        <v>0</v>
      </c>
      <c r="K3319" s="114"/>
      <c r="L3319" s="114"/>
      <c r="M3319" s="114"/>
      <c r="N3319" s="114"/>
      <c r="O3319" s="114"/>
      <c r="P3319" s="114" t="s">
        <v>1485</v>
      </c>
      <c r="Q3319" s="114" t="s">
        <v>1228</v>
      </c>
    </row>
    <row r="3320" spans="2:17" hidden="1" outlineLevel="2">
      <c r="B3320" s="2" t="s">
        <v>876</v>
      </c>
      <c r="D3320" s="270">
        <v>5653</v>
      </c>
      <c r="E3320" s="112" t="s">
        <v>214</v>
      </c>
      <c r="F3320" s="112" t="s">
        <v>3724</v>
      </c>
      <c r="G3320" s="112" t="s">
        <v>1512</v>
      </c>
      <c r="H3320" s="112" t="s">
        <v>1505</v>
      </c>
      <c r="I3320" s="112"/>
      <c r="J3320" s="112" t="b">
        <v>0</v>
      </c>
      <c r="K3320" s="112"/>
      <c r="L3320" s="112"/>
      <c r="M3320" s="112"/>
      <c r="N3320" s="112"/>
      <c r="O3320" s="112"/>
      <c r="P3320" s="112" t="s">
        <v>1485</v>
      </c>
      <c r="Q3320" s="112" t="s">
        <v>1228</v>
      </c>
    </row>
    <row r="3321" spans="2:17" hidden="1" outlineLevel="2">
      <c r="B3321" s="2" t="s">
        <v>876</v>
      </c>
      <c r="D3321" s="268">
        <v>5654</v>
      </c>
      <c r="E3321" s="114" t="s">
        <v>214</v>
      </c>
      <c r="F3321" s="114" t="s">
        <v>3725</v>
      </c>
      <c r="G3321" s="114" t="s">
        <v>1512</v>
      </c>
      <c r="H3321" s="114" t="s">
        <v>1505</v>
      </c>
      <c r="I3321" s="114"/>
      <c r="J3321" s="114" t="b">
        <v>0</v>
      </c>
      <c r="K3321" s="114"/>
      <c r="L3321" s="114"/>
      <c r="M3321" s="114"/>
      <c r="N3321" s="114"/>
      <c r="O3321" s="114"/>
      <c r="P3321" s="114" t="s">
        <v>1485</v>
      </c>
      <c r="Q3321" s="114" t="s">
        <v>1228</v>
      </c>
    </row>
    <row r="3322" spans="2:17" hidden="1" outlineLevel="2">
      <c r="B3322" s="2" t="s">
        <v>876</v>
      </c>
      <c r="D3322" s="270">
        <v>5655</v>
      </c>
      <c r="E3322" s="112" t="s">
        <v>214</v>
      </c>
      <c r="F3322" s="112" t="s">
        <v>3726</v>
      </c>
      <c r="G3322" s="112" t="s">
        <v>1512</v>
      </c>
      <c r="H3322" s="112" t="s">
        <v>1505</v>
      </c>
      <c r="I3322" s="112"/>
      <c r="J3322" s="112" t="b">
        <v>0</v>
      </c>
      <c r="K3322" s="112"/>
      <c r="L3322" s="112"/>
      <c r="M3322" s="112"/>
      <c r="N3322" s="112"/>
      <c r="O3322" s="112"/>
      <c r="P3322" s="112" t="s">
        <v>1485</v>
      </c>
      <c r="Q3322" s="112" t="s">
        <v>1228</v>
      </c>
    </row>
    <row r="3323" spans="2:17" hidden="1" outlineLevel="2">
      <c r="B3323" s="2" t="s">
        <v>876</v>
      </c>
      <c r="D3323" s="268">
        <v>5660</v>
      </c>
      <c r="E3323" s="114" t="s">
        <v>214</v>
      </c>
      <c r="F3323" s="114" t="s">
        <v>3727</v>
      </c>
      <c r="G3323" s="114" t="s">
        <v>1512</v>
      </c>
      <c r="H3323" s="114" t="s">
        <v>1505</v>
      </c>
      <c r="I3323" s="114"/>
      <c r="J3323" s="114" t="b">
        <v>0</v>
      </c>
      <c r="K3323" s="114"/>
      <c r="L3323" s="114"/>
      <c r="M3323" s="114"/>
      <c r="N3323" s="114"/>
      <c r="O3323" s="114"/>
      <c r="P3323" s="114" t="s">
        <v>1485</v>
      </c>
      <c r="Q3323" s="114" t="s">
        <v>1228</v>
      </c>
    </row>
    <row r="3324" spans="2:17" hidden="1" outlineLevel="2">
      <c r="B3324" s="2" t="s">
        <v>876</v>
      </c>
      <c r="D3324" s="270">
        <v>5661</v>
      </c>
      <c r="E3324" s="112" t="s">
        <v>214</v>
      </c>
      <c r="F3324" s="112" t="s">
        <v>3728</v>
      </c>
      <c r="G3324" s="112" t="s">
        <v>1512</v>
      </c>
      <c r="H3324" s="112" t="s">
        <v>1512</v>
      </c>
      <c r="I3324" s="112"/>
      <c r="J3324" s="112" t="b">
        <v>0</v>
      </c>
      <c r="K3324" s="112"/>
      <c r="L3324" s="112" t="b">
        <v>1</v>
      </c>
      <c r="M3324" s="112"/>
      <c r="N3324" s="112"/>
      <c r="O3324" s="112"/>
      <c r="P3324" s="112" t="s">
        <v>1485</v>
      </c>
      <c r="Q3324" s="112" t="s">
        <v>1228</v>
      </c>
    </row>
    <row r="3325" spans="2:17" hidden="1" outlineLevel="2">
      <c r="B3325" s="2" t="s">
        <v>876</v>
      </c>
      <c r="D3325" s="268">
        <v>5670</v>
      </c>
      <c r="E3325" s="114" t="s">
        <v>214</v>
      </c>
      <c r="F3325" s="114" t="s">
        <v>3729</v>
      </c>
      <c r="G3325" s="114" t="s">
        <v>1512</v>
      </c>
      <c r="H3325" s="114" t="s">
        <v>1505</v>
      </c>
      <c r="I3325" s="114"/>
      <c r="J3325" s="114" t="b">
        <v>0</v>
      </c>
      <c r="K3325" s="114"/>
      <c r="L3325" s="114"/>
      <c r="M3325" s="114"/>
      <c r="N3325" s="114"/>
      <c r="O3325" s="114"/>
      <c r="P3325" s="114" t="s">
        <v>1485</v>
      </c>
      <c r="Q3325" s="114" t="s">
        <v>1228</v>
      </c>
    </row>
    <row r="3326" spans="2:17" hidden="1" outlineLevel="2">
      <c r="B3326" s="2" t="s">
        <v>876</v>
      </c>
      <c r="D3326" s="270">
        <v>5671</v>
      </c>
      <c r="E3326" s="112" t="s">
        <v>214</v>
      </c>
      <c r="F3326" s="112" t="s">
        <v>3730</v>
      </c>
      <c r="G3326" s="112" t="s">
        <v>1512</v>
      </c>
      <c r="H3326" s="112" t="s">
        <v>1505</v>
      </c>
      <c r="I3326" s="112"/>
      <c r="J3326" s="112" t="b">
        <v>0</v>
      </c>
      <c r="K3326" s="112"/>
      <c r="L3326" s="112"/>
      <c r="M3326" s="112"/>
      <c r="N3326" s="112"/>
      <c r="O3326" s="112"/>
      <c r="P3326" s="112" t="s">
        <v>1485</v>
      </c>
      <c r="Q3326" s="112" t="s">
        <v>1228</v>
      </c>
    </row>
    <row r="3327" spans="2:17" hidden="1" outlineLevel="2">
      <c r="B3327" s="2" t="s">
        <v>876</v>
      </c>
      <c r="D3327" s="268">
        <v>5680</v>
      </c>
      <c r="E3327" s="114" t="s">
        <v>214</v>
      </c>
      <c r="F3327" s="114" t="s">
        <v>3731</v>
      </c>
      <c r="G3327" s="114" t="s">
        <v>1493</v>
      </c>
      <c r="H3327" s="114" t="s">
        <v>1505</v>
      </c>
      <c r="I3327" s="114"/>
      <c r="J3327" s="114" t="b">
        <v>0</v>
      </c>
      <c r="K3327" s="114"/>
      <c r="L3327" s="114"/>
      <c r="M3327" s="114"/>
      <c r="N3327" s="114"/>
      <c r="O3327" s="114"/>
      <c r="P3327" s="114" t="s">
        <v>1485</v>
      </c>
      <c r="Q3327" s="114" t="s">
        <v>1228</v>
      </c>
    </row>
    <row r="3328" spans="2:17" hidden="1" outlineLevel="2">
      <c r="B3328" s="2" t="s">
        <v>876</v>
      </c>
      <c r="D3328" s="270">
        <v>5690</v>
      </c>
      <c r="E3328" s="112" t="s">
        <v>214</v>
      </c>
      <c r="F3328" s="112" t="s">
        <v>3732</v>
      </c>
      <c r="G3328" s="221" t="s">
        <v>1493</v>
      </c>
      <c r="H3328" s="112" t="s">
        <v>1505</v>
      </c>
      <c r="I3328" s="112"/>
      <c r="J3328" s="112" t="b">
        <v>0</v>
      </c>
      <c r="K3328" s="112"/>
      <c r="L3328" s="112"/>
      <c r="M3328" s="112"/>
      <c r="N3328" s="112"/>
      <c r="O3328" s="112"/>
      <c r="P3328" s="112" t="s">
        <v>1485</v>
      </c>
      <c r="Q3328" s="112" t="s">
        <v>1228</v>
      </c>
    </row>
    <row r="3329" spans="2:17" hidden="1" outlineLevel="2">
      <c r="B3329" s="2" t="s">
        <v>876</v>
      </c>
      <c r="D3329" s="268">
        <v>5700</v>
      </c>
      <c r="E3329" s="114" t="s">
        <v>214</v>
      </c>
      <c r="F3329" s="114" t="s">
        <v>3733</v>
      </c>
      <c r="G3329" s="221" t="s">
        <v>1493</v>
      </c>
      <c r="H3329" s="114" t="s">
        <v>1512</v>
      </c>
      <c r="I3329" s="114"/>
      <c r="J3329" s="114" t="b">
        <v>0</v>
      </c>
      <c r="K3329" s="114" t="s">
        <v>1484</v>
      </c>
      <c r="L3329" s="114" t="b">
        <v>1</v>
      </c>
      <c r="M3329" s="114"/>
      <c r="N3329" s="114"/>
      <c r="O3329" s="114"/>
      <c r="P3329" s="114" t="s">
        <v>1485</v>
      </c>
      <c r="Q3329" s="114" t="s">
        <v>1228</v>
      </c>
    </row>
    <row r="3330" spans="2:17" hidden="1" outlineLevel="2">
      <c r="B3330" s="2" t="s">
        <v>876</v>
      </c>
      <c r="D3330" s="270">
        <v>5701</v>
      </c>
      <c r="E3330" s="112" t="s">
        <v>214</v>
      </c>
      <c r="F3330" s="112" t="s">
        <v>3734</v>
      </c>
      <c r="G3330" s="112" t="s">
        <v>1512</v>
      </c>
      <c r="H3330" s="112" t="s">
        <v>1505</v>
      </c>
      <c r="I3330" s="112"/>
      <c r="J3330" s="112" t="b">
        <v>0</v>
      </c>
      <c r="K3330" s="112"/>
      <c r="L3330" s="112"/>
      <c r="M3330" s="112"/>
      <c r="N3330" s="112"/>
      <c r="O3330" s="112"/>
      <c r="P3330" s="112" t="s">
        <v>1485</v>
      </c>
      <c r="Q3330" s="112" t="s">
        <v>1228</v>
      </c>
    </row>
    <row r="3331" spans="2:17" hidden="1" outlineLevel="2">
      <c r="B3331" s="2" t="s">
        <v>876</v>
      </c>
      <c r="D3331" s="268">
        <v>5710</v>
      </c>
      <c r="E3331" s="114" t="s">
        <v>214</v>
      </c>
      <c r="F3331" s="114" t="s">
        <v>3735</v>
      </c>
      <c r="G3331" s="114" t="s">
        <v>1493</v>
      </c>
      <c r="H3331" s="114" t="s">
        <v>1505</v>
      </c>
      <c r="I3331" s="114"/>
      <c r="J3331" s="114" t="b">
        <v>0</v>
      </c>
      <c r="K3331" s="114"/>
      <c r="L3331" s="114"/>
      <c r="M3331" s="114"/>
      <c r="N3331" s="114"/>
      <c r="O3331" s="114"/>
      <c r="P3331" s="114" t="s">
        <v>1485</v>
      </c>
      <c r="Q3331" s="114" t="s">
        <v>1228</v>
      </c>
    </row>
    <row r="3332" spans="2:17" hidden="1" outlineLevel="2">
      <c r="B3332" s="2" t="s">
        <v>876</v>
      </c>
      <c r="D3332" s="270">
        <v>5713</v>
      </c>
      <c r="E3332" s="112" t="s">
        <v>214</v>
      </c>
      <c r="F3332" s="112" t="s">
        <v>3736</v>
      </c>
      <c r="G3332" s="112" t="s">
        <v>1533</v>
      </c>
      <c r="H3332" s="112" t="s">
        <v>1505</v>
      </c>
      <c r="I3332" s="112"/>
      <c r="J3332" s="112" t="b">
        <v>0</v>
      </c>
      <c r="K3332" s="112"/>
      <c r="L3332" s="112"/>
      <c r="M3332" s="112"/>
      <c r="N3332" s="112"/>
      <c r="O3332" s="112"/>
      <c r="P3332" s="112" t="s">
        <v>1485</v>
      </c>
      <c r="Q3332" s="112" t="s">
        <v>1228</v>
      </c>
    </row>
    <row r="3333" spans="2:17" hidden="1" outlineLevel="2">
      <c r="B3333" s="2" t="s">
        <v>876</v>
      </c>
      <c r="D3333" s="268">
        <v>5715</v>
      </c>
      <c r="E3333" s="114" t="s">
        <v>214</v>
      </c>
      <c r="F3333" s="114" t="s">
        <v>3737</v>
      </c>
      <c r="G3333" s="114" t="s">
        <v>1533</v>
      </c>
      <c r="H3333" s="114" t="s">
        <v>1505</v>
      </c>
      <c r="I3333" s="114"/>
      <c r="J3333" s="114" t="b">
        <v>0</v>
      </c>
      <c r="K3333" s="114"/>
      <c r="L3333" s="114"/>
      <c r="M3333" s="114"/>
      <c r="N3333" s="114"/>
      <c r="O3333" s="114"/>
      <c r="P3333" s="114" t="s">
        <v>1485</v>
      </c>
      <c r="Q3333" s="114" t="s">
        <v>1228</v>
      </c>
    </row>
    <row r="3334" spans="2:17" hidden="1" outlineLevel="2">
      <c r="B3334" s="2" t="s">
        <v>876</v>
      </c>
      <c r="D3334" s="270">
        <v>5717</v>
      </c>
      <c r="E3334" s="112" t="s">
        <v>214</v>
      </c>
      <c r="F3334" s="112" t="s">
        <v>3738</v>
      </c>
      <c r="G3334" s="112" t="s">
        <v>1533</v>
      </c>
      <c r="H3334" s="112" t="s">
        <v>1505</v>
      </c>
      <c r="I3334" s="112"/>
      <c r="J3334" s="112" t="b">
        <v>0</v>
      </c>
      <c r="K3334" s="112"/>
      <c r="L3334" s="112"/>
      <c r="M3334" s="112"/>
      <c r="N3334" s="112"/>
      <c r="O3334" s="112"/>
      <c r="P3334" s="112" t="s">
        <v>1485</v>
      </c>
      <c r="Q3334" s="112" t="s">
        <v>1228</v>
      </c>
    </row>
    <row r="3335" spans="2:17" hidden="1" outlineLevel="2">
      <c r="B3335" s="2" t="s">
        <v>876</v>
      </c>
      <c r="D3335" s="268">
        <v>5719</v>
      </c>
      <c r="E3335" s="114" t="s">
        <v>214</v>
      </c>
      <c r="F3335" s="114" t="s">
        <v>3739</v>
      </c>
      <c r="G3335" s="114" t="s">
        <v>1533</v>
      </c>
      <c r="H3335" s="114" t="s">
        <v>1505</v>
      </c>
      <c r="I3335" s="114"/>
      <c r="J3335" s="114" t="b">
        <v>0</v>
      </c>
      <c r="K3335" s="114"/>
      <c r="L3335" s="114"/>
      <c r="M3335" s="114"/>
      <c r="N3335" s="114"/>
      <c r="O3335" s="114"/>
      <c r="P3335" s="114" t="s">
        <v>1485</v>
      </c>
      <c r="Q3335" s="114" t="s">
        <v>1228</v>
      </c>
    </row>
    <row r="3336" spans="2:17" hidden="1" outlineLevel="2">
      <c r="B3336" s="2" t="s">
        <v>876</v>
      </c>
      <c r="D3336" s="270">
        <v>5720</v>
      </c>
      <c r="E3336" s="112" t="s">
        <v>214</v>
      </c>
      <c r="F3336" s="112" t="s">
        <v>3740</v>
      </c>
      <c r="G3336" s="112" t="s">
        <v>1512</v>
      </c>
      <c r="H3336" s="112" t="s">
        <v>1505</v>
      </c>
      <c r="I3336" s="112"/>
      <c r="J3336" s="112" t="b">
        <v>0</v>
      </c>
      <c r="K3336" s="112"/>
      <c r="L3336" s="112"/>
      <c r="M3336" s="112"/>
      <c r="N3336" s="112"/>
      <c r="O3336" s="112"/>
      <c r="P3336" s="112" t="s">
        <v>1485</v>
      </c>
      <c r="Q3336" s="112" t="s">
        <v>1228</v>
      </c>
    </row>
    <row r="3337" spans="2:17" hidden="1" outlineLevel="2">
      <c r="B3337" s="2" t="s">
        <v>876</v>
      </c>
      <c r="D3337" s="268">
        <v>5722</v>
      </c>
      <c r="E3337" s="114" t="s">
        <v>214</v>
      </c>
      <c r="F3337" s="114" t="s">
        <v>3741</v>
      </c>
      <c r="G3337" s="114" t="s">
        <v>1533</v>
      </c>
      <c r="H3337" s="114" t="s">
        <v>1533</v>
      </c>
      <c r="I3337" s="114"/>
      <c r="J3337" s="114" t="b">
        <v>0</v>
      </c>
      <c r="K3337" s="114" t="s">
        <v>1552</v>
      </c>
      <c r="L3337" s="114" t="b">
        <v>1</v>
      </c>
      <c r="M3337" s="114"/>
      <c r="N3337" s="114"/>
      <c r="O3337" s="114"/>
      <c r="P3337" s="114" t="s">
        <v>1485</v>
      </c>
      <c r="Q3337" s="114" t="s">
        <v>1228</v>
      </c>
    </row>
    <row r="3338" spans="2:17" hidden="1" outlineLevel="2">
      <c r="B3338" s="2" t="s">
        <v>876</v>
      </c>
      <c r="D3338" s="270">
        <v>5723</v>
      </c>
      <c r="E3338" s="112" t="s">
        <v>214</v>
      </c>
      <c r="F3338" s="112" t="s">
        <v>3742</v>
      </c>
      <c r="G3338" s="112" t="s">
        <v>1512</v>
      </c>
      <c r="H3338" s="112" t="s">
        <v>1512</v>
      </c>
      <c r="I3338" s="112"/>
      <c r="J3338" s="112" t="b">
        <v>0</v>
      </c>
      <c r="K3338" s="112" t="s">
        <v>1484</v>
      </c>
      <c r="L3338" s="112" t="b">
        <v>1</v>
      </c>
      <c r="M3338" s="112"/>
      <c r="N3338" s="112"/>
      <c r="O3338" s="112"/>
      <c r="P3338" s="112" t="s">
        <v>1485</v>
      </c>
      <c r="Q3338" s="112" t="s">
        <v>1228</v>
      </c>
    </row>
    <row r="3339" spans="2:17" hidden="1" outlineLevel="2">
      <c r="B3339" s="2" t="s">
        <v>876</v>
      </c>
      <c r="D3339" s="268">
        <v>5724</v>
      </c>
      <c r="E3339" s="114" t="s">
        <v>214</v>
      </c>
      <c r="F3339" s="114" t="s">
        <v>3743</v>
      </c>
      <c r="G3339" s="114" t="s">
        <v>1512</v>
      </c>
      <c r="H3339" s="114" t="s">
        <v>1505</v>
      </c>
      <c r="I3339" s="114"/>
      <c r="J3339" s="114" t="b">
        <v>0</v>
      </c>
      <c r="K3339" s="114"/>
      <c r="L3339" s="114"/>
      <c r="M3339" s="114"/>
      <c r="N3339" s="114"/>
      <c r="O3339" s="114"/>
      <c r="P3339" s="114" t="s">
        <v>1485</v>
      </c>
      <c r="Q3339" s="114" t="s">
        <v>1228</v>
      </c>
    </row>
    <row r="3340" spans="2:17" hidden="1" outlineLevel="2">
      <c r="B3340" s="2" t="s">
        <v>876</v>
      </c>
      <c r="D3340" s="270">
        <v>5725</v>
      </c>
      <c r="E3340" s="112" t="s">
        <v>214</v>
      </c>
      <c r="F3340" s="112" t="s">
        <v>3744</v>
      </c>
      <c r="G3340" s="112" t="s">
        <v>1512</v>
      </c>
      <c r="H3340" s="112" t="s">
        <v>1533</v>
      </c>
      <c r="I3340" s="112"/>
      <c r="J3340" s="112" t="b">
        <v>0</v>
      </c>
      <c r="K3340" s="112" t="s">
        <v>1552</v>
      </c>
      <c r="L3340" s="112" t="b">
        <v>1</v>
      </c>
      <c r="M3340" s="112"/>
      <c r="N3340" s="112"/>
      <c r="O3340" s="112"/>
      <c r="P3340" s="112" t="s">
        <v>1485</v>
      </c>
      <c r="Q3340" s="112" t="s">
        <v>1228</v>
      </c>
    </row>
    <row r="3341" spans="2:17" hidden="1" outlineLevel="2">
      <c r="B3341" s="2" t="s">
        <v>876</v>
      </c>
      <c r="D3341" s="268">
        <v>5730</v>
      </c>
      <c r="E3341" s="114" t="s">
        <v>214</v>
      </c>
      <c r="F3341" s="114" t="s">
        <v>3745</v>
      </c>
      <c r="G3341" s="114" t="s">
        <v>1512</v>
      </c>
      <c r="H3341" s="114" t="s">
        <v>1505</v>
      </c>
      <c r="I3341" s="114"/>
      <c r="J3341" s="114" t="b">
        <v>0</v>
      </c>
      <c r="K3341" s="114"/>
      <c r="L3341" s="114"/>
      <c r="M3341" s="114"/>
      <c r="N3341" s="114"/>
      <c r="O3341" s="114"/>
      <c r="P3341" s="114" t="s">
        <v>1485</v>
      </c>
      <c r="Q3341" s="114" t="s">
        <v>1228</v>
      </c>
    </row>
    <row r="3342" spans="2:17" hidden="1" outlineLevel="2">
      <c r="B3342" s="2" t="s">
        <v>876</v>
      </c>
      <c r="D3342" s="270">
        <v>5731</v>
      </c>
      <c r="E3342" s="112" t="s">
        <v>214</v>
      </c>
      <c r="F3342" s="112" t="s">
        <v>3746</v>
      </c>
      <c r="G3342" s="112" t="s">
        <v>1533</v>
      </c>
      <c r="H3342" s="112" t="s">
        <v>1533</v>
      </c>
      <c r="I3342" s="112"/>
      <c r="J3342" s="112" t="b">
        <v>0</v>
      </c>
      <c r="K3342" s="112" t="s">
        <v>1552</v>
      </c>
      <c r="L3342" s="112" t="b">
        <v>1</v>
      </c>
      <c r="M3342" s="112"/>
      <c r="N3342" s="112"/>
      <c r="O3342" s="112"/>
      <c r="P3342" s="112" t="s">
        <v>1485</v>
      </c>
      <c r="Q3342" s="112" t="s">
        <v>1228</v>
      </c>
    </row>
    <row r="3343" spans="2:17" hidden="1" outlineLevel="2">
      <c r="B3343" s="2" t="s">
        <v>876</v>
      </c>
      <c r="D3343" s="268">
        <v>5732</v>
      </c>
      <c r="E3343" s="114" t="s">
        <v>214</v>
      </c>
      <c r="F3343" s="114" t="s">
        <v>3747</v>
      </c>
      <c r="G3343" s="114" t="s">
        <v>1512</v>
      </c>
      <c r="H3343" s="114" t="s">
        <v>1505</v>
      </c>
      <c r="I3343" s="114"/>
      <c r="J3343" s="114" t="b">
        <v>0</v>
      </c>
      <c r="K3343" s="114"/>
      <c r="L3343" s="114"/>
      <c r="M3343" s="114"/>
      <c r="N3343" s="114"/>
      <c r="O3343" s="114"/>
      <c r="P3343" s="114" t="s">
        <v>1485</v>
      </c>
      <c r="Q3343" s="114" t="s">
        <v>1228</v>
      </c>
    </row>
    <row r="3344" spans="2:17" hidden="1" outlineLevel="2">
      <c r="B3344" s="2" t="s">
        <v>876</v>
      </c>
      <c r="D3344" s="270">
        <v>5733</v>
      </c>
      <c r="E3344" s="112" t="s">
        <v>214</v>
      </c>
      <c r="F3344" s="112" t="s">
        <v>3748</v>
      </c>
      <c r="G3344" s="112" t="s">
        <v>1512</v>
      </c>
      <c r="H3344" s="112" t="s">
        <v>1505</v>
      </c>
      <c r="I3344" s="112"/>
      <c r="J3344" s="112" t="b">
        <v>0</v>
      </c>
      <c r="K3344" s="112"/>
      <c r="L3344" s="112"/>
      <c r="M3344" s="112"/>
      <c r="N3344" s="112"/>
      <c r="O3344" s="112"/>
      <c r="P3344" s="112" t="s">
        <v>1485</v>
      </c>
      <c r="Q3344" s="112" t="s">
        <v>1228</v>
      </c>
    </row>
    <row r="3345" spans="2:17" hidden="1" outlineLevel="2">
      <c r="B3345" s="2" t="s">
        <v>876</v>
      </c>
      <c r="D3345" s="268">
        <v>5734</v>
      </c>
      <c r="E3345" s="114" t="s">
        <v>214</v>
      </c>
      <c r="F3345" s="114" t="s">
        <v>3749</v>
      </c>
      <c r="G3345" s="114" t="s">
        <v>1512</v>
      </c>
      <c r="H3345" s="114" t="s">
        <v>1505</v>
      </c>
      <c r="I3345" s="114"/>
      <c r="J3345" s="114" t="b">
        <v>0</v>
      </c>
      <c r="K3345" s="114"/>
      <c r="L3345" s="114"/>
      <c r="M3345" s="114"/>
      <c r="N3345" s="114"/>
      <c r="O3345" s="114"/>
      <c r="P3345" s="114" t="s">
        <v>1485</v>
      </c>
      <c r="Q3345" s="114" t="s">
        <v>1228</v>
      </c>
    </row>
    <row r="3346" spans="2:17" hidden="1" outlineLevel="2">
      <c r="B3346" s="2" t="s">
        <v>876</v>
      </c>
      <c r="D3346" s="270">
        <v>5950</v>
      </c>
      <c r="E3346" s="112" t="s">
        <v>214</v>
      </c>
      <c r="F3346" s="112" t="s">
        <v>3750</v>
      </c>
      <c r="G3346" s="112" t="s">
        <v>1533</v>
      </c>
      <c r="H3346" s="112" t="s">
        <v>1533</v>
      </c>
      <c r="I3346" s="112"/>
      <c r="J3346" s="112" t="b">
        <v>0</v>
      </c>
      <c r="K3346" s="112"/>
      <c r="L3346" s="112"/>
      <c r="M3346" s="112"/>
      <c r="N3346" s="112"/>
      <c r="O3346" s="112"/>
      <c r="P3346" s="112" t="s">
        <v>1485</v>
      </c>
      <c r="Q3346" s="112" t="s">
        <v>1228</v>
      </c>
    </row>
    <row r="3347" spans="2:17" hidden="1" outlineLevel="2">
      <c r="B3347" s="2" t="s">
        <v>876</v>
      </c>
      <c r="D3347" s="268">
        <v>6000</v>
      </c>
      <c r="E3347" s="114" t="s">
        <v>223</v>
      </c>
      <c r="F3347" s="114" t="s">
        <v>3751</v>
      </c>
      <c r="G3347" s="114" t="s">
        <v>1483</v>
      </c>
      <c r="H3347" s="114" t="s">
        <v>1227</v>
      </c>
      <c r="I3347" s="114"/>
      <c r="J3347" s="114" t="b">
        <v>0</v>
      </c>
      <c r="K3347" s="114"/>
      <c r="L3347" s="114"/>
      <c r="M3347" s="114" t="s">
        <v>829</v>
      </c>
      <c r="N3347" s="114"/>
      <c r="O3347" s="114"/>
      <c r="P3347" s="114" t="s">
        <v>3752</v>
      </c>
      <c r="Q3347" s="114" t="s">
        <v>1227</v>
      </c>
    </row>
    <row r="3348" spans="2:17" hidden="1" outlineLevel="2">
      <c r="B3348" s="2" t="s">
        <v>876</v>
      </c>
      <c r="D3348" s="270">
        <v>6003</v>
      </c>
      <c r="E3348" s="112" t="s">
        <v>223</v>
      </c>
      <c r="F3348" s="112" t="s">
        <v>3753</v>
      </c>
      <c r="G3348" s="112" t="s">
        <v>1572</v>
      </c>
      <c r="H3348" s="112" t="s">
        <v>1227</v>
      </c>
      <c r="I3348" s="112"/>
      <c r="J3348" s="112" t="b">
        <v>0</v>
      </c>
      <c r="K3348" s="112"/>
      <c r="L3348" s="112"/>
      <c r="M3348" s="112"/>
      <c r="N3348" s="112"/>
      <c r="O3348" s="112"/>
      <c r="P3348" s="112" t="s">
        <v>3752</v>
      </c>
      <c r="Q3348" s="112" t="s">
        <v>1227</v>
      </c>
    </row>
    <row r="3349" spans="2:17" hidden="1" outlineLevel="2">
      <c r="B3349" s="2" t="s">
        <v>876</v>
      </c>
      <c r="D3349" s="268">
        <v>6004</v>
      </c>
      <c r="E3349" s="114" t="s">
        <v>223</v>
      </c>
      <c r="F3349" s="114" t="s">
        <v>3754</v>
      </c>
      <c r="G3349" s="221" t="s">
        <v>1572</v>
      </c>
      <c r="H3349" s="114" t="s">
        <v>1227</v>
      </c>
      <c r="I3349" s="114"/>
      <c r="J3349" s="114" t="b">
        <v>0</v>
      </c>
      <c r="K3349" s="114"/>
      <c r="L3349" s="114"/>
      <c r="M3349" s="114" t="s">
        <v>829</v>
      </c>
      <c r="N3349" s="114"/>
      <c r="O3349" s="114"/>
      <c r="P3349" s="114" t="s">
        <v>3752</v>
      </c>
      <c r="Q3349" s="114" t="s">
        <v>1227</v>
      </c>
    </row>
    <row r="3350" spans="2:17" hidden="1" outlineLevel="2">
      <c r="B3350" s="2" t="s">
        <v>876</v>
      </c>
      <c r="D3350" s="270">
        <v>6005</v>
      </c>
      <c r="E3350" s="112" t="s">
        <v>223</v>
      </c>
      <c r="F3350" s="112" t="s">
        <v>3755</v>
      </c>
      <c r="G3350" s="112" t="s">
        <v>1483</v>
      </c>
      <c r="H3350" s="112" t="s">
        <v>1227</v>
      </c>
      <c r="I3350" s="112"/>
      <c r="J3350" s="112" t="b">
        <v>0</v>
      </c>
      <c r="K3350" s="112"/>
      <c r="L3350" s="112"/>
      <c r="M3350" s="112"/>
      <c r="N3350" s="112"/>
      <c r="O3350" s="112"/>
      <c r="P3350" s="112" t="s">
        <v>3752</v>
      </c>
      <c r="Q3350" s="112" t="s">
        <v>1227</v>
      </c>
    </row>
    <row r="3351" spans="2:17" hidden="1" outlineLevel="2">
      <c r="B3351" s="2" t="s">
        <v>876</v>
      </c>
      <c r="D3351" s="268">
        <v>6006</v>
      </c>
      <c r="E3351" s="114" t="s">
        <v>223</v>
      </c>
      <c r="F3351" s="114" t="s">
        <v>3756</v>
      </c>
      <c r="G3351" s="114" t="s">
        <v>1572</v>
      </c>
      <c r="H3351" s="114" t="s">
        <v>1227</v>
      </c>
      <c r="I3351" s="114"/>
      <c r="J3351" s="114" t="b">
        <v>0</v>
      </c>
      <c r="K3351" s="114"/>
      <c r="L3351" s="114"/>
      <c r="M3351" s="114"/>
      <c r="N3351" s="114"/>
      <c r="O3351" s="114"/>
      <c r="P3351" s="114" t="s">
        <v>3752</v>
      </c>
      <c r="Q3351" s="114" t="s">
        <v>1227</v>
      </c>
    </row>
    <row r="3352" spans="2:17" hidden="1" outlineLevel="2">
      <c r="B3352" s="2" t="s">
        <v>876</v>
      </c>
      <c r="D3352" s="270">
        <v>6007</v>
      </c>
      <c r="E3352" s="112" t="s">
        <v>223</v>
      </c>
      <c r="F3352" s="112" t="s">
        <v>3757</v>
      </c>
      <c r="G3352" s="112" t="s">
        <v>1572</v>
      </c>
      <c r="H3352" s="112" t="s">
        <v>1227</v>
      </c>
      <c r="I3352" s="112"/>
      <c r="J3352" s="112" t="b">
        <v>0</v>
      </c>
      <c r="K3352" s="112"/>
      <c r="L3352" s="112"/>
      <c r="M3352" s="112"/>
      <c r="N3352" s="112"/>
      <c r="O3352" s="112"/>
      <c r="P3352" s="112" t="s">
        <v>3752</v>
      </c>
      <c r="Q3352" s="112" t="s">
        <v>1227</v>
      </c>
    </row>
    <row r="3353" spans="2:17" hidden="1" outlineLevel="2">
      <c r="B3353" s="2" t="s">
        <v>876</v>
      </c>
      <c r="D3353" s="268">
        <v>6008</v>
      </c>
      <c r="E3353" s="114" t="s">
        <v>223</v>
      </c>
      <c r="F3353" s="114" t="s">
        <v>3758</v>
      </c>
      <c r="G3353" s="114" t="s">
        <v>1572</v>
      </c>
      <c r="H3353" s="114" t="s">
        <v>1227</v>
      </c>
      <c r="I3353" s="114"/>
      <c r="J3353" s="114" t="b">
        <v>0</v>
      </c>
      <c r="K3353" s="114"/>
      <c r="L3353" s="114"/>
      <c r="M3353" s="114"/>
      <c r="N3353" s="114"/>
      <c r="O3353" s="114"/>
      <c r="P3353" s="114" t="s">
        <v>3752</v>
      </c>
      <c r="Q3353" s="114" t="s">
        <v>1227</v>
      </c>
    </row>
    <row r="3354" spans="2:17" hidden="1" outlineLevel="2">
      <c r="B3354" s="2" t="s">
        <v>876</v>
      </c>
      <c r="D3354" s="270">
        <v>6009</v>
      </c>
      <c r="E3354" s="112" t="s">
        <v>223</v>
      </c>
      <c r="F3354" s="112" t="s">
        <v>3759</v>
      </c>
      <c r="G3354" s="112" t="s">
        <v>1572</v>
      </c>
      <c r="H3354" s="112" t="s">
        <v>1227</v>
      </c>
      <c r="I3354" s="112"/>
      <c r="J3354" s="112" t="b">
        <v>0</v>
      </c>
      <c r="K3354" s="112"/>
      <c r="L3354" s="112"/>
      <c r="M3354" s="112"/>
      <c r="N3354" s="691" t="b">
        <v>1</v>
      </c>
      <c r="O3354" s="112"/>
      <c r="P3354" s="112" t="s">
        <v>3752</v>
      </c>
      <c r="Q3354" s="112" t="s">
        <v>1227</v>
      </c>
    </row>
    <row r="3355" spans="2:17" hidden="1" outlineLevel="2">
      <c r="B3355" s="2" t="s">
        <v>876</v>
      </c>
      <c r="D3355" s="268">
        <v>6010</v>
      </c>
      <c r="E3355" s="114" t="s">
        <v>223</v>
      </c>
      <c r="F3355" s="114" t="s">
        <v>3760</v>
      </c>
      <c r="G3355" s="114" t="s">
        <v>1572</v>
      </c>
      <c r="H3355" s="114" t="s">
        <v>1227</v>
      </c>
      <c r="I3355" s="114"/>
      <c r="J3355" s="114" t="b">
        <v>0</v>
      </c>
      <c r="K3355" s="114"/>
      <c r="L3355" s="114"/>
      <c r="M3355" s="114"/>
      <c r="N3355" s="114"/>
      <c r="O3355" s="114"/>
      <c r="P3355" s="114" t="s">
        <v>3752</v>
      </c>
      <c r="Q3355" s="114" t="s">
        <v>1227</v>
      </c>
    </row>
    <row r="3356" spans="2:17" hidden="1" outlineLevel="2">
      <c r="B3356" s="2" t="s">
        <v>876</v>
      </c>
      <c r="D3356" s="270">
        <v>6011</v>
      </c>
      <c r="E3356" s="112" t="s">
        <v>223</v>
      </c>
      <c r="F3356" s="112" t="s">
        <v>3761</v>
      </c>
      <c r="G3356" s="112" t="s">
        <v>1572</v>
      </c>
      <c r="H3356" s="112" t="s">
        <v>1227</v>
      </c>
      <c r="I3356" s="112"/>
      <c r="J3356" s="112" t="b">
        <v>0</v>
      </c>
      <c r="K3356" s="112"/>
      <c r="L3356" s="112"/>
      <c r="M3356" s="112"/>
      <c r="N3356" s="691" t="b">
        <v>1</v>
      </c>
      <c r="O3356" s="112"/>
      <c r="P3356" s="112" t="s">
        <v>3752</v>
      </c>
      <c r="Q3356" s="112" t="s">
        <v>1227</v>
      </c>
    </row>
    <row r="3357" spans="2:17" hidden="1" outlineLevel="2">
      <c r="B3357" s="2" t="s">
        <v>876</v>
      </c>
      <c r="D3357" s="268">
        <v>6012</v>
      </c>
      <c r="E3357" s="114" t="s">
        <v>223</v>
      </c>
      <c r="F3357" s="114" t="s">
        <v>3762</v>
      </c>
      <c r="G3357" s="114" t="s">
        <v>1572</v>
      </c>
      <c r="H3357" s="114" t="s">
        <v>1227</v>
      </c>
      <c r="I3357" s="114"/>
      <c r="J3357" s="114" t="b">
        <v>0</v>
      </c>
      <c r="K3357" s="114"/>
      <c r="L3357" s="114"/>
      <c r="M3357" s="114"/>
      <c r="N3357" s="691" t="b">
        <v>1</v>
      </c>
      <c r="O3357" s="114"/>
      <c r="P3357" s="114" t="s">
        <v>3752</v>
      </c>
      <c r="Q3357" s="114" t="s">
        <v>1227</v>
      </c>
    </row>
    <row r="3358" spans="2:17" hidden="1" outlineLevel="2">
      <c r="B3358" s="2" t="s">
        <v>876</v>
      </c>
      <c r="D3358" s="270">
        <v>6014</v>
      </c>
      <c r="E3358" s="112" t="s">
        <v>223</v>
      </c>
      <c r="F3358" s="112" t="s">
        <v>3763</v>
      </c>
      <c r="G3358" s="112" t="s">
        <v>1572</v>
      </c>
      <c r="H3358" s="112" t="s">
        <v>1227</v>
      </c>
      <c r="I3358" s="112"/>
      <c r="J3358" s="112" t="b">
        <v>0</v>
      </c>
      <c r="K3358" s="112"/>
      <c r="L3358" s="112"/>
      <c r="M3358" s="112"/>
      <c r="N3358" s="112"/>
      <c r="O3358" s="112"/>
      <c r="P3358" s="112" t="s">
        <v>3752</v>
      </c>
      <c r="Q3358" s="112" t="s">
        <v>1227</v>
      </c>
    </row>
    <row r="3359" spans="2:17" hidden="1" outlineLevel="2">
      <c r="B3359" s="2" t="s">
        <v>876</v>
      </c>
      <c r="D3359" s="268">
        <v>6015</v>
      </c>
      <c r="E3359" s="114" t="s">
        <v>223</v>
      </c>
      <c r="F3359" s="114" t="s">
        <v>3764</v>
      </c>
      <c r="G3359" s="114" t="s">
        <v>1572</v>
      </c>
      <c r="H3359" s="114" t="s">
        <v>1227</v>
      </c>
      <c r="I3359" s="114"/>
      <c r="J3359" s="114" t="b">
        <v>0</v>
      </c>
      <c r="K3359" s="114"/>
      <c r="L3359" s="114"/>
      <c r="M3359" s="114"/>
      <c r="N3359" s="691" t="b">
        <v>1</v>
      </c>
      <c r="O3359" s="114"/>
      <c r="P3359" s="114" t="s">
        <v>3752</v>
      </c>
      <c r="Q3359" s="114" t="s">
        <v>1227</v>
      </c>
    </row>
    <row r="3360" spans="2:17" hidden="1" outlineLevel="2">
      <c r="B3360" s="2" t="s">
        <v>876</v>
      </c>
      <c r="D3360" s="270">
        <v>6016</v>
      </c>
      <c r="E3360" s="112" t="s">
        <v>223</v>
      </c>
      <c r="F3360" s="112" t="s">
        <v>3765</v>
      </c>
      <c r="G3360" s="112" t="s">
        <v>1572</v>
      </c>
      <c r="H3360" s="112" t="s">
        <v>1227</v>
      </c>
      <c r="I3360" s="112"/>
      <c r="J3360" s="112" t="b">
        <v>0</v>
      </c>
      <c r="K3360" s="112"/>
      <c r="L3360" s="112"/>
      <c r="M3360" s="112"/>
      <c r="N3360" s="112"/>
      <c r="O3360" s="112"/>
      <c r="P3360" s="112" t="s">
        <v>3752</v>
      </c>
      <c r="Q3360" s="112" t="s">
        <v>1227</v>
      </c>
    </row>
    <row r="3361" spans="2:17" hidden="1" outlineLevel="2">
      <c r="B3361" s="2" t="s">
        <v>876</v>
      </c>
      <c r="D3361" s="268">
        <v>6017</v>
      </c>
      <c r="E3361" s="114" t="s">
        <v>223</v>
      </c>
      <c r="F3361" s="114" t="s">
        <v>3766</v>
      </c>
      <c r="G3361" s="114" t="s">
        <v>1572</v>
      </c>
      <c r="H3361" s="114" t="s">
        <v>1227</v>
      </c>
      <c r="I3361" s="114"/>
      <c r="J3361" s="114" t="b">
        <v>0</v>
      </c>
      <c r="K3361" s="114"/>
      <c r="L3361" s="114"/>
      <c r="M3361" s="114"/>
      <c r="N3361" s="114"/>
      <c r="O3361" s="114"/>
      <c r="P3361" s="114" t="s">
        <v>3752</v>
      </c>
      <c r="Q3361" s="114" t="s">
        <v>1227</v>
      </c>
    </row>
    <row r="3362" spans="2:17" hidden="1" outlineLevel="2">
      <c r="B3362" s="2" t="s">
        <v>876</v>
      </c>
      <c r="D3362" s="270">
        <v>6018</v>
      </c>
      <c r="E3362" s="112" t="s">
        <v>223</v>
      </c>
      <c r="F3362" s="112" t="s">
        <v>3767</v>
      </c>
      <c r="G3362" s="112" t="s">
        <v>1572</v>
      </c>
      <c r="H3362" s="112" t="s">
        <v>1227</v>
      </c>
      <c r="I3362" s="112"/>
      <c r="J3362" s="112" t="b">
        <v>0</v>
      </c>
      <c r="K3362" s="112"/>
      <c r="L3362" s="112"/>
      <c r="M3362" s="112"/>
      <c r="N3362" s="112"/>
      <c r="O3362" s="112"/>
      <c r="P3362" s="112" t="s">
        <v>3752</v>
      </c>
      <c r="Q3362" s="112" t="s">
        <v>1227</v>
      </c>
    </row>
    <row r="3363" spans="2:17" hidden="1" outlineLevel="2">
      <c r="B3363" s="2" t="s">
        <v>876</v>
      </c>
      <c r="D3363" s="268">
        <v>6019</v>
      </c>
      <c r="E3363" s="114" t="s">
        <v>223</v>
      </c>
      <c r="F3363" s="114" t="s">
        <v>3768</v>
      </c>
      <c r="G3363" s="114" t="s">
        <v>1572</v>
      </c>
      <c r="H3363" s="114" t="s">
        <v>1227</v>
      </c>
      <c r="I3363" s="114"/>
      <c r="J3363" s="114" t="b">
        <v>0</v>
      </c>
      <c r="K3363" s="114"/>
      <c r="L3363" s="114"/>
      <c r="M3363" s="114"/>
      <c r="N3363" s="114"/>
      <c r="O3363" s="114"/>
      <c r="P3363" s="114" t="s">
        <v>3752</v>
      </c>
      <c r="Q3363" s="114" t="s">
        <v>1227</v>
      </c>
    </row>
    <row r="3364" spans="2:17" hidden="1" outlineLevel="2">
      <c r="B3364" s="2" t="s">
        <v>876</v>
      </c>
      <c r="D3364" s="270">
        <v>6020</v>
      </c>
      <c r="E3364" s="112" t="s">
        <v>223</v>
      </c>
      <c r="F3364" s="112" t="s">
        <v>3769</v>
      </c>
      <c r="G3364" s="112" t="s">
        <v>1572</v>
      </c>
      <c r="H3364" s="112" t="s">
        <v>1227</v>
      </c>
      <c r="I3364" s="112"/>
      <c r="J3364" s="112" t="b">
        <v>0</v>
      </c>
      <c r="K3364" s="112"/>
      <c r="L3364" s="112"/>
      <c r="M3364" s="112"/>
      <c r="N3364" s="112"/>
      <c r="O3364" s="112"/>
      <c r="P3364" s="112" t="s">
        <v>3752</v>
      </c>
      <c r="Q3364" s="112" t="s">
        <v>1227</v>
      </c>
    </row>
    <row r="3365" spans="2:17" hidden="1" outlineLevel="2">
      <c r="B3365" s="2" t="s">
        <v>876</v>
      </c>
      <c r="D3365" s="268">
        <v>6021</v>
      </c>
      <c r="E3365" s="114" t="s">
        <v>223</v>
      </c>
      <c r="F3365" s="114" t="s">
        <v>3770</v>
      </c>
      <c r="G3365" s="114" t="s">
        <v>1572</v>
      </c>
      <c r="H3365" s="114" t="s">
        <v>1227</v>
      </c>
      <c r="I3365" s="114"/>
      <c r="J3365" s="114" t="b">
        <v>0</v>
      </c>
      <c r="K3365" s="114"/>
      <c r="L3365" s="114"/>
      <c r="M3365" s="114"/>
      <c r="N3365" s="114"/>
      <c r="O3365" s="114"/>
      <c r="P3365" s="114" t="s">
        <v>3752</v>
      </c>
      <c r="Q3365" s="114" t="s">
        <v>1227</v>
      </c>
    </row>
    <row r="3366" spans="2:17" hidden="1" outlineLevel="2">
      <c r="B3366" s="2" t="s">
        <v>876</v>
      </c>
      <c r="D3366" s="270">
        <v>6022</v>
      </c>
      <c r="E3366" s="112" t="s">
        <v>223</v>
      </c>
      <c r="F3366" s="112" t="s">
        <v>3771</v>
      </c>
      <c r="G3366" s="112" t="s">
        <v>1572</v>
      </c>
      <c r="H3366" s="112" t="s">
        <v>1227</v>
      </c>
      <c r="I3366" s="112"/>
      <c r="J3366" s="112" t="b">
        <v>0</v>
      </c>
      <c r="K3366" s="112"/>
      <c r="L3366" s="112"/>
      <c r="M3366" s="112"/>
      <c r="N3366" s="112"/>
      <c r="O3366" s="112"/>
      <c r="P3366" s="112" t="s">
        <v>3752</v>
      </c>
      <c r="Q3366" s="112" t="s">
        <v>1227</v>
      </c>
    </row>
    <row r="3367" spans="2:17" hidden="1" outlineLevel="2">
      <c r="B3367" s="2" t="s">
        <v>876</v>
      </c>
      <c r="D3367" s="268">
        <v>6023</v>
      </c>
      <c r="E3367" s="114" t="s">
        <v>223</v>
      </c>
      <c r="F3367" s="114" t="s">
        <v>3772</v>
      </c>
      <c r="G3367" s="114" t="s">
        <v>1572</v>
      </c>
      <c r="H3367" s="114" t="s">
        <v>1227</v>
      </c>
      <c r="I3367" s="114"/>
      <c r="J3367" s="114" t="b">
        <v>0</v>
      </c>
      <c r="K3367" s="114"/>
      <c r="L3367" s="114"/>
      <c r="M3367" s="114"/>
      <c r="N3367" s="114"/>
      <c r="O3367" s="114"/>
      <c r="P3367" s="114" t="s">
        <v>3752</v>
      </c>
      <c r="Q3367" s="114" t="s">
        <v>1227</v>
      </c>
    </row>
    <row r="3368" spans="2:17" hidden="1" outlineLevel="2">
      <c r="B3368" s="2" t="s">
        <v>876</v>
      </c>
      <c r="D3368" s="270">
        <v>6024</v>
      </c>
      <c r="E3368" s="112" t="s">
        <v>223</v>
      </c>
      <c r="F3368" s="112" t="s">
        <v>3773</v>
      </c>
      <c r="G3368" s="112" t="s">
        <v>1572</v>
      </c>
      <c r="H3368" s="112" t="s">
        <v>1227</v>
      </c>
      <c r="I3368" s="112"/>
      <c r="J3368" s="112" t="b">
        <v>0</v>
      </c>
      <c r="K3368" s="112"/>
      <c r="L3368" s="112"/>
      <c r="M3368" s="112"/>
      <c r="N3368" s="112"/>
      <c r="O3368" s="112"/>
      <c r="P3368" s="112" t="s">
        <v>3752</v>
      </c>
      <c r="Q3368" s="112" t="s">
        <v>1227</v>
      </c>
    </row>
    <row r="3369" spans="2:17" hidden="1" outlineLevel="2">
      <c r="B3369" s="2" t="s">
        <v>876</v>
      </c>
      <c r="D3369" s="268">
        <v>6025</v>
      </c>
      <c r="E3369" s="114" t="s">
        <v>223</v>
      </c>
      <c r="F3369" s="114" t="s">
        <v>3774</v>
      </c>
      <c r="G3369" s="114" t="s">
        <v>1572</v>
      </c>
      <c r="H3369" s="114" t="s">
        <v>1227</v>
      </c>
      <c r="I3369" s="114"/>
      <c r="J3369" s="114" t="b">
        <v>0</v>
      </c>
      <c r="K3369" s="114"/>
      <c r="L3369" s="114"/>
      <c r="M3369" s="114"/>
      <c r="N3369" s="114"/>
      <c r="O3369" s="114"/>
      <c r="P3369" s="114" t="s">
        <v>3752</v>
      </c>
      <c r="Q3369" s="114" t="s">
        <v>1227</v>
      </c>
    </row>
    <row r="3370" spans="2:17" hidden="1" outlineLevel="2">
      <c r="B3370" s="2" t="s">
        <v>876</v>
      </c>
      <c r="D3370" s="270">
        <v>6026</v>
      </c>
      <c r="E3370" s="112" t="s">
        <v>223</v>
      </c>
      <c r="F3370" s="112" t="s">
        <v>3775</v>
      </c>
      <c r="G3370" s="112" t="s">
        <v>1572</v>
      </c>
      <c r="H3370" s="112" t="s">
        <v>1227</v>
      </c>
      <c r="I3370" s="112"/>
      <c r="J3370" s="112" t="b">
        <v>0</v>
      </c>
      <c r="K3370" s="112"/>
      <c r="L3370" s="112"/>
      <c r="M3370" s="112"/>
      <c r="N3370" s="112"/>
      <c r="O3370" s="112"/>
      <c r="P3370" s="112" t="s">
        <v>3752</v>
      </c>
      <c r="Q3370" s="112" t="s">
        <v>1227</v>
      </c>
    </row>
    <row r="3371" spans="2:17" hidden="1" outlineLevel="2">
      <c r="B3371" s="2" t="s">
        <v>876</v>
      </c>
      <c r="D3371" s="268">
        <v>6027</v>
      </c>
      <c r="E3371" s="114" t="s">
        <v>223</v>
      </c>
      <c r="F3371" s="114" t="s">
        <v>3776</v>
      </c>
      <c r="G3371" s="114" t="s">
        <v>1572</v>
      </c>
      <c r="H3371" s="114" t="s">
        <v>1227</v>
      </c>
      <c r="I3371" s="114"/>
      <c r="J3371" s="114" t="b">
        <v>0</v>
      </c>
      <c r="K3371" s="114"/>
      <c r="L3371" s="114"/>
      <c r="M3371" s="114"/>
      <c r="N3371" s="114"/>
      <c r="O3371" s="114"/>
      <c r="P3371" s="114" t="s">
        <v>3752</v>
      </c>
      <c r="Q3371" s="114" t="s">
        <v>1227</v>
      </c>
    </row>
    <row r="3372" spans="2:17" hidden="1" outlineLevel="2">
      <c r="B3372" s="2" t="s">
        <v>876</v>
      </c>
      <c r="D3372" s="270">
        <v>6028</v>
      </c>
      <c r="E3372" s="112" t="s">
        <v>223</v>
      </c>
      <c r="F3372" s="112" t="s">
        <v>3777</v>
      </c>
      <c r="G3372" s="112" t="s">
        <v>1572</v>
      </c>
      <c r="H3372" s="112" t="s">
        <v>1227</v>
      </c>
      <c r="I3372" s="112"/>
      <c r="J3372" s="112" t="b">
        <v>0</v>
      </c>
      <c r="K3372" s="112"/>
      <c r="L3372" s="112"/>
      <c r="M3372" s="112"/>
      <c r="N3372" s="112"/>
      <c r="O3372" s="112"/>
      <c r="P3372" s="112" t="s">
        <v>3752</v>
      </c>
      <c r="Q3372" s="112" t="s">
        <v>1227</v>
      </c>
    </row>
    <row r="3373" spans="2:17" hidden="1" outlineLevel="2">
      <c r="B3373" s="2" t="s">
        <v>876</v>
      </c>
      <c r="D3373" s="268">
        <v>6029</v>
      </c>
      <c r="E3373" s="114" t="s">
        <v>223</v>
      </c>
      <c r="F3373" s="114" t="s">
        <v>3778</v>
      </c>
      <c r="G3373" s="114" t="s">
        <v>1572</v>
      </c>
      <c r="H3373" s="114" t="s">
        <v>1227</v>
      </c>
      <c r="I3373" s="114"/>
      <c r="J3373" s="114" t="b">
        <v>0</v>
      </c>
      <c r="K3373" s="114"/>
      <c r="L3373" s="114"/>
      <c r="M3373" s="114"/>
      <c r="N3373" s="114"/>
      <c r="O3373" s="114"/>
      <c r="P3373" s="114" t="s">
        <v>3752</v>
      </c>
      <c r="Q3373" s="114" t="s">
        <v>1227</v>
      </c>
    </row>
    <row r="3374" spans="2:17" hidden="1" outlineLevel="2">
      <c r="B3374" s="2" t="s">
        <v>876</v>
      </c>
      <c r="D3374" s="270">
        <v>6030</v>
      </c>
      <c r="E3374" s="112" t="s">
        <v>223</v>
      </c>
      <c r="F3374" s="112" t="s">
        <v>3779</v>
      </c>
      <c r="G3374" s="112" t="s">
        <v>1572</v>
      </c>
      <c r="H3374" s="112" t="s">
        <v>1227</v>
      </c>
      <c r="I3374" s="112"/>
      <c r="J3374" s="112" t="b">
        <v>0</v>
      </c>
      <c r="K3374" s="112"/>
      <c r="L3374" s="112"/>
      <c r="M3374" s="112"/>
      <c r="N3374" s="112"/>
      <c r="O3374" s="112"/>
      <c r="P3374" s="112" t="s">
        <v>3752</v>
      </c>
      <c r="Q3374" s="112" t="s">
        <v>1227</v>
      </c>
    </row>
    <row r="3375" spans="2:17" hidden="1" outlineLevel="2">
      <c r="B3375" s="2" t="s">
        <v>876</v>
      </c>
      <c r="D3375" s="268">
        <v>6031</v>
      </c>
      <c r="E3375" s="114" t="s">
        <v>223</v>
      </c>
      <c r="F3375" s="114" t="s">
        <v>3780</v>
      </c>
      <c r="G3375" s="114" t="s">
        <v>1572</v>
      </c>
      <c r="H3375" s="114" t="s">
        <v>1227</v>
      </c>
      <c r="I3375" s="114"/>
      <c r="J3375" s="114" t="b">
        <v>0</v>
      </c>
      <c r="K3375" s="114"/>
      <c r="L3375" s="114"/>
      <c r="M3375" s="114"/>
      <c r="N3375" s="114"/>
      <c r="O3375" s="114"/>
      <c r="P3375" s="114" t="s">
        <v>3752</v>
      </c>
      <c r="Q3375" s="114" t="s">
        <v>1227</v>
      </c>
    </row>
    <row r="3376" spans="2:17" hidden="1" outlineLevel="2">
      <c r="B3376" s="2" t="s">
        <v>876</v>
      </c>
      <c r="D3376" s="270">
        <v>6032</v>
      </c>
      <c r="E3376" s="112" t="s">
        <v>223</v>
      </c>
      <c r="F3376" s="112" t="s">
        <v>3781</v>
      </c>
      <c r="G3376" s="112" t="s">
        <v>1572</v>
      </c>
      <c r="H3376" s="112" t="s">
        <v>1227</v>
      </c>
      <c r="I3376" s="112"/>
      <c r="J3376" s="112" t="b">
        <v>0</v>
      </c>
      <c r="K3376" s="112"/>
      <c r="L3376" s="112"/>
      <c r="M3376" s="112"/>
      <c r="N3376" s="112"/>
      <c r="O3376" s="112"/>
      <c r="P3376" s="112" t="s">
        <v>3752</v>
      </c>
      <c r="Q3376" s="112" t="s">
        <v>1227</v>
      </c>
    </row>
    <row r="3377" spans="2:17" hidden="1" outlineLevel="2">
      <c r="B3377" s="2" t="s">
        <v>876</v>
      </c>
      <c r="D3377" s="268">
        <v>6033</v>
      </c>
      <c r="E3377" s="114" t="s">
        <v>223</v>
      </c>
      <c r="F3377" s="114" t="s">
        <v>3782</v>
      </c>
      <c r="G3377" s="114" t="s">
        <v>1572</v>
      </c>
      <c r="H3377" s="114" t="s">
        <v>1227</v>
      </c>
      <c r="I3377" s="114"/>
      <c r="J3377" s="114" t="b">
        <v>0</v>
      </c>
      <c r="K3377" s="114"/>
      <c r="L3377" s="114" t="b">
        <v>1</v>
      </c>
      <c r="M3377" s="114"/>
      <c r="N3377" s="114"/>
      <c r="O3377" s="114"/>
      <c r="P3377" s="114" t="s">
        <v>3752</v>
      </c>
      <c r="Q3377" s="114" t="s">
        <v>1227</v>
      </c>
    </row>
    <row r="3378" spans="2:17" hidden="1" outlineLevel="2">
      <c r="B3378" s="2" t="s">
        <v>876</v>
      </c>
      <c r="D3378" s="270">
        <v>6034</v>
      </c>
      <c r="E3378" s="112" t="s">
        <v>223</v>
      </c>
      <c r="F3378" s="112" t="s">
        <v>3783</v>
      </c>
      <c r="G3378" s="112" t="s">
        <v>1572</v>
      </c>
      <c r="H3378" s="112" t="s">
        <v>1227</v>
      </c>
      <c r="I3378" s="112"/>
      <c r="J3378" s="112" t="b">
        <v>0</v>
      </c>
      <c r="K3378" s="112"/>
      <c r="L3378" s="112"/>
      <c r="M3378" s="112"/>
      <c r="N3378" s="112"/>
      <c r="O3378" s="112"/>
      <c r="P3378" s="112" t="s">
        <v>3752</v>
      </c>
      <c r="Q3378" s="112" t="s">
        <v>1227</v>
      </c>
    </row>
    <row r="3379" spans="2:17" hidden="1" outlineLevel="2">
      <c r="B3379" s="2" t="s">
        <v>876</v>
      </c>
      <c r="D3379" s="268">
        <v>6035</v>
      </c>
      <c r="E3379" s="114" t="s">
        <v>223</v>
      </c>
      <c r="F3379" s="114" t="s">
        <v>3784</v>
      </c>
      <c r="G3379" s="114" t="s">
        <v>1572</v>
      </c>
      <c r="H3379" s="114" t="s">
        <v>1227</v>
      </c>
      <c r="I3379" s="114"/>
      <c r="J3379" s="114" t="b">
        <v>0</v>
      </c>
      <c r="K3379" s="114"/>
      <c r="L3379" s="114"/>
      <c r="M3379" s="114"/>
      <c r="N3379" s="114"/>
      <c r="O3379" s="114"/>
      <c r="P3379" s="114" t="s">
        <v>3752</v>
      </c>
      <c r="Q3379" s="114" t="s">
        <v>1227</v>
      </c>
    </row>
    <row r="3380" spans="2:17" hidden="1" outlineLevel="2">
      <c r="B3380" s="2" t="s">
        <v>876</v>
      </c>
      <c r="D3380" s="270">
        <v>6036</v>
      </c>
      <c r="E3380" s="112" t="s">
        <v>223</v>
      </c>
      <c r="F3380" s="112" t="s">
        <v>3708</v>
      </c>
      <c r="G3380" s="112" t="s">
        <v>1572</v>
      </c>
      <c r="H3380" s="112" t="s">
        <v>1227</v>
      </c>
      <c r="I3380" s="112"/>
      <c r="J3380" s="112" t="b">
        <v>0</v>
      </c>
      <c r="K3380" s="112"/>
      <c r="L3380" s="112"/>
      <c r="M3380" s="112"/>
      <c r="N3380" s="112"/>
      <c r="O3380" s="112"/>
      <c r="P3380" s="112" t="s">
        <v>3752</v>
      </c>
      <c r="Q3380" s="112" t="s">
        <v>1227</v>
      </c>
    </row>
    <row r="3381" spans="2:17" hidden="1" outlineLevel="2">
      <c r="B3381" s="2" t="s">
        <v>876</v>
      </c>
      <c r="D3381" s="268">
        <v>6037</v>
      </c>
      <c r="E3381" s="114" t="s">
        <v>223</v>
      </c>
      <c r="F3381" s="114" t="s">
        <v>3785</v>
      </c>
      <c r="G3381" s="114" t="s">
        <v>1572</v>
      </c>
      <c r="H3381" s="114" t="s">
        <v>1227</v>
      </c>
      <c r="I3381" s="114"/>
      <c r="J3381" s="114" t="b">
        <v>0</v>
      </c>
      <c r="K3381" s="114"/>
      <c r="L3381" s="114"/>
      <c r="M3381" s="114"/>
      <c r="N3381" s="114"/>
      <c r="O3381" s="114"/>
      <c r="P3381" s="114" t="s">
        <v>3752</v>
      </c>
      <c r="Q3381" s="114" t="s">
        <v>1227</v>
      </c>
    </row>
    <row r="3382" spans="2:17" hidden="1" outlineLevel="2">
      <c r="B3382" s="2" t="s">
        <v>876</v>
      </c>
      <c r="D3382" s="270">
        <v>6038</v>
      </c>
      <c r="E3382" s="112" t="s">
        <v>223</v>
      </c>
      <c r="F3382" s="112" t="s">
        <v>3786</v>
      </c>
      <c r="G3382" s="112" t="s">
        <v>1572</v>
      </c>
      <c r="H3382" s="112" t="s">
        <v>1227</v>
      </c>
      <c r="I3382" s="112"/>
      <c r="J3382" s="112" t="b">
        <v>0</v>
      </c>
      <c r="K3382" s="112"/>
      <c r="L3382" s="112"/>
      <c r="M3382" s="112"/>
      <c r="N3382" s="112"/>
      <c r="O3382" s="112"/>
      <c r="P3382" s="112" t="s">
        <v>3752</v>
      </c>
      <c r="Q3382" s="112" t="s">
        <v>1227</v>
      </c>
    </row>
    <row r="3383" spans="2:17" hidden="1" outlineLevel="2">
      <c r="B3383" s="2" t="s">
        <v>876</v>
      </c>
      <c r="D3383" s="268">
        <v>6041</v>
      </c>
      <c r="E3383" s="114" t="s">
        <v>223</v>
      </c>
      <c r="F3383" s="114" t="s">
        <v>3787</v>
      </c>
      <c r="G3383" s="114" t="s">
        <v>1493</v>
      </c>
      <c r="H3383" s="114" t="s">
        <v>1505</v>
      </c>
      <c r="I3383" s="114"/>
      <c r="J3383" s="114" t="b">
        <v>0</v>
      </c>
      <c r="K3383" s="114"/>
      <c r="L3383" s="114"/>
      <c r="M3383" s="114"/>
      <c r="N3383" s="114"/>
      <c r="O3383" s="114"/>
      <c r="P3383" s="114" t="s">
        <v>3752</v>
      </c>
      <c r="Q3383" s="114" t="s">
        <v>1228</v>
      </c>
    </row>
    <row r="3384" spans="2:17" hidden="1" outlineLevel="2">
      <c r="B3384" s="2" t="s">
        <v>876</v>
      </c>
      <c r="D3384" s="270">
        <v>6042</v>
      </c>
      <c r="E3384" s="112" t="s">
        <v>223</v>
      </c>
      <c r="F3384" s="112" t="s">
        <v>3788</v>
      </c>
      <c r="G3384" s="221" t="s">
        <v>1512</v>
      </c>
      <c r="H3384" s="112" t="s">
        <v>1494</v>
      </c>
      <c r="I3384" s="112"/>
      <c r="J3384" s="112" t="b">
        <v>0</v>
      </c>
      <c r="K3384" s="112"/>
      <c r="L3384" s="112" t="b">
        <v>1</v>
      </c>
      <c r="M3384" s="112"/>
      <c r="N3384" s="112"/>
      <c r="O3384" s="112"/>
      <c r="P3384" s="112" t="s">
        <v>3752</v>
      </c>
      <c r="Q3384" s="112" t="s">
        <v>1228</v>
      </c>
    </row>
    <row r="3385" spans="2:17" hidden="1" outlineLevel="2">
      <c r="B3385" s="2" t="s">
        <v>876</v>
      </c>
      <c r="D3385" s="268">
        <v>6043</v>
      </c>
      <c r="E3385" s="114" t="s">
        <v>223</v>
      </c>
      <c r="F3385" s="114" t="s">
        <v>3789</v>
      </c>
      <c r="G3385" s="221" t="s">
        <v>1512</v>
      </c>
      <c r="H3385" s="114" t="s">
        <v>1494</v>
      </c>
      <c r="I3385" s="114"/>
      <c r="J3385" s="114" t="b">
        <v>0</v>
      </c>
      <c r="K3385" s="114"/>
      <c r="L3385" s="114"/>
      <c r="M3385" s="114"/>
      <c r="N3385" s="114"/>
      <c r="O3385" s="114"/>
      <c r="P3385" s="114" t="s">
        <v>3752</v>
      </c>
      <c r="Q3385" s="114" t="s">
        <v>1228</v>
      </c>
    </row>
    <row r="3386" spans="2:17" hidden="1" outlineLevel="2">
      <c r="B3386" s="2" t="s">
        <v>876</v>
      </c>
      <c r="D3386" s="270">
        <v>6044</v>
      </c>
      <c r="E3386" s="112" t="s">
        <v>223</v>
      </c>
      <c r="F3386" s="112" t="s">
        <v>3790</v>
      </c>
      <c r="G3386" s="221" t="s">
        <v>1512</v>
      </c>
      <c r="H3386" s="112" t="s">
        <v>1505</v>
      </c>
      <c r="I3386" s="112"/>
      <c r="J3386" s="112" t="b">
        <v>0</v>
      </c>
      <c r="K3386" s="112"/>
      <c r="L3386" s="112"/>
      <c r="M3386" s="112"/>
      <c r="N3386" s="112"/>
      <c r="O3386" s="112"/>
      <c r="P3386" s="112" t="s">
        <v>3752</v>
      </c>
      <c r="Q3386" s="112" t="s">
        <v>1228</v>
      </c>
    </row>
    <row r="3387" spans="2:17" hidden="1" outlineLevel="2">
      <c r="B3387" s="2" t="s">
        <v>876</v>
      </c>
      <c r="D3387" s="268">
        <v>6050</v>
      </c>
      <c r="E3387" s="114" t="s">
        <v>223</v>
      </c>
      <c r="F3387" s="114" t="s">
        <v>3791</v>
      </c>
      <c r="G3387" s="114" t="s">
        <v>1572</v>
      </c>
      <c r="H3387" s="114" t="s">
        <v>1227</v>
      </c>
      <c r="I3387" s="114"/>
      <c r="J3387" s="114" t="b">
        <v>0</v>
      </c>
      <c r="K3387" s="114"/>
      <c r="L3387" s="114"/>
      <c r="M3387" s="114"/>
      <c r="N3387" s="114"/>
      <c r="O3387" s="114"/>
      <c r="P3387" s="114" t="s">
        <v>3752</v>
      </c>
      <c r="Q3387" s="114" t="s">
        <v>1227</v>
      </c>
    </row>
    <row r="3388" spans="2:17" hidden="1" outlineLevel="2">
      <c r="B3388" s="2" t="s">
        <v>876</v>
      </c>
      <c r="D3388" s="270">
        <v>6051</v>
      </c>
      <c r="E3388" s="112" t="s">
        <v>223</v>
      </c>
      <c r="F3388" s="112" t="s">
        <v>3792</v>
      </c>
      <c r="G3388" s="112" t="s">
        <v>1572</v>
      </c>
      <c r="H3388" s="112" t="s">
        <v>1227</v>
      </c>
      <c r="I3388" s="112"/>
      <c r="J3388" s="112" t="b">
        <v>0</v>
      </c>
      <c r="K3388" s="112"/>
      <c r="L3388" s="112"/>
      <c r="M3388" s="112"/>
      <c r="N3388" s="112"/>
      <c r="O3388" s="112"/>
      <c r="P3388" s="112" t="s">
        <v>3752</v>
      </c>
      <c r="Q3388" s="112" t="s">
        <v>1227</v>
      </c>
    </row>
    <row r="3389" spans="2:17" hidden="1" outlineLevel="2">
      <c r="B3389" s="2" t="s">
        <v>876</v>
      </c>
      <c r="D3389" s="268">
        <v>6052</v>
      </c>
      <c r="E3389" s="114" t="s">
        <v>223</v>
      </c>
      <c r="F3389" s="114" t="s">
        <v>3793</v>
      </c>
      <c r="G3389" s="114" t="s">
        <v>1572</v>
      </c>
      <c r="H3389" s="114" t="s">
        <v>1227</v>
      </c>
      <c r="I3389" s="114"/>
      <c r="J3389" s="114" t="b">
        <v>0</v>
      </c>
      <c r="K3389" s="114"/>
      <c r="L3389" s="114"/>
      <c r="M3389" s="114"/>
      <c r="N3389" s="114"/>
      <c r="O3389" s="114"/>
      <c r="P3389" s="114" t="s">
        <v>3752</v>
      </c>
      <c r="Q3389" s="114" t="s">
        <v>1227</v>
      </c>
    </row>
    <row r="3390" spans="2:17" hidden="1" outlineLevel="2">
      <c r="B3390" s="2" t="s">
        <v>876</v>
      </c>
      <c r="D3390" s="270">
        <v>6053</v>
      </c>
      <c r="E3390" s="112" t="s">
        <v>223</v>
      </c>
      <c r="F3390" s="112" t="s">
        <v>2322</v>
      </c>
      <c r="G3390" s="112" t="s">
        <v>1572</v>
      </c>
      <c r="H3390" s="112" t="s">
        <v>1227</v>
      </c>
      <c r="I3390" s="112"/>
      <c r="J3390" s="112" t="b">
        <v>0</v>
      </c>
      <c r="K3390" s="112"/>
      <c r="L3390" s="112"/>
      <c r="M3390" s="112"/>
      <c r="N3390" s="112"/>
      <c r="O3390" s="112"/>
      <c r="P3390" s="112" t="s">
        <v>3752</v>
      </c>
      <c r="Q3390" s="112" t="s">
        <v>1227</v>
      </c>
    </row>
    <row r="3391" spans="2:17" hidden="1" outlineLevel="2">
      <c r="B3391" s="2" t="s">
        <v>876</v>
      </c>
      <c r="D3391" s="268">
        <v>6054</v>
      </c>
      <c r="E3391" s="114" t="s">
        <v>223</v>
      </c>
      <c r="F3391" s="114" t="s">
        <v>1664</v>
      </c>
      <c r="G3391" s="114" t="s">
        <v>1572</v>
      </c>
      <c r="H3391" s="114" t="s">
        <v>1227</v>
      </c>
      <c r="I3391" s="114"/>
      <c r="J3391" s="114" t="b">
        <v>0</v>
      </c>
      <c r="K3391" s="114"/>
      <c r="L3391" s="114"/>
      <c r="M3391" s="114"/>
      <c r="N3391" s="114"/>
      <c r="O3391" s="114"/>
      <c r="P3391" s="114" t="s">
        <v>3752</v>
      </c>
      <c r="Q3391" s="114" t="s">
        <v>1227</v>
      </c>
    </row>
    <row r="3392" spans="2:17" hidden="1" outlineLevel="2">
      <c r="B3392" s="2" t="s">
        <v>876</v>
      </c>
      <c r="D3392" s="270">
        <v>6055</v>
      </c>
      <c r="E3392" s="112" t="s">
        <v>223</v>
      </c>
      <c r="F3392" s="112" t="s">
        <v>3794</v>
      </c>
      <c r="G3392" s="112" t="s">
        <v>1572</v>
      </c>
      <c r="H3392" s="112" t="s">
        <v>1227</v>
      </c>
      <c r="I3392" s="112"/>
      <c r="J3392" s="112" t="b">
        <v>0</v>
      </c>
      <c r="K3392" s="112"/>
      <c r="L3392" s="112"/>
      <c r="M3392" s="112"/>
      <c r="N3392" s="112"/>
      <c r="O3392" s="112"/>
      <c r="P3392" s="112" t="s">
        <v>3752</v>
      </c>
      <c r="Q3392" s="112" t="s">
        <v>1227</v>
      </c>
    </row>
    <row r="3393" spans="2:17" hidden="1" outlineLevel="2">
      <c r="B3393" s="2" t="s">
        <v>876</v>
      </c>
      <c r="D3393" s="268">
        <v>6056</v>
      </c>
      <c r="E3393" s="114" t="s">
        <v>223</v>
      </c>
      <c r="F3393" s="114" t="s">
        <v>3795</v>
      </c>
      <c r="G3393" s="114" t="s">
        <v>1572</v>
      </c>
      <c r="H3393" s="114" t="s">
        <v>1227</v>
      </c>
      <c r="I3393" s="114"/>
      <c r="J3393" s="114" t="b">
        <v>0</v>
      </c>
      <c r="K3393" s="114"/>
      <c r="L3393" s="114"/>
      <c r="M3393" s="114"/>
      <c r="N3393" s="114"/>
      <c r="O3393" s="114"/>
      <c r="P3393" s="114" t="s">
        <v>3752</v>
      </c>
      <c r="Q3393" s="114" t="s">
        <v>1227</v>
      </c>
    </row>
    <row r="3394" spans="2:17" hidden="1" outlineLevel="2">
      <c r="B3394" s="2" t="s">
        <v>876</v>
      </c>
      <c r="D3394" s="270">
        <v>6057</v>
      </c>
      <c r="E3394" s="112" t="s">
        <v>223</v>
      </c>
      <c r="F3394" s="112" t="s">
        <v>3796</v>
      </c>
      <c r="G3394" s="112" t="s">
        <v>1572</v>
      </c>
      <c r="H3394" s="112" t="s">
        <v>1227</v>
      </c>
      <c r="I3394" s="112"/>
      <c r="J3394" s="112" t="b">
        <v>0</v>
      </c>
      <c r="K3394" s="112"/>
      <c r="L3394" s="112"/>
      <c r="M3394" s="112"/>
      <c r="N3394" s="112"/>
      <c r="O3394" s="112"/>
      <c r="P3394" s="112" t="s">
        <v>3752</v>
      </c>
      <c r="Q3394" s="112" t="s">
        <v>1227</v>
      </c>
    </row>
    <row r="3395" spans="2:17" hidden="1" outlineLevel="2">
      <c r="B3395" s="2" t="s">
        <v>876</v>
      </c>
      <c r="D3395" s="268">
        <v>6058</v>
      </c>
      <c r="E3395" s="114" t="s">
        <v>223</v>
      </c>
      <c r="F3395" s="114" t="s">
        <v>3797</v>
      </c>
      <c r="G3395" s="114" t="s">
        <v>1572</v>
      </c>
      <c r="H3395" s="114" t="s">
        <v>1227</v>
      </c>
      <c r="I3395" s="114"/>
      <c r="J3395" s="114" t="b">
        <v>0</v>
      </c>
      <c r="K3395" s="114"/>
      <c r="L3395" s="114"/>
      <c r="M3395" s="114"/>
      <c r="N3395" s="114"/>
      <c r="O3395" s="114"/>
      <c r="P3395" s="114" t="s">
        <v>3752</v>
      </c>
      <c r="Q3395" s="114" t="s">
        <v>1227</v>
      </c>
    </row>
    <row r="3396" spans="2:17" hidden="1" outlineLevel="2">
      <c r="B3396" s="2" t="s">
        <v>876</v>
      </c>
      <c r="D3396" s="270">
        <v>6059</v>
      </c>
      <c r="E3396" s="112" t="s">
        <v>223</v>
      </c>
      <c r="F3396" s="112" t="s">
        <v>3798</v>
      </c>
      <c r="G3396" s="112" t="s">
        <v>1572</v>
      </c>
      <c r="H3396" s="112" t="s">
        <v>1227</v>
      </c>
      <c r="I3396" s="112"/>
      <c r="J3396" s="112" t="b">
        <v>0</v>
      </c>
      <c r="K3396" s="112"/>
      <c r="L3396" s="112"/>
      <c r="M3396" s="112"/>
      <c r="N3396" s="112"/>
      <c r="O3396" s="112"/>
      <c r="P3396" s="112" t="s">
        <v>3752</v>
      </c>
      <c r="Q3396" s="112" t="s">
        <v>1227</v>
      </c>
    </row>
    <row r="3397" spans="2:17" hidden="1" outlineLevel="2">
      <c r="B3397" s="2" t="s">
        <v>876</v>
      </c>
      <c r="D3397" s="268">
        <v>6060</v>
      </c>
      <c r="E3397" s="114" t="s">
        <v>223</v>
      </c>
      <c r="F3397" s="114" t="s">
        <v>3799</v>
      </c>
      <c r="G3397" s="114" t="s">
        <v>1572</v>
      </c>
      <c r="H3397" s="114" t="s">
        <v>1227</v>
      </c>
      <c r="I3397" s="114"/>
      <c r="J3397" s="114" t="b">
        <v>0</v>
      </c>
      <c r="K3397" s="114"/>
      <c r="L3397" s="114"/>
      <c r="M3397" s="114"/>
      <c r="N3397" s="114"/>
      <c r="O3397" s="114"/>
      <c r="P3397" s="114" t="s">
        <v>3752</v>
      </c>
      <c r="Q3397" s="114" t="s">
        <v>1227</v>
      </c>
    </row>
    <row r="3398" spans="2:17" hidden="1" outlineLevel="2">
      <c r="B3398" s="2" t="s">
        <v>876</v>
      </c>
      <c r="D3398" s="270">
        <v>6061</v>
      </c>
      <c r="E3398" s="112" t="s">
        <v>223</v>
      </c>
      <c r="F3398" s="112" t="s">
        <v>3800</v>
      </c>
      <c r="G3398" s="112" t="s">
        <v>1572</v>
      </c>
      <c r="H3398" s="112" t="s">
        <v>1227</v>
      </c>
      <c r="I3398" s="112"/>
      <c r="J3398" s="112" t="b">
        <v>0</v>
      </c>
      <c r="K3398" s="112"/>
      <c r="L3398" s="112"/>
      <c r="M3398" s="112"/>
      <c r="N3398" s="112"/>
      <c r="O3398" s="112"/>
      <c r="P3398" s="112" t="s">
        <v>3752</v>
      </c>
      <c r="Q3398" s="112" t="s">
        <v>1227</v>
      </c>
    </row>
    <row r="3399" spans="2:17" hidden="1" outlineLevel="2">
      <c r="B3399" s="2" t="s">
        <v>876</v>
      </c>
      <c r="D3399" s="268">
        <v>6062</v>
      </c>
      <c r="E3399" s="114" t="s">
        <v>223</v>
      </c>
      <c r="F3399" s="114" t="s">
        <v>3801</v>
      </c>
      <c r="G3399" s="114" t="s">
        <v>1572</v>
      </c>
      <c r="H3399" s="114" t="s">
        <v>1227</v>
      </c>
      <c r="I3399" s="114"/>
      <c r="J3399" s="114" t="b">
        <v>0</v>
      </c>
      <c r="K3399" s="114"/>
      <c r="L3399" s="114"/>
      <c r="M3399" s="114"/>
      <c r="N3399" s="114"/>
      <c r="O3399" s="114"/>
      <c r="P3399" s="114" t="s">
        <v>3752</v>
      </c>
      <c r="Q3399" s="114" t="s">
        <v>1227</v>
      </c>
    </row>
    <row r="3400" spans="2:17" hidden="1" outlineLevel="2">
      <c r="B3400" s="2" t="s">
        <v>876</v>
      </c>
      <c r="D3400" s="270">
        <v>6063</v>
      </c>
      <c r="E3400" s="112" t="s">
        <v>223</v>
      </c>
      <c r="F3400" s="112" t="s">
        <v>3802</v>
      </c>
      <c r="G3400" s="112" t="s">
        <v>1572</v>
      </c>
      <c r="H3400" s="112" t="s">
        <v>1227</v>
      </c>
      <c r="I3400" s="112"/>
      <c r="J3400" s="112" t="b">
        <v>0</v>
      </c>
      <c r="K3400" s="112"/>
      <c r="L3400" s="112"/>
      <c r="M3400" s="112"/>
      <c r="N3400" s="112"/>
      <c r="O3400" s="112"/>
      <c r="P3400" s="112" t="s">
        <v>3752</v>
      </c>
      <c r="Q3400" s="112" t="s">
        <v>1227</v>
      </c>
    </row>
    <row r="3401" spans="2:17" hidden="1" outlineLevel="2">
      <c r="B3401" s="2" t="s">
        <v>876</v>
      </c>
      <c r="D3401" s="268">
        <v>6064</v>
      </c>
      <c r="E3401" s="114" t="s">
        <v>223</v>
      </c>
      <c r="F3401" s="114" t="s">
        <v>3803</v>
      </c>
      <c r="G3401" s="114" t="s">
        <v>1572</v>
      </c>
      <c r="H3401" s="114" t="s">
        <v>1227</v>
      </c>
      <c r="I3401" s="114"/>
      <c r="J3401" s="114" t="b">
        <v>0</v>
      </c>
      <c r="K3401" s="114"/>
      <c r="L3401" s="114"/>
      <c r="M3401" s="114"/>
      <c r="N3401" s="114"/>
      <c r="O3401" s="114"/>
      <c r="P3401" s="114" t="s">
        <v>3752</v>
      </c>
      <c r="Q3401" s="114" t="s">
        <v>1227</v>
      </c>
    </row>
    <row r="3402" spans="2:17" hidden="1" outlineLevel="2">
      <c r="B3402" s="2" t="s">
        <v>876</v>
      </c>
      <c r="D3402" s="270">
        <v>6065</v>
      </c>
      <c r="E3402" s="112" t="s">
        <v>223</v>
      </c>
      <c r="F3402" s="112" t="s">
        <v>1896</v>
      </c>
      <c r="G3402" s="112" t="s">
        <v>1572</v>
      </c>
      <c r="H3402" s="112" t="s">
        <v>1227</v>
      </c>
      <c r="I3402" s="112"/>
      <c r="J3402" s="112" t="b">
        <v>0</v>
      </c>
      <c r="K3402" s="112"/>
      <c r="L3402" s="112"/>
      <c r="M3402" s="112"/>
      <c r="N3402" s="112"/>
      <c r="O3402" s="112"/>
      <c r="P3402" s="112" t="s">
        <v>3752</v>
      </c>
      <c r="Q3402" s="112" t="s">
        <v>1227</v>
      </c>
    </row>
    <row r="3403" spans="2:17" hidden="1" outlineLevel="2">
      <c r="B3403" s="2" t="s">
        <v>876</v>
      </c>
      <c r="D3403" s="268">
        <v>6066</v>
      </c>
      <c r="E3403" s="114" t="s">
        <v>223</v>
      </c>
      <c r="F3403" s="114" t="s">
        <v>3804</v>
      </c>
      <c r="G3403" s="114" t="s">
        <v>1572</v>
      </c>
      <c r="H3403" s="114" t="s">
        <v>1227</v>
      </c>
      <c r="I3403" s="114"/>
      <c r="J3403" s="114" t="b">
        <v>0</v>
      </c>
      <c r="K3403" s="114"/>
      <c r="L3403" s="114"/>
      <c r="M3403" s="114"/>
      <c r="N3403" s="114"/>
      <c r="O3403" s="114"/>
      <c r="P3403" s="114" t="s">
        <v>3752</v>
      </c>
      <c r="Q3403" s="114" t="s">
        <v>1227</v>
      </c>
    </row>
    <row r="3404" spans="2:17" hidden="1" outlineLevel="2">
      <c r="B3404" s="2" t="s">
        <v>876</v>
      </c>
      <c r="D3404" s="270">
        <v>6067</v>
      </c>
      <c r="E3404" s="112" t="s">
        <v>223</v>
      </c>
      <c r="F3404" s="112" t="s">
        <v>3805</v>
      </c>
      <c r="G3404" s="112" t="s">
        <v>1572</v>
      </c>
      <c r="H3404" s="112" t="s">
        <v>1227</v>
      </c>
      <c r="I3404" s="112"/>
      <c r="J3404" s="112" t="b">
        <v>0</v>
      </c>
      <c r="K3404" s="112"/>
      <c r="L3404" s="112"/>
      <c r="M3404" s="112"/>
      <c r="N3404" s="112"/>
      <c r="O3404" s="112"/>
      <c r="P3404" s="112" t="s">
        <v>3752</v>
      </c>
      <c r="Q3404" s="112" t="s">
        <v>1227</v>
      </c>
    </row>
    <row r="3405" spans="2:17" hidden="1" outlineLevel="2">
      <c r="B3405" s="2" t="s">
        <v>876</v>
      </c>
      <c r="D3405" s="268">
        <v>6068</v>
      </c>
      <c r="E3405" s="114" t="s">
        <v>223</v>
      </c>
      <c r="F3405" s="114" t="s">
        <v>3806</v>
      </c>
      <c r="G3405" s="114" t="s">
        <v>1572</v>
      </c>
      <c r="H3405" s="114" t="s">
        <v>1227</v>
      </c>
      <c r="I3405" s="114"/>
      <c r="J3405" s="114" t="b">
        <v>0</v>
      </c>
      <c r="K3405" s="114"/>
      <c r="L3405" s="114"/>
      <c r="M3405" s="114"/>
      <c r="N3405" s="114"/>
      <c r="O3405" s="114"/>
      <c r="P3405" s="114" t="s">
        <v>3752</v>
      </c>
      <c r="Q3405" s="114" t="s">
        <v>1227</v>
      </c>
    </row>
    <row r="3406" spans="2:17" hidden="1" outlineLevel="2">
      <c r="B3406" s="2" t="s">
        <v>876</v>
      </c>
      <c r="D3406" s="270">
        <v>6069</v>
      </c>
      <c r="E3406" s="112" t="s">
        <v>223</v>
      </c>
      <c r="F3406" s="112" t="s">
        <v>3807</v>
      </c>
      <c r="G3406" s="112" t="s">
        <v>1572</v>
      </c>
      <c r="H3406" s="112" t="s">
        <v>1227</v>
      </c>
      <c r="I3406" s="112"/>
      <c r="J3406" s="112" t="b">
        <v>0</v>
      </c>
      <c r="K3406" s="112"/>
      <c r="L3406" s="112"/>
      <c r="M3406" s="112"/>
      <c r="N3406" s="112"/>
      <c r="O3406" s="112"/>
      <c r="P3406" s="112" t="s">
        <v>3752</v>
      </c>
      <c r="Q3406" s="112" t="s">
        <v>1227</v>
      </c>
    </row>
    <row r="3407" spans="2:17" hidden="1" outlineLevel="2">
      <c r="B3407" s="2" t="s">
        <v>876</v>
      </c>
      <c r="D3407" s="268">
        <v>6070</v>
      </c>
      <c r="E3407" s="114" t="s">
        <v>223</v>
      </c>
      <c r="F3407" s="114" t="s">
        <v>2416</v>
      </c>
      <c r="G3407" s="114" t="s">
        <v>1572</v>
      </c>
      <c r="H3407" s="114" t="s">
        <v>1227</v>
      </c>
      <c r="I3407" s="114"/>
      <c r="J3407" s="114" t="b">
        <v>0</v>
      </c>
      <c r="K3407" s="114"/>
      <c r="L3407" s="114"/>
      <c r="M3407" s="114"/>
      <c r="N3407" s="114"/>
      <c r="O3407" s="114"/>
      <c r="P3407" s="114" t="s">
        <v>3752</v>
      </c>
      <c r="Q3407" s="114" t="s">
        <v>1227</v>
      </c>
    </row>
    <row r="3408" spans="2:17" hidden="1" outlineLevel="2">
      <c r="B3408" s="2" t="s">
        <v>876</v>
      </c>
      <c r="D3408" s="270">
        <v>6071</v>
      </c>
      <c r="E3408" s="112" t="s">
        <v>223</v>
      </c>
      <c r="F3408" s="112" t="s">
        <v>3808</v>
      </c>
      <c r="G3408" s="112" t="s">
        <v>1572</v>
      </c>
      <c r="H3408" s="112" t="s">
        <v>1227</v>
      </c>
      <c r="I3408" s="112"/>
      <c r="J3408" s="112" t="b">
        <v>0</v>
      </c>
      <c r="K3408" s="112"/>
      <c r="L3408" s="112"/>
      <c r="M3408" s="112"/>
      <c r="N3408" s="112"/>
      <c r="O3408" s="112"/>
      <c r="P3408" s="112" t="s">
        <v>3752</v>
      </c>
      <c r="Q3408" s="112" t="s">
        <v>1227</v>
      </c>
    </row>
    <row r="3409" spans="2:17" hidden="1" outlineLevel="2">
      <c r="B3409" s="2" t="s">
        <v>876</v>
      </c>
      <c r="D3409" s="268">
        <v>6072</v>
      </c>
      <c r="E3409" s="114" t="s">
        <v>223</v>
      </c>
      <c r="F3409" s="114" t="s">
        <v>3809</v>
      </c>
      <c r="G3409" s="114" t="s">
        <v>1572</v>
      </c>
      <c r="H3409" s="114" t="s">
        <v>1227</v>
      </c>
      <c r="I3409" s="114"/>
      <c r="J3409" s="114" t="b">
        <v>0</v>
      </c>
      <c r="K3409" s="114"/>
      <c r="L3409" s="114"/>
      <c r="M3409" s="114"/>
      <c r="N3409" s="114"/>
      <c r="O3409" s="114"/>
      <c r="P3409" s="114" t="s">
        <v>3752</v>
      </c>
      <c r="Q3409" s="114" t="s">
        <v>1227</v>
      </c>
    </row>
    <row r="3410" spans="2:17" hidden="1" outlineLevel="2">
      <c r="B3410" s="2" t="s">
        <v>876</v>
      </c>
      <c r="D3410" s="270">
        <v>6073</v>
      </c>
      <c r="E3410" s="112" t="s">
        <v>223</v>
      </c>
      <c r="F3410" s="112" t="s">
        <v>3810</v>
      </c>
      <c r="G3410" s="112" t="s">
        <v>1572</v>
      </c>
      <c r="H3410" s="112" t="s">
        <v>1227</v>
      </c>
      <c r="I3410" s="112"/>
      <c r="J3410" s="112" t="b">
        <v>0</v>
      </c>
      <c r="K3410" s="112"/>
      <c r="L3410" s="112"/>
      <c r="M3410" s="112"/>
      <c r="N3410" s="112"/>
      <c r="O3410" s="112"/>
      <c r="P3410" s="112" t="s">
        <v>3752</v>
      </c>
      <c r="Q3410" s="112" t="s">
        <v>1227</v>
      </c>
    </row>
    <row r="3411" spans="2:17" hidden="1" outlineLevel="2">
      <c r="B3411" s="2" t="s">
        <v>876</v>
      </c>
      <c r="D3411" s="268">
        <v>6074</v>
      </c>
      <c r="E3411" s="114" t="s">
        <v>223</v>
      </c>
      <c r="F3411" s="114" t="s">
        <v>3811</v>
      </c>
      <c r="G3411" s="114" t="s">
        <v>1572</v>
      </c>
      <c r="H3411" s="114" t="s">
        <v>1227</v>
      </c>
      <c r="I3411" s="114"/>
      <c r="J3411" s="114" t="b">
        <v>0</v>
      </c>
      <c r="K3411" s="114"/>
      <c r="L3411" s="114"/>
      <c r="M3411" s="114"/>
      <c r="N3411" s="114"/>
      <c r="O3411" s="114"/>
      <c r="P3411" s="114" t="s">
        <v>3752</v>
      </c>
      <c r="Q3411" s="114" t="s">
        <v>1227</v>
      </c>
    </row>
    <row r="3412" spans="2:17" hidden="1" outlineLevel="2">
      <c r="B3412" s="2" t="s">
        <v>876</v>
      </c>
      <c r="D3412" s="270">
        <v>6076</v>
      </c>
      <c r="E3412" s="112" t="s">
        <v>223</v>
      </c>
      <c r="F3412" s="112" t="s">
        <v>3812</v>
      </c>
      <c r="G3412" s="112" t="s">
        <v>1572</v>
      </c>
      <c r="H3412" s="112" t="s">
        <v>1227</v>
      </c>
      <c r="I3412" s="112"/>
      <c r="J3412" s="112" t="b">
        <v>0</v>
      </c>
      <c r="K3412" s="112"/>
      <c r="L3412" s="112"/>
      <c r="M3412" s="112"/>
      <c r="N3412" s="112"/>
      <c r="O3412" s="112"/>
      <c r="P3412" s="112" t="s">
        <v>3752</v>
      </c>
      <c r="Q3412" s="112" t="s">
        <v>1227</v>
      </c>
    </row>
    <row r="3413" spans="2:17" hidden="1" outlineLevel="2">
      <c r="B3413" s="2" t="s">
        <v>876</v>
      </c>
      <c r="D3413" s="268">
        <v>6077</v>
      </c>
      <c r="E3413" s="114" t="s">
        <v>223</v>
      </c>
      <c r="F3413" s="114" t="s">
        <v>3813</v>
      </c>
      <c r="G3413" s="114" t="s">
        <v>1572</v>
      </c>
      <c r="H3413" s="114" t="s">
        <v>1227</v>
      </c>
      <c r="I3413" s="114"/>
      <c r="J3413" s="114" t="b">
        <v>0</v>
      </c>
      <c r="K3413" s="114"/>
      <c r="L3413" s="114"/>
      <c r="M3413" s="114"/>
      <c r="N3413" s="114"/>
      <c r="O3413" s="114"/>
      <c r="P3413" s="114" t="s">
        <v>3752</v>
      </c>
      <c r="Q3413" s="114" t="s">
        <v>1228</v>
      </c>
    </row>
    <row r="3414" spans="2:17" hidden="1" outlineLevel="2">
      <c r="B3414" s="2" t="s">
        <v>876</v>
      </c>
      <c r="D3414" s="270">
        <v>6078</v>
      </c>
      <c r="E3414" s="112" t="s">
        <v>223</v>
      </c>
      <c r="F3414" s="112" t="s">
        <v>3814</v>
      </c>
      <c r="G3414" s="112" t="s">
        <v>1483</v>
      </c>
      <c r="H3414" s="112" t="s">
        <v>1494</v>
      </c>
      <c r="I3414" s="112"/>
      <c r="J3414" s="112" t="b">
        <v>0</v>
      </c>
      <c r="K3414" s="112"/>
      <c r="L3414" s="112" t="b">
        <v>1</v>
      </c>
      <c r="M3414" s="112"/>
      <c r="N3414" s="112"/>
      <c r="O3414" s="112"/>
      <c r="P3414" s="112" t="s">
        <v>3752</v>
      </c>
      <c r="Q3414" s="112" t="s">
        <v>1228</v>
      </c>
    </row>
    <row r="3415" spans="2:17" hidden="1" outlineLevel="2">
      <c r="B3415" s="2" t="s">
        <v>876</v>
      </c>
      <c r="D3415" s="268">
        <v>6079</v>
      </c>
      <c r="E3415" s="114" t="s">
        <v>223</v>
      </c>
      <c r="F3415" s="114" t="s">
        <v>3815</v>
      </c>
      <c r="G3415" s="114" t="s">
        <v>1572</v>
      </c>
      <c r="H3415" s="114" t="s">
        <v>1227</v>
      </c>
      <c r="I3415" s="114"/>
      <c r="J3415" s="114" t="b">
        <v>0</v>
      </c>
      <c r="K3415" s="114"/>
      <c r="L3415" s="114"/>
      <c r="M3415" s="114"/>
      <c r="N3415" s="114"/>
      <c r="O3415" s="114"/>
      <c r="P3415" s="114" t="s">
        <v>3752</v>
      </c>
      <c r="Q3415" s="114" t="s">
        <v>1228</v>
      </c>
    </row>
    <row r="3416" spans="2:17" hidden="1" outlineLevel="2">
      <c r="B3416" s="2" t="s">
        <v>876</v>
      </c>
      <c r="D3416" s="270">
        <v>6081</v>
      </c>
      <c r="E3416" s="112" t="s">
        <v>223</v>
      </c>
      <c r="F3416" s="112" t="s">
        <v>3816</v>
      </c>
      <c r="G3416" s="112" t="s">
        <v>1572</v>
      </c>
      <c r="H3416" s="112" t="s">
        <v>1227</v>
      </c>
      <c r="I3416" s="112"/>
      <c r="J3416" s="112" t="b">
        <v>0</v>
      </c>
      <c r="K3416" s="112"/>
      <c r="L3416" s="112"/>
      <c r="M3416" s="112"/>
      <c r="N3416" s="112"/>
      <c r="O3416" s="112"/>
      <c r="P3416" s="112" t="s">
        <v>3752</v>
      </c>
      <c r="Q3416" s="112" t="s">
        <v>1227</v>
      </c>
    </row>
    <row r="3417" spans="2:17" hidden="1" outlineLevel="2">
      <c r="B3417" s="2" t="s">
        <v>876</v>
      </c>
      <c r="D3417" s="268">
        <v>6082</v>
      </c>
      <c r="E3417" s="114" t="s">
        <v>223</v>
      </c>
      <c r="F3417" s="114" t="s">
        <v>3817</v>
      </c>
      <c r="G3417" s="269" t="s">
        <v>1572</v>
      </c>
      <c r="H3417" s="114" t="s">
        <v>1505</v>
      </c>
      <c r="I3417" s="114"/>
      <c r="J3417" s="114" t="b">
        <v>0</v>
      </c>
      <c r="K3417" s="114"/>
      <c r="L3417" s="114"/>
      <c r="M3417" s="114"/>
      <c r="N3417" s="114"/>
      <c r="O3417" s="114"/>
      <c r="P3417" s="114" t="s">
        <v>3752</v>
      </c>
      <c r="Q3417" s="114" t="s">
        <v>1227</v>
      </c>
    </row>
    <row r="3418" spans="2:17" hidden="1" outlineLevel="2">
      <c r="B3418" s="2" t="s">
        <v>876</v>
      </c>
      <c r="D3418" s="270">
        <v>6083</v>
      </c>
      <c r="E3418" s="112" t="s">
        <v>223</v>
      </c>
      <c r="F3418" s="112" t="s">
        <v>3818</v>
      </c>
      <c r="G3418" s="269" t="s">
        <v>1572</v>
      </c>
      <c r="H3418" s="112" t="s">
        <v>1505</v>
      </c>
      <c r="I3418" s="112"/>
      <c r="J3418" s="112" t="b">
        <v>0</v>
      </c>
      <c r="K3418" s="112"/>
      <c r="L3418" s="112"/>
      <c r="M3418" s="112"/>
      <c r="N3418" s="112"/>
      <c r="O3418" s="112"/>
      <c r="P3418" s="112" t="s">
        <v>3752</v>
      </c>
      <c r="Q3418" s="112" t="s">
        <v>1228</v>
      </c>
    </row>
    <row r="3419" spans="2:17" hidden="1" outlineLevel="2">
      <c r="B3419" s="2" t="s">
        <v>876</v>
      </c>
      <c r="D3419" s="268">
        <v>6084</v>
      </c>
      <c r="E3419" s="114" t="s">
        <v>223</v>
      </c>
      <c r="F3419" s="114" t="s">
        <v>3819</v>
      </c>
      <c r="G3419" s="269" t="s">
        <v>1572</v>
      </c>
      <c r="H3419" s="114" t="s">
        <v>1505</v>
      </c>
      <c r="I3419" s="114"/>
      <c r="J3419" s="114" t="b">
        <v>0</v>
      </c>
      <c r="K3419" s="114"/>
      <c r="L3419" s="114"/>
      <c r="M3419" s="114"/>
      <c r="N3419" s="114"/>
      <c r="O3419" s="114"/>
      <c r="P3419" s="114" t="s">
        <v>3752</v>
      </c>
      <c r="Q3419" s="114" t="s">
        <v>1228</v>
      </c>
    </row>
    <row r="3420" spans="2:17" hidden="1" outlineLevel="2">
      <c r="B3420" s="2" t="s">
        <v>876</v>
      </c>
      <c r="D3420" s="270">
        <v>6090</v>
      </c>
      <c r="E3420" s="112" t="s">
        <v>223</v>
      </c>
      <c r="F3420" s="112" t="s">
        <v>3820</v>
      </c>
      <c r="G3420" s="112" t="s">
        <v>1572</v>
      </c>
      <c r="H3420" s="112" t="s">
        <v>1227</v>
      </c>
      <c r="I3420" s="112"/>
      <c r="J3420" s="112" t="b">
        <v>0</v>
      </c>
      <c r="K3420" s="112"/>
      <c r="L3420" s="112"/>
      <c r="M3420" s="112"/>
      <c r="N3420" s="112"/>
      <c r="O3420" s="112"/>
      <c r="P3420" s="112" t="s">
        <v>3752</v>
      </c>
      <c r="Q3420" s="112" t="s">
        <v>1227</v>
      </c>
    </row>
    <row r="3421" spans="2:17" hidden="1" outlineLevel="2">
      <c r="B3421" s="2" t="s">
        <v>876</v>
      </c>
      <c r="D3421" s="268">
        <v>6100</v>
      </c>
      <c r="E3421" s="114" t="s">
        <v>223</v>
      </c>
      <c r="F3421" s="114" t="s">
        <v>3821</v>
      </c>
      <c r="G3421" s="114" t="s">
        <v>1572</v>
      </c>
      <c r="H3421" s="114" t="s">
        <v>1227</v>
      </c>
      <c r="I3421" s="114"/>
      <c r="J3421" s="114" t="b">
        <v>0</v>
      </c>
      <c r="K3421" s="114"/>
      <c r="L3421" s="114"/>
      <c r="M3421" s="114"/>
      <c r="N3421" s="114"/>
      <c r="O3421" s="114"/>
      <c r="P3421" s="114" t="s">
        <v>3752</v>
      </c>
      <c r="Q3421" s="114" t="s">
        <v>1227</v>
      </c>
    </row>
    <row r="3422" spans="2:17" hidden="1" outlineLevel="2">
      <c r="B3422" s="2" t="s">
        <v>876</v>
      </c>
      <c r="D3422" s="270">
        <v>6101</v>
      </c>
      <c r="E3422" s="112" t="s">
        <v>223</v>
      </c>
      <c r="F3422" s="112" t="s">
        <v>3822</v>
      </c>
      <c r="G3422" s="112" t="s">
        <v>1572</v>
      </c>
      <c r="H3422" s="112" t="s">
        <v>1227</v>
      </c>
      <c r="I3422" s="112"/>
      <c r="J3422" s="112" t="b">
        <v>0</v>
      </c>
      <c r="K3422" s="112"/>
      <c r="L3422" s="112"/>
      <c r="M3422" s="112"/>
      <c r="N3422" s="112"/>
      <c r="O3422" s="112"/>
      <c r="P3422" s="112" t="s">
        <v>3752</v>
      </c>
      <c r="Q3422" s="112" t="s">
        <v>1227</v>
      </c>
    </row>
    <row r="3423" spans="2:17" hidden="1" outlineLevel="2">
      <c r="B3423" s="2" t="s">
        <v>876</v>
      </c>
      <c r="D3423" s="268">
        <v>6102</v>
      </c>
      <c r="E3423" s="114" t="s">
        <v>223</v>
      </c>
      <c r="F3423" s="114" t="s">
        <v>1911</v>
      </c>
      <c r="G3423" s="114" t="s">
        <v>1572</v>
      </c>
      <c r="H3423" s="114" t="s">
        <v>1227</v>
      </c>
      <c r="I3423" s="114"/>
      <c r="J3423" s="114" t="b">
        <v>0</v>
      </c>
      <c r="K3423" s="114"/>
      <c r="L3423" s="114"/>
      <c r="M3423" s="114"/>
      <c r="N3423" s="114"/>
      <c r="O3423" s="114"/>
      <c r="P3423" s="114" t="s">
        <v>3752</v>
      </c>
      <c r="Q3423" s="114" t="s">
        <v>1227</v>
      </c>
    </row>
    <row r="3424" spans="2:17" hidden="1" outlineLevel="2">
      <c r="B3424" s="2" t="s">
        <v>876</v>
      </c>
      <c r="D3424" s="270">
        <v>6103</v>
      </c>
      <c r="E3424" s="112" t="s">
        <v>223</v>
      </c>
      <c r="F3424" s="112" t="s">
        <v>3823</v>
      </c>
      <c r="G3424" s="112" t="s">
        <v>1572</v>
      </c>
      <c r="H3424" s="112" t="s">
        <v>1227</v>
      </c>
      <c r="I3424" s="112"/>
      <c r="J3424" s="112" t="b">
        <v>0</v>
      </c>
      <c r="K3424" s="112"/>
      <c r="L3424" s="112"/>
      <c r="M3424" s="112"/>
      <c r="N3424" s="112"/>
      <c r="O3424" s="112"/>
      <c r="P3424" s="112" t="s">
        <v>3752</v>
      </c>
      <c r="Q3424" s="112" t="s">
        <v>1227</v>
      </c>
    </row>
    <row r="3425" spans="2:17" hidden="1" outlineLevel="2">
      <c r="B3425" s="2" t="s">
        <v>876</v>
      </c>
      <c r="D3425" s="268">
        <v>6104</v>
      </c>
      <c r="E3425" s="114" t="s">
        <v>223</v>
      </c>
      <c r="F3425" s="114" t="s">
        <v>2884</v>
      </c>
      <c r="G3425" s="114" t="s">
        <v>1572</v>
      </c>
      <c r="H3425" s="114" t="s">
        <v>1227</v>
      </c>
      <c r="I3425" s="114"/>
      <c r="J3425" s="114" t="b">
        <v>0</v>
      </c>
      <c r="K3425" s="114"/>
      <c r="L3425" s="114"/>
      <c r="M3425" s="114" t="s">
        <v>829</v>
      </c>
      <c r="N3425" s="114"/>
      <c r="O3425" s="114"/>
      <c r="P3425" s="114" t="s">
        <v>3752</v>
      </c>
      <c r="Q3425" s="114" t="s">
        <v>1227</v>
      </c>
    </row>
    <row r="3426" spans="2:17" hidden="1" outlineLevel="2">
      <c r="B3426" s="2" t="s">
        <v>876</v>
      </c>
      <c r="D3426" s="270">
        <v>6105</v>
      </c>
      <c r="E3426" s="112" t="s">
        <v>223</v>
      </c>
      <c r="F3426" s="112" t="s">
        <v>3824</v>
      </c>
      <c r="G3426" s="112" t="s">
        <v>1572</v>
      </c>
      <c r="H3426" s="112" t="s">
        <v>1227</v>
      </c>
      <c r="I3426" s="112"/>
      <c r="J3426" s="112" t="b">
        <v>0</v>
      </c>
      <c r="K3426" s="112"/>
      <c r="L3426" s="112"/>
      <c r="M3426" s="112"/>
      <c r="N3426" s="112"/>
      <c r="O3426" s="112"/>
      <c r="P3426" s="112" t="s">
        <v>3752</v>
      </c>
      <c r="Q3426" s="112" t="s">
        <v>1227</v>
      </c>
    </row>
    <row r="3427" spans="2:17" hidden="1" outlineLevel="2">
      <c r="B3427" s="2" t="s">
        <v>876</v>
      </c>
      <c r="D3427" s="268">
        <v>6106</v>
      </c>
      <c r="E3427" s="114" t="s">
        <v>223</v>
      </c>
      <c r="F3427" s="114" t="s">
        <v>3825</v>
      </c>
      <c r="G3427" s="114" t="s">
        <v>1572</v>
      </c>
      <c r="H3427" s="114" t="s">
        <v>1227</v>
      </c>
      <c r="I3427" s="114"/>
      <c r="J3427" s="114" t="b">
        <v>0</v>
      </c>
      <c r="K3427" s="114"/>
      <c r="L3427" s="114"/>
      <c r="M3427" s="114"/>
      <c r="N3427" s="114"/>
      <c r="O3427" s="114"/>
      <c r="P3427" s="114" t="s">
        <v>3752</v>
      </c>
      <c r="Q3427" s="114" t="s">
        <v>1227</v>
      </c>
    </row>
    <row r="3428" spans="2:17" hidden="1" outlineLevel="2">
      <c r="B3428" s="2" t="s">
        <v>876</v>
      </c>
      <c r="D3428" s="270">
        <v>6107</v>
      </c>
      <c r="E3428" s="112" t="s">
        <v>223</v>
      </c>
      <c r="F3428" s="112" t="s">
        <v>3826</v>
      </c>
      <c r="G3428" s="112" t="s">
        <v>1572</v>
      </c>
      <c r="H3428" s="112" t="s">
        <v>1227</v>
      </c>
      <c r="I3428" s="112"/>
      <c r="J3428" s="112" t="b">
        <v>0</v>
      </c>
      <c r="K3428" s="112"/>
      <c r="L3428" s="112"/>
      <c r="M3428" s="112"/>
      <c r="N3428" s="112"/>
      <c r="O3428" s="112"/>
      <c r="P3428" s="112" t="s">
        <v>3752</v>
      </c>
      <c r="Q3428" s="112" t="s">
        <v>1227</v>
      </c>
    </row>
    <row r="3429" spans="2:17" hidden="1" outlineLevel="2">
      <c r="B3429" s="2" t="s">
        <v>876</v>
      </c>
      <c r="D3429" s="268">
        <v>6108</v>
      </c>
      <c r="E3429" s="114" t="s">
        <v>223</v>
      </c>
      <c r="F3429" s="114" t="s">
        <v>3827</v>
      </c>
      <c r="G3429" s="114" t="s">
        <v>1572</v>
      </c>
      <c r="H3429" s="114" t="s">
        <v>1227</v>
      </c>
      <c r="I3429" s="114"/>
      <c r="J3429" s="114" t="b">
        <v>0</v>
      </c>
      <c r="K3429" s="114"/>
      <c r="L3429" s="114"/>
      <c r="M3429" s="114"/>
      <c r="N3429" s="114"/>
      <c r="O3429" s="114"/>
      <c r="P3429" s="114" t="s">
        <v>3752</v>
      </c>
      <c r="Q3429" s="114" t="s">
        <v>1227</v>
      </c>
    </row>
    <row r="3430" spans="2:17" hidden="1" outlineLevel="2">
      <c r="B3430" s="2" t="s">
        <v>876</v>
      </c>
      <c r="D3430" s="270">
        <v>6109</v>
      </c>
      <c r="E3430" s="112" t="s">
        <v>223</v>
      </c>
      <c r="F3430" s="112" t="s">
        <v>3828</v>
      </c>
      <c r="G3430" s="112" t="s">
        <v>1572</v>
      </c>
      <c r="H3430" s="112" t="s">
        <v>1227</v>
      </c>
      <c r="I3430" s="112"/>
      <c r="J3430" s="112" t="b">
        <v>0</v>
      </c>
      <c r="K3430" s="112"/>
      <c r="L3430" s="112"/>
      <c r="M3430" s="112"/>
      <c r="N3430" s="112"/>
      <c r="O3430" s="112"/>
      <c r="P3430" s="112" t="s">
        <v>3752</v>
      </c>
      <c r="Q3430" s="112" t="s">
        <v>1227</v>
      </c>
    </row>
    <row r="3431" spans="2:17" hidden="1" outlineLevel="2">
      <c r="B3431" s="2" t="s">
        <v>876</v>
      </c>
      <c r="D3431" s="268">
        <v>6110</v>
      </c>
      <c r="E3431" s="114" t="s">
        <v>223</v>
      </c>
      <c r="F3431" s="114" t="s">
        <v>3829</v>
      </c>
      <c r="G3431" s="114" t="s">
        <v>1572</v>
      </c>
      <c r="H3431" s="114" t="s">
        <v>1227</v>
      </c>
      <c r="I3431" s="114"/>
      <c r="J3431" s="114" t="b">
        <v>0</v>
      </c>
      <c r="K3431" s="114"/>
      <c r="L3431" s="114"/>
      <c r="M3431" s="114"/>
      <c r="N3431" s="114"/>
      <c r="O3431" s="114"/>
      <c r="P3431" s="114" t="s">
        <v>3752</v>
      </c>
      <c r="Q3431" s="114" t="s">
        <v>1227</v>
      </c>
    </row>
    <row r="3432" spans="2:17" hidden="1" outlineLevel="2">
      <c r="B3432" s="2" t="s">
        <v>876</v>
      </c>
      <c r="D3432" s="270">
        <v>6111</v>
      </c>
      <c r="E3432" s="112" t="s">
        <v>223</v>
      </c>
      <c r="F3432" s="112" t="s">
        <v>3830</v>
      </c>
      <c r="G3432" s="269" t="s">
        <v>1572</v>
      </c>
      <c r="H3432" s="112" t="s">
        <v>1494</v>
      </c>
      <c r="I3432" s="112"/>
      <c r="J3432" s="112" t="b">
        <v>0</v>
      </c>
      <c r="K3432" s="112"/>
      <c r="L3432" s="112"/>
      <c r="M3432" s="112"/>
      <c r="N3432" s="112"/>
      <c r="O3432" s="112"/>
      <c r="P3432" s="112" t="s">
        <v>3752</v>
      </c>
      <c r="Q3432" s="112" t="s">
        <v>1227</v>
      </c>
    </row>
    <row r="3433" spans="2:17" hidden="1" outlineLevel="2">
      <c r="B3433" s="2" t="s">
        <v>876</v>
      </c>
      <c r="D3433" s="268">
        <v>6112</v>
      </c>
      <c r="E3433" s="114" t="s">
        <v>223</v>
      </c>
      <c r="F3433" s="114" t="s">
        <v>2312</v>
      </c>
      <c r="G3433" s="114" t="s">
        <v>1572</v>
      </c>
      <c r="H3433" s="114" t="s">
        <v>1227</v>
      </c>
      <c r="I3433" s="114"/>
      <c r="J3433" s="114" t="b">
        <v>0</v>
      </c>
      <c r="K3433" s="114"/>
      <c r="L3433" s="114"/>
      <c r="M3433" s="114"/>
      <c r="N3433" s="114"/>
      <c r="O3433" s="114"/>
      <c r="P3433" s="114" t="s">
        <v>3752</v>
      </c>
      <c r="Q3433" s="114" t="s">
        <v>1227</v>
      </c>
    </row>
    <row r="3434" spans="2:17" hidden="1" outlineLevel="2">
      <c r="B3434" s="2" t="s">
        <v>876</v>
      </c>
      <c r="D3434" s="270">
        <v>6121</v>
      </c>
      <c r="E3434" s="112" t="s">
        <v>223</v>
      </c>
      <c r="F3434" s="112" t="s">
        <v>3831</v>
      </c>
      <c r="G3434" s="112" t="s">
        <v>1572</v>
      </c>
      <c r="H3434" s="112" t="s">
        <v>1227</v>
      </c>
      <c r="I3434" s="112"/>
      <c r="J3434" s="112" t="b">
        <v>0</v>
      </c>
      <c r="K3434" s="112"/>
      <c r="L3434" s="112"/>
      <c r="M3434" s="112"/>
      <c r="N3434" s="112"/>
      <c r="O3434" s="112"/>
      <c r="P3434" s="112" t="s">
        <v>3752</v>
      </c>
      <c r="Q3434" s="112" t="s">
        <v>1227</v>
      </c>
    </row>
    <row r="3435" spans="2:17" hidden="1" outlineLevel="2">
      <c r="B3435" s="2" t="s">
        <v>876</v>
      </c>
      <c r="D3435" s="268">
        <v>6122</v>
      </c>
      <c r="E3435" s="114" t="s">
        <v>223</v>
      </c>
      <c r="F3435" s="114" t="s">
        <v>3832</v>
      </c>
      <c r="G3435" s="114" t="s">
        <v>1483</v>
      </c>
      <c r="H3435" s="114" t="s">
        <v>1494</v>
      </c>
      <c r="I3435" s="114"/>
      <c r="J3435" s="114" t="b">
        <v>0</v>
      </c>
      <c r="K3435" s="114"/>
      <c r="L3435" s="114"/>
      <c r="M3435" s="114"/>
      <c r="N3435" s="114"/>
      <c r="O3435" s="114"/>
      <c r="P3435" s="114" t="s">
        <v>3752</v>
      </c>
      <c r="Q3435" s="114" t="s">
        <v>1227</v>
      </c>
    </row>
    <row r="3436" spans="2:17" hidden="1" outlineLevel="2">
      <c r="B3436" s="2" t="s">
        <v>876</v>
      </c>
      <c r="D3436" s="270">
        <v>6123</v>
      </c>
      <c r="E3436" s="112" t="s">
        <v>223</v>
      </c>
      <c r="F3436" s="112" t="s">
        <v>3833</v>
      </c>
      <c r="G3436" s="112" t="s">
        <v>1483</v>
      </c>
      <c r="H3436" s="112" t="s">
        <v>1494</v>
      </c>
      <c r="I3436" s="112"/>
      <c r="J3436" s="112" t="b">
        <v>0</v>
      </c>
      <c r="K3436" s="112"/>
      <c r="L3436" s="112"/>
      <c r="M3436" s="112"/>
      <c r="N3436" s="112"/>
      <c r="O3436" s="112"/>
      <c r="P3436" s="112" t="s">
        <v>3752</v>
      </c>
      <c r="Q3436" s="112" t="s">
        <v>1227</v>
      </c>
    </row>
    <row r="3437" spans="2:17" hidden="1" outlineLevel="2">
      <c r="B3437" s="2" t="s">
        <v>876</v>
      </c>
      <c r="D3437" s="268">
        <v>6124</v>
      </c>
      <c r="E3437" s="114" t="s">
        <v>223</v>
      </c>
      <c r="F3437" s="114" t="s">
        <v>3834</v>
      </c>
      <c r="G3437" s="114" t="s">
        <v>1483</v>
      </c>
      <c r="H3437" s="114" t="s">
        <v>1494</v>
      </c>
      <c r="I3437" s="114"/>
      <c r="J3437" s="114" t="b">
        <v>0</v>
      </c>
      <c r="K3437" s="114"/>
      <c r="L3437" s="114"/>
      <c r="M3437" s="114"/>
      <c r="N3437" s="114"/>
      <c r="O3437" s="114"/>
      <c r="P3437" s="114" t="s">
        <v>3752</v>
      </c>
      <c r="Q3437" s="114" t="s">
        <v>1227</v>
      </c>
    </row>
    <row r="3438" spans="2:17" hidden="1" outlineLevel="2">
      <c r="B3438" s="2" t="s">
        <v>876</v>
      </c>
      <c r="D3438" s="270">
        <v>6125</v>
      </c>
      <c r="E3438" s="112" t="s">
        <v>223</v>
      </c>
      <c r="F3438" s="112" t="s">
        <v>3835</v>
      </c>
      <c r="G3438" s="112" t="s">
        <v>1483</v>
      </c>
      <c r="H3438" s="112" t="s">
        <v>1494</v>
      </c>
      <c r="I3438" s="112"/>
      <c r="J3438" s="112" t="b">
        <v>0</v>
      </c>
      <c r="K3438" s="112"/>
      <c r="L3438" s="112"/>
      <c r="M3438" s="112"/>
      <c r="N3438" s="112"/>
      <c r="O3438" s="112"/>
      <c r="P3438" s="112" t="s">
        <v>3752</v>
      </c>
      <c r="Q3438" s="112" t="s">
        <v>1227</v>
      </c>
    </row>
    <row r="3439" spans="2:17" hidden="1" outlineLevel="2">
      <c r="B3439" s="2" t="s">
        <v>876</v>
      </c>
      <c r="D3439" s="268">
        <v>6126</v>
      </c>
      <c r="E3439" s="114" t="s">
        <v>223</v>
      </c>
      <c r="F3439" s="114" t="s">
        <v>3836</v>
      </c>
      <c r="G3439" s="114" t="s">
        <v>1493</v>
      </c>
      <c r="H3439" s="114" t="s">
        <v>1494</v>
      </c>
      <c r="I3439" s="114"/>
      <c r="J3439" s="114" t="b">
        <v>0</v>
      </c>
      <c r="K3439" s="114"/>
      <c r="L3439" s="114"/>
      <c r="M3439" s="114"/>
      <c r="N3439" s="114"/>
      <c r="O3439" s="114"/>
      <c r="P3439" s="114" t="s">
        <v>3752</v>
      </c>
      <c r="Q3439" s="114" t="s">
        <v>1227</v>
      </c>
    </row>
    <row r="3440" spans="2:17" hidden="1" outlineLevel="2">
      <c r="B3440" s="2" t="s">
        <v>876</v>
      </c>
      <c r="D3440" s="270">
        <v>6147</v>
      </c>
      <c r="E3440" s="112" t="s">
        <v>223</v>
      </c>
      <c r="F3440" s="112" t="s">
        <v>3837</v>
      </c>
      <c r="G3440" s="112" t="s">
        <v>1572</v>
      </c>
      <c r="H3440" s="112" t="s">
        <v>1227</v>
      </c>
      <c r="I3440" s="112"/>
      <c r="J3440" s="112" t="b">
        <v>0</v>
      </c>
      <c r="K3440" s="112"/>
      <c r="L3440" s="112"/>
      <c r="M3440" s="112"/>
      <c r="N3440" s="112"/>
      <c r="O3440" s="112"/>
      <c r="P3440" s="112" t="s">
        <v>3752</v>
      </c>
      <c r="Q3440" s="112" t="s">
        <v>1227</v>
      </c>
    </row>
    <row r="3441" spans="2:17" hidden="1" outlineLevel="2">
      <c r="B3441" s="2" t="s">
        <v>876</v>
      </c>
      <c r="D3441" s="268">
        <v>6148</v>
      </c>
      <c r="E3441" s="114" t="s">
        <v>223</v>
      </c>
      <c r="F3441" s="114" t="s">
        <v>3838</v>
      </c>
      <c r="G3441" s="114" t="s">
        <v>1572</v>
      </c>
      <c r="H3441" s="114" t="s">
        <v>1227</v>
      </c>
      <c r="I3441" s="114"/>
      <c r="J3441" s="114" t="b">
        <v>0</v>
      </c>
      <c r="K3441" s="114"/>
      <c r="L3441" s="114"/>
      <c r="M3441" s="114"/>
      <c r="N3441" s="114"/>
      <c r="O3441" s="114"/>
      <c r="P3441" s="114" t="s">
        <v>3752</v>
      </c>
      <c r="Q3441" s="114" t="s">
        <v>1227</v>
      </c>
    </row>
    <row r="3442" spans="2:17" hidden="1" outlineLevel="2">
      <c r="B3442" s="2" t="s">
        <v>876</v>
      </c>
      <c r="D3442" s="270">
        <v>6149</v>
      </c>
      <c r="E3442" s="112" t="s">
        <v>223</v>
      </c>
      <c r="F3442" s="112" t="s">
        <v>3839</v>
      </c>
      <c r="G3442" s="112" t="s">
        <v>1572</v>
      </c>
      <c r="H3442" s="112" t="s">
        <v>1227</v>
      </c>
      <c r="I3442" s="112"/>
      <c r="J3442" s="112" t="b">
        <v>0</v>
      </c>
      <c r="K3442" s="112"/>
      <c r="L3442" s="112"/>
      <c r="M3442" s="112"/>
      <c r="N3442" s="112"/>
      <c r="O3442" s="112"/>
      <c r="P3442" s="112" t="s">
        <v>3752</v>
      </c>
      <c r="Q3442" s="112" t="s">
        <v>1227</v>
      </c>
    </row>
    <row r="3443" spans="2:17" hidden="1" outlineLevel="2">
      <c r="B3443" s="2" t="s">
        <v>876</v>
      </c>
      <c r="D3443" s="268">
        <v>6150</v>
      </c>
      <c r="E3443" s="114" t="s">
        <v>223</v>
      </c>
      <c r="F3443" s="114" t="s">
        <v>3840</v>
      </c>
      <c r="G3443" s="114" t="s">
        <v>1572</v>
      </c>
      <c r="H3443" s="114" t="s">
        <v>1227</v>
      </c>
      <c r="I3443" s="114"/>
      <c r="J3443" s="114" t="b">
        <v>0</v>
      </c>
      <c r="K3443" s="114"/>
      <c r="L3443" s="114"/>
      <c r="M3443" s="114"/>
      <c r="N3443" s="114"/>
      <c r="O3443" s="114"/>
      <c r="P3443" s="114" t="s">
        <v>3752</v>
      </c>
      <c r="Q3443" s="114" t="s">
        <v>1227</v>
      </c>
    </row>
    <row r="3444" spans="2:17" hidden="1" outlineLevel="2">
      <c r="B3444" s="2" t="s">
        <v>876</v>
      </c>
      <c r="D3444" s="270">
        <v>6151</v>
      </c>
      <c r="E3444" s="112" t="s">
        <v>223</v>
      </c>
      <c r="F3444" s="112" t="s">
        <v>1583</v>
      </c>
      <c r="G3444" s="112" t="s">
        <v>1483</v>
      </c>
      <c r="H3444" s="112" t="s">
        <v>1227</v>
      </c>
      <c r="I3444" s="112"/>
      <c r="J3444" s="112" t="b">
        <v>0</v>
      </c>
      <c r="K3444" s="112"/>
      <c r="L3444" s="112"/>
      <c r="M3444" s="112" t="s">
        <v>829</v>
      </c>
      <c r="N3444" s="112"/>
      <c r="O3444" s="112"/>
      <c r="P3444" s="112" t="s">
        <v>3752</v>
      </c>
      <c r="Q3444" s="112" t="s">
        <v>1227</v>
      </c>
    </row>
    <row r="3445" spans="2:17" hidden="1" outlineLevel="2">
      <c r="B3445" s="2" t="s">
        <v>876</v>
      </c>
      <c r="D3445" s="268">
        <v>6152</v>
      </c>
      <c r="E3445" s="114" t="s">
        <v>223</v>
      </c>
      <c r="F3445" s="114" t="s">
        <v>3157</v>
      </c>
      <c r="G3445" s="114" t="s">
        <v>1572</v>
      </c>
      <c r="H3445" s="114" t="s">
        <v>1227</v>
      </c>
      <c r="I3445" s="114"/>
      <c r="J3445" s="114" t="b">
        <v>0</v>
      </c>
      <c r="K3445" s="114"/>
      <c r="L3445" s="114"/>
      <c r="M3445" s="114"/>
      <c r="N3445" s="114"/>
      <c r="O3445" s="114"/>
      <c r="P3445" s="114" t="s">
        <v>3752</v>
      </c>
      <c r="Q3445" s="114" t="s">
        <v>1227</v>
      </c>
    </row>
    <row r="3446" spans="2:17" hidden="1" outlineLevel="2">
      <c r="B3446" s="2" t="s">
        <v>876</v>
      </c>
      <c r="D3446" s="270">
        <v>6153</v>
      </c>
      <c r="E3446" s="112" t="s">
        <v>223</v>
      </c>
      <c r="F3446" s="112" t="s">
        <v>3841</v>
      </c>
      <c r="G3446" s="112" t="s">
        <v>1572</v>
      </c>
      <c r="H3446" s="112" t="s">
        <v>1227</v>
      </c>
      <c r="I3446" s="112"/>
      <c r="J3446" s="112" t="b">
        <v>0</v>
      </c>
      <c r="K3446" s="112"/>
      <c r="L3446" s="112"/>
      <c r="M3446" s="112"/>
      <c r="N3446" s="112"/>
      <c r="O3446" s="112"/>
      <c r="P3446" s="112" t="s">
        <v>3752</v>
      </c>
      <c r="Q3446" s="112" t="s">
        <v>1227</v>
      </c>
    </row>
    <row r="3447" spans="2:17" hidden="1" outlineLevel="2">
      <c r="B3447" s="2" t="s">
        <v>876</v>
      </c>
      <c r="D3447" s="268">
        <v>6154</v>
      </c>
      <c r="E3447" s="114" t="s">
        <v>223</v>
      </c>
      <c r="F3447" s="114" t="s">
        <v>3842</v>
      </c>
      <c r="G3447" s="114" t="s">
        <v>1572</v>
      </c>
      <c r="H3447" s="114" t="s">
        <v>1227</v>
      </c>
      <c r="I3447" s="114"/>
      <c r="J3447" s="114" t="b">
        <v>0</v>
      </c>
      <c r="K3447" s="114"/>
      <c r="L3447" s="114"/>
      <c r="M3447" s="114"/>
      <c r="N3447" s="114"/>
      <c r="O3447" s="114"/>
      <c r="P3447" s="114" t="s">
        <v>3752</v>
      </c>
      <c r="Q3447" s="114" t="s">
        <v>1227</v>
      </c>
    </row>
    <row r="3448" spans="2:17" hidden="1" outlineLevel="2">
      <c r="B3448" s="2" t="s">
        <v>876</v>
      </c>
      <c r="D3448" s="270">
        <v>6155</v>
      </c>
      <c r="E3448" s="112" t="s">
        <v>223</v>
      </c>
      <c r="F3448" s="112" t="s">
        <v>3843</v>
      </c>
      <c r="G3448" s="112" t="s">
        <v>1572</v>
      </c>
      <c r="H3448" s="112" t="s">
        <v>1227</v>
      </c>
      <c r="I3448" s="112"/>
      <c r="J3448" s="112" t="b">
        <v>0</v>
      </c>
      <c r="K3448" s="112"/>
      <c r="L3448" s="112"/>
      <c r="M3448" s="112"/>
      <c r="N3448" s="112"/>
      <c r="O3448" s="112"/>
      <c r="P3448" s="112" t="s">
        <v>3752</v>
      </c>
      <c r="Q3448" s="112" t="s">
        <v>1227</v>
      </c>
    </row>
    <row r="3449" spans="2:17" hidden="1" outlineLevel="2">
      <c r="B3449" s="2" t="s">
        <v>876</v>
      </c>
      <c r="D3449" s="268">
        <v>6156</v>
      </c>
      <c r="E3449" s="114" t="s">
        <v>223</v>
      </c>
      <c r="F3449" s="114" t="s">
        <v>3844</v>
      </c>
      <c r="G3449" s="114" t="s">
        <v>1572</v>
      </c>
      <c r="H3449" s="114" t="s">
        <v>1227</v>
      </c>
      <c r="I3449" s="114"/>
      <c r="J3449" s="114" t="b">
        <v>0</v>
      </c>
      <c r="K3449" s="114"/>
      <c r="L3449" s="114"/>
      <c r="M3449" s="114"/>
      <c r="N3449" s="114"/>
      <c r="O3449" s="114"/>
      <c r="P3449" s="114" t="s">
        <v>3752</v>
      </c>
      <c r="Q3449" s="114" t="s">
        <v>1227</v>
      </c>
    </row>
    <row r="3450" spans="2:17" hidden="1" outlineLevel="2">
      <c r="B3450" s="2" t="s">
        <v>876</v>
      </c>
      <c r="D3450" s="270">
        <v>6157</v>
      </c>
      <c r="E3450" s="112" t="s">
        <v>223</v>
      </c>
      <c r="F3450" s="112" t="s">
        <v>3845</v>
      </c>
      <c r="G3450" s="112" t="s">
        <v>1572</v>
      </c>
      <c r="H3450" s="112" t="s">
        <v>1227</v>
      </c>
      <c r="I3450" s="112"/>
      <c r="J3450" s="112" t="b">
        <v>0</v>
      </c>
      <c r="K3450" s="112"/>
      <c r="L3450" s="112"/>
      <c r="M3450" s="112"/>
      <c r="N3450" s="112"/>
      <c r="O3450" s="112"/>
      <c r="P3450" s="112" t="s">
        <v>3752</v>
      </c>
      <c r="Q3450" s="112" t="s">
        <v>1227</v>
      </c>
    </row>
    <row r="3451" spans="2:17" hidden="1" outlineLevel="2">
      <c r="B3451" s="2" t="s">
        <v>876</v>
      </c>
      <c r="D3451" s="268">
        <v>6158</v>
      </c>
      <c r="E3451" s="114" t="s">
        <v>223</v>
      </c>
      <c r="F3451" s="114" t="s">
        <v>3846</v>
      </c>
      <c r="G3451" s="114" t="s">
        <v>1572</v>
      </c>
      <c r="H3451" s="114" t="s">
        <v>1227</v>
      </c>
      <c r="I3451" s="114"/>
      <c r="J3451" s="114" t="b">
        <v>0</v>
      </c>
      <c r="K3451" s="114"/>
      <c r="L3451" s="114"/>
      <c r="M3451" s="114"/>
      <c r="N3451" s="114"/>
      <c r="O3451" s="114"/>
      <c r="P3451" s="114" t="s">
        <v>3752</v>
      </c>
      <c r="Q3451" s="114" t="s">
        <v>1227</v>
      </c>
    </row>
    <row r="3452" spans="2:17" hidden="1" outlineLevel="2">
      <c r="B3452" s="2" t="s">
        <v>876</v>
      </c>
      <c r="D3452" s="270">
        <v>6159</v>
      </c>
      <c r="E3452" s="112" t="s">
        <v>223</v>
      </c>
      <c r="F3452" s="112" t="s">
        <v>3847</v>
      </c>
      <c r="G3452" s="112" t="s">
        <v>1572</v>
      </c>
      <c r="H3452" s="112" t="s">
        <v>1227</v>
      </c>
      <c r="I3452" s="112"/>
      <c r="J3452" s="112" t="b">
        <v>0</v>
      </c>
      <c r="K3452" s="112"/>
      <c r="L3452" s="112"/>
      <c r="M3452" s="112"/>
      <c r="N3452" s="112"/>
      <c r="O3452" s="112"/>
      <c r="P3452" s="112" t="s">
        <v>3752</v>
      </c>
      <c r="Q3452" s="112" t="s">
        <v>1227</v>
      </c>
    </row>
    <row r="3453" spans="2:17" hidden="1" outlineLevel="2">
      <c r="B3453" s="2" t="s">
        <v>876</v>
      </c>
      <c r="D3453" s="268">
        <v>6160</v>
      </c>
      <c r="E3453" s="114" t="s">
        <v>223</v>
      </c>
      <c r="F3453" s="114" t="s">
        <v>3848</v>
      </c>
      <c r="G3453" s="114" t="s">
        <v>1572</v>
      </c>
      <c r="H3453" s="114" t="s">
        <v>1227</v>
      </c>
      <c r="I3453" s="114"/>
      <c r="J3453" s="114" t="b">
        <v>0</v>
      </c>
      <c r="K3453" s="114"/>
      <c r="L3453" s="114"/>
      <c r="M3453" s="114"/>
      <c r="N3453" s="114"/>
      <c r="O3453" s="114"/>
      <c r="P3453" s="114" t="s">
        <v>3752</v>
      </c>
      <c r="Q3453" s="114" t="s">
        <v>1227</v>
      </c>
    </row>
    <row r="3454" spans="2:17" hidden="1" outlineLevel="2">
      <c r="B3454" s="2" t="s">
        <v>876</v>
      </c>
      <c r="D3454" s="270">
        <v>6161</v>
      </c>
      <c r="E3454" s="112" t="s">
        <v>223</v>
      </c>
      <c r="F3454" s="112" t="s">
        <v>3849</v>
      </c>
      <c r="G3454" s="112" t="s">
        <v>1533</v>
      </c>
      <c r="H3454" s="112" t="s">
        <v>1533</v>
      </c>
      <c r="I3454" s="112"/>
      <c r="J3454" s="112" t="b">
        <v>0</v>
      </c>
      <c r="K3454" s="112"/>
      <c r="L3454" s="112"/>
      <c r="M3454" s="112"/>
      <c r="N3454" s="112"/>
      <c r="O3454" s="112"/>
      <c r="P3454" s="112" t="s">
        <v>3752</v>
      </c>
      <c r="Q3454" s="112" t="s">
        <v>1228</v>
      </c>
    </row>
    <row r="3455" spans="2:17" hidden="1" outlineLevel="2">
      <c r="B3455" s="2" t="s">
        <v>876</v>
      </c>
      <c r="D3455" s="268">
        <v>6162</v>
      </c>
      <c r="E3455" s="114" t="s">
        <v>223</v>
      </c>
      <c r="F3455" s="114" t="s">
        <v>2755</v>
      </c>
      <c r="G3455" s="114" t="s">
        <v>1572</v>
      </c>
      <c r="H3455" s="114" t="s">
        <v>1227</v>
      </c>
      <c r="I3455" s="114"/>
      <c r="J3455" s="114" t="b">
        <v>0</v>
      </c>
      <c r="K3455" s="114"/>
      <c r="L3455" s="114"/>
      <c r="M3455" s="114"/>
      <c r="N3455" s="114"/>
      <c r="O3455" s="114"/>
      <c r="P3455" s="114" t="s">
        <v>3752</v>
      </c>
      <c r="Q3455" s="114" t="s">
        <v>1227</v>
      </c>
    </row>
    <row r="3456" spans="2:17" hidden="1" outlineLevel="2">
      <c r="B3456" s="2" t="s">
        <v>876</v>
      </c>
      <c r="D3456" s="270">
        <v>6163</v>
      </c>
      <c r="E3456" s="112" t="s">
        <v>223</v>
      </c>
      <c r="F3456" s="112" t="s">
        <v>3850</v>
      </c>
      <c r="G3456" s="112" t="s">
        <v>1572</v>
      </c>
      <c r="H3456" s="112" t="s">
        <v>1227</v>
      </c>
      <c r="I3456" s="112"/>
      <c r="J3456" s="112" t="b">
        <v>0</v>
      </c>
      <c r="K3456" s="112"/>
      <c r="L3456" s="112"/>
      <c r="M3456" s="112"/>
      <c r="N3456" s="112"/>
      <c r="O3456" s="112"/>
      <c r="P3456" s="112" t="s">
        <v>3752</v>
      </c>
      <c r="Q3456" s="112" t="s">
        <v>1227</v>
      </c>
    </row>
    <row r="3457" spans="2:17" hidden="1" outlineLevel="2">
      <c r="B3457" s="2" t="s">
        <v>876</v>
      </c>
      <c r="D3457" s="268">
        <v>6164</v>
      </c>
      <c r="E3457" s="114" t="s">
        <v>223</v>
      </c>
      <c r="F3457" s="114" t="s">
        <v>3851</v>
      </c>
      <c r="G3457" s="114" t="s">
        <v>1572</v>
      </c>
      <c r="H3457" s="114" t="s">
        <v>1227</v>
      </c>
      <c r="I3457" s="114"/>
      <c r="J3457" s="114" t="b">
        <v>0</v>
      </c>
      <c r="K3457" s="114"/>
      <c r="L3457" s="114"/>
      <c r="M3457" s="114"/>
      <c r="N3457" s="114"/>
      <c r="O3457" s="114"/>
      <c r="P3457" s="114" t="s">
        <v>3752</v>
      </c>
      <c r="Q3457" s="114" t="s">
        <v>1227</v>
      </c>
    </row>
    <row r="3458" spans="2:17" hidden="1" outlineLevel="2">
      <c r="B3458" s="2" t="s">
        <v>876</v>
      </c>
      <c r="D3458" s="270">
        <v>6165</v>
      </c>
      <c r="E3458" s="112" t="s">
        <v>223</v>
      </c>
      <c r="F3458" s="112" t="s">
        <v>3485</v>
      </c>
      <c r="G3458" s="112" t="s">
        <v>1572</v>
      </c>
      <c r="H3458" s="112" t="s">
        <v>1227</v>
      </c>
      <c r="I3458" s="112"/>
      <c r="J3458" s="112" t="b">
        <v>0</v>
      </c>
      <c r="K3458" s="112"/>
      <c r="L3458" s="112"/>
      <c r="M3458" s="112"/>
      <c r="N3458" s="112"/>
      <c r="O3458" s="112"/>
      <c r="P3458" s="112" t="s">
        <v>3752</v>
      </c>
      <c r="Q3458" s="112" t="s">
        <v>1227</v>
      </c>
    </row>
    <row r="3459" spans="2:17" hidden="1" outlineLevel="2">
      <c r="B3459" s="2" t="s">
        <v>876</v>
      </c>
      <c r="D3459" s="268">
        <v>6166</v>
      </c>
      <c r="E3459" s="114" t="s">
        <v>223</v>
      </c>
      <c r="F3459" s="114" t="s">
        <v>1584</v>
      </c>
      <c r="G3459" s="114" t="s">
        <v>1572</v>
      </c>
      <c r="H3459" s="114" t="s">
        <v>1227</v>
      </c>
      <c r="I3459" s="114"/>
      <c r="J3459" s="114" t="b">
        <v>0</v>
      </c>
      <c r="K3459" s="114"/>
      <c r="L3459" s="114"/>
      <c r="M3459" s="114"/>
      <c r="N3459" s="114"/>
      <c r="O3459" s="114"/>
      <c r="P3459" s="114" t="s">
        <v>3752</v>
      </c>
      <c r="Q3459" s="114" t="s">
        <v>1227</v>
      </c>
    </row>
    <row r="3460" spans="2:17" hidden="1" outlineLevel="2">
      <c r="B3460" s="2" t="s">
        <v>876</v>
      </c>
      <c r="D3460" s="270">
        <v>6167</v>
      </c>
      <c r="E3460" s="112" t="s">
        <v>223</v>
      </c>
      <c r="F3460" s="112" t="s">
        <v>3852</v>
      </c>
      <c r="G3460" s="112" t="s">
        <v>1572</v>
      </c>
      <c r="H3460" s="112" t="s">
        <v>1227</v>
      </c>
      <c r="I3460" s="112"/>
      <c r="J3460" s="112" t="b">
        <v>0</v>
      </c>
      <c r="K3460" s="112"/>
      <c r="L3460" s="112"/>
      <c r="M3460" s="112"/>
      <c r="N3460" s="112"/>
      <c r="O3460" s="112"/>
      <c r="P3460" s="112" t="s">
        <v>3752</v>
      </c>
      <c r="Q3460" s="112" t="s">
        <v>1227</v>
      </c>
    </row>
    <row r="3461" spans="2:17" hidden="1" outlineLevel="2">
      <c r="B3461" s="2" t="s">
        <v>876</v>
      </c>
      <c r="D3461" s="268">
        <v>6168</v>
      </c>
      <c r="E3461" s="114" t="s">
        <v>223</v>
      </c>
      <c r="F3461" s="114" t="s">
        <v>3853</v>
      </c>
      <c r="G3461" s="114" t="s">
        <v>1572</v>
      </c>
      <c r="H3461" s="114" t="s">
        <v>1227</v>
      </c>
      <c r="I3461" s="114"/>
      <c r="J3461" s="114" t="b">
        <v>0</v>
      </c>
      <c r="K3461" s="114"/>
      <c r="L3461" s="114"/>
      <c r="M3461" s="114"/>
      <c r="N3461" s="114"/>
      <c r="O3461" s="114"/>
      <c r="P3461" s="114" t="s">
        <v>3752</v>
      </c>
      <c r="Q3461" s="114" t="s">
        <v>1227</v>
      </c>
    </row>
    <row r="3462" spans="2:17" hidden="1" outlineLevel="2">
      <c r="B3462" s="2" t="s">
        <v>876</v>
      </c>
      <c r="D3462" s="270">
        <v>6169</v>
      </c>
      <c r="E3462" s="112" t="s">
        <v>223</v>
      </c>
      <c r="F3462" s="112" t="s">
        <v>3854</v>
      </c>
      <c r="G3462" s="112" t="s">
        <v>1572</v>
      </c>
      <c r="H3462" s="112" t="s">
        <v>1227</v>
      </c>
      <c r="I3462" s="112"/>
      <c r="J3462" s="112" t="b">
        <v>0</v>
      </c>
      <c r="K3462" s="112"/>
      <c r="L3462" s="112"/>
      <c r="M3462" s="112"/>
      <c r="N3462" s="112"/>
      <c r="O3462" s="112"/>
      <c r="P3462" s="112" t="s">
        <v>3752</v>
      </c>
      <c r="Q3462" s="112" t="s">
        <v>1227</v>
      </c>
    </row>
    <row r="3463" spans="2:17" hidden="1" outlineLevel="2">
      <c r="B3463" s="2" t="s">
        <v>876</v>
      </c>
      <c r="D3463" s="268">
        <v>6170</v>
      </c>
      <c r="E3463" s="114" t="s">
        <v>223</v>
      </c>
      <c r="F3463" s="114" t="s">
        <v>3855</v>
      </c>
      <c r="G3463" s="114" t="s">
        <v>1572</v>
      </c>
      <c r="H3463" s="114" t="s">
        <v>1227</v>
      </c>
      <c r="I3463" s="114"/>
      <c r="J3463" s="114" t="b">
        <v>0</v>
      </c>
      <c r="K3463" s="114"/>
      <c r="L3463" s="114"/>
      <c r="M3463" s="114"/>
      <c r="N3463" s="114"/>
      <c r="O3463" s="114"/>
      <c r="P3463" s="114" t="s">
        <v>3752</v>
      </c>
      <c r="Q3463" s="114" t="s">
        <v>1227</v>
      </c>
    </row>
    <row r="3464" spans="2:17" hidden="1" outlineLevel="2">
      <c r="B3464" s="2" t="s">
        <v>876</v>
      </c>
      <c r="D3464" s="270">
        <v>6171</v>
      </c>
      <c r="E3464" s="112" t="s">
        <v>223</v>
      </c>
      <c r="F3464" s="112" t="s">
        <v>3856</v>
      </c>
      <c r="G3464" s="112" t="s">
        <v>1572</v>
      </c>
      <c r="H3464" s="112" t="s">
        <v>1227</v>
      </c>
      <c r="I3464" s="112"/>
      <c r="J3464" s="112" t="b">
        <v>0</v>
      </c>
      <c r="K3464" s="112"/>
      <c r="L3464" s="112"/>
      <c r="M3464" s="112"/>
      <c r="N3464" s="112"/>
      <c r="O3464" s="112"/>
      <c r="P3464" s="112" t="s">
        <v>3752</v>
      </c>
      <c r="Q3464" s="112" t="s">
        <v>1227</v>
      </c>
    </row>
    <row r="3465" spans="2:17" hidden="1" outlineLevel="2">
      <c r="B3465" s="2" t="s">
        <v>876</v>
      </c>
      <c r="D3465" s="268">
        <v>6172</v>
      </c>
      <c r="E3465" s="114" t="s">
        <v>223</v>
      </c>
      <c r="F3465" s="114" t="s">
        <v>3857</v>
      </c>
      <c r="G3465" s="114" t="s">
        <v>1572</v>
      </c>
      <c r="H3465" s="114" t="s">
        <v>1227</v>
      </c>
      <c r="I3465" s="114"/>
      <c r="J3465" s="114" t="b">
        <v>0</v>
      </c>
      <c r="K3465" s="114"/>
      <c r="L3465" s="114"/>
      <c r="M3465" s="114"/>
      <c r="N3465" s="114"/>
      <c r="O3465" s="114"/>
      <c r="P3465" s="114" t="s">
        <v>3752</v>
      </c>
      <c r="Q3465" s="114" t="s">
        <v>1227</v>
      </c>
    </row>
    <row r="3466" spans="2:17" hidden="1" outlineLevel="2">
      <c r="B3466" s="2" t="s">
        <v>876</v>
      </c>
      <c r="D3466" s="270">
        <v>6173</v>
      </c>
      <c r="E3466" s="112" t="s">
        <v>223</v>
      </c>
      <c r="F3466" s="112" t="s">
        <v>3858</v>
      </c>
      <c r="G3466" s="112" t="s">
        <v>1572</v>
      </c>
      <c r="H3466" s="112" t="s">
        <v>1227</v>
      </c>
      <c r="I3466" s="112"/>
      <c r="J3466" s="112" t="b">
        <v>0</v>
      </c>
      <c r="K3466" s="112"/>
      <c r="L3466" s="112"/>
      <c r="M3466" s="112"/>
      <c r="N3466" s="112"/>
      <c r="O3466" s="112"/>
      <c r="P3466" s="112" t="s">
        <v>3752</v>
      </c>
      <c r="Q3466" s="112" t="s">
        <v>1227</v>
      </c>
    </row>
    <row r="3467" spans="2:17" hidden="1" outlineLevel="2">
      <c r="B3467" s="2" t="s">
        <v>876</v>
      </c>
      <c r="D3467" s="268">
        <v>6174</v>
      </c>
      <c r="E3467" s="114" t="s">
        <v>223</v>
      </c>
      <c r="F3467" s="114" t="s">
        <v>3859</v>
      </c>
      <c r="G3467" s="114" t="s">
        <v>1572</v>
      </c>
      <c r="H3467" s="114" t="s">
        <v>1227</v>
      </c>
      <c r="I3467" s="114"/>
      <c r="J3467" s="114" t="b">
        <v>0</v>
      </c>
      <c r="K3467" s="114"/>
      <c r="L3467" s="114"/>
      <c r="M3467" s="114"/>
      <c r="N3467" s="114"/>
      <c r="O3467" s="114"/>
      <c r="P3467" s="114" t="s">
        <v>3752</v>
      </c>
      <c r="Q3467" s="114" t="s">
        <v>1227</v>
      </c>
    </row>
    <row r="3468" spans="2:17" hidden="1" outlineLevel="2">
      <c r="B3468" s="2" t="s">
        <v>876</v>
      </c>
      <c r="D3468" s="270">
        <v>6175</v>
      </c>
      <c r="E3468" s="112" t="s">
        <v>223</v>
      </c>
      <c r="F3468" s="112" t="s">
        <v>3860</v>
      </c>
      <c r="G3468" s="112" t="s">
        <v>1572</v>
      </c>
      <c r="H3468" s="112" t="s">
        <v>1227</v>
      </c>
      <c r="I3468" s="112"/>
      <c r="J3468" s="112" t="b">
        <v>0</v>
      </c>
      <c r="K3468" s="112"/>
      <c r="L3468" s="112"/>
      <c r="M3468" s="112"/>
      <c r="N3468" s="112"/>
      <c r="O3468" s="112"/>
      <c r="P3468" s="112" t="s">
        <v>3752</v>
      </c>
      <c r="Q3468" s="112" t="s">
        <v>1227</v>
      </c>
    </row>
    <row r="3469" spans="2:17" hidden="1" outlineLevel="2">
      <c r="B3469" s="2" t="s">
        <v>876</v>
      </c>
      <c r="D3469" s="268">
        <v>6176</v>
      </c>
      <c r="E3469" s="114" t="s">
        <v>223</v>
      </c>
      <c r="F3469" s="114" t="s">
        <v>3861</v>
      </c>
      <c r="G3469" s="114" t="s">
        <v>1572</v>
      </c>
      <c r="H3469" s="114" t="s">
        <v>1227</v>
      </c>
      <c r="I3469" s="114"/>
      <c r="J3469" s="114" t="b">
        <v>0</v>
      </c>
      <c r="K3469" s="114"/>
      <c r="L3469" s="114" t="b">
        <v>1</v>
      </c>
      <c r="M3469" s="114"/>
      <c r="N3469" s="114"/>
      <c r="O3469" s="114"/>
      <c r="P3469" s="114" t="s">
        <v>3752</v>
      </c>
      <c r="Q3469" s="114" t="s">
        <v>1227</v>
      </c>
    </row>
    <row r="3470" spans="2:17" hidden="1" outlineLevel="2">
      <c r="B3470" s="2" t="s">
        <v>876</v>
      </c>
      <c r="D3470" s="270">
        <v>6180</v>
      </c>
      <c r="E3470" s="112" t="s">
        <v>223</v>
      </c>
      <c r="F3470" s="112" t="s">
        <v>3862</v>
      </c>
      <c r="G3470" s="112" t="s">
        <v>1572</v>
      </c>
      <c r="H3470" s="112" t="s">
        <v>1227</v>
      </c>
      <c r="I3470" s="112"/>
      <c r="J3470" s="112" t="b">
        <v>0</v>
      </c>
      <c r="K3470" s="112"/>
      <c r="L3470" s="112"/>
      <c r="M3470" s="112"/>
      <c r="N3470" s="112"/>
      <c r="O3470" s="112"/>
      <c r="P3470" s="112" t="s">
        <v>3752</v>
      </c>
      <c r="Q3470" s="112" t="s">
        <v>1228</v>
      </c>
    </row>
    <row r="3471" spans="2:17" hidden="1" outlineLevel="2">
      <c r="B3471" s="2" t="s">
        <v>876</v>
      </c>
      <c r="D3471" s="268">
        <v>6181</v>
      </c>
      <c r="E3471" s="114" t="s">
        <v>223</v>
      </c>
      <c r="F3471" s="114" t="s">
        <v>3863</v>
      </c>
      <c r="G3471" s="114" t="s">
        <v>1572</v>
      </c>
      <c r="H3471" s="114" t="s">
        <v>1227</v>
      </c>
      <c r="I3471" s="114"/>
      <c r="J3471" s="114" t="b">
        <v>0</v>
      </c>
      <c r="K3471" s="114"/>
      <c r="L3471" s="114"/>
      <c r="M3471" s="114"/>
      <c r="N3471" s="114"/>
      <c r="O3471" s="114"/>
      <c r="P3471" s="114" t="s">
        <v>3752</v>
      </c>
      <c r="Q3471" s="114" t="s">
        <v>1228</v>
      </c>
    </row>
    <row r="3472" spans="2:17" hidden="1" outlineLevel="2">
      <c r="B3472" s="2" t="s">
        <v>876</v>
      </c>
      <c r="D3472" s="270">
        <v>6182</v>
      </c>
      <c r="E3472" s="112" t="s">
        <v>223</v>
      </c>
      <c r="F3472" s="112" t="s">
        <v>3864</v>
      </c>
      <c r="G3472" s="112" t="s">
        <v>1483</v>
      </c>
      <c r="H3472" s="112" t="s">
        <v>1494</v>
      </c>
      <c r="I3472" s="112"/>
      <c r="J3472" s="112" t="b">
        <v>0</v>
      </c>
      <c r="K3472" s="112"/>
      <c r="L3472" s="112"/>
      <c r="M3472" s="112"/>
      <c r="N3472" s="112"/>
      <c r="O3472" s="112"/>
      <c r="P3472" s="112" t="s">
        <v>3752</v>
      </c>
      <c r="Q3472" s="112" t="s">
        <v>1228</v>
      </c>
    </row>
    <row r="3473" spans="2:17" hidden="1" outlineLevel="2">
      <c r="B3473" s="2" t="s">
        <v>876</v>
      </c>
      <c r="D3473" s="268">
        <v>6207</v>
      </c>
      <c r="E3473" s="114" t="s">
        <v>223</v>
      </c>
      <c r="F3473" s="114" t="s">
        <v>3865</v>
      </c>
      <c r="G3473" s="114" t="s">
        <v>1493</v>
      </c>
      <c r="H3473" s="114" t="s">
        <v>1505</v>
      </c>
      <c r="I3473" s="114"/>
      <c r="J3473" s="114" t="b">
        <v>0</v>
      </c>
      <c r="K3473" s="114"/>
      <c r="L3473" s="114"/>
      <c r="M3473" s="114"/>
      <c r="N3473" s="114"/>
      <c r="O3473" s="114"/>
      <c r="P3473" s="114" t="s">
        <v>3752</v>
      </c>
      <c r="Q3473" s="114" t="s">
        <v>1228</v>
      </c>
    </row>
    <row r="3474" spans="2:17" hidden="1" outlineLevel="2">
      <c r="B3474" s="2" t="s">
        <v>876</v>
      </c>
      <c r="D3474" s="270">
        <v>6208</v>
      </c>
      <c r="E3474" s="112" t="s">
        <v>223</v>
      </c>
      <c r="F3474" s="112" t="s">
        <v>3866</v>
      </c>
      <c r="G3474" s="112" t="s">
        <v>1493</v>
      </c>
      <c r="H3474" s="112" t="s">
        <v>1505</v>
      </c>
      <c r="I3474" s="112"/>
      <c r="J3474" s="112" t="b">
        <v>0</v>
      </c>
      <c r="K3474" s="112"/>
      <c r="L3474" s="112"/>
      <c r="M3474" s="112"/>
      <c r="N3474" s="112"/>
      <c r="O3474" s="112"/>
      <c r="P3474" s="112" t="s">
        <v>3752</v>
      </c>
      <c r="Q3474" s="112" t="s">
        <v>1228</v>
      </c>
    </row>
    <row r="3475" spans="2:17" hidden="1" outlineLevel="2">
      <c r="B3475" s="2" t="s">
        <v>876</v>
      </c>
      <c r="D3475" s="268">
        <v>6209</v>
      </c>
      <c r="E3475" s="114" t="s">
        <v>223</v>
      </c>
      <c r="F3475" s="114" t="s">
        <v>3867</v>
      </c>
      <c r="G3475" s="114" t="s">
        <v>1483</v>
      </c>
      <c r="H3475" s="114" t="s">
        <v>1227</v>
      </c>
      <c r="I3475" s="114"/>
      <c r="J3475" s="114" t="b">
        <v>0</v>
      </c>
      <c r="K3475" s="114"/>
      <c r="L3475" s="114"/>
      <c r="M3475" s="114"/>
      <c r="N3475" s="114"/>
      <c r="O3475" s="114"/>
      <c r="P3475" s="114" t="s">
        <v>3752</v>
      </c>
      <c r="Q3475" s="114" t="s">
        <v>1228</v>
      </c>
    </row>
    <row r="3476" spans="2:17" hidden="1" outlineLevel="2">
      <c r="B3476" s="2" t="s">
        <v>876</v>
      </c>
      <c r="D3476" s="270">
        <v>6210</v>
      </c>
      <c r="E3476" s="112" t="s">
        <v>223</v>
      </c>
      <c r="F3476" s="112" t="s">
        <v>3868</v>
      </c>
      <c r="G3476" s="112" t="s">
        <v>1572</v>
      </c>
      <c r="H3476" s="112" t="s">
        <v>1227</v>
      </c>
      <c r="I3476" s="112"/>
      <c r="J3476" s="112" t="b">
        <v>0</v>
      </c>
      <c r="K3476" s="112"/>
      <c r="L3476" s="112"/>
      <c r="M3476" s="112"/>
      <c r="N3476" s="112"/>
      <c r="O3476" s="112"/>
      <c r="P3476" s="112" t="s">
        <v>3752</v>
      </c>
      <c r="Q3476" s="112" t="s">
        <v>1227</v>
      </c>
    </row>
    <row r="3477" spans="2:17" hidden="1" outlineLevel="2">
      <c r="B3477" s="2" t="s">
        <v>876</v>
      </c>
      <c r="D3477" s="268">
        <v>6211</v>
      </c>
      <c r="E3477" s="114" t="s">
        <v>223</v>
      </c>
      <c r="F3477" s="114" t="s">
        <v>3869</v>
      </c>
      <c r="G3477" s="114" t="s">
        <v>1483</v>
      </c>
      <c r="H3477" s="114" t="s">
        <v>1494</v>
      </c>
      <c r="I3477" s="114"/>
      <c r="J3477" s="114" t="b">
        <v>0</v>
      </c>
      <c r="K3477" s="114"/>
      <c r="L3477" s="114"/>
      <c r="M3477" s="114"/>
      <c r="N3477" s="114"/>
      <c r="O3477" s="114"/>
      <c r="P3477" s="114" t="s">
        <v>3752</v>
      </c>
      <c r="Q3477" s="114" t="s">
        <v>1228</v>
      </c>
    </row>
    <row r="3478" spans="2:17" hidden="1" outlineLevel="2">
      <c r="B3478" s="2" t="s">
        <v>876</v>
      </c>
      <c r="D3478" s="270">
        <v>6213</v>
      </c>
      <c r="E3478" s="112" t="s">
        <v>223</v>
      </c>
      <c r="F3478" s="112" t="s">
        <v>3870</v>
      </c>
      <c r="G3478" s="112" t="s">
        <v>1512</v>
      </c>
      <c r="H3478" s="112" t="s">
        <v>1505</v>
      </c>
      <c r="I3478" s="112"/>
      <c r="J3478" s="112" t="b">
        <v>0</v>
      </c>
      <c r="K3478" s="112"/>
      <c r="L3478" s="112"/>
      <c r="M3478" s="112"/>
      <c r="N3478" s="112"/>
      <c r="O3478" s="112"/>
      <c r="P3478" s="112" t="s">
        <v>3752</v>
      </c>
      <c r="Q3478" s="112" t="s">
        <v>1228</v>
      </c>
    </row>
    <row r="3479" spans="2:17" hidden="1" outlineLevel="2">
      <c r="B3479" s="2" t="s">
        <v>876</v>
      </c>
      <c r="D3479" s="268">
        <v>6214</v>
      </c>
      <c r="E3479" s="114" t="s">
        <v>223</v>
      </c>
      <c r="F3479" s="114" t="s">
        <v>3871</v>
      </c>
      <c r="G3479" s="114" t="s">
        <v>1512</v>
      </c>
      <c r="H3479" s="114" t="s">
        <v>1512</v>
      </c>
      <c r="I3479" s="114"/>
      <c r="J3479" s="114" t="b">
        <v>0</v>
      </c>
      <c r="K3479" s="114"/>
      <c r="L3479" s="114"/>
      <c r="M3479" s="114"/>
      <c r="N3479" s="114"/>
      <c r="O3479" s="114"/>
      <c r="P3479" s="114" t="s">
        <v>3752</v>
      </c>
      <c r="Q3479" s="114" t="s">
        <v>1228</v>
      </c>
    </row>
    <row r="3480" spans="2:17" hidden="1" outlineLevel="2">
      <c r="B3480" s="2" t="s">
        <v>876</v>
      </c>
      <c r="D3480" s="270">
        <v>6215</v>
      </c>
      <c r="E3480" s="112" t="s">
        <v>223</v>
      </c>
      <c r="F3480" s="112" t="s">
        <v>3872</v>
      </c>
      <c r="G3480" s="112" t="s">
        <v>1493</v>
      </c>
      <c r="H3480" s="112" t="s">
        <v>1505</v>
      </c>
      <c r="I3480" s="112"/>
      <c r="J3480" s="112" t="b">
        <v>0</v>
      </c>
      <c r="K3480" s="112"/>
      <c r="L3480" s="112"/>
      <c r="M3480" s="112"/>
      <c r="N3480" s="112"/>
      <c r="O3480" s="112"/>
      <c r="P3480" s="112" t="s">
        <v>3752</v>
      </c>
      <c r="Q3480" s="112" t="s">
        <v>1228</v>
      </c>
    </row>
    <row r="3481" spans="2:17" hidden="1" outlineLevel="2">
      <c r="B3481" s="2" t="s">
        <v>876</v>
      </c>
      <c r="D3481" s="268">
        <v>6218</v>
      </c>
      <c r="E3481" s="114" t="s">
        <v>223</v>
      </c>
      <c r="F3481" s="114" t="s">
        <v>3873</v>
      </c>
      <c r="G3481" s="114" t="s">
        <v>1512</v>
      </c>
      <c r="H3481" s="114" t="s">
        <v>1505</v>
      </c>
      <c r="I3481" s="114"/>
      <c r="J3481" s="114" t="b">
        <v>0</v>
      </c>
      <c r="K3481" s="114"/>
      <c r="L3481" s="114"/>
      <c r="M3481" s="114"/>
      <c r="N3481" s="114"/>
      <c r="O3481" s="114"/>
      <c r="P3481" s="114" t="s">
        <v>3752</v>
      </c>
      <c r="Q3481" s="114" t="s">
        <v>1228</v>
      </c>
    </row>
    <row r="3482" spans="2:17" hidden="1" outlineLevel="2">
      <c r="B3482" s="2" t="s">
        <v>876</v>
      </c>
      <c r="D3482" s="270">
        <v>6220</v>
      </c>
      <c r="E3482" s="112" t="s">
        <v>223</v>
      </c>
      <c r="F3482" s="112" t="s">
        <v>3874</v>
      </c>
      <c r="G3482" s="112" t="s">
        <v>1512</v>
      </c>
      <c r="H3482" s="112" t="s">
        <v>1505</v>
      </c>
      <c r="I3482" s="112"/>
      <c r="J3482" s="112" t="b">
        <v>0</v>
      </c>
      <c r="K3482" s="112"/>
      <c r="L3482" s="112"/>
      <c r="M3482" s="112"/>
      <c r="N3482" s="112"/>
      <c r="O3482" s="112"/>
      <c r="P3482" s="112" t="s">
        <v>3752</v>
      </c>
      <c r="Q3482" s="112" t="s">
        <v>1228</v>
      </c>
    </row>
    <row r="3483" spans="2:17" hidden="1" outlineLevel="2">
      <c r="B3483" s="2" t="s">
        <v>876</v>
      </c>
      <c r="D3483" s="268">
        <v>6221</v>
      </c>
      <c r="E3483" s="114" t="s">
        <v>223</v>
      </c>
      <c r="F3483" s="114" t="s">
        <v>2836</v>
      </c>
      <c r="G3483" s="114" t="s">
        <v>1512</v>
      </c>
      <c r="H3483" s="114" t="s">
        <v>1505</v>
      </c>
      <c r="I3483" s="114"/>
      <c r="J3483" s="114" t="b">
        <v>0</v>
      </c>
      <c r="K3483" s="114"/>
      <c r="L3483" s="114"/>
      <c r="M3483" s="114"/>
      <c r="N3483" s="114"/>
      <c r="O3483" s="114"/>
      <c r="P3483" s="114" t="s">
        <v>3752</v>
      </c>
      <c r="Q3483" s="114" t="s">
        <v>1228</v>
      </c>
    </row>
    <row r="3484" spans="2:17" hidden="1" outlineLevel="2">
      <c r="B3484" s="2" t="s">
        <v>876</v>
      </c>
      <c r="D3484" s="270">
        <v>6223</v>
      </c>
      <c r="E3484" s="112" t="s">
        <v>223</v>
      </c>
      <c r="F3484" s="112" t="s">
        <v>3875</v>
      </c>
      <c r="G3484" s="112" t="s">
        <v>1512</v>
      </c>
      <c r="H3484" s="112" t="s">
        <v>1505</v>
      </c>
      <c r="I3484" s="112"/>
      <c r="J3484" s="112" t="b">
        <v>0</v>
      </c>
      <c r="K3484" s="112"/>
      <c r="L3484" s="112"/>
      <c r="M3484" s="112"/>
      <c r="N3484" s="112"/>
      <c r="O3484" s="112"/>
      <c r="P3484" s="112" t="s">
        <v>3752</v>
      </c>
      <c r="Q3484" s="112" t="s">
        <v>1228</v>
      </c>
    </row>
    <row r="3485" spans="2:17" hidden="1" outlineLevel="2">
      <c r="B3485" s="2" t="s">
        <v>876</v>
      </c>
      <c r="D3485" s="268">
        <v>6224</v>
      </c>
      <c r="E3485" s="114" t="s">
        <v>223</v>
      </c>
      <c r="F3485" s="114" t="s">
        <v>3876</v>
      </c>
      <c r="G3485" s="114" t="s">
        <v>1512</v>
      </c>
      <c r="H3485" s="114" t="s">
        <v>1505</v>
      </c>
      <c r="I3485" s="114"/>
      <c r="J3485" s="114" t="b">
        <v>0</v>
      </c>
      <c r="K3485" s="114"/>
      <c r="L3485" s="114" t="b">
        <v>1</v>
      </c>
      <c r="M3485" s="114"/>
      <c r="N3485" s="114"/>
      <c r="O3485" s="114"/>
      <c r="P3485" s="114" t="s">
        <v>3752</v>
      </c>
      <c r="Q3485" s="114" t="s">
        <v>1228</v>
      </c>
    </row>
    <row r="3486" spans="2:17" hidden="1" outlineLevel="2">
      <c r="B3486" s="2" t="s">
        <v>876</v>
      </c>
      <c r="D3486" s="270">
        <v>6225</v>
      </c>
      <c r="E3486" s="112" t="s">
        <v>223</v>
      </c>
      <c r="F3486" s="112" t="s">
        <v>3877</v>
      </c>
      <c r="G3486" s="112" t="s">
        <v>1493</v>
      </c>
      <c r="H3486" s="112" t="s">
        <v>1505</v>
      </c>
      <c r="I3486" s="112"/>
      <c r="J3486" s="112" t="b">
        <v>0</v>
      </c>
      <c r="K3486" s="112" t="s">
        <v>1484</v>
      </c>
      <c r="L3486" s="112" t="b">
        <v>1</v>
      </c>
      <c r="M3486" s="112"/>
      <c r="N3486" s="112"/>
      <c r="O3486" s="112"/>
      <c r="P3486" s="112" t="s">
        <v>3752</v>
      </c>
      <c r="Q3486" s="112" t="s">
        <v>1228</v>
      </c>
    </row>
    <row r="3487" spans="2:17" hidden="1" outlineLevel="2">
      <c r="B3487" s="2" t="s">
        <v>876</v>
      </c>
      <c r="D3487" s="268">
        <v>6226</v>
      </c>
      <c r="E3487" s="114" t="s">
        <v>223</v>
      </c>
      <c r="F3487" s="114" t="s">
        <v>3878</v>
      </c>
      <c r="G3487" s="114" t="s">
        <v>1493</v>
      </c>
      <c r="H3487" s="114" t="s">
        <v>1505</v>
      </c>
      <c r="I3487" s="114"/>
      <c r="J3487" s="114" t="b">
        <v>0</v>
      </c>
      <c r="K3487" s="114"/>
      <c r="L3487" s="114" t="b">
        <v>1</v>
      </c>
      <c r="M3487" s="114"/>
      <c r="N3487" s="114"/>
      <c r="O3487" s="114"/>
      <c r="P3487" s="114" t="s">
        <v>3752</v>
      </c>
      <c r="Q3487" s="114" t="s">
        <v>1228</v>
      </c>
    </row>
    <row r="3488" spans="2:17" hidden="1" outlineLevel="2">
      <c r="B3488" s="2" t="s">
        <v>876</v>
      </c>
      <c r="D3488" s="270">
        <v>6227</v>
      </c>
      <c r="E3488" s="112" t="s">
        <v>223</v>
      </c>
      <c r="F3488" s="112" t="s">
        <v>3879</v>
      </c>
      <c r="G3488" s="112" t="s">
        <v>1493</v>
      </c>
      <c r="H3488" s="112" t="s">
        <v>1505</v>
      </c>
      <c r="I3488" s="112"/>
      <c r="J3488" s="112" t="b">
        <v>0</v>
      </c>
      <c r="K3488" s="112"/>
      <c r="L3488" s="112" t="b">
        <v>1</v>
      </c>
      <c r="M3488" s="112"/>
      <c r="N3488" s="112"/>
      <c r="O3488" s="112"/>
      <c r="P3488" s="112" t="s">
        <v>3752</v>
      </c>
      <c r="Q3488" s="112" t="s">
        <v>1228</v>
      </c>
    </row>
    <row r="3489" spans="2:17" hidden="1" outlineLevel="2">
      <c r="B3489" s="2" t="s">
        <v>876</v>
      </c>
      <c r="D3489" s="268">
        <v>6228</v>
      </c>
      <c r="E3489" s="114" t="s">
        <v>223</v>
      </c>
      <c r="F3489" s="114" t="s">
        <v>1566</v>
      </c>
      <c r="G3489" s="114" t="s">
        <v>1512</v>
      </c>
      <c r="H3489" s="114" t="s">
        <v>1505</v>
      </c>
      <c r="I3489" s="114"/>
      <c r="J3489" s="114" t="b">
        <v>0</v>
      </c>
      <c r="K3489" s="114"/>
      <c r="L3489" s="114"/>
      <c r="M3489" s="114"/>
      <c r="N3489" s="114"/>
      <c r="O3489" s="114"/>
      <c r="P3489" s="114" t="s">
        <v>3752</v>
      </c>
      <c r="Q3489" s="114" t="s">
        <v>1228</v>
      </c>
    </row>
    <row r="3490" spans="2:17" hidden="1" outlineLevel="2">
      <c r="B3490" s="2" t="s">
        <v>876</v>
      </c>
      <c r="D3490" s="270">
        <v>6229</v>
      </c>
      <c r="E3490" s="112" t="s">
        <v>223</v>
      </c>
      <c r="F3490" s="112" t="s">
        <v>3880</v>
      </c>
      <c r="G3490" s="112" t="s">
        <v>1483</v>
      </c>
      <c r="H3490" s="112" t="s">
        <v>1494</v>
      </c>
      <c r="I3490" s="112"/>
      <c r="J3490" s="112" t="b">
        <v>0</v>
      </c>
      <c r="K3490" s="112"/>
      <c r="L3490" s="112"/>
      <c r="M3490" s="112"/>
      <c r="N3490" s="112"/>
      <c r="O3490" s="112"/>
      <c r="P3490" s="112" t="s">
        <v>3752</v>
      </c>
      <c r="Q3490" s="112" t="s">
        <v>1228</v>
      </c>
    </row>
    <row r="3491" spans="2:17" hidden="1" outlineLevel="2">
      <c r="B3491" s="2" t="s">
        <v>876</v>
      </c>
      <c r="D3491" s="268">
        <v>6230</v>
      </c>
      <c r="E3491" s="114" t="s">
        <v>223</v>
      </c>
      <c r="F3491" s="114" t="s">
        <v>3586</v>
      </c>
      <c r="G3491" s="114" t="s">
        <v>1483</v>
      </c>
      <c r="H3491" s="114" t="s">
        <v>1494</v>
      </c>
      <c r="I3491" s="114"/>
      <c r="J3491" s="114" t="b">
        <v>0</v>
      </c>
      <c r="K3491" s="114"/>
      <c r="L3491" s="114"/>
      <c r="M3491" s="114"/>
      <c r="N3491" s="114"/>
      <c r="O3491" s="114"/>
      <c r="P3491" s="114" t="s">
        <v>3752</v>
      </c>
      <c r="Q3491" s="114" t="s">
        <v>1228</v>
      </c>
    </row>
    <row r="3492" spans="2:17" hidden="1" outlineLevel="2">
      <c r="B3492" s="2" t="s">
        <v>876</v>
      </c>
      <c r="D3492" s="270">
        <v>6232</v>
      </c>
      <c r="E3492" s="112" t="s">
        <v>223</v>
      </c>
      <c r="F3492" s="112" t="s">
        <v>3881</v>
      </c>
      <c r="G3492" s="112" t="s">
        <v>1483</v>
      </c>
      <c r="H3492" s="112" t="s">
        <v>1494</v>
      </c>
      <c r="I3492" s="112"/>
      <c r="J3492" s="112" t="b">
        <v>0</v>
      </c>
      <c r="K3492" s="112"/>
      <c r="L3492" s="112"/>
      <c r="M3492" s="112"/>
      <c r="N3492" s="112"/>
      <c r="O3492" s="112"/>
      <c r="P3492" s="112" t="s">
        <v>3752</v>
      </c>
      <c r="Q3492" s="112" t="s">
        <v>1228</v>
      </c>
    </row>
    <row r="3493" spans="2:17" hidden="1" outlineLevel="2">
      <c r="B3493" s="2" t="s">
        <v>876</v>
      </c>
      <c r="D3493" s="268">
        <v>6233</v>
      </c>
      <c r="E3493" s="114" t="s">
        <v>223</v>
      </c>
      <c r="F3493" s="114" t="s">
        <v>3882</v>
      </c>
      <c r="G3493" s="114" t="s">
        <v>1483</v>
      </c>
      <c r="H3493" s="114" t="s">
        <v>1494</v>
      </c>
      <c r="I3493" s="114"/>
      <c r="J3493" s="114" t="b">
        <v>0</v>
      </c>
      <c r="K3493" s="114"/>
      <c r="L3493" s="114"/>
      <c r="M3493" s="114"/>
      <c r="N3493" s="114"/>
      <c r="O3493" s="114"/>
      <c r="P3493" s="114" t="s">
        <v>3752</v>
      </c>
      <c r="Q3493" s="114" t="s">
        <v>1228</v>
      </c>
    </row>
    <row r="3494" spans="2:17" hidden="1" outlineLevel="2">
      <c r="B3494" s="2" t="s">
        <v>876</v>
      </c>
      <c r="D3494" s="270">
        <v>6236</v>
      </c>
      <c r="E3494" s="112" t="s">
        <v>223</v>
      </c>
      <c r="F3494" s="112" t="s">
        <v>3883</v>
      </c>
      <c r="G3494" s="112" t="s">
        <v>1493</v>
      </c>
      <c r="H3494" s="112" t="s">
        <v>1505</v>
      </c>
      <c r="I3494" s="112"/>
      <c r="J3494" s="112" t="b">
        <v>0</v>
      </c>
      <c r="K3494" s="112"/>
      <c r="L3494" s="112"/>
      <c r="M3494" s="112"/>
      <c r="N3494" s="112"/>
      <c r="O3494" s="112"/>
      <c r="P3494" s="112" t="s">
        <v>3752</v>
      </c>
      <c r="Q3494" s="112" t="s">
        <v>1228</v>
      </c>
    </row>
    <row r="3495" spans="2:17" hidden="1" outlineLevel="2">
      <c r="B3495" s="2" t="s">
        <v>876</v>
      </c>
      <c r="D3495" s="268">
        <v>6237</v>
      </c>
      <c r="E3495" s="114" t="s">
        <v>223</v>
      </c>
      <c r="F3495" s="114" t="s">
        <v>3884</v>
      </c>
      <c r="G3495" s="269" t="s">
        <v>1493</v>
      </c>
      <c r="H3495" s="114" t="s">
        <v>1512</v>
      </c>
      <c r="I3495" s="114"/>
      <c r="J3495" s="114" t="b">
        <v>0</v>
      </c>
      <c r="K3495" s="114"/>
      <c r="L3495" s="114" t="b">
        <v>1</v>
      </c>
      <c r="M3495" s="114"/>
      <c r="N3495" s="114"/>
      <c r="O3495" s="114"/>
      <c r="P3495" s="114" t="s">
        <v>3752</v>
      </c>
      <c r="Q3495" s="114" t="s">
        <v>1228</v>
      </c>
    </row>
    <row r="3496" spans="2:17" hidden="1" outlineLevel="2">
      <c r="B3496" s="2" t="s">
        <v>876</v>
      </c>
      <c r="D3496" s="270">
        <v>6239</v>
      </c>
      <c r="E3496" s="112" t="s">
        <v>223</v>
      </c>
      <c r="F3496" s="112" t="s">
        <v>2572</v>
      </c>
      <c r="G3496" s="112" t="s">
        <v>1493</v>
      </c>
      <c r="H3496" s="112" t="s">
        <v>1505</v>
      </c>
      <c r="I3496" s="112"/>
      <c r="J3496" s="112" t="b">
        <v>0</v>
      </c>
      <c r="K3496" s="112"/>
      <c r="L3496" s="112"/>
      <c r="M3496" s="112"/>
      <c r="N3496" s="112"/>
      <c r="O3496" s="112"/>
      <c r="P3496" s="112" t="s">
        <v>3752</v>
      </c>
      <c r="Q3496" s="112" t="s">
        <v>1228</v>
      </c>
    </row>
    <row r="3497" spans="2:17" hidden="1" outlineLevel="2">
      <c r="B3497" s="2" t="s">
        <v>876</v>
      </c>
      <c r="D3497" s="268">
        <v>6240</v>
      </c>
      <c r="E3497" s="114" t="s">
        <v>223</v>
      </c>
      <c r="F3497" s="114" t="s">
        <v>3885</v>
      </c>
      <c r="G3497" s="114" t="s">
        <v>1512</v>
      </c>
      <c r="H3497" s="114" t="s">
        <v>1505</v>
      </c>
      <c r="I3497" s="114"/>
      <c r="J3497" s="114" t="b">
        <v>0</v>
      </c>
      <c r="K3497" s="114"/>
      <c r="L3497" s="114"/>
      <c r="M3497" s="114"/>
      <c r="N3497" s="114"/>
      <c r="O3497" s="114"/>
      <c r="P3497" s="114" t="s">
        <v>3752</v>
      </c>
      <c r="Q3497" s="114" t="s">
        <v>1228</v>
      </c>
    </row>
    <row r="3498" spans="2:17" hidden="1" outlineLevel="2">
      <c r="B3498" s="2" t="s">
        <v>876</v>
      </c>
      <c r="D3498" s="270">
        <v>6243</v>
      </c>
      <c r="E3498" s="112" t="s">
        <v>223</v>
      </c>
      <c r="F3498" s="112" t="s">
        <v>3886</v>
      </c>
      <c r="G3498" s="112" t="s">
        <v>1512</v>
      </c>
      <c r="H3498" s="112" t="s">
        <v>1505</v>
      </c>
      <c r="I3498" s="112"/>
      <c r="J3498" s="112" t="b">
        <v>0</v>
      </c>
      <c r="K3498" s="112"/>
      <c r="L3498" s="112"/>
      <c r="M3498" s="112"/>
      <c r="N3498" s="112"/>
      <c r="O3498" s="112"/>
      <c r="P3498" s="112" t="s">
        <v>3752</v>
      </c>
      <c r="Q3498" s="112" t="s">
        <v>1228</v>
      </c>
    </row>
    <row r="3499" spans="2:17" hidden="1" outlineLevel="2">
      <c r="B3499" s="2" t="s">
        <v>876</v>
      </c>
      <c r="D3499" s="268">
        <v>6244</v>
      </c>
      <c r="E3499" s="114" t="s">
        <v>223</v>
      </c>
      <c r="F3499" s="114" t="s">
        <v>3887</v>
      </c>
      <c r="G3499" s="114" t="s">
        <v>1512</v>
      </c>
      <c r="H3499" s="114" t="s">
        <v>1505</v>
      </c>
      <c r="I3499" s="114"/>
      <c r="J3499" s="114" t="b">
        <v>0</v>
      </c>
      <c r="K3499" s="114"/>
      <c r="L3499" s="114"/>
      <c r="M3499" s="114"/>
      <c r="N3499" s="114"/>
      <c r="O3499" s="114"/>
      <c r="P3499" s="114" t="s">
        <v>3752</v>
      </c>
      <c r="Q3499" s="114" t="s">
        <v>1228</v>
      </c>
    </row>
    <row r="3500" spans="2:17" hidden="1" outlineLevel="2">
      <c r="B3500" s="2" t="s">
        <v>876</v>
      </c>
      <c r="D3500" s="270">
        <v>6251</v>
      </c>
      <c r="E3500" s="112" t="s">
        <v>223</v>
      </c>
      <c r="F3500" s="112" t="s">
        <v>3888</v>
      </c>
      <c r="G3500" s="112" t="s">
        <v>1512</v>
      </c>
      <c r="H3500" s="112" t="s">
        <v>1505</v>
      </c>
      <c r="I3500" s="112"/>
      <c r="J3500" s="112" t="b">
        <v>0</v>
      </c>
      <c r="K3500" s="112"/>
      <c r="L3500" s="112"/>
      <c r="M3500" s="112"/>
      <c r="N3500" s="112"/>
      <c r="O3500" s="112"/>
      <c r="P3500" s="112" t="s">
        <v>3752</v>
      </c>
      <c r="Q3500" s="112" t="s">
        <v>1228</v>
      </c>
    </row>
    <row r="3501" spans="2:17" hidden="1" outlineLevel="2">
      <c r="B3501" s="2" t="s">
        <v>876</v>
      </c>
      <c r="D3501" s="268">
        <v>6252</v>
      </c>
      <c r="E3501" s="114" t="s">
        <v>223</v>
      </c>
      <c r="F3501" s="114" t="s">
        <v>3889</v>
      </c>
      <c r="G3501" s="114" t="s">
        <v>1512</v>
      </c>
      <c r="H3501" s="114" t="s">
        <v>1505</v>
      </c>
      <c r="I3501" s="114"/>
      <c r="J3501" s="114" t="b">
        <v>0</v>
      </c>
      <c r="K3501" s="114"/>
      <c r="L3501" s="114" t="b">
        <v>1</v>
      </c>
      <c r="M3501" s="114"/>
      <c r="N3501" s="114"/>
      <c r="O3501" s="114"/>
      <c r="P3501" s="114" t="s">
        <v>3752</v>
      </c>
      <c r="Q3501" s="114" t="s">
        <v>1228</v>
      </c>
    </row>
    <row r="3502" spans="2:17" hidden="1" outlineLevel="2">
      <c r="B3502" s="2" t="s">
        <v>876</v>
      </c>
      <c r="D3502" s="270">
        <v>6253</v>
      </c>
      <c r="E3502" s="112" t="s">
        <v>223</v>
      </c>
      <c r="F3502" s="112" t="s">
        <v>3890</v>
      </c>
      <c r="G3502" s="112" t="s">
        <v>1512</v>
      </c>
      <c r="H3502" s="112" t="s">
        <v>1505</v>
      </c>
      <c r="I3502" s="112"/>
      <c r="J3502" s="112" t="b">
        <v>0</v>
      </c>
      <c r="K3502" s="112"/>
      <c r="L3502" s="112" t="b">
        <v>1</v>
      </c>
      <c r="M3502" s="112"/>
      <c r="N3502" s="112"/>
      <c r="O3502" s="112"/>
      <c r="P3502" s="112" t="s">
        <v>3752</v>
      </c>
      <c r="Q3502" s="112" t="s">
        <v>1228</v>
      </c>
    </row>
    <row r="3503" spans="2:17" hidden="1" outlineLevel="2">
      <c r="B3503" s="2" t="s">
        <v>876</v>
      </c>
      <c r="D3503" s="268">
        <v>6254</v>
      </c>
      <c r="E3503" s="114" t="s">
        <v>223</v>
      </c>
      <c r="F3503" s="114" t="s">
        <v>3891</v>
      </c>
      <c r="G3503" s="114" t="s">
        <v>1512</v>
      </c>
      <c r="H3503" s="114" t="s">
        <v>1505</v>
      </c>
      <c r="I3503" s="114"/>
      <c r="J3503" s="114" t="b">
        <v>0</v>
      </c>
      <c r="K3503" s="114"/>
      <c r="L3503" s="114"/>
      <c r="M3503" s="114"/>
      <c r="N3503" s="114"/>
      <c r="O3503" s="114"/>
      <c r="P3503" s="114" t="s">
        <v>3752</v>
      </c>
      <c r="Q3503" s="114" t="s">
        <v>1228</v>
      </c>
    </row>
    <row r="3504" spans="2:17" hidden="1" outlineLevel="2">
      <c r="B3504" s="2" t="s">
        <v>876</v>
      </c>
      <c r="D3504" s="270">
        <v>6255</v>
      </c>
      <c r="E3504" s="112" t="s">
        <v>223</v>
      </c>
      <c r="F3504" s="112" t="s">
        <v>3892</v>
      </c>
      <c r="G3504" s="112" t="s">
        <v>1512</v>
      </c>
      <c r="H3504" s="112" t="s">
        <v>1505</v>
      </c>
      <c r="I3504" s="112"/>
      <c r="J3504" s="112" t="b">
        <v>0</v>
      </c>
      <c r="K3504" s="112"/>
      <c r="L3504" s="112"/>
      <c r="M3504" s="112"/>
      <c r="N3504" s="112"/>
      <c r="O3504" s="112"/>
      <c r="P3504" s="112" t="s">
        <v>3752</v>
      </c>
      <c r="Q3504" s="112" t="s">
        <v>1228</v>
      </c>
    </row>
    <row r="3505" spans="2:17" hidden="1" outlineLevel="2">
      <c r="B3505" s="2" t="s">
        <v>876</v>
      </c>
      <c r="D3505" s="268">
        <v>6256</v>
      </c>
      <c r="E3505" s="114" t="s">
        <v>223</v>
      </c>
      <c r="F3505" s="114" t="s">
        <v>3893</v>
      </c>
      <c r="G3505" s="114" t="s">
        <v>1512</v>
      </c>
      <c r="H3505" s="114" t="s">
        <v>1505</v>
      </c>
      <c r="I3505" s="114"/>
      <c r="J3505" s="114" t="b">
        <v>0</v>
      </c>
      <c r="K3505" s="114"/>
      <c r="L3505" s="114"/>
      <c r="M3505" s="114"/>
      <c r="N3505" s="114"/>
      <c r="O3505" s="114"/>
      <c r="P3505" s="114" t="s">
        <v>3752</v>
      </c>
      <c r="Q3505" s="114" t="s">
        <v>1228</v>
      </c>
    </row>
    <row r="3506" spans="2:17" hidden="1" outlineLevel="2">
      <c r="B3506" s="2" t="s">
        <v>876</v>
      </c>
      <c r="D3506" s="270">
        <v>6258</v>
      </c>
      <c r="E3506" s="112" t="s">
        <v>223</v>
      </c>
      <c r="F3506" s="112" t="s">
        <v>3894</v>
      </c>
      <c r="G3506" s="112" t="s">
        <v>1493</v>
      </c>
      <c r="H3506" s="112" t="s">
        <v>1505</v>
      </c>
      <c r="I3506" s="112"/>
      <c r="J3506" s="112" t="b">
        <v>0</v>
      </c>
      <c r="K3506" s="112"/>
      <c r="L3506" s="112"/>
      <c r="M3506" s="112"/>
      <c r="N3506" s="112"/>
      <c r="O3506" s="112"/>
      <c r="P3506" s="112" t="s">
        <v>3752</v>
      </c>
      <c r="Q3506" s="112" t="s">
        <v>1228</v>
      </c>
    </row>
    <row r="3507" spans="2:17" hidden="1" outlineLevel="2">
      <c r="B3507" s="2" t="s">
        <v>876</v>
      </c>
      <c r="D3507" s="268">
        <v>6260</v>
      </c>
      <c r="E3507" s="114" t="s">
        <v>223</v>
      </c>
      <c r="F3507" s="114" t="s">
        <v>3895</v>
      </c>
      <c r="G3507" s="114" t="s">
        <v>1512</v>
      </c>
      <c r="H3507" s="114" t="s">
        <v>1505</v>
      </c>
      <c r="I3507" s="114"/>
      <c r="J3507" s="114" t="b">
        <v>0</v>
      </c>
      <c r="K3507" s="114"/>
      <c r="L3507" s="114"/>
      <c r="M3507" s="114"/>
      <c r="N3507" s="114"/>
      <c r="O3507" s="114"/>
      <c r="P3507" s="114" t="s">
        <v>3752</v>
      </c>
      <c r="Q3507" s="114" t="s">
        <v>1228</v>
      </c>
    </row>
    <row r="3508" spans="2:17" hidden="1" outlineLevel="2">
      <c r="B3508" s="2" t="s">
        <v>876</v>
      </c>
      <c r="D3508" s="270">
        <v>6262</v>
      </c>
      <c r="E3508" s="112" t="s">
        <v>223</v>
      </c>
      <c r="F3508" s="112" t="s">
        <v>3896</v>
      </c>
      <c r="G3508" s="112" t="s">
        <v>1512</v>
      </c>
      <c r="H3508" s="112" t="s">
        <v>1505</v>
      </c>
      <c r="I3508" s="112"/>
      <c r="J3508" s="112" t="b">
        <v>0</v>
      </c>
      <c r="K3508" s="112"/>
      <c r="L3508" s="112"/>
      <c r="M3508" s="112"/>
      <c r="N3508" s="112"/>
      <c r="O3508" s="112"/>
      <c r="P3508" s="112" t="s">
        <v>3752</v>
      </c>
      <c r="Q3508" s="112" t="s">
        <v>1228</v>
      </c>
    </row>
    <row r="3509" spans="2:17" hidden="1" outlineLevel="2">
      <c r="B3509" s="2" t="s">
        <v>876</v>
      </c>
      <c r="D3509" s="268">
        <v>6271</v>
      </c>
      <c r="E3509" s="114" t="s">
        <v>223</v>
      </c>
      <c r="F3509" s="114" t="s">
        <v>3897</v>
      </c>
      <c r="G3509" s="114" t="s">
        <v>1493</v>
      </c>
      <c r="H3509" s="114" t="s">
        <v>1505</v>
      </c>
      <c r="I3509" s="114"/>
      <c r="J3509" s="114" t="b">
        <v>0</v>
      </c>
      <c r="K3509" s="114"/>
      <c r="L3509" s="114"/>
      <c r="M3509" s="114"/>
      <c r="N3509" s="114"/>
      <c r="O3509" s="114"/>
      <c r="P3509" s="114" t="s">
        <v>3752</v>
      </c>
      <c r="Q3509" s="114" t="s">
        <v>1228</v>
      </c>
    </row>
    <row r="3510" spans="2:17" hidden="1" outlineLevel="2">
      <c r="B3510" s="2" t="s">
        <v>876</v>
      </c>
      <c r="D3510" s="270">
        <v>6275</v>
      </c>
      <c r="E3510" s="112" t="s">
        <v>223</v>
      </c>
      <c r="F3510" s="112" t="s">
        <v>3898</v>
      </c>
      <c r="G3510" s="112" t="s">
        <v>1512</v>
      </c>
      <c r="H3510" s="112" t="s">
        <v>1505</v>
      </c>
      <c r="I3510" s="112"/>
      <c r="J3510" s="112" t="b">
        <v>0</v>
      </c>
      <c r="K3510" s="112"/>
      <c r="L3510" s="112"/>
      <c r="M3510" s="112"/>
      <c r="N3510" s="112"/>
      <c r="O3510" s="112"/>
      <c r="P3510" s="112" t="s">
        <v>3752</v>
      </c>
      <c r="Q3510" s="112" t="s">
        <v>1228</v>
      </c>
    </row>
    <row r="3511" spans="2:17" hidden="1" outlineLevel="2">
      <c r="B3511" s="2" t="s">
        <v>876</v>
      </c>
      <c r="D3511" s="268">
        <v>6280</v>
      </c>
      <c r="E3511" s="114" t="s">
        <v>223</v>
      </c>
      <c r="F3511" s="114" t="s">
        <v>3899</v>
      </c>
      <c r="G3511" s="114" t="s">
        <v>1483</v>
      </c>
      <c r="H3511" s="114" t="s">
        <v>1494</v>
      </c>
      <c r="I3511" s="114"/>
      <c r="J3511" s="114" t="b">
        <v>0</v>
      </c>
      <c r="K3511" s="114"/>
      <c r="L3511" s="114"/>
      <c r="M3511" s="114"/>
      <c r="N3511" s="114"/>
      <c r="O3511" s="114"/>
      <c r="P3511" s="114" t="s">
        <v>3752</v>
      </c>
      <c r="Q3511" s="114" t="s">
        <v>1228</v>
      </c>
    </row>
    <row r="3512" spans="2:17" hidden="1" outlineLevel="2">
      <c r="B3512" s="2" t="s">
        <v>876</v>
      </c>
      <c r="D3512" s="270">
        <v>6281</v>
      </c>
      <c r="E3512" s="112" t="s">
        <v>223</v>
      </c>
      <c r="F3512" s="112" t="s">
        <v>3900</v>
      </c>
      <c r="G3512" s="112" t="s">
        <v>1483</v>
      </c>
      <c r="H3512" s="112" t="s">
        <v>1494</v>
      </c>
      <c r="I3512" s="112"/>
      <c r="J3512" s="112" t="b">
        <v>0</v>
      </c>
      <c r="K3512" s="112"/>
      <c r="L3512" s="112"/>
      <c r="M3512" s="112"/>
      <c r="N3512" s="112"/>
      <c r="O3512" s="112"/>
      <c r="P3512" s="112" t="s">
        <v>3752</v>
      </c>
      <c r="Q3512" s="112" t="s">
        <v>1228</v>
      </c>
    </row>
    <row r="3513" spans="2:17" hidden="1" outlineLevel="2">
      <c r="B3513" s="2" t="s">
        <v>876</v>
      </c>
      <c r="D3513" s="268">
        <v>6282</v>
      </c>
      <c r="E3513" s="114" t="s">
        <v>223</v>
      </c>
      <c r="F3513" s="114" t="s">
        <v>3901</v>
      </c>
      <c r="G3513" s="114" t="s">
        <v>1483</v>
      </c>
      <c r="H3513" s="114" t="s">
        <v>1494</v>
      </c>
      <c r="I3513" s="114"/>
      <c r="J3513" s="114" t="b">
        <v>0</v>
      </c>
      <c r="K3513" s="114"/>
      <c r="L3513" s="114"/>
      <c r="M3513" s="114"/>
      <c r="N3513" s="114"/>
      <c r="O3513" s="114"/>
      <c r="P3513" s="114" t="s">
        <v>3752</v>
      </c>
      <c r="Q3513" s="114" t="s">
        <v>1228</v>
      </c>
    </row>
    <row r="3514" spans="2:17" hidden="1" outlineLevel="2">
      <c r="B3514" s="2" t="s">
        <v>876</v>
      </c>
      <c r="D3514" s="270">
        <v>6284</v>
      </c>
      <c r="E3514" s="112" t="s">
        <v>223</v>
      </c>
      <c r="F3514" s="112" t="s">
        <v>3902</v>
      </c>
      <c r="G3514" s="112" t="s">
        <v>1483</v>
      </c>
      <c r="H3514" s="112" t="s">
        <v>1494</v>
      </c>
      <c r="I3514" s="112"/>
      <c r="J3514" s="112" t="b">
        <v>0</v>
      </c>
      <c r="K3514" s="112"/>
      <c r="L3514" s="112"/>
      <c r="M3514" s="112"/>
      <c r="N3514" s="112"/>
      <c r="O3514" s="112"/>
      <c r="P3514" s="112" t="s">
        <v>3752</v>
      </c>
      <c r="Q3514" s="112" t="s">
        <v>1228</v>
      </c>
    </row>
    <row r="3515" spans="2:17" hidden="1" outlineLevel="2">
      <c r="B3515" s="2" t="s">
        <v>876</v>
      </c>
      <c r="D3515" s="268">
        <v>6285</v>
      </c>
      <c r="E3515" s="114" t="s">
        <v>223</v>
      </c>
      <c r="F3515" s="114" t="s">
        <v>3903</v>
      </c>
      <c r="G3515" s="114" t="s">
        <v>1483</v>
      </c>
      <c r="H3515" s="114" t="s">
        <v>1494</v>
      </c>
      <c r="I3515" s="114"/>
      <c r="J3515" s="114" t="b">
        <v>0</v>
      </c>
      <c r="K3515" s="114"/>
      <c r="L3515" s="114"/>
      <c r="M3515" s="114"/>
      <c r="N3515" s="114"/>
      <c r="O3515" s="114"/>
      <c r="P3515" s="114" t="s">
        <v>3752</v>
      </c>
      <c r="Q3515" s="114" t="s">
        <v>1228</v>
      </c>
    </row>
    <row r="3516" spans="2:17" hidden="1" outlineLevel="2">
      <c r="B3516" s="2" t="s">
        <v>876</v>
      </c>
      <c r="D3516" s="270">
        <v>6286</v>
      </c>
      <c r="E3516" s="112" t="s">
        <v>223</v>
      </c>
      <c r="F3516" s="112" t="s">
        <v>3904</v>
      </c>
      <c r="G3516" s="112" t="s">
        <v>1512</v>
      </c>
      <c r="H3516" s="112" t="s">
        <v>1505</v>
      </c>
      <c r="I3516" s="112"/>
      <c r="J3516" s="112" t="b">
        <v>0</v>
      </c>
      <c r="K3516" s="112"/>
      <c r="L3516" s="112"/>
      <c r="M3516" s="112"/>
      <c r="N3516" s="112"/>
      <c r="O3516" s="112"/>
      <c r="P3516" s="112" t="s">
        <v>3752</v>
      </c>
      <c r="Q3516" s="112" t="s">
        <v>1228</v>
      </c>
    </row>
    <row r="3517" spans="2:17" hidden="1" outlineLevel="2">
      <c r="B3517" s="2" t="s">
        <v>876</v>
      </c>
      <c r="D3517" s="268">
        <v>6288</v>
      </c>
      <c r="E3517" s="114" t="s">
        <v>223</v>
      </c>
      <c r="F3517" s="114" t="s">
        <v>3905</v>
      </c>
      <c r="G3517" s="114" t="s">
        <v>1512</v>
      </c>
      <c r="H3517" s="114" t="s">
        <v>1505</v>
      </c>
      <c r="I3517" s="114"/>
      <c r="J3517" s="114" t="b">
        <v>0</v>
      </c>
      <c r="K3517" s="114"/>
      <c r="L3517" s="114"/>
      <c r="M3517" s="114"/>
      <c r="N3517" s="114"/>
      <c r="O3517" s="114"/>
      <c r="P3517" s="114" t="s">
        <v>3752</v>
      </c>
      <c r="Q3517" s="114" t="s">
        <v>1228</v>
      </c>
    </row>
    <row r="3518" spans="2:17" hidden="1" outlineLevel="2">
      <c r="B3518" s="2" t="s">
        <v>876</v>
      </c>
      <c r="D3518" s="270">
        <v>6290</v>
      </c>
      <c r="E3518" s="112" t="s">
        <v>223</v>
      </c>
      <c r="F3518" s="112" t="s">
        <v>3906</v>
      </c>
      <c r="G3518" s="112" t="s">
        <v>1512</v>
      </c>
      <c r="H3518" s="112" t="s">
        <v>1505</v>
      </c>
      <c r="I3518" s="112"/>
      <c r="J3518" s="112" t="b">
        <v>0</v>
      </c>
      <c r="K3518" s="112"/>
      <c r="L3518" s="112"/>
      <c r="M3518" s="112"/>
      <c r="N3518" s="112"/>
      <c r="O3518" s="112"/>
      <c r="P3518" s="112" t="s">
        <v>3752</v>
      </c>
      <c r="Q3518" s="112" t="s">
        <v>1228</v>
      </c>
    </row>
    <row r="3519" spans="2:17" hidden="1" outlineLevel="2">
      <c r="B3519" s="2" t="s">
        <v>876</v>
      </c>
      <c r="D3519" s="268">
        <v>6302</v>
      </c>
      <c r="E3519" s="114" t="s">
        <v>223</v>
      </c>
      <c r="F3519" s="114" t="s">
        <v>3907</v>
      </c>
      <c r="G3519" s="114" t="s">
        <v>1493</v>
      </c>
      <c r="H3519" s="114" t="s">
        <v>1505</v>
      </c>
      <c r="I3519" s="114"/>
      <c r="J3519" s="114" t="b">
        <v>0</v>
      </c>
      <c r="K3519" s="114"/>
      <c r="L3519" s="114"/>
      <c r="M3519" s="114"/>
      <c r="N3519" s="114"/>
      <c r="O3519" s="114"/>
      <c r="P3519" s="114" t="s">
        <v>3752</v>
      </c>
      <c r="Q3519" s="114" t="s">
        <v>1228</v>
      </c>
    </row>
    <row r="3520" spans="2:17" hidden="1" outlineLevel="2">
      <c r="B3520" s="2" t="s">
        <v>876</v>
      </c>
      <c r="D3520" s="270">
        <v>6304</v>
      </c>
      <c r="E3520" s="112" t="s">
        <v>223</v>
      </c>
      <c r="F3520" s="112" t="s">
        <v>3908</v>
      </c>
      <c r="G3520" s="221" t="s">
        <v>1512</v>
      </c>
      <c r="H3520" s="112" t="s">
        <v>1505</v>
      </c>
      <c r="I3520" s="112"/>
      <c r="J3520" s="112" t="b">
        <v>0</v>
      </c>
      <c r="K3520" s="112"/>
      <c r="L3520" s="112"/>
      <c r="M3520" s="112"/>
      <c r="N3520" s="112"/>
      <c r="O3520" s="112"/>
      <c r="P3520" s="112" t="s">
        <v>3752</v>
      </c>
      <c r="Q3520" s="112" t="s">
        <v>1228</v>
      </c>
    </row>
    <row r="3521" spans="2:17" hidden="1" outlineLevel="2">
      <c r="B3521" s="2" t="s">
        <v>876</v>
      </c>
      <c r="D3521" s="268">
        <v>6306</v>
      </c>
      <c r="E3521" s="114" t="s">
        <v>223</v>
      </c>
      <c r="F3521" s="114" t="s">
        <v>3909</v>
      </c>
      <c r="G3521" s="221" t="s">
        <v>1512</v>
      </c>
      <c r="H3521" s="114" t="s">
        <v>1505</v>
      </c>
      <c r="I3521" s="114"/>
      <c r="J3521" s="114" t="b">
        <v>0</v>
      </c>
      <c r="K3521" s="114"/>
      <c r="L3521" s="114" t="b">
        <v>1</v>
      </c>
      <c r="M3521" s="114"/>
      <c r="N3521" s="114"/>
      <c r="O3521" s="114"/>
      <c r="P3521" s="114" t="s">
        <v>3752</v>
      </c>
      <c r="Q3521" s="114" t="s">
        <v>1228</v>
      </c>
    </row>
    <row r="3522" spans="2:17" hidden="1" outlineLevel="2">
      <c r="B3522" s="2" t="s">
        <v>876</v>
      </c>
      <c r="D3522" s="270">
        <v>6308</v>
      </c>
      <c r="E3522" s="112" t="s">
        <v>223</v>
      </c>
      <c r="F3522" s="112" t="s">
        <v>3910</v>
      </c>
      <c r="G3522" s="112" t="s">
        <v>1512</v>
      </c>
      <c r="H3522" s="112" t="s">
        <v>1512</v>
      </c>
      <c r="I3522" s="112"/>
      <c r="J3522" s="112" t="b">
        <v>0</v>
      </c>
      <c r="K3522" s="112"/>
      <c r="L3522" s="112"/>
      <c r="M3522" s="112"/>
      <c r="N3522" s="112"/>
      <c r="O3522" s="112"/>
      <c r="P3522" s="112" t="s">
        <v>3752</v>
      </c>
      <c r="Q3522" s="112" t="s">
        <v>1228</v>
      </c>
    </row>
    <row r="3523" spans="2:17" hidden="1" outlineLevel="2">
      <c r="B3523" s="2" t="s">
        <v>876</v>
      </c>
      <c r="D3523" s="268">
        <v>6309</v>
      </c>
      <c r="E3523" s="114" t="s">
        <v>223</v>
      </c>
      <c r="F3523" s="114" t="s">
        <v>3911</v>
      </c>
      <c r="G3523" s="114" t="s">
        <v>1512</v>
      </c>
      <c r="H3523" s="114" t="s">
        <v>1505</v>
      </c>
      <c r="I3523" s="114"/>
      <c r="J3523" s="114" t="b">
        <v>0</v>
      </c>
      <c r="K3523" s="114"/>
      <c r="L3523" s="114"/>
      <c r="M3523" s="114"/>
      <c r="N3523" s="114"/>
      <c r="O3523" s="114"/>
      <c r="P3523" s="114" t="s">
        <v>3752</v>
      </c>
      <c r="Q3523" s="114" t="s">
        <v>1228</v>
      </c>
    </row>
    <row r="3524" spans="2:17" hidden="1" outlineLevel="2">
      <c r="B3524" s="2" t="s">
        <v>876</v>
      </c>
      <c r="D3524" s="270">
        <v>6311</v>
      </c>
      <c r="E3524" s="112" t="s">
        <v>223</v>
      </c>
      <c r="F3524" s="112" t="s">
        <v>3912</v>
      </c>
      <c r="G3524" s="112" t="s">
        <v>1512</v>
      </c>
      <c r="H3524" s="112" t="s">
        <v>1505</v>
      </c>
      <c r="I3524" s="112"/>
      <c r="J3524" s="112" t="b">
        <v>0</v>
      </c>
      <c r="K3524" s="112"/>
      <c r="L3524" s="112"/>
      <c r="M3524" s="112"/>
      <c r="N3524" s="112"/>
      <c r="O3524" s="112"/>
      <c r="P3524" s="112" t="s">
        <v>3752</v>
      </c>
      <c r="Q3524" s="112" t="s">
        <v>1228</v>
      </c>
    </row>
    <row r="3525" spans="2:17" hidden="1" outlineLevel="2">
      <c r="B3525" s="2" t="s">
        <v>876</v>
      </c>
      <c r="D3525" s="268">
        <v>6312</v>
      </c>
      <c r="E3525" s="114" t="s">
        <v>223</v>
      </c>
      <c r="F3525" s="114" t="s">
        <v>3913</v>
      </c>
      <c r="G3525" s="221" t="s">
        <v>1493</v>
      </c>
      <c r="H3525" s="114" t="s">
        <v>1505</v>
      </c>
      <c r="I3525" s="114"/>
      <c r="J3525" s="114" t="b">
        <v>0</v>
      </c>
      <c r="K3525" s="114"/>
      <c r="L3525" s="114"/>
      <c r="M3525" s="114"/>
      <c r="N3525" s="114"/>
      <c r="O3525" s="114"/>
      <c r="P3525" s="114" t="s">
        <v>3752</v>
      </c>
      <c r="Q3525" s="114" t="s">
        <v>1228</v>
      </c>
    </row>
    <row r="3526" spans="2:17" hidden="1" outlineLevel="2">
      <c r="B3526" s="2" t="s">
        <v>876</v>
      </c>
      <c r="D3526" s="270">
        <v>6313</v>
      </c>
      <c r="E3526" s="112" t="s">
        <v>223</v>
      </c>
      <c r="F3526" s="112" t="s">
        <v>3484</v>
      </c>
      <c r="G3526" s="112" t="s">
        <v>1512</v>
      </c>
      <c r="H3526" s="112" t="s">
        <v>1505</v>
      </c>
      <c r="I3526" s="112"/>
      <c r="J3526" s="112" t="b">
        <v>0</v>
      </c>
      <c r="K3526" s="112"/>
      <c r="L3526" s="112"/>
      <c r="M3526" s="112"/>
      <c r="N3526" s="112"/>
      <c r="O3526" s="112"/>
      <c r="P3526" s="112" t="s">
        <v>3752</v>
      </c>
      <c r="Q3526" s="112" t="s">
        <v>1228</v>
      </c>
    </row>
    <row r="3527" spans="2:17" hidden="1" outlineLevel="2">
      <c r="B3527" s="2" t="s">
        <v>876</v>
      </c>
      <c r="D3527" s="268">
        <v>6315</v>
      </c>
      <c r="E3527" s="114" t="s">
        <v>223</v>
      </c>
      <c r="F3527" s="114" t="s">
        <v>3914</v>
      </c>
      <c r="G3527" s="221" t="s">
        <v>1512</v>
      </c>
      <c r="H3527" s="114" t="s">
        <v>1505</v>
      </c>
      <c r="I3527" s="114"/>
      <c r="J3527" s="114" t="b">
        <v>0</v>
      </c>
      <c r="K3527" s="114"/>
      <c r="L3527" s="114"/>
      <c r="M3527" s="114"/>
      <c r="N3527" s="114"/>
      <c r="O3527" s="114"/>
      <c r="P3527" s="114" t="s">
        <v>3752</v>
      </c>
      <c r="Q3527" s="114" t="s">
        <v>1228</v>
      </c>
    </row>
    <row r="3528" spans="2:17" hidden="1" outlineLevel="2">
      <c r="B3528" s="2" t="s">
        <v>876</v>
      </c>
      <c r="D3528" s="270">
        <v>6316</v>
      </c>
      <c r="E3528" s="112" t="s">
        <v>223</v>
      </c>
      <c r="F3528" s="112" t="s">
        <v>3915</v>
      </c>
      <c r="G3528" s="112" t="s">
        <v>1512</v>
      </c>
      <c r="H3528" s="112" t="s">
        <v>1505</v>
      </c>
      <c r="I3528" s="112"/>
      <c r="J3528" s="112" t="b">
        <v>0</v>
      </c>
      <c r="K3528" s="112"/>
      <c r="L3528" s="112"/>
      <c r="M3528" s="112"/>
      <c r="N3528" s="112"/>
      <c r="O3528" s="112"/>
      <c r="P3528" s="112" t="s">
        <v>3752</v>
      </c>
      <c r="Q3528" s="112" t="s">
        <v>1228</v>
      </c>
    </row>
    <row r="3529" spans="2:17" hidden="1" outlineLevel="2">
      <c r="B3529" s="2" t="s">
        <v>876</v>
      </c>
      <c r="D3529" s="268">
        <v>6317</v>
      </c>
      <c r="E3529" s="114" t="s">
        <v>223</v>
      </c>
      <c r="F3529" s="114" t="s">
        <v>3916</v>
      </c>
      <c r="G3529" s="221" t="s">
        <v>1493</v>
      </c>
      <c r="H3529" s="114" t="s">
        <v>1505</v>
      </c>
      <c r="I3529" s="114"/>
      <c r="J3529" s="114" t="b">
        <v>0</v>
      </c>
      <c r="K3529" s="114"/>
      <c r="L3529" s="114"/>
      <c r="M3529" s="114"/>
      <c r="N3529" s="114"/>
      <c r="O3529" s="114"/>
      <c r="P3529" s="114" t="s">
        <v>3752</v>
      </c>
      <c r="Q3529" s="114" t="s">
        <v>1228</v>
      </c>
    </row>
    <row r="3530" spans="2:17" hidden="1" outlineLevel="2">
      <c r="B3530" s="2" t="s">
        <v>876</v>
      </c>
      <c r="D3530" s="270">
        <v>6318</v>
      </c>
      <c r="E3530" s="112" t="s">
        <v>223</v>
      </c>
      <c r="F3530" s="112" t="s">
        <v>3917</v>
      </c>
      <c r="G3530" s="112" t="s">
        <v>1512</v>
      </c>
      <c r="H3530" s="112" t="s">
        <v>1505</v>
      </c>
      <c r="I3530" s="112"/>
      <c r="J3530" s="112" t="b">
        <v>0</v>
      </c>
      <c r="K3530" s="112"/>
      <c r="L3530" s="112"/>
      <c r="M3530" s="112"/>
      <c r="N3530" s="112"/>
      <c r="O3530" s="112"/>
      <c r="P3530" s="112" t="s">
        <v>3752</v>
      </c>
      <c r="Q3530" s="112" t="s">
        <v>1228</v>
      </c>
    </row>
    <row r="3531" spans="2:17" hidden="1" outlineLevel="2">
      <c r="B3531" s="2" t="s">
        <v>876</v>
      </c>
      <c r="D3531" s="268">
        <v>6320</v>
      </c>
      <c r="E3531" s="114" t="s">
        <v>223</v>
      </c>
      <c r="F3531" s="114" t="s">
        <v>3918</v>
      </c>
      <c r="G3531" s="114" t="s">
        <v>1512</v>
      </c>
      <c r="H3531" s="114" t="s">
        <v>1505</v>
      </c>
      <c r="I3531" s="114"/>
      <c r="J3531" s="114" t="b">
        <v>0</v>
      </c>
      <c r="K3531" s="114"/>
      <c r="L3531" s="114" t="b">
        <v>1</v>
      </c>
      <c r="M3531" s="114"/>
      <c r="N3531" s="114"/>
      <c r="O3531" s="114"/>
      <c r="P3531" s="114" t="s">
        <v>3752</v>
      </c>
      <c r="Q3531" s="114" t="s">
        <v>1228</v>
      </c>
    </row>
    <row r="3532" spans="2:17" hidden="1" outlineLevel="2">
      <c r="B3532" s="2" t="s">
        <v>876</v>
      </c>
      <c r="D3532" s="270">
        <v>6321</v>
      </c>
      <c r="E3532" s="112" t="s">
        <v>223</v>
      </c>
      <c r="F3532" s="112" t="s">
        <v>3919</v>
      </c>
      <c r="G3532" s="112" t="s">
        <v>1512</v>
      </c>
      <c r="H3532" s="112" t="s">
        <v>1505</v>
      </c>
      <c r="I3532" s="112"/>
      <c r="J3532" s="112" t="b">
        <v>0</v>
      </c>
      <c r="K3532" s="112"/>
      <c r="L3532" s="112"/>
      <c r="M3532" s="112"/>
      <c r="N3532" s="112"/>
      <c r="O3532" s="112"/>
      <c r="P3532" s="112" t="s">
        <v>3752</v>
      </c>
      <c r="Q3532" s="112" t="s">
        <v>1228</v>
      </c>
    </row>
    <row r="3533" spans="2:17" hidden="1" outlineLevel="2">
      <c r="B3533" s="2" t="s">
        <v>876</v>
      </c>
      <c r="D3533" s="268">
        <v>6322</v>
      </c>
      <c r="E3533" s="114" t="s">
        <v>223</v>
      </c>
      <c r="F3533" s="114" t="s">
        <v>3920</v>
      </c>
      <c r="G3533" s="114" t="s">
        <v>1512</v>
      </c>
      <c r="H3533" s="114" t="s">
        <v>1505</v>
      </c>
      <c r="I3533" s="114"/>
      <c r="J3533" s="114" t="b">
        <v>0</v>
      </c>
      <c r="K3533" s="114"/>
      <c r="L3533" s="114"/>
      <c r="M3533" s="114"/>
      <c r="N3533" s="114"/>
      <c r="O3533" s="114"/>
      <c r="P3533" s="114" t="s">
        <v>3752</v>
      </c>
      <c r="Q3533" s="114" t="s">
        <v>1228</v>
      </c>
    </row>
    <row r="3534" spans="2:17" hidden="1" outlineLevel="2">
      <c r="B3534" s="2" t="s">
        <v>876</v>
      </c>
      <c r="D3534" s="270">
        <v>6323</v>
      </c>
      <c r="E3534" s="112" t="s">
        <v>223</v>
      </c>
      <c r="F3534" s="112" t="s">
        <v>3921</v>
      </c>
      <c r="G3534" s="112" t="s">
        <v>1512</v>
      </c>
      <c r="H3534" s="112" t="s">
        <v>1505</v>
      </c>
      <c r="I3534" s="112"/>
      <c r="J3534" s="112" t="b">
        <v>0</v>
      </c>
      <c r="K3534" s="112"/>
      <c r="L3534" s="112"/>
      <c r="M3534" s="112"/>
      <c r="N3534" s="112"/>
      <c r="O3534" s="112"/>
      <c r="P3534" s="112" t="s">
        <v>3752</v>
      </c>
      <c r="Q3534" s="112" t="s">
        <v>1228</v>
      </c>
    </row>
    <row r="3535" spans="2:17" hidden="1" outlineLevel="2">
      <c r="B3535" s="2" t="s">
        <v>876</v>
      </c>
      <c r="D3535" s="268">
        <v>6324</v>
      </c>
      <c r="E3535" s="114" t="s">
        <v>223</v>
      </c>
      <c r="F3535" s="114" t="s">
        <v>3922</v>
      </c>
      <c r="G3535" s="114" t="s">
        <v>1512</v>
      </c>
      <c r="H3535" s="114" t="s">
        <v>1505</v>
      </c>
      <c r="I3535" s="114"/>
      <c r="J3535" s="114" t="b">
        <v>0</v>
      </c>
      <c r="K3535" s="114"/>
      <c r="L3535" s="114"/>
      <c r="M3535" s="114"/>
      <c r="N3535" s="114"/>
      <c r="O3535" s="114"/>
      <c r="P3535" s="114" t="s">
        <v>3752</v>
      </c>
      <c r="Q3535" s="114" t="s">
        <v>1228</v>
      </c>
    </row>
    <row r="3536" spans="2:17" hidden="1" outlineLevel="2">
      <c r="B3536" s="2" t="s">
        <v>876</v>
      </c>
      <c r="D3536" s="270">
        <v>6326</v>
      </c>
      <c r="E3536" s="112" t="s">
        <v>223</v>
      </c>
      <c r="F3536" s="112" t="s">
        <v>3923</v>
      </c>
      <c r="G3536" s="112" t="s">
        <v>1512</v>
      </c>
      <c r="H3536" s="112" t="s">
        <v>1505</v>
      </c>
      <c r="I3536" s="112"/>
      <c r="J3536" s="112" t="b">
        <v>0</v>
      </c>
      <c r="K3536" s="112"/>
      <c r="L3536" s="112"/>
      <c r="M3536" s="112"/>
      <c r="N3536" s="112"/>
      <c r="O3536" s="112"/>
      <c r="P3536" s="112" t="s">
        <v>3752</v>
      </c>
      <c r="Q3536" s="112" t="s">
        <v>1228</v>
      </c>
    </row>
    <row r="3537" spans="2:17" hidden="1" outlineLevel="2">
      <c r="B3537" s="2" t="s">
        <v>876</v>
      </c>
      <c r="D3537" s="268">
        <v>6327</v>
      </c>
      <c r="E3537" s="114" t="s">
        <v>223</v>
      </c>
      <c r="F3537" s="114" t="s">
        <v>3924</v>
      </c>
      <c r="G3537" s="114" t="s">
        <v>1512</v>
      </c>
      <c r="H3537" s="114" t="s">
        <v>1505</v>
      </c>
      <c r="I3537" s="114"/>
      <c r="J3537" s="114" t="b">
        <v>0</v>
      </c>
      <c r="K3537" s="114"/>
      <c r="L3537" s="114"/>
      <c r="M3537" s="114"/>
      <c r="N3537" s="114"/>
      <c r="O3537" s="114"/>
      <c r="P3537" s="114" t="s">
        <v>3752</v>
      </c>
      <c r="Q3537" s="114" t="s">
        <v>1228</v>
      </c>
    </row>
    <row r="3538" spans="2:17" hidden="1" outlineLevel="2">
      <c r="B3538" s="2" t="s">
        <v>876</v>
      </c>
      <c r="D3538" s="270">
        <v>6328</v>
      </c>
      <c r="E3538" s="112" t="s">
        <v>223</v>
      </c>
      <c r="F3538" s="112" t="s">
        <v>3925</v>
      </c>
      <c r="G3538" s="112" t="s">
        <v>1512</v>
      </c>
      <c r="H3538" s="112" t="s">
        <v>1505</v>
      </c>
      <c r="I3538" s="112"/>
      <c r="J3538" s="112" t="b">
        <v>0</v>
      </c>
      <c r="K3538" s="112"/>
      <c r="L3538" s="112"/>
      <c r="M3538" s="112"/>
      <c r="N3538" s="112"/>
      <c r="O3538" s="112"/>
      <c r="P3538" s="112" t="s">
        <v>3752</v>
      </c>
      <c r="Q3538" s="112" t="s">
        <v>1228</v>
      </c>
    </row>
    <row r="3539" spans="2:17" hidden="1" outlineLevel="2">
      <c r="B3539" s="2" t="s">
        <v>876</v>
      </c>
      <c r="D3539" s="268">
        <v>6330</v>
      </c>
      <c r="E3539" s="114" t="s">
        <v>223</v>
      </c>
      <c r="F3539" s="114" t="s">
        <v>3926</v>
      </c>
      <c r="G3539" s="114" t="s">
        <v>1483</v>
      </c>
      <c r="H3539" s="114" t="s">
        <v>1494</v>
      </c>
      <c r="I3539" s="114"/>
      <c r="J3539" s="114" t="b">
        <v>0</v>
      </c>
      <c r="K3539" s="114"/>
      <c r="L3539" s="114"/>
      <c r="M3539" s="114"/>
      <c r="N3539" s="114"/>
      <c r="O3539" s="114"/>
      <c r="P3539" s="114" t="s">
        <v>3752</v>
      </c>
      <c r="Q3539" s="114" t="s">
        <v>1228</v>
      </c>
    </row>
    <row r="3540" spans="2:17" hidden="1" outlineLevel="2">
      <c r="B3540" s="2" t="s">
        <v>876</v>
      </c>
      <c r="D3540" s="270">
        <v>6333</v>
      </c>
      <c r="E3540" s="112" t="s">
        <v>223</v>
      </c>
      <c r="F3540" s="112" t="s">
        <v>3927</v>
      </c>
      <c r="G3540" s="691" t="s">
        <v>1493</v>
      </c>
      <c r="H3540" s="112" t="s">
        <v>1505</v>
      </c>
      <c r="I3540" s="112"/>
      <c r="J3540" s="112" t="b">
        <v>0</v>
      </c>
      <c r="K3540" s="112"/>
      <c r="L3540" s="112"/>
      <c r="M3540" s="112"/>
      <c r="N3540" s="112"/>
      <c r="O3540" s="112"/>
      <c r="P3540" s="112" t="s">
        <v>3752</v>
      </c>
      <c r="Q3540" s="112" t="s">
        <v>1228</v>
      </c>
    </row>
    <row r="3541" spans="2:17" hidden="1" outlineLevel="2">
      <c r="B3541" s="2" t="s">
        <v>876</v>
      </c>
      <c r="D3541" s="268">
        <v>6335</v>
      </c>
      <c r="E3541" s="114" t="s">
        <v>223</v>
      </c>
      <c r="F3541" s="114" t="s">
        <v>3928</v>
      </c>
      <c r="G3541" s="114" t="s">
        <v>1512</v>
      </c>
      <c r="H3541" s="114" t="s">
        <v>1512</v>
      </c>
      <c r="I3541" s="114"/>
      <c r="J3541" s="114" t="b">
        <v>0</v>
      </c>
      <c r="K3541" s="114"/>
      <c r="L3541" s="114"/>
      <c r="M3541" s="114"/>
      <c r="N3541" s="114"/>
      <c r="O3541" s="114"/>
      <c r="P3541" s="114" t="s">
        <v>3752</v>
      </c>
      <c r="Q3541" s="114" t="s">
        <v>1228</v>
      </c>
    </row>
    <row r="3542" spans="2:17" hidden="1" outlineLevel="2">
      <c r="B3542" s="2" t="s">
        <v>876</v>
      </c>
      <c r="D3542" s="270">
        <v>6336</v>
      </c>
      <c r="E3542" s="112" t="s">
        <v>223</v>
      </c>
      <c r="F3542" s="112" t="s">
        <v>3929</v>
      </c>
      <c r="G3542" s="112" t="s">
        <v>1512</v>
      </c>
      <c r="H3542" s="112" t="s">
        <v>1505</v>
      </c>
      <c r="I3542" s="112"/>
      <c r="J3542" s="112" t="b">
        <v>0</v>
      </c>
      <c r="K3542" s="112"/>
      <c r="L3542" s="112" t="b">
        <v>1</v>
      </c>
      <c r="M3542" s="112"/>
      <c r="N3542" s="112"/>
      <c r="O3542" s="112"/>
      <c r="P3542" s="112" t="s">
        <v>3752</v>
      </c>
      <c r="Q3542" s="112" t="s">
        <v>1228</v>
      </c>
    </row>
    <row r="3543" spans="2:17" hidden="1" outlineLevel="2">
      <c r="B3543" s="2" t="s">
        <v>876</v>
      </c>
      <c r="D3543" s="268">
        <v>6337</v>
      </c>
      <c r="E3543" s="114" t="s">
        <v>223</v>
      </c>
      <c r="F3543" s="114" t="s">
        <v>3930</v>
      </c>
      <c r="G3543" s="114" t="s">
        <v>1512</v>
      </c>
      <c r="H3543" s="114" t="s">
        <v>1505</v>
      </c>
      <c r="I3543" s="114"/>
      <c r="J3543" s="114" t="b">
        <v>0</v>
      </c>
      <c r="K3543" s="114"/>
      <c r="L3543" s="114" t="b">
        <v>1</v>
      </c>
      <c r="M3543" s="114"/>
      <c r="N3543" s="114"/>
      <c r="O3543" s="114"/>
      <c r="P3543" s="114" t="s">
        <v>3752</v>
      </c>
      <c r="Q3543" s="114" t="s">
        <v>1228</v>
      </c>
    </row>
    <row r="3544" spans="2:17" hidden="1" outlineLevel="2">
      <c r="B3544" s="2" t="s">
        <v>876</v>
      </c>
      <c r="D3544" s="270">
        <v>6338</v>
      </c>
      <c r="E3544" s="112" t="s">
        <v>223</v>
      </c>
      <c r="F3544" s="112" t="s">
        <v>3931</v>
      </c>
      <c r="G3544" s="112" t="s">
        <v>1512</v>
      </c>
      <c r="H3544" s="112" t="s">
        <v>1505</v>
      </c>
      <c r="I3544" s="112"/>
      <c r="J3544" s="112" t="b">
        <v>0</v>
      </c>
      <c r="K3544" s="112"/>
      <c r="L3544" s="112"/>
      <c r="M3544" s="112"/>
      <c r="N3544" s="112"/>
      <c r="O3544" s="112"/>
      <c r="P3544" s="112" t="s">
        <v>3752</v>
      </c>
      <c r="Q3544" s="112" t="s">
        <v>1228</v>
      </c>
    </row>
    <row r="3545" spans="2:17" hidden="1" outlineLevel="2">
      <c r="B3545" s="2" t="s">
        <v>876</v>
      </c>
      <c r="D3545" s="268">
        <v>6341</v>
      </c>
      <c r="E3545" s="114" t="s">
        <v>223</v>
      </c>
      <c r="F3545" s="114" t="s">
        <v>3932</v>
      </c>
      <c r="G3545" s="114" t="s">
        <v>1512</v>
      </c>
      <c r="H3545" s="114" t="s">
        <v>1505</v>
      </c>
      <c r="I3545" s="114"/>
      <c r="J3545" s="114" t="b">
        <v>0</v>
      </c>
      <c r="K3545" s="114"/>
      <c r="L3545" s="114"/>
      <c r="M3545" s="114"/>
      <c r="N3545" s="114"/>
      <c r="O3545" s="114"/>
      <c r="P3545" s="114" t="s">
        <v>3752</v>
      </c>
      <c r="Q3545" s="114" t="s">
        <v>1228</v>
      </c>
    </row>
    <row r="3546" spans="2:17" hidden="1" outlineLevel="2">
      <c r="B3546" s="2" t="s">
        <v>876</v>
      </c>
      <c r="D3546" s="270">
        <v>6343</v>
      </c>
      <c r="E3546" s="112" t="s">
        <v>223</v>
      </c>
      <c r="F3546" s="112" t="s">
        <v>3933</v>
      </c>
      <c r="G3546" s="112" t="s">
        <v>1512</v>
      </c>
      <c r="H3546" s="112" t="s">
        <v>1505</v>
      </c>
      <c r="I3546" s="112"/>
      <c r="J3546" s="112" t="b">
        <v>0</v>
      </c>
      <c r="K3546" s="112"/>
      <c r="L3546" s="112"/>
      <c r="M3546" s="112"/>
      <c r="N3546" s="112"/>
      <c r="O3546" s="112"/>
      <c r="P3546" s="112" t="s">
        <v>3752</v>
      </c>
      <c r="Q3546" s="112" t="s">
        <v>1228</v>
      </c>
    </row>
    <row r="3547" spans="2:17" hidden="1" outlineLevel="2">
      <c r="B3547" s="2" t="s">
        <v>876</v>
      </c>
      <c r="D3547" s="268">
        <v>6346</v>
      </c>
      <c r="E3547" s="114" t="s">
        <v>223</v>
      </c>
      <c r="F3547" s="114" t="s">
        <v>3934</v>
      </c>
      <c r="G3547" s="114" t="s">
        <v>1512</v>
      </c>
      <c r="H3547" s="114" t="s">
        <v>1512</v>
      </c>
      <c r="I3547" s="114"/>
      <c r="J3547" s="114" t="b">
        <v>0</v>
      </c>
      <c r="K3547" s="114" t="s">
        <v>1484</v>
      </c>
      <c r="L3547" s="114" t="b">
        <v>1</v>
      </c>
      <c r="M3547" s="114"/>
      <c r="N3547" s="114"/>
      <c r="O3547" s="114"/>
      <c r="P3547" s="114" t="s">
        <v>3752</v>
      </c>
      <c r="Q3547" s="114" t="s">
        <v>1228</v>
      </c>
    </row>
    <row r="3548" spans="2:17" hidden="1" outlineLevel="2">
      <c r="B3548" s="2" t="s">
        <v>876</v>
      </c>
      <c r="D3548" s="270">
        <v>6348</v>
      </c>
      <c r="E3548" s="112" t="s">
        <v>223</v>
      </c>
      <c r="F3548" s="112" t="s">
        <v>2501</v>
      </c>
      <c r="G3548" s="112" t="s">
        <v>1512</v>
      </c>
      <c r="H3548" s="112" t="s">
        <v>1512</v>
      </c>
      <c r="I3548" s="112"/>
      <c r="J3548" s="112" t="b">
        <v>0</v>
      </c>
      <c r="K3548" s="112" t="s">
        <v>1484</v>
      </c>
      <c r="L3548" s="112" t="b">
        <v>1</v>
      </c>
      <c r="M3548" s="112"/>
      <c r="N3548" s="112"/>
      <c r="O3548" s="112"/>
      <c r="P3548" s="112" t="s">
        <v>3752</v>
      </c>
      <c r="Q3548" s="112" t="s">
        <v>1228</v>
      </c>
    </row>
    <row r="3549" spans="2:17" hidden="1" outlineLevel="2">
      <c r="B3549" s="2" t="s">
        <v>876</v>
      </c>
      <c r="D3549" s="268">
        <v>6350</v>
      </c>
      <c r="E3549" s="114" t="s">
        <v>223</v>
      </c>
      <c r="F3549" s="114" t="s">
        <v>3935</v>
      </c>
      <c r="G3549" s="114" t="s">
        <v>1512</v>
      </c>
      <c r="H3549" s="114" t="s">
        <v>1505</v>
      </c>
      <c r="I3549" s="114"/>
      <c r="J3549" s="114" t="b">
        <v>0</v>
      </c>
      <c r="K3549" s="114"/>
      <c r="L3549" s="114"/>
      <c r="M3549" s="114"/>
      <c r="N3549" s="114"/>
      <c r="O3549" s="114"/>
      <c r="P3549" s="114" t="s">
        <v>3752</v>
      </c>
      <c r="Q3549" s="114" t="s">
        <v>1228</v>
      </c>
    </row>
    <row r="3550" spans="2:17" hidden="1" outlineLevel="2">
      <c r="B3550" s="2" t="s">
        <v>876</v>
      </c>
      <c r="D3550" s="270">
        <v>6351</v>
      </c>
      <c r="E3550" s="112" t="s">
        <v>223</v>
      </c>
      <c r="F3550" s="112" t="s">
        <v>3936</v>
      </c>
      <c r="G3550" s="112" t="s">
        <v>1512</v>
      </c>
      <c r="H3550" s="112" t="s">
        <v>1505</v>
      </c>
      <c r="I3550" s="112"/>
      <c r="J3550" s="112" t="b">
        <v>0</v>
      </c>
      <c r="K3550" s="112"/>
      <c r="L3550" s="112"/>
      <c r="M3550" s="112"/>
      <c r="N3550" s="112"/>
      <c r="O3550" s="112"/>
      <c r="P3550" s="112" t="s">
        <v>3752</v>
      </c>
      <c r="Q3550" s="112" t="s">
        <v>1228</v>
      </c>
    </row>
    <row r="3551" spans="2:17" hidden="1" outlineLevel="2">
      <c r="B3551" s="2" t="s">
        <v>876</v>
      </c>
      <c r="D3551" s="268">
        <v>6352</v>
      </c>
      <c r="E3551" s="114" t="s">
        <v>223</v>
      </c>
      <c r="F3551" s="114" t="s">
        <v>3937</v>
      </c>
      <c r="G3551" s="114" t="s">
        <v>1512</v>
      </c>
      <c r="H3551" s="114" t="s">
        <v>1505</v>
      </c>
      <c r="I3551" s="114"/>
      <c r="J3551" s="114" t="b">
        <v>0</v>
      </c>
      <c r="K3551" s="114"/>
      <c r="L3551" s="114"/>
      <c r="M3551" s="114"/>
      <c r="N3551" s="114"/>
      <c r="O3551" s="114"/>
      <c r="P3551" s="114" t="s">
        <v>3752</v>
      </c>
      <c r="Q3551" s="114" t="s">
        <v>1228</v>
      </c>
    </row>
    <row r="3552" spans="2:17" hidden="1" outlineLevel="2">
      <c r="B3552" s="2" t="s">
        <v>876</v>
      </c>
      <c r="D3552" s="270">
        <v>6353</v>
      </c>
      <c r="E3552" s="112" t="s">
        <v>223</v>
      </c>
      <c r="F3552" s="112" t="s">
        <v>3938</v>
      </c>
      <c r="G3552" s="112" t="s">
        <v>1512</v>
      </c>
      <c r="H3552" s="112" t="s">
        <v>1505</v>
      </c>
      <c r="I3552" s="112"/>
      <c r="J3552" s="112" t="b">
        <v>0</v>
      </c>
      <c r="K3552" s="112"/>
      <c r="L3552" s="112"/>
      <c r="M3552" s="112"/>
      <c r="N3552" s="112"/>
      <c r="O3552" s="112"/>
      <c r="P3552" s="112" t="s">
        <v>3752</v>
      </c>
      <c r="Q3552" s="112" t="s">
        <v>1228</v>
      </c>
    </row>
    <row r="3553" spans="2:17" hidden="1" outlineLevel="2">
      <c r="B3553" s="2" t="s">
        <v>876</v>
      </c>
      <c r="D3553" s="268">
        <v>6355</v>
      </c>
      <c r="E3553" s="114" t="s">
        <v>223</v>
      </c>
      <c r="F3553" s="114" t="s">
        <v>3939</v>
      </c>
      <c r="G3553" s="114" t="s">
        <v>1512</v>
      </c>
      <c r="H3553" s="114" t="s">
        <v>1512</v>
      </c>
      <c r="I3553" s="114"/>
      <c r="J3553" s="114" t="b">
        <v>0</v>
      </c>
      <c r="K3553" s="114"/>
      <c r="L3553" s="114"/>
      <c r="M3553" s="114"/>
      <c r="N3553" s="114"/>
      <c r="O3553" s="114"/>
      <c r="P3553" s="114" t="s">
        <v>3752</v>
      </c>
      <c r="Q3553" s="114" t="s">
        <v>1228</v>
      </c>
    </row>
    <row r="3554" spans="2:17" hidden="1" outlineLevel="2">
      <c r="B3554" s="2" t="s">
        <v>876</v>
      </c>
      <c r="D3554" s="270">
        <v>6356</v>
      </c>
      <c r="E3554" s="112" t="s">
        <v>223</v>
      </c>
      <c r="F3554" s="112" t="s">
        <v>3940</v>
      </c>
      <c r="G3554" s="112" t="s">
        <v>1512</v>
      </c>
      <c r="H3554" s="112" t="s">
        <v>1505</v>
      </c>
      <c r="I3554" s="112"/>
      <c r="J3554" s="112" t="b">
        <v>0</v>
      </c>
      <c r="K3554" s="112"/>
      <c r="L3554" s="112" t="b">
        <v>1</v>
      </c>
      <c r="M3554" s="112"/>
      <c r="N3554" s="112"/>
      <c r="O3554" s="112"/>
      <c r="P3554" s="112" t="s">
        <v>3752</v>
      </c>
      <c r="Q3554" s="112" t="s">
        <v>1228</v>
      </c>
    </row>
    <row r="3555" spans="2:17" hidden="1" outlineLevel="2">
      <c r="B3555" s="2" t="s">
        <v>876</v>
      </c>
      <c r="D3555" s="268">
        <v>6357</v>
      </c>
      <c r="E3555" s="114" t="s">
        <v>223</v>
      </c>
      <c r="F3555" s="114" t="s">
        <v>3941</v>
      </c>
      <c r="G3555" s="114" t="s">
        <v>1512</v>
      </c>
      <c r="H3555" s="114" t="s">
        <v>1505</v>
      </c>
      <c r="I3555" s="114"/>
      <c r="J3555" s="114" t="b">
        <v>0</v>
      </c>
      <c r="K3555" s="114"/>
      <c r="L3555" s="114"/>
      <c r="M3555" s="114"/>
      <c r="N3555" s="114"/>
      <c r="O3555" s="114"/>
      <c r="P3555" s="114" t="s">
        <v>3752</v>
      </c>
      <c r="Q3555" s="114" t="s">
        <v>1228</v>
      </c>
    </row>
    <row r="3556" spans="2:17" hidden="1" outlineLevel="2">
      <c r="B3556" s="2" t="s">
        <v>876</v>
      </c>
      <c r="D3556" s="270">
        <v>6358</v>
      </c>
      <c r="E3556" s="112" t="s">
        <v>223</v>
      </c>
      <c r="F3556" s="112" t="s">
        <v>3942</v>
      </c>
      <c r="G3556" s="112" t="s">
        <v>1512</v>
      </c>
      <c r="H3556" s="112" t="s">
        <v>1505</v>
      </c>
      <c r="I3556" s="112"/>
      <c r="J3556" s="112" t="b">
        <v>0</v>
      </c>
      <c r="K3556" s="112"/>
      <c r="L3556" s="112"/>
      <c r="M3556" s="112"/>
      <c r="N3556" s="112"/>
      <c r="O3556" s="112"/>
      <c r="P3556" s="112" t="s">
        <v>3752</v>
      </c>
      <c r="Q3556" s="112" t="s">
        <v>1228</v>
      </c>
    </row>
    <row r="3557" spans="2:17" hidden="1" outlineLevel="2">
      <c r="B3557" s="2" t="s">
        <v>876</v>
      </c>
      <c r="D3557" s="268">
        <v>6359</v>
      </c>
      <c r="E3557" s="114" t="s">
        <v>223</v>
      </c>
      <c r="F3557" s="114" t="s">
        <v>3943</v>
      </c>
      <c r="G3557" s="114" t="s">
        <v>1512</v>
      </c>
      <c r="H3557" s="114" t="s">
        <v>1505</v>
      </c>
      <c r="I3557" s="114"/>
      <c r="J3557" s="114" t="b">
        <v>0</v>
      </c>
      <c r="K3557" s="114"/>
      <c r="L3557" s="114"/>
      <c r="M3557" s="114"/>
      <c r="N3557" s="114"/>
      <c r="O3557" s="114"/>
      <c r="P3557" s="114" t="s">
        <v>3752</v>
      </c>
      <c r="Q3557" s="114" t="s">
        <v>1228</v>
      </c>
    </row>
    <row r="3558" spans="2:17" hidden="1" outlineLevel="2">
      <c r="B3558" s="2" t="s">
        <v>876</v>
      </c>
      <c r="D3558" s="270">
        <v>6361</v>
      </c>
      <c r="E3558" s="112" t="s">
        <v>223</v>
      </c>
      <c r="F3558" s="112" t="s">
        <v>3944</v>
      </c>
      <c r="G3558" s="112" t="s">
        <v>1512</v>
      </c>
      <c r="H3558" s="112" t="s">
        <v>1505</v>
      </c>
      <c r="I3558" s="112"/>
      <c r="J3558" s="112" t="b">
        <v>0</v>
      </c>
      <c r="K3558" s="112"/>
      <c r="L3558" s="112"/>
      <c r="M3558" s="112"/>
      <c r="N3558" s="112"/>
      <c r="O3558" s="112"/>
      <c r="P3558" s="112" t="s">
        <v>3752</v>
      </c>
      <c r="Q3558" s="112" t="s">
        <v>1228</v>
      </c>
    </row>
    <row r="3559" spans="2:17" hidden="1" outlineLevel="2">
      <c r="B3559" s="2" t="s">
        <v>876</v>
      </c>
      <c r="D3559" s="268">
        <v>6363</v>
      </c>
      <c r="E3559" s="114" t="s">
        <v>223</v>
      </c>
      <c r="F3559" s="114" t="s">
        <v>3945</v>
      </c>
      <c r="G3559" s="114" t="s">
        <v>1512</v>
      </c>
      <c r="H3559" s="114" t="s">
        <v>1505</v>
      </c>
      <c r="I3559" s="114"/>
      <c r="J3559" s="114" t="b">
        <v>0</v>
      </c>
      <c r="K3559" s="114"/>
      <c r="L3559" s="114"/>
      <c r="M3559" s="114"/>
      <c r="N3559" s="114"/>
      <c r="O3559" s="114"/>
      <c r="P3559" s="114" t="s">
        <v>3752</v>
      </c>
      <c r="Q3559" s="114" t="s">
        <v>1228</v>
      </c>
    </row>
    <row r="3560" spans="2:17" hidden="1" outlineLevel="2">
      <c r="B3560" s="2" t="s">
        <v>876</v>
      </c>
      <c r="D3560" s="270">
        <v>6365</v>
      </c>
      <c r="E3560" s="112" t="s">
        <v>223</v>
      </c>
      <c r="F3560" s="112" t="s">
        <v>3946</v>
      </c>
      <c r="G3560" s="112" t="s">
        <v>1512</v>
      </c>
      <c r="H3560" s="112" t="s">
        <v>1505</v>
      </c>
      <c r="I3560" s="112"/>
      <c r="J3560" s="112" t="b">
        <v>0</v>
      </c>
      <c r="K3560" s="112"/>
      <c r="L3560" s="112"/>
      <c r="M3560" s="112"/>
      <c r="N3560" s="112"/>
      <c r="O3560" s="112"/>
      <c r="P3560" s="112" t="s">
        <v>3752</v>
      </c>
      <c r="Q3560" s="112" t="s">
        <v>1228</v>
      </c>
    </row>
    <row r="3561" spans="2:17" hidden="1" outlineLevel="2">
      <c r="B3561" s="2" t="s">
        <v>876</v>
      </c>
      <c r="D3561" s="268">
        <v>6367</v>
      </c>
      <c r="E3561" s="114" t="s">
        <v>223</v>
      </c>
      <c r="F3561" s="114" t="s">
        <v>3947</v>
      </c>
      <c r="G3561" s="114" t="s">
        <v>1512</v>
      </c>
      <c r="H3561" s="114" t="s">
        <v>1505</v>
      </c>
      <c r="I3561" s="114"/>
      <c r="J3561" s="114" t="b">
        <v>0</v>
      </c>
      <c r="K3561" s="114"/>
      <c r="L3561" s="114"/>
      <c r="M3561" s="114"/>
      <c r="N3561" s="114"/>
      <c r="O3561" s="114"/>
      <c r="P3561" s="114" t="s">
        <v>3752</v>
      </c>
      <c r="Q3561" s="114" t="s">
        <v>1228</v>
      </c>
    </row>
    <row r="3562" spans="2:17" hidden="1" outlineLevel="2">
      <c r="B3562" s="2" t="s">
        <v>876</v>
      </c>
      <c r="D3562" s="270">
        <v>6368</v>
      </c>
      <c r="E3562" s="112" t="s">
        <v>223</v>
      </c>
      <c r="F3562" s="112" t="s">
        <v>3948</v>
      </c>
      <c r="G3562" s="112" t="s">
        <v>1512</v>
      </c>
      <c r="H3562" s="112" t="s">
        <v>1505</v>
      </c>
      <c r="I3562" s="112"/>
      <c r="J3562" s="112" t="b">
        <v>0</v>
      </c>
      <c r="K3562" s="112"/>
      <c r="L3562" s="112"/>
      <c r="M3562" s="112"/>
      <c r="N3562" s="112"/>
      <c r="O3562" s="112"/>
      <c r="P3562" s="112" t="s">
        <v>3752</v>
      </c>
      <c r="Q3562" s="112" t="s">
        <v>1228</v>
      </c>
    </row>
    <row r="3563" spans="2:17" hidden="1" outlineLevel="2">
      <c r="B3563" s="2" t="s">
        <v>876</v>
      </c>
      <c r="D3563" s="268">
        <v>6369</v>
      </c>
      <c r="E3563" s="114" t="s">
        <v>223</v>
      </c>
      <c r="F3563" s="114" t="s">
        <v>3949</v>
      </c>
      <c r="G3563" s="114" t="s">
        <v>1512</v>
      </c>
      <c r="H3563" s="114" t="s">
        <v>1505</v>
      </c>
      <c r="I3563" s="114"/>
      <c r="J3563" s="114" t="b">
        <v>0</v>
      </c>
      <c r="K3563" s="114"/>
      <c r="L3563" s="114"/>
      <c r="M3563" s="114"/>
      <c r="N3563" s="114"/>
      <c r="O3563" s="114"/>
      <c r="P3563" s="114" t="s">
        <v>3752</v>
      </c>
      <c r="Q3563" s="114" t="s">
        <v>1228</v>
      </c>
    </row>
    <row r="3564" spans="2:17" hidden="1" outlineLevel="2">
      <c r="B3564" s="2" t="s">
        <v>876</v>
      </c>
      <c r="D3564" s="270">
        <v>6370</v>
      </c>
      <c r="E3564" s="112" t="s">
        <v>223</v>
      </c>
      <c r="F3564" s="112" t="s">
        <v>3950</v>
      </c>
      <c r="G3564" s="112" t="s">
        <v>1512</v>
      </c>
      <c r="H3564" s="112" t="s">
        <v>1505</v>
      </c>
      <c r="I3564" s="112"/>
      <c r="J3564" s="112" t="b">
        <v>0</v>
      </c>
      <c r="K3564" s="112"/>
      <c r="L3564" s="112" t="b">
        <v>1</v>
      </c>
      <c r="M3564" s="112"/>
      <c r="N3564" s="112"/>
      <c r="O3564" s="112"/>
      <c r="P3564" s="112" t="s">
        <v>3752</v>
      </c>
      <c r="Q3564" s="112" t="s">
        <v>1228</v>
      </c>
    </row>
    <row r="3565" spans="2:17" hidden="1" outlineLevel="2">
      <c r="B3565" s="2" t="s">
        <v>876</v>
      </c>
      <c r="D3565" s="268">
        <v>6372</v>
      </c>
      <c r="E3565" s="114" t="s">
        <v>223</v>
      </c>
      <c r="F3565" s="114" t="s">
        <v>3951</v>
      </c>
      <c r="G3565" s="114" t="s">
        <v>1512</v>
      </c>
      <c r="H3565" s="114" t="s">
        <v>1505</v>
      </c>
      <c r="I3565" s="114"/>
      <c r="J3565" s="114" t="b">
        <v>0</v>
      </c>
      <c r="K3565" s="114"/>
      <c r="L3565" s="114" t="b">
        <v>1</v>
      </c>
      <c r="M3565" s="114"/>
      <c r="N3565" s="114"/>
      <c r="O3565" s="114"/>
      <c r="P3565" s="114" t="s">
        <v>3752</v>
      </c>
      <c r="Q3565" s="114" t="s">
        <v>1228</v>
      </c>
    </row>
    <row r="3566" spans="2:17" hidden="1" outlineLevel="2">
      <c r="B3566" s="2" t="s">
        <v>876</v>
      </c>
      <c r="D3566" s="270">
        <v>6373</v>
      </c>
      <c r="E3566" s="112" t="s">
        <v>223</v>
      </c>
      <c r="F3566" s="112" t="s">
        <v>3952</v>
      </c>
      <c r="G3566" s="112" t="s">
        <v>1512</v>
      </c>
      <c r="H3566" s="112" t="s">
        <v>1505</v>
      </c>
      <c r="I3566" s="112"/>
      <c r="J3566" s="112" t="b">
        <v>0</v>
      </c>
      <c r="K3566" s="112"/>
      <c r="L3566" s="112" t="b">
        <v>1</v>
      </c>
      <c r="M3566" s="112"/>
      <c r="N3566" s="112"/>
      <c r="O3566" s="112"/>
      <c r="P3566" s="112" t="s">
        <v>3752</v>
      </c>
      <c r="Q3566" s="112" t="s">
        <v>1228</v>
      </c>
    </row>
    <row r="3567" spans="2:17" hidden="1" outlineLevel="2">
      <c r="B3567" s="2" t="s">
        <v>876</v>
      </c>
      <c r="D3567" s="268">
        <v>6375</v>
      </c>
      <c r="E3567" s="114" t="s">
        <v>223</v>
      </c>
      <c r="F3567" s="114" t="s">
        <v>3953</v>
      </c>
      <c r="G3567" s="114" t="s">
        <v>1512</v>
      </c>
      <c r="H3567" s="114" t="s">
        <v>1505</v>
      </c>
      <c r="I3567" s="114"/>
      <c r="J3567" s="114" t="b">
        <v>0</v>
      </c>
      <c r="K3567" s="114"/>
      <c r="L3567" s="114"/>
      <c r="M3567" s="114"/>
      <c r="N3567" s="114"/>
      <c r="O3567" s="114"/>
      <c r="P3567" s="114" t="s">
        <v>3752</v>
      </c>
      <c r="Q3567" s="114" t="s">
        <v>1228</v>
      </c>
    </row>
    <row r="3568" spans="2:17" hidden="1" outlineLevel="2">
      <c r="B3568" s="2" t="s">
        <v>876</v>
      </c>
      <c r="D3568" s="270">
        <v>6383</v>
      </c>
      <c r="E3568" s="112" t="s">
        <v>223</v>
      </c>
      <c r="F3568" s="112" t="s">
        <v>3954</v>
      </c>
      <c r="G3568" s="112" t="s">
        <v>1512</v>
      </c>
      <c r="H3568" s="112" t="s">
        <v>1505</v>
      </c>
      <c r="I3568" s="112"/>
      <c r="J3568" s="112" t="b">
        <v>0</v>
      </c>
      <c r="K3568" s="112"/>
      <c r="L3568" s="112" t="b">
        <v>1</v>
      </c>
      <c r="M3568" s="112"/>
      <c r="N3568" s="112"/>
      <c r="O3568" s="112"/>
      <c r="P3568" s="112" t="s">
        <v>3752</v>
      </c>
      <c r="Q3568" s="112" t="s">
        <v>1228</v>
      </c>
    </row>
    <row r="3569" spans="2:17" hidden="1" outlineLevel="2">
      <c r="B3569" s="2" t="s">
        <v>876</v>
      </c>
      <c r="D3569" s="268">
        <v>6384</v>
      </c>
      <c r="E3569" s="114" t="s">
        <v>223</v>
      </c>
      <c r="F3569" s="114" t="s">
        <v>3955</v>
      </c>
      <c r="G3569" s="114" t="s">
        <v>1512</v>
      </c>
      <c r="H3569" s="114" t="s">
        <v>1505</v>
      </c>
      <c r="I3569" s="114"/>
      <c r="J3569" s="114" t="b">
        <v>0</v>
      </c>
      <c r="K3569" s="114"/>
      <c r="L3569" s="114"/>
      <c r="M3569" s="114"/>
      <c r="N3569" s="114"/>
      <c r="O3569" s="114"/>
      <c r="P3569" s="114" t="s">
        <v>3752</v>
      </c>
      <c r="Q3569" s="114" t="s">
        <v>1228</v>
      </c>
    </row>
    <row r="3570" spans="2:17" hidden="1" outlineLevel="2">
      <c r="B3570" s="2" t="s">
        <v>876</v>
      </c>
      <c r="D3570" s="270">
        <v>6385</v>
      </c>
      <c r="E3570" s="112" t="s">
        <v>223</v>
      </c>
      <c r="F3570" s="112" t="s">
        <v>3956</v>
      </c>
      <c r="G3570" s="112" t="s">
        <v>1512</v>
      </c>
      <c r="H3570" s="112" t="s">
        <v>1505</v>
      </c>
      <c r="I3570" s="112"/>
      <c r="J3570" s="112" t="b">
        <v>0</v>
      </c>
      <c r="K3570" s="112"/>
      <c r="L3570" s="112" t="b">
        <v>1</v>
      </c>
      <c r="M3570" s="112"/>
      <c r="N3570" s="112"/>
      <c r="O3570" s="112"/>
      <c r="P3570" s="112" t="s">
        <v>3752</v>
      </c>
      <c r="Q3570" s="112" t="s">
        <v>1228</v>
      </c>
    </row>
    <row r="3571" spans="2:17" hidden="1" outlineLevel="2">
      <c r="B3571" s="2" t="s">
        <v>876</v>
      </c>
      <c r="D3571" s="268">
        <v>6386</v>
      </c>
      <c r="E3571" s="114" t="s">
        <v>223</v>
      </c>
      <c r="F3571" s="114" t="s">
        <v>3957</v>
      </c>
      <c r="G3571" s="114" t="s">
        <v>1512</v>
      </c>
      <c r="H3571" s="114" t="s">
        <v>1505</v>
      </c>
      <c r="I3571" s="114"/>
      <c r="J3571" s="114" t="b">
        <v>0</v>
      </c>
      <c r="K3571" s="114"/>
      <c r="L3571" s="114" t="b">
        <v>1</v>
      </c>
      <c r="M3571" s="114"/>
      <c r="N3571" s="114"/>
      <c r="O3571" s="114"/>
      <c r="P3571" s="114" t="s">
        <v>3752</v>
      </c>
      <c r="Q3571" s="114" t="s">
        <v>1228</v>
      </c>
    </row>
    <row r="3572" spans="2:17" hidden="1" outlineLevel="2">
      <c r="B3572" s="2" t="s">
        <v>876</v>
      </c>
      <c r="D3572" s="270">
        <v>6390</v>
      </c>
      <c r="E3572" s="112" t="s">
        <v>223</v>
      </c>
      <c r="F3572" s="112" t="s">
        <v>3958</v>
      </c>
      <c r="G3572" s="112" t="s">
        <v>1512</v>
      </c>
      <c r="H3572" s="112" t="s">
        <v>1512</v>
      </c>
      <c r="I3572" s="112"/>
      <c r="J3572" s="112" t="b">
        <v>0</v>
      </c>
      <c r="K3572" s="112" t="s">
        <v>1484</v>
      </c>
      <c r="L3572" s="112" t="b">
        <v>1</v>
      </c>
      <c r="M3572" s="112"/>
      <c r="N3572" s="112"/>
      <c r="O3572" s="112"/>
      <c r="P3572" s="112" t="s">
        <v>3752</v>
      </c>
      <c r="Q3572" s="112" t="s">
        <v>1228</v>
      </c>
    </row>
    <row r="3573" spans="2:17" hidden="1" outlineLevel="2">
      <c r="B3573" s="2" t="s">
        <v>876</v>
      </c>
      <c r="D3573" s="268">
        <v>6391</v>
      </c>
      <c r="E3573" s="114" t="s">
        <v>223</v>
      </c>
      <c r="F3573" s="114" t="s">
        <v>3959</v>
      </c>
      <c r="G3573" s="114" t="s">
        <v>1512</v>
      </c>
      <c r="H3573" s="114" t="s">
        <v>1505</v>
      </c>
      <c r="I3573" s="114"/>
      <c r="J3573" s="114" t="b">
        <v>0</v>
      </c>
      <c r="K3573" s="114"/>
      <c r="L3573" s="114"/>
      <c r="M3573" s="114"/>
      <c r="N3573" s="114"/>
      <c r="O3573" s="114"/>
      <c r="P3573" s="114" t="s">
        <v>3752</v>
      </c>
      <c r="Q3573" s="114" t="s">
        <v>1228</v>
      </c>
    </row>
    <row r="3574" spans="2:17" hidden="1" outlineLevel="2">
      <c r="B3574" s="2" t="s">
        <v>876</v>
      </c>
      <c r="D3574" s="270">
        <v>6392</v>
      </c>
      <c r="E3574" s="112" t="s">
        <v>223</v>
      </c>
      <c r="F3574" s="112" t="s">
        <v>3960</v>
      </c>
      <c r="G3574" s="112" t="s">
        <v>1512</v>
      </c>
      <c r="H3574" s="112" t="s">
        <v>1505</v>
      </c>
      <c r="I3574" s="112"/>
      <c r="J3574" s="112" t="b">
        <v>0</v>
      </c>
      <c r="K3574" s="112"/>
      <c r="L3574" s="112"/>
      <c r="M3574" s="112"/>
      <c r="N3574" s="112"/>
      <c r="O3574" s="112"/>
      <c r="P3574" s="112" t="s">
        <v>3752</v>
      </c>
      <c r="Q3574" s="112" t="s">
        <v>1228</v>
      </c>
    </row>
    <row r="3575" spans="2:17" hidden="1" outlineLevel="2">
      <c r="B3575" s="2" t="s">
        <v>876</v>
      </c>
      <c r="D3575" s="268">
        <v>6393</v>
      </c>
      <c r="E3575" s="114" t="s">
        <v>223</v>
      </c>
      <c r="F3575" s="114" t="s">
        <v>3961</v>
      </c>
      <c r="G3575" s="114" t="s">
        <v>1512</v>
      </c>
      <c r="H3575" s="114" t="s">
        <v>1505</v>
      </c>
      <c r="I3575" s="114"/>
      <c r="J3575" s="114" t="b">
        <v>0</v>
      </c>
      <c r="K3575" s="114"/>
      <c r="L3575" s="114"/>
      <c r="M3575" s="114"/>
      <c r="N3575" s="114"/>
      <c r="O3575" s="114"/>
      <c r="P3575" s="114" t="s">
        <v>3752</v>
      </c>
      <c r="Q3575" s="114" t="s">
        <v>1228</v>
      </c>
    </row>
    <row r="3576" spans="2:17" hidden="1" outlineLevel="2">
      <c r="B3576" s="2" t="s">
        <v>876</v>
      </c>
      <c r="D3576" s="270">
        <v>6394</v>
      </c>
      <c r="E3576" s="112" t="s">
        <v>223</v>
      </c>
      <c r="F3576" s="112" t="s">
        <v>3962</v>
      </c>
      <c r="G3576" s="112" t="s">
        <v>1512</v>
      </c>
      <c r="H3576" s="112" t="s">
        <v>1505</v>
      </c>
      <c r="I3576" s="112"/>
      <c r="J3576" s="112" t="b">
        <v>0</v>
      </c>
      <c r="K3576" s="112"/>
      <c r="L3576" s="112"/>
      <c r="M3576" s="112"/>
      <c r="N3576" s="112"/>
      <c r="O3576" s="112"/>
      <c r="P3576" s="112" t="s">
        <v>3752</v>
      </c>
      <c r="Q3576" s="112" t="s">
        <v>1228</v>
      </c>
    </row>
    <row r="3577" spans="2:17" hidden="1" outlineLevel="2">
      <c r="B3577" s="2" t="s">
        <v>876</v>
      </c>
      <c r="D3577" s="268">
        <v>6395</v>
      </c>
      <c r="E3577" s="114" t="s">
        <v>223</v>
      </c>
      <c r="F3577" s="114" t="s">
        <v>3963</v>
      </c>
      <c r="G3577" s="221" t="s">
        <v>1512</v>
      </c>
      <c r="H3577" s="114" t="s">
        <v>1505</v>
      </c>
      <c r="I3577" s="114"/>
      <c r="J3577" s="114" t="b">
        <v>0</v>
      </c>
      <c r="K3577" s="114"/>
      <c r="L3577" s="114"/>
      <c r="M3577" s="114"/>
      <c r="N3577" s="114"/>
      <c r="O3577" s="114"/>
      <c r="P3577" s="114" t="s">
        <v>3752</v>
      </c>
      <c r="Q3577" s="114" t="s">
        <v>1228</v>
      </c>
    </row>
    <row r="3578" spans="2:17" hidden="1" outlineLevel="2">
      <c r="B3578" s="2" t="s">
        <v>876</v>
      </c>
      <c r="D3578" s="270">
        <v>6396</v>
      </c>
      <c r="E3578" s="112" t="s">
        <v>223</v>
      </c>
      <c r="F3578" s="112" t="s">
        <v>3964</v>
      </c>
      <c r="G3578" s="112" t="s">
        <v>1512</v>
      </c>
      <c r="H3578" s="112" t="s">
        <v>1505</v>
      </c>
      <c r="I3578" s="112"/>
      <c r="J3578" s="112" t="b">
        <v>0</v>
      </c>
      <c r="K3578" s="112"/>
      <c r="L3578" s="112" t="b">
        <v>1</v>
      </c>
      <c r="M3578" s="112"/>
      <c r="N3578" s="112"/>
      <c r="O3578" s="112"/>
      <c r="P3578" s="112" t="s">
        <v>3752</v>
      </c>
      <c r="Q3578" s="112" t="s">
        <v>1228</v>
      </c>
    </row>
    <row r="3579" spans="2:17" hidden="1" outlineLevel="2">
      <c r="B3579" s="2" t="s">
        <v>876</v>
      </c>
      <c r="D3579" s="268">
        <v>6397</v>
      </c>
      <c r="E3579" s="114" t="s">
        <v>223</v>
      </c>
      <c r="F3579" s="114" t="s">
        <v>3965</v>
      </c>
      <c r="G3579" s="114" t="s">
        <v>1512</v>
      </c>
      <c r="H3579" s="114" t="s">
        <v>1505</v>
      </c>
      <c r="I3579" s="114"/>
      <c r="J3579" s="114" t="b">
        <v>0</v>
      </c>
      <c r="K3579" s="114"/>
      <c r="L3579" s="114" t="b">
        <v>1</v>
      </c>
      <c r="M3579" s="114"/>
      <c r="N3579" s="114"/>
      <c r="O3579" s="114"/>
      <c r="P3579" s="114" t="s">
        <v>3752</v>
      </c>
      <c r="Q3579" s="114" t="s">
        <v>1228</v>
      </c>
    </row>
    <row r="3580" spans="2:17" hidden="1" outlineLevel="2">
      <c r="B3580" s="2" t="s">
        <v>876</v>
      </c>
      <c r="D3580" s="270">
        <v>6398</v>
      </c>
      <c r="E3580" s="112" t="s">
        <v>223</v>
      </c>
      <c r="F3580" s="112" t="s">
        <v>3966</v>
      </c>
      <c r="G3580" s="112" t="s">
        <v>1512</v>
      </c>
      <c r="H3580" s="112" t="s">
        <v>1505</v>
      </c>
      <c r="I3580" s="112"/>
      <c r="J3580" s="112" t="b">
        <v>0</v>
      </c>
      <c r="K3580" s="112"/>
      <c r="L3580" s="112"/>
      <c r="M3580" s="112"/>
      <c r="N3580" s="112"/>
      <c r="O3580" s="112"/>
      <c r="P3580" s="112" t="s">
        <v>3752</v>
      </c>
      <c r="Q3580" s="112" t="s">
        <v>1228</v>
      </c>
    </row>
    <row r="3581" spans="2:17" hidden="1" outlineLevel="2">
      <c r="B3581" s="2" t="s">
        <v>876</v>
      </c>
      <c r="D3581" s="268">
        <v>6401</v>
      </c>
      <c r="E3581" s="114" t="s">
        <v>223</v>
      </c>
      <c r="F3581" s="114" t="s">
        <v>2706</v>
      </c>
      <c r="G3581" s="691" t="s">
        <v>1493</v>
      </c>
      <c r="H3581" s="114" t="s">
        <v>1505</v>
      </c>
      <c r="I3581" s="114"/>
      <c r="J3581" s="114" t="b">
        <v>0</v>
      </c>
      <c r="K3581" s="114"/>
      <c r="L3581" s="114"/>
      <c r="M3581" s="114"/>
      <c r="N3581" s="114"/>
      <c r="O3581" s="114"/>
      <c r="P3581" s="114" t="s">
        <v>3752</v>
      </c>
      <c r="Q3581" s="114" t="s">
        <v>1228</v>
      </c>
    </row>
    <row r="3582" spans="2:17" hidden="1" outlineLevel="2">
      <c r="B3582" s="2" t="s">
        <v>876</v>
      </c>
      <c r="D3582" s="270">
        <v>6403</v>
      </c>
      <c r="E3582" s="112" t="s">
        <v>223</v>
      </c>
      <c r="F3582" s="112" t="s">
        <v>3967</v>
      </c>
      <c r="G3582" s="112" t="s">
        <v>1512</v>
      </c>
      <c r="H3582" s="112" t="s">
        <v>1505</v>
      </c>
      <c r="I3582" s="112"/>
      <c r="J3582" s="112" t="b">
        <v>0</v>
      </c>
      <c r="K3582" s="112"/>
      <c r="L3582" s="112"/>
      <c r="M3582" s="112"/>
      <c r="N3582" s="112"/>
      <c r="O3582" s="112"/>
      <c r="P3582" s="112" t="s">
        <v>3752</v>
      </c>
      <c r="Q3582" s="112" t="s">
        <v>1228</v>
      </c>
    </row>
    <row r="3583" spans="2:17" hidden="1" outlineLevel="2">
      <c r="B3583" s="2" t="s">
        <v>876</v>
      </c>
      <c r="D3583" s="268">
        <v>6405</v>
      </c>
      <c r="E3583" s="114" t="s">
        <v>223</v>
      </c>
      <c r="F3583" s="114" t="s">
        <v>3968</v>
      </c>
      <c r="G3583" s="114" t="s">
        <v>1512</v>
      </c>
      <c r="H3583" s="114" t="s">
        <v>1505</v>
      </c>
      <c r="I3583" s="114"/>
      <c r="J3583" s="114" t="b">
        <v>0</v>
      </c>
      <c r="K3583" s="114"/>
      <c r="L3583" s="114" t="b">
        <v>1</v>
      </c>
      <c r="M3583" s="114"/>
      <c r="N3583" s="114"/>
      <c r="O3583" s="114"/>
      <c r="P3583" s="114" t="s">
        <v>3752</v>
      </c>
      <c r="Q3583" s="114" t="s">
        <v>1228</v>
      </c>
    </row>
    <row r="3584" spans="2:17" hidden="1" outlineLevel="2">
      <c r="B3584" s="2" t="s">
        <v>876</v>
      </c>
      <c r="D3584" s="270">
        <v>6407</v>
      </c>
      <c r="E3584" s="112" t="s">
        <v>223</v>
      </c>
      <c r="F3584" s="112" t="s">
        <v>3969</v>
      </c>
      <c r="G3584" s="112" t="s">
        <v>1512</v>
      </c>
      <c r="H3584" s="112" t="s">
        <v>1505</v>
      </c>
      <c r="I3584" s="112"/>
      <c r="J3584" s="112" t="b">
        <v>0</v>
      </c>
      <c r="K3584" s="112"/>
      <c r="L3584" s="112" t="b">
        <v>1</v>
      </c>
      <c r="M3584" s="112"/>
      <c r="N3584" s="112"/>
      <c r="O3584" s="112"/>
      <c r="P3584" s="112" t="s">
        <v>3752</v>
      </c>
      <c r="Q3584" s="112" t="s">
        <v>1228</v>
      </c>
    </row>
    <row r="3585" spans="2:17" hidden="1" outlineLevel="2">
      <c r="B3585" s="2" t="s">
        <v>876</v>
      </c>
      <c r="D3585" s="268">
        <v>6409</v>
      </c>
      <c r="E3585" s="114" t="s">
        <v>223</v>
      </c>
      <c r="F3585" s="114" t="s">
        <v>3970</v>
      </c>
      <c r="G3585" s="114" t="s">
        <v>1512</v>
      </c>
      <c r="H3585" s="114" t="s">
        <v>1505</v>
      </c>
      <c r="I3585" s="114"/>
      <c r="J3585" s="114" t="b">
        <v>0</v>
      </c>
      <c r="K3585" s="114"/>
      <c r="L3585" s="114"/>
      <c r="M3585" s="114"/>
      <c r="N3585" s="114"/>
      <c r="O3585" s="114"/>
      <c r="P3585" s="114" t="s">
        <v>3752</v>
      </c>
      <c r="Q3585" s="114" t="s">
        <v>1228</v>
      </c>
    </row>
    <row r="3586" spans="2:17" hidden="1" outlineLevel="2">
      <c r="B3586" s="2" t="s">
        <v>876</v>
      </c>
      <c r="D3586" s="270">
        <v>6410</v>
      </c>
      <c r="E3586" s="112" t="s">
        <v>223</v>
      </c>
      <c r="F3586" s="112" t="s">
        <v>3971</v>
      </c>
      <c r="G3586" s="112" t="s">
        <v>1512</v>
      </c>
      <c r="H3586" s="112" t="s">
        <v>1505</v>
      </c>
      <c r="I3586" s="112"/>
      <c r="J3586" s="112" t="b">
        <v>0</v>
      </c>
      <c r="K3586" s="112"/>
      <c r="L3586" s="112"/>
      <c r="M3586" s="112"/>
      <c r="N3586" s="112"/>
      <c r="O3586" s="112"/>
      <c r="P3586" s="112" t="s">
        <v>3752</v>
      </c>
      <c r="Q3586" s="112" t="s">
        <v>1228</v>
      </c>
    </row>
    <row r="3587" spans="2:17" hidden="1" outlineLevel="2">
      <c r="B3587" s="2" t="s">
        <v>876</v>
      </c>
      <c r="D3587" s="268">
        <v>6411</v>
      </c>
      <c r="E3587" s="114" t="s">
        <v>223</v>
      </c>
      <c r="F3587" s="114" t="s">
        <v>3972</v>
      </c>
      <c r="G3587" s="114" t="s">
        <v>1512</v>
      </c>
      <c r="H3587" s="114" t="s">
        <v>1505</v>
      </c>
      <c r="I3587" s="114"/>
      <c r="J3587" s="114" t="b">
        <v>0</v>
      </c>
      <c r="K3587" s="114"/>
      <c r="L3587" s="114"/>
      <c r="M3587" s="114"/>
      <c r="N3587" s="114"/>
      <c r="O3587" s="114"/>
      <c r="P3587" s="114" t="s">
        <v>3752</v>
      </c>
      <c r="Q3587" s="114" t="s">
        <v>1228</v>
      </c>
    </row>
    <row r="3588" spans="2:17" hidden="1" outlineLevel="2">
      <c r="B3588" s="2" t="s">
        <v>876</v>
      </c>
      <c r="D3588" s="270">
        <v>6412</v>
      </c>
      <c r="E3588" s="112" t="s">
        <v>223</v>
      </c>
      <c r="F3588" s="112" t="s">
        <v>3973</v>
      </c>
      <c r="G3588" s="112" t="s">
        <v>1512</v>
      </c>
      <c r="H3588" s="112" t="s">
        <v>1505</v>
      </c>
      <c r="I3588" s="112"/>
      <c r="J3588" s="112" t="b">
        <v>0</v>
      </c>
      <c r="K3588" s="112"/>
      <c r="L3588" s="112"/>
      <c r="M3588" s="112"/>
      <c r="N3588" s="112"/>
      <c r="O3588" s="112"/>
      <c r="P3588" s="112" t="s">
        <v>3752</v>
      </c>
      <c r="Q3588" s="112" t="s">
        <v>1228</v>
      </c>
    </row>
    <row r="3589" spans="2:17" hidden="1" outlineLevel="2">
      <c r="B3589" s="2" t="s">
        <v>876</v>
      </c>
      <c r="D3589" s="268">
        <v>6413</v>
      </c>
      <c r="E3589" s="114" t="s">
        <v>223</v>
      </c>
      <c r="F3589" s="114" t="s">
        <v>3974</v>
      </c>
      <c r="G3589" s="114" t="s">
        <v>1512</v>
      </c>
      <c r="H3589" s="114" t="s">
        <v>1505</v>
      </c>
      <c r="I3589" s="114"/>
      <c r="J3589" s="114" t="b">
        <v>0</v>
      </c>
      <c r="K3589" s="114"/>
      <c r="L3589" s="114" t="b">
        <v>1</v>
      </c>
      <c r="M3589" s="114"/>
      <c r="N3589" s="114"/>
      <c r="O3589" s="114"/>
      <c r="P3589" s="114" t="s">
        <v>3752</v>
      </c>
      <c r="Q3589" s="114" t="s">
        <v>1228</v>
      </c>
    </row>
    <row r="3590" spans="2:17" hidden="1" outlineLevel="2">
      <c r="B3590" s="2" t="s">
        <v>876</v>
      </c>
      <c r="D3590" s="270">
        <v>6414</v>
      </c>
      <c r="E3590" s="112" t="s">
        <v>223</v>
      </c>
      <c r="F3590" s="112" t="s">
        <v>3975</v>
      </c>
      <c r="G3590" s="112" t="s">
        <v>1512</v>
      </c>
      <c r="H3590" s="112" t="s">
        <v>1505</v>
      </c>
      <c r="I3590" s="112"/>
      <c r="J3590" s="112" t="b">
        <v>0</v>
      </c>
      <c r="K3590" s="112"/>
      <c r="L3590" s="112" t="b">
        <v>1</v>
      </c>
      <c r="M3590" s="112"/>
      <c r="N3590" s="112"/>
      <c r="O3590" s="112"/>
      <c r="P3590" s="112" t="s">
        <v>3752</v>
      </c>
      <c r="Q3590" s="112" t="s">
        <v>1228</v>
      </c>
    </row>
    <row r="3591" spans="2:17" hidden="1" outlineLevel="2">
      <c r="B3591" s="2" t="s">
        <v>876</v>
      </c>
      <c r="D3591" s="268">
        <v>6415</v>
      </c>
      <c r="E3591" s="114" t="s">
        <v>223</v>
      </c>
      <c r="F3591" s="114" t="s">
        <v>3976</v>
      </c>
      <c r="G3591" s="114" t="s">
        <v>1533</v>
      </c>
      <c r="H3591" s="114" t="s">
        <v>1505</v>
      </c>
      <c r="I3591" s="114"/>
      <c r="J3591" s="114" t="b">
        <v>1</v>
      </c>
      <c r="K3591" s="114"/>
      <c r="L3591" s="114"/>
      <c r="M3591" s="114"/>
      <c r="N3591" s="114"/>
      <c r="O3591" s="114"/>
      <c r="P3591" s="114" t="s">
        <v>3752</v>
      </c>
      <c r="Q3591" s="114" t="s">
        <v>1228</v>
      </c>
    </row>
    <row r="3592" spans="2:17" hidden="1" outlineLevel="2">
      <c r="B3592" s="2" t="s">
        <v>876</v>
      </c>
      <c r="D3592" s="270">
        <v>6418</v>
      </c>
      <c r="E3592" s="112" t="s">
        <v>223</v>
      </c>
      <c r="F3592" s="112" t="s">
        <v>3977</v>
      </c>
      <c r="G3592" s="112" t="s">
        <v>1512</v>
      </c>
      <c r="H3592" s="112" t="s">
        <v>1505</v>
      </c>
      <c r="I3592" s="112"/>
      <c r="J3592" s="112" t="b">
        <v>0</v>
      </c>
      <c r="K3592" s="112"/>
      <c r="L3592" s="112"/>
      <c r="M3592" s="112"/>
      <c r="N3592" s="112"/>
      <c r="O3592" s="112"/>
      <c r="P3592" s="112" t="s">
        <v>3752</v>
      </c>
      <c r="Q3592" s="112" t="s">
        <v>1228</v>
      </c>
    </row>
    <row r="3593" spans="2:17" hidden="1" outlineLevel="2">
      <c r="B3593" s="2" t="s">
        <v>876</v>
      </c>
      <c r="D3593" s="268">
        <v>6419</v>
      </c>
      <c r="E3593" s="114" t="s">
        <v>223</v>
      </c>
      <c r="F3593" s="114" t="s">
        <v>3978</v>
      </c>
      <c r="G3593" s="114" t="s">
        <v>1512</v>
      </c>
      <c r="H3593" s="114" t="s">
        <v>1505</v>
      </c>
      <c r="I3593" s="114"/>
      <c r="J3593" s="114" t="b">
        <v>0</v>
      </c>
      <c r="K3593" s="114"/>
      <c r="L3593" s="114"/>
      <c r="M3593" s="114"/>
      <c r="N3593" s="114"/>
      <c r="O3593" s="114"/>
      <c r="P3593" s="114" t="s">
        <v>3752</v>
      </c>
      <c r="Q3593" s="114" t="s">
        <v>1228</v>
      </c>
    </row>
    <row r="3594" spans="2:17" hidden="1" outlineLevel="2">
      <c r="B3594" s="2" t="s">
        <v>876</v>
      </c>
      <c r="D3594" s="270">
        <v>6420</v>
      </c>
      <c r="E3594" s="112" t="s">
        <v>223</v>
      </c>
      <c r="F3594" s="112" t="s">
        <v>3979</v>
      </c>
      <c r="G3594" s="112" t="s">
        <v>1512</v>
      </c>
      <c r="H3594" s="112" t="s">
        <v>1505</v>
      </c>
      <c r="I3594" s="112"/>
      <c r="J3594" s="112" t="b">
        <v>0</v>
      </c>
      <c r="K3594" s="112"/>
      <c r="L3594" s="112"/>
      <c r="M3594" s="112"/>
      <c r="N3594" s="112"/>
      <c r="O3594" s="112"/>
      <c r="P3594" s="112" t="s">
        <v>3752</v>
      </c>
      <c r="Q3594" s="112" t="s">
        <v>1228</v>
      </c>
    </row>
    <row r="3595" spans="2:17" hidden="1" outlineLevel="2">
      <c r="B3595" s="2" t="s">
        <v>876</v>
      </c>
      <c r="D3595" s="268">
        <v>6421</v>
      </c>
      <c r="E3595" s="114" t="s">
        <v>223</v>
      </c>
      <c r="F3595" s="114" t="s">
        <v>3980</v>
      </c>
      <c r="G3595" s="114" t="s">
        <v>1512</v>
      </c>
      <c r="H3595" s="114" t="s">
        <v>1505</v>
      </c>
      <c r="I3595" s="114"/>
      <c r="J3595" s="114" t="b">
        <v>0</v>
      </c>
      <c r="K3595" s="114"/>
      <c r="L3595" s="114"/>
      <c r="M3595" s="114"/>
      <c r="N3595" s="114"/>
      <c r="O3595" s="114"/>
      <c r="P3595" s="114" t="s">
        <v>3752</v>
      </c>
      <c r="Q3595" s="114" t="s">
        <v>1228</v>
      </c>
    </row>
    <row r="3596" spans="2:17" hidden="1" outlineLevel="2">
      <c r="B3596" s="2" t="s">
        <v>876</v>
      </c>
      <c r="D3596" s="270">
        <v>6422</v>
      </c>
      <c r="E3596" s="112" t="s">
        <v>223</v>
      </c>
      <c r="F3596" s="112" t="s">
        <v>3981</v>
      </c>
      <c r="G3596" s="112" t="s">
        <v>1512</v>
      </c>
      <c r="H3596" s="112" t="s">
        <v>1505</v>
      </c>
      <c r="I3596" s="112"/>
      <c r="J3596" s="112" t="b">
        <v>0</v>
      </c>
      <c r="K3596" s="112"/>
      <c r="L3596" s="112"/>
      <c r="M3596" s="112"/>
      <c r="N3596" s="112"/>
      <c r="O3596" s="112"/>
      <c r="P3596" s="112" t="s">
        <v>3752</v>
      </c>
      <c r="Q3596" s="112" t="s">
        <v>1228</v>
      </c>
    </row>
    <row r="3597" spans="2:17" hidden="1" outlineLevel="2">
      <c r="B3597" s="2" t="s">
        <v>876</v>
      </c>
      <c r="D3597" s="268">
        <v>6423</v>
      </c>
      <c r="E3597" s="114" t="s">
        <v>223</v>
      </c>
      <c r="F3597" s="114" t="s">
        <v>3982</v>
      </c>
      <c r="G3597" s="114" t="s">
        <v>1512</v>
      </c>
      <c r="H3597" s="114" t="s">
        <v>1505</v>
      </c>
      <c r="I3597" s="114"/>
      <c r="J3597" s="114" t="b">
        <v>0</v>
      </c>
      <c r="K3597" s="114"/>
      <c r="L3597" s="114"/>
      <c r="M3597" s="114"/>
      <c r="N3597" s="114"/>
      <c r="O3597" s="114"/>
      <c r="P3597" s="114" t="s">
        <v>3752</v>
      </c>
      <c r="Q3597" s="114" t="s">
        <v>1228</v>
      </c>
    </row>
    <row r="3598" spans="2:17" hidden="1" outlineLevel="2">
      <c r="B3598" s="2" t="s">
        <v>876</v>
      </c>
      <c r="D3598" s="270">
        <v>6424</v>
      </c>
      <c r="E3598" s="112" t="s">
        <v>223</v>
      </c>
      <c r="F3598" s="112" t="s">
        <v>3983</v>
      </c>
      <c r="G3598" s="112" t="s">
        <v>1512</v>
      </c>
      <c r="H3598" s="112" t="s">
        <v>1505</v>
      </c>
      <c r="I3598" s="112"/>
      <c r="J3598" s="112" t="b">
        <v>0</v>
      </c>
      <c r="K3598" s="112"/>
      <c r="L3598" s="112"/>
      <c r="M3598" s="112"/>
      <c r="N3598" s="112"/>
      <c r="O3598" s="112"/>
      <c r="P3598" s="112" t="s">
        <v>3752</v>
      </c>
      <c r="Q3598" s="112" t="s">
        <v>1228</v>
      </c>
    </row>
    <row r="3599" spans="2:17" hidden="1" outlineLevel="2">
      <c r="B3599" s="2" t="s">
        <v>876</v>
      </c>
      <c r="D3599" s="268">
        <v>6425</v>
      </c>
      <c r="E3599" s="114" t="s">
        <v>223</v>
      </c>
      <c r="F3599" s="114" t="s">
        <v>3984</v>
      </c>
      <c r="G3599" s="114" t="s">
        <v>1512</v>
      </c>
      <c r="H3599" s="114" t="s">
        <v>1505</v>
      </c>
      <c r="I3599" s="114"/>
      <c r="J3599" s="114" t="b">
        <v>0</v>
      </c>
      <c r="K3599" s="114"/>
      <c r="L3599" s="114"/>
      <c r="M3599" s="114"/>
      <c r="N3599" s="114"/>
      <c r="O3599" s="114"/>
      <c r="P3599" s="114" t="s">
        <v>3752</v>
      </c>
      <c r="Q3599" s="114" t="s">
        <v>1228</v>
      </c>
    </row>
    <row r="3600" spans="2:17" hidden="1" outlineLevel="2">
      <c r="B3600" s="2" t="s">
        <v>876</v>
      </c>
      <c r="D3600" s="270">
        <v>6426</v>
      </c>
      <c r="E3600" s="112" t="s">
        <v>223</v>
      </c>
      <c r="F3600" s="112" t="s">
        <v>3985</v>
      </c>
      <c r="G3600" s="112" t="s">
        <v>1533</v>
      </c>
      <c r="H3600" s="112" t="s">
        <v>1505</v>
      </c>
      <c r="I3600" s="112"/>
      <c r="J3600" s="112" t="b">
        <v>1</v>
      </c>
      <c r="K3600" s="112"/>
      <c r="L3600" s="112"/>
      <c r="M3600" s="112"/>
      <c r="N3600" s="112"/>
      <c r="O3600" s="112"/>
      <c r="P3600" s="112" t="s">
        <v>3752</v>
      </c>
      <c r="Q3600" s="112" t="s">
        <v>1228</v>
      </c>
    </row>
    <row r="3601" spans="2:17" hidden="1" outlineLevel="2">
      <c r="B3601" s="2" t="s">
        <v>876</v>
      </c>
      <c r="D3601" s="268">
        <v>6427</v>
      </c>
      <c r="E3601" s="114" t="s">
        <v>223</v>
      </c>
      <c r="F3601" s="114" t="s">
        <v>3986</v>
      </c>
      <c r="G3601" s="114" t="s">
        <v>1512</v>
      </c>
      <c r="H3601" s="114" t="s">
        <v>1505</v>
      </c>
      <c r="I3601" s="114"/>
      <c r="J3601" s="114" t="b">
        <v>0</v>
      </c>
      <c r="K3601" s="114"/>
      <c r="L3601" s="114"/>
      <c r="M3601" s="114"/>
      <c r="N3601" s="114"/>
      <c r="O3601" s="114"/>
      <c r="P3601" s="114" t="s">
        <v>3752</v>
      </c>
      <c r="Q3601" s="114" t="s">
        <v>1228</v>
      </c>
    </row>
    <row r="3602" spans="2:17" hidden="1" outlineLevel="2">
      <c r="B3602" s="2" t="s">
        <v>876</v>
      </c>
      <c r="D3602" s="270">
        <v>6428</v>
      </c>
      <c r="E3602" s="112" t="s">
        <v>223</v>
      </c>
      <c r="F3602" s="112" t="s">
        <v>3987</v>
      </c>
      <c r="G3602" s="112" t="s">
        <v>1512</v>
      </c>
      <c r="H3602" s="112" t="s">
        <v>1505</v>
      </c>
      <c r="I3602" s="112"/>
      <c r="J3602" s="112" t="b">
        <v>0</v>
      </c>
      <c r="K3602" s="112"/>
      <c r="L3602" s="112"/>
      <c r="M3602" s="112"/>
      <c r="N3602" s="112"/>
      <c r="O3602" s="112"/>
      <c r="P3602" s="112" t="s">
        <v>3752</v>
      </c>
      <c r="Q3602" s="112" t="s">
        <v>1228</v>
      </c>
    </row>
    <row r="3603" spans="2:17" hidden="1" outlineLevel="2">
      <c r="B3603" s="2" t="s">
        <v>876</v>
      </c>
      <c r="D3603" s="268">
        <v>6429</v>
      </c>
      <c r="E3603" s="114" t="s">
        <v>223</v>
      </c>
      <c r="F3603" s="114" t="s">
        <v>3988</v>
      </c>
      <c r="G3603" s="114" t="s">
        <v>1533</v>
      </c>
      <c r="H3603" s="114" t="s">
        <v>1533</v>
      </c>
      <c r="I3603" s="114"/>
      <c r="J3603" s="114" t="b">
        <v>1</v>
      </c>
      <c r="K3603" s="114" t="s">
        <v>1552</v>
      </c>
      <c r="L3603" s="114" t="b">
        <v>1</v>
      </c>
      <c r="M3603" s="114"/>
      <c r="N3603" s="114"/>
      <c r="O3603" s="114"/>
      <c r="P3603" s="114" t="s">
        <v>3752</v>
      </c>
      <c r="Q3603" s="114" t="s">
        <v>1228</v>
      </c>
    </row>
    <row r="3604" spans="2:17" hidden="1" outlineLevel="2">
      <c r="B3604" s="2" t="s">
        <v>876</v>
      </c>
      <c r="D3604" s="270">
        <v>6430</v>
      </c>
      <c r="E3604" s="112" t="s">
        <v>223</v>
      </c>
      <c r="F3604" s="112" t="s">
        <v>3989</v>
      </c>
      <c r="G3604" s="505" t="s">
        <v>1512</v>
      </c>
      <c r="H3604" s="505" t="s">
        <v>1505</v>
      </c>
      <c r="I3604" s="112"/>
      <c r="J3604" s="505" t="b">
        <v>0</v>
      </c>
      <c r="K3604" s="505"/>
      <c r="L3604" s="112" t="b">
        <v>1</v>
      </c>
      <c r="M3604" s="112"/>
      <c r="N3604" s="112"/>
      <c r="O3604" s="112"/>
      <c r="P3604" s="112" t="s">
        <v>3752</v>
      </c>
      <c r="Q3604" s="112" t="s">
        <v>1228</v>
      </c>
    </row>
    <row r="3605" spans="2:17" hidden="1" outlineLevel="2">
      <c r="B3605" s="2" t="s">
        <v>876</v>
      </c>
      <c r="D3605" s="268">
        <v>6431</v>
      </c>
      <c r="E3605" s="114" t="s">
        <v>223</v>
      </c>
      <c r="F3605" s="114" t="s">
        <v>3990</v>
      </c>
      <c r="G3605" s="114" t="s">
        <v>1512</v>
      </c>
      <c r="H3605" s="114" t="s">
        <v>1505</v>
      </c>
      <c r="I3605" s="114"/>
      <c r="J3605" s="114" t="b">
        <v>0</v>
      </c>
      <c r="K3605" s="114"/>
      <c r="L3605" s="114"/>
      <c r="M3605" s="114"/>
      <c r="N3605" s="114"/>
      <c r="O3605" s="114"/>
      <c r="P3605" s="114" t="s">
        <v>3991</v>
      </c>
      <c r="Q3605" s="114" t="s">
        <v>1228</v>
      </c>
    </row>
    <row r="3606" spans="2:17" hidden="1" outlineLevel="2">
      <c r="B3606" s="2" t="s">
        <v>876</v>
      </c>
      <c r="D3606" s="270">
        <v>6432</v>
      </c>
      <c r="E3606" s="112" t="s">
        <v>223</v>
      </c>
      <c r="F3606" s="112" t="s">
        <v>3992</v>
      </c>
      <c r="G3606" s="112" t="s">
        <v>1533</v>
      </c>
      <c r="H3606" s="112" t="s">
        <v>1533</v>
      </c>
      <c r="I3606" s="112"/>
      <c r="J3606" s="112" t="b">
        <v>1</v>
      </c>
      <c r="K3606" s="112" t="s">
        <v>1552</v>
      </c>
      <c r="L3606" s="112" t="b">
        <v>1</v>
      </c>
      <c r="M3606" s="112"/>
      <c r="N3606" s="112"/>
      <c r="O3606" s="112"/>
      <c r="P3606" s="112" t="s">
        <v>3752</v>
      </c>
      <c r="Q3606" s="112" t="s">
        <v>1228</v>
      </c>
    </row>
    <row r="3607" spans="2:17" hidden="1" outlineLevel="2">
      <c r="B3607" s="2" t="s">
        <v>876</v>
      </c>
      <c r="D3607" s="268">
        <v>6434</v>
      </c>
      <c r="E3607" s="114" t="s">
        <v>223</v>
      </c>
      <c r="F3607" s="114" t="s">
        <v>3993</v>
      </c>
      <c r="G3607" s="114" t="s">
        <v>1512</v>
      </c>
      <c r="H3607" s="114" t="s">
        <v>1505</v>
      </c>
      <c r="I3607" s="114"/>
      <c r="J3607" s="114" t="b">
        <v>0</v>
      </c>
      <c r="K3607" s="114"/>
      <c r="L3607" s="114"/>
      <c r="M3607" s="114"/>
      <c r="N3607" s="114"/>
      <c r="O3607" s="114"/>
      <c r="P3607" s="114" t="s">
        <v>3752</v>
      </c>
      <c r="Q3607" s="114" t="s">
        <v>1228</v>
      </c>
    </row>
    <row r="3608" spans="2:17" hidden="1" outlineLevel="2">
      <c r="B3608" s="2" t="s">
        <v>876</v>
      </c>
      <c r="D3608" s="270">
        <v>6436</v>
      </c>
      <c r="E3608" s="112" t="s">
        <v>223</v>
      </c>
      <c r="F3608" s="112" t="s">
        <v>3994</v>
      </c>
      <c r="G3608" s="112" t="s">
        <v>1512</v>
      </c>
      <c r="H3608" s="112" t="s">
        <v>1512</v>
      </c>
      <c r="I3608" s="112"/>
      <c r="J3608" s="112" t="b">
        <v>0</v>
      </c>
      <c r="K3608" s="112" t="s">
        <v>1484</v>
      </c>
      <c r="L3608" s="112" t="b">
        <v>1</v>
      </c>
      <c r="M3608" s="112"/>
      <c r="N3608" s="112"/>
      <c r="O3608" s="112"/>
      <c r="P3608" s="112" t="s">
        <v>3752</v>
      </c>
      <c r="Q3608" s="112" t="s">
        <v>1228</v>
      </c>
    </row>
    <row r="3609" spans="2:17" hidden="1" outlineLevel="2">
      <c r="B3609" s="2" t="s">
        <v>876</v>
      </c>
      <c r="D3609" s="268">
        <v>6437</v>
      </c>
      <c r="E3609" s="114" t="s">
        <v>223</v>
      </c>
      <c r="F3609" s="114" t="s">
        <v>3995</v>
      </c>
      <c r="G3609" s="114" t="s">
        <v>1533</v>
      </c>
      <c r="H3609" s="114" t="s">
        <v>1512</v>
      </c>
      <c r="I3609" s="114"/>
      <c r="J3609" s="114" t="b">
        <v>1</v>
      </c>
      <c r="K3609" s="114" t="s">
        <v>1484</v>
      </c>
      <c r="L3609" s="114" t="b">
        <v>1</v>
      </c>
      <c r="M3609" s="114"/>
      <c r="N3609" s="114"/>
      <c r="O3609" s="114"/>
      <c r="P3609" s="114" t="s">
        <v>3752</v>
      </c>
      <c r="Q3609" s="114" t="s">
        <v>1228</v>
      </c>
    </row>
    <row r="3610" spans="2:17" hidden="1" outlineLevel="2">
      <c r="B3610" s="2" t="s">
        <v>876</v>
      </c>
      <c r="D3610" s="270">
        <v>6438</v>
      </c>
      <c r="E3610" s="112" t="s">
        <v>223</v>
      </c>
      <c r="F3610" s="112" t="s">
        <v>3996</v>
      </c>
      <c r="G3610" s="112" t="s">
        <v>1533</v>
      </c>
      <c r="H3610" s="112" t="s">
        <v>1533</v>
      </c>
      <c r="I3610" s="112"/>
      <c r="J3610" s="112" t="b">
        <v>1</v>
      </c>
      <c r="K3610" s="112" t="s">
        <v>1552</v>
      </c>
      <c r="L3610" s="112" t="b">
        <v>1</v>
      </c>
      <c r="M3610" s="112"/>
      <c r="N3610" s="112"/>
      <c r="O3610" s="112"/>
      <c r="P3610" s="112" t="s">
        <v>3752</v>
      </c>
      <c r="Q3610" s="112" t="s">
        <v>1228</v>
      </c>
    </row>
    <row r="3611" spans="2:17" hidden="1" outlineLevel="2">
      <c r="B3611" s="2" t="s">
        <v>876</v>
      </c>
      <c r="D3611" s="268">
        <v>6440</v>
      </c>
      <c r="E3611" s="114" t="s">
        <v>223</v>
      </c>
      <c r="F3611" s="114" t="s">
        <v>3997</v>
      </c>
      <c r="G3611" s="114" t="s">
        <v>1533</v>
      </c>
      <c r="H3611" s="114" t="s">
        <v>1505</v>
      </c>
      <c r="I3611" s="114"/>
      <c r="J3611" s="114" t="b">
        <v>1</v>
      </c>
      <c r="K3611" s="114" t="s">
        <v>1484</v>
      </c>
      <c r="L3611" s="114" t="b">
        <v>1</v>
      </c>
      <c r="M3611" s="114"/>
      <c r="N3611" s="114"/>
      <c r="O3611" s="114"/>
      <c r="P3611" s="114" t="s">
        <v>3752</v>
      </c>
      <c r="Q3611" s="114" t="s">
        <v>1228</v>
      </c>
    </row>
    <row r="3612" spans="2:17" hidden="1" outlineLevel="2">
      <c r="B3612" s="2" t="s">
        <v>876</v>
      </c>
      <c r="D3612" s="270">
        <v>6442</v>
      </c>
      <c r="E3612" s="112" t="s">
        <v>223</v>
      </c>
      <c r="F3612" s="112" t="s">
        <v>3998</v>
      </c>
      <c r="G3612" s="505" t="s">
        <v>1512</v>
      </c>
      <c r="H3612" s="505" t="s">
        <v>1505</v>
      </c>
      <c r="I3612" s="112"/>
      <c r="J3612" s="505" t="b">
        <v>0</v>
      </c>
      <c r="K3612" s="505"/>
      <c r="L3612" s="112" t="b">
        <v>1</v>
      </c>
      <c r="M3612" s="112"/>
      <c r="N3612" s="112"/>
      <c r="O3612" s="112"/>
      <c r="P3612" s="112" t="s">
        <v>3752</v>
      </c>
      <c r="Q3612" s="112" t="s">
        <v>1228</v>
      </c>
    </row>
    <row r="3613" spans="2:17" hidden="1" outlineLevel="2">
      <c r="B3613" s="2" t="s">
        <v>876</v>
      </c>
      <c r="D3613" s="268">
        <v>6443</v>
      </c>
      <c r="E3613" s="114" t="s">
        <v>223</v>
      </c>
      <c r="F3613" s="114" t="s">
        <v>3999</v>
      </c>
      <c r="G3613" s="114" t="s">
        <v>1512</v>
      </c>
      <c r="H3613" s="114" t="s">
        <v>1505</v>
      </c>
      <c r="I3613" s="114"/>
      <c r="J3613" s="114" t="b">
        <v>0</v>
      </c>
      <c r="K3613" s="114"/>
      <c r="L3613" s="114" t="b">
        <v>1</v>
      </c>
      <c r="M3613" s="114"/>
      <c r="N3613" s="114"/>
      <c r="O3613" s="114"/>
      <c r="P3613" s="114" t="s">
        <v>3752</v>
      </c>
      <c r="Q3613" s="114" t="s">
        <v>1228</v>
      </c>
    </row>
    <row r="3614" spans="2:17" hidden="1" outlineLevel="2">
      <c r="B3614" s="2" t="s">
        <v>876</v>
      </c>
      <c r="D3614" s="270">
        <v>6445</v>
      </c>
      <c r="E3614" s="112" t="s">
        <v>223</v>
      </c>
      <c r="F3614" s="112" t="s">
        <v>4000</v>
      </c>
      <c r="G3614" s="112" t="s">
        <v>1512</v>
      </c>
      <c r="H3614" s="112" t="s">
        <v>1505</v>
      </c>
      <c r="I3614" s="112"/>
      <c r="J3614" s="112" t="b">
        <v>0</v>
      </c>
      <c r="K3614" s="112"/>
      <c r="L3614" s="112"/>
      <c r="M3614" s="112"/>
      <c r="N3614" s="112"/>
      <c r="O3614" s="112"/>
      <c r="P3614" s="112" t="s">
        <v>3752</v>
      </c>
      <c r="Q3614" s="112" t="s">
        <v>1228</v>
      </c>
    </row>
    <row r="3615" spans="2:17" hidden="1" outlineLevel="2">
      <c r="B3615" s="2" t="s">
        <v>876</v>
      </c>
      <c r="D3615" s="268">
        <v>6446</v>
      </c>
      <c r="E3615" s="114" t="s">
        <v>223</v>
      </c>
      <c r="F3615" s="114" t="s">
        <v>4001</v>
      </c>
      <c r="G3615" s="114" t="s">
        <v>1512</v>
      </c>
      <c r="H3615" s="114" t="s">
        <v>1505</v>
      </c>
      <c r="I3615" s="114"/>
      <c r="J3615" s="114" t="b">
        <v>0</v>
      </c>
      <c r="K3615" s="114"/>
      <c r="L3615" s="114"/>
      <c r="M3615" s="114"/>
      <c r="N3615" s="114"/>
      <c r="O3615" s="114"/>
      <c r="P3615" s="114" t="s">
        <v>3752</v>
      </c>
      <c r="Q3615" s="114" t="s">
        <v>1228</v>
      </c>
    </row>
    <row r="3616" spans="2:17" hidden="1" outlineLevel="2">
      <c r="B3616" s="2" t="s">
        <v>876</v>
      </c>
      <c r="D3616" s="270">
        <v>6447</v>
      </c>
      <c r="E3616" s="112" t="s">
        <v>223</v>
      </c>
      <c r="F3616" s="112" t="s">
        <v>4002</v>
      </c>
      <c r="G3616" s="112" t="s">
        <v>1512</v>
      </c>
      <c r="H3616" s="112" t="s">
        <v>1505</v>
      </c>
      <c r="I3616" s="112"/>
      <c r="J3616" s="112" t="b">
        <v>0</v>
      </c>
      <c r="K3616" s="112"/>
      <c r="L3616" s="112"/>
      <c r="M3616" s="112"/>
      <c r="N3616" s="112"/>
      <c r="O3616" s="112"/>
      <c r="P3616" s="112" t="s">
        <v>3752</v>
      </c>
      <c r="Q3616" s="112" t="s">
        <v>1228</v>
      </c>
    </row>
    <row r="3617" spans="2:17" hidden="1" outlineLevel="2">
      <c r="B3617" s="2" t="s">
        <v>876</v>
      </c>
      <c r="D3617" s="268">
        <v>6448</v>
      </c>
      <c r="E3617" s="114" t="s">
        <v>223</v>
      </c>
      <c r="F3617" s="114" t="s">
        <v>4003</v>
      </c>
      <c r="G3617" s="114" t="s">
        <v>1512</v>
      </c>
      <c r="H3617" s="114" t="s">
        <v>1505</v>
      </c>
      <c r="I3617" s="114"/>
      <c r="J3617" s="114" t="b">
        <v>0</v>
      </c>
      <c r="K3617" s="114"/>
      <c r="L3617" s="114"/>
      <c r="M3617" s="114"/>
      <c r="N3617" s="114"/>
      <c r="O3617" s="114"/>
      <c r="P3617" s="114" t="s">
        <v>3752</v>
      </c>
      <c r="Q3617" s="114" t="s">
        <v>1228</v>
      </c>
    </row>
    <row r="3618" spans="2:17" hidden="1" outlineLevel="2">
      <c r="B3618" s="2" t="s">
        <v>876</v>
      </c>
      <c r="D3618" s="270">
        <v>6450</v>
      </c>
      <c r="E3618" s="112" t="s">
        <v>223</v>
      </c>
      <c r="F3618" s="112" t="s">
        <v>4004</v>
      </c>
      <c r="G3618" s="112" t="s">
        <v>1483</v>
      </c>
      <c r="H3618" s="112" t="s">
        <v>1494</v>
      </c>
      <c r="I3618" s="112"/>
      <c r="J3618" s="112" t="b">
        <v>0</v>
      </c>
      <c r="K3618" s="112" t="s">
        <v>1484</v>
      </c>
      <c r="L3618" s="112" t="b">
        <v>1</v>
      </c>
      <c r="M3618" s="112"/>
      <c r="N3618" s="112"/>
      <c r="O3618" s="112"/>
      <c r="P3618" s="112" t="s">
        <v>3752</v>
      </c>
      <c r="Q3618" s="112" t="s">
        <v>1228</v>
      </c>
    </row>
    <row r="3619" spans="2:17" hidden="1" outlineLevel="2">
      <c r="B3619" s="2" t="s">
        <v>876</v>
      </c>
      <c r="D3619" s="268">
        <v>6452</v>
      </c>
      <c r="E3619" s="114" t="s">
        <v>223</v>
      </c>
      <c r="F3619" s="114" t="s">
        <v>4005</v>
      </c>
      <c r="G3619" s="114" t="s">
        <v>1512</v>
      </c>
      <c r="H3619" s="114" t="s">
        <v>1512</v>
      </c>
      <c r="I3619" s="114"/>
      <c r="J3619" s="114" t="b">
        <v>0</v>
      </c>
      <c r="K3619" s="114"/>
      <c r="L3619" s="114"/>
      <c r="M3619" s="114"/>
      <c r="N3619" s="114"/>
      <c r="O3619" s="114"/>
      <c r="P3619" s="114" t="s">
        <v>3752</v>
      </c>
      <c r="Q3619" s="114" t="s">
        <v>1228</v>
      </c>
    </row>
    <row r="3620" spans="2:17" hidden="1" outlineLevel="2">
      <c r="B3620" s="2" t="s">
        <v>876</v>
      </c>
      <c r="D3620" s="270">
        <v>6460</v>
      </c>
      <c r="E3620" s="112" t="s">
        <v>223</v>
      </c>
      <c r="F3620" s="112" t="s">
        <v>4006</v>
      </c>
      <c r="G3620" s="112" t="s">
        <v>1512</v>
      </c>
      <c r="H3620" s="112" t="s">
        <v>1505</v>
      </c>
      <c r="I3620" s="112"/>
      <c r="J3620" s="112" t="b">
        <v>0</v>
      </c>
      <c r="K3620" s="112"/>
      <c r="L3620" s="112"/>
      <c r="M3620" s="112"/>
      <c r="N3620" s="112"/>
      <c r="O3620" s="112"/>
      <c r="P3620" s="112" t="s">
        <v>3752</v>
      </c>
      <c r="Q3620" s="112" t="s">
        <v>1228</v>
      </c>
    </row>
    <row r="3621" spans="2:17" hidden="1" outlineLevel="2">
      <c r="B3621" s="2" t="s">
        <v>876</v>
      </c>
      <c r="D3621" s="268">
        <v>6461</v>
      </c>
      <c r="E3621" s="114" t="s">
        <v>223</v>
      </c>
      <c r="F3621" s="114" t="s">
        <v>4007</v>
      </c>
      <c r="G3621" s="221" t="s">
        <v>1512</v>
      </c>
      <c r="H3621" s="114" t="s">
        <v>1505</v>
      </c>
      <c r="I3621" s="114"/>
      <c r="J3621" s="114" t="b">
        <v>0</v>
      </c>
      <c r="K3621" s="114"/>
      <c r="L3621" s="114"/>
      <c r="M3621" s="114"/>
      <c r="N3621" s="114"/>
      <c r="O3621" s="114"/>
      <c r="P3621" s="114" t="s">
        <v>3752</v>
      </c>
      <c r="Q3621" s="114" t="s">
        <v>1228</v>
      </c>
    </row>
    <row r="3622" spans="2:17" hidden="1" outlineLevel="2">
      <c r="B3622" s="2" t="s">
        <v>876</v>
      </c>
      <c r="D3622" s="270">
        <v>6462</v>
      </c>
      <c r="E3622" s="112" t="s">
        <v>223</v>
      </c>
      <c r="F3622" s="112" t="s">
        <v>4008</v>
      </c>
      <c r="G3622" s="112" t="s">
        <v>1512</v>
      </c>
      <c r="H3622" s="112" t="s">
        <v>1505</v>
      </c>
      <c r="I3622" s="112"/>
      <c r="J3622" s="112" t="b">
        <v>0</v>
      </c>
      <c r="K3622" s="112"/>
      <c r="L3622" s="112"/>
      <c r="M3622" s="112"/>
      <c r="N3622" s="112"/>
      <c r="O3622" s="112"/>
      <c r="P3622" s="112" t="s">
        <v>3752</v>
      </c>
      <c r="Q3622" s="112" t="s">
        <v>1228</v>
      </c>
    </row>
    <row r="3623" spans="2:17" hidden="1" outlineLevel="2">
      <c r="B3623" s="2" t="s">
        <v>876</v>
      </c>
      <c r="D3623" s="268">
        <v>6463</v>
      </c>
      <c r="E3623" s="114" t="s">
        <v>223</v>
      </c>
      <c r="F3623" s="114" t="s">
        <v>4009</v>
      </c>
      <c r="G3623" s="114" t="s">
        <v>1512</v>
      </c>
      <c r="H3623" s="114" t="s">
        <v>1505</v>
      </c>
      <c r="I3623" s="114"/>
      <c r="J3623" s="114" t="b">
        <v>0</v>
      </c>
      <c r="K3623" s="114"/>
      <c r="L3623" s="114"/>
      <c r="M3623" s="114"/>
      <c r="N3623" s="114"/>
      <c r="O3623" s="114"/>
      <c r="P3623" s="114" t="s">
        <v>3752</v>
      </c>
      <c r="Q3623" s="114" t="s">
        <v>1228</v>
      </c>
    </row>
    <row r="3624" spans="2:17" hidden="1" outlineLevel="2">
      <c r="B3624" s="2" t="s">
        <v>876</v>
      </c>
      <c r="D3624" s="270">
        <v>6465</v>
      </c>
      <c r="E3624" s="112" t="s">
        <v>223</v>
      </c>
      <c r="F3624" s="112" t="s">
        <v>4010</v>
      </c>
      <c r="G3624" s="112" t="s">
        <v>1512</v>
      </c>
      <c r="H3624" s="112" t="s">
        <v>1505</v>
      </c>
      <c r="I3624" s="112"/>
      <c r="J3624" s="112" t="b">
        <v>0</v>
      </c>
      <c r="K3624" s="112"/>
      <c r="L3624" s="112"/>
      <c r="M3624" s="112"/>
      <c r="N3624" s="112"/>
      <c r="O3624" s="112"/>
      <c r="P3624" s="112" t="s">
        <v>3752</v>
      </c>
      <c r="Q3624" s="112" t="s">
        <v>1228</v>
      </c>
    </row>
    <row r="3625" spans="2:17" hidden="1" outlineLevel="2">
      <c r="B3625" s="2" t="s">
        <v>876</v>
      </c>
      <c r="D3625" s="268">
        <v>6466</v>
      </c>
      <c r="E3625" s="114" t="s">
        <v>223</v>
      </c>
      <c r="F3625" s="114" t="s">
        <v>4011</v>
      </c>
      <c r="G3625" s="114" t="s">
        <v>1512</v>
      </c>
      <c r="H3625" s="114" t="s">
        <v>1505</v>
      </c>
      <c r="I3625" s="114"/>
      <c r="J3625" s="114" t="b">
        <v>0</v>
      </c>
      <c r="K3625" s="114"/>
      <c r="L3625" s="114"/>
      <c r="M3625" s="114"/>
      <c r="N3625" s="114"/>
      <c r="O3625" s="114"/>
      <c r="P3625" s="114" t="s">
        <v>3752</v>
      </c>
      <c r="Q3625" s="114" t="s">
        <v>1228</v>
      </c>
    </row>
    <row r="3626" spans="2:17" hidden="1" outlineLevel="2">
      <c r="B3626" s="2" t="s">
        <v>876</v>
      </c>
      <c r="D3626" s="270">
        <v>6467</v>
      </c>
      <c r="E3626" s="112" t="s">
        <v>223</v>
      </c>
      <c r="F3626" s="112" t="s">
        <v>4012</v>
      </c>
      <c r="G3626" s="112" t="s">
        <v>1512</v>
      </c>
      <c r="H3626" s="112" t="s">
        <v>1505</v>
      </c>
      <c r="I3626" s="112"/>
      <c r="J3626" s="112" t="b">
        <v>0</v>
      </c>
      <c r="K3626" s="112"/>
      <c r="L3626" s="112"/>
      <c r="M3626" s="112"/>
      <c r="N3626" s="112"/>
      <c r="O3626" s="112"/>
      <c r="P3626" s="112" t="s">
        <v>3752</v>
      </c>
      <c r="Q3626" s="112" t="s">
        <v>1228</v>
      </c>
    </row>
    <row r="3627" spans="2:17" hidden="1" outlineLevel="2">
      <c r="B3627" s="2" t="s">
        <v>876</v>
      </c>
      <c r="D3627" s="268">
        <v>6468</v>
      </c>
      <c r="E3627" s="114" t="s">
        <v>223</v>
      </c>
      <c r="F3627" s="114" t="s">
        <v>4013</v>
      </c>
      <c r="G3627" s="114" t="s">
        <v>1512</v>
      </c>
      <c r="H3627" s="114" t="s">
        <v>1505</v>
      </c>
      <c r="I3627" s="114"/>
      <c r="J3627" s="114" t="b">
        <v>0</v>
      </c>
      <c r="K3627" s="114"/>
      <c r="L3627" s="114"/>
      <c r="M3627" s="114"/>
      <c r="N3627" s="114"/>
      <c r="O3627" s="114"/>
      <c r="P3627" s="114" t="s">
        <v>3752</v>
      </c>
      <c r="Q3627" s="114" t="s">
        <v>1228</v>
      </c>
    </row>
    <row r="3628" spans="2:17" hidden="1" outlineLevel="2">
      <c r="B3628" s="2" t="s">
        <v>876</v>
      </c>
      <c r="D3628" s="270">
        <v>6470</v>
      </c>
      <c r="E3628" s="112" t="s">
        <v>223</v>
      </c>
      <c r="F3628" s="112" t="s">
        <v>4014</v>
      </c>
      <c r="G3628" s="112" t="s">
        <v>1512</v>
      </c>
      <c r="H3628" s="112" t="s">
        <v>1505</v>
      </c>
      <c r="I3628" s="112"/>
      <c r="J3628" s="112" t="b">
        <v>0</v>
      </c>
      <c r="K3628" s="112"/>
      <c r="L3628" s="112"/>
      <c r="M3628" s="112"/>
      <c r="N3628" s="112"/>
      <c r="O3628" s="112"/>
      <c r="P3628" s="112" t="s">
        <v>3752</v>
      </c>
      <c r="Q3628" s="112" t="s">
        <v>1228</v>
      </c>
    </row>
    <row r="3629" spans="2:17" hidden="1" outlineLevel="2">
      <c r="B3629" s="2" t="s">
        <v>876</v>
      </c>
      <c r="D3629" s="268">
        <v>6472</v>
      </c>
      <c r="E3629" s="114" t="s">
        <v>223</v>
      </c>
      <c r="F3629" s="114" t="s">
        <v>4015</v>
      </c>
      <c r="G3629" s="114" t="s">
        <v>1512</v>
      </c>
      <c r="H3629" s="114" t="s">
        <v>1505</v>
      </c>
      <c r="I3629" s="114"/>
      <c r="J3629" s="114" t="b">
        <v>0</v>
      </c>
      <c r="K3629" s="114"/>
      <c r="L3629" s="114"/>
      <c r="M3629" s="114"/>
      <c r="N3629" s="114"/>
      <c r="O3629" s="114"/>
      <c r="P3629" s="114" t="s">
        <v>3752</v>
      </c>
      <c r="Q3629" s="114" t="s">
        <v>1228</v>
      </c>
    </row>
    <row r="3630" spans="2:17" hidden="1" outlineLevel="2">
      <c r="B3630" s="2" t="s">
        <v>876</v>
      </c>
      <c r="D3630" s="270">
        <v>6473</v>
      </c>
      <c r="E3630" s="112" t="s">
        <v>223</v>
      </c>
      <c r="F3630" s="112" t="s">
        <v>4016</v>
      </c>
      <c r="G3630" s="112" t="s">
        <v>1512</v>
      </c>
      <c r="H3630" s="112" t="s">
        <v>1505</v>
      </c>
      <c r="I3630" s="112"/>
      <c r="J3630" s="112" t="b">
        <v>0</v>
      </c>
      <c r="K3630" s="112"/>
      <c r="L3630" s="112"/>
      <c r="M3630" s="112"/>
      <c r="N3630" s="112"/>
      <c r="O3630" s="112"/>
      <c r="P3630" s="112" t="s">
        <v>3752</v>
      </c>
      <c r="Q3630" s="112" t="s">
        <v>1228</v>
      </c>
    </row>
    <row r="3631" spans="2:17" hidden="1" outlineLevel="2">
      <c r="B3631" s="2" t="s">
        <v>876</v>
      </c>
      <c r="D3631" s="268">
        <v>6475</v>
      </c>
      <c r="E3631" s="114" t="s">
        <v>223</v>
      </c>
      <c r="F3631" s="114" t="s">
        <v>4017</v>
      </c>
      <c r="G3631" s="114" t="s">
        <v>1512</v>
      </c>
      <c r="H3631" s="114" t="s">
        <v>1512</v>
      </c>
      <c r="I3631" s="114"/>
      <c r="J3631" s="114" t="b">
        <v>0</v>
      </c>
      <c r="K3631" s="114"/>
      <c r="L3631" s="114"/>
      <c r="M3631" s="114"/>
      <c r="N3631" s="114"/>
      <c r="O3631" s="114"/>
      <c r="P3631" s="114" t="s">
        <v>3752</v>
      </c>
      <c r="Q3631" s="114" t="s">
        <v>1228</v>
      </c>
    </row>
    <row r="3632" spans="2:17" hidden="1" outlineLevel="2">
      <c r="B3632" s="2" t="s">
        <v>876</v>
      </c>
      <c r="D3632" s="270">
        <v>6476</v>
      </c>
      <c r="E3632" s="112" t="s">
        <v>223</v>
      </c>
      <c r="F3632" s="112" t="s">
        <v>4018</v>
      </c>
      <c r="G3632" s="112" t="s">
        <v>1512</v>
      </c>
      <c r="H3632" s="112" t="s">
        <v>1505</v>
      </c>
      <c r="I3632" s="112"/>
      <c r="J3632" s="112" t="b">
        <v>0</v>
      </c>
      <c r="K3632" s="112"/>
      <c r="L3632" s="112"/>
      <c r="M3632" s="112"/>
      <c r="N3632" s="112"/>
      <c r="O3632" s="112"/>
      <c r="P3632" s="112" t="s">
        <v>3752</v>
      </c>
      <c r="Q3632" s="112" t="s">
        <v>1228</v>
      </c>
    </row>
    <row r="3633" spans="2:17" hidden="1" outlineLevel="2">
      <c r="B3633" s="2" t="s">
        <v>876</v>
      </c>
      <c r="D3633" s="268">
        <v>6477</v>
      </c>
      <c r="E3633" s="114" t="s">
        <v>223</v>
      </c>
      <c r="F3633" s="114" t="s">
        <v>4019</v>
      </c>
      <c r="G3633" s="114" t="s">
        <v>1512</v>
      </c>
      <c r="H3633" s="114" t="s">
        <v>1505</v>
      </c>
      <c r="I3633" s="114"/>
      <c r="J3633" s="114" t="b">
        <v>0</v>
      </c>
      <c r="K3633" s="114"/>
      <c r="L3633" s="114"/>
      <c r="M3633" s="114"/>
      <c r="N3633" s="114"/>
      <c r="O3633" s="114"/>
      <c r="P3633" s="114" t="s">
        <v>3752</v>
      </c>
      <c r="Q3633" s="114" t="s">
        <v>1228</v>
      </c>
    </row>
    <row r="3634" spans="2:17" hidden="1" outlineLevel="2">
      <c r="B3634" s="2" t="s">
        <v>876</v>
      </c>
      <c r="D3634" s="270">
        <v>6479</v>
      </c>
      <c r="E3634" s="112" t="s">
        <v>223</v>
      </c>
      <c r="F3634" s="112" t="s">
        <v>4020</v>
      </c>
      <c r="G3634" s="112" t="s">
        <v>1533</v>
      </c>
      <c r="H3634" s="112" t="s">
        <v>1505</v>
      </c>
      <c r="I3634" s="112"/>
      <c r="J3634" s="112" t="b">
        <v>1</v>
      </c>
      <c r="K3634" s="112"/>
      <c r="L3634" s="112"/>
      <c r="M3634" s="112"/>
      <c r="N3634" s="112"/>
      <c r="O3634" s="112"/>
      <c r="P3634" s="112" t="s">
        <v>3752</v>
      </c>
      <c r="Q3634" s="112" t="s">
        <v>1228</v>
      </c>
    </row>
    <row r="3635" spans="2:17" hidden="1" outlineLevel="2">
      <c r="B3635" s="2" t="s">
        <v>876</v>
      </c>
      <c r="D3635" s="268">
        <v>6480</v>
      </c>
      <c r="E3635" s="114" t="s">
        <v>223</v>
      </c>
      <c r="F3635" s="114" t="s">
        <v>4021</v>
      </c>
      <c r="G3635" s="114" t="s">
        <v>1512</v>
      </c>
      <c r="H3635" s="114" t="s">
        <v>1505</v>
      </c>
      <c r="I3635" s="114"/>
      <c r="J3635" s="114" t="b">
        <v>0</v>
      </c>
      <c r="K3635" s="114"/>
      <c r="L3635" s="114"/>
      <c r="M3635" s="114"/>
      <c r="N3635" s="114"/>
      <c r="O3635" s="114"/>
      <c r="P3635" s="114" t="s">
        <v>3752</v>
      </c>
      <c r="Q3635" s="114" t="s">
        <v>1228</v>
      </c>
    </row>
    <row r="3636" spans="2:17" hidden="1" outlineLevel="2">
      <c r="B3636" s="2" t="s">
        <v>876</v>
      </c>
      <c r="D3636" s="270">
        <v>6484</v>
      </c>
      <c r="E3636" s="112" t="s">
        <v>223</v>
      </c>
      <c r="F3636" s="112" t="s">
        <v>4022</v>
      </c>
      <c r="G3636" s="112" t="s">
        <v>1512</v>
      </c>
      <c r="H3636" s="112" t="s">
        <v>1505</v>
      </c>
      <c r="I3636" s="112"/>
      <c r="J3636" s="112" t="b">
        <v>0</v>
      </c>
      <c r="K3636" s="112"/>
      <c r="L3636" s="112"/>
      <c r="M3636" s="112"/>
      <c r="N3636" s="112"/>
      <c r="O3636" s="112"/>
      <c r="P3636" s="112" t="s">
        <v>3752</v>
      </c>
      <c r="Q3636" s="112" t="s">
        <v>1228</v>
      </c>
    </row>
    <row r="3637" spans="2:17" hidden="1" outlineLevel="2">
      <c r="B3637" s="2" t="s">
        <v>876</v>
      </c>
      <c r="D3637" s="268">
        <v>6485</v>
      </c>
      <c r="E3637" s="114" t="s">
        <v>223</v>
      </c>
      <c r="F3637" s="114" t="s">
        <v>4023</v>
      </c>
      <c r="G3637" s="221" t="s">
        <v>1512</v>
      </c>
      <c r="H3637" s="114" t="s">
        <v>1505</v>
      </c>
      <c r="I3637" s="114"/>
      <c r="J3637" s="114" t="b">
        <v>0</v>
      </c>
      <c r="K3637" s="114"/>
      <c r="L3637" s="114"/>
      <c r="M3637" s="114"/>
      <c r="N3637" s="114"/>
      <c r="O3637" s="114"/>
      <c r="P3637" s="114" t="s">
        <v>3752</v>
      </c>
      <c r="Q3637" s="114" t="s">
        <v>1228</v>
      </c>
    </row>
    <row r="3638" spans="2:17" hidden="1" outlineLevel="2">
      <c r="B3638" s="2" t="s">
        <v>876</v>
      </c>
      <c r="D3638" s="270">
        <v>6487</v>
      </c>
      <c r="E3638" s="112" t="s">
        <v>223</v>
      </c>
      <c r="F3638" s="112" t="s">
        <v>4024</v>
      </c>
      <c r="G3638" s="112" t="s">
        <v>1512</v>
      </c>
      <c r="H3638" s="112" t="s">
        <v>1505</v>
      </c>
      <c r="I3638" s="112"/>
      <c r="J3638" s="112" t="b">
        <v>0</v>
      </c>
      <c r="K3638" s="112"/>
      <c r="L3638" s="112"/>
      <c r="M3638" s="112"/>
      <c r="N3638" s="112"/>
      <c r="O3638" s="112"/>
      <c r="P3638" s="112" t="s">
        <v>3752</v>
      </c>
      <c r="Q3638" s="112" t="s">
        <v>1228</v>
      </c>
    </row>
    <row r="3639" spans="2:17" hidden="1" outlineLevel="2">
      <c r="B3639" s="2" t="s">
        <v>876</v>
      </c>
      <c r="D3639" s="268">
        <v>6488</v>
      </c>
      <c r="E3639" s="114" t="s">
        <v>223</v>
      </c>
      <c r="F3639" s="114" t="s">
        <v>4025</v>
      </c>
      <c r="G3639" s="114" t="s">
        <v>1512</v>
      </c>
      <c r="H3639" s="114" t="s">
        <v>1505</v>
      </c>
      <c r="I3639" s="114"/>
      <c r="J3639" s="114" t="b">
        <v>0</v>
      </c>
      <c r="K3639" s="114"/>
      <c r="L3639" s="114"/>
      <c r="M3639" s="114"/>
      <c r="N3639" s="114"/>
      <c r="O3639" s="114"/>
      <c r="P3639" s="114" t="s">
        <v>3752</v>
      </c>
      <c r="Q3639" s="114" t="s">
        <v>1228</v>
      </c>
    </row>
    <row r="3640" spans="2:17" hidden="1" outlineLevel="2">
      <c r="B3640" s="2" t="s">
        <v>876</v>
      </c>
      <c r="D3640" s="270">
        <v>6489</v>
      </c>
      <c r="E3640" s="112" t="s">
        <v>223</v>
      </c>
      <c r="F3640" s="112" t="s">
        <v>4026</v>
      </c>
      <c r="G3640" s="112" t="s">
        <v>1512</v>
      </c>
      <c r="H3640" s="112" t="s">
        <v>1505</v>
      </c>
      <c r="I3640" s="112"/>
      <c r="J3640" s="112" t="b">
        <v>0</v>
      </c>
      <c r="K3640" s="112"/>
      <c r="L3640" s="112" t="b">
        <v>1</v>
      </c>
      <c r="M3640" s="112"/>
      <c r="N3640" s="112"/>
      <c r="O3640" s="112"/>
      <c r="P3640" s="112" t="s">
        <v>3752</v>
      </c>
      <c r="Q3640" s="112" t="s">
        <v>1228</v>
      </c>
    </row>
    <row r="3641" spans="2:17" hidden="1" outlineLevel="2">
      <c r="B3641" s="2" t="s">
        <v>876</v>
      </c>
      <c r="D3641" s="268">
        <v>6490</v>
      </c>
      <c r="E3641" s="114" t="s">
        <v>223</v>
      </c>
      <c r="F3641" s="114" t="s">
        <v>4027</v>
      </c>
      <c r="G3641" s="114" t="s">
        <v>1512</v>
      </c>
      <c r="H3641" s="114" t="s">
        <v>1505</v>
      </c>
      <c r="I3641" s="114"/>
      <c r="J3641" s="114" t="b">
        <v>0</v>
      </c>
      <c r="K3641" s="114"/>
      <c r="L3641" s="114"/>
      <c r="M3641" s="114"/>
      <c r="N3641" s="114"/>
      <c r="O3641" s="114"/>
      <c r="P3641" s="114" t="s">
        <v>3752</v>
      </c>
      <c r="Q3641" s="114" t="s">
        <v>1228</v>
      </c>
    </row>
    <row r="3642" spans="2:17" hidden="1" outlineLevel="2">
      <c r="B3642" s="2" t="s">
        <v>876</v>
      </c>
      <c r="D3642" s="270">
        <v>6501</v>
      </c>
      <c r="E3642" s="112" t="s">
        <v>223</v>
      </c>
      <c r="F3642" s="112" t="s">
        <v>4028</v>
      </c>
      <c r="G3642" s="112" t="s">
        <v>1493</v>
      </c>
      <c r="H3642" s="112" t="s">
        <v>1505</v>
      </c>
      <c r="I3642" s="112"/>
      <c r="J3642" s="112" t="b">
        <v>0</v>
      </c>
      <c r="K3642" s="112"/>
      <c r="L3642" s="112"/>
      <c r="M3642" s="112"/>
      <c r="N3642" s="112"/>
      <c r="O3642" s="112"/>
      <c r="P3642" s="112" t="s">
        <v>3752</v>
      </c>
      <c r="Q3642" s="112" t="s">
        <v>1228</v>
      </c>
    </row>
    <row r="3643" spans="2:17" hidden="1" outlineLevel="2">
      <c r="B3643" s="2" t="s">
        <v>876</v>
      </c>
      <c r="D3643" s="268">
        <v>6502</v>
      </c>
      <c r="E3643" s="114" t="s">
        <v>223</v>
      </c>
      <c r="F3643" s="114" t="s">
        <v>4029</v>
      </c>
      <c r="G3643" s="114" t="s">
        <v>1512</v>
      </c>
      <c r="H3643" s="114" t="s">
        <v>1512</v>
      </c>
      <c r="I3643" s="114"/>
      <c r="J3643" s="114" t="b">
        <v>0</v>
      </c>
      <c r="K3643" s="114"/>
      <c r="L3643" s="114"/>
      <c r="M3643" s="114"/>
      <c r="N3643" s="114"/>
      <c r="O3643" s="114"/>
      <c r="P3643" s="114" t="s">
        <v>3752</v>
      </c>
      <c r="Q3643" s="114" t="s">
        <v>1228</v>
      </c>
    </row>
    <row r="3644" spans="2:17" hidden="1" outlineLevel="2">
      <c r="B3644" s="2" t="s">
        <v>876</v>
      </c>
      <c r="D3644" s="270">
        <v>6503</v>
      </c>
      <c r="E3644" s="112" t="s">
        <v>223</v>
      </c>
      <c r="F3644" s="112" t="s">
        <v>4030</v>
      </c>
      <c r="G3644" s="112" t="s">
        <v>1512</v>
      </c>
      <c r="H3644" s="112" t="s">
        <v>1505</v>
      </c>
      <c r="I3644" s="112"/>
      <c r="J3644" s="112" t="b">
        <v>0</v>
      </c>
      <c r="K3644" s="112"/>
      <c r="L3644" s="112"/>
      <c r="M3644" s="112"/>
      <c r="N3644" s="112"/>
      <c r="O3644" s="112"/>
      <c r="P3644" s="112" t="s">
        <v>3752</v>
      </c>
      <c r="Q3644" s="112" t="s">
        <v>1228</v>
      </c>
    </row>
    <row r="3645" spans="2:17" hidden="1" outlineLevel="2">
      <c r="B3645" s="2" t="s">
        <v>876</v>
      </c>
      <c r="D3645" s="268">
        <v>6504</v>
      </c>
      <c r="E3645" s="114" t="s">
        <v>223</v>
      </c>
      <c r="F3645" s="114" t="s">
        <v>4031</v>
      </c>
      <c r="G3645" s="114" t="s">
        <v>1512</v>
      </c>
      <c r="H3645" s="114" t="s">
        <v>1505</v>
      </c>
      <c r="I3645" s="114"/>
      <c r="J3645" s="114" t="b">
        <v>0</v>
      </c>
      <c r="K3645" s="114"/>
      <c r="L3645" s="114"/>
      <c r="M3645" s="114"/>
      <c r="N3645" s="114"/>
      <c r="O3645" s="114"/>
      <c r="P3645" s="114" t="s">
        <v>3752</v>
      </c>
      <c r="Q3645" s="114" t="s">
        <v>1228</v>
      </c>
    </row>
    <row r="3646" spans="2:17" hidden="1" outlineLevel="2">
      <c r="B3646" s="2" t="s">
        <v>876</v>
      </c>
      <c r="D3646" s="270">
        <v>6505</v>
      </c>
      <c r="E3646" s="112" t="s">
        <v>223</v>
      </c>
      <c r="F3646" s="112" t="s">
        <v>4032</v>
      </c>
      <c r="G3646" s="112" t="s">
        <v>1512</v>
      </c>
      <c r="H3646" s="112" t="s">
        <v>1505</v>
      </c>
      <c r="I3646" s="112"/>
      <c r="J3646" s="112" t="b">
        <v>0</v>
      </c>
      <c r="K3646" s="112"/>
      <c r="L3646" s="112"/>
      <c r="M3646" s="112"/>
      <c r="N3646" s="112"/>
      <c r="O3646" s="112"/>
      <c r="P3646" s="112" t="s">
        <v>3752</v>
      </c>
      <c r="Q3646" s="112" t="s">
        <v>1228</v>
      </c>
    </row>
    <row r="3647" spans="2:17" hidden="1" outlineLevel="2">
      <c r="B3647" s="2" t="s">
        <v>876</v>
      </c>
      <c r="D3647" s="268">
        <v>6506</v>
      </c>
      <c r="E3647" s="114" t="s">
        <v>223</v>
      </c>
      <c r="F3647" s="114" t="s">
        <v>4033</v>
      </c>
      <c r="G3647" s="114" t="s">
        <v>1512</v>
      </c>
      <c r="H3647" s="114" t="s">
        <v>1505</v>
      </c>
      <c r="I3647" s="114"/>
      <c r="J3647" s="114" t="b">
        <v>0</v>
      </c>
      <c r="K3647" s="114"/>
      <c r="L3647" s="114"/>
      <c r="M3647" s="114"/>
      <c r="N3647" s="114"/>
      <c r="O3647" s="114"/>
      <c r="P3647" s="114" t="s">
        <v>3752</v>
      </c>
      <c r="Q3647" s="114" t="s">
        <v>1228</v>
      </c>
    </row>
    <row r="3648" spans="2:17" hidden="1" outlineLevel="2">
      <c r="B3648" s="2" t="s">
        <v>876</v>
      </c>
      <c r="D3648" s="270">
        <v>6507</v>
      </c>
      <c r="E3648" s="112" t="s">
        <v>223</v>
      </c>
      <c r="F3648" s="112" t="s">
        <v>4034</v>
      </c>
      <c r="G3648" s="112" t="s">
        <v>1512</v>
      </c>
      <c r="H3648" s="112" t="s">
        <v>1505</v>
      </c>
      <c r="I3648" s="112"/>
      <c r="J3648" s="112" t="b">
        <v>0</v>
      </c>
      <c r="K3648" s="112"/>
      <c r="L3648" s="112"/>
      <c r="M3648" s="112"/>
      <c r="N3648" s="112"/>
      <c r="O3648" s="112"/>
      <c r="P3648" s="112" t="s">
        <v>3752</v>
      </c>
      <c r="Q3648" s="112" t="s">
        <v>1228</v>
      </c>
    </row>
    <row r="3649" spans="2:17" hidden="1" outlineLevel="2">
      <c r="B3649" s="2" t="s">
        <v>876</v>
      </c>
      <c r="D3649" s="268">
        <v>6509</v>
      </c>
      <c r="E3649" s="114" t="s">
        <v>223</v>
      </c>
      <c r="F3649" s="114" t="s">
        <v>4035</v>
      </c>
      <c r="G3649" s="114" t="s">
        <v>1512</v>
      </c>
      <c r="H3649" s="114" t="s">
        <v>1505</v>
      </c>
      <c r="I3649" s="114"/>
      <c r="J3649" s="114" t="b">
        <v>0</v>
      </c>
      <c r="K3649" s="114"/>
      <c r="L3649" s="114"/>
      <c r="M3649" s="114"/>
      <c r="N3649" s="114"/>
      <c r="O3649" s="114"/>
      <c r="P3649" s="114" t="s">
        <v>3752</v>
      </c>
      <c r="Q3649" s="114" t="s">
        <v>1228</v>
      </c>
    </row>
    <row r="3650" spans="2:17" hidden="1" outlineLevel="2">
      <c r="B3650" s="2" t="s">
        <v>876</v>
      </c>
      <c r="D3650" s="270">
        <v>6510</v>
      </c>
      <c r="E3650" s="112" t="s">
        <v>223</v>
      </c>
      <c r="F3650" s="112" t="s">
        <v>4036</v>
      </c>
      <c r="G3650" s="112" t="s">
        <v>1512</v>
      </c>
      <c r="H3650" s="112" t="s">
        <v>1505</v>
      </c>
      <c r="I3650" s="112"/>
      <c r="J3650" s="112" t="b">
        <v>0</v>
      </c>
      <c r="K3650" s="112"/>
      <c r="L3650" s="112"/>
      <c r="M3650" s="112"/>
      <c r="N3650" s="112"/>
      <c r="O3650" s="112"/>
      <c r="P3650" s="112" t="s">
        <v>3752</v>
      </c>
      <c r="Q3650" s="112" t="s">
        <v>1228</v>
      </c>
    </row>
    <row r="3651" spans="2:17" hidden="1" outlineLevel="2">
      <c r="B3651" s="2" t="s">
        <v>876</v>
      </c>
      <c r="D3651" s="268">
        <v>6511</v>
      </c>
      <c r="E3651" s="114" t="s">
        <v>223</v>
      </c>
      <c r="F3651" s="114" t="s">
        <v>4037</v>
      </c>
      <c r="G3651" s="221" t="s">
        <v>1512</v>
      </c>
      <c r="H3651" s="114" t="s">
        <v>1494</v>
      </c>
      <c r="I3651" s="114"/>
      <c r="J3651" s="114" t="b">
        <v>0</v>
      </c>
      <c r="K3651" s="114"/>
      <c r="L3651" s="114"/>
      <c r="M3651" s="114"/>
      <c r="N3651" s="114"/>
      <c r="O3651" s="114"/>
      <c r="P3651" s="114" t="s">
        <v>3752</v>
      </c>
      <c r="Q3651" s="114" t="s">
        <v>1228</v>
      </c>
    </row>
    <row r="3652" spans="2:17" hidden="1" outlineLevel="2">
      <c r="B3652" s="2" t="s">
        <v>876</v>
      </c>
      <c r="D3652" s="270">
        <v>6512</v>
      </c>
      <c r="E3652" s="112" t="s">
        <v>223</v>
      </c>
      <c r="F3652" s="112" t="s">
        <v>4038</v>
      </c>
      <c r="G3652" s="112" t="s">
        <v>1512</v>
      </c>
      <c r="H3652" s="112" t="s">
        <v>1505</v>
      </c>
      <c r="I3652" s="112"/>
      <c r="J3652" s="112" t="b">
        <v>0</v>
      </c>
      <c r="K3652" s="112"/>
      <c r="L3652" s="112"/>
      <c r="M3652" s="112"/>
      <c r="N3652" s="112"/>
      <c r="O3652" s="112"/>
      <c r="P3652" s="112" t="s">
        <v>3752</v>
      </c>
      <c r="Q3652" s="112" t="s">
        <v>1228</v>
      </c>
    </row>
    <row r="3653" spans="2:17" hidden="1" outlineLevel="2">
      <c r="B3653" s="2" t="s">
        <v>876</v>
      </c>
      <c r="D3653" s="268">
        <v>6513</v>
      </c>
      <c r="E3653" s="114" t="s">
        <v>223</v>
      </c>
      <c r="F3653" s="114" t="s">
        <v>4039</v>
      </c>
      <c r="G3653" s="114" t="s">
        <v>1512</v>
      </c>
      <c r="H3653" s="114" t="s">
        <v>1505</v>
      </c>
      <c r="I3653" s="114"/>
      <c r="J3653" s="114" t="b">
        <v>0</v>
      </c>
      <c r="K3653" s="114"/>
      <c r="L3653" s="114" t="b">
        <v>1</v>
      </c>
      <c r="M3653" s="114"/>
      <c r="N3653" s="114"/>
      <c r="O3653" s="114"/>
      <c r="P3653" s="114" t="s">
        <v>3752</v>
      </c>
      <c r="Q3653" s="114" t="s">
        <v>1228</v>
      </c>
    </row>
    <row r="3654" spans="2:17" hidden="1" outlineLevel="2">
      <c r="B3654" s="2" t="s">
        <v>876</v>
      </c>
      <c r="D3654" s="270">
        <v>6514</v>
      </c>
      <c r="E3654" s="112" t="s">
        <v>223</v>
      </c>
      <c r="F3654" s="112" t="s">
        <v>4040</v>
      </c>
      <c r="G3654" s="112" t="s">
        <v>1512</v>
      </c>
      <c r="H3654" s="112" t="s">
        <v>1505</v>
      </c>
      <c r="I3654" s="112"/>
      <c r="J3654" s="112" t="b">
        <v>0</v>
      </c>
      <c r="K3654" s="112"/>
      <c r="L3654" s="112"/>
      <c r="M3654" s="112"/>
      <c r="N3654" s="112"/>
      <c r="O3654" s="112"/>
      <c r="P3654" s="112" t="s">
        <v>3752</v>
      </c>
      <c r="Q3654" s="112" t="s">
        <v>1228</v>
      </c>
    </row>
    <row r="3655" spans="2:17" hidden="1" outlineLevel="2">
      <c r="B3655" s="2" t="s">
        <v>876</v>
      </c>
      <c r="D3655" s="268">
        <v>6515</v>
      </c>
      <c r="E3655" s="114" t="s">
        <v>223</v>
      </c>
      <c r="F3655" s="114" t="s">
        <v>4041</v>
      </c>
      <c r="G3655" s="114" t="s">
        <v>1512</v>
      </c>
      <c r="H3655" s="114" t="s">
        <v>1505</v>
      </c>
      <c r="I3655" s="114"/>
      <c r="J3655" s="114" t="b">
        <v>0</v>
      </c>
      <c r="K3655" s="114"/>
      <c r="L3655" s="114"/>
      <c r="M3655" s="114"/>
      <c r="N3655" s="114"/>
      <c r="O3655" s="114"/>
      <c r="P3655" s="114" t="s">
        <v>3752</v>
      </c>
      <c r="Q3655" s="114" t="s">
        <v>1228</v>
      </c>
    </row>
    <row r="3656" spans="2:17" hidden="1" outlineLevel="2">
      <c r="B3656" s="2" t="s">
        <v>876</v>
      </c>
      <c r="D3656" s="270">
        <v>6516</v>
      </c>
      <c r="E3656" s="112" t="s">
        <v>223</v>
      </c>
      <c r="F3656" s="112" t="s">
        <v>4042</v>
      </c>
      <c r="G3656" s="112" t="s">
        <v>1483</v>
      </c>
      <c r="H3656" s="112" t="s">
        <v>1494</v>
      </c>
      <c r="I3656" s="112"/>
      <c r="J3656" s="112" t="b">
        <v>0</v>
      </c>
      <c r="K3656" s="112"/>
      <c r="L3656" s="112"/>
      <c r="M3656" s="112"/>
      <c r="N3656" s="112"/>
      <c r="O3656" s="112"/>
      <c r="P3656" s="112" t="s">
        <v>3752</v>
      </c>
      <c r="Q3656" s="112" t="s">
        <v>1228</v>
      </c>
    </row>
    <row r="3657" spans="2:17" hidden="1" outlineLevel="2">
      <c r="B3657" s="2" t="s">
        <v>876</v>
      </c>
      <c r="D3657" s="268">
        <v>6517</v>
      </c>
      <c r="E3657" s="114" t="s">
        <v>223</v>
      </c>
      <c r="F3657" s="114" t="s">
        <v>4043</v>
      </c>
      <c r="G3657" s="114" t="s">
        <v>1512</v>
      </c>
      <c r="H3657" s="114" t="s">
        <v>1505</v>
      </c>
      <c r="I3657" s="114"/>
      <c r="J3657" s="114" t="b">
        <v>0</v>
      </c>
      <c r="K3657" s="114"/>
      <c r="L3657" s="114"/>
      <c r="M3657" s="114"/>
      <c r="N3657" s="114"/>
      <c r="O3657" s="114"/>
      <c r="P3657" s="114" t="s">
        <v>3752</v>
      </c>
      <c r="Q3657" s="114" t="s">
        <v>1228</v>
      </c>
    </row>
    <row r="3658" spans="2:17" hidden="1" outlineLevel="2">
      <c r="B3658" s="2" t="s">
        <v>876</v>
      </c>
      <c r="D3658" s="270">
        <v>6518</v>
      </c>
      <c r="E3658" s="112" t="s">
        <v>223</v>
      </c>
      <c r="F3658" s="112" t="s">
        <v>4044</v>
      </c>
      <c r="G3658" s="112" t="s">
        <v>1512</v>
      </c>
      <c r="H3658" s="112" t="s">
        <v>1505</v>
      </c>
      <c r="I3658" s="112"/>
      <c r="J3658" s="112" t="b">
        <v>0</v>
      </c>
      <c r="K3658" s="112"/>
      <c r="L3658" s="112"/>
      <c r="M3658" s="112"/>
      <c r="N3658" s="112"/>
      <c r="O3658" s="112"/>
      <c r="P3658" s="112" t="s">
        <v>3752</v>
      </c>
      <c r="Q3658" s="112" t="s">
        <v>1228</v>
      </c>
    </row>
    <row r="3659" spans="2:17" hidden="1" outlineLevel="2">
      <c r="B3659" s="2" t="s">
        <v>876</v>
      </c>
      <c r="D3659" s="268">
        <v>6519</v>
      </c>
      <c r="E3659" s="114" t="s">
        <v>223</v>
      </c>
      <c r="F3659" s="114" t="s">
        <v>4045</v>
      </c>
      <c r="G3659" s="114" t="s">
        <v>1512</v>
      </c>
      <c r="H3659" s="114" t="s">
        <v>1505</v>
      </c>
      <c r="I3659" s="114"/>
      <c r="J3659" s="114" t="b">
        <v>0</v>
      </c>
      <c r="K3659" s="114"/>
      <c r="L3659" s="114"/>
      <c r="M3659" s="114"/>
      <c r="N3659" s="114"/>
      <c r="O3659" s="114"/>
      <c r="P3659" s="114" t="s">
        <v>3752</v>
      </c>
      <c r="Q3659" s="114" t="s">
        <v>1228</v>
      </c>
    </row>
    <row r="3660" spans="2:17" hidden="1" outlineLevel="2">
      <c r="B3660" s="2" t="s">
        <v>876</v>
      </c>
      <c r="D3660" s="270">
        <v>6521</v>
      </c>
      <c r="E3660" s="112" t="s">
        <v>223</v>
      </c>
      <c r="F3660" s="112" t="s">
        <v>4046</v>
      </c>
      <c r="G3660" s="112" t="s">
        <v>1512</v>
      </c>
      <c r="H3660" s="112" t="s">
        <v>1505</v>
      </c>
      <c r="I3660" s="112"/>
      <c r="J3660" s="112" t="b">
        <v>0</v>
      </c>
      <c r="K3660" s="112"/>
      <c r="L3660" s="112"/>
      <c r="M3660" s="112"/>
      <c r="N3660" s="112"/>
      <c r="O3660" s="112"/>
      <c r="P3660" s="112" t="s">
        <v>3752</v>
      </c>
      <c r="Q3660" s="112" t="s">
        <v>1228</v>
      </c>
    </row>
    <row r="3661" spans="2:17" hidden="1" outlineLevel="2">
      <c r="B3661" s="2" t="s">
        <v>876</v>
      </c>
      <c r="D3661" s="268">
        <v>6522</v>
      </c>
      <c r="E3661" s="114" t="s">
        <v>223</v>
      </c>
      <c r="F3661" s="114" t="s">
        <v>1973</v>
      </c>
      <c r="G3661" s="114" t="s">
        <v>1512</v>
      </c>
      <c r="H3661" s="114" t="s">
        <v>1505</v>
      </c>
      <c r="I3661" s="114"/>
      <c r="J3661" s="114" t="b">
        <v>0</v>
      </c>
      <c r="K3661" s="114"/>
      <c r="L3661" s="114"/>
      <c r="M3661" s="114"/>
      <c r="N3661" s="114"/>
      <c r="O3661" s="114"/>
      <c r="P3661" s="114" t="s">
        <v>3752</v>
      </c>
      <c r="Q3661" s="114" t="s">
        <v>1228</v>
      </c>
    </row>
    <row r="3662" spans="2:17" hidden="1" outlineLevel="2">
      <c r="B3662" s="2" t="s">
        <v>876</v>
      </c>
      <c r="D3662" s="270">
        <v>6525</v>
      </c>
      <c r="E3662" s="112" t="s">
        <v>223</v>
      </c>
      <c r="F3662" s="112" t="s">
        <v>4047</v>
      </c>
      <c r="G3662" s="112" t="s">
        <v>1512</v>
      </c>
      <c r="H3662" s="112" t="s">
        <v>1505</v>
      </c>
      <c r="I3662" s="112"/>
      <c r="J3662" s="112" t="b">
        <v>0</v>
      </c>
      <c r="K3662" s="112"/>
      <c r="L3662" s="112"/>
      <c r="M3662" s="112"/>
      <c r="N3662" s="112"/>
      <c r="O3662" s="112"/>
      <c r="P3662" s="112" t="s">
        <v>3752</v>
      </c>
      <c r="Q3662" s="112" t="s">
        <v>1228</v>
      </c>
    </row>
    <row r="3663" spans="2:17" hidden="1" outlineLevel="2">
      <c r="B3663" s="2" t="s">
        <v>876</v>
      </c>
      <c r="D3663" s="268">
        <v>6528</v>
      </c>
      <c r="E3663" s="114" t="s">
        <v>223</v>
      </c>
      <c r="F3663" s="114" t="s">
        <v>4048</v>
      </c>
      <c r="G3663" s="114" t="s">
        <v>1512</v>
      </c>
      <c r="H3663" s="114" t="s">
        <v>1505</v>
      </c>
      <c r="I3663" s="114"/>
      <c r="J3663" s="114" t="b">
        <v>0</v>
      </c>
      <c r="K3663" s="114"/>
      <c r="L3663" s="114"/>
      <c r="M3663" s="114"/>
      <c r="N3663" s="114"/>
      <c r="O3663" s="114"/>
      <c r="P3663" s="114" t="s">
        <v>3752</v>
      </c>
      <c r="Q3663" s="114" t="s">
        <v>1228</v>
      </c>
    </row>
    <row r="3664" spans="2:17" hidden="1" outlineLevel="2">
      <c r="B3664" s="2" t="s">
        <v>876</v>
      </c>
      <c r="D3664" s="270">
        <v>6530</v>
      </c>
      <c r="E3664" s="112" t="s">
        <v>223</v>
      </c>
      <c r="F3664" s="112" t="s">
        <v>4049</v>
      </c>
      <c r="G3664" s="112" t="s">
        <v>1483</v>
      </c>
      <c r="H3664" s="112" t="s">
        <v>1494</v>
      </c>
      <c r="I3664" s="112"/>
      <c r="J3664" s="112" t="b">
        <v>0</v>
      </c>
      <c r="K3664" s="112" t="s">
        <v>1484</v>
      </c>
      <c r="L3664" s="112" t="b">
        <v>1</v>
      </c>
      <c r="M3664" s="112"/>
      <c r="N3664" s="112"/>
      <c r="O3664" s="112"/>
      <c r="P3664" s="112" t="s">
        <v>3752</v>
      </c>
      <c r="Q3664" s="112" t="s">
        <v>1228</v>
      </c>
    </row>
    <row r="3665" spans="2:17" hidden="1" outlineLevel="2">
      <c r="B3665" s="2" t="s">
        <v>876</v>
      </c>
      <c r="D3665" s="268">
        <v>6532</v>
      </c>
      <c r="E3665" s="114" t="s">
        <v>223</v>
      </c>
      <c r="F3665" s="114" t="s">
        <v>4050</v>
      </c>
      <c r="G3665" s="114" t="s">
        <v>1493</v>
      </c>
      <c r="H3665" s="114" t="s">
        <v>1505</v>
      </c>
      <c r="I3665" s="114"/>
      <c r="J3665" s="114" t="b">
        <v>0</v>
      </c>
      <c r="K3665" s="114"/>
      <c r="L3665" s="114"/>
      <c r="M3665" s="114"/>
      <c r="N3665" s="114"/>
      <c r="O3665" s="114"/>
      <c r="P3665" s="114" t="s">
        <v>3991</v>
      </c>
      <c r="Q3665" s="114" t="s">
        <v>1228</v>
      </c>
    </row>
    <row r="3666" spans="2:17" hidden="1" outlineLevel="2">
      <c r="B3666" s="2" t="s">
        <v>876</v>
      </c>
      <c r="D3666" s="270">
        <v>6535</v>
      </c>
      <c r="E3666" s="112" t="s">
        <v>223</v>
      </c>
      <c r="F3666" s="112" t="s">
        <v>3641</v>
      </c>
      <c r="G3666" s="112" t="s">
        <v>1512</v>
      </c>
      <c r="H3666" s="112" t="s">
        <v>1505</v>
      </c>
      <c r="I3666" s="112"/>
      <c r="J3666" s="112" t="b">
        <v>0</v>
      </c>
      <c r="K3666" s="112"/>
      <c r="L3666" s="112" t="b">
        <v>1</v>
      </c>
      <c r="M3666" s="112"/>
      <c r="N3666" s="112"/>
      <c r="O3666" s="112"/>
      <c r="P3666" s="112" t="s">
        <v>3752</v>
      </c>
      <c r="Q3666" s="112" t="s">
        <v>1228</v>
      </c>
    </row>
    <row r="3667" spans="2:17" hidden="1" outlineLevel="2">
      <c r="B3667" s="2" t="s">
        <v>876</v>
      </c>
      <c r="D3667" s="268">
        <v>6536</v>
      </c>
      <c r="E3667" s="114" t="s">
        <v>223</v>
      </c>
      <c r="F3667" s="114" t="s">
        <v>4051</v>
      </c>
      <c r="G3667" s="221" t="s">
        <v>1512</v>
      </c>
      <c r="H3667" s="114" t="s">
        <v>1505</v>
      </c>
      <c r="I3667" s="114"/>
      <c r="J3667" s="114" t="b">
        <v>0</v>
      </c>
      <c r="K3667" s="114"/>
      <c r="L3667" s="114"/>
      <c r="M3667" s="114"/>
      <c r="N3667" s="114"/>
      <c r="O3667" s="114"/>
      <c r="P3667" s="114" t="s">
        <v>3752</v>
      </c>
      <c r="Q3667" s="114" t="s">
        <v>1228</v>
      </c>
    </row>
    <row r="3668" spans="2:17" hidden="1" outlineLevel="2">
      <c r="B3668" s="2" t="s">
        <v>876</v>
      </c>
      <c r="D3668" s="270">
        <v>6537</v>
      </c>
      <c r="E3668" s="112" t="s">
        <v>223</v>
      </c>
      <c r="F3668" s="112" t="s">
        <v>4052</v>
      </c>
      <c r="G3668" s="112" t="s">
        <v>1512</v>
      </c>
      <c r="H3668" s="112" t="s">
        <v>1505</v>
      </c>
      <c r="I3668" s="112"/>
      <c r="J3668" s="112" t="b">
        <v>0</v>
      </c>
      <c r="K3668" s="112"/>
      <c r="L3668" s="112"/>
      <c r="M3668" s="112"/>
      <c r="N3668" s="112"/>
      <c r="O3668" s="112"/>
      <c r="P3668" s="112" t="s">
        <v>3991</v>
      </c>
      <c r="Q3668" s="112" t="s">
        <v>1228</v>
      </c>
    </row>
    <row r="3669" spans="2:17" hidden="1" outlineLevel="2">
      <c r="B3669" s="2" t="s">
        <v>876</v>
      </c>
      <c r="D3669" s="268">
        <v>6556</v>
      </c>
      <c r="E3669" s="114" t="s">
        <v>223</v>
      </c>
      <c r="F3669" s="114" t="s">
        <v>4053</v>
      </c>
      <c r="G3669" s="114" t="s">
        <v>1493</v>
      </c>
      <c r="H3669" s="114" t="s">
        <v>1505</v>
      </c>
      <c r="I3669" s="114"/>
      <c r="J3669" s="114" t="b">
        <v>0</v>
      </c>
      <c r="K3669" s="114"/>
      <c r="L3669" s="114"/>
      <c r="M3669" s="114"/>
      <c r="N3669" s="114"/>
      <c r="O3669" s="114"/>
      <c r="P3669" s="114" t="s">
        <v>3752</v>
      </c>
      <c r="Q3669" s="114" t="s">
        <v>1228</v>
      </c>
    </row>
    <row r="3670" spans="2:17" hidden="1" outlineLevel="2">
      <c r="B3670" s="2" t="s">
        <v>876</v>
      </c>
      <c r="D3670" s="270">
        <v>6558</v>
      </c>
      <c r="E3670" s="112" t="s">
        <v>223</v>
      </c>
      <c r="F3670" s="112" t="s">
        <v>4054</v>
      </c>
      <c r="G3670" s="112" t="s">
        <v>1512</v>
      </c>
      <c r="H3670" s="112" t="s">
        <v>1505</v>
      </c>
      <c r="I3670" s="112"/>
      <c r="J3670" s="112" t="b">
        <v>0</v>
      </c>
      <c r="K3670" s="112"/>
      <c r="L3670" s="112"/>
      <c r="M3670" s="112"/>
      <c r="N3670" s="112"/>
      <c r="O3670" s="112"/>
      <c r="P3670" s="112" t="s">
        <v>3752</v>
      </c>
      <c r="Q3670" s="112" t="s">
        <v>1228</v>
      </c>
    </row>
    <row r="3671" spans="2:17" hidden="1" outlineLevel="2">
      <c r="B3671" s="2" t="s">
        <v>876</v>
      </c>
      <c r="D3671" s="268">
        <v>6560</v>
      </c>
      <c r="E3671" s="114" t="s">
        <v>223</v>
      </c>
      <c r="F3671" s="114" t="s">
        <v>4055</v>
      </c>
      <c r="G3671" s="221" t="s">
        <v>1512</v>
      </c>
      <c r="H3671" s="114" t="s">
        <v>1505</v>
      </c>
      <c r="I3671" s="114"/>
      <c r="J3671" s="114" t="b">
        <v>0</v>
      </c>
      <c r="K3671" s="114"/>
      <c r="L3671" s="114"/>
      <c r="M3671" s="114"/>
      <c r="N3671" s="114"/>
      <c r="O3671" s="114"/>
      <c r="P3671" s="114" t="s">
        <v>3752</v>
      </c>
      <c r="Q3671" s="114" t="s">
        <v>1228</v>
      </c>
    </row>
    <row r="3672" spans="2:17" hidden="1" outlineLevel="2">
      <c r="B3672" s="2" t="s">
        <v>876</v>
      </c>
      <c r="D3672" s="270">
        <v>6562</v>
      </c>
      <c r="E3672" s="112" t="s">
        <v>223</v>
      </c>
      <c r="F3672" s="112" t="s">
        <v>4056</v>
      </c>
      <c r="G3672" s="112" t="s">
        <v>1512</v>
      </c>
      <c r="H3672" s="112" t="s">
        <v>1512</v>
      </c>
      <c r="I3672" s="112"/>
      <c r="J3672" s="112" t="b">
        <v>0</v>
      </c>
      <c r="K3672" s="112"/>
      <c r="L3672" s="112"/>
      <c r="M3672" s="112"/>
      <c r="N3672" s="112"/>
      <c r="O3672" s="112"/>
      <c r="P3672" s="112" t="s">
        <v>3752</v>
      </c>
      <c r="Q3672" s="112" t="s">
        <v>1228</v>
      </c>
    </row>
    <row r="3673" spans="2:17" hidden="1" outlineLevel="2">
      <c r="B3673" s="2" t="s">
        <v>876</v>
      </c>
      <c r="D3673" s="268">
        <v>6564</v>
      </c>
      <c r="E3673" s="114" t="s">
        <v>223</v>
      </c>
      <c r="F3673" s="114" t="s">
        <v>4057</v>
      </c>
      <c r="G3673" s="114" t="s">
        <v>1512</v>
      </c>
      <c r="H3673" s="114" t="s">
        <v>1505</v>
      </c>
      <c r="I3673" s="114"/>
      <c r="J3673" s="114" t="b">
        <v>0</v>
      </c>
      <c r="K3673" s="114"/>
      <c r="L3673" s="114"/>
      <c r="M3673" s="114"/>
      <c r="N3673" s="114"/>
      <c r="O3673" s="114"/>
      <c r="P3673" s="114" t="s">
        <v>3752</v>
      </c>
      <c r="Q3673" s="114" t="s">
        <v>1228</v>
      </c>
    </row>
    <row r="3674" spans="2:17" hidden="1" outlineLevel="2">
      <c r="B3674" s="2" t="s">
        <v>876</v>
      </c>
      <c r="D3674" s="270">
        <v>6566</v>
      </c>
      <c r="E3674" s="112" t="s">
        <v>223</v>
      </c>
      <c r="F3674" s="112" t="s">
        <v>4058</v>
      </c>
      <c r="G3674" s="112" t="s">
        <v>1493</v>
      </c>
      <c r="H3674" s="112" t="s">
        <v>1505</v>
      </c>
      <c r="I3674" s="112"/>
      <c r="J3674" s="112" t="b">
        <v>0</v>
      </c>
      <c r="K3674" s="112"/>
      <c r="L3674" s="112"/>
      <c r="M3674" s="112"/>
      <c r="N3674" s="112"/>
      <c r="O3674" s="112"/>
      <c r="P3674" s="112" t="s">
        <v>3752</v>
      </c>
      <c r="Q3674" s="112" t="s">
        <v>1228</v>
      </c>
    </row>
    <row r="3675" spans="2:17" hidden="1" outlineLevel="2">
      <c r="B3675" s="2" t="s">
        <v>876</v>
      </c>
      <c r="D3675" s="268">
        <v>6567</v>
      </c>
      <c r="E3675" s="114" t="s">
        <v>223</v>
      </c>
      <c r="F3675" s="114" t="s">
        <v>4059</v>
      </c>
      <c r="G3675" s="114" t="s">
        <v>1493</v>
      </c>
      <c r="H3675" s="114" t="s">
        <v>1505</v>
      </c>
      <c r="I3675" s="114"/>
      <c r="J3675" s="114" t="b">
        <v>0</v>
      </c>
      <c r="K3675" s="114"/>
      <c r="L3675" s="114"/>
      <c r="M3675" s="114"/>
      <c r="N3675" s="114"/>
      <c r="O3675" s="114"/>
      <c r="P3675" s="114" t="s">
        <v>3752</v>
      </c>
      <c r="Q3675" s="114" t="s">
        <v>1228</v>
      </c>
    </row>
    <row r="3676" spans="2:17" hidden="1" outlineLevel="2">
      <c r="B3676" s="2" t="s">
        <v>876</v>
      </c>
      <c r="D3676" s="270">
        <v>6568</v>
      </c>
      <c r="E3676" s="112" t="s">
        <v>223</v>
      </c>
      <c r="F3676" s="112" t="s">
        <v>4060</v>
      </c>
      <c r="G3676" s="112" t="s">
        <v>1512</v>
      </c>
      <c r="H3676" s="112" t="s">
        <v>1505</v>
      </c>
      <c r="I3676" s="112"/>
      <c r="J3676" s="112" t="b">
        <v>0</v>
      </c>
      <c r="K3676" s="112"/>
      <c r="L3676" s="112" t="b">
        <v>1</v>
      </c>
      <c r="M3676" s="112"/>
      <c r="N3676" s="112"/>
      <c r="O3676" s="112"/>
      <c r="P3676" s="112" t="s">
        <v>3752</v>
      </c>
      <c r="Q3676" s="112" t="s">
        <v>1228</v>
      </c>
    </row>
    <row r="3677" spans="2:17" hidden="1" outlineLevel="2">
      <c r="B3677" s="2" t="s">
        <v>876</v>
      </c>
      <c r="D3677" s="268">
        <v>6569</v>
      </c>
      <c r="E3677" s="114" t="s">
        <v>223</v>
      </c>
      <c r="F3677" s="114" t="s">
        <v>4061</v>
      </c>
      <c r="G3677" s="114" t="s">
        <v>1512</v>
      </c>
      <c r="H3677" s="114" t="s">
        <v>1512</v>
      </c>
      <c r="I3677" s="114"/>
      <c r="J3677" s="114" t="b">
        <v>0</v>
      </c>
      <c r="K3677" s="114"/>
      <c r="L3677" s="114"/>
      <c r="M3677" s="114"/>
      <c r="N3677" s="114"/>
      <c r="O3677" s="114"/>
      <c r="P3677" s="114" t="s">
        <v>3752</v>
      </c>
      <c r="Q3677" s="114" t="s">
        <v>1228</v>
      </c>
    </row>
    <row r="3678" spans="2:17" hidden="1" outlineLevel="2">
      <c r="B3678" s="2" t="s">
        <v>876</v>
      </c>
      <c r="D3678" s="270">
        <v>6571</v>
      </c>
      <c r="E3678" s="112" t="s">
        <v>223</v>
      </c>
      <c r="F3678" s="112" t="s">
        <v>4062</v>
      </c>
      <c r="G3678" s="112" t="s">
        <v>1512</v>
      </c>
      <c r="H3678" s="112" t="s">
        <v>1505</v>
      </c>
      <c r="I3678" s="112"/>
      <c r="J3678" s="112" t="b">
        <v>0</v>
      </c>
      <c r="K3678" s="112"/>
      <c r="L3678" s="112"/>
      <c r="M3678" s="112"/>
      <c r="N3678" s="112"/>
      <c r="O3678" s="112"/>
      <c r="P3678" s="112" t="s">
        <v>3752</v>
      </c>
      <c r="Q3678" s="112" t="s">
        <v>1228</v>
      </c>
    </row>
    <row r="3679" spans="2:17" hidden="1" outlineLevel="2">
      <c r="B3679" s="2" t="s">
        <v>876</v>
      </c>
      <c r="D3679" s="268">
        <v>6572</v>
      </c>
      <c r="E3679" s="114" t="s">
        <v>223</v>
      </c>
      <c r="F3679" s="114" t="s">
        <v>4063</v>
      </c>
      <c r="G3679" s="114" t="s">
        <v>1512</v>
      </c>
      <c r="H3679" s="114" t="s">
        <v>1505</v>
      </c>
      <c r="I3679" s="114"/>
      <c r="J3679" s="114" t="b">
        <v>0</v>
      </c>
      <c r="K3679" s="114"/>
      <c r="L3679" s="114"/>
      <c r="M3679" s="114"/>
      <c r="N3679" s="114"/>
      <c r="O3679" s="114"/>
      <c r="P3679" s="114" t="s">
        <v>3752</v>
      </c>
      <c r="Q3679" s="114" t="s">
        <v>1228</v>
      </c>
    </row>
    <row r="3680" spans="2:17" hidden="1" outlineLevel="2">
      <c r="B3680" s="2" t="s">
        <v>876</v>
      </c>
      <c r="D3680" s="270">
        <v>6574</v>
      </c>
      <c r="E3680" s="112" t="s">
        <v>223</v>
      </c>
      <c r="F3680" s="112" t="s">
        <v>4064</v>
      </c>
      <c r="G3680" s="112" t="s">
        <v>1512</v>
      </c>
      <c r="H3680" s="112" t="s">
        <v>1505</v>
      </c>
      <c r="I3680" s="112"/>
      <c r="J3680" s="112" t="b">
        <v>0</v>
      </c>
      <c r="K3680" s="112"/>
      <c r="L3680" s="112"/>
      <c r="M3680" s="112"/>
      <c r="N3680" s="112"/>
      <c r="O3680" s="112"/>
      <c r="P3680" s="112" t="s">
        <v>3752</v>
      </c>
      <c r="Q3680" s="112" t="s">
        <v>1228</v>
      </c>
    </row>
    <row r="3681" spans="2:17" hidden="1" outlineLevel="2">
      <c r="B3681" s="2" t="s">
        <v>876</v>
      </c>
      <c r="D3681" s="268">
        <v>6575</v>
      </c>
      <c r="E3681" s="114" t="s">
        <v>223</v>
      </c>
      <c r="F3681" s="114" t="s">
        <v>4065</v>
      </c>
      <c r="G3681" s="114" t="s">
        <v>1512</v>
      </c>
      <c r="H3681" s="114" t="s">
        <v>1505</v>
      </c>
      <c r="I3681" s="114"/>
      <c r="J3681" s="114" t="b">
        <v>0</v>
      </c>
      <c r="K3681" s="114"/>
      <c r="L3681" s="114"/>
      <c r="M3681" s="114"/>
      <c r="N3681" s="114"/>
      <c r="O3681" s="114"/>
      <c r="P3681" s="114" t="s">
        <v>3752</v>
      </c>
      <c r="Q3681" s="114" t="s">
        <v>1228</v>
      </c>
    </row>
    <row r="3682" spans="2:17" hidden="1" outlineLevel="2">
      <c r="B3682" s="2" t="s">
        <v>876</v>
      </c>
      <c r="D3682" s="270">
        <v>6603</v>
      </c>
      <c r="E3682" s="112" t="s">
        <v>223</v>
      </c>
      <c r="F3682" s="112" t="s">
        <v>4066</v>
      </c>
      <c r="G3682" s="112" t="s">
        <v>1512</v>
      </c>
      <c r="H3682" s="112" t="s">
        <v>1505</v>
      </c>
      <c r="I3682" s="112"/>
      <c r="J3682" s="112" t="b">
        <v>0</v>
      </c>
      <c r="K3682" s="112"/>
      <c r="L3682" s="112"/>
      <c r="M3682" s="112"/>
      <c r="N3682" s="112"/>
      <c r="O3682" s="112"/>
      <c r="P3682" s="112" t="s">
        <v>3752</v>
      </c>
      <c r="Q3682" s="112" t="s">
        <v>1228</v>
      </c>
    </row>
    <row r="3683" spans="2:17" hidden="1" outlineLevel="2">
      <c r="B3683" s="2" t="s">
        <v>876</v>
      </c>
      <c r="D3683" s="268">
        <v>6605</v>
      </c>
      <c r="E3683" s="114" t="s">
        <v>223</v>
      </c>
      <c r="F3683" s="114" t="s">
        <v>4067</v>
      </c>
      <c r="G3683" s="114" t="s">
        <v>1512</v>
      </c>
      <c r="H3683" s="114" t="s">
        <v>1505</v>
      </c>
      <c r="I3683" s="114"/>
      <c r="J3683" s="114" t="b">
        <v>0</v>
      </c>
      <c r="K3683" s="114"/>
      <c r="L3683" s="114"/>
      <c r="M3683" s="114"/>
      <c r="N3683" s="114"/>
      <c r="O3683" s="114"/>
      <c r="P3683" s="114" t="s">
        <v>3752</v>
      </c>
      <c r="Q3683" s="114" t="s">
        <v>1228</v>
      </c>
    </row>
    <row r="3684" spans="2:17" hidden="1" outlineLevel="2">
      <c r="B3684" s="2" t="s">
        <v>876</v>
      </c>
      <c r="D3684" s="270">
        <v>6606</v>
      </c>
      <c r="E3684" s="112" t="s">
        <v>223</v>
      </c>
      <c r="F3684" s="112" t="s">
        <v>4068</v>
      </c>
      <c r="G3684" s="112" t="s">
        <v>1512</v>
      </c>
      <c r="H3684" s="112" t="s">
        <v>1505</v>
      </c>
      <c r="I3684" s="112"/>
      <c r="J3684" s="112" t="b">
        <v>0</v>
      </c>
      <c r="K3684" s="112"/>
      <c r="L3684" s="112" t="b">
        <v>1</v>
      </c>
      <c r="M3684" s="112"/>
      <c r="N3684" s="112"/>
      <c r="O3684" s="112"/>
      <c r="P3684" s="112" t="s">
        <v>3752</v>
      </c>
      <c r="Q3684" s="112" t="s">
        <v>1228</v>
      </c>
    </row>
    <row r="3685" spans="2:17" hidden="1" outlineLevel="2">
      <c r="B3685" s="2" t="s">
        <v>876</v>
      </c>
      <c r="D3685" s="268">
        <v>6608</v>
      </c>
      <c r="E3685" s="114" t="s">
        <v>223</v>
      </c>
      <c r="F3685" s="114" t="s">
        <v>4069</v>
      </c>
      <c r="G3685" s="114" t="s">
        <v>1512</v>
      </c>
      <c r="H3685" s="114" t="s">
        <v>1505</v>
      </c>
      <c r="I3685" s="114"/>
      <c r="J3685" s="114" t="b">
        <v>0</v>
      </c>
      <c r="K3685" s="114"/>
      <c r="L3685" s="114"/>
      <c r="M3685" s="114"/>
      <c r="N3685" s="114"/>
      <c r="O3685" s="114"/>
      <c r="P3685" s="114" t="s">
        <v>3752</v>
      </c>
      <c r="Q3685" s="114" t="s">
        <v>1228</v>
      </c>
    </row>
    <row r="3686" spans="2:17" hidden="1" outlineLevel="2">
      <c r="B3686" s="2" t="s">
        <v>876</v>
      </c>
      <c r="D3686" s="270">
        <v>6609</v>
      </c>
      <c r="E3686" s="112" t="s">
        <v>223</v>
      </c>
      <c r="F3686" s="112" t="s">
        <v>4070</v>
      </c>
      <c r="G3686" s="221" t="s">
        <v>1512</v>
      </c>
      <c r="H3686" s="112" t="s">
        <v>1505</v>
      </c>
      <c r="I3686" s="112"/>
      <c r="J3686" s="112" t="b">
        <v>0</v>
      </c>
      <c r="K3686" s="112"/>
      <c r="L3686" s="112"/>
      <c r="M3686" s="112"/>
      <c r="N3686" s="112"/>
      <c r="O3686" s="112"/>
      <c r="P3686" s="112" t="s">
        <v>3752</v>
      </c>
      <c r="Q3686" s="112" t="s">
        <v>1228</v>
      </c>
    </row>
    <row r="3687" spans="2:17" hidden="1" outlineLevel="2">
      <c r="B3687" s="2" t="s">
        <v>876</v>
      </c>
      <c r="D3687" s="268">
        <v>6612</v>
      </c>
      <c r="E3687" s="114" t="s">
        <v>223</v>
      </c>
      <c r="F3687" s="114" t="s">
        <v>4071</v>
      </c>
      <c r="G3687" s="114" t="s">
        <v>1512</v>
      </c>
      <c r="H3687" s="114" t="s">
        <v>1505</v>
      </c>
      <c r="I3687" s="114"/>
      <c r="J3687" s="114" t="b">
        <v>0</v>
      </c>
      <c r="K3687" s="114"/>
      <c r="L3687" s="114"/>
      <c r="M3687" s="114"/>
      <c r="N3687" s="114"/>
      <c r="O3687" s="114"/>
      <c r="P3687" s="114" t="s">
        <v>3752</v>
      </c>
      <c r="Q3687" s="114" t="s">
        <v>1228</v>
      </c>
    </row>
    <row r="3688" spans="2:17" hidden="1" outlineLevel="2">
      <c r="B3688" s="2" t="s">
        <v>876</v>
      </c>
      <c r="D3688" s="270">
        <v>6613</v>
      </c>
      <c r="E3688" s="112" t="s">
        <v>223</v>
      </c>
      <c r="F3688" s="112" t="s">
        <v>4072</v>
      </c>
      <c r="G3688" s="112" t="s">
        <v>1512</v>
      </c>
      <c r="H3688" s="112" t="s">
        <v>1505</v>
      </c>
      <c r="I3688" s="112"/>
      <c r="J3688" s="112" t="b">
        <v>0</v>
      </c>
      <c r="K3688" s="112"/>
      <c r="L3688" s="112"/>
      <c r="M3688" s="112"/>
      <c r="N3688" s="112"/>
      <c r="O3688" s="112"/>
      <c r="P3688" s="112" t="s">
        <v>3752</v>
      </c>
      <c r="Q3688" s="112" t="s">
        <v>1228</v>
      </c>
    </row>
    <row r="3689" spans="2:17" hidden="1" outlineLevel="2">
      <c r="B3689" s="2" t="s">
        <v>876</v>
      </c>
      <c r="D3689" s="268">
        <v>6614</v>
      </c>
      <c r="E3689" s="114" t="s">
        <v>223</v>
      </c>
      <c r="F3689" s="114" t="s">
        <v>4073</v>
      </c>
      <c r="G3689" s="114" t="s">
        <v>1512</v>
      </c>
      <c r="H3689" s="114" t="s">
        <v>1505</v>
      </c>
      <c r="I3689" s="114"/>
      <c r="J3689" s="114" t="b">
        <v>0</v>
      </c>
      <c r="K3689" s="114"/>
      <c r="L3689" s="114"/>
      <c r="M3689" s="114"/>
      <c r="N3689" s="114"/>
      <c r="O3689" s="114"/>
      <c r="P3689" s="114" t="s">
        <v>3752</v>
      </c>
      <c r="Q3689" s="114" t="s">
        <v>1228</v>
      </c>
    </row>
    <row r="3690" spans="2:17" hidden="1" outlineLevel="2">
      <c r="B3690" s="2" t="s">
        <v>876</v>
      </c>
      <c r="D3690" s="270">
        <v>6616</v>
      </c>
      <c r="E3690" s="112" t="s">
        <v>223</v>
      </c>
      <c r="F3690" s="112" t="s">
        <v>4074</v>
      </c>
      <c r="G3690" s="112" t="s">
        <v>1512</v>
      </c>
      <c r="H3690" s="112" t="s">
        <v>1505</v>
      </c>
      <c r="I3690" s="112"/>
      <c r="J3690" s="112" t="b">
        <v>0</v>
      </c>
      <c r="K3690" s="112"/>
      <c r="L3690" s="112"/>
      <c r="M3690" s="112"/>
      <c r="N3690" s="112"/>
      <c r="O3690" s="112"/>
      <c r="P3690" s="112" t="s">
        <v>3752</v>
      </c>
      <c r="Q3690" s="112" t="s">
        <v>1228</v>
      </c>
    </row>
    <row r="3691" spans="2:17" hidden="1" outlineLevel="2">
      <c r="B3691" s="2" t="s">
        <v>876</v>
      </c>
      <c r="D3691" s="268">
        <v>6620</v>
      </c>
      <c r="E3691" s="114" t="s">
        <v>223</v>
      </c>
      <c r="F3691" s="114" t="s">
        <v>4075</v>
      </c>
      <c r="G3691" s="114" t="s">
        <v>1533</v>
      </c>
      <c r="H3691" s="114" t="s">
        <v>1505</v>
      </c>
      <c r="I3691" s="114"/>
      <c r="J3691" s="114" t="b">
        <v>1</v>
      </c>
      <c r="K3691" s="114"/>
      <c r="L3691" s="114"/>
      <c r="M3691" s="114"/>
      <c r="N3691" s="114"/>
      <c r="O3691" s="114"/>
      <c r="P3691" s="114" t="s">
        <v>3752</v>
      </c>
      <c r="Q3691" s="114" t="s">
        <v>1228</v>
      </c>
    </row>
    <row r="3692" spans="2:17" hidden="1" outlineLevel="2">
      <c r="B3692" s="2" t="s">
        <v>876</v>
      </c>
      <c r="D3692" s="270">
        <v>6623</v>
      </c>
      <c r="E3692" s="112" t="s">
        <v>223</v>
      </c>
      <c r="F3692" s="112" t="s">
        <v>4076</v>
      </c>
      <c r="G3692" s="112" t="s">
        <v>1533</v>
      </c>
      <c r="H3692" s="112" t="s">
        <v>1505</v>
      </c>
      <c r="I3692" s="112"/>
      <c r="J3692" s="112" t="b">
        <v>1</v>
      </c>
      <c r="K3692" s="112"/>
      <c r="L3692" s="112"/>
      <c r="M3692" s="112"/>
      <c r="N3692" s="112"/>
      <c r="O3692" s="112"/>
      <c r="P3692" s="112" t="s">
        <v>3752</v>
      </c>
      <c r="Q3692" s="112" t="s">
        <v>1228</v>
      </c>
    </row>
    <row r="3693" spans="2:17" hidden="1" outlineLevel="2">
      <c r="B3693" s="2" t="s">
        <v>876</v>
      </c>
      <c r="D3693" s="268">
        <v>6625</v>
      </c>
      <c r="E3693" s="114" t="s">
        <v>223</v>
      </c>
      <c r="F3693" s="114" t="s">
        <v>4077</v>
      </c>
      <c r="G3693" s="114" t="s">
        <v>1512</v>
      </c>
      <c r="H3693" s="114" t="s">
        <v>1505</v>
      </c>
      <c r="I3693" s="114"/>
      <c r="J3693" s="114" t="b">
        <v>0</v>
      </c>
      <c r="K3693" s="114"/>
      <c r="L3693" s="114"/>
      <c r="M3693" s="114"/>
      <c r="N3693" s="114"/>
      <c r="O3693" s="114"/>
      <c r="P3693" s="114" t="s">
        <v>3752</v>
      </c>
      <c r="Q3693" s="114" t="s">
        <v>1228</v>
      </c>
    </row>
    <row r="3694" spans="2:17" hidden="1" outlineLevel="2">
      <c r="B3694" s="2" t="s">
        <v>876</v>
      </c>
      <c r="D3694" s="270">
        <v>6627</v>
      </c>
      <c r="E3694" s="112" t="s">
        <v>223</v>
      </c>
      <c r="F3694" s="112" t="s">
        <v>4078</v>
      </c>
      <c r="G3694" s="112" t="s">
        <v>1512</v>
      </c>
      <c r="H3694" s="112" t="s">
        <v>1505</v>
      </c>
      <c r="I3694" s="112"/>
      <c r="J3694" s="112" t="b">
        <v>0</v>
      </c>
      <c r="K3694" s="112"/>
      <c r="L3694" s="112"/>
      <c r="M3694" s="112"/>
      <c r="N3694" s="112"/>
      <c r="O3694" s="112"/>
      <c r="P3694" s="112" t="s">
        <v>3752</v>
      </c>
      <c r="Q3694" s="112" t="s">
        <v>1228</v>
      </c>
    </row>
    <row r="3695" spans="2:17" hidden="1" outlineLevel="2">
      <c r="B3695" s="2" t="s">
        <v>876</v>
      </c>
      <c r="D3695" s="268">
        <v>6628</v>
      </c>
      <c r="E3695" s="114" t="s">
        <v>223</v>
      </c>
      <c r="F3695" s="114" t="s">
        <v>4079</v>
      </c>
      <c r="G3695" s="114" t="s">
        <v>1512</v>
      </c>
      <c r="H3695" s="114" t="s">
        <v>1505</v>
      </c>
      <c r="I3695" s="114"/>
      <c r="J3695" s="114" t="b">
        <v>0</v>
      </c>
      <c r="K3695" s="114"/>
      <c r="L3695" s="114"/>
      <c r="M3695" s="114"/>
      <c r="N3695" s="114"/>
      <c r="O3695" s="114"/>
      <c r="P3695" s="114" t="s">
        <v>3752</v>
      </c>
      <c r="Q3695" s="114" t="s">
        <v>1228</v>
      </c>
    </row>
    <row r="3696" spans="2:17" hidden="1" outlineLevel="2">
      <c r="B3696" s="2" t="s">
        <v>876</v>
      </c>
      <c r="D3696" s="270">
        <v>6630</v>
      </c>
      <c r="E3696" s="112" t="s">
        <v>223</v>
      </c>
      <c r="F3696" s="112" t="s">
        <v>4080</v>
      </c>
      <c r="G3696" s="112" t="s">
        <v>1512</v>
      </c>
      <c r="H3696" s="112" t="s">
        <v>1512</v>
      </c>
      <c r="I3696" s="112"/>
      <c r="J3696" s="112" t="b">
        <v>0</v>
      </c>
      <c r="K3696" s="112"/>
      <c r="L3696" s="112"/>
      <c r="M3696" s="112"/>
      <c r="N3696" s="112"/>
      <c r="O3696" s="112"/>
      <c r="P3696" s="112" t="s">
        <v>3752</v>
      </c>
      <c r="Q3696" s="112" t="s">
        <v>1228</v>
      </c>
    </row>
    <row r="3697" spans="2:18" hidden="1" outlineLevel="2">
      <c r="B3697" s="2" t="s">
        <v>876</v>
      </c>
      <c r="D3697" s="268">
        <v>6631</v>
      </c>
      <c r="E3697" s="114" t="s">
        <v>223</v>
      </c>
      <c r="F3697" s="114" t="s">
        <v>4081</v>
      </c>
      <c r="G3697" s="114" t="s">
        <v>1512</v>
      </c>
      <c r="H3697" s="114" t="s">
        <v>1505</v>
      </c>
      <c r="I3697" s="114"/>
      <c r="J3697" s="114" t="b">
        <v>0</v>
      </c>
      <c r="K3697" s="114"/>
      <c r="L3697" s="114"/>
      <c r="M3697" s="114"/>
      <c r="N3697" s="114"/>
      <c r="O3697" s="114"/>
      <c r="P3697" s="114" t="s">
        <v>3752</v>
      </c>
      <c r="Q3697" s="114" t="s">
        <v>1228</v>
      </c>
    </row>
    <row r="3698" spans="2:18" hidden="1" outlineLevel="2">
      <c r="B3698" s="2" t="s">
        <v>876</v>
      </c>
      <c r="D3698" s="270">
        <v>6632</v>
      </c>
      <c r="E3698" s="112" t="s">
        <v>223</v>
      </c>
      <c r="F3698" s="112" t="s">
        <v>4082</v>
      </c>
      <c r="G3698" s="112" t="s">
        <v>1512</v>
      </c>
      <c r="H3698" s="112" t="s">
        <v>1505</v>
      </c>
      <c r="I3698" s="112"/>
      <c r="J3698" s="112" t="b">
        <v>0</v>
      </c>
      <c r="K3698" s="112"/>
      <c r="L3698" s="112"/>
      <c r="M3698" s="112"/>
      <c r="N3698" s="112"/>
      <c r="O3698" s="112"/>
      <c r="P3698" s="112" t="s">
        <v>3752</v>
      </c>
      <c r="Q3698" s="112" t="s">
        <v>1228</v>
      </c>
    </row>
    <row r="3699" spans="2:18" hidden="1" outlineLevel="2">
      <c r="B3699" s="2" t="s">
        <v>876</v>
      </c>
      <c r="D3699" s="268">
        <v>6635</v>
      </c>
      <c r="E3699" s="114" t="s">
        <v>223</v>
      </c>
      <c r="F3699" s="114" t="s">
        <v>4083</v>
      </c>
      <c r="G3699" s="114" t="s">
        <v>1512</v>
      </c>
      <c r="H3699" s="114" t="s">
        <v>1505</v>
      </c>
      <c r="I3699" s="114"/>
      <c r="J3699" s="114" t="b">
        <v>0</v>
      </c>
      <c r="K3699" s="114"/>
      <c r="L3699" s="114"/>
      <c r="M3699" s="114"/>
      <c r="N3699" s="114"/>
      <c r="O3699" s="114"/>
      <c r="P3699" s="114" t="s">
        <v>3991</v>
      </c>
      <c r="Q3699" s="114" t="s">
        <v>1228</v>
      </c>
    </row>
    <row r="3700" spans="2:18" hidden="1" outlineLevel="2">
      <c r="B3700" s="2" t="s">
        <v>876</v>
      </c>
      <c r="D3700" s="270">
        <v>6638</v>
      </c>
      <c r="E3700" s="112" t="s">
        <v>223</v>
      </c>
      <c r="F3700" s="112" t="s">
        <v>4084</v>
      </c>
      <c r="G3700" s="505" t="s">
        <v>1512</v>
      </c>
      <c r="H3700" s="505" t="s">
        <v>1505</v>
      </c>
      <c r="I3700" s="112"/>
      <c r="J3700" s="505" t="b">
        <v>0</v>
      </c>
      <c r="K3700" s="505"/>
      <c r="L3700" s="112" t="b">
        <v>1</v>
      </c>
      <c r="M3700" s="112"/>
      <c r="N3700" s="112"/>
      <c r="O3700" s="112"/>
      <c r="P3700" s="112" t="s">
        <v>3752</v>
      </c>
      <c r="Q3700" s="112" t="s">
        <v>1228</v>
      </c>
    </row>
    <row r="3701" spans="2:18" hidden="1" outlineLevel="2">
      <c r="B3701" s="2" t="s">
        <v>876</v>
      </c>
      <c r="D3701" s="268">
        <v>6639</v>
      </c>
      <c r="E3701" s="114" t="s">
        <v>223</v>
      </c>
      <c r="F3701" s="114" t="s">
        <v>4085</v>
      </c>
      <c r="G3701" s="114" t="s">
        <v>1533</v>
      </c>
      <c r="H3701" s="114" t="s">
        <v>1533</v>
      </c>
      <c r="I3701" s="114"/>
      <c r="J3701" s="114" t="b">
        <v>1</v>
      </c>
      <c r="K3701" s="114" t="s">
        <v>1552</v>
      </c>
      <c r="L3701" s="114" t="b">
        <v>1</v>
      </c>
      <c r="M3701" s="114"/>
      <c r="N3701" s="114"/>
      <c r="O3701" s="114"/>
      <c r="P3701" s="114" t="s">
        <v>3752</v>
      </c>
      <c r="Q3701" s="114" t="s">
        <v>1228</v>
      </c>
    </row>
    <row r="3702" spans="2:18" hidden="1" outlineLevel="2">
      <c r="B3702" s="2" t="s">
        <v>876</v>
      </c>
      <c r="D3702" s="270">
        <v>6640</v>
      </c>
      <c r="E3702" s="112" t="s">
        <v>223</v>
      </c>
      <c r="F3702" s="112" t="s">
        <v>4086</v>
      </c>
      <c r="G3702" s="505" t="s">
        <v>1512</v>
      </c>
      <c r="H3702" s="505" t="s">
        <v>1505</v>
      </c>
      <c r="I3702" s="112"/>
      <c r="J3702" s="505" t="b">
        <v>0</v>
      </c>
      <c r="K3702" s="505"/>
      <c r="L3702" s="112" t="b">
        <v>1</v>
      </c>
      <c r="M3702" s="112"/>
      <c r="N3702" s="112"/>
      <c r="O3702" s="112"/>
      <c r="P3702" s="112" t="s">
        <v>3752</v>
      </c>
      <c r="Q3702" s="112" t="s">
        <v>1228</v>
      </c>
    </row>
    <row r="3703" spans="2:18" hidden="1" outlineLevel="2">
      <c r="B3703" s="2" t="s">
        <v>876</v>
      </c>
      <c r="D3703" s="268">
        <v>6642</v>
      </c>
      <c r="E3703" s="114" t="s">
        <v>223</v>
      </c>
      <c r="F3703" s="114" t="s">
        <v>4087</v>
      </c>
      <c r="G3703" s="114" t="s">
        <v>1533</v>
      </c>
      <c r="H3703" s="114" t="s">
        <v>1533</v>
      </c>
      <c r="I3703" s="114"/>
      <c r="J3703" s="114" t="b">
        <v>1</v>
      </c>
      <c r="K3703" s="114" t="s">
        <v>1552</v>
      </c>
      <c r="L3703" s="114" t="b">
        <v>1</v>
      </c>
      <c r="M3703" s="114"/>
      <c r="N3703" s="114"/>
      <c r="O3703" s="114"/>
      <c r="P3703" s="114" t="s">
        <v>3991</v>
      </c>
      <c r="Q3703" s="114" t="s">
        <v>1228</v>
      </c>
    </row>
    <row r="3704" spans="2:18" hidden="1" outlineLevel="2">
      <c r="B3704" s="2" t="s">
        <v>876</v>
      </c>
      <c r="D3704" s="270">
        <v>6646</v>
      </c>
      <c r="E3704" s="112" t="s">
        <v>223</v>
      </c>
      <c r="F3704" s="112" t="s">
        <v>4088</v>
      </c>
      <c r="G3704" s="112" t="s">
        <v>1533</v>
      </c>
      <c r="H3704" s="112" t="s">
        <v>1533</v>
      </c>
      <c r="I3704" s="112"/>
      <c r="J3704" s="112" t="b">
        <v>1</v>
      </c>
      <c r="K3704" s="112" t="s">
        <v>1552</v>
      </c>
      <c r="L3704" s="112" t="b">
        <v>1</v>
      </c>
      <c r="M3704" s="112"/>
      <c r="N3704" s="112"/>
      <c r="O3704" s="112"/>
      <c r="P3704" s="112" t="s">
        <v>3991</v>
      </c>
      <c r="Q3704" s="112" t="s">
        <v>1228</v>
      </c>
    </row>
    <row r="3705" spans="2:18" hidden="1" outlineLevel="2">
      <c r="B3705" s="2" t="s">
        <v>876</v>
      </c>
      <c r="D3705" s="268">
        <v>6701</v>
      </c>
      <c r="E3705" s="114" t="s">
        <v>223</v>
      </c>
      <c r="F3705" s="114" t="s">
        <v>4089</v>
      </c>
      <c r="G3705" s="114" t="s">
        <v>1493</v>
      </c>
      <c r="H3705" s="114" t="s">
        <v>1505</v>
      </c>
      <c r="I3705" s="114"/>
      <c r="J3705" s="114" t="b">
        <v>0</v>
      </c>
      <c r="K3705" s="114"/>
      <c r="L3705" s="114"/>
      <c r="M3705" s="114"/>
      <c r="N3705" s="114"/>
      <c r="O3705" s="114"/>
      <c r="P3705" s="114" t="s">
        <v>3991</v>
      </c>
      <c r="Q3705" s="114" t="s">
        <v>1228</v>
      </c>
    </row>
    <row r="3706" spans="2:18" hidden="1" outlineLevel="2">
      <c r="B3706" s="2" t="s">
        <v>876</v>
      </c>
      <c r="D3706" s="270">
        <v>6705</v>
      </c>
      <c r="E3706" s="112" t="s">
        <v>223</v>
      </c>
      <c r="F3706" s="112" t="s">
        <v>4090</v>
      </c>
      <c r="G3706" s="112" t="s">
        <v>1512</v>
      </c>
      <c r="H3706" s="112" t="s">
        <v>1505</v>
      </c>
      <c r="I3706" s="112"/>
      <c r="J3706" s="112" t="b">
        <v>0</v>
      </c>
      <c r="K3706" s="112"/>
      <c r="L3706" s="112"/>
      <c r="M3706" s="112"/>
      <c r="N3706" s="112"/>
      <c r="O3706" s="112"/>
      <c r="P3706" s="112" t="s">
        <v>4091</v>
      </c>
      <c r="Q3706" s="112" t="s">
        <v>1228</v>
      </c>
    </row>
    <row r="3707" spans="2:18" hidden="1" outlineLevel="2">
      <c r="B3707" s="2" t="s">
        <v>876</v>
      </c>
      <c r="D3707" s="268">
        <v>6707</v>
      </c>
      <c r="E3707" s="114" t="s">
        <v>223</v>
      </c>
      <c r="F3707" s="114" t="s">
        <v>4092</v>
      </c>
      <c r="G3707" s="114" t="s">
        <v>1493</v>
      </c>
      <c r="H3707" s="114" t="s">
        <v>1505</v>
      </c>
      <c r="I3707" s="114"/>
      <c r="J3707" s="114" t="b">
        <v>0</v>
      </c>
      <c r="K3707" s="114"/>
      <c r="L3707" s="114"/>
      <c r="M3707" s="114"/>
      <c r="N3707" s="114"/>
      <c r="O3707" s="114"/>
      <c r="P3707" s="114" t="s">
        <v>4091</v>
      </c>
      <c r="Q3707" s="114" t="s">
        <v>1228</v>
      </c>
    </row>
    <row r="3708" spans="2:18" hidden="1" outlineLevel="2">
      <c r="B3708" s="2" t="s">
        <v>876</v>
      </c>
      <c r="D3708" s="270">
        <v>6710</v>
      </c>
      <c r="E3708" s="112" t="s">
        <v>223</v>
      </c>
      <c r="F3708" s="112" t="s">
        <v>4093</v>
      </c>
      <c r="G3708" s="112" t="s">
        <v>1533</v>
      </c>
      <c r="H3708" s="112" t="s">
        <v>1533</v>
      </c>
      <c r="I3708" s="112"/>
      <c r="J3708" s="112" t="b">
        <v>1</v>
      </c>
      <c r="K3708" s="112" t="s">
        <v>1552</v>
      </c>
      <c r="L3708" s="112" t="b">
        <v>1</v>
      </c>
      <c r="M3708" s="112"/>
      <c r="N3708" s="112"/>
      <c r="O3708" s="112"/>
      <c r="P3708" s="112" t="s">
        <v>4091</v>
      </c>
      <c r="Q3708" s="112" t="s">
        <v>1228</v>
      </c>
    </row>
    <row r="3709" spans="2:18" hidden="1" outlineLevel="2">
      <c r="B3709" s="2" t="s">
        <v>876</v>
      </c>
      <c r="D3709" s="268">
        <v>6711</v>
      </c>
      <c r="E3709" s="114" t="s">
        <v>223</v>
      </c>
      <c r="F3709" s="114" t="s">
        <v>4094</v>
      </c>
      <c r="G3709" s="114" t="s">
        <v>1533</v>
      </c>
      <c r="H3709" s="114" t="s">
        <v>1533</v>
      </c>
      <c r="I3709" s="114"/>
      <c r="J3709" s="114" t="b">
        <v>0</v>
      </c>
      <c r="K3709" s="114"/>
      <c r="L3709" s="114"/>
      <c r="M3709" s="114"/>
      <c r="N3709" s="114"/>
      <c r="O3709" s="114"/>
      <c r="P3709" s="114" t="s">
        <v>4091</v>
      </c>
      <c r="Q3709" s="114" t="s">
        <v>1228</v>
      </c>
      <c r="R3709" s="274"/>
    </row>
    <row r="3710" spans="2:18" hidden="1" outlineLevel="2">
      <c r="B3710" s="2" t="s">
        <v>876</v>
      </c>
      <c r="D3710" s="270">
        <v>6712</v>
      </c>
      <c r="E3710" s="112" t="s">
        <v>223</v>
      </c>
      <c r="F3710" s="112" t="s">
        <v>4095</v>
      </c>
      <c r="G3710" s="112" t="s">
        <v>1533</v>
      </c>
      <c r="H3710" s="112" t="s">
        <v>1533</v>
      </c>
      <c r="I3710" s="112"/>
      <c r="J3710" s="112" t="b">
        <v>0</v>
      </c>
      <c r="K3710" s="112"/>
      <c r="L3710" s="112"/>
      <c r="M3710" s="112"/>
      <c r="N3710" s="112"/>
      <c r="O3710" s="112"/>
      <c r="P3710" s="112" t="s">
        <v>4091</v>
      </c>
      <c r="Q3710" s="112" t="s">
        <v>1228</v>
      </c>
    </row>
    <row r="3711" spans="2:18" hidden="1" outlineLevel="2">
      <c r="B3711" s="2" t="s">
        <v>876</v>
      </c>
      <c r="D3711" s="268">
        <v>6713</v>
      </c>
      <c r="E3711" s="114" t="s">
        <v>223</v>
      </c>
      <c r="F3711" s="114" t="s">
        <v>4096</v>
      </c>
      <c r="G3711" s="114" t="s">
        <v>1512</v>
      </c>
      <c r="H3711" s="114" t="s">
        <v>1512</v>
      </c>
      <c r="I3711" s="114"/>
      <c r="J3711" s="114" t="b">
        <v>0</v>
      </c>
      <c r="K3711" s="114" t="s">
        <v>1484</v>
      </c>
      <c r="L3711" s="114" t="b">
        <v>1</v>
      </c>
      <c r="M3711" s="114"/>
      <c r="N3711" s="114"/>
      <c r="O3711" s="114"/>
      <c r="P3711" s="114" t="s">
        <v>4091</v>
      </c>
      <c r="Q3711" s="114" t="s">
        <v>1228</v>
      </c>
    </row>
    <row r="3712" spans="2:18" hidden="1" outlineLevel="2">
      <c r="B3712" s="2" t="s">
        <v>876</v>
      </c>
      <c r="D3712" s="270">
        <v>6714</v>
      </c>
      <c r="E3712" s="112" t="s">
        <v>223</v>
      </c>
      <c r="F3712" s="112" t="s">
        <v>4097</v>
      </c>
      <c r="G3712" s="112" t="s">
        <v>1533</v>
      </c>
      <c r="H3712" s="112" t="s">
        <v>1533</v>
      </c>
      <c r="I3712" s="112"/>
      <c r="J3712" s="112" t="b">
        <v>1</v>
      </c>
      <c r="K3712" s="112" t="s">
        <v>1552</v>
      </c>
      <c r="L3712" s="112" t="b">
        <v>1</v>
      </c>
      <c r="M3712" s="112"/>
      <c r="N3712" s="112"/>
      <c r="O3712" s="112"/>
      <c r="P3712" s="112" t="s">
        <v>4091</v>
      </c>
      <c r="Q3712" s="112" t="s">
        <v>1228</v>
      </c>
    </row>
    <row r="3713" spans="2:17" hidden="1" outlineLevel="2">
      <c r="B3713" s="2" t="s">
        <v>876</v>
      </c>
      <c r="D3713" s="268">
        <v>6716</v>
      </c>
      <c r="E3713" s="114" t="s">
        <v>223</v>
      </c>
      <c r="F3713" s="114" t="s">
        <v>4098</v>
      </c>
      <c r="G3713" s="114" t="s">
        <v>1533</v>
      </c>
      <c r="H3713" s="114" t="s">
        <v>1533</v>
      </c>
      <c r="I3713" s="114"/>
      <c r="J3713" s="114" t="b">
        <v>1</v>
      </c>
      <c r="K3713" s="114" t="s">
        <v>1552</v>
      </c>
      <c r="L3713" s="114" t="b">
        <v>1</v>
      </c>
      <c r="M3713" s="114"/>
      <c r="N3713" s="114"/>
      <c r="O3713" s="114"/>
      <c r="P3713" s="114" t="s">
        <v>4091</v>
      </c>
      <c r="Q3713" s="114" t="s">
        <v>1228</v>
      </c>
    </row>
    <row r="3714" spans="2:17" hidden="1" outlineLevel="2">
      <c r="B3714" s="2" t="s">
        <v>876</v>
      </c>
      <c r="D3714" s="270">
        <v>6718</v>
      </c>
      <c r="E3714" s="112" t="s">
        <v>223</v>
      </c>
      <c r="F3714" s="112" t="s">
        <v>4099</v>
      </c>
      <c r="G3714" s="112" t="s">
        <v>1533</v>
      </c>
      <c r="H3714" s="112" t="s">
        <v>1533</v>
      </c>
      <c r="I3714" s="112"/>
      <c r="J3714" s="112" t="b">
        <v>1</v>
      </c>
      <c r="K3714" s="112" t="s">
        <v>1552</v>
      </c>
      <c r="L3714" s="112" t="b">
        <v>1</v>
      </c>
      <c r="M3714" s="112"/>
      <c r="N3714" s="112"/>
      <c r="O3714" s="112"/>
      <c r="P3714" s="112" t="s">
        <v>4091</v>
      </c>
      <c r="Q3714" s="112" t="s">
        <v>1228</v>
      </c>
    </row>
    <row r="3715" spans="2:17" hidden="1" outlineLevel="2">
      <c r="B3715" s="2" t="s">
        <v>876</v>
      </c>
      <c r="D3715" s="268">
        <v>6720</v>
      </c>
      <c r="E3715" s="114" t="s">
        <v>223</v>
      </c>
      <c r="F3715" s="114" t="s">
        <v>1528</v>
      </c>
      <c r="G3715" s="114" t="s">
        <v>1533</v>
      </c>
      <c r="H3715" s="114" t="s">
        <v>1533</v>
      </c>
      <c r="I3715" s="114"/>
      <c r="J3715" s="114" t="b">
        <v>1</v>
      </c>
      <c r="K3715" s="114" t="s">
        <v>1552</v>
      </c>
      <c r="L3715" s="114" t="b">
        <v>1</v>
      </c>
      <c r="M3715" s="114"/>
      <c r="N3715" s="114"/>
      <c r="O3715" s="114"/>
      <c r="P3715" s="114" t="s">
        <v>4091</v>
      </c>
      <c r="Q3715" s="114" t="s">
        <v>1228</v>
      </c>
    </row>
    <row r="3716" spans="2:17" hidden="1" outlineLevel="2">
      <c r="B3716" s="2" t="s">
        <v>876</v>
      </c>
      <c r="D3716" s="270">
        <v>6721</v>
      </c>
      <c r="E3716" s="112" t="s">
        <v>223</v>
      </c>
      <c r="F3716" s="112" t="s">
        <v>4100</v>
      </c>
      <c r="G3716" s="112" t="s">
        <v>1533</v>
      </c>
      <c r="H3716" s="112" t="s">
        <v>1533</v>
      </c>
      <c r="I3716" s="112"/>
      <c r="J3716" s="112" t="b">
        <v>1</v>
      </c>
      <c r="K3716" s="112" t="s">
        <v>1552</v>
      </c>
      <c r="L3716" s="112" t="b">
        <v>1</v>
      </c>
      <c r="M3716" s="112"/>
      <c r="N3716" s="112"/>
      <c r="O3716" s="112"/>
      <c r="P3716" s="112" t="s">
        <v>4091</v>
      </c>
      <c r="Q3716" s="112" t="s">
        <v>1228</v>
      </c>
    </row>
    <row r="3717" spans="2:17" hidden="1" outlineLevel="2">
      <c r="B3717" s="2" t="s">
        <v>876</v>
      </c>
      <c r="D3717" s="268">
        <v>6722</v>
      </c>
      <c r="E3717" s="114" t="s">
        <v>223</v>
      </c>
      <c r="F3717" s="114" t="s">
        <v>4101</v>
      </c>
      <c r="G3717" s="114" t="s">
        <v>1533</v>
      </c>
      <c r="H3717" s="114" t="s">
        <v>1533</v>
      </c>
      <c r="I3717" s="114"/>
      <c r="J3717" s="114" t="b">
        <v>1</v>
      </c>
      <c r="K3717" s="114" t="s">
        <v>1552</v>
      </c>
      <c r="L3717" s="114" t="b">
        <v>1</v>
      </c>
      <c r="M3717" s="114"/>
      <c r="N3717" s="114"/>
      <c r="O3717" s="114"/>
      <c r="P3717" s="114" t="s">
        <v>4091</v>
      </c>
      <c r="Q3717" s="114" t="s">
        <v>1228</v>
      </c>
    </row>
    <row r="3718" spans="2:17" hidden="1" outlineLevel="2">
      <c r="B3718" s="2" t="s">
        <v>876</v>
      </c>
      <c r="D3718" s="270">
        <v>6725</v>
      </c>
      <c r="E3718" s="112" t="s">
        <v>223</v>
      </c>
      <c r="F3718" s="112" t="s">
        <v>4102</v>
      </c>
      <c r="G3718" s="112" t="s">
        <v>1483</v>
      </c>
      <c r="H3718" s="112" t="s">
        <v>1494</v>
      </c>
      <c r="I3718" s="112"/>
      <c r="J3718" s="112" t="b">
        <v>0</v>
      </c>
      <c r="K3718" s="112" t="s">
        <v>1484</v>
      </c>
      <c r="L3718" s="112" t="b">
        <v>1</v>
      </c>
      <c r="M3718" s="112"/>
      <c r="N3718" s="112"/>
      <c r="O3718" s="112"/>
      <c r="P3718" s="112" t="s">
        <v>4091</v>
      </c>
      <c r="Q3718" s="112" t="s">
        <v>1228</v>
      </c>
    </row>
    <row r="3719" spans="2:17" hidden="1" outlineLevel="2">
      <c r="B3719" s="2" t="s">
        <v>876</v>
      </c>
      <c r="D3719" s="268">
        <v>6726</v>
      </c>
      <c r="E3719" s="114" t="s">
        <v>223</v>
      </c>
      <c r="F3719" s="114" t="s">
        <v>4103</v>
      </c>
      <c r="G3719" s="114" t="s">
        <v>1483</v>
      </c>
      <c r="H3719" s="114" t="s">
        <v>1494</v>
      </c>
      <c r="I3719" s="114"/>
      <c r="J3719" s="114" t="b">
        <v>0</v>
      </c>
      <c r="K3719" s="114"/>
      <c r="L3719" s="114"/>
      <c r="M3719" s="114"/>
      <c r="N3719" s="114"/>
      <c r="O3719" s="114"/>
      <c r="P3719" s="114" t="s">
        <v>4091</v>
      </c>
      <c r="Q3719" s="114" t="s">
        <v>1228</v>
      </c>
    </row>
    <row r="3720" spans="2:17" hidden="1" outlineLevel="2">
      <c r="B3720" s="2" t="s">
        <v>876</v>
      </c>
      <c r="D3720" s="270">
        <v>6728</v>
      </c>
      <c r="E3720" s="112" t="s">
        <v>223</v>
      </c>
      <c r="F3720" s="112" t="s">
        <v>4104</v>
      </c>
      <c r="G3720" s="112" t="s">
        <v>1533</v>
      </c>
      <c r="H3720" s="112" t="s">
        <v>1533</v>
      </c>
      <c r="I3720" s="112"/>
      <c r="J3720" s="112" t="b">
        <v>1</v>
      </c>
      <c r="K3720" s="112" t="s">
        <v>1552</v>
      </c>
      <c r="L3720" s="112" t="b">
        <v>1</v>
      </c>
      <c r="M3720" s="112"/>
      <c r="N3720" s="112"/>
      <c r="O3720" s="112"/>
      <c r="P3720" s="112" t="s">
        <v>4091</v>
      </c>
      <c r="Q3720" s="112" t="s">
        <v>1228</v>
      </c>
    </row>
    <row r="3721" spans="2:17" hidden="1" outlineLevel="2">
      <c r="B3721" s="2" t="s">
        <v>876</v>
      </c>
      <c r="D3721" s="268">
        <v>6733</v>
      </c>
      <c r="E3721" s="114" t="s">
        <v>223</v>
      </c>
      <c r="F3721" s="114" t="s">
        <v>4105</v>
      </c>
      <c r="G3721" s="114" t="s">
        <v>1533</v>
      </c>
      <c r="H3721" s="114" t="s">
        <v>1533</v>
      </c>
      <c r="I3721" s="114"/>
      <c r="J3721" s="114" t="b">
        <v>0</v>
      </c>
      <c r="K3721" s="114"/>
      <c r="L3721" s="114"/>
      <c r="M3721" s="114"/>
      <c r="N3721" s="114"/>
      <c r="O3721" s="114"/>
      <c r="P3721" s="114" t="s">
        <v>4091</v>
      </c>
      <c r="Q3721" s="114" t="s">
        <v>1228</v>
      </c>
    </row>
    <row r="3722" spans="2:17" hidden="1" outlineLevel="2">
      <c r="B3722" s="2" t="s">
        <v>876</v>
      </c>
      <c r="D3722" s="270">
        <v>6740</v>
      </c>
      <c r="E3722" s="112" t="s">
        <v>223</v>
      </c>
      <c r="F3722" s="112" t="s">
        <v>4106</v>
      </c>
      <c r="G3722" s="112" t="s">
        <v>1512</v>
      </c>
      <c r="H3722" s="112" t="s">
        <v>1505</v>
      </c>
      <c r="I3722" s="112"/>
      <c r="J3722" s="112" t="b">
        <v>0</v>
      </c>
      <c r="K3722" s="112"/>
      <c r="L3722" s="112"/>
      <c r="M3722" s="112"/>
      <c r="N3722" s="112"/>
      <c r="O3722" s="112"/>
      <c r="P3722" s="112" t="s">
        <v>4091</v>
      </c>
      <c r="Q3722" s="112" t="s">
        <v>1228</v>
      </c>
    </row>
    <row r="3723" spans="2:17" hidden="1" outlineLevel="2">
      <c r="B3723" s="2" t="s">
        <v>876</v>
      </c>
      <c r="D3723" s="268">
        <v>6743</v>
      </c>
      <c r="E3723" s="114" t="s">
        <v>223</v>
      </c>
      <c r="F3723" s="114" t="s">
        <v>4107</v>
      </c>
      <c r="G3723" s="114" t="s">
        <v>1512</v>
      </c>
      <c r="H3723" s="114" t="s">
        <v>1505</v>
      </c>
      <c r="I3723" s="114"/>
      <c r="J3723" s="114" t="b">
        <v>0</v>
      </c>
      <c r="K3723" s="114"/>
      <c r="L3723" s="114"/>
      <c r="M3723" s="114"/>
      <c r="N3723" s="114"/>
      <c r="O3723" s="114"/>
      <c r="P3723" s="114" t="s">
        <v>4091</v>
      </c>
      <c r="Q3723" s="114" t="s">
        <v>1228</v>
      </c>
    </row>
    <row r="3724" spans="2:17" hidden="1" outlineLevel="2">
      <c r="B3724" s="2" t="s">
        <v>876</v>
      </c>
      <c r="D3724" s="270">
        <v>6751</v>
      </c>
      <c r="E3724" s="112" t="s">
        <v>223</v>
      </c>
      <c r="F3724" s="112" t="s">
        <v>4108</v>
      </c>
      <c r="G3724" s="112" t="s">
        <v>1533</v>
      </c>
      <c r="H3724" s="112" t="s">
        <v>1533</v>
      </c>
      <c r="I3724" s="112"/>
      <c r="J3724" s="112" t="b">
        <v>1</v>
      </c>
      <c r="K3724" s="112" t="s">
        <v>1552</v>
      </c>
      <c r="L3724" s="112" t="b">
        <v>1</v>
      </c>
      <c r="M3724" s="112"/>
      <c r="N3724" s="112"/>
      <c r="O3724" s="112"/>
      <c r="P3724" s="112" t="s">
        <v>4091</v>
      </c>
      <c r="Q3724" s="112" t="s">
        <v>1228</v>
      </c>
    </row>
    <row r="3725" spans="2:17" hidden="1" outlineLevel="2">
      <c r="B3725" s="2" t="s">
        <v>876</v>
      </c>
      <c r="D3725" s="268">
        <v>6753</v>
      </c>
      <c r="E3725" s="114" t="s">
        <v>223</v>
      </c>
      <c r="F3725" s="114" t="s">
        <v>4109</v>
      </c>
      <c r="G3725" s="114" t="s">
        <v>1533</v>
      </c>
      <c r="H3725" s="114" t="s">
        <v>1533</v>
      </c>
      <c r="I3725" s="114"/>
      <c r="J3725" s="114" t="b">
        <v>1</v>
      </c>
      <c r="K3725" s="114" t="s">
        <v>1552</v>
      </c>
      <c r="L3725" s="114" t="b">
        <v>1</v>
      </c>
      <c r="M3725" s="114"/>
      <c r="N3725" s="114"/>
      <c r="O3725" s="114"/>
      <c r="P3725" s="114" t="s">
        <v>4091</v>
      </c>
      <c r="Q3725" s="114" t="s">
        <v>1228</v>
      </c>
    </row>
    <row r="3726" spans="2:17" hidden="1" outlineLevel="2">
      <c r="B3726" s="2" t="s">
        <v>876</v>
      </c>
      <c r="D3726" s="270">
        <v>6754</v>
      </c>
      <c r="E3726" s="112" t="s">
        <v>223</v>
      </c>
      <c r="F3726" s="112" t="s">
        <v>4110</v>
      </c>
      <c r="G3726" s="505" t="s">
        <v>1512</v>
      </c>
      <c r="H3726" s="505" t="s">
        <v>1505</v>
      </c>
      <c r="I3726" s="112"/>
      <c r="J3726" s="505" t="b">
        <v>0</v>
      </c>
      <c r="K3726" s="505"/>
      <c r="L3726" s="112" t="b">
        <v>1</v>
      </c>
      <c r="M3726" s="112"/>
      <c r="N3726" s="112"/>
      <c r="O3726" s="112"/>
      <c r="P3726" s="112" t="s">
        <v>4091</v>
      </c>
      <c r="Q3726" s="112" t="s">
        <v>1228</v>
      </c>
    </row>
    <row r="3727" spans="2:17" hidden="1" outlineLevel="2">
      <c r="B3727" s="2" t="s">
        <v>876</v>
      </c>
      <c r="D3727" s="268">
        <v>6758</v>
      </c>
      <c r="E3727" s="114" t="s">
        <v>223</v>
      </c>
      <c r="F3727" s="114" t="s">
        <v>4111</v>
      </c>
      <c r="G3727" s="114" t="s">
        <v>1533</v>
      </c>
      <c r="H3727" s="114" t="s">
        <v>1533</v>
      </c>
      <c r="I3727" s="114"/>
      <c r="J3727" s="114" t="b">
        <v>1</v>
      </c>
      <c r="K3727" s="114" t="s">
        <v>1552</v>
      </c>
      <c r="L3727" s="114" t="b">
        <v>1</v>
      </c>
      <c r="M3727" s="114"/>
      <c r="N3727" s="114"/>
      <c r="O3727" s="114"/>
      <c r="P3727" s="114" t="s">
        <v>4091</v>
      </c>
      <c r="Q3727" s="114" t="s">
        <v>1228</v>
      </c>
    </row>
    <row r="3728" spans="2:17" hidden="1" outlineLevel="2">
      <c r="B3728" s="2" t="s">
        <v>876</v>
      </c>
      <c r="D3728" s="270">
        <v>6760</v>
      </c>
      <c r="E3728" s="112" t="s">
        <v>223</v>
      </c>
      <c r="F3728" s="112" t="s">
        <v>4112</v>
      </c>
      <c r="G3728" s="112" t="s">
        <v>1533</v>
      </c>
      <c r="H3728" s="112" t="s">
        <v>1533</v>
      </c>
      <c r="I3728" s="112"/>
      <c r="J3728" s="112" t="b">
        <v>1</v>
      </c>
      <c r="K3728" s="112" t="s">
        <v>1552</v>
      </c>
      <c r="L3728" s="112" t="b">
        <v>1</v>
      </c>
      <c r="M3728" s="112"/>
      <c r="N3728" s="112"/>
      <c r="O3728" s="112"/>
      <c r="P3728" s="112" t="s">
        <v>4091</v>
      </c>
      <c r="Q3728" s="112" t="s">
        <v>1228</v>
      </c>
    </row>
    <row r="3729" spans="2:17" hidden="1" outlineLevel="2">
      <c r="B3729" s="2" t="s">
        <v>876</v>
      </c>
      <c r="D3729" s="268">
        <v>6762</v>
      </c>
      <c r="E3729" s="114" t="s">
        <v>223</v>
      </c>
      <c r="F3729" s="114" t="s">
        <v>4113</v>
      </c>
      <c r="G3729" s="114" t="s">
        <v>1512</v>
      </c>
      <c r="H3729" s="114" t="s">
        <v>1505</v>
      </c>
      <c r="I3729" s="114"/>
      <c r="J3729" s="114" t="b">
        <v>0</v>
      </c>
      <c r="K3729" s="114"/>
      <c r="L3729" s="114"/>
      <c r="M3729" s="114"/>
      <c r="N3729" s="114"/>
      <c r="O3729" s="114"/>
      <c r="P3729" s="114" t="s">
        <v>4091</v>
      </c>
      <c r="Q3729" s="114" t="s">
        <v>1228</v>
      </c>
    </row>
    <row r="3730" spans="2:17" hidden="1" outlineLevel="2">
      <c r="B3730" s="2" t="s">
        <v>876</v>
      </c>
      <c r="D3730" s="270">
        <v>6765</v>
      </c>
      <c r="E3730" s="112" t="s">
        <v>223</v>
      </c>
      <c r="F3730" s="112" t="s">
        <v>4114</v>
      </c>
      <c r="G3730" s="112" t="s">
        <v>1512</v>
      </c>
      <c r="H3730" s="112" t="s">
        <v>1505</v>
      </c>
      <c r="I3730" s="112"/>
      <c r="J3730" s="112" t="b">
        <v>0</v>
      </c>
      <c r="K3730" s="112"/>
      <c r="L3730" s="112"/>
      <c r="M3730" s="112"/>
      <c r="N3730" s="112"/>
      <c r="O3730" s="112"/>
      <c r="P3730" s="112" t="s">
        <v>4091</v>
      </c>
      <c r="Q3730" s="112" t="s">
        <v>1228</v>
      </c>
    </row>
    <row r="3731" spans="2:17" hidden="1" outlineLevel="2">
      <c r="B3731" s="2" t="s">
        <v>876</v>
      </c>
      <c r="D3731" s="268">
        <v>6770</v>
      </c>
      <c r="E3731" s="114" t="s">
        <v>223</v>
      </c>
      <c r="F3731" s="114" t="s">
        <v>4115</v>
      </c>
      <c r="G3731" s="114" t="s">
        <v>1512</v>
      </c>
      <c r="H3731" s="114" t="s">
        <v>1505</v>
      </c>
      <c r="I3731" s="114"/>
      <c r="J3731" s="114" t="b">
        <v>0</v>
      </c>
      <c r="K3731" s="114"/>
      <c r="L3731" s="114"/>
      <c r="M3731" s="114"/>
      <c r="N3731" s="114"/>
      <c r="O3731" s="114"/>
      <c r="P3731" s="114" t="s">
        <v>4091</v>
      </c>
      <c r="Q3731" s="114" t="s">
        <v>1228</v>
      </c>
    </row>
    <row r="3732" spans="2:17" hidden="1" outlineLevel="2">
      <c r="B3732" s="2" t="s">
        <v>876</v>
      </c>
      <c r="D3732" s="270">
        <v>6798</v>
      </c>
      <c r="E3732" s="112" t="s">
        <v>223</v>
      </c>
      <c r="F3732" s="112" t="s">
        <v>4116</v>
      </c>
      <c r="G3732" s="112" t="s">
        <v>1533</v>
      </c>
      <c r="H3732" s="112" t="s">
        <v>1533</v>
      </c>
      <c r="I3732" s="112"/>
      <c r="J3732" s="112" t="b">
        <v>0</v>
      </c>
      <c r="K3732" s="112"/>
      <c r="L3732" s="112"/>
      <c r="M3732" s="112"/>
      <c r="N3732" s="112"/>
      <c r="O3732" s="112"/>
      <c r="P3732" s="112" t="s">
        <v>4091</v>
      </c>
      <c r="Q3732" s="112" t="s">
        <v>1228</v>
      </c>
    </row>
    <row r="3733" spans="2:17" hidden="1" outlineLevel="2">
      <c r="B3733" s="2" t="s">
        <v>876</v>
      </c>
      <c r="D3733" s="268">
        <v>6799</v>
      </c>
      <c r="E3733" s="114" t="s">
        <v>223</v>
      </c>
      <c r="F3733" s="114" t="s">
        <v>4117</v>
      </c>
      <c r="G3733" s="114" t="s">
        <v>1533</v>
      </c>
      <c r="H3733" s="114" t="s">
        <v>1533</v>
      </c>
      <c r="I3733" s="114"/>
      <c r="J3733" s="114" t="b">
        <v>0</v>
      </c>
      <c r="K3733" s="114"/>
      <c r="L3733" s="114"/>
      <c r="M3733" s="114"/>
      <c r="N3733" s="114"/>
      <c r="O3733" s="114"/>
      <c r="P3733" s="114" t="s">
        <v>4091</v>
      </c>
      <c r="Q3733" s="114" t="s">
        <v>1228</v>
      </c>
    </row>
    <row r="3734" spans="2:17" hidden="1" outlineLevel="2">
      <c r="B3734" s="2" t="s">
        <v>876</v>
      </c>
      <c r="D3734" s="270">
        <v>7000</v>
      </c>
      <c r="E3734" s="112" t="s">
        <v>217</v>
      </c>
      <c r="F3734" s="112" t="s">
        <v>4118</v>
      </c>
      <c r="G3734" s="112" t="s">
        <v>1572</v>
      </c>
      <c r="H3734" s="112" t="s">
        <v>1227</v>
      </c>
      <c r="I3734" s="112"/>
      <c r="J3734" s="112" t="b">
        <v>0</v>
      </c>
      <c r="K3734" s="112"/>
      <c r="L3734" s="112"/>
      <c r="M3734" s="112"/>
      <c r="N3734" s="112"/>
      <c r="O3734" s="112"/>
      <c r="P3734" s="112" t="s">
        <v>1485</v>
      </c>
      <c r="Q3734" s="112" t="s">
        <v>1227</v>
      </c>
    </row>
    <row r="3735" spans="2:17" hidden="1" outlineLevel="2">
      <c r="B3735" s="2" t="s">
        <v>876</v>
      </c>
      <c r="D3735" s="268">
        <v>7004</v>
      </c>
      <c r="E3735" s="114" t="s">
        <v>217</v>
      </c>
      <c r="F3735" s="114" t="s">
        <v>4119</v>
      </c>
      <c r="G3735" s="114" t="s">
        <v>1572</v>
      </c>
      <c r="H3735" s="114" t="s">
        <v>1227</v>
      </c>
      <c r="I3735" s="114"/>
      <c r="J3735" s="114" t="b">
        <v>0</v>
      </c>
      <c r="K3735" s="114"/>
      <c r="L3735" s="114"/>
      <c r="M3735" s="114"/>
      <c r="N3735" s="114"/>
      <c r="O3735" s="114"/>
      <c r="P3735" s="114" t="s">
        <v>1485</v>
      </c>
      <c r="Q3735" s="114" t="s">
        <v>1227</v>
      </c>
    </row>
    <row r="3736" spans="2:17" hidden="1" outlineLevel="2">
      <c r="B3736" s="2" t="s">
        <v>876</v>
      </c>
      <c r="D3736" s="270">
        <v>7005</v>
      </c>
      <c r="E3736" s="112" t="s">
        <v>217</v>
      </c>
      <c r="F3736" s="112" t="s">
        <v>4120</v>
      </c>
      <c r="G3736" s="112" t="s">
        <v>1572</v>
      </c>
      <c r="H3736" s="112" t="s">
        <v>1227</v>
      </c>
      <c r="I3736" s="112"/>
      <c r="J3736" s="112" t="b">
        <v>0</v>
      </c>
      <c r="K3736" s="112"/>
      <c r="L3736" s="112"/>
      <c r="M3736" s="112"/>
      <c r="N3736" s="112"/>
      <c r="O3736" s="112"/>
      <c r="P3736" s="112" t="s">
        <v>1485</v>
      </c>
      <c r="Q3736" s="112" t="s">
        <v>1227</v>
      </c>
    </row>
    <row r="3737" spans="2:17" hidden="1" outlineLevel="2">
      <c r="B3737" s="2" t="s">
        <v>876</v>
      </c>
      <c r="D3737" s="268">
        <v>7007</v>
      </c>
      <c r="E3737" s="114" t="s">
        <v>217</v>
      </c>
      <c r="F3737" s="114" t="s">
        <v>4121</v>
      </c>
      <c r="G3737" s="114" t="s">
        <v>1572</v>
      </c>
      <c r="H3737" s="114" t="s">
        <v>1227</v>
      </c>
      <c r="I3737" s="114"/>
      <c r="J3737" s="114" t="b">
        <v>0</v>
      </c>
      <c r="K3737" s="114"/>
      <c r="L3737" s="114"/>
      <c r="M3737" s="114"/>
      <c r="N3737" s="114"/>
      <c r="O3737" s="114"/>
      <c r="P3737" s="114" t="s">
        <v>1485</v>
      </c>
      <c r="Q3737" s="114" t="s">
        <v>1227</v>
      </c>
    </row>
    <row r="3738" spans="2:17" hidden="1" outlineLevel="2">
      <c r="B3738" s="2" t="s">
        <v>876</v>
      </c>
      <c r="D3738" s="270">
        <v>7008</v>
      </c>
      <c r="E3738" s="112" t="s">
        <v>217</v>
      </c>
      <c r="F3738" s="112" t="s">
        <v>4122</v>
      </c>
      <c r="G3738" s="112" t="s">
        <v>1572</v>
      </c>
      <c r="H3738" s="112" t="s">
        <v>1227</v>
      </c>
      <c r="I3738" s="112"/>
      <c r="J3738" s="112" t="b">
        <v>0</v>
      </c>
      <c r="K3738" s="112"/>
      <c r="L3738" s="112"/>
      <c r="M3738" s="112"/>
      <c r="N3738" s="112"/>
      <c r="O3738" s="112"/>
      <c r="P3738" s="112" t="s">
        <v>1485</v>
      </c>
      <c r="Q3738" s="112" t="s">
        <v>1227</v>
      </c>
    </row>
    <row r="3739" spans="2:17" hidden="1" outlineLevel="2">
      <c r="B3739" s="2" t="s">
        <v>876</v>
      </c>
      <c r="D3739" s="268">
        <v>7009</v>
      </c>
      <c r="E3739" s="114" t="s">
        <v>217</v>
      </c>
      <c r="F3739" s="114" t="s">
        <v>4123</v>
      </c>
      <c r="G3739" s="114" t="s">
        <v>1572</v>
      </c>
      <c r="H3739" s="114" t="s">
        <v>1227</v>
      </c>
      <c r="I3739" s="114"/>
      <c r="J3739" s="114" t="b">
        <v>0</v>
      </c>
      <c r="K3739" s="114"/>
      <c r="L3739" s="114"/>
      <c r="M3739" s="114"/>
      <c r="N3739" s="114"/>
      <c r="O3739" s="114"/>
      <c r="P3739" s="114" t="s">
        <v>1485</v>
      </c>
      <c r="Q3739" s="114" t="s">
        <v>1227</v>
      </c>
    </row>
    <row r="3740" spans="2:17" hidden="1" outlineLevel="2">
      <c r="B3740" s="2" t="s">
        <v>876</v>
      </c>
      <c r="D3740" s="270">
        <v>7010</v>
      </c>
      <c r="E3740" s="112" t="s">
        <v>217</v>
      </c>
      <c r="F3740" s="112" t="s">
        <v>4124</v>
      </c>
      <c r="G3740" s="112" t="s">
        <v>1572</v>
      </c>
      <c r="H3740" s="112" t="s">
        <v>1227</v>
      </c>
      <c r="I3740" s="112"/>
      <c r="J3740" s="112" t="b">
        <v>0</v>
      </c>
      <c r="K3740" s="112"/>
      <c r="L3740" s="112"/>
      <c r="M3740" s="112"/>
      <c r="N3740" s="112"/>
      <c r="O3740" s="112"/>
      <c r="P3740" s="112" t="s">
        <v>1485</v>
      </c>
      <c r="Q3740" s="112" t="s">
        <v>1227</v>
      </c>
    </row>
    <row r="3741" spans="2:17" hidden="1" outlineLevel="2">
      <c r="B3741" s="2" t="s">
        <v>876</v>
      </c>
      <c r="D3741" s="268">
        <v>7011</v>
      </c>
      <c r="E3741" s="114" t="s">
        <v>217</v>
      </c>
      <c r="F3741" s="114" t="s">
        <v>4125</v>
      </c>
      <c r="G3741" s="114" t="s">
        <v>1572</v>
      </c>
      <c r="H3741" s="114" t="s">
        <v>1227</v>
      </c>
      <c r="I3741" s="114"/>
      <c r="J3741" s="114" t="b">
        <v>0</v>
      </c>
      <c r="K3741" s="114"/>
      <c r="L3741" s="114"/>
      <c r="M3741" s="114"/>
      <c r="N3741" s="114"/>
      <c r="O3741" s="114"/>
      <c r="P3741" s="114" t="s">
        <v>1485</v>
      </c>
      <c r="Q3741" s="114" t="s">
        <v>1227</v>
      </c>
    </row>
    <row r="3742" spans="2:17" hidden="1" outlineLevel="2">
      <c r="B3742" s="2" t="s">
        <v>876</v>
      </c>
      <c r="D3742" s="270">
        <v>7012</v>
      </c>
      <c r="E3742" s="112" t="s">
        <v>217</v>
      </c>
      <c r="F3742" s="112" t="s">
        <v>4126</v>
      </c>
      <c r="G3742" s="269" t="s">
        <v>1483</v>
      </c>
      <c r="H3742" s="112" t="s">
        <v>1512</v>
      </c>
      <c r="I3742" s="112"/>
      <c r="J3742" s="112" t="b">
        <v>0</v>
      </c>
      <c r="K3742" s="112"/>
      <c r="L3742" s="112"/>
      <c r="M3742" s="112"/>
      <c r="N3742" s="112"/>
      <c r="O3742" s="112"/>
      <c r="P3742" s="112" t="s">
        <v>1485</v>
      </c>
      <c r="Q3742" s="112" t="s">
        <v>1227</v>
      </c>
    </row>
    <row r="3743" spans="2:17" hidden="1" outlineLevel="2">
      <c r="B3743" s="2" t="s">
        <v>876</v>
      </c>
      <c r="D3743" s="268">
        <v>7015</v>
      </c>
      <c r="E3743" s="114" t="s">
        <v>217</v>
      </c>
      <c r="F3743" s="114" t="s">
        <v>4127</v>
      </c>
      <c r="G3743" s="114" t="s">
        <v>1572</v>
      </c>
      <c r="H3743" s="114" t="s">
        <v>1227</v>
      </c>
      <c r="I3743" s="114"/>
      <c r="J3743" s="114" t="b">
        <v>0</v>
      </c>
      <c r="K3743" s="114"/>
      <c r="L3743" s="114"/>
      <c r="M3743" s="114"/>
      <c r="N3743" s="114"/>
      <c r="O3743" s="114"/>
      <c r="P3743" s="114" t="s">
        <v>1485</v>
      </c>
      <c r="Q3743" s="114" t="s">
        <v>1227</v>
      </c>
    </row>
    <row r="3744" spans="2:17" hidden="1" outlineLevel="2">
      <c r="B3744" s="2" t="s">
        <v>876</v>
      </c>
      <c r="D3744" s="270">
        <v>7016</v>
      </c>
      <c r="E3744" s="112" t="s">
        <v>217</v>
      </c>
      <c r="F3744" s="112" t="s">
        <v>4128</v>
      </c>
      <c r="G3744" s="269" t="s">
        <v>1483</v>
      </c>
      <c r="H3744" s="112" t="s">
        <v>1505</v>
      </c>
      <c r="I3744" s="112"/>
      <c r="J3744" s="112" t="b">
        <v>0</v>
      </c>
      <c r="K3744" s="112"/>
      <c r="L3744" s="112"/>
      <c r="M3744" s="112"/>
      <c r="N3744" s="112"/>
      <c r="O3744" s="112"/>
      <c r="P3744" s="112" t="s">
        <v>1485</v>
      </c>
      <c r="Q3744" s="112" t="s">
        <v>1227</v>
      </c>
    </row>
    <row r="3745" spans="2:17" hidden="1" outlineLevel="2">
      <c r="B3745" s="2" t="s">
        <v>876</v>
      </c>
      <c r="D3745" s="268">
        <v>7017</v>
      </c>
      <c r="E3745" s="114" t="s">
        <v>217</v>
      </c>
      <c r="F3745" s="114" t="s">
        <v>4129</v>
      </c>
      <c r="G3745" s="269" t="s">
        <v>1483</v>
      </c>
      <c r="H3745" s="114" t="s">
        <v>1512</v>
      </c>
      <c r="I3745" s="114"/>
      <c r="J3745" s="114" t="b">
        <v>0</v>
      </c>
      <c r="K3745" s="114"/>
      <c r="L3745" s="114"/>
      <c r="M3745" s="114"/>
      <c r="N3745" s="114"/>
      <c r="O3745" s="114"/>
      <c r="P3745" s="114" t="s">
        <v>1485</v>
      </c>
      <c r="Q3745" s="114" t="s">
        <v>1227</v>
      </c>
    </row>
    <row r="3746" spans="2:17" hidden="1" outlineLevel="2">
      <c r="B3746" s="2" t="s">
        <v>876</v>
      </c>
      <c r="D3746" s="270">
        <v>7018</v>
      </c>
      <c r="E3746" s="112" t="s">
        <v>217</v>
      </c>
      <c r="F3746" s="112" t="s">
        <v>4130</v>
      </c>
      <c r="G3746" s="112" t="s">
        <v>1572</v>
      </c>
      <c r="H3746" s="112" t="s">
        <v>1227</v>
      </c>
      <c r="I3746" s="112"/>
      <c r="J3746" s="112" t="b">
        <v>0</v>
      </c>
      <c r="K3746" s="112"/>
      <c r="L3746" s="112"/>
      <c r="M3746" s="112"/>
      <c r="N3746" s="112"/>
      <c r="O3746" s="112"/>
      <c r="P3746" s="112" t="s">
        <v>1485</v>
      </c>
      <c r="Q3746" s="112" t="s">
        <v>1227</v>
      </c>
    </row>
    <row r="3747" spans="2:17" hidden="1" outlineLevel="2">
      <c r="B3747" s="2" t="s">
        <v>876</v>
      </c>
      <c r="D3747" s="268">
        <v>7019</v>
      </c>
      <c r="E3747" s="114" t="s">
        <v>217</v>
      </c>
      <c r="F3747" s="114" t="s">
        <v>4131</v>
      </c>
      <c r="G3747" s="114" t="s">
        <v>1572</v>
      </c>
      <c r="H3747" s="114" t="s">
        <v>1227</v>
      </c>
      <c r="I3747" s="114"/>
      <c r="J3747" s="114" t="b">
        <v>0</v>
      </c>
      <c r="K3747" s="114"/>
      <c r="L3747" s="114"/>
      <c r="M3747" s="114"/>
      <c r="N3747" s="114"/>
      <c r="O3747" s="114"/>
      <c r="P3747" s="114" t="s">
        <v>1485</v>
      </c>
      <c r="Q3747" s="114" t="s">
        <v>1227</v>
      </c>
    </row>
    <row r="3748" spans="2:17" hidden="1" outlineLevel="2">
      <c r="B3748" s="2" t="s">
        <v>876</v>
      </c>
      <c r="D3748" s="270">
        <v>7020</v>
      </c>
      <c r="E3748" s="112" t="s">
        <v>217</v>
      </c>
      <c r="F3748" s="112" t="s">
        <v>3412</v>
      </c>
      <c r="G3748" s="112" t="s">
        <v>1512</v>
      </c>
      <c r="H3748" s="112" t="s">
        <v>1505</v>
      </c>
      <c r="I3748" s="112"/>
      <c r="J3748" s="112" t="b">
        <v>0</v>
      </c>
      <c r="K3748" s="112"/>
      <c r="L3748" s="112"/>
      <c r="M3748" s="112"/>
      <c r="N3748" s="112"/>
      <c r="O3748" s="112"/>
      <c r="P3748" s="112" t="s">
        <v>1485</v>
      </c>
      <c r="Q3748" s="112" t="s">
        <v>1227</v>
      </c>
    </row>
    <row r="3749" spans="2:17" hidden="1" outlineLevel="2">
      <c r="B3749" s="2" t="s">
        <v>876</v>
      </c>
      <c r="D3749" s="268">
        <v>7021</v>
      </c>
      <c r="E3749" s="114" t="s">
        <v>217</v>
      </c>
      <c r="F3749" s="114" t="s">
        <v>4132</v>
      </c>
      <c r="G3749" s="114" t="s">
        <v>1572</v>
      </c>
      <c r="H3749" s="114" t="s">
        <v>1227</v>
      </c>
      <c r="I3749" s="114"/>
      <c r="J3749" s="114" t="b">
        <v>0</v>
      </c>
      <c r="K3749" s="114"/>
      <c r="L3749" s="114"/>
      <c r="M3749" s="114"/>
      <c r="N3749" s="114"/>
      <c r="O3749" s="114"/>
      <c r="P3749" s="114" t="s">
        <v>1485</v>
      </c>
      <c r="Q3749" s="114" t="s">
        <v>1227</v>
      </c>
    </row>
    <row r="3750" spans="2:17" hidden="1" outlineLevel="2">
      <c r="B3750" s="2" t="s">
        <v>876</v>
      </c>
      <c r="D3750" s="270">
        <v>7022</v>
      </c>
      <c r="E3750" s="112" t="s">
        <v>217</v>
      </c>
      <c r="F3750" s="112" t="s">
        <v>4133</v>
      </c>
      <c r="G3750" s="112" t="s">
        <v>1572</v>
      </c>
      <c r="H3750" s="112" t="s">
        <v>1227</v>
      </c>
      <c r="I3750" s="112"/>
      <c r="J3750" s="112" t="b">
        <v>0</v>
      </c>
      <c r="K3750" s="112"/>
      <c r="L3750" s="112"/>
      <c r="M3750" s="112"/>
      <c r="N3750" s="112"/>
      <c r="O3750" s="112"/>
      <c r="P3750" s="112" t="s">
        <v>1485</v>
      </c>
      <c r="Q3750" s="112" t="s">
        <v>1227</v>
      </c>
    </row>
    <row r="3751" spans="2:17" hidden="1" outlineLevel="2">
      <c r="B3751" s="2" t="s">
        <v>876</v>
      </c>
      <c r="D3751" s="268">
        <v>7023</v>
      </c>
      <c r="E3751" s="114" t="s">
        <v>217</v>
      </c>
      <c r="F3751" s="114" t="s">
        <v>4134</v>
      </c>
      <c r="G3751" s="114" t="s">
        <v>1512</v>
      </c>
      <c r="H3751" s="114" t="s">
        <v>1505</v>
      </c>
      <c r="I3751" s="114"/>
      <c r="J3751" s="114" t="b">
        <v>0</v>
      </c>
      <c r="K3751" s="114"/>
      <c r="L3751" s="114"/>
      <c r="M3751" s="114"/>
      <c r="N3751" s="114"/>
      <c r="O3751" s="114"/>
      <c r="P3751" s="114" t="s">
        <v>1485</v>
      </c>
      <c r="Q3751" s="114" t="s">
        <v>1227</v>
      </c>
    </row>
    <row r="3752" spans="2:17" hidden="1" outlineLevel="2">
      <c r="B3752" s="2" t="s">
        <v>876</v>
      </c>
      <c r="D3752" s="270">
        <v>7024</v>
      </c>
      <c r="E3752" s="112" t="s">
        <v>217</v>
      </c>
      <c r="F3752" s="112" t="s">
        <v>1630</v>
      </c>
      <c r="G3752" s="112" t="s">
        <v>1512</v>
      </c>
      <c r="H3752" s="112" t="s">
        <v>1505</v>
      </c>
      <c r="I3752" s="112"/>
      <c r="J3752" s="112" t="b">
        <v>0</v>
      </c>
      <c r="K3752" s="112"/>
      <c r="L3752" s="112"/>
      <c r="M3752" s="112"/>
      <c r="N3752" s="112"/>
      <c r="O3752" s="112"/>
      <c r="P3752" s="112" t="s">
        <v>1485</v>
      </c>
      <c r="Q3752" s="112" t="s">
        <v>1227</v>
      </c>
    </row>
    <row r="3753" spans="2:17" hidden="1" outlineLevel="2">
      <c r="B3753" s="2" t="s">
        <v>876</v>
      </c>
      <c r="D3753" s="268">
        <v>7025</v>
      </c>
      <c r="E3753" s="114" t="s">
        <v>217</v>
      </c>
      <c r="F3753" s="114" t="s">
        <v>4135</v>
      </c>
      <c r="G3753" s="114" t="s">
        <v>1572</v>
      </c>
      <c r="H3753" s="114" t="s">
        <v>1227</v>
      </c>
      <c r="I3753" s="114"/>
      <c r="J3753" s="114" t="b">
        <v>0</v>
      </c>
      <c r="K3753" s="114"/>
      <c r="L3753" s="114"/>
      <c r="M3753" s="114"/>
      <c r="N3753" s="114"/>
      <c r="O3753" s="114"/>
      <c r="P3753" s="114" t="s">
        <v>1485</v>
      </c>
      <c r="Q3753" s="114" t="s">
        <v>1227</v>
      </c>
    </row>
    <row r="3754" spans="2:17" hidden="1" outlineLevel="2">
      <c r="B3754" s="2" t="s">
        <v>876</v>
      </c>
      <c r="D3754" s="270">
        <v>7026</v>
      </c>
      <c r="E3754" s="112" t="s">
        <v>217</v>
      </c>
      <c r="F3754" s="112" t="s">
        <v>4136</v>
      </c>
      <c r="G3754" s="112" t="s">
        <v>1512</v>
      </c>
      <c r="H3754" s="112" t="s">
        <v>1505</v>
      </c>
      <c r="I3754" s="112"/>
      <c r="J3754" s="112" t="b">
        <v>0</v>
      </c>
      <c r="K3754" s="112"/>
      <c r="L3754" s="112"/>
      <c r="M3754" s="112"/>
      <c r="N3754" s="112"/>
      <c r="O3754" s="112"/>
      <c r="P3754" s="112" t="s">
        <v>1485</v>
      </c>
      <c r="Q3754" s="112" t="s">
        <v>1227</v>
      </c>
    </row>
    <row r="3755" spans="2:17" hidden="1" outlineLevel="2">
      <c r="B3755" s="2" t="s">
        <v>876</v>
      </c>
      <c r="D3755" s="268">
        <v>7027</v>
      </c>
      <c r="E3755" s="114" t="s">
        <v>217</v>
      </c>
      <c r="F3755" s="114" t="s">
        <v>4137</v>
      </c>
      <c r="G3755" s="114" t="s">
        <v>1512</v>
      </c>
      <c r="H3755" s="114" t="s">
        <v>1505</v>
      </c>
      <c r="I3755" s="114"/>
      <c r="J3755" s="114" t="b">
        <v>0</v>
      </c>
      <c r="K3755" s="114"/>
      <c r="L3755" s="114"/>
      <c r="M3755" s="114"/>
      <c r="N3755" s="114"/>
      <c r="O3755" s="114"/>
      <c r="P3755" s="114" t="s">
        <v>1485</v>
      </c>
      <c r="Q3755" s="114" t="s">
        <v>1228</v>
      </c>
    </row>
    <row r="3756" spans="2:17" hidden="1" outlineLevel="2">
      <c r="B3756" s="2" t="s">
        <v>876</v>
      </c>
      <c r="D3756" s="270">
        <v>7030</v>
      </c>
      <c r="E3756" s="112" t="s">
        <v>217</v>
      </c>
      <c r="F3756" s="112" t="s">
        <v>2136</v>
      </c>
      <c r="G3756" s="269" t="s">
        <v>1483</v>
      </c>
      <c r="H3756" s="112" t="s">
        <v>1494</v>
      </c>
      <c r="I3756" s="112"/>
      <c r="J3756" s="112" t="b">
        <v>0</v>
      </c>
      <c r="K3756" s="112"/>
      <c r="L3756" s="112"/>
      <c r="M3756" s="112"/>
      <c r="N3756" s="112"/>
      <c r="O3756" s="112"/>
      <c r="P3756" s="112" t="s">
        <v>1485</v>
      </c>
      <c r="Q3756" s="112" t="s">
        <v>1228</v>
      </c>
    </row>
    <row r="3757" spans="2:17" hidden="1" outlineLevel="2">
      <c r="B3757" s="2" t="s">
        <v>876</v>
      </c>
      <c r="D3757" s="268">
        <v>7050</v>
      </c>
      <c r="E3757" s="114" t="s">
        <v>217</v>
      </c>
      <c r="F3757" s="114" t="s">
        <v>2938</v>
      </c>
      <c r="G3757" s="114" t="s">
        <v>1572</v>
      </c>
      <c r="H3757" s="114" t="s">
        <v>1227</v>
      </c>
      <c r="I3757" s="114"/>
      <c r="J3757" s="114" t="b">
        <v>0</v>
      </c>
      <c r="K3757" s="114"/>
      <c r="L3757" s="114"/>
      <c r="M3757" s="114"/>
      <c r="N3757" s="114"/>
      <c r="O3757" s="114"/>
      <c r="P3757" s="114" t="s">
        <v>1485</v>
      </c>
      <c r="Q3757" s="114" t="s">
        <v>1227</v>
      </c>
    </row>
    <row r="3758" spans="2:17" hidden="1" outlineLevel="2">
      <c r="B3758" s="2" t="s">
        <v>876</v>
      </c>
      <c r="D3758" s="270">
        <v>7052</v>
      </c>
      <c r="E3758" s="112" t="s">
        <v>217</v>
      </c>
      <c r="F3758" s="112" t="s">
        <v>4138</v>
      </c>
      <c r="G3758" s="112" t="s">
        <v>1572</v>
      </c>
      <c r="H3758" s="112" t="s">
        <v>1227</v>
      </c>
      <c r="I3758" s="112"/>
      <c r="J3758" s="112" t="b">
        <v>0</v>
      </c>
      <c r="K3758" s="112"/>
      <c r="L3758" s="112"/>
      <c r="M3758" s="112"/>
      <c r="N3758" s="112"/>
      <c r="O3758" s="112"/>
      <c r="P3758" s="112" t="s">
        <v>1485</v>
      </c>
      <c r="Q3758" s="112" t="s">
        <v>1227</v>
      </c>
    </row>
    <row r="3759" spans="2:17" hidden="1" outlineLevel="2">
      <c r="B3759" s="2" t="s">
        <v>876</v>
      </c>
      <c r="D3759" s="268">
        <v>7053</v>
      </c>
      <c r="E3759" s="114" t="s">
        <v>217</v>
      </c>
      <c r="F3759" s="114" t="s">
        <v>4139</v>
      </c>
      <c r="G3759" s="114" t="s">
        <v>1572</v>
      </c>
      <c r="H3759" s="114" t="s">
        <v>1227</v>
      </c>
      <c r="I3759" s="114"/>
      <c r="J3759" s="114" t="b">
        <v>0</v>
      </c>
      <c r="K3759" s="114"/>
      <c r="L3759" s="114"/>
      <c r="M3759" s="114"/>
      <c r="N3759" s="114"/>
      <c r="O3759" s="114"/>
      <c r="P3759" s="114" t="s">
        <v>1485</v>
      </c>
      <c r="Q3759" s="114" t="s">
        <v>1227</v>
      </c>
    </row>
    <row r="3760" spans="2:17" hidden="1" outlineLevel="2">
      <c r="B3760" s="2" t="s">
        <v>876</v>
      </c>
      <c r="D3760" s="270">
        <v>7054</v>
      </c>
      <c r="E3760" s="112" t="s">
        <v>217</v>
      </c>
      <c r="F3760" s="112" t="s">
        <v>4140</v>
      </c>
      <c r="G3760" s="112" t="s">
        <v>1572</v>
      </c>
      <c r="H3760" s="112" t="s">
        <v>1227</v>
      </c>
      <c r="I3760" s="112"/>
      <c r="J3760" s="112" t="b">
        <v>0</v>
      </c>
      <c r="K3760" s="112"/>
      <c r="L3760" s="112"/>
      <c r="M3760" s="112"/>
      <c r="N3760" s="112"/>
      <c r="O3760" s="112"/>
      <c r="P3760" s="112" t="s">
        <v>1485</v>
      </c>
      <c r="Q3760" s="112" t="s">
        <v>1227</v>
      </c>
    </row>
    <row r="3761" spans="2:17" hidden="1" outlineLevel="2">
      <c r="B3761" s="2" t="s">
        <v>876</v>
      </c>
      <c r="D3761" s="268">
        <v>7055</v>
      </c>
      <c r="E3761" s="114" t="s">
        <v>217</v>
      </c>
      <c r="F3761" s="114" t="s">
        <v>4141</v>
      </c>
      <c r="G3761" s="114" t="s">
        <v>1572</v>
      </c>
      <c r="H3761" s="114" t="s">
        <v>1227</v>
      </c>
      <c r="I3761" s="114"/>
      <c r="J3761" s="114" t="b">
        <v>0</v>
      </c>
      <c r="K3761" s="114"/>
      <c r="L3761" s="114"/>
      <c r="M3761" s="114"/>
      <c r="N3761" s="114"/>
      <c r="O3761" s="114"/>
      <c r="P3761" s="114" t="s">
        <v>1485</v>
      </c>
      <c r="Q3761" s="114" t="s">
        <v>1227</v>
      </c>
    </row>
    <row r="3762" spans="2:17" hidden="1" outlineLevel="2">
      <c r="B3762" s="2" t="s">
        <v>876</v>
      </c>
      <c r="D3762" s="270">
        <v>7109</v>
      </c>
      <c r="E3762" s="112" t="s">
        <v>217</v>
      </c>
      <c r="F3762" s="112" t="s">
        <v>4142</v>
      </c>
      <c r="G3762" s="112" t="s">
        <v>1493</v>
      </c>
      <c r="H3762" s="112" t="s">
        <v>1505</v>
      </c>
      <c r="I3762" s="112"/>
      <c r="J3762" s="112" t="b">
        <v>0</v>
      </c>
      <c r="K3762" s="112"/>
      <c r="L3762" s="112"/>
      <c r="M3762" s="112"/>
      <c r="N3762" s="112"/>
      <c r="O3762" s="112"/>
      <c r="P3762" s="112" t="s">
        <v>1485</v>
      </c>
      <c r="Q3762" s="112" t="s">
        <v>1228</v>
      </c>
    </row>
    <row r="3763" spans="2:17" hidden="1" outlineLevel="2">
      <c r="B3763" s="2" t="s">
        <v>876</v>
      </c>
      <c r="D3763" s="268">
        <v>7112</v>
      </c>
      <c r="E3763" s="114" t="s">
        <v>217</v>
      </c>
      <c r="F3763" s="114" t="s">
        <v>4143</v>
      </c>
      <c r="G3763" s="114" t="s">
        <v>1512</v>
      </c>
      <c r="H3763" s="114" t="s">
        <v>1505</v>
      </c>
      <c r="I3763" s="114"/>
      <c r="J3763" s="114" t="b">
        <v>0</v>
      </c>
      <c r="K3763" s="114"/>
      <c r="L3763" s="114"/>
      <c r="M3763" s="114"/>
      <c r="N3763" s="114"/>
      <c r="O3763" s="114"/>
      <c r="P3763" s="114" t="s">
        <v>1485</v>
      </c>
      <c r="Q3763" s="114" t="s">
        <v>1228</v>
      </c>
    </row>
    <row r="3764" spans="2:17" hidden="1" outlineLevel="2">
      <c r="B3764" s="2" t="s">
        <v>876</v>
      </c>
      <c r="D3764" s="270">
        <v>7113</v>
      </c>
      <c r="E3764" s="112" t="s">
        <v>217</v>
      </c>
      <c r="F3764" s="112" t="s">
        <v>4144</v>
      </c>
      <c r="G3764" s="112" t="s">
        <v>1493</v>
      </c>
      <c r="H3764" s="112" t="s">
        <v>1505</v>
      </c>
      <c r="I3764" s="112"/>
      <c r="J3764" s="112" t="b">
        <v>0</v>
      </c>
      <c r="K3764" s="112"/>
      <c r="L3764" s="112"/>
      <c r="M3764" s="112"/>
      <c r="N3764" s="112"/>
      <c r="O3764" s="112"/>
      <c r="P3764" s="112" t="s">
        <v>1485</v>
      </c>
      <c r="Q3764" s="112" t="s">
        <v>1228</v>
      </c>
    </row>
    <row r="3765" spans="2:17" hidden="1" outlineLevel="2">
      <c r="B3765" s="2" t="s">
        <v>876</v>
      </c>
      <c r="D3765" s="268">
        <v>7116</v>
      </c>
      <c r="E3765" s="114" t="s">
        <v>217</v>
      </c>
      <c r="F3765" s="114" t="s">
        <v>4145</v>
      </c>
      <c r="G3765" s="114" t="s">
        <v>1512</v>
      </c>
      <c r="H3765" s="114" t="s">
        <v>1512</v>
      </c>
      <c r="I3765" s="114"/>
      <c r="J3765" s="114" t="b">
        <v>0</v>
      </c>
      <c r="K3765" s="114"/>
      <c r="L3765" s="114"/>
      <c r="M3765" s="114"/>
      <c r="N3765" s="114"/>
      <c r="O3765" s="114"/>
      <c r="P3765" s="114" t="s">
        <v>1485</v>
      </c>
      <c r="Q3765" s="114" t="s">
        <v>1228</v>
      </c>
    </row>
    <row r="3766" spans="2:17" hidden="1" outlineLevel="2">
      <c r="B3766" s="2" t="s">
        <v>876</v>
      </c>
      <c r="D3766" s="270">
        <v>7117</v>
      </c>
      <c r="E3766" s="112" t="s">
        <v>217</v>
      </c>
      <c r="F3766" s="112" t="s">
        <v>4146</v>
      </c>
      <c r="G3766" s="221" t="s">
        <v>1512</v>
      </c>
      <c r="H3766" s="112" t="s">
        <v>1505</v>
      </c>
      <c r="I3766" s="112"/>
      <c r="J3766" s="112" t="b">
        <v>0</v>
      </c>
      <c r="K3766" s="112"/>
      <c r="L3766" s="112"/>
      <c r="M3766" s="112"/>
      <c r="N3766" s="112"/>
      <c r="O3766" s="112"/>
      <c r="P3766" s="112" t="s">
        <v>1485</v>
      </c>
      <c r="Q3766" s="112" t="s">
        <v>1228</v>
      </c>
    </row>
    <row r="3767" spans="2:17" hidden="1" outlineLevel="2">
      <c r="B3767" s="2" t="s">
        <v>876</v>
      </c>
      <c r="D3767" s="268">
        <v>7119</v>
      </c>
      <c r="E3767" s="114" t="s">
        <v>217</v>
      </c>
      <c r="F3767" s="114" t="s">
        <v>4147</v>
      </c>
      <c r="G3767" s="114" t="s">
        <v>1512</v>
      </c>
      <c r="H3767" s="114" t="s">
        <v>1505</v>
      </c>
      <c r="I3767" s="114"/>
      <c r="J3767" s="114" t="b">
        <v>0</v>
      </c>
      <c r="K3767" s="114"/>
      <c r="L3767" s="114"/>
      <c r="M3767" s="114"/>
      <c r="N3767" s="114"/>
      <c r="O3767" s="114"/>
      <c r="P3767" s="114" t="s">
        <v>1485</v>
      </c>
      <c r="Q3767" s="114" t="s">
        <v>1228</v>
      </c>
    </row>
    <row r="3768" spans="2:17" hidden="1" outlineLevel="2">
      <c r="B3768" s="2" t="s">
        <v>876</v>
      </c>
      <c r="D3768" s="270">
        <v>7120</v>
      </c>
      <c r="E3768" s="112" t="s">
        <v>217</v>
      </c>
      <c r="F3768" s="112" t="s">
        <v>4148</v>
      </c>
      <c r="G3768" s="112" t="s">
        <v>1512</v>
      </c>
      <c r="H3768" s="112" t="s">
        <v>1505</v>
      </c>
      <c r="I3768" s="112"/>
      <c r="J3768" s="112" t="b">
        <v>0</v>
      </c>
      <c r="K3768" s="112"/>
      <c r="L3768" s="112"/>
      <c r="M3768" s="112"/>
      <c r="N3768" s="112"/>
      <c r="O3768" s="112"/>
      <c r="P3768" s="112" t="s">
        <v>1485</v>
      </c>
      <c r="Q3768" s="112" t="s">
        <v>1228</v>
      </c>
    </row>
    <row r="3769" spans="2:17" hidden="1" outlineLevel="2">
      <c r="B3769" s="2" t="s">
        <v>876</v>
      </c>
      <c r="D3769" s="268">
        <v>7139</v>
      </c>
      <c r="E3769" s="114" t="s">
        <v>217</v>
      </c>
      <c r="F3769" s="114" t="s">
        <v>4149</v>
      </c>
      <c r="G3769" s="114" t="s">
        <v>1512</v>
      </c>
      <c r="H3769" s="114" t="s">
        <v>1505</v>
      </c>
      <c r="I3769" s="114"/>
      <c r="J3769" s="114" t="b">
        <v>0</v>
      </c>
      <c r="K3769" s="114"/>
      <c r="L3769" s="114"/>
      <c r="M3769" s="114"/>
      <c r="N3769" s="114"/>
      <c r="O3769" s="114"/>
      <c r="P3769" s="114" t="s">
        <v>1485</v>
      </c>
      <c r="Q3769" s="114" t="s">
        <v>1228</v>
      </c>
    </row>
    <row r="3770" spans="2:17" hidden="1" outlineLevel="2">
      <c r="B3770" s="2" t="s">
        <v>876</v>
      </c>
      <c r="D3770" s="270">
        <v>7140</v>
      </c>
      <c r="E3770" s="112" t="s">
        <v>217</v>
      </c>
      <c r="F3770" s="112" t="s">
        <v>4150</v>
      </c>
      <c r="G3770" s="221" t="s">
        <v>1493</v>
      </c>
      <c r="H3770" s="112" t="s">
        <v>1505</v>
      </c>
      <c r="I3770" s="112"/>
      <c r="J3770" s="112" t="b">
        <v>0</v>
      </c>
      <c r="K3770" s="112"/>
      <c r="L3770" s="112"/>
      <c r="M3770" s="112"/>
      <c r="N3770" s="112"/>
      <c r="O3770" s="112"/>
      <c r="P3770" s="112" t="s">
        <v>1485</v>
      </c>
      <c r="Q3770" s="112" t="s">
        <v>1228</v>
      </c>
    </row>
    <row r="3771" spans="2:17" hidden="1" outlineLevel="2">
      <c r="B3771" s="2" t="s">
        <v>876</v>
      </c>
      <c r="D3771" s="268">
        <v>7150</v>
      </c>
      <c r="E3771" s="114" t="s">
        <v>217</v>
      </c>
      <c r="F3771" s="114" t="s">
        <v>4151</v>
      </c>
      <c r="G3771" s="114" t="s">
        <v>1512</v>
      </c>
      <c r="H3771" s="114" t="s">
        <v>1505</v>
      </c>
      <c r="I3771" s="114"/>
      <c r="J3771" s="114" t="b">
        <v>0</v>
      </c>
      <c r="K3771" s="114"/>
      <c r="L3771" s="114"/>
      <c r="M3771" s="114"/>
      <c r="N3771" s="114"/>
      <c r="O3771" s="114"/>
      <c r="P3771" s="114" t="s">
        <v>1485</v>
      </c>
      <c r="Q3771" s="114" t="s">
        <v>1228</v>
      </c>
    </row>
    <row r="3772" spans="2:17" hidden="1" outlineLevel="2">
      <c r="B3772" s="2" t="s">
        <v>876</v>
      </c>
      <c r="D3772" s="270">
        <v>7151</v>
      </c>
      <c r="E3772" s="112" t="s">
        <v>217</v>
      </c>
      <c r="F3772" s="112" t="s">
        <v>2193</v>
      </c>
      <c r="G3772" s="112" t="s">
        <v>1533</v>
      </c>
      <c r="H3772" s="112" t="s">
        <v>1533</v>
      </c>
      <c r="I3772" s="112"/>
      <c r="J3772" s="112" t="b">
        <v>0</v>
      </c>
      <c r="K3772" s="112"/>
      <c r="L3772" s="112"/>
      <c r="M3772" s="112"/>
      <c r="N3772" s="112"/>
      <c r="O3772" s="112"/>
      <c r="P3772" s="112" t="s">
        <v>1485</v>
      </c>
      <c r="Q3772" s="112" t="s">
        <v>1228</v>
      </c>
    </row>
    <row r="3773" spans="2:17" hidden="1" outlineLevel="2">
      <c r="B3773" s="2" t="s">
        <v>876</v>
      </c>
      <c r="D3773" s="268">
        <v>7155</v>
      </c>
      <c r="E3773" s="114" t="s">
        <v>217</v>
      </c>
      <c r="F3773" s="114" t="s">
        <v>4152</v>
      </c>
      <c r="G3773" s="114" t="s">
        <v>1512</v>
      </c>
      <c r="H3773" s="114" t="s">
        <v>1505</v>
      </c>
      <c r="I3773" s="114"/>
      <c r="J3773" s="114" t="b">
        <v>0</v>
      </c>
      <c r="K3773" s="114"/>
      <c r="L3773" s="114"/>
      <c r="M3773" s="114"/>
      <c r="N3773" s="114"/>
      <c r="O3773" s="114"/>
      <c r="P3773" s="114" t="s">
        <v>1485</v>
      </c>
      <c r="Q3773" s="114" t="s">
        <v>1228</v>
      </c>
    </row>
    <row r="3774" spans="2:17" hidden="1" outlineLevel="2">
      <c r="B3774" s="2" t="s">
        <v>876</v>
      </c>
      <c r="D3774" s="270">
        <v>7162</v>
      </c>
      <c r="E3774" s="112" t="s">
        <v>217</v>
      </c>
      <c r="F3774" s="112" t="s">
        <v>4153</v>
      </c>
      <c r="G3774" s="112" t="s">
        <v>1512</v>
      </c>
      <c r="H3774" s="112" t="s">
        <v>1505</v>
      </c>
      <c r="I3774" s="112"/>
      <c r="J3774" s="112" t="b">
        <v>0</v>
      </c>
      <c r="K3774" s="112"/>
      <c r="L3774" s="112"/>
      <c r="M3774" s="112"/>
      <c r="N3774" s="112"/>
      <c r="O3774" s="112"/>
      <c r="P3774" s="112" t="s">
        <v>1485</v>
      </c>
      <c r="Q3774" s="112" t="s">
        <v>1228</v>
      </c>
    </row>
    <row r="3775" spans="2:17" hidden="1" outlineLevel="2">
      <c r="B3775" s="2" t="s">
        <v>876</v>
      </c>
      <c r="D3775" s="268">
        <v>7163</v>
      </c>
      <c r="E3775" s="114" t="s">
        <v>217</v>
      </c>
      <c r="F3775" s="114" t="s">
        <v>4154</v>
      </c>
      <c r="G3775" s="114" t="s">
        <v>1512</v>
      </c>
      <c r="H3775" s="114" t="s">
        <v>1512</v>
      </c>
      <c r="I3775" s="114"/>
      <c r="J3775" s="114" t="b">
        <v>0</v>
      </c>
      <c r="K3775" s="114"/>
      <c r="L3775" s="114"/>
      <c r="M3775" s="114"/>
      <c r="N3775" s="114"/>
      <c r="O3775" s="114"/>
      <c r="P3775" s="114" t="s">
        <v>1485</v>
      </c>
      <c r="Q3775" s="114" t="s">
        <v>1228</v>
      </c>
    </row>
    <row r="3776" spans="2:17" hidden="1" outlineLevel="2">
      <c r="B3776" s="2" t="s">
        <v>876</v>
      </c>
      <c r="D3776" s="270">
        <v>7170</v>
      </c>
      <c r="E3776" s="112" t="s">
        <v>217</v>
      </c>
      <c r="F3776" s="112" t="s">
        <v>4155</v>
      </c>
      <c r="G3776" s="112" t="s">
        <v>1572</v>
      </c>
      <c r="H3776" s="112" t="s">
        <v>1227</v>
      </c>
      <c r="I3776" s="112"/>
      <c r="J3776" s="112" t="b">
        <v>0</v>
      </c>
      <c r="K3776" s="112"/>
      <c r="L3776" s="112"/>
      <c r="M3776" s="112"/>
      <c r="N3776" s="112"/>
      <c r="O3776" s="112"/>
      <c r="P3776" s="112" t="s">
        <v>1485</v>
      </c>
      <c r="Q3776" s="112" t="s">
        <v>1227</v>
      </c>
    </row>
    <row r="3777" spans="2:17" hidden="1" outlineLevel="2">
      <c r="B3777" s="2" t="s">
        <v>876</v>
      </c>
      <c r="D3777" s="268">
        <v>7171</v>
      </c>
      <c r="E3777" s="114" t="s">
        <v>217</v>
      </c>
      <c r="F3777" s="114" t="s">
        <v>4156</v>
      </c>
      <c r="G3777" s="114" t="s">
        <v>1483</v>
      </c>
      <c r="H3777" s="114" t="s">
        <v>1494</v>
      </c>
      <c r="I3777" s="114"/>
      <c r="J3777" s="114" t="b">
        <v>0</v>
      </c>
      <c r="K3777" s="114"/>
      <c r="L3777" s="114"/>
      <c r="M3777" s="114"/>
      <c r="N3777" s="114"/>
      <c r="O3777" s="114"/>
      <c r="P3777" s="114" t="s">
        <v>1485</v>
      </c>
      <c r="Q3777" s="114" t="s">
        <v>1228</v>
      </c>
    </row>
    <row r="3778" spans="2:17" hidden="1" outlineLevel="2">
      <c r="B3778" s="2" t="s">
        <v>876</v>
      </c>
      <c r="D3778" s="270">
        <v>7172</v>
      </c>
      <c r="E3778" s="112" t="s">
        <v>217</v>
      </c>
      <c r="F3778" s="112" t="s">
        <v>4157</v>
      </c>
      <c r="G3778" s="112" t="s">
        <v>1483</v>
      </c>
      <c r="H3778" s="112" t="s">
        <v>1494</v>
      </c>
      <c r="I3778" s="112"/>
      <c r="J3778" s="112" t="b">
        <v>0</v>
      </c>
      <c r="K3778" s="112"/>
      <c r="L3778" s="112"/>
      <c r="M3778" s="112"/>
      <c r="N3778" s="112"/>
      <c r="O3778" s="112"/>
      <c r="P3778" s="112" t="s">
        <v>1485</v>
      </c>
      <c r="Q3778" s="112" t="s">
        <v>1228</v>
      </c>
    </row>
    <row r="3779" spans="2:17" hidden="1" outlineLevel="2">
      <c r="B3779" s="2" t="s">
        <v>876</v>
      </c>
      <c r="D3779" s="268">
        <v>7173</v>
      </c>
      <c r="E3779" s="114" t="s">
        <v>217</v>
      </c>
      <c r="F3779" s="114" t="s">
        <v>2240</v>
      </c>
      <c r="G3779" s="114" t="s">
        <v>1483</v>
      </c>
      <c r="H3779" s="114" t="s">
        <v>1494</v>
      </c>
      <c r="I3779" s="114"/>
      <c r="J3779" s="114" t="b">
        <v>0</v>
      </c>
      <c r="K3779" s="114"/>
      <c r="L3779" s="114"/>
      <c r="M3779" s="114"/>
      <c r="N3779" s="114"/>
      <c r="O3779" s="114"/>
      <c r="P3779" s="114" t="s">
        <v>1485</v>
      </c>
      <c r="Q3779" s="114" t="s">
        <v>1228</v>
      </c>
    </row>
    <row r="3780" spans="2:17" hidden="1" outlineLevel="2">
      <c r="B3780" s="2" t="s">
        <v>876</v>
      </c>
      <c r="D3780" s="270">
        <v>7174</v>
      </c>
      <c r="E3780" s="112" t="s">
        <v>217</v>
      </c>
      <c r="F3780" s="112" t="s">
        <v>4158</v>
      </c>
      <c r="G3780" s="112" t="s">
        <v>1512</v>
      </c>
      <c r="H3780" s="112" t="s">
        <v>1505</v>
      </c>
      <c r="I3780" s="112"/>
      <c r="J3780" s="112" t="b">
        <v>0</v>
      </c>
      <c r="K3780" s="112"/>
      <c r="L3780" s="112"/>
      <c r="M3780" s="112"/>
      <c r="N3780" s="112"/>
      <c r="O3780" s="112"/>
      <c r="P3780" s="112" t="s">
        <v>1485</v>
      </c>
      <c r="Q3780" s="112" t="s">
        <v>1228</v>
      </c>
    </row>
    <row r="3781" spans="2:17" hidden="1" outlineLevel="2">
      <c r="B3781" s="2" t="s">
        <v>876</v>
      </c>
      <c r="D3781" s="268">
        <v>7175</v>
      </c>
      <c r="E3781" s="114" t="s">
        <v>217</v>
      </c>
      <c r="F3781" s="114" t="s">
        <v>4159</v>
      </c>
      <c r="G3781" s="114" t="s">
        <v>1512</v>
      </c>
      <c r="H3781" s="114" t="s">
        <v>1505</v>
      </c>
      <c r="I3781" s="114"/>
      <c r="J3781" s="114" t="b">
        <v>0</v>
      </c>
      <c r="K3781" s="114"/>
      <c r="L3781" s="114"/>
      <c r="M3781" s="114"/>
      <c r="N3781" s="114"/>
      <c r="O3781" s="114"/>
      <c r="P3781" s="114" t="s">
        <v>1485</v>
      </c>
      <c r="Q3781" s="114" t="s">
        <v>1228</v>
      </c>
    </row>
    <row r="3782" spans="2:17" hidden="1" outlineLevel="2">
      <c r="B3782" s="2" t="s">
        <v>876</v>
      </c>
      <c r="D3782" s="270">
        <v>7176</v>
      </c>
      <c r="E3782" s="112" t="s">
        <v>217</v>
      </c>
      <c r="F3782" s="112" t="s">
        <v>4160</v>
      </c>
      <c r="G3782" s="112" t="s">
        <v>1512</v>
      </c>
      <c r="H3782" s="112" t="s">
        <v>1505</v>
      </c>
      <c r="I3782" s="112"/>
      <c r="J3782" s="112" t="b">
        <v>0</v>
      </c>
      <c r="K3782" s="112"/>
      <c r="L3782" s="112"/>
      <c r="M3782" s="112"/>
      <c r="N3782" s="112"/>
      <c r="O3782" s="112"/>
      <c r="P3782" s="112" t="s">
        <v>1485</v>
      </c>
      <c r="Q3782" s="112" t="s">
        <v>1228</v>
      </c>
    </row>
    <row r="3783" spans="2:17" hidden="1" outlineLevel="2">
      <c r="B3783" s="2" t="s">
        <v>876</v>
      </c>
      <c r="D3783" s="268">
        <v>7177</v>
      </c>
      <c r="E3783" s="114" t="s">
        <v>217</v>
      </c>
      <c r="F3783" s="114" t="s">
        <v>4161</v>
      </c>
      <c r="G3783" s="114" t="s">
        <v>1512</v>
      </c>
      <c r="H3783" s="114" t="s">
        <v>1505</v>
      </c>
      <c r="I3783" s="114"/>
      <c r="J3783" s="114" t="b">
        <v>0</v>
      </c>
      <c r="K3783" s="114"/>
      <c r="L3783" s="114"/>
      <c r="M3783" s="114"/>
      <c r="N3783" s="114"/>
      <c r="O3783" s="114"/>
      <c r="P3783" s="114" t="s">
        <v>1485</v>
      </c>
      <c r="Q3783" s="114" t="s">
        <v>1228</v>
      </c>
    </row>
    <row r="3784" spans="2:17" hidden="1" outlineLevel="2">
      <c r="B3784" s="2" t="s">
        <v>876</v>
      </c>
      <c r="D3784" s="270">
        <v>7178</v>
      </c>
      <c r="E3784" s="112" t="s">
        <v>217</v>
      </c>
      <c r="F3784" s="112" t="s">
        <v>4162</v>
      </c>
      <c r="G3784" s="112" t="s">
        <v>1493</v>
      </c>
      <c r="H3784" s="112" t="s">
        <v>1505</v>
      </c>
      <c r="I3784" s="112"/>
      <c r="J3784" s="112" t="b">
        <v>0</v>
      </c>
      <c r="K3784" s="112"/>
      <c r="L3784" s="112"/>
      <c r="M3784" s="112"/>
      <c r="N3784" s="112"/>
      <c r="O3784" s="112"/>
      <c r="P3784" s="112" t="s">
        <v>1485</v>
      </c>
      <c r="Q3784" s="112" t="s">
        <v>1228</v>
      </c>
    </row>
    <row r="3785" spans="2:17" hidden="1" outlineLevel="2">
      <c r="B3785" s="2" t="s">
        <v>876</v>
      </c>
      <c r="D3785" s="268">
        <v>7179</v>
      </c>
      <c r="E3785" s="114" t="s">
        <v>217</v>
      </c>
      <c r="F3785" s="114" t="s">
        <v>4163</v>
      </c>
      <c r="G3785" s="114" t="s">
        <v>1512</v>
      </c>
      <c r="H3785" s="114" t="s">
        <v>1505</v>
      </c>
      <c r="I3785" s="114"/>
      <c r="J3785" s="114" t="b">
        <v>0</v>
      </c>
      <c r="K3785" s="114"/>
      <c r="L3785" s="114"/>
      <c r="M3785" s="114"/>
      <c r="N3785" s="114"/>
      <c r="O3785" s="114"/>
      <c r="P3785" s="114" t="s">
        <v>1485</v>
      </c>
      <c r="Q3785" s="114" t="s">
        <v>1228</v>
      </c>
    </row>
    <row r="3786" spans="2:17" hidden="1" outlineLevel="2">
      <c r="B3786" s="2" t="s">
        <v>876</v>
      </c>
      <c r="D3786" s="270">
        <v>7180</v>
      </c>
      <c r="E3786" s="112" t="s">
        <v>217</v>
      </c>
      <c r="F3786" s="112" t="s">
        <v>4164</v>
      </c>
      <c r="G3786" s="112" t="s">
        <v>1512</v>
      </c>
      <c r="H3786" s="112" t="s">
        <v>1505</v>
      </c>
      <c r="I3786" s="112"/>
      <c r="J3786" s="112" t="b">
        <v>0</v>
      </c>
      <c r="K3786" s="112"/>
      <c r="L3786" s="112"/>
      <c r="M3786" s="112"/>
      <c r="N3786" s="112"/>
      <c r="O3786" s="112"/>
      <c r="P3786" s="112" t="s">
        <v>1485</v>
      </c>
      <c r="Q3786" s="112" t="s">
        <v>1228</v>
      </c>
    </row>
    <row r="3787" spans="2:17" hidden="1" outlineLevel="2">
      <c r="B3787" s="2" t="s">
        <v>876</v>
      </c>
      <c r="D3787" s="268">
        <v>7182</v>
      </c>
      <c r="E3787" s="114" t="s">
        <v>217</v>
      </c>
      <c r="F3787" s="114" t="s">
        <v>4165</v>
      </c>
      <c r="G3787" s="114" t="s">
        <v>1512</v>
      </c>
      <c r="H3787" s="114" t="s">
        <v>1512</v>
      </c>
      <c r="I3787" s="114"/>
      <c r="J3787" s="114" t="b">
        <v>0</v>
      </c>
      <c r="K3787" s="114"/>
      <c r="L3787" s="114"/>
      <c r="M3787" s="114"/>
      <c r="N3787" s="114"/>
      <c r="O3787" s="114"/>
      <c r="P3787" s="114" t="s">
        <v>1485</v>
      </c>
      <c r="Q3787" s="114" t="s">
        <v>1228</v>
      </c>
    </row>
    <row r="3788" spans="2:17" hidden="1" outlineLevel="2">
      <c r="B3788" s="2" t="s">
        <v>876</v>
      </c>
      <c r="D3788" s="270">
        <v>7183</v>
      </c>
      <c r="E3788" s="112" t="s">
        <v>217</v>
      </c>
      <c r="F3788" s="112" t="s">
        <v>4166</v>
      </c>
      <c r="G3788" s="112" t="s">
        <v>1512</v>
      </c>
      <c r="H3788" s="112" t="s">
        <v>1505</v>
      </c>
      <c r="I3788" s="112"/>
      <c r="J3788" s="112" t="b">
        <v>0</v>
      </c>
      <c r="K3788" s="112"/>
      <c r="L3788" s="112"/>
      <c r="M3788" s="112"/>
      <c r="N3788" s="112"/>
      <c r="O3788" s="112"/>
      <c r="P3788" s="112" t="s">
        <v>1485</v>
      </c>
      <c r="Q3788" s="112" t="s">
        <v>1228</v>
      </c>
    </row>
    <row r="3789" spans="2:17" hidden="1" outlineLevel="2">
      <c r="B3789" s="2" t="s">
        <v>876</v>
      </c>
      <c r="D3789" s="268">
        <v>7184</v>
      </c>
      <c r="E3789" s="114" t="s">
        <v>217</v>
      </c>
      <c r="F3789" s="114" t="s">
        <v>4167</v>
      </c>
      <c r="G3789" s="114" t="s">
        <v>1512</v>
      </c>
      <c r="H3789" s="114" t="s">
        <v>1505</v>
      </c>
      <c r="I3789" s="114"/>
      <c r="J3789" s="114" t="b">
        <v>0</v>
      </c>
      <c r="K3789" s="114"/>
      <c r="L3789" s="114"/>
      <c r="M3789" s="114"/>
      <c r="N3789" s="114"/>
      <c r="O3789" s="114"/>
      <c r="P3789" s="114" t="s">
        <v>1485</v>
      </c>
      <c r="Q3789" s="114" t="s">
        <v>1228</v>
      </c>
    </row>
    <row r="3790" spans="2:17" hidden="1" outlineLevel="2">
      <c r="B3790" s="2" t="s">
        <v>876</v>
      </c>
      <c r="D3790" s="270">
        <v>7185</v>
      </c>
      <c r="E3790" s="112" t="s">
        <v>217</v>
      </c>
      <c r="F3790" s="112" t="s">
        <v>4168</v>
      </c>
      <c r="G3790" s="112" t="s">
        <v>1493</v>
      </c>
      <c r="H3790" s="112" t="s">
        <v>1505</v>
      </c>
      <c r="I3790" s="112"/>
      <c r="J3790" s="112" t="b">
        <v>0</v>
      </c>
      <c r="K3790" s="112"/>
      <c r="L3790" s="112"/>
      <c r="M3790" s="112"/>
      <c r="N3790" s="112"/>
      <c r="O3790" s="112"/>
      <c r="P3790" s="112" t="s">
        <v>1485</v>
      </c>
      <c r="Q3790" s="112" t="s">
        <v>1228</v>
      </c>
    </row>
    <row r="3791" spans="2:17" hidden="1" outlineLevel="2">
      <c r="B3791" s="2" t="s">
        <v>876</v>
      </c>
      <c r="D3791" s="268">
        <v>7186</v>
      </c>
      <c r="E3791" s="114" t="s">
        <v>217</v>
      </c>
      <c r="F3791" s="114" t="s">
        <v>4169</v>
      </c>
      <c r="G3791" s="114" t="s">
        <v>1512</v>
      </c>
      <c r="H3791" s="114" t="s">
        <v>1505</v>
      </c>
      <c r="I3791" s="114"/>
      <c r="J3791" s="114" t="b">
        <v>0</v>
      </c>
      <c r="K3791" s="114"/>
      <c r="L3791" s="114"/>
      <c r="M3791" s="114"/>
      <c r="N3791" s="114"/>
      <c r="O3791" s="114"/>
      <c r="P3791" s="114" t="s">
        <v>1485</v>
      </c>
      <c r="Q3791" s="114" t="s">
        <v>1228</v>
      </c>
    </row>
    <row r="3792" spans="2:17" hidden="1" outlineLevel="2">
      <c r="B3792" s="2" t="s">
        <v>876</v>
      </c>
      <c r="D3792" s="270">
        <v>7187</v>
      </c>
      <c r="E3792" s="112" t="s">
        <v>217</v>
      </c>
      <c r="F3792" s="112" t="s">
        <v>4170</v>
      </c>
      <c r="G3792" s="112" t="s">
        <v>1512</v>
      </c>
      <c r="H3792" s="112" t="s">
        <v>1505</v>
      </c>
      <c r="I3792" s="112"/>
      <c r="J3792" s="112" t="b">
        <v>0</v>
      </c>
      <c r="K3792" s="112"/>
      <c r="L3792" s="112"/>
      <c r="M3792" s="112"/>
      <c r="N3792" s="112"/>
      <c r="O3792" s="112"/>
      <c r="P3792" s="112" t="s">
        <v>1485</v>
      </c>
      <c r="Q3792" s="112" t="s">
        <v>1228</v>
      </c>
    </row>
    <row r="3793" spans="2:17" hidden="1" outlineLevel="2">
      <c r="B3793" s="2" t="s">
        <v>876</v>
      </c>
      <c r="D3793" s="268">
        <v>7190</v>
      </c>
      <c r="E3793" s="114" t="s">
        <v>217</v>
      </c>
      <c r="F3793" s="114" t="s">
        <v>4171</v>
      </c>
      <c r="G3793" s="114" t="s">
        <v>1493</v>
      </c>
      <c r="H3793" s="114" t="s">
        <v>1505</v>
      </c>
      <c r="I3793" s="114"/>
      <c r="J3793" s="114" t="b">
        <v>0</v>
      </c>
      <c r="K3793" s="114"/>
      <c r="L3793" s="114"/>
      <c r="M3793" s="114"/>
      <c r="N3793" s="114"/>
      <c r="O3793" s="114"/>
      <c r="P3793" s="114" t="s">
        <v>1485</v>
      </c>
      <c r="Q3793" s="114" t="s">
        <v>1228</v>
      </c>
    </row>
    <row r="3794" spans="2:17" hidden="1" outlineLevel="2">
      <c r="B3794" s="2" t="s">
        <v>876</v>
      </c>
      <c r="D3794" s="270">
        <v>7209</v>
      </c>
      <c r="E3794" s="112" t="s">
        <v>217</v>
      </c>
      <c r="F3794" s="112" t="s">
        <v>4172</v>
      </c>
      <c r="G3794" s="112" t="s">
        <v>1512</v>
      </c>
      <c r="H3794" s="112" t="s">
        <v>1512</v>
      </c>
      <c r="I3794" s="112"/>
      <c r="J3794" s="112" t="b">
        <v>0</v>
      </c>
      <c r="K3794" s="112"/>
      <c r="L3794" s="112"/>
      <c r="M3794" s="112"/>
      <c r="N3794" s="112"/>
      <c r="O3794" s="112"/>
      <c r="P3794" s="112" t="s">
        <v>1485</v>
      </c>
      <c r="Q3794" s="112" t="s">
        <v>1228</v>
      </c>
    </row>
    <row r="3795" spans="2:17" hidden="1" outlineLevel="2">
      <c r="B3795" s="2" t="s">
        <v>876</v>
      </c>
      <c r="D3795" s="268">
        <v>7210</v>
      </c>
      <c r="E3795" s="114" t="s">
        <v>217</v>
      </c>
      <c r="F3795" s="114" t="s">
        <v>4173</v>
      </c>
      <c r="G3795" s="114" t="s">
        <v>1512</v>
      </c>
      <c r="H3795" s="114" t="s">
        <v>1505</v>
      </c>
      <c r="I3795" s="114"/>
      <c r="J3795" s="114" t="b">
        <v>0</v>
      </c>
      <c r="K3795" s="114"/>
      <c r="L3795" s="114"/>
      <c r="M3795" s="114"/>
      <c r="N3795" s="114"/>
      <c r="O3795" s="114"/>
      <c r="P3795" s="114" t="s">
        <v>1485</v>
      </c>
      <c r="Q3795" s="114" t="s">
        <v>1228</v>
      </c>
    </row>
    <row r="3796" spans="2:17" hidden="1" outlineLevel="2">
      <c r="B3796" s="2" t="s">
        <v>876</v>
      </c>
      <c r="D3796" s="270">
        <v>7211</v>
      </c>
      <c r="E3796" s="112" t="s">
        <v>217</v>
      </c>
      <c r="F3796" s="112" t="s">
        <v>2967</v>
      </c>
      <c r="G3796" s="112" t="s">
        <v>1512</v>
      </c>
      <c r="H3796" s="112" t="s">
        <v>1505</v>
      </c>
      <c r="I3796" s="112"/>
      <c r="J3796" s="112" t="b">
        <v>0</v>
      </c>
      <c r="K3796" s="112"/>
      <c r="L3796" s="112"/>
      <c r="M3796" s="112"/>
      <c r="N3796" s="112"/>
      <c r="O3796" s="112"/>
      <c r="P3796" s="112" t="s">
        <v>1485</v>
      </c>
      <c r="Q3796" s="112" t="s">
        <v>1228</v>
      </c>
    </row>
    <row r="3797" spans="2:17" hidden="1" outlineLevel="2">
      <c r="B3797" s="2" t="s">
        <v>876</v>
      </c>
      <c r="D3797" s="268">
        <v>7212</v>
      </c>
      <c r="E3797" s="114" t="s">
        <v>217</v>
      </c>
      <c r="F3797" s="114" t="s">
        <v>4174</v>
      </c>
      <c r="G3797" s="114" t="s">
        <v>1493</v>
      </c>
      <c r="H3797" s="114" t="s">
        <v>1505</v>
      </c>
      <c r="I3797" s="114"/>
      <c r="J3797" s="114" t="b">
        <v>0</v>
      </c>
      <c r="K3797" s="114"/>
      <c r="L3797" s="114"/>
      <c r="M3797" s="114"/>
      <c r="N3797" s="114"/>
      <c r="O3797" s="114"/>
      <c r="P3797" s="114" t="s">
        <v>1485</v>
      </c>
      <c r="Q3797" s="114" t="s">
        <v>1228</v>
      </c>
    </row>
    <row r="3798" spans="2:17" hidden="1" outlineLevel="2">
      <c r="B3798" s="2" t="s">
        <v>876</v>
      </c>
      <c r="D3798" s="270">
        <v>7213</v>
      </c>
      <c r="E3798" s="112" t="s">
        <v>217</v>
      </c>
      <c r="F3798" s="112" t="s">
        <v>1972</v>
      </c>
      <c r="G3798" s="112" t="s">
        <v>1512</v>
      </c>
      <c r="H3798" s="112" t="s">
        <v>1505</v>
      </c>
      <c r="I3798" s="112"/>
      <c r="J3798" s="112" t="b">
        <v>0</v>
      </c>
      <c r="K3798" s="112"/>
      <c r="L3798" s="112"/>
      <c r="M3798" s="112"/>
      <c r="N3798" s="112"/>
      <c r="O3798" s="112"/>
      <c r="P3798" s="112" t="s">
        <v>1485</v>
      </c>
      <c r="Q3798" s="112" t="s">
        <v>1228</v>
      </c>
    </row>
    <row r="3799" spans="2:17" hidden="1" outlineLevel="2">
      <c r="B3799" s="2" t="s">
        <v>876</v>
      </c>
      <c r="D3799" s="268">
        <v>7214</v>
      </c>
      <c r="E3799" s="114" t="s">
        <v>217</v>
      </c>
      <c r="F3799" s="114" t="s">
        <v>4175</v>
      </c>
      <c r="G3799" s="114" t="s">
        <v>1512</v>
      </c>
      <c r="H3799" s="114" t="s">
        <v>1512</v>
      </c>
      <c r="I3799" s="114"/>
      <c r="J3799" s="114" t="b">
        <v>0</v>
      </c>
      <c r="K3799" s="114"/>
      <c r="L3799" s="114"/>
      <c r="M3799" s="114"/>
      <c r="N3799" s="114"/>
      <c r="O3799" s="114"/>
      <c r="P3799" s="114" t="s">
        <v>1485</v>
      </c>
      <c r="Q3799" s="114" t="s">
        <v>1228</v>
      </c>
    </row>
    <row r="3800" spans="2:17" hidden="1" outlineLevel="2">
      <c r="B3800" s="2" t="s">
        <v>876</v>
      </c>
      <c r="D3800" s="270">
        <v>7215</v>
      </c>
      <c r="E3800" s="112" t="s">
        <v>217</v>
      </c>
      <c r="F3800" s="112" t="s">
        <v>2359</v>
      </c>
      <c r="G3800" s="112" t="s">
        <v>1512</v>
      </c>
      <c r="H3800" s="112" t="s">
        <v>1505</v>
      </c>
      <c r="I3800" s="112"/>
      <c r="J3800" s="112" t="b">
        <v>0</v>
      </c>
      <c r="K3800" s="112"/>
      <c r="L3800" s="112"/>
      <c r="M3800" s="112"/>
      <c r="N3800" s="112"/>
      <c r="O3800" s="112"/>
      <c r="P3800" s="112" t="s">
        <v>1485</v>
      </c>
      <c r="Q3800" s="112" t="s">
        <v>1228</v>
      </c>
    </row>
    <row r="3801" spans="2:17" hidden="1" outlineLevel="2">
      <c r="B3801" s="2" t="s">
        <v>876</v>
      </c>
      <c r="D3801" s="268">
        <v>7216</v>
      </c>
      <c r="E3801" s="114" t="s">
        <v>217</v>
      </c>
      <c r="F3801" s="114" t="s">
        <v>4176</v>
      </c>
      <c r="G3801" s="114" t="s">
        <v>1493</v>
      </c>
      <c r="H3801" s="114" t="s">
        <v>1494</v>
      </c>
      <c r="I3801" s="114"/>
      <c r="J3801" s="114" t="b">
        <v>0</v>
      </c>
      <c r="K3801" s="114"/>
      <c r="L3801" s="114"/>
      <c r="M3801" s="114"/>
      <c r="N3801" s="114"/>
      <c r="O3801" s="114"/>
      <c r="P3801" s="114" t="s">
        <v>1485</v>
      </c>
      <c r="Q3801" s="114" t="s">
        <v>1228</v>
      </c>
    </row>
    <row r="3802" spans="2:17" hidden="1" outlineLevel="2">
      <c r="B3802" s="2" t="s">
        <v>876</v>
      </c>
      <c r="D3802" s="270">
        <v>7248</v>
      </c>
      <c r="E3802" s="112" t="s">
        <v>217</v>
      </c>
      <c r="F3802" s="112" t="s">
        <v>4177</v>
      </c>
      <c r="G3802" s="112" t="s">
        <v>1572</v>
      </c>
      <c r="H3802" s="112" t="s">
        <v>1227</v>
      </c>
      <c r="I3802" s="112"/>
      <c r="J3802" s="112" t="b">
        <v>0</v>
      </c>
      <c r="K3802" s="112"/>
      <c r="L3802" s="112"/>
      <c r="M3802" s="112"/>
      <c r="N3802" s="112"/>
      <c r="O3802" s="112"/>
      <c r="P3802" s="112" t="s">
        <v>1485</v>
      </c>
      <c r="Q3802" s="112" t="s">
        <v>1227</v>
      </c>
    </row>
    <row r="3803" spans="2:17" hidden="1" outlineLevel="2">
      <c r="B3803" s="2" t="s">
        <v>876</v>
      </c>
      <c r="D3803" s="268">
        <v>7249</v>
      </c>
      <c r="E3803" s="114" t="s">
        <v>217</v>
      </c>
      <c r="F3803" s="114" t="s">
        <v>4178</v>
      </c>
      <c r="G3803" s="114" t="s">
        <v>1572</v>
      </c>
      <c r="H3803" s="114" t="s">
        <v>1227</v>
      </c>
      <c r="I3803" s="114"/>
      <c r="J3803" s="114" t="b">
        <v>0</v>
      </c>
      <c r="K3803" s="114"/>
      <c r="L3803" s="114"/>
      <c r="M3803" s="114"/>
      <c r="N3803" s="114"/>
      <c r="O3803" s="114"/>
      <c r="P3803" s="114" t="s">
        <v>1485</v>
      </c>
      <c r="Q3803" s="114" t="s">
        <v>1227</v>
      </c>
    </row>
    <row r="3804" spans="2:17" hidden="1" outlineLevel="2">
      <c r="B3804" s="2" t="s">
        <v>876</v>
      </c>
      <c r="D3804" s="270">
        <v>7250</v>
      </c>
      <c r="E3804" s="112" t="s">
        <v>217</v>
      </c>
      <c r="F3804" s="112" t="s">
        <v>4179</v>
      </c>
      <c r="G3804" s="112" t="s">
        <v>1572</v>
      </c>
      <c r="H3804" s="112" t="s">
        <v>1227</v>
      </c>
      <c r="I3804" s="112"/>
      <c r="J3804" s="112" t="b">
        <v>0</v>
      </c>
      <c r="K3804" s="112"/>
      <c r="L3804" s="112"/>
      <c r="M3804" s="112"/>
      <c r="N3804" s="112"/>
      <c r="O3804" s="112"/>
      <c r="P3804" s="112" t="s">
        <v>1485</v>
      </c>
      <c r="Q3804" s="112" t="s">
        <v>1227</v>
      </c>
    </row>
    <row r="3805" spans="2:17" hidden="1" outlineLevel="2">
      <c r="B3805" s="2" t="s">
        <v>876</v>
      </c>
      <c r="D3805" s="268">
        <v>7252</v>
      </c>
      <c r="E3805" s="114" t="s">
        <v>217</v>
      </c>
      <c r="F3805" s="114" t="s">
        <v>4180</v>
      </c>
      <c r="G3805" s="269" t="s">
        <v>1493</v>
      </c>
      <c r="H3805" s="114" t="s">
        <v>1505</v>
      </c>
      <c r="I3805" s="114"/>
      <c r="J3805" s="114" t="b">
        <v>0</v>
      </c>
      <c r="K3805" s="114"/>
      <c r="L3805" s="114"/>
      <c r="M3805" s="114"/>
      <c r="N3805" s="114"/>
      <c r="O3805" s="114"/>
      <c r="P3805" s="114" t="s">
        <v>1485</v>
      </c>
      <c r="Q3805" s="114" t="s">
        <v>1228</v>
      </c>
    </row>
    <row r="3806" spans="2:17" hidden="1" outlineLevel="2">
      <c r="B3806" s="2" t="s">
        <v>876</v>
      </c>
      <c r="D3806" s="270">
        <v>7253</v>
      </c>
      <c r="E3806" s="112" t="s">
        <v>217</v>
      </c>
      <c r="F3806" s="112" t="s">
        <v>4181</v>
      </c>
      <c r="G3806" s="112" t="s">
        <v>1512</v>
      </c>
      <c r="H3806" s="112" t="s">
        <v>1512</v>
      </c>
      <c r="I3806" s="112"/>
      <c r="J3806" s="112" t="b">
        <v>0</v>
      </c>
      <c r="K3806" s="112"/>
      <c r="L3806" s="112"/>
      <c r="M3806" s="112"/>
      <c r="N3806" s="112"/>
      <c r="O3806" s="112"/>
      <c r="P3806" s="112" t="s">
        <v>1485</v>
      </c>
      <c r="Q3806" s="112" t="s">
        <v>1228</v>
      </c>
    </row>
    <row r="3807" spans="2:17" hidden="1" outlineLevel="2">
      <c r="B3807" s="2" t="s">
        <v>876</v>
      </c>
      <c r="D3807" s="268">
        <v>7254</v>
      </c>
      <c r="E3807" s="114" t="s">
        <v>217</v>
      </c>
      <c r="F3807" s="114" t="s">
        <v>4182</v>
      </c>
      <c r="G3807" s="114" t="s">
        <v>1512</v>
      </c>
      <c r="H3807" s="114" t="s">
        <v>1505</v>
      </c>
      <c r="I3807" s="114"/>
      <c r="J3807" s="114" t="b">
        <v>0</v>
      </c>
      <c r="K3807" s="114"/>
      <c r="L3807" s="114"/>
      <c r="M3807" s="114"/>
      <c r="N3807" s="114"/>
      <c r="O3807" s="114"/>
      <c r="P3807" s="114" t="s">
        <v>1485</v>
      </c>
      <c r="Q3807" s="114" t="s">
        <v>1228</v>
      </c>
    </row>
    <row r="3808" spans="2:17" hidden="1" outlineLevel="2">
      <c r="B3808" s="2" t="s">
        <v>876</v>
      </c>
      <c r="D3808" s="270">
        <v>7255</v>
      </c>
      <c r="E3808" s="112" t="s">
        <v>217</v>
      </c>
      <c r="F3808" s="112" t="s">
        <v>4183</v>
      </c>
      <c r="G3808" s="112" t="s">
        <v>1512</v>
      </c>
      <c r="H3808" s="112" t="s">
        <v>1505</v>
      </c>
      <c r="I3808" s="112"/>
      <c r="J3808" s="112" t="b">
        <v>0</v>
      </c>
      <c r="K3808" s="112"/>
      <c r="L3808" s="112"/>
      <c r="M3808" s="112"/>
      <c r="N3808" s="112"/>
      <c r="O3808" s="112"/>
      <c r="P3808" s="112" t="s">
        <v>1485</v>
      </c>
      <c r="Q3808" s="112" t="s">
        <v>1228</v>
      </c>
    </row>
    <row r="3809" spans="2:17" hidden="1" outlineLevel="2">
      <c r="B3809" s="2" t="s">
        <v>876</v>
      </c>
      <c r="D3809" s="268">
        <v>7256</v>
      </c>
      <c r="E3809" s="114" t="s">
        <v>217</v>
      </c>
      <c r="F3809" s="114" t="s">
        <v>4184</v>
      </c>
      <c r="G3809" s="114" t="s">
        <v>1533</v>
      </c>
      <c r="H3809" s="114" t="s">
        <v>1533</v>
      </c>
      <c r="I3809" s="114"/>
      <c r="J3809" s="114" t="b">
        <v>0</v>
      </c>
      <c r="K3809" s="114"/>
      <c r="L3809" s="114"/>
      <c r="M3809" s="114"/>
      <c r="N3809" s="114"/>
      <c r="O3809" s="114"/>
      <c r="P3809" s="114" t="s">
        <v>1485</v>
      </c>
      <c r="Q3809" s="114" t="s">
        <v>1228</v>
      </c>
    </row>
    <row r="3810" spans="2:17" hidden="1" outlineLevel="2">
      <c r="B3810" s="2" t="s">
        <v>876</v>
      </c>
      <c r="D3810" s="270">
        <v>7257</v>
      </c>
      <c r="E3810" s="112" t="s">
        <v>217</v>
      </c>
      <c r="F3810" s="112" t="s">
        <v>4185</v>
      </c>
      <c r="G3810" s="112" t="s">
        <v>1533</v>
      </c>
      <c r="H3810" s="112" t="s">
        <v>1533</v>
      </c>
      <c r="I3810" s="112"/>
      <c r="J3810" s="112" t="b">
        <v>0</v>
      </c>
      <c r="K3810" s="112"/>
      <c r="L3810" s="112"/>
      <c r="M3810" s="112"/>
      <c r="N3810" s="112"/>
      <c r="O3810" s="112"/>
      <c r="P3810" s="112" t="s">
        <v>1485</v>
      </c>
      <c r="Q3810" s="112" t="s">
        <v>1228</v>
      </c>
    </row>
    <row r="3811" spans="2:17" hidden="1" outlineLevel="2">
      <c r="B3811" s="2" t="s">
        <v>876</v>
      </c>
      <c r="D3811" s="268">
        <v>7258</v>
      </c>
      <c r="E3811" s="114" t="s">
        <v>217</v>
      </c>
      <c r="F3811" s="114" t="s">
        <v>4186</v>
      </c>
      <c r="G3811" s="114" t="s">
        <v>1483</v>
      </c>
      <c r="H3811" s="114" t="s">
        <v>1494</v>
      </c>
      <c r="I3811" s="114"/>
      <c r="J3811" s="114" t="b">
        <v>0</v>
      </c>
      <c r="K3811" s="114"/>
      <c r="L3811" s="114"/>
      <c r="M3811" s="114"/>
      <c r="N3811" s="114"/>
      <c r="O3811" s="114"/>
      <c r="P3811" s="114" t="s">
        <v>1485</v>
      </c>
      <c r="Q3811" s="114" t="s">
        <v>1228</v>
      </c>
    </row>
    <row r="3812" spans="2:17" hidden="1" outlineLevel="2">
      <c r="B3812" s="2" t="s">
        <v>876</v>
      </c>
      <c r="D3812" s="270">
        <v>7259</v>
      </c>
      <c r="E3812" s="112" t="s">
        <v>217</v>
      </c>
      <c r="F3812" s="112" t="s">
        <v>4187</v>
      </c>
      <c r="G3812" s="112" t="s">
        <v>1512</v>
      </c>
      <c r="H3812" s="112" t="s">
        <v>1505</v>
      </c>
      <c r="I3812" s="112"/>
      <c r="J3812" s="112" t="b">
        <v>0</v>
      </c>
      <c r="K3812" s="112"/>
      <c r="L3812" s="112"/>
      <c r="M3812" s="112"/>
      <c r="N3812" s="112"/>
      <c r="O3812" s="112"/>
      <c r="P3812" s="112" t="s">
        <v>1485</v>
      </c>
      <c r="Q3812" s="112" t="s">
        <v>1228</v>
      </c>
    </row>
    <row r="3813" spans="2:17" hidden="1" outlineLevel="2">
      <c r="B3813" s="2" t="s">
        <v>876</v>
      </c>
      <c r="D3813" s="268">
        <v>7260</v>
      </c>
      <c r="E3813" s="114" t="s">
        <v>217</v>
      </c>
      <c r="F3813" s="114" t="s">
        <v>4188</v>
      </c>
      <c r="G3813" s="114" t="s">
        <v>1512</v>
      </c>
      <c r="H3813" s="114" t="s">
        <v>1512</v>
      </c>
      <c r="I3813" s="114"/>
      <c r="J3813" s="114" t="b">
        <v>0</v>
      </c>
      <c r="K3813" s="114"/>
      <c r="L3813" s="114"/>
      <c r="M3813" s="114"/>
      <c r="N3813" s="114"/>
      <c r="O3813" s="114"/>
      <c r="P3813" s="114" t="s">
        <v>1485</v>
      </c>
      <c r="Q3813" s="114" t="s">
        <v>1228</v>
      </c>
    </row>
    <row r="3814" spans="2:17" hidden="1" outlineLevel="2">
      <c r="B3814" s="2" t="s">
        <v>876</v>
      </c>
      <c r="D3814" s="270">
        <v>7261</v>
      </c>
      <c r="E3814" s="112" t="s">
        <v>217</v>
      </c>
      <c r="F3814" s="112" t="s">
        <v>4189</v>
      </c>
      <c r="G3814" s="112" t="s">
        <v>1512</v>
      </c>
      <c r="H3814" s="112" t="s">
        <v>1505</v>
      </c>
      <c r="I3814" s="112"/>
      <c r="J3814" s="112" t="b">
        <v>0</v>
      </c>
      <c r="K3814" s="112"/>
      <c r="L3814" s="112"/>
      <c r="M3814" s="112"/>
      <c r="N3814" s="112"/>
      <c r="O3814" s="112"/>
      <c r="P3814" s="112" t="s">
        <v>1485</v>
      </c>
      <c r="Q3814" s="112" t="s">
        <v>1228</v>
      </c>
    </row>
    <row r="3815" spans="2:17" hidden="1" outlineLevel="2">
      <c r="B3815" s="2" t="s">
        <v>876</v>
      </c>
      <c r="D3815" s="268">
        <v>7262</v>
      </c>
      <c r="E3815" s="114" t="s">
        <v>217</v>
      </c>
      <c r="F3815" s="114" t="s">
        <v>4190</v>
      </c>
      <c r="G3815" s="221" t="s">
        <v>1512</v>
      </c>
      <c r="H3815" s="114" t="s">
        <v>1505</v>
      </c>
      <c r="I3815" s="114"/>
      <c r="J3815" s="114" t="b">
        <v>0</v>
      </c>
      <c r="K3815" s="114"/>
      <c r="L3815" s="114"/>
      <c r="M3815" s="114"/>
      <c r="N3815" s="114"/>
      <c r="O3815" s="114"/>
      <c r="P3815" s="114" t="s">
        <v>1485</v>
      </c>
      <c r="Q3815" s="114" t="s">
        <v>1228</v>
      </c>
    </row>
    <row r="3816" spans="2:17" hidden="1" outlineLevel="2">
      <c r="B3816" s="2" t="s">
        <v>876</v>
      </c>
      <c r="D3816" s="270">
        <v>7263</v>
      </c>
      <c r="E3816" s="112" t="s">
        <v>217</v>
      </c>
      <c r="F3816" s="112" t="s">
        <v>2864</v>
      </c>
      <c r="G3816" s="112" t="s">
        <v>1512</v>
      </c>
      <c r="H3816" s="112" t="s">
        <v>1512</v>
      </c>
      <c r="I3816" s="112"/>
      <c r="J3816" s="112" t="b">
        <v>0</v>
      </c>
      <c r="K3816" s="112"/>
      <c r="L3816" s="112"/>
      <c r="M3816" s="112"/>
      <c r="N3816" s="112"/>
      <c r="O3816" s="112"/>
      <c r="P3816" s="112" t="s">
        <v>1485</v>
      </c>
      <c r="Q3816" s="112" t="s">
        <v>1228</v>
      </c>
    </row>
    <row r="3817" spans="2:17" hidden="1" outlineLevel="2">
      <c r="B3817" s="2" t="s">
        <v>876</v>
      </c>
      <c r="D3817" s="268">
        <v>7264</v>
      </c>
      <c r="E3817" s="114" t="s">
        <v>217</v>
      </c>
      <c r="F3817" s="114" t="s">
        <v>4191</v>
      </c>
      <c r="G3817" s="221" t="s">
        <v>1512</v>
      </c>
      <c r="H3817" s="114" t="s">
        <v>1505</v>
      </c>
      <c r="I3817" s="114"/>
      <c r="J3817" s="114" t="b">
        <v>0</v>
      </c>
      <c r="K3817" s="114"/>
      <c r="L3817" s="114"/>
      <c r="M3817" s="114"/>
      <c r="N3817" s="114"/>
      <c r="O3817" s="114"/>
      <c r="P3817" s="114" t="s">
        <v>1485</v>
      </c>
      <c r="Q3817" s="114" t="s">
        <v>1228</v>
      </c>
    </row>
    <row r="3818" spans="2:17" hidden="1" outlineLevel="2">
      <c r="B3818" s="2" t="s">
        <v>876</v>
      </c>
      <c r="D3818" s="270">
        <v>7265</v>
      </c>
      <c r="E3818" s="112" t="s">
        <v>217</v>
      </c>
      <c r="F3818" s="112" t="s">
        <v>4192</v>
      </c>
      <c r="G3818" s="112" t="s">
        <v>1512</v>
      </c>
      <c r="H3818" s="112" t="s">
        <v>1512</v>
      </c>
      <c r="I3818" s="112"/>
      <c r="J3818" s="112" t="b">
        <v>0</v>
      </c>
      <c r="K3818" s="112"/>
      <c r="L3818" s="112"/>
      <c r="M3818" s="112"/>
      <c r="N3818" s="112"/>
      <c r="O3818" s="112"/>
      <c r="P3818" s="112" t="s">
        <v>1485</v>
      </c>
      <c r="Q3818" s="112" t="s">
        <v>1228</v>
      </c>
    </row>
    <row r="3819" spans="2:17" hidden="1" outlineLevel="2">
      <c r="B3819" s="2" t="s">
        <v>876</v>
      </c>
      <c r="D3819" s="268">
        <v>7267</v>
      </c>
      <c r="E3819" s="114" t="s">
        <v>217</v>
      </c>
      <c r="F3819" s="114" t="s">
        <v>3671</v>
      </c>
      <c r="G3819" s="114" t="s">
        <v>1512</v>
      </c>
      <c r="H3819" s="114" t="s">
        <v>1505</v>
      </c>
      <c r="I3819" s="114"/>
      <c r="J3819" s="114" t="b">
        <v>0</v>
      </c>
      <c r="K3819" s="114"/>
      <c r="L3819" s="114"/>
      <c r="M3819" s="114"/>
      <c r="N3819" s="114"/>
      <c r="O3819" s="114"/>
      <c r="P3819" s="114" t="s">
        <v>1485</v>
      </c>
      <c r="Q3819" s="114" t="s">
        <v>1228</v>
      </c>
    </row>
    <row r="3820" spans="2:17" hidden="1" outlineLevel="2">
      <c r="B3820" s="2" t="s">
        <v>876</v>
      </c>
      <c r="D3820" s="270">
        <v>7268</v>
      </c>
      <c r="E3820" s="112" t="s">
        <v>217</v>
      </c>
      <c r="F3820" s="112" t="s">
        <v>2309</v>
      </c>
      <c r="G3820" s="112" t="s">
        <v>1512</v>
      </c>
      <c r="H3820" s="112" t="s">
        <v>1505</v>
      </c>
      <c r="I3820" s="112"/>
      <c r="J3820" s="112" t="b">
        <v>0</v>
      </c>
      <c r="K3820" s="112"/>
      <c r="L3820" s="112"/>
      <c r="M3820" s="112"/>
      <c r="N3820" s="112"/>
      <c r="O3820" s="112"/>
      <c r="P3820" s="112" t="s">
        <v>1485</v>
      </c>
      <c r="Q3820" s="112" t="s">
        <v>1228</v>
      </c>
    </row>
    <row r="3821" spans="2:17" hidden="1" outlineLevel="2">
      <c r="B3821" s="2" t="s">
        <v>876</v>
      </c>
      <c r="D3821" s="268">
        <v>7270</v>
      </c>
      <c r="E3821" s="114" t="s">
        <v>217</v>
      </c>
      <c r="F3821" s="114" t="s">
        <v>4193</v>
      </c>
      <c r="G3821" s="114" t="s">
        <v>1512</v>
      </c>
      <c r="H3821" s="114" t="s">
        <v>1512</v>
      </c>
      <c r="I3821" s="114"/>
      <c r="J3821" s="114" t="b">
        <v>0</v>
      </c>
      <c r="K3821" s="114" t="s">
        <v>1484</v>
      </c>
      <c r="L3821" s="114"/>
      <c r="M3821" s="114"/>
      <c r="N3821" s="114"/>
      <c r="O3821" s="114"/>
      <c r="P3821" s="114" t="s">
        <v>1485</v>
      </c>
      <c r="Q3821" s="114" t="s">
        <v>1228</v>
      </c>
    </row>
    <row r="3822" spans="2:17" hidden="1" outlineLevel="2">
      <c r="B3822" s="2" t="s">
        <v>876</v>
      </c>
      <c r="D3822" s="270">
        <v>7275</v>
      </c>
      <c r="E3822" s="112" t="s">
        <v>217</v>
      </c>
      <c r="F3822" s="112" t="s">
        <v>1754</v>
      </c>
      <c r="G3822" s="112" t="s">
        <v>1493</v>
      </c>
      <c r="H3822" s="112" t="s">
        <v>1505</v>
      </c>
      <c r="I3822" s="112"/>
      <c r="J3822" s="112" t="b">
        <v>0</v>
      </c>
      <c r="K3822" s="112"/>
      <c r="L3822" s="112"/>
      <c r="M3822" s="112"/>
      <c r="N3822" s="112"/>
      <c r="O3822" s="112"/>
      <c r="P3822" s="112" t="s">
        <v>1485</v>
      </c>
      <c r="Q3822" s="112" t="s">
        <v>1228</v>
      </c>
    </row>
    <row r="3823" spans="2:17" hidden="1" outlineLevel="2">
      <c r="B3823" s="2" t="s">
        <v>876</v>
      </c>
      <c r="D3823" s="268">
        <v>7276</v>
      </c>
      <c r="E3823" s="114" t="s">
        <v>217</v>
      </c>
      <c r="F3823" s="114" t="s">
        <v>4194</v>
      </c>
      <c r="G3823" s="114" t="s">
        <v>1512</v>
      </c>
      <c r="H3823" s="114" t="s">
        <v>1512</v>
      </c>
      <c r="I3823" s="114"/>
      <c r="J3823" s="114" t="b">
        <v>0</v>
      </c>
      <c r="K3823" s="114"/>
      <c r="L3823" s="114"/>
      <c r="M3823" s="114"/>
      <c r="N3823" s="114"/>
      <c r="O3823" s="114"/>
      <c r="P3823" s="114" t="s">
        <v>1485</v>
      </c>
      <c r="Q3823" s="114" t="s">
        <v>1228</v>
      </c>
    </row>
    <row r="3824" spans="2:17" hidden="1" outlineLevel="2">
      <c r="B3824" s="2" t="s">
        <v>876</v>
      </c>
      <c r="D3824" s="270">
        <v>7277</v>
      </c>
      <c r="E3824" s="112" t="s">
        <v>217</v>
      </c>
      <c r="F3824" s="112" t="s">
        <v>4195</v>
      </c>
      <c r="G3824" s="112" t="s">
        <v>1572</v>
      </c>
      <c r="H3824" s="112" t="s">
        <v>1227</v>
      </c>
      <c r="I3824" s="112"/>
      <c r="J3824" s="112" t="b">
        <v>0</v>
      </c>
      <c r="K3824" s="112"/>
      <c r="L3824" s="112"/>
      <c r="M3824" s="112"/>
      <c r="N3824" s="112"/>
      <c r="O3824" s="112"/>
      <c r="P3824" s="112" t="s">
        <v>1485</v>
      </c>
      <c r="Q3824" s="112" t="s">
        <v>1227</v>
      </c>
    </row>
    <row r="3825" spans="2:17" hidden="1" outlineLevel="2">
      <c r="B3825" s="2" t="s">
        <v>876</v>
      </c>
      <c r="D3825" s="268">
        <v>7290</v>
      </c>
      <c r="E3825" s="114" t="s">
        <v>217</v>
      </c>
      <c r="F3825" s="114" t="s">
        <v>4196</v>
      </c>
      <c r="G3825" s="114" t="s">
        <v>1572</v>
      </c>
      <c r="H3825" s="114" t="s">
        <v>1227</v>
      </c>
      <c r="I3825" s="114"/>
      <c r="J3825" s="114" t="b">
        <v>0</v>
      </c>
      <c r="K3825" s="114"/>
      <c r="L3825" s="114"/>
      <c r="M3825" s="114"/>
      <c r="N3825" s="114"/>
      <c r="O3825" s="114"/>
      <c r="P3825" s="114" t="s">
        <v>1485</v>
      </c>
      <c r="Q3825" s="114" t="s">
        <v>1227</v>
      </c>
    </row>
    <row r="3826" spans="2:17" hidden="1" outlineLevel="2">
      <c r="B3826" s="2" t="s">
        <v>876</v>
      </c>
      <c r="D3826" s="270">
        <v>7291</v>
      </c>
      <c r="E3826" s="112" t="s">
        <v>217</v>
      </c>
      <c r="F3826" s="112" t="s">
        <v>4197</v>
      </c>
      <c r="G3826" s="112" t="s">
        <v>1512</v>
      </c>
      <c r="H3826" s="112" t="s">
        <v>1505</v>
      </c>
      <c r="I3826" s="112"/>
      <c r="J3826" s="112" t="b">
        <v>0</v>
      </c>
      <c r="K3826" s="112"/>
      <c r="L3826" s="112"/>
      <c r="M3826" s="112"/>
      <c r="N3826" s="112"/>
      <c r="O3826" s="112"/>
      <c r="P3826" s="112" t="s">
        <v>1485</v>
      </c>
      <c r="Q3826" s="112" t="s">
        <v>1228</v>
      </c>
    </row>
    <row r="3827" spans="2:17" hidden="1" outlineLevel="2">
      <c r="B3827" s="2" t="s">
        <v>876</v>
      </c>
      <c r="D3827" s="268">
        <v>7292</v>
      </c>
      <c r="E3827" s="114" t="s">
        <v>217</v>
      </c>
      <c r="F3827" s="114" t="s">
        <v>4198</v>
      </c>
      <c r="G3827" s="114" t="s">
        <v>1512</v>
      </c>
      <c r="H3827" s="114" t="s">
        <v>1512</v>
      </c>
      <c r="I3827" s="114"/>
      <c r="J3827" s="114" t="b">
        <v>0</v>
      </c>
      <c r="K3827" s="114"/>
      <c r="L3827" s="114"/>
      <c r="M3827" s="114"/>
      <c r="N3827" s="114"/>
      <c r="O3827" s="114"/>
      <c r="P3827" s="114" t="s">
        <v>1485</v>
      </c>
      <c r="Q3827" s="114" t="s">
        <v>1228</v>
      </c>
    </row>
    <row r="3828" spans="2:17" hidden="1" outlineLevel="2">
      <c r="B3828" s="2" t="s">
        <v>876</v>
      </c>
      <c r="D3828" s="270">
        <v>7300</v>
      </c>
      <c r="E3828" s="112" t="s">
        <v>217</v>
      </c>
      <c r="F3828" s="112" t="s">
        <v>4199</v>
      </c>
      <c r="G3828" s="112" t="s">
        <v>1493</v>
      </c>
      <c r="H3828" s="112" t="s">
        <v>1505</v>
      </c>
      <c r="I3828" s="112"/>
      <c r="J3828" s="112" t="b">
        <v>0</v>
      </c>
      <c r="K3828" s="112"/>
      <c r="L3828" s="112"/>
      <c r="M3828" s="112"/>
      <c r="N3828" s="112"/>
      <c r="O3828" s="112"/>
      <c r="P3828" s="112" t="s">
        <v>1485</v>
      </c>
      <c r="Q3828" s="112" t="s">
        <v>1228</v>
      </c>
    </row>
    <row r="3829" spans="2:17" hidden="1" outlineLevel="2">
      <c r="B3829" s="2" t="s">
        <v>876</v>
      </c>
      <c r="D3829" s="268">
        <v>7301</v>
      </c>
      <c r="E3829" s="114" t="s">
        <v>217</v>
      </c>
      <c r="F3829" s="114" t="s">
        <v>4200</v>
      </c>
      <c r="G3829" s="269" t="s">
        <v>1493</v>
      </c>
      <c r="H3829" s="114" t="s">
        <v>1505</v>
      </c>
      <c r="I3829" s="114"/>
      <c r="J3829" s="114" t="b">
        <v>0</v>
      </c>
      <c r="K3829" s="114"/>
      <c r="L3829" s="114"/>
      <c r="M3829" s="114"/>
      <c r="N3829" s="114"/>
      <c r="O3829" s="114"/>
      <c r="P3829" s="114" t="s">
        <v>1485</v>
      </c>
      <c r="Q3829" s="114" t="s">
        <v>1228</v>
      </c>
    </row>
    <row r="3830" spans="2:17" hidden="1" outlineLevel="2">
      <c r="B3830" s="2" t="s">
        <v>876</v>
      </c>
      <c r="D3830" s="270">
        <v>7302</v>
      </c>
      <c r="E3830" s="112" t="s">
        <v>217</v>
      </c>
      <c r="F3830" s="112" t="s">
        <v>4201</v>
      </c>
      <c r="G3830" s="112" t="s">
        <v>1512</v>
      </c>
      <c r="H3830" s="112" t="s">
        <v>1505</v>
      </c>
      <c r="I3830" s="112"/>
      <c r="J3830" s="112" t="b">
        <v>0</v>
      </c>
      <c r="K3830" s="112"/>
      <c r="L3830" s="112"/>
      <c r="M3830" s="112"/>
      <c r="N3830" s="112"/>
      <c r="O3830" s="112"/>
      <c r="P3830" s="112" t="s">
        <v>1485</v>
      </c>
      <c r="Q3830" s="112" t="s">
        <v>1228</v>
      </c>
    </row>
    <row r="3831" spans="2:17" hidden="1" outlineLevel="2">
      <c r="B3831" s="2" t="s">
        <v>876</v>
      </c>
      <c r="D3831" s="268">
        <v>7303</v>
      </c>
      <c r="E3831" s="114" t="s">
        <v>217</v>
      </c>
      <c r="F3831" s="114" t="s">
        <v>4202</v>
      </c>
      <c r="G3831" s="114" t="s">
        <v>1493</v>
      </c>
      <c r="H3831" s="114" t="s">
        <v>1505</v>
      </c>
      <c r="I3831" s="114"/>
      <c r="J3831" s="114" t="b">
        <v>0</v>
      </c>
      <c r="K3831" s="114"/>
      <c r="L3831" s="114"/>
      <c r="M3831" s="114"/>
      <c r="N3831" s="114"/>
      <c r="O3831" s="114"/>
      <c r="P3831" s="114" t="s">
        <v>1485</v>
      </c>
      <c r="Q3831" s="114" t="s">
        <v>1228</v>
      </c>
    </row>
    <row r="3832" spans="2:17" hidden="1" outlineLevel="2">
      <c r="B3832" s="2" t="s">
        <v>876</v>
      </c>
      <c r="D3832" s="270">
        <v>7304</v>
      </c>
      <c r="E3832" s="112" t="s">
        <v>217</v>
      </c>
      <c r="F3832" s="112" t="s">
        <v>4203</v>
      </c>
      <c r="G3832" s="269" t="s">
        <v>1493</v>
      </c>
      <c r="H3832" s="112" t="s">
        <v>1512</v>
      </c>
      <c r="I3832" s="112"/>
      <c r="J3832" s="112" t="b">
        <v>0</v>
      </c>
      <c r="K3832" s="112"/>
      <c r="L3832" s="112"/>
      <c r="M3832" s="112"/>
      <c r="N3832" s="112"/>
      <c r="O3832" s="112"/>
      <c r="P3832" s="112" t="s">
        <v>1485</v>
      </c>
      <c r="Q3832" s="112" t="s">
        <v>1228</v>
      </c>
    </row>
    <row r="3833" spans="2:17" hidden="1" outlineLevel="2">
      <c r="B3833" s="2" t="s">
        <v>876</v>
      </c>
      <c r="D3833" s="268">
        <v>7305</v>
      </c>
      <c r="E3833" s="114" t="s">
        <v>217</v>
      </c>
      <c r="F3833" s="114" t="s">
        <v>4204</v>
      </c>
      <c r="G3833" s="221" t="s">
        <v>1512</v>
      </c>
      <c r="H3833" s="114" t="s">
        <v>1505</v>
      </c>
      <c r="I3833" s="114"/>
      <c r="J3833" s="114" t="b">
        <v>0</v>
      </c>
      <c r="K3833" s="114"/>
      <c r="L3833" s="114"/>
      <c r="M3833" s="114"/>
      <c r="N3833" s="114"/>
      <c r="O3833" s="114"/>
      <c r="P3833" s="114" t="s">
        <v>1485</v>
      </c>
      <c r="Q3833" s="114" t="s">
        <v>1228</v>
      </c>
    </row>
    <row r="3834" spans="2:17" hidden="1" outlineLevel="2">
      <c r="B3834" s="2" t="s">
        <v>876</v>
      </c>
      <c r="D3834" s="270">
        <v>7306</v>
      </c>
      <c r="E3834" s="112" t="s">
        <v>217</v>
      </c>
      <c r="F3834" s="112" t="s">
        <v>4205</v>
      </c>
      <c r="G3834" s="112" t="s">
        <v>1493</v>
      </c>
      <c r="H3834" s="112" t="s">
        <v>1505</v>
      </c>
      <c r="I3834" s="112"/>
      <c r="J3834" s="112" t="b">
        <v>0</v>
      </c>
      <c r="K3834" s="112"/>
      <c r="L3834" s="112"/>
      <c r="M3834" s="112"/>
      <c r="N3834" s="112"/>
      <c r="O3834" s="112"/>
      <c r="P3834" s="112" t="s">
        <v>1485</v>
      </c>
      <c r="Q3834" s="112" t="s">
        <v>1228</v>
      </c>
    </row>
    <row r="3835" spans="2:17" hidden="1" outlineLevel="2">
      <c r="B3835" s="2" t="s">
        <v>876</v>
      </c>
      <c r="D3835" s="268">
        <v>7307</v>
      </c>
      <c r="E3835" s="114" t="s">
        <v>217</v>
      </c>
      <c r="F3835" s="114" t="s">
        <v>4206</v>
      </c>
      <c r="G3835" s="114" t="s">
        <v>1493</v>
      </c>
      <c r="H3835" s="114" t="s">
        <v>1505</v>
      </c>
      <c r="I3835" s="114"/>
      <c r="J3835" s="114" t="b">
        <v>0</v>
      </c>
      <c r="K3835" s="114"/>
      <c r="L3835" s="114"/>
      <c r="M3835" s="114"/>
      <c r="N3835" s="114"/>
      <c r="O3835" s="114"/>
      <c r="P3835" s="114" t="s">
        <v>1485</v>
      </c>
      <c r="Q3835" s="114" t="s">
        <v>1228</v>
      </c>
    </row>
    <row r="3836" spans="2:17" hidden="1" outlineLevel="2">
      <c r="B3836" s="2" t="s">
        <v>876</v>
      </c>
      <c r="D3836" s="270">
        <v>7310</v>
      </c>
      <c r="E3836" s="112" t="s">
        <v>217</v>
      </c>
      <c r="F3836" s="112" t="s">
        <v>1816</v>
      </c>
      <c r="G3836" s="112" t="s">
        <v>1493</v>
      </c>
      <c r="H3836" s="112" t="s">
        <v>1494</v>
      </c>
      <c r="I3836" s="112"/>
      <c r="J3836" s="112" t="b">
        <v>0</v>
      </c>
      <c r="K3836" s="112"/>
      <c r="L3836" s="112"/>
      <c r="M3836" s="112"/>
      <c r="N3836" s="112"/>
      <c r="O3836" s="112"/>
      <c r="P3836" s="112" t="s">
        <v>1485</v>
      </c>
      <c r="Q3836" s="112" t="s">
        <v>1228</v>
      </c>
    </row>
    <row r="3837" spans="2:17" hidden="1" outlineLevel="2">
      <c r="B3837" s="2" t="s">
        <v>876</v>
      </c>
      <c r="D3837" s="268">
        <v>7315</v>
      </c>
      <c r="E3837" s="114" t="s">
        <v>217</v>
      </c>
      <c r="F3837" s="114" t="s">
        <v>4207</v>
      </c>
      <c r="G3837" s="114" t="s">
        <v>1493</v>
      </c>
      <c r="H3837" s="114" t="s">
        <v>1505</v>
      </c>
      <c r="I3837" s="114"/>
      <c r="J3837" s="114" t="b">
        <v>0</v>
      </c>
      <c r="K3837" s="114"/>
      <c r="L3837" s="114"/>
      <c r="M3837" s="114"/>
      <c r="N3837" s="114"/>
      <c r="O3837" s="114"/>
      <c r="P3837" s="114" t="s">
        <v>1485</v>
      </c>
      <c r="Q3837" s="114" t="s">
        <v>1228</v>
      </c>
    </row>
    <row r="3838" spans="2:17" hidden="1" outlineLevel="2">
      <c r="B3838" s="2" t="s">
        <v>876</v>
      </c>
      <c r="D3838" s="270">
        <v>7316</v>
      </c>
      <c r="E3838" s="112" t="s">
        <v>217</v>
      </c>
      <c r="F3838" s="112" t="s">
        <v>4208</v>
      </c>
      <c r="G3838" s="112" t="s">
        <v>1493</v>
      </c>
      <c r="H3838" s="112" t="s">
        <v>1505</v>
      </c>
      <c r="I3838" s="112"/>
      <c r="J3838" s="112" t="b">
        <v>0</v>
      </c>
      <c r="K3838" s="112"/>
      <c r="L3838" s="112"/>
      <c r="M3838" s="112"/>
      <c r="N3838" s="112"/>
      <c r="O3838" s="112"/>
      <c r="P3838" s="112" t="s">
        <v>1485</v>
      </c>
      <c r="Q3838" s="112" t="s">
        <v>1228</v>
      </c>
    </row>
    <row r="3839" spans="2:17" hidden="1" outlineLevel="2">
      <c r="B3839" s="2" t="s">
        <v>876</v>
      </c>
      <c r="D3839" s="268">
        <v>7320</v>
      </c>
      <c r="E3839" s="114" t="s">
        <v>217</v>
      </c>
      <c r="F3839" s="114" t="s">
        <v>1987</v>
      </c>
      <c r="G3839" s="114" t="s">
        <v>1493</v>
      </c>
      <c r="H3839" s="114" t="s">
        <v>1494</v>
      </c>
      <c r="I3839" s="114"/>
      <c r="J3839" s="114" t="b">
        <v>0</v>
      </c>
      <c r="K3839" s="114"/>
      <c r="L3839" s="114"/>
      <c r="M3839" s="114"/>
      <c r="N3839" s="114"/>
      <c r="O3839" s="114"/>
      <c r="P3839" s="114" t="s">
        <v>1485</v>
      </c>
      <c r="Q3839" s="114" t="s">
        <v>1228</v>
      </c>
    </row>
    <row r="3840" spans="2:17" hidden="1" outlineLevel="2">
      <c r="B3840" s="2" t="s">
        <v>876</v>
      </c>
      <c r="D3840" s="270">
        <v>7321</v>
      </c>
      <c r="E3840" s="112" t="s">
        <v>217</v>
      </c>
      <c r="F3840" s="112" t="s">
        <v>4209</v>
      </c>
      <c r="G3840" s="112" t="s">
        <v>1493</v>
      </c>
      <c r="H3840" s="112" t="s">
        <v>1505</v>
      </c>
      <c r="I3840" s="112"/>
      <c r="J3840" s="112" t="b">
        <v>0</v>
      </c>
      <c r="K3840" s="112" t="s">
        <v>1484</v>
      </c>
      <c r="L3840" s="112"/>
      <c r="M3840" s="112"/>
      <c r="N3840" s="112"/>
      <c r="O3840" s="112"/>
      <c r="P3840" s="112" t="s">
        <v>1485</v>
      </c>
      <c r="Q3840" s="112" t="s">
        <v>1228</v>
      </c>
    </row>
    <row r="3841" spans="2:54" hidden="1" outlineLevel="2">
      <c r="B3841" s="2" t="s">
        <v>876</v>
      </c>
      <c r="D3841" s="268">
        <v>7322</v>
      </c>
      <c r="E3841" s="114" t="s">
        <v>217</v>
      </c>
      <c r="F3841" s="114" t="s">
        <v>4210</v>
      </c>
      <c r="G3841" s="114" t="s">
        <v>1493</v>
      </c>
      <c r="H3841" s="114" t="s">
        <v>1505</v>
      </c>
      <c r="I3841" s="114"/>
      <c r="J3841" s="114" t="b">
        <v>0</v>
      </c>
      <c r="K3841" s="114"/>
      <c r="L3841" s="114"/>
      <c r="M3841" s="114"/>
      <c r="N3841" s="114"/>
      <c r="O3841" s="114"/>
      <c r="P3841" s="114" t="s">
        <v>1485</v>
      </c>
      <c r="Q3841" s="114" t="s">
        <v>1228</v>
      </c>
    </row>
    <row r="3842" spans="2:54" hidden="1" outlineLevel="2">
      <c r="B3842" s="2" t="s">
        <v>876</v>
      </c>
      <c r="D3842" s="270">
        <v>7325</v>
      </c>
      <c r="E3842" s="112" t="s">
        <v>217</v>
      </c>
      <c r="F3842" s="112" t="s">
        <v>4211</v>
      </c>
      <c r="G3842" s="112" t="s">
        <v>1493</v>
      </c>
      <c r="H3842" s="112" t="s">
        <v>1505</v>
      </c>
      <c r="I3842" s="112"/>
      <c r="J3842" s="112" t="b">
        <v>0</v>
      </c>
      <c r="K3842" s="112"/>
      <c r="L3842" s="112"/>
      <c r="M3842" s="112"/>
      <c r="N3842" s="112"/>
      <c r="O3842" s="112"/>
      <c r="P3842" s="112" t="s">
        <v>1485</v>
      </c>
      <c r="Q3842" s="112" t="s">
        <v>1228</v>
      </c>
    </row>
    <row r="3843" spans="2:54" hidden="1" outlineLevel="2">
      <c r="B3843" s="2" t="s">
        <v>876</v>
      </c>
      <c r="D3843" s="268">
        <v>7330</v>
      </c>
      <c r="E3843" s="114" t="s">
        <v>217</v>
      </c>
      <c r="F3843" s="114" t="s">
        <v>4212</v>
      </c>
      <c r="G3843" s="114" t="s">
        <v>1493</v>
      </c>
      <c r="H3843" s="114" t="s">
        <v>1505</v>
      </c>
      <c r="I3843" s="114"/>
      <c r="J3843" s="114" t="b">
        <v>0</v>
      </c>
      <c r="K3843" s="114"/>
      <c r="L3843" s="114"/>
      <c r="M3843" s="114"/>
      <c r="N3843" s="114"/>
      <c r="O3843" s="114"/>
      <c r="P3843" s="114" t="s">
        <v>1485</v>
      </c>
      <c r="Q3843" s="114" t="s">
        <v>1228</v>
      </c>
    </row>
    <row r="3844" spans="2:54" hidden="1" outlineLevel="2">
      <c r="B3844" s="2" t="s">
        <v>876</v>
      </c>
      <c r="D3844" s="270">
        <v>7331</v>
      </c>
      <c r="E3844" s="112" t="s">
        <v>217</v>
      </c>
      <c r="F3844" s="112" t="s">
        <v>4213</v>
      </c>
      <c r="G3844" s="221" t="s">
        <v>1512</v>
      </c>
      <c r="H3844" s="112" t="s">
        <v>1505</v>
      </c>
      <c r="I3844" s="112"/>
      <c r="J3844" s="112" t="b">
        <v>0</v>
      </c>
      <c r="K3844" s="112"/>
      <c r="L3844" s="112"/>
      <c r="M3844" s="112"/>
      <c r="N3844" s="112"/>
      <c r="O3844" s="112"/>
      <c r="P3844" s="112" t="s">
        <v>1485</v>
      </c>
      <c r="Q3844" s="112" t="s">
        <v>1228</v>
      </c>
    </row>
    <row r="3845" spans="2:54" hidden="1" outlineLevel="2">
      <c r="B3845" s="2" t="s">
        <v>876</v>
      </c>
      <c r="D3845" s="268">
        <v>7466</v>
      </c>
      <c r="E3845" s="114" t="s">
        <v>217</v>
      </c>
      <c r="F3845" s="114" t="s">
        <v>4214</v>
      </c>
      <c r="G3845" s="114" t="s">
        <v>1512</v>
      </c>
      <c r="H3845" s="114" t="s">
        <v>1505</v>
      </c>
      <c r="I3845" s="114"/>
      <c r="J3845" s="114" t="b">
        <v>0</v>
      </c>
      <c r="K3845" s="114"/>
      <c r="L3845" s="114"/>
      <c r="M3845" s="114"/>
      <c r="N3845" s="114"/>
      <c r="O3845" s="114"/>
      <c r="P3845" s="114" t="s">
        <v>1485</v>
      </c>
      <c r="Q3845" s="114" t="s">
        <v>1228</v>
      </c>
    </row>
    <row r="3846" spans="2:54" hidden="1" outlineLevel="2">
      <c r="B3846" s="2" t="s">
        <v>876</v>
      </c>
      <c r="D3846" s="270">
        <v>7467</v>
      </c>
      <c r="E3846" s="112" t="s">
        <v>217</v>
      </c>
      <c r="F3846" s="112" t="s">
        <v>4215</v>
      </c>
      <c r="G3846" s="112" t="s">
        <v>1512</v>
      </c>
      <c r="H3846" s="112" t="s">
        <v>1533</v>
      </c>
      <c r="I3846" s="112"/>
      <c r="J3846" s="112" t="b">
        <v>0</v>
      </c>
      <c r="K3846" s="112" t="s">
        <v>1552</v>
      </c>
      <c r="L3846" s="112"/>
      <c r="M3846" s="112"/>
      <c r="N3846" s="112"/>
      <c r="O3846" s="112"/>
      <c r="P3846" s="112" t="s">
        <v>1485</v>
      </c>
      <c r="Q3846" s="112" t="s">
        <v>1228</v>
      </c>
    </row>
    <row r="3847" spans="2:54" hidden="1" outlineLevel="2">
      <c r="B3847" s="2" t="s">
        <v>876</v>
      </c>
      <c r="D3847" s="268">
        <v>7468</v>
      </c>
      <c r="E3847" s="114" t="s">
        <v>217</v>
      </c>
      <c r="F3847" s="114" t="s">
        <v>4216</v>
      </c>
      <c r="G3847" s="221" t="s">
        <v>1512</v>
      </c>
      <c r="H3847" s="114" t="s">
        <v>1505</v>
      </c>
      <c r="I3847" s="114"/>
      <c r="J3847" s="114" t="b">
        <v>0</v>
      </c>
      <c r="K3847" s="114"/>
      <c r="L3847" s="114"/>
      <c r="M3847" s="114"/>
      <c r="N3847" s="114"/>
      <c r="O3847" s="114"/>
      <c r="P3847" s="114" t="s">
        <v>1485</v>
      </c>
      <c r="Q3847" s="114" t="s">
        <v>1228</v>
      </c>
    </row>
    <row r="3848" spans="2:54" hidden="1" outlineLevel="2">
      <c r="B3848" s="2" t="s">
        <v>876</v>
      </c>
      <c r="D3848" s="270">
        <v>7469</v>
      </c>
      <c r="E3848" s="112" t="s">
        <v>217</v>
      </c>
      <c r="F3848" s="112" t="s">
        <v>4217</v>
      </c>
      <c r="G3848" s="112" t="s">
        <v>1512</v>
      </c>
      <c r="H3848" s="112" t="s">
        <v>1533</v>
      </c>
      <c r="I3848" s="112"/>
      <c r="J3848" s="112" t="b">
        <v>0</v>
      </c>
      <c r="K3848" s="112" t="s">
        <v>1552</v>
      </c>
      <c r="L3848" s="112"/>
      <c r="M3848" s="112"/>
      <c r="N3848" s="112"/>
      <c r="O3848" s="112"/>
      <c r="P3848" s="112" t="s">
        <v>1485</v>
      </c>
      <c r="Q3848" s="112" t="s">
        <v>1228</v>
      </c>
    </row>
    <row r="3849" spans="2:54" hidden="1" outlineLevel="2">
      <c r="B3849" s="2" t="s">
        <v>876</v>
      </c>
      <c r="D3849" s="268">
        <v>7470</v>
      </c>
      <c r="E3849" s="114" t="s">
        <v>217</v>
      </c>
      <c r="F3849" s="114" t="s">
        <v>4218</v>
      </c>
      <c r="G3849" s="114" t="s">
        <v>1512</v>
      </c>
      <c r="H3849" s="114" t="s">
        <v>1533</v>
      </c>
      <c r="I3849" s="114"/>
      <c r="J3849" s="114" t="b">
        <v>0</v>
      </c>
      <c r="K3849" s="114" t="s">
        <v>1552</v>
      </c>
      <c r="L3849" s="114"/>
      <c r="M3849" s="114"/>
      <c r="N3849" s="114"/>
      <c r="O3849" s="114"/>
      <c r="P3849" s="114" t="s">
        <v>1485</v>
      </c>
      <c r="Q3849" s="114" t="s">
        <v>1228</v>
      </c>
    </row>
    <row r="3850" spans="2:54" hidden="1" outlineLevel="2">
      <c r="B3850" s="2" t="s">
        <v>889</v>
      </c>
    </row>
    <row r="3851" spans="2:54" collapsed="1">
      <c r="B3851" s="2" t="s">
        <v>833</v>
      </c>
      <c r="C3851" s="246" t="s">
        <v>4219</v>
      </c>
      <c r="D3851" s="209" t="s">
        <v>843</v>
      </c>
      <c r="E3851" s="209" t="s">
        <v>844</v>
      </c>
      <c r="F3851" s="210" t="s">
        <v>845</v>
      </c>
      <c r="G3851" s="210" t="s">
        <v>846</v>
      </c>
      <c r="H3851" s="210" t="s">
        <v>847</v>
      </c>
      <c r="I3851" s="210" t="s">
        <v>848</v>
      </c>
      <c r="J3851" s="209" t="s">
        <v>849</v>
      </c>
      <c r="K3851" s="210" t="s">
        <v>850</v>
      </c>
      <c r="L3851" s="210" t="s">
        <v>8055</v>
      </c>
      <c r="M3851" s="210" t="s">
        <v>8168</v>
      </c>
      <c r="N3851" s="210" t="s">
        <v>8571</v>
      </c>
      <c r="O3851" s="210" t="s">
        <v>8755</v>
      </c>
      <c r="P3851" s="210" t="s">
        <v>8892</v>
      </c>
    </row>
    <row r="3852" spans="2:54" hidden="1" outlineLevel="1">
      <c r="B3852" s="2" t="s">
        <v>833</v>
      </c>
      <c r="C3852" s="145" t="s">
        <v>834</v>
      </c>
      <c r="D3852" s="145" t="s">
        <v>835</v>
      </c>
      <c r="E3852" s="207" t="s">
        <v>836</v>
      </c>
      <c r="BB3852" s="2">
        <f>BB3851+10000</f>
        <v>10000</v>
      </c>
    </row>
    <row r="3853" spans="2:54" hidden="1" outlineLevel="1">
      <c r="B3853" s="2" t="s">
        <v>837</v>
      </c>
      <c r="C3853" s="138" t="s">
        <v>8516</v>
      </c>
      <c r="D3853" s="114" t="s">
        <v>8492</v>
      </c>
      <c r="E3853" s="114">
        <v>7.0000000000000007E-2</v>
      </c>
      <c r="H3853" s="223"/>
      <c r="BB3853" s="2">
        <f>BB3852+10000</f>
        <v>20000</v>
      </c>
    </row>
    <row r="3854" spans="2:54" hidden="1" outlineLevel="1">
      <c r="B3854" s="2" t="s">
        <v>837</v>
      </c>
      <c r="C3854" s="138" t="s">
        <v>8517</v>
      </c>
      <c r="D3854" s="114" t="s">
        <v>8519</v>
      </c>
      <c r="E3854" s="114">
        <v>0.1</v>
      </c>
      <c r="H3854" s="223"/>
      <c r="BB3854" s="2">
        <f>BB3853+10000</f>
        <v>30000</v>
      </c>
    </row>
    <row r="3855" spans="2:54" hidden="1" outlineLevel="1">
      <c r="B3855" s="2" t="s">
        <v>833</v>
      </c>
      <c r="C3855" s="206"/>
      <c r="BB3855" s="2">
        <f>BB3853+10000</f>
        <v>30000</v>
      </c>
    </row>
    <row r="3856" spans="2:54" hidden="1" outlineLevel="1">
      <c r="B3856" s="2" t="s">
        <v>833</v>
      </c>
    </row>
    <row r="3857" spans="2:20" hidden="1" outlineLevel="1">
      <c r="B3857" s="2" t="s">
        <v>870</v>
      </c>
      <c r="D3857" s="102" t="s">
        <v>4220</v>
      </c>
      <c r="E3857" s="103"/>
      <c r="F3857" s="103"/>
      <c r="G3857" s="103"/>
      <c r="H3857" s="103"/>
      <c r="I3857" s="103"/>
      <c r="J3857" s="103"/>
      <c r="K3857" s="103"/>
      <c r="L3857" s="103"/>
      <c r="M3857" s="103"/>
      <c r="N3857" s="103"/>
      <c r="O3857" s="103"/>
      <c r="P3857" s="103"/>
      <c r="Q3857" s="103"/>
      <c r="R3857" s="103"/>
      <c r="S3857" s="103"/>
      <c r="T3857" s="104"/>
    </row>
    <row r="3858" spans="2:20" hidden="1" outlineLevel="1">
      <c r="B3858" s="2" t="s">
        <v>833</v>
      </c>
      <c r="D3858" s="226" t="s">
        <v>1215</v>
      </c>
      <c r="E3858" s="226" t="s">
        <v>4221</v>
      </c>
      <c r="F3858" s="226" t="s">
        <v>4221</v>
      </c>
      <c r="G3858" s="226" t="s">
        <v>4222</v>
      </c>
      <c r="H3858" s="226" t="s">
        <v>4223</v>
      </c>
      <c r="I3858" s="239" t="s">
        <v>4224</v>
      </c>
      <c r="J3858" s="239" t="s">
        <v>4225</v>
      </c>
      <c r="K3858" s="239" t="s">
        <v>4226</v>
      </c>
      <c r="L3858" s="239" t="s">
        <v>4227</v>
      </c>
      <c r="M3858" s="239" t="s">
        <v>4228</v>
      </c>
      <c r="N3858" s="239" t="s">
        <v>4229</v>
      </c>
      <c r="O3858" s="239" t="s">
        <v>8857</v>
      </c>
      <c r="P3858" s="239" t="s">
        <v>4230</v>
      </c>
      <c r="Q3858" s="239" t="s">
        <v>4231</v>
      </c>
      <c r="R3858" s="239" t="s">
        <v>4232</v>
      </c>
      <c r="S3858" s="239" t="s">
        <v>826</v>
      </c>
      <c r="T3858" s="239" t="s">
        <v>4233</v>
      </c>
    </row>
    <row r="3859" spans="2:20" hidden="1" outlineLevel="1">
      <c r="B3859" s="2" t="s">
        <v>874</v>
      </c>
      <c r="C3859" s="105" t="s">
        <v>381</v>
      </c>
      <c r="D3859" s="138" t="s">
        <v>1320</v>
      </c>
      <c r="E3859" s="138" t="s">
        <v>4234</v>
      </c>
      <c r="F3859" s="138" t="s">
        <v>4235</v>
      </c>
      <c r="G3859" s="138" t="s">
        <v>1048</v>
      </c>
      <c r="H3859" s="138" t="s">
        <v>4236</v>
      </c>
      <c r="I3859" s="138" t="s">
        <v>4237</v>
      </c>
      <c r="J3859" s="138" t="s">
        <v>4238</v>
      </c>
      <c r="K3859" s="138" t="s">
        <v>4239</v>
      </c>
      <c r="L3859" s="138" t="s">
        <v>4240</v>
      </c>
      <c r="M3859" s="138" t="s">
        <v>293</v>
      </c>
      <c r="N3859" s="138" t="s">
        <v>293</v>
      </c>
      <c r="O3859" s="138" t="s">
        <v>293</v>
      </c>
      <c r="P3859" s="138" t="s">
        <v>4241</v>
      </c>
      <c r="Q3859" s="138" t="s">
        <v>4242</v>
      </c>
      <c r="R3859" s="138" t="s">
        <v>4243</v>
      </c>
      <c r="S3859" s="138" t="s">
        <v>4244</v>
      </c>
      <c r="T3859" s="138" t="s">
        <v>4245</v>
      </c>
    </row>
    <row r="3860" spans="2:20" hidden="1" outlineLevel="1">
      <c r="B3860" s="2" t="s">
        <v>876</v>
      </c>
      <c r="D3860" s="111" t="b">
        <v>0</v>
      </c>
      <c r="E3860" s="112" t="s">
        <v>485</v>
      </c>
      <c r="F3860" s="112" t="s">
        <v>4246</v>
      </c>
      <c r="G3860" s="112" t="s">
        <v>4247</v>
      </c>
      <c r="H3860" s="112">
        <v>1</v>
      </c>
      <c r="I3860" s="112" t="s">
        <v>4248</v>
      </c>
      <c r="J3860" s="112" t="s">
        <v>409</v>
      </c>
      <c r="K3860" s="112" t="s">
        <v>4248</v>
      </c>
      <c r="L3860" s="112" t="s">
        <v>409</v>
      </c>
      <c r="M3860" s="275">
        <f t="shared" ref="M3860:M3891" si="19">VLOOKUP(I3860,$C$5053:$E$5106,3,FALSE)</f>
        <v>6.3399999999999998E-2</v>
      </c>
      <c r="N3860" s="275">
        <f t="shared" ref="N3860:N3891" si="20">IF(J3860="","",VLOOKUP(J3860,$C$5053:$E$5106,3,FALSE))</f>
        <v>8.3900000000000002E-2</v>
      </c>
      <c r="O3860" s="275"/>
      <c r="P3860" s="275" t="s">
        <v>4249</v>
      </c>
      <c r="Q3860" s="276"/>
      <c r="R3860" s="276"/>
      <c r="S3860" s="276" t="b">
        <v>1</v>
      </c>
      <c r="T3860" s="275" t="str">
        <f t="shared" ref="T3860:T3879" si="21">"ANZ "&amp;H3860&amp;" Year Fixed Rate Home Loan"</f>
        <v>ANZ 1 Year Fixed Rate Home Loan</v>
      </c>
    </row>
    <row r="3861" spans="2:20" hidden="1" outlineLevel="1">
      <c r="B3861" s="2" t="s">
        <v>876</v>
      </c>
      <c r="D3861" s="111" t="b">
        <v>0</v>
      </c>
      <c r="E3861" s="112" t="s">
        <v>485</v>
      </c>
      <c r="F3861" s="112" t="s">
        <v>4246</v>
      </c>
      <c r="G3861" s="112" t="s">
        <v>4247</v>
      </c>
      <c r="H3861" s="112">
        <v>2</v>
      </c>
      <c r="I3861" s="112" t="s">
        <v>4250</v>
      </c>
      <c r="J3861" s="112" t="s">
        <v>409</v>
      </c>
      <c r="K3861" s="112" t="s">
        <v>4250</v>
      </c>
      <c r="L3861" s="112" t="s">
        <v>409</v>
      </c>
      <c r="M3861" s="275">
        <f t="shared" si="19"/>
        <v>6.1900000000000004E-2</v>
      </c>
      <c r="N3861" s="275">
        <f t="shared" si="20"/>
        <v>8.3900000000000002E-2</v>
      </c>
      <c r="O3861" s="275"/>
      <c r="P3861" s="275" t="s">
        <v>4251</v>
      </c>
      <c r="Q3861" s="276"/>
      <c r="R3861" s="276"/>
      <c r="S3861" s="276" t="b">
        <v>1</v>
      </c>
      <c r="T3861" s="275" t="str">
        <f t="shared" si="21"/>
        <v>ANZ 2 Year Fixed Rate Home Loan</v>
      </c>
    </row>
    <row r="3862" spans="2:20" hidden="1" outlineLevel="1">
      <c r="B3862" s="2" t="s">
        <v>876</v>
      </c>
      <c r="D3862" s="111" t="b">
        <v>0</v>
      </c>
      <c r="E3862" s="112" t="s">
        <v>485</v>
      </c>
      <c r="F3862" s="112" t="s">
        <v>4246</v>
      </c>
      <c r="G3862" s="112" t="s">
        <v>4247</v>
      </c>
      <c r="H3862" s="112">
        <v>3</v>
      </c>
      <c r="I3862" s="112" t="s">
        <v>4252</v>
      </c>
      <c r="J3862" s="112" t="s">
        <v>409</v>
      </c>
      <c r="K3862" s="112" t="s">
        <v>4252</v>
      </c>
      <c r="L3862" s="112" t="s">
        <v>409</v>
      </c>
      <c r="M3862" s="275">
        <f t="shared" si="19"/>
        <v>6.1900000000000004E-2</v>
      </c>
      <c r="N3862" s="275">
        <f t="shared" si="20"/>
        <v>8.3900000000000002E-2</v>
      </c>
      <c r="O3862" s="275"/>
      <c r="P3862" s="275" t="s">
        <v>4253</v>
      </c>
      <c r="Q3862" s="276"/>
      <c r="R3862" s="276"/>
      <c r="S3862" s="276" t="b">
        <v>1</v>
      </c>
      <c r="T3862" s="275" t="str">
        <f t="shared" si="21"/>
        <v>ANZ 3 Year Fixed Rate Home Loan</v>
      </c>
    </row>
    <row r="3863" spans="2:20" hidden="1" outlineLevel="1">
      <c r="B3863" s="2" t="s">
        <v>876</v>
      </c>
      <c r="D3863" s="111" t="b">
        <v>0</v>
      </c>
      <c r="E3863" s="112" t="s">
        <v>485</v>
      </c>
      <c r="F3863" s="112" t="s">
        <v>4246</v>
      </c>
      <c r="G3863" s="112" t="s">
        <v>4247</v>
      </c>
      <c r="H3863" s="112">
        <v>4</v>
      </c>
      <c r="I3863" s="112" t="s">
        <v>4254</v>
      </c>
      <c r="J3863" s="112" t="s">
        <v>409</v>
      </c>
      <c r="K3863" s="112" t="s">
        <v>4254</v>
      </c>
      <c r="L3863" s="112" t="s">
        <v>409</v>
      </c>
      <c r="M3863" s="275">
        <f t="shared" si="19"/>
        <v>6.3399999999999998E-2</v>
      </c>
      <c r="N3863" s="275">
        <f t="shared" si="20"/>
        <v>8.3900000000000002E-2</v>
      </c>
      <c r="O3863" s="275"/>
      <c r="P3863" s="275" t="s">
        <v>4255</v>
      </c>
      <c r="Q3863" s="276"/>
      <c r="R3863" s="276"/>
      <c r="S3863" s="276" t="b">
        <v>1</v>
      </c>
      <c r="T3863" s="275" t="str">
        <f t="shared" si="21"/>
        <v>ANZ 4 Year Fixed Rate Home Loan</v>
      </c>
    </row>
    <row r="3864" spans="2:20" hidden="1" outlineLevel="1">
      <c r="B3864" s="2" t="s">
        <v>876</v>
      </c>
      <c r="D3864" s="111" t="b">
        <v>0</v>
      </c>
      <c r="E3864" s="112" t="s">
        <v>485</v>
      </c>
      <c r="F3864" s="112" t="s">
        <v>4246</v>
      </c>
      <c r="G3864" s="112" t="s">
        <v>4247</v>
      </c>
      <c r="H3864" s="112">
        <v>5</v>
      </c>
      <c r="I3864" s="112" t="s">
        <v>4256</v>
      </c>
      <c r="J3864" s="112" t="s">
        <v>409</v>
      </c>
      <c r="K3864" s="112" t="s">
        <v>4256</v>
      </c>
      <c r="L3864" s="112" t="s">
        <v>409</v>
      </c>
      <c r="M3864" s="275">
        <f t="shared" si="19"/>
        <v>6.4399999999999999E-2</v>
      </c>
      <c r="N3864" s="275">
        <f t="shared" si="20"/>
        <v>8.3900000000000002E-2</v>
      </c>
      <c r="O3864" s="275"/>
      <c r="P3864" s="275" t="s">
        <v>4257</v>
      </c>
      <c r="Q3864" s="276"/>
      <c r="R3864" s="276"/>
      <c r="S3864" s="276" t="b">
        <v>1</v>
      </c>
      <c r="T3864" s="275" t="str">
        <f t="shared" si="21"/>
        <v>ANZ 5 Year Fixed Rate Home Loan</v>
      </c>
    </row>
    <row r="3865" spans="2:20" hidden="1" outlineLevel="1">
      <c r="B3865" s="2" t="s">
        <v>876</v>
      </c>
      <c r="D3865" s="111" t="b">
        <v>0</v>
      </c>
      <c r="E3865" s="112" t="s">
        <v>485</v>
      </c>
      <c r="F3865" s="112" t="s">
        <v>4246</v>
      </c>
      <c r="G3865" s="112" t="s">
        <v>4247</v>
      </c>
      <c r="H3865" s="112">
        <v>6</v>
      </c>
      <c r="I3865" s="112" t="s">
        <v>4258</v>
      </c>
      <c r="J3865" s="112" t="s">
        <v>409</v>
      </c>
      <c r="K3865" s="112" t="s">
        <v>4258</v>
      </c>
      <c r="L3865" s="112" t="s">
        <v>409</v>
      </c>
      <c r="M3865" s="275">
        <f t="shared" si="19"/>
        <v>7.690000000000001E-2</v>
      </c>
      <c r="N3865" s="275">
        <f t="shared" si="20"/>
        <v>8.3900000000000002E-2</v>
      </c>
      <c r="O3865" s="275"/>
      <c r="P3865" s="275" t="s">
        <v>4259</v>
      </c>
      <c r="Q3865" s="277" t="s">
        <v>4260</v>
      </c>
      <c r="R3865" s="277" t="s">
        <v>4261</v>
      </c>
      <c r="S3865" s="276" t="b">
        <v>1</v>
      </c>
      <c r="T3865" s="275" t="str">
        <f t="shared" si="21"/>
        <v>ANZ 6 Year Fixed Rate Home Loan</v>
      </c>
    </row>
    <row r="3866" spans="2:20" hidden="1" outlineLevel="1">
      <c r="B3866" s="2" t="s">
        <v>876</v>
      </c>
      <c r="D3866" s="111" t="b">
        <v>0</v>
      </c>
      <c r="E3866" s="112" t="s">
        <v>485</v>
      </c>
      <c r="F3866" s="112" t="s">
        <v>4246</v>
      </c>
      <c r="G3866" s="112" t="s">
        <v>4247</v>
      </c>
      <c r="H3866" s="112">
        <v>7</v>
      </c>
      <c r="I3866" s="112" t="s">
        <v>4258</v>
      </c>
      <c r="J3866" s="112" t="s">
        <v>409</v>
      </c>
      <c r="K3866" s="112" t="s">
        <v>4258</v>
      </c>
      <c r="L3866" s="112" t="s">
        <v>409</v>
      </c>
      <c r="M3866" s="275">
        <f t="shared" si="19"/>
        <v>7.690000000000001E-2</v>
      </c>
      <c r="N3866" s="275">
        <f t="shared" si="20"/>
        <v>8.3900000000000002E-2</v>
      </c>
      <c r="O3866" s="275"/>
      <c r="P3866" s="275" t="s">
        <v>4262</v>
      </c>
      <c r="Q3866" s="277" t="s">
        <v>4260</v>
      </c>
      <c r="R3866" s="277" t="s">
        <v>4261</v>
      </c>
      <c r="S3866" s="276" t="b">
        <v>1</v>
      </c>
      <c r="T3866" s="275" t="str">
        <f t="shared" si="21"/>
        <v>ANZ 7 Year Fixed Rate Home Loan</v>
      </c>
    </row>
    <row r="3867" spans="2:20" hidden="1" outlineLevel="1">
      <c r="B3867" s="2" t="s">
        <v>876</v>
      </c>
      <c r="D3867" s="111" t="b">
        <v>0</v>
      </c>
      <c r="E3867" s="112" t="s">
        <v>485</v>
      </c>
      <c r="F3867" s="112" t="s">
        <v>4246</v>
      </c>
      <c r="G3867" s="112" t="s">
        <v>4247</v>
      </c>
      <c r="H3867" s="112">
        <v>8</v>
      </c>
      <c r="I3867" s="112" t="s">
        <v>4263</v>
      </c>
      <c r="J3867" s="112" t="s">
        <v>409</v>
      </c>
      <c r="K3867" s="112" t="s">
        <v>4263</v>
      </c>
      <c r="L3867" s="112" t="s">
        <v>409</v>
      </c>
      <c r="M3867" s="275">
        <f t="shared" si="19"/>
        <v>7.690000000000001E-2</v>
      </c>
      <c r="N3867" s="275">
        <f t="shared" si="20"/>
        <v>8.3900000000000002E-2</v>
      </c>
      <c r="O3867" s="275"/>
      <c r="P3867" s="275" t="s">
        <v>4264</v>
      </c>
      <c r="Q3867" s="277" t="s">
        <v>4260</v>
      </c>
      <c r="R3867" s="277" t="s">
        <v>4261</v>
      </c>
      <c r="S3867" s="276" t="b">
        <v>1</v>
      </c>
      <c r="T3867" s="275" t="str">
        <f t="shared" si="21"/>
        <v>ANZ 8 Year Fixed Rate Home Loan</v>
      </c>
    </row>
    <row r="3868" spans="2:20" hidden="1" outlineLevel="1">
      <c r="B3868" s="2" t="s">
        <v>876</v>
      </c>
      <c r="D3868" s="111" t="b">
        <v>0</v>
      </c>
      <c r="E3868" s="112" t="s">
        <v>485</v>
      </c>
      <c r="F3868" s="112" t="s">
        <v>4246</v>
      </c>
      <c r="G3868" s="112" t="s">
        <v>4247</v>
      </c>
      <c r="H3868" s="112">
        <v>9</v>
      </c>
      <c r="I3868" s="112" t="s">
        <v>4263</v>
      </c>
      <c r="J3868" s="112" t="s">
        <v>409</v>
      </c>
      <c r="K3868" s="112" t="s">
        <v>4263</v>
      </c>
      <c r="L3868" s="112" t="s">
        <v>409</v>
      </c>
      <c r="M3868" s="275">
        <f t="shared" si="19"/>
        <v>7.690000000000001E-2</v>
      </c>
      <c r="N3868" s="275">
        <f t="shared" si="20"/>
        <v>8.3900000000000002E-2</v>
      </c>
      <c r="O3868" s="275"/>
      <c r="P3868" s="275" t="s">
        <v>4265</v>
      </c>
      <c r="Q3868" s="277" t="s">
        <v>4260</v>
      </c>
      <c r="R3868" s="277" t="s">
        <v>4261</v>
      </c>
      <c r="S3868" s="276" t="b">
        <v>1</v>
      </c>
      <c r="T3868" s="275" t="str">
        <f t="shared" si="21"/>
        <v>ANZ 9 Year Fixed Rate Home Loan</v>
      </c>
    </row>
    <row r="3869" spans="2:20" hidden="1" outlineLevel="1">
      <c r="B3869" s="2" t="s">
        <v>876</v>
      </c>
      <c r="D3869" s="111" t="b">
        <v>0</v>
      </c>
      <c r="E3869" s="112" t="s">
        <v>485</v>
      </c>
      <c r="F3869" s="112" t="s">
        <v>4246</v>
      </c>
      <c r="G3869" s="112" t="s">
        <v>4247</v>
      </c>
      <c r="H3869" s="112">
        <v>10</v>
      </c>
      <c r="I3869" s="112" t="s">
        <v>4263</v>
      </c>
      <c r="J3869" s="112" t="s">
        <v>409</v>
      </c>
      <c r="K3869" s="112" t="s">
        <v>4263</v>
      </c>
      <c r="L3869" s="112" t="s">
        <v>409</v>
      </c>
      <c r="M3869" s="275">
        <f t="shared" si="19"/>
        <v>7.690000000000001E-2</v>
      </c>
      <c r="N3869" s="275">
        <f t="shared" si="20"/>
        <v>8.3900000000000002E-2</v>
      </c>
      <c r="O3869" s="275"/>
      <c r="P3869" s="275" t="s">
        <v>4266</v>
      </c>
      <c r="Q3869" s="277" t="s">
        <v>4260</v>
      </c>
      <c r="R3869" s="277" t="s">
        <v>4261</v>
      </c>
      <c r="S3869" s="276" t="b">
        <v>1</v>
      </c>
      <c r="T3869" s="275" t="str">
        <f t="shared" si="21"/>
        <v>ANZ 10 Year Fixed Rate Home Loan</v>
      </c>
    </row>
    <row r="3870" spans="2:20" hidden="1" outlineLevel="1">
      <c r="B3870" s="2" t="s">
        <v>876</v>
      </c>
      <c r="D3870" s="113" t="b">
        <v>0</v>
      </c>
      <c r="E3870" s="114" t="s">
        <v>485</v>
      </c>
      <c r="F3870" s="114" t="s">
        <v>4246</v>
      </c>
      <c r="G3870" s="114" t="s">
        <v>4267</v>
      </c>
      <c r="H3870" s="114">
        <v>1</v>
      </c>
      <c r="I3870" s="114" t="s">
        <v>4268</v>
      </c>
      <c r="J3870" s="114" t="s">
        <v>409</v>
      </c>
      <c r="K3870" s="114" t="s">
        <v>4268</v>
      </c>
      <c r="L3870" s="114" t="s">
        <v>409</v>
      </c>
      <c r="M3870" s="278">
        <f t="shared" si="19"/>
        <v>6.7900000000000002E-2</v>
      </c>
      <c r="N3870" s="278">
        <f t="shared" si="20"/>
        <v>8.3900000000000002E-2</v>
      </c>
      <c r="O3870" s="278"/>
      <c r="P3870" s="278" t="s">
        <v>4249</v>
      </c>
      <c r="Q3870" s="279"/>
      <c r="R3870" s="279"/>
      <c r="S3870" s="279" t="b">
        <v>1</v>
      </c>
      <c r="T3870" s="278" t="str">
        <f t="shared" si="21"/>
        <v>ANZ 1 Year Fixed Rate Home Loan</v>
      </c>
    </row>
    <row r="3871" spans="2:20" hidden="1" outlineLevel="1">
      <c r="B3871" s="2" t="s">
        <v>876</v>
      </c>
      <c r="D3871" s="113" t="b">
        <v>0</v>
      </c>
      <c r="E3871" s="114" t="s">
        <v>485</v>
      </c>
      <c r="F3871" s="114" t="s">
        <v>4246</v>
      </c>
      <c r="G3871" s="114" t="s">
        <v>4267</v>
      </c>
      <c r="H3871" s="114">
        <v>2</v>
      </c>
      <c r="I3871" s="114" t="s">
        <v>4269</v>
      </c>
      <c r="J3871" s="114" t="s">
        <v>409</v>
      </c>
      <c r="K3871" s="114" t="s">
        <v>4269</v>
      </c>
      <c r="L3871" s="114" t="s">
        <v>409</v>
      </c>
      <c r="M3871" s="278">
        <f t="shared" si="19"/>
        <v>6.4899999999999999E-2</v>
      </c>
      <c r="N3871" s="278">
        <f t="shared" si="20"/>
        <v>8.3900000000000002E-2</v>
      </c>
      <c r="O3871" s="278"/>
      <c r="P3871" s="278" t="s">
        <v>4251</v>
      </c>
      <c r="Q3871" s="279"/>
      <c r="R3871" s="279"/>
      <c r="S3871" s="279" t="b">
        <v>1</v>
      </c>
      <c r="T3871" s="278" t="str">
        <f t="shared" si="21"/>
        <v>ANZ 2 Year Fixed Rate Home Loan</v>
      </c>
    </row>
    <row r="3872" spans="2:20" hidden="1" outlineLevel="1">
      <c r="B3872" s="2" t="s">
        <v>876</v>
      </c>
      <c r="D3872" s="113" t="b">
        <v>0</v>
      </c>
      <c r="E3872" s="114" t="s">
        <v>485</v>
      </c>
      <c r="F3872" s="114" t="s">
        <v>4246</v>
      </c>
      <c r="G3872" s="114" t="s">
        <v>4267</v>
      </c>
      <c r="H3872" s="114">
        <v>3</v>
      </c>
      <c r="I3872" s="114" t="s">
        <v>4270</v>
      </c>
      <c r="J3872" s="114" t="s">
        <v>409</v>
      </c>
      <c r="K3872" s="114" t="s">
        <v>4270</v>
      </c>
      <c r="L3872" s="114" t="s">
        <v>409</v>
      </c>
      <c r="M3872" s="278">
        <f t="shared" si="19"/>
        <v>6.4899999999999999E-2</v>
      </c>
      <c r="N3872" s="278">
        <f t="shared" si="20"/>
        <v>8.3900000000000002E-2</v>
      </c>
      <c r="O3872" s="278"/>
      <c r="P3872" s="278" t="s">
        <v>4253</v>
      </c>
      <c r="Q3872" s="279"/>
      <c r="R3872" s="279"/>
      <c r="S3872" s="279" t="b">
        <v>1</v>
      </c>
      <c r="T3872" s="278" t="str">
        <f t="shared" si="21"/>
        <v>ANZ 3 Year Fixed Rate Home Loan</v>
      </c>
    </row>
    <row r="3873" spans="2:20" hidden="1" outlineLevel="1">
      <c r="B3873" s="2" t="s">
        <v>876</v>
      </c>
      <c r="D3873" s="113" t="b">
        <v>0</v>
      </c>
      <c r="E3873" s="114" t="s">
        <v>485</v>
      </c>
      <c r="F3873" s="114" t="s">
        <v>4246</v>
      </c>
      <c r="G3873" s="114" t="s">
        <v>4267</v>
      </c>
      <c r="H3873" s="114">
        <v>4</v>
      </c>
      <c r="I3873" s="114" t="s">
        <v>4271</v>
      </c>
      <c r="J3873" s="114" t="s">
        <v>409</v>
      </c>
      <c r="K3873" s="114" t="s">
        <v>4271</v>
      </c>
      <c r="L3873" s="114" t="s">
        <v>409</v>
      </c>
      <c r="M3873" s="278">
        <f t="shared" si="19"/>
        <v>6.54E-2</v>
      </c>
      <c r="N3873" s="278">
        <f t="shared" si="20"/>
        <v>8.3900000000000002E-2</v>
      </c>
      <c r="O3873" s="278"/>
      <c r="P3873" s="278" t="s">
        <v>4255</v>
      </c>
      <c r="Q3873" s="279"/>
      <c r="R3873" s="279"/>
      <c r="S3873" s="279" t="b">
        <v>1</v>
      </c>
      <c r="T3873" s="278" t="str">
        <f t="shared" si="21"/>
        <v>ANZ 4 Year Fixed Rate Home Loan</v>
      </c>
    </row>
    <row r="3874" spans="2:20" hidden="1" outlineLevel="1">
      <c r="B3874" s="2" t="s">
        <v>876</v>
      </c>
      <c r="D3874" s="113" t="b">
        <v>0</v>
      </c>
      <c r="E3874" s="114" t="s">
        <v>485</v>
      </c>
      <c r="F3874" s="114" t="s">
        <v>4246</v>
      </c>
      <c r="G3874" s="114" t="s">
        <v>4267</v>
      </c>
      <c r="H3874" s="114">
        <v>5</v>
      </c>
      <c r="I3874" s="114" t="s">
        <v>4272</v>
      </c>
      <c r="J3874" s="114" t="s">
        <v>409</v>
      </c>
      <c r="K3874" s="114" t="s">
        <v>4272</v>
      </c>
      <c r="L3874" s="114" t="s">
        <v>409</v>
      </c>
      <c r="M3874" s="278">
        <f t="shared" si="19"/>
        <v>6.6400000000000001E-2</v>
      </c>
      <c r="N3874" s="278">
        <f t="shared" si="20"/>
        <v>8.3900000000000002E-2</v>
      </c>
      <c r="O3874" s="278"/>
      <c r="P3874" s="278" t="s">
        <v>4257</v>
      </c>
      <c r="Q3874" s="279"/>
      <c r="R3874" s="279"/>
      <c r="S3874" s="279" t="b">
        <v>1</v>
      </c>
      <c r="T3874" s="278" t="str">
        <f t="shared" si="21"/>
        <v>ANZ 5 Year Fixed Rate Home Loan</v>
      </c>
    </row>
    <row r="3875" spans="2:20" hidden="1" outlineLevel="1">
      <c r="B3875" s="2" t="s">
        <v>876</v>
      </c>
      <c r="D3875" s="113" t="b">
        <v>0</v>
      </c>
      <c r="E3875" s="114" t="s">
        <v>485</v>
      </c>
      <c r="F3875" s="114" t="s">
        <v>4246</v>
      </c>
      <c r="G3875" s="114" t="s">
        <v>4267</v>
      </c>
      <c r="H3875" s="114">
        <v>6</v>
      </c>
      <c r="I3875" s="114" t="s">
        <v>4273</v>
      </c>
      <c r="J3875" s="114" t="s">
        <v>409</v>
      </c>
      <c r="K3875" s="114" t="s">
        <v>4273</v>
      </c>
      <c r="L3875" s="114" t="s">
        <v>409</v>
      </c>
      <c r="M3875" s="278">
        <f t="shared" si="19"/>
        <v>7.690000000000001E-2</v>
      </c>
      <c r="N3875" s="278">
        <f t="shared" si="20"/>
        <v>8.3900000000000002E-2</v>
      </c>
      <c r="O3875" s="278"/>
      <c r="P3875" s="278" t="s">
        <v>4259</v>
      </c>
      <c r="Q3875" s="279"/>
      <c r="R3875" s="279" t="s">
        <v>4274</v>
      </c>
      <c r="S3875" s="279" t="b">
        <v>1</v>
      </c>
      <c r="T3875" s="278" t="str">
        <f t="shared" si="21"/>
        <v>ANZ 6 Year Fixed Rate Home Loan</v>
      </c>
    </row>
    <row r="3876" spans="2:20" hidden="1" outlineLevel="1">
      <c r="B3876" s="2" t="s">
        <v>876</v>
      </c>
      <c r="D3876" s="113" t="b">
        <v>0</v>
      </c>
      <c r="E3876" s="114" t="s">
        <v>485</v>
      </c>
      <c r="F3876" s="114" t="s">
        <v>4246</v>
      </c>
      <c r="G3876" s="114" t="s">
        <v>4267</v>
      </c>
      <c r="H3876" s="114">
        <v>7</v>
      </c>
      <c r="I3876" s="114" t="s">
        <v>4273</v>
      </c>
      <c r="J3876" s="114" t="s">
        <v>409</v>
      </c>
      <c r="K3876" s="114" t="s">
        <v>4273</v>
      </c>
      <c r="L3876" s="114" t="s">
        <v>409</v>
      </c>
      <c r="M3876" s="278">
        <f t="shared" si="19"/>
        <v>7.690000000000001E-2</v>
      </c>
      <c r="N3876" s="278">
        <f t="shared" si="20"/>
        <v>8.3900000000000002E-2</v>
      </c>
      <c r="O3876" s="278"/>
      <c r="P3876" s="278" t="s">
        <v>4262</v>
      </c>
      <c r="Q3876" s="279"/>
      <c r="R3876" s="279" t="s">
        <v>4274</v>
      </c>
      <c r="S3876" s="279" t="b">
        <v>1</v>
      </c>
      <c r="T3876" s="278" t="str">
        <f t="shared" si="21"/>
        <v>ANZ 7 Year Fixed Rate Home Loan</v>
      </c>
    </row>
    <row r="3877" spans="2:20" hidden="1" outlineLevel="1">
      <c r="B3877" s="2" t="s">
        <v>876</v>
      </c>
      <c r="D3877" s="113" t="b">
        <v>0</v>
      </c>
      <c r="E3877" s="114" t="s">
        <v>485</v>
      </c>
      <c r="F3877" s="114" t="s">
        <v>4246</v>
      </c>
      <c r="G3877" s="114" t="s">
        <v>4267</v>
      </c>
      <c r="H3877" s="114">
        <v>8</v>
      </c>
      <c r="I3877" s="114" t="s">
        <v>4275</v>
      </c>
      <c r="J3877" s="114" t="s">
        <v>409</v>
      </c>
      <c r="K3877" s="114" t="s">
        <v>4275</v>
      </c>
      <c r="L3877" s="114" t="s">
        <v>409</v>
      </c>
      <c r="M3877" s="278">
        <f t="shared" si="19"/>
        <v>7.690000000000001E-2</v>
      </c>
      <c r="N3877" s="278">
        <f t="shared" si="20"/>
        <v>8.3900000000000002E-2</v>
      </c>
      <c r="O3877" s="278"/>
      <c r="P3877" s="278" t="s">
        <v>4264</v>
      </c>
      <c r="Q3877" s="279"/>
      <c r="R3877" s="279" t="s">
        <v>4274</v>
      </c>
      <c r="S3877" s="279" t="b">
        <v>1</v>
      </c>
      <c r="T3877" s="278" t="str">
        <f t="shared" si="21"/>
        <v>ANZ 8 Year Fixed Rate Home Loan</v>
      </c>
    </row>
    <row r="3878" spans="2:20" hidden="1" outlineLevel="1">
      <c r="B3878" s="2" t="s">
        <v>876</v>
      </c>
      <c r="D3878" s="113" t="b">
        <v>0</v>
      </c>
      <c r="E3878" s="114" t="s">
        <v>485</v>
      </c>
      <c r="F3878" s="114" t="s">
        <v>4246</v>
      </c>
      <c r="G3878" s="114" t="s">
        <v>4267</v>
      </c>
      <c r="H3878" s="114">
        <v>9</v>
      </c>
      <c r="I3878" s="114" t="s">
        <v>4275</v>
      </c>
      <c r="J3878" s="114" t="s">
        <v>409</v>
      </c>
      <c r="K3878" s="114" t="s">
        <v>4275</v>
      </c>
      <c r="L3878" s="114" t="s">
        <v>409</v>
      </c>
      <c r="M3878" s="278">
        <f t="shared" si="19"/>
        <v>7.690000000000001E-2</v>
      </c>
      <c r="N3878" s="278">
        <f t="shared" si="20"/>
        <v>8.3900000000000002E-2</v>
      </c>
      <c r="O3878" s="278"/>
      <c r="P3878" s="278" t="s">
        <v>4265</v>
      </c>
      <c r="Q3878" s="279"/>
      <c r="R3878" s="279" t="s">
        <v>4274</v>
      </c>
      <c r="S3878" s="279" t="b">
        <v>1</v>
      </c>
      <c r="T3878" s="278" t="str">
        <f t="shared" si="21"/>
        <v>ANZ 9 Year Fixed Rate Home Loan</v>
      </c>
    </row>
    <row r="3879" spans="2:20" hidden="1" outlineLevel="1">
      <c r="B3879" s="2" t="s">
        <v>876</v>
      </c>
      <c r="D3879" s="113" t="b">
        <v>0</v>
      </c>
      <c r="E3879" s="114" t="s">
        <v>485</v>
      </c>
      <c r="F3879" s="114" t="s">
        <v>4246</v>
      </c>
      <c r="G3879" s="114" t="s">
        <v>4267</v>
      </c>
      <c r="H3879" s="114">
        <v>10</v>
      </c>
      <c r="I3879" s="114" t="s">
        <v>4275</v>
      </c>
      <c r="J3879" s="114" t="s">
        <v>409</v>
      </c>
      <c r="K3879" s="114" t="s">
        <v>4275</v>
      </c>
      <c r="L3879" s="114" t="s">
        <v>409</v>
      </c>
      <c r="M3879" s="278">
        <f t="shared" si="19"/>
        <v>7.690000000000001E-2</v>
      </c>
      <c r="N3879" s="278">
        <f t="shared" si="20"/>
        <v>8.3900000000000002E-2</v>
      </c>
      <c r="O3879" s="278"/>
      <c r="P3879" s="278" t="s">
        <v>4266</v>
      </c>
      <c r="Q3879" s="279"/>
      <c r="R3879" s="279" t="s">
        <v>4274</v>
      </c>
      <c r="S3879" s="279" t="b">
        <v>1</v>
      </c>
      <c r="T3879" s="278" t="str">
        <f t="shared" si="21"/>
        <v>ANZ 10 Year Fixed Rate Home Loan</v>
      </c>
    </row>
    <row r="3880" spans="2:20" hidden="1" outlineLevel="1">
      <c r="B3880" s="2" t="s">
        <v>876</v>
      </c>
      <c r="D3880" s="111" t="b">
        <v>1</v>
      </c>
      <c r="E3880" s="112" t="s">
        <v>485</v>
      </c>
      <c r="F3880" s="112" t="s">
        <v>4246</v>
      </c>
      <c r="G3880" s="112" t="s">
        <v>4247</v>
      </c>
      <c r="H3880" s="112">
        <v>1</v>
      </c>
      <c r="I3880" s="112" t="s">
        <v>4276</v>
      </c>
      <c r="J3880" s="112" t="s">
        <v>481</v>
      </c>
      <c r="K3880" s="112" t="s">
        <v>4276</v>
      </c>
      <c r="L3880" s="112" t="s">
        <v>481</v>
      </c>
      <c r="M3880" s="276">
        <f t="shared" si="19"/>
        <v>6.54E-2</v>
      </c>
      <c r="N3880" s="276">
        <f t="shared" si="20"/>
        <v>8.9900000000000008E-2</v>
      </c>
      <c r="O3880" s="276"/>
      <c r="P3880" s="276" t="s">
        <v>4277</v>
      </c>
      <c r="Q3880" s="276"/>
      <c r="R3880" s="276"/>
      <c r="S3880" s="276" t="b">
        <v>1</v>
      </c>
      <c r="T3880" s="276" t="str">
        <f t="shared" ref="T3880:T3909" si="22">"ANZ "&amp;H3880&amp;" Year Fixed Rate Residential Investment Loan"</f>
        <v>ANZ 1 Year Fixed Rate Residential Investment Loan</v>
      </c>
    </row>
    <row r="3881" spans="2:20" hidden="1" outlineLevel="1">
      <c r="B3881" s="2" t="s">
        <v>876</v>
      </c>
      <c r="D3881" s="111" t="b">
        <v>1</v>
      </c>
      <c r="E3881" s="112" t="s">
        <v>485</v>
      </c>
      <c r="F3881" s="112" t="s">
        <v>4246</v>
      </c>
      <c r="G3881" s="112" t="s">
        <v>4247</v>
      </c>
      <c r="H3881" s="112">
        <v>2</v>
      </c>
      <c r="I3881" s="112" t="s">
        <v>4278</v>
      </c>
      <c r="J3881" s="112" t="s">
        <v>481</v>
      </c>
      <c r="K3881" s="112" t="s">
        <v>4278</v>
      </c>
      <c r="L3881" s="112" t="s">
        <v>481</v>
      </c>
      <c r="M3881" s="276">
        <f t="shared" si="19"/>
        <v>6.3899999999999998E-2</v>
      </c>
      <c r="N3881" s="276">
        <f t="shared" si="20"/>
        <v>8.9900000000000008E-2</v>
      </c>
      <c r="O3881" s="276"/>
      <c r="P3881" s="276" t="s">
        <v>4279</v>
      </c>
      <c r="Q3881" s="276"/>
      <c r="R3881" s="276"/>
      <c r="S3881" s="276" t="b">
        <v>1</v>
      </c>
      <c r="T3881" s="276" t="str">
        <f t="shared" si="22"/>
        <v>ANZ 2 Year Fixed Rate Residential Investment Loan</v>
      </c>
    </row>
    <row r="3882" spans="2:20" hidden="1" outlineLevel="1">
      <c r="B3882" s="2" t="s">
        <v>876</v>
      </c>
      <c r="D3882" s="111" t="b">
        <v>1</v>
      </c>
      <c r="E3882" s="112" t="s">
        <v>485</v>
      </c>
      <c r="F3882" s="112" t="s">
        <v>4246</v>
      </c>
      <c r="G3882" s="112" t="s">
        <v>4247</v>
      </c>
      <c r="H3882" s="112">
        <v>3</v>
      </c>
      <c r="I3882" s="112" t="s">
        <v>4280</v>
      </c>
      <c r="J3882" s="112" t="s">
        <v>481</v>
      </c>
      <c r="K3882" s="112" t="s">
        <v>4280</v>
      </c>
      <c r="L3882" s="112" t="s">
        <v>481</v>
      </c>
      <c r="M3882" s="276">
        <f t="shared" si="19"/>
        <v>6.3899999999999998E-2</v>
      </c>
      <c r="N3882" s="276">
        <f t="shared" si="20"/>
        <v>8.9900000000000008E-2</v>
      </c>
      <c r="O3882" s="276"/>
      <c r="P3882" s="276" t="s">
        <v>4281</v>
      </c>
      <c r="Q3882" s="276"/>
      <c r="R3882" s="276"/>
      <c r="S3882" s="276" t="b">
        <v>1</v>
      </c>
      <c r="T3882" s="276" t="str">
        <f t="shared" si="22"/>
        <v>ANZ 3 Year Fixed Rate Residential Investment Loan</v>
      </c>
    </row>
    <row r="3883" spans="2:20" hidden="1" outlineLevel="1">
      <c r="B3883" s="2" t="s">
        <v>876</v>
      </c>
      <c r="D3883" s="111" t="b">
        <v>1</v>
      </c>
      <c r="E3883" s="112" t="s">
        <v>485</v>
      </c>
      <c r="F3883" s="112" t="s">
        <v>4246</v>
      </c>
      <c r="G3883" s="112" t="s">
        <v>4247</v>
      </c>
      <c r="H3883" s="112">
        <v>4</v>
      </c>
      <c r="I3883" s="112" t="s">
        <v>4282</v>
      </c>
      <c r="J3883" s="112" t="s">
        <v>481</v>
      </c>
      <c r="K3883" s="112" t="s">
        <v>4282</v>
      </c>
      <c r="L3883" s="112" t="s">
        <v>481</v>
      </c>
      <c r="M3883" s="276">
        <f t="shared" si="19"/>
        <v>6.4399999999999999E-2</v>
      </c>
      <c r="N3883" s="276">
        <f t="shared" si="20"/>
        <v>8.9900000000000008E-2</v>
      </c>
      <c r="O3883" s="276"/>
      <c r="P3883" s="276" t="s">
        <v>4283</v>
      </c>
      <c r="Q3883" s="276"/>
      <c r="R3883" s="276"/>
      <c r="S3883" s="276" t="b">
        <v>1</v>
      </c>
      <c r="T3883" s="276" t="str">
        <f t="shared" si="22"/>
        <v>ANZ 4 Year Fixed Rate Residential Investment Loan</v>
      </c>
    </row>
    <row r="3884" spans="2:20" hidden="1" outlineLevel="1">
      <c r="B3884" s="2" t="s">
        <v>876</v>
      </c>
      <c r="D3884" s="111" t="b">
        <v>1</v>
      </c>
      <c r="E3884" s="112" t="s">
        <v>485</v>
      </c>
      <c r="F3884" s="112" t="s">
        <v>4246</v>
      </c>
      <c r="G3884" s="112" t="s">
        <v>4247</v>
      </c>
      <c r="H3884" s="112">
        <v>5</v>
      </c>
      <c r="I3884" s="112" t="s">
        <v>4284</v>
      </c>
      <c r="J3884" s="112" t="s">
        <v>481</v>
      </c>
      <c r="K3884" s="112" t="s">
        <v>4284</v>
      </c>
      <c r="L3884" s="112" t="s">
        <v>481</v>
      </c>
      <c r="M3884" s="276">
        <f t="shared" si="19"/>
        <v>6.54E-2</v>
      </c>
      <c r="N3884" s="276">
        <f t="shared" si="20"/>
        <v>8.9900000000000008E-2</v>
      </c>
      <c r="O3884" s="276"/>
      <c r="P3884" s="276" t="s">
        <v>4285</v>
      </c>
      <c r="Q3884" s="276"/>
      <c r="R3884" s="276"/>
      <c r="S3884" s="276" t="b">
        <v>1</v>
      </c>
      <c r="T3884" s="276" t="str">
        <f t="shared" si="22"/>
        <v>ANZ 5 Year Fixed Rate Residential Investment Loan</v>
      </c>
    </row>
    <row r="3885" spans="2:20" hidden="1" outlineLevel="1">
      <c r="B3885" s="2" t="s">
        <v>876</v>
      </c>
      <c r="D3885" s="111" t="b">
        <v>1</v>
      </c>
      <c r="E3885" s="112" t="s">
        <v>485</v>
      </c>
      <c r="F3885" s="112" t="s">
        <v>4246</v>
      </c>
      <c r="G3885" s="112" t="s">
        <v>4247</v>
      </c>
      <c r="H3885" s="112">
        <v>6</v>
      </c>
      <c r="I3885" s="112" t="s">
        <v>4286</v>
      </c>
      <c r="J3885" s="112" t="s">
        <v>481</v>
      </c>
      <c r="K3885" s="112" t="s">
        <v>4286</v>
      </c>
      <c r="L3885" s="112" t="s">
        <v>481</v>
      </c>
      <c r="M3885" s="276">
        <f t="shared" si="19"/>
        <v>7.690000000000001E-2</v>
      </c>
      <c r="N3885" s="276">
        <f t="shared" si="20"/>
        <v>8.9900000000000008E-2</v>
      </c>
      <c r="O3885" s="276"/>
      <c r="P3885" s="276" t="s">
        <v>4287</v>
      </c>
      <c r="Q3885" s="277" t="s">
        <v>4260</v>
      </c>
      <c r="R3885" s="277" t="s">
        <v>4261</v>
      </c>
      <c r="S3885" s="276" t="b">
        <v>1</v>
      </c>
      <c r="T3885" s="276" t="str">
        <f t="shared" si="22"/>
        <v>ANZ 6 Year Fixed Rate Residential Investment Loan</v>
      </c>
    </row>
    <row r="3886" spans="2:20" hidden="1" outlineLevel="1">
      <c r="B3886" s="2" t="s">
        <v>876</v>
      </c>
      <c r="D3886" s="111" t="b">
        <v>1</v>
      </c>
      <c r="E3886" s="112" t="s">
        <v>485</v>
      </c>
      <c r="F3886" s="112" t="s">
        <v>4246</v>
      </c>
      <c r="G3886" s="112" t="s">
        <v>4247</v>
      </c>
      <c r="H3886" s="112">
        <v>7</v>
      </c>
      <c r="I3886" s="112" t="s">
        <v>4286</v>
      </c>
      <c r="J3886" s="112" t="s">
        <v>481</v>
      </c>
      <c r="K3886" s="112" t="s">
        <v>4286</v>
      </c>
      <c r="L3886" s="112" t="s">
        <v>481</v>
      </c>
      <c r="M3886" s="276">
        <f t="shared" si="19"/>
        <v>7.690000000000001E-2</v>
      </c>
      <c r="N3886" s="276">
        <f t="shared" si="20"/>
        <v>8.9900000000000008E-2</v>
      </c>
      <c r="O3886" s="276"/>
      <c r="P3886" s="276" t="s">
        <v>4288</v>
      </c>
      <c r="Q3886" s="277" t="s">
        <v>4260</v>
      </c>
      <c r="R3886" s="277" t="s">
        <v>4261</v>
      </c>
      <c r="S3886" s="276" t="b">
        <v>1</v>
      </c>
      <c r="T3886" s="276" t="str">
        <f t="shared" si="22"/>
        <v>ANZ 7 Year Fixed Rate Residential Investment Loan</v>
      </c>
    </row>
    <row r="3887" spans="2:20" hidden="1" outlineLevel="1">
      <c r="B3887" s="2" t="s">
        <v>876</v>
      </c>
      <c r="D3887" s="111" t="b">
        <v>1</v>
      </c>
      <c r="E3887" s="112" t="s">
        <v>485</v>
      </c>
      <c r="F3887" s="112" t="s">
        <v>4246</v>
      </c>
      <c r="G3887" s="112" t="s">
        <v>4247</v>
      </c>
      <c r="H3887" s="112">
        <v>8</v>
      </c>
      <c r="I3887" s="112" t="s">
        <v>4289</v>
      </c>
      <c r="J3887" s="112" t="s">
        <v>481</v>
      </c>
      <c r="K3887" s="112" t="s">
        <v>4289</v>
      </c>
      <c r="L3887" s="112" t="s">
        <v>481</v>
      </c>
      <c r="M3887" s="276">
        <f t="shared" si="19"/>
        <v>7.690000000000001E-2</v>
      </c>
      <c r="N3887" s="276">
        <f t="shared" si="20"/>
        <v>8.9900000000000008E-2</v>
      </c>
      <c r="O3887" s="276"/>
      <c r="P3887" s="276" t="s">
        <v>4290</v>
      </c>
      <c r="Q3887" s="277" t="s">
        <v>4260</v>
      </c>
      <c r="R3887" s="277" t="s">
        <v>4261</v>
      </c>
      <c r="S3887" s="276" t="b">
        <v>1</v>
      </c>
      <c r="T3887" s="276" t="str">
        <f t="shared" si="22"/>
        <v>ANZ 8 Year Fixed Rate Residential Investment Loan</v>
      </c>
    </row>
    <row r="3888" spans="2:20" hidden="1" outlineLevel="1">
      <c r="B3888" s="2" t="s">
        <v>876</v>
      </c>
      <c r="D3888" s="111" t="b">
        <v>1</v>
      </c>
      <c r="E3888" s="112" t="s">
        <v>485</v>
      </c>
      <c r="F3888" s="112" t="s">
        <v>4246</v>
      </c>
      <c r="G3888" s="112" t="s">
        <v>4247</v>
      </c>
      <c r="H3888" s="112">
        <v>9</v>
      </c>
      <c r="I3888" s="112" t="s">
        <v>4289</v>
      </c>
      <c r="J3888" s="112" t="s">
        <v>481</v>
      </c>
      <c r="K3888" s="112" t="s">
        <v>4289</v>
      </c>
      <c r="L3888" s="112" t="s">
        <v>481</v>
      </c>
      <c r="M3888" s="276">
        <f t="shared" si="19"/>
        <v>7.690000000000001E-2</v>
      </c>
      <c r="N3888" s="276">
        <f t="shared" si="20"/>
        <v>8.9900000000000008E-2</v>
      </c>
      <c r="O3888" s="276"/>
      <c r="P3888" s="276" t="s">
        <v>4291</v>
      </c>
      <c r="Q3888" s="277" t="s">
        <v>4260</v>
      </c>
      <c r="R3888" s="277" t="s">
        <v>4261</v>
      </c>
      <c r="S3888" s="276" t="b">
        <v>1</v>
      </c>
      <c r="T3888" s="276" t="str">
        <f t="shared" si="22"/>
        <v>ANZ 9 Year Fixed Rate Residential Investment Loan</v>
      </c>
    </row>
    <row r="3889" spans="2:20" hidden="1" outlineLevel="1">
      <c r="B3889" s="2" t="s">
        <v>876</v>
      </c>
      <c r="D3889" s="111" t="b">
        <v>1</v>
      </c>
      <c r="E3889" s="112" t="s">
        <v>485</v>
      </c>
      <c r="F3889" s="112" t="s">
        <v>4246</v>
      </c>
      <c r="G3889" s="112" t="s">
        <v>4247</v>
      </c>
      <c r="H3889" s="112">
        <v>10</v>
      </c>
      <c r="I3889" s="112" t="s">
        <v>4289</v>
      </c>
      <c r="J3889" s="112" t="s">
        <v>481</v>
      </c>
      <c r="K3889" s="112" t="s">
        <v>4289</v>
      </c>
      <c r="L3889" s="112" t="s">
        <v>481</v>
      </c>
      <c r="M3889" s="276">
        <f t="shared" si="19"/>
        <v>7.690000000000001E-2</v>
      </c>
      <c r="N3889" s="276">
        <f t="shared" si="20"/>
        <v>8.9900000000000008E-2</v>
      </c>
      <c r="O3889" s="276"/>
      <c r="P3889" s="276" t="s">
        <v>4292</v>
      </c>
      <c r="Q3889" s="277" t="s">
        <v>4260</v>
      </c>
      <c r="R3889" s="277" t="s">
        <v>4261</v>
      </c>
      <c r="S3889" s="276" t="b">
        <v>1</v>
      </c>
      <c r="T3889" s="276" t="str">
        <f t="shared" si="22"/>
        <v>ANZ 10 Year Fixed Rate Residential Investment Loan</v>
      </c>
    </row>
    <row r="3890" spans="2:20" hidden="1" outlineLevel="1">
      <c r="B3890" s="2" t="s">
        <v>876</v>
      </c>
      <c r="D3890" s="113" t="b">
        <v>1</v>
      </c>
      <c r="E3890" s="114" t="s">
        <v>485</v>
      </c>
      <c r="F3890" s="114" t="s">
        <v>4246</v>
      </c>
      <c r="G3890" s="114" t="s">
        <v>4267</v>
      </c>
      <c r="H3890" s="114">
        <v>1</v>
      </c>
      <c r="I3890" s="114" t="s">
        <v>4293</v>
      </c>
      <c r="J3890" s="114" t="s">
        <v>481</v>
      </c>
      <c r="K3890" s="114" t="s">
        <v>4293</v>
      </c>
      <c r="L3890" s="114" t="s">
        <v>481</v>
      </c>
      <c r="M3890" s="279">
        <f t="shared" si="19"/>
        <v>6.6900000000000001E-2</v>
      </c>
      <c r="N3890" s="279">
        <f t="shared" si="20"/>
        <v>8.9900000000000008E-2</v>
      </c>
      <c r="O3890" s="279"/>
      <c r="P3890" s="279" t="s">
        <v>4277</v>
      </c>
      <c r="Q3890" s="279"/>
      <c r="R3890" s="279"/>
      <c r="S3890" s="279" t="b">
        <v>1</v>
      </c>
      <c r="T3890" s="279" t="str">
        <f t="shared" si="22"/>
        <v>ANZ 1 Year Fixed Rate Residential Investment Loan</v>
      </c>
    </row>
    <row r="3891" spans="2:20" hidden="1" outlineLevel="1">
      <c r="B3891" s="2" t="s">
        <v>876</v>
      </c>
      <c r="D3891" s="113" t="b">
        <v>1</v>
      </c>
      <c r="E3891" s="114" t="s">
        <v>485</v>
      </c>
      <c r="F3891" s="114" t="s">
        <v>4246</v>
      </c>
      <c r="G3891" s="114" t="s">
        <v>4267</v>
      </c>
      <c r="H3891" s="114">
        <v>2</v>
      </c>
      <c r="I3891" s="114" t="s">
        <v>4294</v>
      </c>
      <c r="J3891" s="114" t="s">
        <v>481</v>
      </c>
      <c r="K3891" s="114" t="s">
        <v>4294</v>
      </c>
      <c r="L3891" s="114" t="s">
        <v>481</v>
      </c>
      <c r="M3891" s="279">
        <f t="shared" si="19"/>
        <v>6.4899999999999999E-2</v>
      </c>
      <c r="N3891" s="279">
        <f t="shared" si="20"/>
        <v>8.9900000000000008E-2</v>
      </c>
      <c r="O3891" s="279"/>
      <c r="P3891" s="279" t="s">
        <v>4279</v>
      </c>
      <c r="Q3891" s="279"/>
      <c r="R3891" s="279"/>
      <c r="S3891" s="279" t="b">
        <v>1</v>
      </c>
      <c r="T3891" s="279" t="str">
        <f t="shared" si="22"/>
        <v>ANZ 2 Year Fixed Rate Residential Investment Loan</v>
      </c>
    </row>
    <row r="3892" spans="2:20" hidden="1" outlineLevel="1">
      <c r="B3892" s="2" t="s">
        <v>876</v>
      </c>
      <c r="D3892" s="113" t="b">
        <v>1</v>
      </c>
      <c r="E3892" s="114" t="s">
        <v>485</v>
      </c>
      <c r="F3892" s="114" t="s">
        <v>4246</v>
      </c>
      <c r="G3892" s="114" t="s">
        <v>4267</v>
      </c>
      <c r="H3892" s="114">
        <v>3</v>
      </c>
      <c r="I3892" s="114" t="s">
        <v>4295</v>
      </c>
      <c r="J3892" s="114" t="s">
        <v>481</v>
      </c>
      <c r="K3892" s="114" t="s">
        <v>4295</v>
      </c>
      <c r="L3892" s="114" t="s">
        <v>481</v>
      </c>
      <c r="M3892" s="279">
        <f t="shared" ref="M3892:M3918" si="23">VLOOKUP(I3892,$C$5053:$E$5106,3,FALSE)</f>
        <v>6.4899999999999999E-2</v>
      </c>
      <c r="N3892" s="279">
        <f t="shared" ref="N3892:N3918" si="24">IF(J3892="","",VLOOKUP(J3892,$C$5053:$E$5106,3,FALSE))</f>
        <v>8.9900000000000008E-2</v>
      </c>
      <c r="O3892" s="279"/>
      <c r="P3892" s="279" t="s">
        <v>4281</v>
      </c>
      <c r="Q3892" s="279"/>
      <c r="R3892" s="279"/>
      <c r="S3892" s="279" t="b">
        <v>1</v>
      </c>
      <c r="T3892" s="279" t="str">
        <f t="shared" si="22"/>
        <v>ANZ 3 Year Fixed Rate Residential Investment Loan</v>
      </c>
    </row>
    <row r="3893" spans="2:20" hidden="1" outlineLevel="1">
      <c r="B3893" s="2" t="s">
        <v>876</v>
      </c>
      <c r="D3893" s="113" t="b">
        <v>1</v>
      </c>
      <c r="E3893" s="114" t="s">
        <v>485</v>
      </c>
      <c r="F3893" s="114" t="s">
        <v>4246</v>
      </c>
      <c r="G3893" s="114" t="s">
        <v>4267</v>
      </c>
      <c r="H3893" s="114">
        <v>4</v>
      </c>
      <c r="I3893" s="114" t="s">
        <v>4296</v>
      </c>
      <c r="J3893" s="114" t="s">
        <v>481</v>
      </c>
      <c r="K3893" s="114" t="s">
        <v>4296</v>
      </c>
      <c r="L3893" s="114" t="s">
        <v>481</v>
      </c>
      <c r="M3893" s="279">
        <f t="shared" si="23"/>
        <v>6.54E-2</v>
      </c>
      <c r="N3893" s="279">
        <f t="shared" si="24"/>
        <v>8.9900000000000008E-2</v>
      </c>
      <c r="O3893" s="279"/>
      <c r="P3893" s="279" t="s">
        <v>4283</v>
      </c>
      <c r="Q3893" s="279"/>
      <c r="R3893" s="279"/>
      <c r="S3893" s="279" t="b">
        <v>1</v>
      </c>
      <c r="T3893" s="279" t="str">
        <f t="shared" si="22"/>
        <v>ANZ 4 Year Fixed Rate Residential Investment Loan</v>
      </c>
    </row>
    <row r="3894" spans="2:20" hidden="1" outlineLevel="1">
      <c r="B3894" s="2" t="s">
        <v>876</v>
      </c>
      <c r="D3894" s="113" t="b">
        <v>1</v>
      </c>
      <c r="E3894" s="114" t="s">
        <v>485</v>
      </c>
      <c r="F3894" s="114" t="s">
        <v>4246</v>
      </c>
      <c r="G3894" s="114" t="s">
        <v>4267</v>
      </c>
      <c r="H3894" s="114">
        <v>5</v>
      </c>
      <c r="I3894" s="114" t="s">
        <v>4297</v>
      </c>
      <c r="J3894" s="114" t="s">
        <v>481</v>
      </c>
      <c r="K3894" s="114" t="s">
        <v>4297</v>
      </c>
      <c r="L3894" s="114" t="s">
        <v>481</v>
      </c>
      <c r="M3894" s="279">
        <f t="shared" si="23"/>
        <v>6.6400000000000001E-2</v>
      </c>
      <c r="N3894" s="279">
        <f t="shared" si="24"/>
        <v>8.9900000000000008E-2</v>
      </c>
      <c r="O3894" s="279"/>
      <c r="P3894" s="279" t="s">
        <v>4285</v>
      </c>
      <c r="Q3894" s="279"/>
      <c r="R3894" s="279"/>
      <c r="S3894" s="279" t="b">
        <v>1</v>
      </c>
      <c r="T3894" s="279" t="str">
        <f t="shared" si="22"/>
        <v>ANZ 5 Year Fixed Rate Residential Investment Loan</v>
      </c>
    </row>
    <row r="3895" spans="2:20" hidden="1" outlineLevel="1">
      <c r="B3895" s="2" t="s">
        <v>876</v>
      </c>
      <c r="D3895" s="113" t="b">
        <v>1</v>
      </c>
      <c r="E3895" s="114" t="s">
        <v>485</v>
      </c>
      <c r="F3895" s="114" t="s">
        <v>4246</v>
      </c>
      <c r="G3895" s="114" t="s">
        <v>4267</v>
      </c>
      <c r="H3895" s="114">
        <v>6</v>
      </c>
      <c r="I3895" s="114" t="s">
        <v>4298</v>
      </c>
      <c r="J3895" s="114" t="s">
        <v>481</v>
      </c>
      <c r="K3895" s="114" t="s">
        <v>4298</v>
      </c>
      <c r="L3895" s="114" t="s">
        <v>481</v>
      </c>
      <c r="M3895" s="279">
        <f t="shared" si="23"/>
        <v>7.690000000000001E-2</v>
      </c>
      <c r="N3895" s="279">
        <f t="shared" si="24"/>
        <v>8.9900000000000008E-2</v>
      </c>
      <c r="O3895" s="279"/>
      <c r="P3895" s="279" t="s">
        <v>4287</v>
      </c>
      <c r="Q3895" s="279"/>
      <c r="R3895" s="280" t="s">
        <v>4261</v>
      </c>
      <c r="S3895" s="279" t="b">
        <v>1</v>
      </c>
      <c r="T3895" s="279" t="str">
        <f t="shared" si="22"/>
        <v>ANZ 6 Year Fixed Rate Residential Investment Loan</v>
      </c>
    </row>
    <row r="3896" spans="2:20" hidden="1" outlineLevel="1">
      <c r="B3896" s="2" t="s">
        <v>876</v>
      </c>
      <c r="D3896" s="113" t="b">
        <v>1</v>
      </c>
      <c r="E3896" s="114" t="s">
        <v>485</v>
      </c>
      <c r="F3896" s="114" t="s">
        <v>4246</v>
      </c>
      <c r="G3896" s="114" t="s">
        <v>4267</v>
      </c>
      <c r="H3896" s="114">
        <v>7</v>
      </c>
      <c r="I3896" s="114" t="s">
        <v>4298</v>
      </c>
      <c r="J3896" s="114" t="s">
        <v>481</v>
      </c>
      <c r="K3896" s="114" t="s">
        <v>4298</v>
      </c>
      <c r="L3896" s="114" t="s">
        <v>481</v>
      </c>
      <c r="M3896" s="279">
        <f t="shared" si="23"/>
        <v>7.690000000000001E-2</v>
      </c>
      <c r="N3896" s="279">
        <f t="shared" si="24"/>
        <v>8.9900000000000008E-2</v>
      </c>
      <c r="O3896" s="279"/>
      <c r="P3896" s="279" t="s">
        <v>4288</v>
      </c>
      <c r="Q3896" s="279"/>
      <c r="R3896" s="280" t="s">
        <v>4261</v>
      </c>
      <c r="S3896" s="279" t="b">
        <v>1</v>
      </c>
      <c r="T3896" s="279" t="str">
        <f t="shared" si="22"/>
        <v>ANZ 7 Year Fixed Rate Residential Investment Loan</v>
      </c>
    </row>
    <row r="3897" spans="2:20" hidden="1" outlineLevel="1">
      <c r="B3897" s="2" t="s">
        <v>876</v>
      </c>
      <c r="D3897" s="113" t="b">
        <v>1</v>
      </c>
      <c r="E3897" s="114" t="s">
        <v>485</v>
      </c>
      <c r="F3897" s="114" t="s">
        <v>4246</v>
      </c>
      <c r="G3897" s="114" t="s">
        <v>4267</v>
      </c>
      <c r="H3897" s="114">
        <v>8</v>
      </c>
      <c r="I3897" s="114" t="s">
        <v>4299</v>
      </c>
      <c r="J3897" s="114" t="s">
        <v>481</v>
      </c>
      <c r="K3897" s="114" t="s">
        <v>4299</v>
      </c>
      <c r="L3897" s="114" t="s">
        <v>481</v>
      </c>
      <c r="M3897" s="279">
        <f t="shared" si="23"/>
        <v>7.690000000000001E-2</v>
      </c>
      <c r="N3897" s="279">
        <f t="shared" si="24"/>
        <v>8.9900000000000008E-2</v>
      </c>
      <c r="O3897" s="279"/>
      <c r="P3897" s="279" t="s">
        <v>4290</v>
      </c>
      <c r="Q3897" s="279"/>
      <c r="R3897" s="280" t="s">
        <v>4261</v>
      </c>
      <c r="S3897" s="279" t="b">
        <v>1</v>
      </c>
      <c r="T3897" s="279" t="str">
        <f t="shared" si="22"/>
        <v>ANZ 8 Year Fixed Rate Residential Investment Loan</v>
      </c>
    </row>
    <row r="3898" spans="2:20" hidden="1" outlineLevel="1">
      <c r="B3898" s="2" t="s">
        <v>876</v>
      </c>
      <c r="D3898" s="113" t="b">
        <v>1</v>
      </c>
      <c r="E3898" s="114" t="s">
        <v>485</v>
      </c>
      <c r="F3898" s="114" t="s">
        <v>4246</v>
      </c>
      <c r="G3898" s="114" t="s">
        <v>4267</v>
      </c>
      <c r="H3898" s="114">
        <v>9</v>
      </c>
      <c r="I3898" s="114" t="s">
        <v>4299</v>
      </c>
      <c r="J3898" s="114" t="s">
        <v>481</v>
      </c>
      <c r="K3898" s="114" t="s">
        <v>4299</v>
      </c>
      <c r="L3898" s="114" t="s">
        <v>481</v>
      </c>
      <c r="M3898" s="279">
        <f t="shared" si="23"/>
        <v>7.690000000000001E-2</v>
      </c>
      <c r="N3898" s="279">
        <f t="shared" si="24"/>
        <v>8.9900000000000008E-2</v>
      </c>
      <c r="O3898" s="279"/>
      <c r="P3898" s="279" t="s">
        <v>4291</v>
      </c>
      <c r="Q3898" s="279"/>
      <c r="R3898" s="280" t="s">
        <v>4261</v>
      </c>
      <c r="S3898" s="279" t="b">
        <v>1</v>
      </c>
      <c r="T3898" s="279" t="str">
        <f t="shared" si="22"/>
        <v>ANZ 9 Year Fixed Rate Residential Investment Loan</v>
      </c>
    </row>
    <row r="3899" spans="2:20" hidden="1" outlineLevel="1">
      <c r="B3899" s="2" t="s">
        <v>876</v>
      </c>
      <c r="D3899" s="113" t="b">
        <v>1</v>
      </c>
      <c r="E3899" s="114" t="s">
        <v>485</v>
      </c>
      <c r="F3899" s="114" t="s">
        <v>4246</v>
      </c>
      <c r="G3899" s="114" t="s">
        <v>4267</v>
      </c>
      <c r="H3899" s="114">
        <v>10</v>
      </c>
      <c r="I3899" s="114" t="s">
        <v>4299</v>
      </c>
      <c r="J3899" s="114" t="s">
        <v>481</v>
      </c>
      <c r="K3899" s="114" t="s">
        <v>4299</v>
      </c>
      <c r="L3899" s="114" t="s">
        <v>481</v>
      </c>
      <c r="M3899" s="279">
        <f t="shared" si="23"/>
        <v>7.690000000000001E-2</v>
      </c>
      <c r="N3899" s="279">
        <f t="shared" si="24"/>
        <v>8.9900000000000008E-2</v>
      </c>
      <c r="O3899" s="279"/>
      <c r="P3899" s="279" t="s">
        <v>4292</v>
      </c>
      <c r="Q3899" s="279"/>
      <c r="R3899" s="280" t="s">
        <v>4261</v>
      </c>
      <c r="S3899" s="279" t="b">
        <v>1</v>
      </c>
      <c r="T3899" s="279" t="str">
        <f t="shared" si="22"/>
        <v>ANZ 10 Year Fixed Rate Residential Investment Loan</v>
      </c>
    </row>
    <row r="3900" spans="2:20" hidden="1" outlineLevel="1">
      <c r="B3900" s="2" t="s">
        <v>876</v>
      </c>
      <c r="D3900" s="111"/>
      <c r="E3900" s="112" t="s">
        <v>485</v>
      </c>
      <c r="F3900" s="112" t="s">
        <v>4246</v>
      </c>
      <c r="G3900" s="112" t="s">
        <v>4300</v>
      </c>
      <c r="H3900" s="112">
        <v>1</v>
      </c>
      <c r="I3900" s="112" t="s">
        <v>8572</v>
      </c>
      <c r="J3900" s="112" t="s">
        <v>481</v>
      </c>
      <c r="K3900" s="112" t="s">
        <v>8572</v>
      </c>
      <c r="L3900" s="112" t="s">
        <v>481</v>
      </c>
      <c r="M3900" s="276">
        <f t="shared" si="23"/>
        <v>6.4899999999999999E-2</v>
      </c>
      <c r="N3900" s="276">
        <f t="shared" si="24"/>
        <v>8.9900000000000008E-2</v>
      </c>
      <c r="O3900" s="276"/>
      <c r="P3900" s="276" t="s">
        <v>4301</v>
      </c>
      <c r="Q3900" s="277" t="s">
        <v>4260</v>
      </c>
      <c r="R3900" s="277" t="s">
        <v>4261</v>
      </c>
      <c r="S3900" s="276" t="b">
        <v>1</v>
      </c>
      <c r="T3900" s="276" t="str">
        <f t="shared" si="22"/>
        <v>ANZ 1 Year Fixed Rate Residential Investment Loan</v>
      </c>
    </row>
    <row r="3901" spans="2:20" hidden="1" outlineLevel="1">
      <c r="B3901" s="2" t="s">
        <v>876</v>
      </c>
      <c r="D3901" s="111"/>
      <c r="E3901" s="112" t="s">
        <v>485</v>
      </c>
      <c r="F3901" s="112" t="s">
        <v>4246</v>
      </c>
      <c r="G3901" s="112" t="s">
        <v>4300</v>
      </c>
      <c r="H3901" s="112">
        <v>2</v>
      </c>
      <c r="I3901" s="112" t="s">
        <v>8573</v>
      </c>
      <c r="J3901" s="112" t="s">
        <v>481</v>
      </c>
      <c r="K3901" s="112" t="s">
        <v>8573</v>
      </c>
      <c r="L3901" s="112" t="s">
        <v>481</v>
      </c>
      <c r="M3901" s="276">
        <f t="shared" si="23"/>
        <v>6.2899999999999998E-2</v>
      </c>
      <c r="N3901" s="276">
        <f t="shared" si="24"/>
        <v>8.9900000000000008E-2</v>
      </c>
      <c r="O3901" s="276"/>
      <c r="P3901" s="276" t="s">
        <v>4302</v>
      </c>
      <c r="Q3901" s="277" t="s">
        <v>4260</v>
      </c>
      <c r="R3901" s="277" t="s">
        <v>4261</v>
      </c>
      <c r="S3901" s="276" t="b">
        <v>1</v>
      </c>
      <c r="T3901" s="276" t="str">
        <f t="shared" si="22"/>
        <v>ANZ 2 Year Fixed Rate Residential Investment Loan</v>
      </c>
    </row>
    <row r="3902" spans="2:20" hidden="1" outlineLevel="1">
      <c r="B3902" s="2" t="s">
        <v>876</v>
      </c>
      <c r="D3902" s="111"/>
      <c r="E3902" s="112" t="s">
        <v>485</v>
      </c>
      <c r="F3902" s="112" t="s">
        <v>4246</v>
      </c>
      <c r="G3902" s="112" t="s">
        <v>4300</v>
      </c>
      <c r="H3902" s="112">
        <v>3</v>
      </c>
      <c r="I3902" s="112" t="s">
        <v>8574</v>
      </c>
      <c r="J3902" s="112" t="s">
        <v>481</v>
      </c>
      <c r="K3902" s="112" t="s">
        <v>8574</v>
      </c>
      <c r="L3902" s="112" t="s">
        <v>481</v>
      </c>
      <c r="M3902" s="276">
        <f t="shared" si="23"/>
        <v>6.2899999999999998E-2</v>
      </c>
      <c r="N3902" s="276">
        <f t="shared" si="24"/>
        <v>8.9900000000000008E-2</v>
      </c>
      <c r="O3902" s="276"/>
      <c r="P3902" s="276" t="s">
        <v>4303</v>
      </c>
      <c r="Q3902" s="277" t="s">
        <v>4260</v>
      </c>
      <c r="R3902" s="277" t="s">
        <v>4261</v>
      </c>
      <c r="S3902" s="276" t="b">
        <v>1</v>
      </c>
      <c r="T3902" s="276" t="str">
        <f t="shared" si="22"/>
        <v>ANZ 3 Year Fixed Rate Residential Investment Loan</v>
      </c>
    </row>
    <row r="3903" spans="2:20" hidden="1" outlineLevel="1">
      <c r="B3903" s="2" t="s">
        <v>876</v>
      </c>
      <c r="D3903" s="111"/>
      <c r="E3903" s="112" t="s">
        <v>485</v>
      </c>
      <c r="F3903" s="112" t="s">
        <v>4246</v>
      </c>
      <c r="G3903" s="112" t="s">
        <v>4300</v>
      </c>
      <c r="H3903" s="112">
        <v>4</v>
      </c>
      <c r="I3903" s="112" t="s">
        <v>8575</v>
      </c>
      <c r="J3903" s="112" t="s">
        <v>481</v>
      </c>
      <c r="K3903" s="112" t="s">
        <v>8575</v>
      </c>
      <c r="L3903" s="112" t="s">
        <v>481</v>
      </c>
      <c r="M3903" s="276">
        <f t="shared" si="23"/>
        <v>6.3399999999999998E-2</v>
      </c>
      <c r="N3903" s="276">
        <f t="shared" si="24"/>
        <v>8.9900000000000008E-2</v>
      </c>
      <c r="O3903" s="276"/>
      <c r="P3903" s="276" t="s">
        <v>4304</v>
      </c>
      <c r="Q3903" s="277" t="s">
        <v>4260</v>
      </c>
      <c r="R3903" s="277" t="s">
        <v>4261</v>
      </c>
      <c r="S3903" s="276" t="b">
        <v>1</v>
      </c>
      <c r="T3903" s="276" t="str">
        <f t="shared" si="22"/>
        <v>ANZ 4 Year Fixed Rate Residential Investment Loan</v>
      </c>
    </row>
    <row r="3904" spans="2:20" hidden="1" outlineLevel="1">
      <c r="B3904" s="2" t="s">
        <v>876</v>
      </c>
      <c r="D3904" s="111"/>
      <c r="E3904" s="112" t="s">
        <v>485</v>
      </c>
      <c r="F3904" s="112" t="s">
        <v>4246</v>
      </c>
      <c r="G3904" s="112" t="s">
        <v>4300</v>
      </c>
      <c r="H3904" s="112">
        <v>5</v>
      </c>
      <c r="I3904" s="112" t="s">
        <v>8576</v>
      </c>
      <c r="J3904" s="112" t="s">
        <v>481</v>
      </c>
      <c r="K3904" s="112" t="s">
        <v>8576</v>
      </c>
      <c r="L3904" s="112" t="s">
        <v>481</v>
      </c>
      <c r="M3904" s="276">
        <f t="shared" si="23"/>
        <v>6.4399999999999999E-2</v>
      </c>
      <c r="N3904" s="276">
        <f t="shared" si="24"/>
        <v>8.9900000000000008E-2</v>
      </c>
      <c r="O3904" s="276"/>
      <c r="P3904" s="276" t="s">
        <v>4305</v>
      </c>
      <c r="Q3904" s="277" t="s">
        <v>4260</v>
      </c>
      <c r="R3904" s="277" t="s">
        <v>4261</v>
      </c>
      <c r="S3904" s="276" t="b">
        <v>1</v>
      </c>
      <c r="T3904" s="276" t="str">
        <f t="shared" si="22"/>
        <v>ANZ 5 Year Fixed Rate Residential Investment Loan</v>
      </c>
    </row>
    <row r="3905" spans="2:20" hidden="1" outlineLevel="1">
      <c r="B3905" s="2" t="s">
        <v>876</v>
      </c>
      <c r="D3905" s="111"/>
      <c r="E3905" s="112" t="s">
        <v>485</v>
      </c>
      <c r="F3905" s="112" t="s">
        <v>4246</v>
      </c>
      <c r="G3905" s="112" t="s">
        <v>4300</v>
      </c>
      <c r="H3905" s="112">
        <v>6</v>
      </c>
      <c r="I3905" s="112" t="s">
        <v>8577</v>
      </c>
      <c r="J3905" s="112" t="s">
        <v>481</v>
      </c>
      <c r="K3905" s="112" t="s">
        <v>8577</v>
      </c>
      <c r="L3905" s="112" t="s">
        <v>481</v>
      </c>
      <c r="M3905" s="276">
        <f t="shared" si="23"/>
        <v>7.4900000000000008E-2</v>
      </c>
      <c r="N3905" s="276">
        <f t="shared" si="24"/>
        <v>8.9900000000000008E-2</v>
      </c>
      <c r="O3905" s="276"/>
      <c r="P3905" s="276" t="s">
        <v>4306</v>
      </c>
      <c r="Q3905" s="277" t="s">
        <v>4260</v>
      </c>
      <c r="R3905" s="277" t="s">
        <v>4274</v>
      </c>
      <c r="S3905" s="276" t="b">
        <v>1</v>
      </c>
      <c r="T3905" s="276" t="str">
        <f t="shared" si="22"/>
        <v>ANZ 6 Year Fixed Rate Residential Investment Loan</v>
      </c>
    </row>
    <row r="3906" spans="2:20" hidden="1" outlineLevel="1">
      <c r="B3906" s="2" t="s">
        <v>876</v>
      </c>
      <c r="D3906" s="111"/>
      <c r="E3906" s="112" t="s">
        <v>485</v>
      </c>
      <c r="F3906" s="112" t="s">
        <v>4246</v>
      </c>
      <c r="G3906" s="112" t="s">
        <v>4300</v>
      </c>
      <c r="H3906" s="112">
        <v>7</v>
      </c>
      <c r="I3906" s="112" t="s">
        <v>8577</v>
      </c>
      <c r="J3906" s="112" t="s">
        <v>481</v>
      </c>
      <c r="K3906" s="112" t="s">
        <v>8577</v>
      </c>
      <c r="L3906" s="112" t="s">
        <v>481</v>
      </c>
      <c r="M3906" s="276">
        <f t="shared" si="23"/>
        <v>7.4900000000000008E-2</v>
      </c>
      <c r="N3906" s="276">
        <f t="shared" si="24"/>
        <v>8.9900000000000008E-2</v>
      </c>
      <c r="O3906" s="276"/>
      <c r="P3906" s="276" t="s">
        <v>4307</v>
      </c>
      <c r="Q3906" s="277" t="s">
        <v>4260</v>
      </c>
      <c r="R3906" s="277" t="s">
        <v>4274</v>
      </c>
      <c r="S3906" s="276" t="b">
        <v>1</v>
      </c>
      <c r="T3906" s="276" t="str">
        <f t="shared" si="22"/>
        <v>ANZ 7 Year Fixed Rate Residential Investment Loan</v>
      </c>
    </row>
    <row r="3907" spans="2:20" hidden="1" outlineLevel="1">
      <c r="B3907" s="2" t="s">
        <v>876</v>
      </c>
      <c r="D3907" s="111"/>
      <c r="E3907" s="112" t="s">
        <v>485</v>
      </c>
      <c r="F3907" s="112" t="s">
        <v>4246</v>
      </c>
      <c r="G3907" s="112" t="s">
        <v>4300</v>
      </c>
      <c r="H3907" s="112">
        <v>8</v>
      </c>
      <c r="I3907" s="112" t="s">
        <v>8578</v>
      </c>
      <c r="J3907" s="112" t="s">
        <v>481</v>
      </c>
      <c r="K3907" s="112" t="s">
        <v>8578</v>
      </c>
      <c r="L3907" s="112" t="s">
        <v>481</v>
      </c>
      <c r="M3907" s="276">
        <f t="shared" si="23"/>
        <v>7.4900000000000008E-2</v>
      </c>
      <c r="N3907" s="276">
        <f t="shared" si="24"/>
        <v>8.9900000000000008E-2</v>
      </c>
      <c r="O3907" s="276"/>
      <c r="P3907" s="276" t="s">
        <v>4308</v>
      </c>
      <c r="Q3907" s="277" t="s">
        <v>4260</v>
      </c>
      <c r="R3907" s="277" t="s">
        <v>4274</v>
      </c>
      <c r="S3907" s="276" t="b">
        <v>1</v>
      </c>
      <c r="T3907" s="276" t="str">
        <f t="shared" si="22"/>
        <v>ANZ 8 Year Fixed Rate Residential Investment Loan</v>
      </c>
    </row>
    <row r="3908" spans="2:20" hidden="1" outlineLevel="1">
      <c r="B3908" s="2" t="s">
        <v>876</v>
      </c>
      <c r="D3908" s="111"/>
      <c r="E3908" s="112" t="s">
        <v>485</v>
      </c>
      <c r="F3908" s="112" t="s">
        <v>4246</v>
      </c>
      <c r="G3908" s="112" t="s">
        <v>4300</v>
      </c>
      <c r="H3908" s="112">
        <v>9</v>
      </c>
      <c r="I3908" s="112" t="s">
        <v>8578</v>
      </c>
      <c r="J3908" s="112" t="s">
        <v>481</v>
      </c>
      <c r="K3908" s="112" t="s">
        <v>8578</v>
      </c>
      <c r="L3908" s="112" t="s">
        <v>481</v>
      </c>
      <c r="M3908" s="276">
        <f t="shared" si="23"/>
        <v>7.4900000000000008E-2</v>
      </c>
      <c r="N3908" s="276">
        <f t="shared" si="24"/>
        <v>8.9900000000000008E-2</v>
      </c>
      <c r="O3908" s="276"/>
      <c r="P3908" s="276" t="s">
        <v>4309</v>
      </c>
      <c r="Q3908" s="277" t="s">
        <v>4260</v>
      </c>
      <c r="R3908" s="277" t="s">
        <v>4274</v>
      </c>
      <c r="S3908" s="276" t="b">
        <v>1</v>
      </c>
      <c r="T3908" s="276" t="str">
        <f t="shared" si="22"/>
        <v>ANZ 9 Year Fixed Rate Residential Investment Loan</v>
      </c>
    </row>
    <row r="3909" spans="2:20" hidden="1" outlineLevel="1">
      <c r="B3909" s="2" t="s">
        <v>876</v>
      </c>
      <c r="D3909" s="111"/>
      <c r="E3909" s="112" t="s">
        <v>485</v>
      </c>
      <c r="F3909" s="112" t="s">
        <v>4246</v>
      </c>
      <c r="G3909" s="112" t="s">
        <v>4300</v>
      </c>
      <c r="H3909" s="112">
        <v>10</v>
      </c>
      <c r="I3909" s="112" t="s">
        <v>8578</v>
      </c>
      <c r="J3909" s="112" t="s">
        <v>481</v>
      </c>
      <c r="K3909" s="112" t="s">
        <v>8578</v>
      </c>
      <c r="L3909" s="112" t="s">
        <v>481</v>
      </c>
      <c r="M3909" s="276">
        <f t="shared" si="23"/>
        <v>7.4900000000000008E-2</v>
      </c>
      <c r="N3909" s="276">
        <f t="shared" si="24"/>
        <v>8.9900000000000008E-2</v>
      </c>
      <c r="O3909" s="276"/>
      <c r="P3909" s="276" t="s">
        <v>4310</v>
      </c>
      <c r="Q3909" s="277" t="s">
        <v>4260</v>
      </c>
      <c r="R3909" s="277" t="s">
        <v>4274</v>
      </c>
      <c r="S3909" s="276" t="b">
        <v>1</v>
      </c>
      <c r="T3909" s="276" t="str">
        <f t="shared" si="22"/>
        <v>ANZ 10 Year Fixed Rate Residential Investment Loan</v>
      </c>
    </row>
    <row r="3910" spans="2:20" hidden="1" outlineLevel="1">
      <c r="B3910" s="2" t="s">
        <v>876</v>
      </c>
      <c r="D3910" s="113" t="b">
        <v>0</v>
      </c>
      <c r="E3910" s="114" t="s">
        <v>485</v>
      </c>
      <c r="F3910" s="114" t="s">
        <v>4311</v>
      </c>
      <c r="G3910" s="114" t="s">
        <v>4247</v>
      </c>
      <c r="H3910" s="114"/>
      <c r="I3910" s="114" t="s">
        <v>409</v>
      </c>
      <c r="J3910" s="114"/>
      <c r="K3910" s="114"/>
      <c r="L3910" s="279" t="s">
        <v>409</v>
      </c>
      <c r="M3910" s="279">
        <f t="shared" si="23"/>
        <v>8.3900000000000002E-2</v>
      </c>
      <c r="N3910" s="279" t="str">
        <f t="shared" si="24"/>
        <v/>
      </c>
      <c r="O3910" s="279"/>
      <c r="P3910" s="279" t="s">
        <v>4312</v>
      </c>
      <c r="Q3910" s="279"/>
      <c r="R3910" s="279"/>
      <c r="S3910" s="279" t="b">
        <v>1</v>
      </c>
      <c r="T3910" s="279" t="s">
        <v>4312</v>
      </c>
    </row>
    <row r="3911" spans="2:20" hidden="1" outlineLevel="1">
      <c r="B3911" s="2" t="s">
        <v>876</v>
      </c>
      <c r="D3911" s="111" t="b">
        <v>1</v>
      </c>
      <c r="E3911" s="112" t="s">
        <v>487</v>
      </c>
      <c r="F3911" s="112" t="s">
        <v>4311</v>
      </c>
      <c r="G3911" s="112" t="s">
        <v>4247</v>
      </c>
      <c r="H3911" s="112"/>
      <c r="I3911" s="112" t="s">
        <v>481</v>
      </c>
      <c r="J3911" s="112"/>
      <c r="K3911" s="112"/>
      <c r="L3911" s="276" t="s">
        <v>481</v>
      </c>
      <c r="M3911" s="276">
        <f t="shared" si="23"/>
        <v>8.9900000000000008E-2</v>
      </c>
      <c r="N3911" s="276" t="str">
        <f t="shared" si="24"/>
        <v/>
      </c>
      <c r="O3911" s="276"/>
      <c r="P3911" s="276" t="s">
        <v>4313</v>
      </c>
      <c r="Q3911" s="276"/>
      <c r="R3911" s="276"/>
      <c r="S3911" s="276" t="b">
        <v>1</v>
      </c>
      <c r="T3911" s="276" t="s">
        <v>4314</v>
      </c>
    </row>
    <row r="3912" spans="2:20" hidden="1" outlineLevel="1">
      <c r="B3912" s="2" t="s">
        <v>876</v>
      </c>
      <c r="D3912" s="113" t="b">
        <v>0</v>
      </c>
      <c r="E3912" s="114" t="s">
        <v>487</v>
      </c>
      <c r="F3912" s="114" t="s">
        <v>4311</v>
      </c>
      <c r="G3912" s="114" t="s">
        <v>4267</v>
      </c>
      <c r="H3912" s="114">
        <v>5</v>
      </c>
      <c r="I3912" s="114" t="s">
        <v>4315</v>
      </c>
      <c r="J3912" s="114" t="s">
        <v>409</v>
      </c>
      <c r="K3912" s="114"/>
      <c r="L3912" s="279" t="s">
        <v>409</v>
      </c>
      <c r="M3912" s="279">
        <f t="shared" si="23"/>
        <v>8.9399999999999993E-2</v>
      </c>
      <c r="N3912" s="279">
        <f t="shared" si="24"/>
        <v>8.3900000000000002E-2</v>
      </c>
      <c r="O3912" s="279"/>
      <c r="P3912" s="279" t="s">
        <v>4312</v>
      </c>
      <c r="Q3912" s="279"/>
      <c r="R3912" s="279"/>
      <c r="S3912" s="279" t="b">
        <v>1</v>
      </c>
      <c r="T3912" s="279" t="s">
        <v>4312</v>
      </c>
    </row>
    <row r="3913" spans="2:20" hidden="1" outlineLevel="1">
      <c r="B3913" s="2" t="s">
        <v>876</v>
      </c>
      <c r="D3913" s="111" t="b">
        <v>1</v>
      </c>
      <c r="E3913" s="112" t="s">
        <v>487</v>
      </c>
      <c r="F3913" s="112" t="s">
        <v>4311</v>
      </c>
      <c r="G3913" s="112" t="s">
        <v>4267</v>
      </c>
      <c r="H3913" s="112">
        <v>5</v>
      </c>
      <c r="I3913" s="112" t="s">
        <v>4316</v>
      </c>
      <c r="J3913" s="112" t="s">
        <v>481</v>
      </c>
      <c r="K3913" s="112"/>
      <c r="L3913" s="276" t="s">
        <v>481</v>
      </c>
      <c r="M3913" s="276">
        <f t="shared" si="23"/>
        <v>9.2399999999999996E-2</v>
      </c>
      <c r="N3913" s="276">
        <f t="shared" si="24"/>
        <v>8.9900000000000008E-2</v>
      </c>
      <c r="O3913" s="276"/>
      <c r="P3913" s="276" t="s">
        <v>4313</v>
      </c>
      <c r="Q3913" s="276"/>
      <c r="R3913" s="276"/>
      <c r="S3913" s="276" t="b">
        <v>1</v>
      </c>
      <c r="T3913" s="276" t="s">
        <v>4314</v>
      </c>
    </row>
    <row r="3914" spans="2:20" hidden="1" outlineLevel="1">
      <c r="B3914" s="2" t="s">
        <v>876</v>
      </c>
      <c r="D3914" s="113" t="b">
        <v>0</v>
      </c>
      <c r="E3914" s="114" t="s">
        <v>489</v>
      </c>
      <c r="F3914" s="114" t="s">
        <v>4317</v>
      </c>
      <c r="G3914" s="114" t="s">
        <v>4247</v>
      </c>
      <c r="H3914" s="114"/>
      <c r="I3914" s="114" t="s">
        <v>4318</v>
      </c>
      <c r="J3914" s="114"/>
      <c r="K3914" s="114"/>
      <c r="L3914" s="279" t="s">
        <v>4318</v>
      </c>
      <c r="M3914" s="279">
        <f t="shared" si="23"/>
        <v>7.7399999999999997E-2</v>
      </c>
      <c r="N3914" s="279" t="str">
        <f t="shared" si="24"/>
        <v/>
      </c>
      <c r="O3914" s="279"/>
      <c r="P3914" s="279" t="s">
        <v>4319</v>
      </c>
      <c r="Q3914" s="279"/>
      <c r="R3914" s="279"/>
      <c r="S3914" s="279" t="b">
        <v>0</v>
      </c>
      <c r="T3914" s="279" t="s">
        <v>4319</v>
      </c>
    </row>
    <row r="3915" spans="2:20" hidden="1" outlineLevel="1">
      <c r="B3915" s="2" t="s">
        <v>876</v>
      </c>
      <c r="D3915" s="111" t="b">
        <v>1</v>
      </c>
      <c r="E3915" s="112" t="s">
        <v>489</v>
      </c>
      <c r="F3915" s="112" t="s">
        <v>4317</v>
      </c>
      <c r="G3915" s="112" t="s">
        <v>4247</v>
      </c>
      <c r="H3915" s="112"/>
      <c r="I3915" s="112" t="s">
        <v>4320</v>
      </c>
      <c r="J3915" s="112"/>
      <c r="K3915" s="112"/>
      <c r="L3915" s="276" t="s">
        <v>4320</v>
      </c>
      <c r="M3915" s="276">
        <f t="shared" si="23"/>
        <v>7.7399999999999997E-2</v>
      </c>
      <c r="N3915" s="276" t="str">
        <f t="shared" si="24"/>
        <v/>
      </c>
      <c r="O3915" s="276"/>
      <c r="P3915" s="276" t="s">
        <v>4321</v>
      </c>
      <c r="Q3915" s="276"/>
      <c r="R3915" s="276"/>
      <c r="S3915" s="276" t="b">
        <v>0</v>
      </c>
      <c r="T3915" s="276" t="s">
        <v>4322</v>
      </c>
    </row>
    <row r="3916" spans="2:20" hidden="1" outlineLevel="1">
      <c r="B3916" s="2" t="s">
        <v>876</v>
      </c>
      <c r="D3916" s="113" t="b">
        <v>0</v>
      </c>
      <c r="E3916" s="114" t="s">
        <v>489</v>
      </c>
      <c r="F3916" s="114" t="s">
        <v>4317</v>
      </c>
      <c r="G3916" s="114" t="s">
        <v>4267</v>
      </c>
      <c r="H3916" s="114"/>
      <c r="I3916" s="114" t="s">
        <v>4323</v>
      </c>
      <c r="J3916" s="114" t="s">
        <v>4318</v>
      </c>
      <c r="K3916" s="114"/>
      <c r="L3916" s="279" t="s">
        <v>4318</v>
      </c>
      <c r="M3916" s="279">
        <f t="shared" si="23"/>
        <v>7.9399999999999998E-2</v>
      </c>
      <c r="N3916" s="279">
        <f t="shared" si="24"/>
        <v>7.7399999999999997E-2</v>
      </c>
      <c r="O3916" s="279"/>
      <c r="P3916" s="279" t="s">
        <v>4319</v>
      </c>
      <c r="Q3916" s="279"/>
      <c r="R3916" s="279" t="s">
        <v>4274</v>
      </c>
      <c r="S3916" s="279" t="b">
        <v>0</v>
      </c>
      <c r="T3916" s="279" t="s">
        <v>4319</v>
      </c>
    </row>
    <row r="3917" spans="2:20" hidden="1" outlineLevel="1">
      <c r="B3917" s="2" t="s">
        <v>876</v>
      </c>
      <c r="D3917" s="111" t="b">
        <v>1</v>
      </c>
      <c r="E3917" s="112" t="s">
        <v>489</v>
      </c>
      <c r="F3917" s="112" t="s">
        <v>4317</v>
      </c>
      <c r="G3917" s="112" t="s">
        <v>4267</v>
      </c>
      <c r="H3917" s="112"/>
      <c r="I3917" s="112" t="s">
        <v>4324</v>
      </c>
      <c r="J3917" s="112" t="s">
        <v>4320</v>
      </c>
      <c r="K3917" s="112"/>
      <c r="L3917" s="276" t="s">
        <v>4320</v>
      </c>
      <c r="M3917" s="276">
        <f t="shared" si="23"/>
        <v>7.7300000000000008E-2</v>
      </c>
      <c r="N3917" s="276">
        <f t="shared" si="24"/>
        <v>7.7399999999999997E-2</v>
      </c>
      <c r="O3917" s="276"/>
      <c r="P3917" s="276" t="s">
        <v>4321</v>
      </c>
      <c r="Q3917" s="276"/>
      <c r="R3917" s="276"/>
      <c r="S3917" s="276" t="b">
        <v>0</v>
      </c>
      <c r="T3917" s="276" t="s">
        <v>4322</v>
      </c>
    </row>
    <row r="3918" spans="2:20" hidden="1" outlineLevel="1">
      <c r="B3918" s="2" t="s">
        <v>876</v>
      </c>
      <c r="C3918" s="105" t="s">
        <v>402</v>
      </c>
      <c r="D3918" s="113"/>
      <c r="E3918" s="114" t="s">
        <v>491</v>
      </c>
      <c r="F3918" s="114" t="s">
        <v>4325</v>
      </c>
      <c r="G3918" s="114"/>
      <c r="H3918" s="114"/>
      <c r="I3918" s="114" t="s">
        <v>506</v>
      </c>
      <c r="J3918" s="114"/>
      <c r="K3918" s="114"/>
      <c r="L3918" s="278" t="s">
        <v>506</v>
      </c>
      <c r="M3918" s="278">
        <f t="shared" si="23"/>
        <v>0.10009999999999999</v>
      </c>
      <c r="N3918" s="278" t="str">
        <f t="shared" si="24"/>
        <v/>
      </c>
      <c r="O3918" s="278"/>
      <c r="P3918" s="278" t="s">
        <v>4326</v>
      </c>
      <c r="Q3918" s="279" t="s">
        <v>4260</v>
      </c>
      <c r="R3918" s="279" t="s">
        <v>4261</v>
      </c>
      <c r="S3918" s="279" t="b">
        <v>1</v>
      </c>
      <c r="T3918" s="278" t="s">
        <v>4326</v>
      </c>
    </row>
    <row r="3919" spans="2:20" hidden="1" outlineLevel="1">
      <c r="B3919" s="2" t="s">
        <v>889</v>
      </c>
      <c r="J3919" s="61"/>
      <c r="K3919" s="61"/>
    </row>
    <row r="3920" spans="2:20" hidden="1" outlineLevel="1">
      <c r="B3920" s="2" t="s">
        <v>833</v>
      </c>
    </row>
    <row r="3921" spans="2:16" collapsed="1">
      <c r="B3921" s="2" t="s">
        <v>833</v>
      </c>
      <c r="C3921" s="246" t="s">
        <v>8893</v>
      </c>
      <c r="D3921" s="210" t="s">
        <v>843</v>
      </c>
      <c r="E3921" s="210" t="s">
        <v>844</v>
      </c>
      <c r="F3921" s="210" t="s">
        <v>845</v>
      </c>
      <c r="G3921" s="210" t="s">
        <v>846</v>
      </c>
      <c r="H3921" s="210" t="s">
        <v>847</v>
      </c>
      <c r="I3921" s="210" t="s">
        <v>848</v>
      </c>
      <c r="J3921" s="210" t="s">
        <v>849</v>
      </c>
      <c r="K3921" s="210" t="s">
        <v>850</v>
      </c>
      <c r="L3921" s="210" t="s">
        <v>8055</v>
      </c>
      <c r="M3921" s="210" t="s">
        <v>8168</v>
      </c>
      <c r="N3921" s="210" t="s">
        <v>8571</v>
      </c>
      <c r="O3921" s="210" t="s">
        <v>8755</v>
      </c>
      <c r="P3921" s="209" t="s">
        <v>8892</v>
      </c>
    </row>
    <row r="3922" spans="2:16" hidden="1" outlineLevel="1">
      <c r="B3922" s="2" t="s">
        <v>870</v>
      </c>
      <c r="D3922" s="102" t="s">
        <v>8837</v>
      </c>
      <c r="E3922" s="103"/>
      <c r="F3922" s="103"/>
      <c r="G3922" s="103"/>
      <c r="H3922" s="103"/>
      <c r="I3922" s="103"/>
      <c r="J3922" s="103"/>
      <c r="K3922" s="103"/>
      <c r="L3922" s="103"/>
      <c r="M3922" s="104"/>
      <c r="N3922" s="104"/>
    </row>
    <row r="3923" spans="2:16" hidden="1" outlineLevel="1">
      <c r="B3923" s="2" t="s">
        <v>833</v>
      </c>
      <c r="D3923" s="226" t="s">
        <v>4811</v>
      </c>
      <c r="E3923" s="226" t="s">
        <v>8838</v>
      </c>
      <c r="F3923" s="226" t="s">
        <v>8850</v>
      </c>
      <c r="G3923" s="226" t="s">
        <v>8851</v>
      </c>
      <c r="H3923" s="239" t="s">
        <v>5983</v>
      </c>
      <c r="I3923" s="239" t="s">
        <v>8841</v>
      </c>
      <c r="J3923" s="239" t="s">
        <v>1290</v>
      </c>
      <c r="K3923" s="239" t="s">
        <v>8216</v>
      </c>
      <c r="L3923" s="239" t="s">
        <v>8490</v>
      </c>
      <c r="M3923" s="239" t="s">
        <v>8852</v>
      </c>
      <c r="N3923" s="239" t="s">
        <v>8610</v>
      </c>
    </row>
    <row r="3924" spans="2:16" hidden="1" outlineLevel="1">
      <c r="B3924" s="2" t="s">
        <v>874</v>
      </c>
      <c r="C3924" s="105"/>
      <c r="D3924" s="138" t="s">
        <v>8839</v>
      </c>
      <c r="E3924" s="138" t="s">
        <v>8840</v>
      </c>
      <c r="F3924" s="138" t="s">
        <v>8842</v>
      </c>
      <c r="G3924" s="138" t="s">
        <v>8843</v>
      </c>
      <c r="H3924" s="138" t="s">
        <v>293</v>
      </c>
      <c r="I3924" s="138" t="s">
        <v>8858</v>
      </c>
      <c r="J3924" s="138" t="s">
        <v>293</v>
      </c>
      <c r="K3924" s="138" t="s">
        <v>8860</v>
      </c>
      <c r="L3924" s="138" t="s">
        <v>293</v>
      </c>
      <c r="M3924" s="138" t="s">
        <v>293</v>
      </c>
      <c r="N3924" s="138" t="s">
        <v>293</v>
      </c>
    </row>
    <row r="3925" spans="2:16" hidden="1" outlineLevel="1">
      <c r="B3925" s="2" t="s">
        <v>876</v>
      </c>
      <c r="C3925" s="105" t="s">
        <v>8855</v>
      </c>
      <c r="D3925" s="112" t="s">
        <v>486</v>
      </c>
      <c r="E3925" s="112" t="s">
        <v>8849</v>
      </c>
      <c r="F3925" s="229">
        <f>G3926+1</f>
        <v>970</v>
      </c>
      <c r="G3925" s="690">
        <v>1200</v>
      </c>
      <c r="H3925" s="142">
        <v>1</v>
      </c>
      <c r="I3925" s="110" t="s">
        <v>7980</v>
      </c>
      <c r="J3925" s="112">
        <f>VLOOKUP(I3925,'eAdmin File'!U:Z,6,FALSE)/100</f>
        <v>7.4900000000000008E-2</v>
      </c>
      <c r="K3925" s="110" t="s">
        <v>7981</v>
      </c>
      <c r="L3925" s="112">
        <f>VLOOKUP(K3925,'eAdmin File'!U:Z,6,FALSE)/100</f>
        <v>8.1799999999999998E-2</v>
      </c>
      <c r="M3925" s="112" t="s">
        <v>8853</v>
      </c>
      <c r="N3925" s="112" t="s">
        <v>8849</v>
      </c>
    </row>
    <row r="3926" spans="2:16" hidden="1" outlineLevel="1">
      <c r="B3926" s="2" t="s">
        <v>876</v>
      </c>
      <c r="D3926" s="112" t="s">
        <v>486</v>
      </c>
      <c r="E3926" s="112" t="s">
        <v>8848</v>
      </c>
      <c r="F3926" s="229">
        <f>G3927+1</f>
        <v>880</v>
      </c>
      <c r="G3926" s="690">
        <v>969</v>
      </c>
      <c r="H3926" s="142">
        <v>2</v>
      </c>
      <c r="I3926" s="110" t="s">
        <v>7982</v>
      </c>
      <c r="J3926" s="112">
        <f>VLOOKUP(I3926,'eAdmin File'!U:Z,6,FALSE)/100</f>
        <v>0.1099</v>
      </c>
      <c r="K3926" s="110" t="s">
        <v>7983</v>
      </c>
      <c r="L3926" s="112">
        <f>VLOOKUP(K3926,'eAdmin File'!U:Z,6,FALSE)/100</f>
        <v>0.11650000000000001</v>
      </c>
      <c r="M3926" s="112" t="s">
        <v>8854</v>
      </c>
      <c r="N3926" s="112" t="s">
        <v>8848</v>
      </c>
    </row>
    <row r="3927" spans="2:16" hidden="1" outlineLevel="1">
      <c r="B3927" s="2" t="s">
        <v>876</v>
      </c>
      <c r="D3927" s="112" t="s">
        <v>486</v>
      </c>
      <c r="E3927" s="112" t="s">
        <v>8847</v>
      </c>
      <c r="F3927" s="229">
        <f>G3928+1</f>
        <v>705</v>
      </c>
      <c r="G3927" s="690">
        <v>879</v>
      </c>
      <c r="H3927" s="142">
        <v>3</v>
      </c>
      <c r="I3927" s="110" t="s">
        <v>7978</v>
      </c>
      <c r="J3927" s="112">
        <f>VLOOKUP(I3927,'eAdmin File'!U:Z,6,FALSE)/100</f>
        <v>0.1399</v>
      </c>
      <c r="K3927" s="110" t="s">
        <v>7979</v>
      </c>
      <c r="L3927" s="112">
        <f>VLOOKUP(K3927,'eAdmin File'!U:Z,6,FALSE)/100</f>
        <v>0.1462</v>
      </c>
      <c r="M3927" s="112" t="s">
        <v>8854</v>
      </c>
      <c r="N3927" s="112" t="s">
        <v>8847</v>
      </c>
    </row>
    <row r="3928" spans="2:16" hidden="1" outlineLevel="1">
      <c r="B3928" s="2" t="s">
        <v>876</v>
      </c>
      <c r="D3928" s="112" t="s">
        <v>486</v>
      </c>
      <c r="E3928" s="112" t="s">
        <v>8846</v>
      </c>
      <c r="F3928" s="229">
        <f>G3929+1</f>
        <v>495</v>
      </c>
      <c r="G3928" s="690">
        <v>704</v>
      </c>
      <c r="H3928" s="142">
        <v>4</v>
      </c>
      <c r="I3928" s="110" t="s">
        <v>7984</v>
      </c>
      <c r="J3928" s="112">
        <f>VLOOKUP(I3928,'eAdmin File'!U:Z,6,FALSE)/100</f>
        <v>0.17989999999999998</v>
      </c>
      <c r="K3928" s="110" t="s">
        <v>7985</v>
      </c>
      <c r="L3928" s="112">
        <f>VLOOKUP(K3928,'eAdmin File'!U:Z,6,FALSE)/100</f>
        <v>0.18590000000000001</v>
      </c>
      <c r="M3928" s="112" t="s">
        <v>8853</v>
      </c>
      <c r="N3928" s="112" t="s">
        <v>8846</v>
      </c>
    </row>
    <row r="3929" spans="2:16" hidden="1" outlineLevel="1">
      <c r="B3929" s="2" t="s">
        <v>876</v>
      </c>
      <c r="D3929" s="112" t="s">
        <v>486</v>
      </c>
      <c r="E3929" s="112" t="s">
        <v>8845</v>
      </c>
      <c r="F3929" s="229">
        <f>G3930+1</f>
        <v>401</v>
      </c>
      <c r="G3929" s="690">
        <v>494</v>
      </c>
      <c r="H3929" s="142">
        <v>5</v>
      </c>
      <c r="I3929" s="110" t="s">
        <v>7986</v>
      </c>
      <c r="J3929" s="112">
        <f>VLOOKUP(I3929,'eAdmin File'!U:Z,6,FALSE)/100</f>
        <v>0.19989999999999999</v>
      </c>
      <c r="K3929" s="110" t="s">
        <v>7987</v>
      </c>
      <c r="L3929" s="112">
        <f>VLOOKUP(K3929,'eAdmin File'!U:Z,6,FALSE)/100</f>
        <v>0.20579999999999998</v>
      </c>
      <c r="M3929" s="112" t="s">
        <v>8854</v>
      </c>
      <c r="N3929" s="112" t="s">
        <v>8845</v>
      </c>
    </row>
    <row r="3930" spans="2:16" hidden="1" outlineLevel="1">
      <c r="B3930" s="2" t="s">
        <v>876</v>
      </c>
      <c r="C3930" s="105" t="s">
        <v>8856</v>
      </c>
      <c r="D3930" s="112" t="s">
        <v>486</v>
      </c>
      <c r="E3930" s="112" t="s">
        <v>8844</v>
      </c>
      <c r="F3930" s="229">
        <v>0</v>
      </c>
      <c r="G3930" s="690">
        <v>400</v>
      </c>
      <c r="H3930" s="142">
        <v>6</v>
      </c>
      <c r="I3930" s="110" t="s">
        <v>7986</v>
      </c>
      <c r="J3930" s="112">
        <f>VLOOKUP(I3930,'eAdmin File'!U:Z,6,FALSE)/100</f>
        <v>0.19989999999999999</v>
      </c>
      <c r="K3930" s="110" t="s">
        <v>7987</v>
      </c>
      <c r="L3930" s="112">
        <f>VLOOKUP(K3930,'eAdmin File'!U:Z,6,FALSE)/100</f>
        <v>0.20579999999999998</v>
      </c>
      <c r="M3930" s="112" t="s">
        <v>8854</v>
      </c>
      <c r="N3930" s="112" t="s">
        <v>8844</v>
      </c>
    </row>
    <row r="3931" spans="2:16" hidden="1" outlineLevel="1">
      <c r="B3931" s="2" t="s">
        <v>876</v>
      </c>
      <c r="D3931" s="114" t="s">
        <v>484</v>
      </c>
      <c r="E3931" s="114" t="s">
        <v>8849</v>
      </c>
      <c r="F3931" s="114">
        <v>970</v>
      </c>
      <c r="G3931" s="261">
        <v>1200</v>
      </c>
      <c r="H3931" s="245">
        <v>1</v>
      </c>
      <c r="I3931" s="114" t="s">
        <v>7990</v>
      </c>
      <c r="J3931" s="114">
        <f>VLOOKUP(I3931,'eAdmin File'!U:Z,6,FALSE)/100</f>
        <v>7.4900000000000008E-2</v>
      </c>
      <c r="K3931" s="114" t="s">
        <v>7991</v>
      </c>
      <c r="L3931" s="114">
        <f>VLOOKUP(K3931,'eAdmin File'!U:Z,6,FALSE)/100</f>
        <v>8.1799999999999998E-2</v>
      </c>
      <c r="M3931" s="114" t="s">
        <v>8853</v>
      </c>
      <c r="N3931" s="114" t="s">
        <v>8849</v>
      </c>
    </row>
    <row r="3932" spans="2:16" hidden="1" outlineLevel="1">
      <c r="B3932" s="2" t="s">
        <v>876</v>
      </c>
      <c r="D3932" s="114" t="s">
        <v>484</v>
      </c>
      <c r="E3932" s="114" t="s">
        <v>8848</v>
      </c>
      <c r="F3932" s="114">
        <v>880</v>
      </c>
      <c r="G3932" s="261">
        <v>969</v>
      </c>
      <c r="H3932" s="245">
        <v>2</v>
      </c>
      <c r="I3932" s="114" t="s">
        <v>7992</v>
      </c>
      <c r="J3932" s="114">
        <f>VLOOKUP(I3932,'eAdmin File'!U:Z,6,FALSE)/100</f>
        <v>0.1099</v>
      </c>
      <c r="K3932" s="114" t="s">
        <v>7993</v>
      </c>
      <c r="L3932" s="114">
        <f>VLOOKUP(K3932,'eAdmin File'!U:Z,6,FALSE)/100</f>
        <v>0.11650000000000001</v>
      </c>
      <c r="M3932" s="114" t="s">
        <v>8854</v>
      </c>
      <c r="N3932" s="114" t="s">
        <v>8848</v>
      </c>
    </row>
    <row r="3933" spans="2:16" hidden="1" outlineLevel="1">
      <c r="B3933" s="2" t="s">
        <v>876</v>
      </c>
      <c r="D3933" s="114" t="s">
        <v>484</v>
      </c>
      <c r="E3933" s="114" t="s">
        <v>8847</v>
      </c>
      <c r="F3933" s="114">
        <v>705</v>
      </c>
      <c r="G3933" s="261">
        <v>879</v>
      </c>
      <c r="H3933" s="245">
        <v>3</v>
      </c>
      <c r="I3933" s="114" t="s">
        <v>7988</v>
      </c>
      <c r="J3933" s="114">
        <f>VLOOKUP(I3933,'eAdmin File'!U:Z,6,FALSE)/100</f>
        <v>0.1399</v>
      </c>
      <c r="K3933" s="114" t="s">
        <v>7989</v>
      </c>
      <c r="L3933" s="114">
        <f>VLOOKUP(K3933,'eAdmin File'!U:Z,6,FALSE)/100</f>
        <v>0.1462</v>
      </c>
      <c r="M3933" s="114" t="s">
        <v>8854</v>
      </c>
      <c r="N3933" s="114" t="s">
        <v>8847</v>
      </c>
    </row>
    <row r="3934" spans="2:16" hidden="1" outlineLevel="1">
      <c r="B3934" s="2" t="s">
        <v>876</v>
      </c>
      <c r="D3934" s="114" t="s">
        <v>484</v>
      </c>
      <c r="E3934" s="114" t="s">
        <v>8846</v>
      </c>
      <c r="F3934" s="114">
        <v>495</v>
      </c>
      <c r="G3934" s="261">
        <v>704</v>
      </c>
      <c r="H3934" s="245">
        <v>4</v>
      </c>
      <c r="I3934" s="114" t="s">
        <v>7994</v>
      </c>
      <c r="J3934" s="114">
        <f>VLOOKUP(I3934,'eAdmin File'!U:Z,6,FALSE)/100</f>
        <v>0.17989999999999998</v>
      </c>
      <c r="K3934" s="114" t="s">
        <v>7995</v>
      </c>
      <c r="L3934" s="114">
        <f>VLOOKUP(K3934,'eAdmin File'!U:Z,6,FALSE)/100</f>
        <v>0.18590000000000001</v>
      </c>
      <c r="M3934" s="114" t="s">
        <v>8853</v>
      </c>
      <c r="N3934" s="114" t="s">
        <v>8846</v>
      </c>
    </row>
    <row r="3935" spans="2:16" hidden="1" outlineLevel="1">
      <c r="B3935" s="2" t="s">
        <v>876</v>
      </c>
      <c r="D3935" s="114" t="s">
        <v>484</v>
      </c>
      <c r="E3935" s="114" t="s">
        <v>8845</v>
      </c>
      <c r="F3935" s="114">
        <v>401</v>
      </c>
      <c r="G3935" s="261">
        <v>494</v>
      </c>
      <c r="H3935" s="245">
        <v>5</v>
      </c>
      <c r="I3935" s="114" t="s">
        <v>7996</v>
      </c>
      <c r="J3935" s="114">
        <f>VLOOKUP(I3935,'eAdmin File'!U:Z,6,FALSE)/100</f>
        <v>0.19989999999999999</v>
      </c>
      <c r="K3935" s="114" t="s">
        <v>7997</v>
      </c>
      <c r="L3935" s="114">
        <f>VLOOKUP(K3935,'eAdmin File'!U:Z,6,FALSE)/100</f>
        <v>0.20579999999999998</v>
      </c>
      <c r="M3935" s="114" t="s">
        <v>8854</v>
      </c>
      <c r="N3935" s="114" t="s">
        <v>8845</v>
      </c>
    </row>
    <row r="3936" spans="2:16" hidden="1" outlineLevel="1">
      <c r="B3936" s="2" t="s">
        <v>876</v>
      </c>
      <c r="D3936" s="114" t="s">
        <v>484</v>
      </c>
      <c r="E3936" s="114" t="s">
        <v>8844</v>
      </c>
      <c r="F3936" s="114">
        <v>0</v>
      </c>
      <c r="G3936" s="261">
        <v>400</v>
      </c>
      <c r="H3936" s="245">
        <v>6</v>
      </c>
      <c r="I3936" s="114" t="s">
        <v>7996</v>
      </c>
      <c r="J3936" s="114">
        <f>VLOOKUP(I3936,'eAdmin File'!U:Z,6,FALSE)/100</f>
        <v>0.19989999999999999</v>
      </c>
      <c r="K3936" s="114" t="s">
        <v>7997</v>
      </c>
      <c r="L3936" s="114">
        <f>VLOOKUP(K3936,'eAdmin File'!U:Z,6,FALSE)/100</f>
        <v>0.20579999999999998</v>
      </c>
      <c r="M3936" s="114" t="s">
        <v>8854</v>
      </c>
      <c r="N3936" s="114" t="s">
        <v>8844</v>
      </c>
    </row>
    <row r="3937" spans="2:54" hidden="1" outlineLevel="1">
      <c r="B3937" s="2" t="s">
        <v>889</v>
      </c>
      <c r="J3937" s="61"/>
      <c r="K3937" s="61"/>
    </row>
    <row r="3938" spans="2:54" collapsed="1">
      <c r="B3938" s="2" t="s">
        <v>833</v>
      </c>
      <c r="C3938" s="246" t="s">
        <v>8545</v>
      </c>
      <c r="D3938" s="210" t="s">
        <v>843</v>
      </c>
      <c r="E3938" s="210" t="s">
        <v>844</v>
      </c>
      <c r="F3938" s="210" t="s">
        <v>845</v>
      </c>
      <c r="G3938" s="210" t="s">
        <v>846</v>
      </c>
      <c r="H3938" s="210" t="s">
        <v>847</v>
      </c>
      <c r="I3938" s="210" t="s">
        <v>848</v>
      </c>
      <c r="J3938" s="210" t="s">
        <v>849</v>
      </c>
      <c r="K3938" s="210" t="s">
        <v>850</v>
      </c>
      <c r="L3938" s="210" t="s">
        <v>8055</v>
      </c>
      <c r="M3938" s="210" t="s">
        <v>8168</v>
      </c>
      <c r="N3938" s="209" t="s">
        <v>8571</v>
      </c>
      <c r="O3938" s="210" t="s">
        <v>8755</v>
      </c>
      <c r="P3938" s="210" t="s">
        <v>8892</v>
      </c>
    </row>
    <row r="3939" spans="2:54" hidden="1" outlineLevel="1">
      <c r="B3939" s="2" t="s">
        <v>833</v>
      </c>
      <c r="C3939" s="145" t="s">
        <v>834</v>
      </c>
      <c r="D3939" s="145" t="s">
        <v>835</v>
      </c>
      <c r="E3939" s="207" t="s">
        <v>836</v>
      </c>
      <c r="BB3939" s="2" t="e">
        <f>#REF!+10000</f>
        <v>#REF!</v>
      </c>
    </row>
    <row r="3940" spans="2:54" hidden="1" outlineLevel="1">
      <c r="B3940" s="2" t="s">
        <v>837</v>
      </c>
      <c r="C3940" s="138" t="s">
        <v>8553</v>
      </c>
      <c r="D3940" s="112" t="s">
        <v>8518</v>
      </c>
      <c r="E3940" s="112" t="s">
        <v>353</v>
      </c>
      <c r="H3940" s="223"/>
      <c r="BB3940" s="2" t="e">
        <f>BB3939+10000</f>
        <v>#REF!</v>
      </c>
    </row>
    <row r="3941" spans="2:54" hidden="1" outlineLevel="1">
      <c r="B3941" s="2" t="s">
        <v>837</v>
      </c>
      <c r="C3941" s="138" t="s">
        <v>8554</v>
      </c>
      <c r="D3941" s="114" t="s">
        <v>8546</v>
      </c>
      <c r="E3941" s="114" t="s">
        <v>8563</v>
      </c>
      <c r="H3941" s="223"/>
      <c r="BB3941" s="2" t="e">
        <f>BB3940+10000</f>
        <v>#REF!</v>
      </c>
    </row>
    <row r="3942" spans="2:54" hidden="1" outlineLevel="1">
      <c r="B3942" s="2" t="s">
        <v>837</v>
      </c>
      <c r="C3942" s="138" t="s">
        <v>8555</v>
      </c>
      <c r="D3942" s="112" t="s">
        <v>8547</v>
      </c>
      <c r="E3942" s="112">
        <v>0</v>
      </c>
      <c r="H3942" s="223"/>
      <c r="BB3942" s="2" t="e">
        <f>BB3941+10000</f>
        <v>#REF!</v>
      </c>
    </row>
    <row r="3943" spans="2:54" hidden="1" outlineLevel="1">
      <c r="B3943" s="2" t="s">
        <v>837</v>
      </c>
      <c r="C3943" s="138" t="s">
        <v>8565</v>
      </c>
      <c r="D3943" s="114" t="s">
        <v>8548</v>
      </c>
      <c r="E3943" s="114">
        <v>0.1</v>
      </c>
      <c r="H3943" s="223"/>
    </row>
    <row r="3944" spans="2:54" hidden="1" outlineLevel="1">
      <c r="B3944" s="2" t="s">
        <v>837</v>
      </c>
      <c r="C3944" s="138" t="s">
        <v>8564</v>
      </c>
      <c r="D3944" s="112" t="s">
        <v>8549</v>
      </c>
      <c r="E3944" s="112">
        <v>15</v>
      </c>
      <c r="H3944" s="223"/>
      <c r="BB3944" s="2" t="e">
        <f>BB3942+10000</f>
        <v>#REF!</v>
      </c>
    </row>
    <row r="3945" spans="2:54" hidden="1" outlineLevel="1">
      <c r="B3945" s="2" t="s">
        <v>837</v>
      </c>
      <c r="C3945" s="138" t="s">
        <v>7927</v>
      </c>
      <c r="D3945" s="114" t="s">
        <v>8550</v>
      </c>
      <c r="E3945" s="114" t="s">
        <v>8537</v>
      </c>
      <c r="H3945" s="223"/>
      <c r="BB3945" s="2" t="e">
        <f>BB3942+10000</f>
        <v>#REF!</v>
      </c>
    </row>
    <row r="3946" spans="2:54" hidden="1" outlineLevel="1">
      <c r="B3946" s="2" t="s">
        <v>837</v>
      </c>
      <c r="C3946" s="138" t="s">
        <v>7927</v>
      </c>
      <c r="D3946" s="112" t="s">
        <v>8551</v>
      </c>
      <c r="E3946" s="506" t="s">
        <v>239</v>
      </c>
      <c r="H3946" s="223"/>
      <c r="BB3946" s="2">
        <f>BB3943+10000</f>
        <v>10000</v>
      </c>
    </row>
    <row r="3947" spans="2:54" hidden="1" outlineLevel="1">
      <c r="B3947" s="2" t="s">
        <v>837</v>
      </c>
      <c r="C3947" s="138" t="s">
        <v>8556</v>
      </c>
      <c r="D3947" s="114" t="s">
        <v>8552</v>
      </c>
      <c r="E3947" s="114">
        <v>0.25</v>
      </c>
      <c r="H3947" s="223"/>
      <c r="BB3947" s="2" t="e">
        <f>BB3945+10000</f>
        <v>#REF!</v>
      </c>
    </row>
    <row r="3948" spans="2:54" hidden="1" outlineLevel="1">
      <c r="B3948" s="2" t="s">
        <v>837</v>
      </c>
      <c r="C3948" s="138" t="s">
        <v>8557</v>
      </c>
      <c r="D3948" s="112" t="s">
        <v>8561</v>
      </c>
      <c r="E3948" s="112">
        <v>400000</v>
      </c>
      <c r="H3948" s="223"/>
      <c r="BB3948" s="2" t="e">
        <f>BB3945+10000</f>
        <v>#REF!</v>
      </c>
    </row>
    <row r="3949" spans="2:54" hidden="1" outlineLevel="1">
      <c r="B3949" s="2" t="s">
        <v>837</v>
      </c>
      <c r="C3949" s="138" t="s">
        <v>8558</v>
      </c>
      <c r="D3949" s="114" t="s">
        <v>8562</v>
      </c>
      <c r="E3949" s="114">
        <v>1000</v>
      </c>
      <c r="H3949" s="223"/>
      <c r="BB3949" s="2" t="e">
        <f>BB3948+10000</f>
        <v>#REF!</v>
      </c>
    </row>
    <row r="3950" spans="2:54" hidden="1" outlineLevel="1">
      <c r="B3950" s="2" t="s">
        <v>837</v>
      </c>
      <c r="C3950" s="138" t="s">
        <v>8559</v>
      </c>
      <c r="D3950" s="112" t="s">
        <v>8566</v>
      </c>
      <c r="E3950" s="112">
        <v>9900000</v>
      </c>
      <c r="H3950" s="223"/>
      <c r="BB3950" s="2" t="e">
        <f>BB3942+10000</f>
        <v>#REF!</v>
      </c>
    </row>
    <row r="3951" spans="2:54" hidden="1" outlineLevel="1">
      <c r="B3951" s="2" t="s">
        <v>837</v>
      </c>
      <c r="C3951" s="138" t="s">
        <v>8560</v>
      </c>
      <c r="D3951" s="114" t="s">
        <v>8567</v>
      </c>
      <c r="E3951" s="114">
        <v>25</v>
      </c>
      <c r="H3951" s="223"/>
      <c r="BB3951" s="2" t="e">
        <f>BB3945+10000</f>
        <v>#REF!</v>
      </c>
    </row>
    <row r="3952" spans="2:54" hidden="1" outlineLevel="1">
      <c r="B3952" s="2" t="s">
        <v>833</v>
      </c>
      <c r="C3952" s="206"/>
      <c r="BB3952" s="2" t="e">
        <f>BB3940+10000</f>
        <v>#REF!</v>
      </c>
    </row>
    <row r="3953" spans="2:16" collapsed="1">
      <c r="B3953" s="2" t="s">
        <v>833</v>
      </c>
      <c r="C3953" s="246" t="s">
        <v>4327</v>
      </c>
      <c r="D3953" s="209" t="s">
        <v>843</v>
      </c>
      <c r="E3953" s="209" t="s">
        <v>844</v>
      </c>
      <c r="F3953" s="209" t="s">
        <v>845</v>
      </c>
      <c r="G3953" s="210" t="s">
        <v>846</v>
      </c>
      <c r="H3953" s="209" t="s">
        <v>847</v>
      </c>
      <c r="I3953" s="210" t="s">
        <v>848</v>
      </c>
      <c r="J3953" s="209" t="s">
        <v>849</v>
      </c>
      <c r="K3953" s="210" t="s">
        <v>850</v>
      </c>
      <c r="L3953" s="210" t="s">
        <v>8055</v>
      </c>
      <c r="M3953" s="210" t="s">
        <v>8168</v>
      </c>
      <c r="N3953" s="210" t="s">
        <v>8571</v>
      </c>
      <c r="O3953" s="210" t="s">
        <v>8755</v>
      </c>
      <c r="P3953" s="210" t="s">
        <v>8892</v>
      </c>
    </row>
    <row r="3954" spans="2:16" hidden="1" outlineLevel="1">
      <c r="B3954" s="2" t="s">
        <v>833</v>
      </c>
      <c r="C3954" s="145" t="s">
        <v>834</v>
      </c>
      <c r="D3954" s="145" t="s">
        <v>835</v>
      </c>
      <c r="E3954" s="207" t="s">
        <v>836</v>
      </c>
    </row>
    <row r="3955" spans="2:16" hidden="1" outlineLevel="1">
      <c r="B3955" s="2" t="s">
        <v>837</v>
      </c>
      <c r="C3955" s="138" t="s">
        <v>4328</v>
      </c>
      <c r="D3955" s="114" t="s">
        <v>4329</v>
      </c>
      <c r="E3955" s="114" t="s">
        <v>8957</v>
      </c>
      <c r="H3955" s="223"/>
    </row>
    <row r="3956" spans="2:16" hidden="1" outlineLevel="1">
      <c r="B3956" s="2" t="s">
        <v>833</v>
      </c>
      <c r="C3956" s="206"/>
    </row>
    <row r="3957" spans="2:16" hidden="1" outlineLevel="1">
      <c r="B3957" s="2" t="s">
        <v>851</v>
      </c>
      <c r="D3957" s="102" t="s">
        <v>4330</v>
      </c>
      <c r="E3957" s="103"/>
      <c r="F3957" s="103"/>
      <c r="G3957" s="103"/>
      <c r="H3957" s="104"/>
    </row>
    <row r="3958" spans="2:16" hidden="1" outlineLevel="1">
      <c r="B3958" s="2" t="s">
        <v>833</v>
      </c>
      <c r="D3958" s="210" t="s">
        <v>843</v>
      </c>
      <c r="E3958" s="209" t="s">
        <v>844</v>
      </c>
      <c r="F3958" s="210" t="s">
        <v>845</v>
      </c>
      <c r="G3958" s="210" t="s">
        <v>846</v>
      </c>
      <c r="H3958" s="210" t="s">
        <v>847</v>
      </c>
      <c r="I3958" s="210" t="s">
        <v>848</v>
      </c>
      <c r="J3958" s="210" t="s">
        <v>849</v>
      </c>
      <c r="K3958" s="210" t="s">
        <v>850</v>
      </c>
      <c r="L3958" s="210" t="s">
        <v>8055</v>
      </c>
      <c r="M3958" s="210" t="s">
        <v>8168</v>
      </c>
      <c r="N3958" s="210" t="s">
        <v>8571</v>
      </c>
      <c r="O3958" s="210" t="s">
        <v>8755</v>
      </c>
      <c r="P3958" s="210" t="s">
        <v>8892</v>
      </c>
    </row>
    <row r="3959" spans="2:16" hidden="1" outlineLevel="1">
      <c r="B3959" s="2" t="s">
        <v>833</v>
      </c>
      <c r="D3959" s="226" t="s">
        <v>254</v>
      </c>
      <c r="E3959" s="226" t="s">
        <v>1287</v>
      </c>
      <c r="F3959" s="226" t="s">
        <v>4331</v>
      </c>
      <c r="G3959" s="226" t="s">
        <v>4332</v>
      </c>
      <c r="H3959" s="239" t="s">
        <v>1289</v>
      </c>
      <c r="L3959" s="239" t="s">
        <v>1289</v>
      </c>
    </row>
    <row r="3960" spans="2:16" hidden="1" outlineLevel="1">
      <c r="B3960" s="2" t="s">
        <v>874</v>
      </c>
      <c r="D3960" s="138" t="s">
        <v>293</v>
      </c>
      <c r="E3960" s="138" t="s">
        <v>4333</v>
      </c>
      <c r="F3960" s="138" t="s">
        <v>4334</v>
      </c>
      <c r="G3960" s="138" t="s">
        <v>4335</v>
      </c>
      <c r="H3960" s="138" t="s">
        <v>1238</v>
      </c>
      <c r="L3960" s="138" t="s">
        <v>1238</v>
      </c>
    </row>
    <row r="3961" spans="2:16" hidden="1" outlineLevel="1">
      <c r="B3961" s="2" t="s">
        <v>1294</v>
      </c>
      <c r="D3961" s="111" t="s">
        <v>1295</v>
      </c>
      <c r="E3961" s="111">
        <v>750000</v>
      </c>
      <c r="F3961" s="111" t="s">
        <v>4336</v>
      </c>
      <c r="G3961" s="111" t="b">
        <v>0</v>
      </c>
      <c r="H3961" s="112">
        <v>0</v>
      </c>
      <c r="L3961" s="112">
        <v>0</v>
      </c>
    </row>
    <row r="3962" spans="2:16" hidden="1" outlineLevel="1">
      <c r="B3962" s="2" t="s">
        <v>1294</v>
      </c>
      <c r="D3962" s="113" t="s">
        <v>1296</v>
      </c>
      <c r="E3962" s="1341">
        <v>600000</v>
      </c>
      <c r="F3962" s="113" t="s">
        <v>4337</v>
      </c>
      <c r="G3962" s="113" t="b">
        <v>0</v>
      </c>
      <c r="H3962" s="114">
        <v>10000</v>
      </c>
      <c r="L3962" s="114">
        <v>10000</v>
      </c>
    </row>
    <row r="3963" spans="2:16" hidden="1" outlineLevel="1">
      <c r="B3963" s="2" t="s">
        <v>1294</v>
      </c>
      <c r="D3963" s="113" t="s">
        <v>1296</v>
      </c>
      <c r="E3963" s="113">
        <v>750000</v>
      </c>
      <c r="F3963" s="113" t="s">
        <v>4338</v>
      </c>
      <c r="G3963" s="113" t="b">
        <v>0</v>
      </c>
      <c r="H3963" s="114">
        <v>10000</v>
      </c>
      <c r="L3963" s="114">
        <v>10000</v>
      </c>
    </row>
    <row r="3964" spans="2:16" hidden="1" outlineLevel="1">
      <c r="B3964" s="2" t="s">
        <v>1294</v>
      </c>
      <c r="D3964" s="111" t="s">
        <v>1297</v>
      </c>
      <c r="E3964" s="111">
        <v>99999999</v>
      </c>
      <c r="F3964" s="111" t="s">
        <v>4336</v>
      </c>
      <c r="G3964" s="111" t="b">
        <v>0</v>
      </c>
      <c r="H3964" s="112">
        <v>10000</v>
      </c>
      <c r="L3964" s="112">
        <v>10000</v>
      </c>
    </row>
    <row r="3965" spans="2:16" hidden="1" outlineLevel="1">
      <c r="B3965" s="2" t="s">
        <v>1294</v>
      </c>
      <c r="D3965" s="113" t="s">
        <v>1298</v>
      </c>
      <c r="E3965" s="113">
        <v>750000</v>
      </c>
      <c r="F3965" s="113" t="s">
        <v>4336</v>
      </c>
      <c r="G3965" s="113" t="b">
        <v>0</v>
      </c>
      <c r="H3965" s="1340">
        <v>30000</v>
      </c>
      <c r="L3965" s="114">
        <v>15000</v>
      </c>
    </row>
    <row r="3966" spans="2:16" hidden="1" outlineLevel="1">
      <c r="B3966" s="2" t="s">
        <v>1294</v>
      </c>
      <c r="D3966" s="111" t="s">
        <v>1300</v>
      </c>
      <c r="E3966" s="1341">
        <v>99999999</v>
      </c>
      <c r="F3966" s="111" t="s">
        <v>4336</v>
      </c>
      <c r="G3966" s="111" t="b">
        <v>0</v>
      </c>
      <c r="H3966" s="112">
        <v>15000</v>
      </c>
      <c r="L3966" s="112">
        <v>15000</v>
      </c>
    </row>
    <row r="3967" spans="2:16" hidden="1" outlineLevel="1">
      <c r="B3967" s="2" t="s">
        <v>1294</v>
      </c>
      <c r="D3967" s="113" t="s">
        <v>1301</v>
      </c>
      <c r="E3967" s="113">
        <v>99999999</v>
      </c>
      <c r="F3967" s="113" t="s">
        <v>4336</v>
      </c>
      <c r="G3967" s="113" t="b">
        <v>0</v>
      </c>
      <c r="H3967" s="1340">
        <v>10000</v>
      </c>
      <c r="L3967" s="114">
        <v>30000</v>
      </c>
    </row>
    <row r="3968" spans="2:16" hidden="1" outlineLevel="1">
      <c r="B3968" s="2" t="s">
        <v>1294</v>
      </c>
      <c r="D3968" s="111" t="s">
        <v>1302</v>
      </c>
      <c r="E3968" s="111">
        <v>750000</v>
      </c>
      <c r="F3968" s="111" t="s">
        <v>4336</v>
      </c>
      <c r="G3968" s="281" t="b">
        <v>0</v>
      </c>
      <c r="H3968" s="112">
        <v>10000</v>
      </c>
      <c r="L3968" s="112">
        <v>10000</v>
      </c>
    </row>
    <row r="3969" spans="2:16" hidden="1" outlineLevel="1">
      <c r="B3969" s="2" t="s">
        <v>1294</v>
      </c>
      <c r="D3969" s="113" t="s">
        <v>1303</v>
      </c>
      <c r="E3969" s="113">
        <v>750000</v>
      </c>
      <c r="F3969" s="113" t="s">
        <v>4336</v>
      </c>
      <c r="G3969" s="282" t="b">
        <v>1</v>
      </c>
      <c r="H3969" s="114">
        <v>10000</v>
      </c>
      <c r="L3969" s="114">
        <v>10000</v>
      </c>
    </row>
    <row r="3970" spans="2:16" hidden="1" outlineLevel="1">
      <c r="B3970" s="2" t="s">
        <v>860</v>
      </c>
    </row>
    <row r="3971" spans="2:16" hidden="1" outlineLevel="1">
      <c r="B3971" s="2" t="s">
        <v>851</v>
      </c>
      <c r="D3971" s="102" t="s">
        <v>4339</v>
      </c>
      <c r="E3971" s="103"/>
      <c r="F3971" s="103"/>
      <c r="G3971" s="103"/>
      <c r="H3971" s="103"/>
      <c r="I3971" s="103"/>
      <c r="J3971" s="104"/>
    </row>
    <row r="3972" spans="2:16" hidden="1" outlineLevel="1">
      <c r="B3972" s="2" t="s">
        <v>833</v>
      </c>
      <c r="D3972" s="209" t="s">
        <v>843</v>
      </c>
      <c r="E3972" s="210" t="s">
        <v>844</v>
      </c>
      <c r="F3972" s="209" t="s">
        <v>845</v>
      </c>
      <c r="G3972" s="210" t="s">
        <v>846</v>
      </c>
      <c r="H3972" s="209" t="s">
        <v>847</v>
      </c>
      <c r="I3972" s="210" t="s">
        <v>848</v>
      </c>
      <c r="J3972" s="209" t="s">
        <v>849</v>
      </c>
      <c r="K3972" s="210" t="s">
        <v>850</v>
      </c>
      <c r="L3972" s="210" t="s">
        <v>8055</v>
      </c>
      <c r="M3972" s="210" t="s">
        <v>8168</v>
      </c>
      <c r="N3972" s="210" t="s">
        <v>8571</v>
      </c>
      <c r="O3972" s="210" t="s">
        <v>8755</v>
      </c>
      <c r="P3972" s="210" t="s">
        <v>8892</v>
      </c>
    </row>
    <row r="3973" spans="2:16" hidden="1" outlineLevel="1">
      <c r="B3973" s="2" t="s">
        <v>833</v>
      </c>
      <c r="D3973" s="226" t="s">
        <v>254</v>
      </c>
      <c r="E3973" s="226" t="s">
        <v>1287</v>
      </c>
      <c r="F3973" s="226" t="s">
        <v>4331</v>
      </c>
      <c r="G3973" s="226" t="s">
        <v>1308</v>
      </c>
      <c r="H3973" s="226" t="s">
        <v>4332</v>
      </c>
      <c r="I3973" s="226" t="s">
        <v>4340</v>
      </c>
      <c r="J3973" s="239" t="s">
        <v>1289</v>
      </c>
      <c r="L3973" s="239" t="s">
        <v>1289</v>
      </c>
    </row>
    <row r="3974" spans="2:16" hidden="1" outlineLevel="1">
      <c r="B3974" s="2" t="s">
        <v>874</v>
      </c>
      <c r="C3974" s="105" t="s">
        <v>473</v>
      </c>
      <c r="D3974" s="138" t="s">
        <v>293</v>
      </c>
      <c r="E3974" s="138" t="s">
        <v>4333</v>
      </c>
      <c r="F3974" s="138" t="s">
        <v>4334</v>
      </c>
      <c r="G3974" s="138" t="s">
        <v>1320</v>
      </c>
      <c r="H3974" s="138" t="s">
        <v>4335</v>
      </c>
      <c r="I3974" s="138" t="s">
        <v>1480</v>
      </c>
      <c r="J3974" s="138" t="s">
        <v>1238</v>
      </c>
      <c r="L3974" s="138" t="s">
        <v>1238</v>
      </c>
    </row>
    <row r="3975" spans="2:16" hidden="1" outlineLevel="1">
      <c r="B3975" s="2" t="s">
        <v>1294</v>
      </c>
      <c r="C3975" s="105"/>
      <c r="D3975" s="111" t="s">
        <v>1295</v>
      </c>
      <c r="E3975" s="111">
        <v>750000</v>
      </c>
      <c r="F3975" s="111" t="s">
        <v>4341</v>
      </c>
      <c r="G3975" s="111" t="b">
        <v>0</v>
      </c>
      <c r="H3975" s="111" t="b">
        <v>0</v>
      </c>
      <c r="I3975" s="111"/>
      <c r="J3975" s="112">
        <v>0</v>
      </c>
      <c r="L3975" s="112">
        <v>0</v>
      </c>
    </row>
    <row r="3976" spans="2:16" hidden="1" outlineLevel="1">
      <c r="B3976" s="2" t="s">
        <v>1294</v>
      </c>
      <c r="D3976" s="113" t="s">
        <v>1296</v>
      </c>
      <c r="E3976" s="1341">
        <v>600000</v>
      </c>
      <c r="F3976" s="113" t="s">
        <v>4337</v>
      </c>
      <c r="G3976" s="113" t="b">
        <v>0</v>
      </c>
      <c r="H3976" s="113" t="b">
        <v>0</v>
      </c>
      <c r="I3976" s="113"/>
      <c r="J3976" s="114">
        <v>10000</v>
      </c>
      <c r="L3976" s="114">
        <v>10000</v>
      </c>
    </row>
    <row r="3977" spans="2:16" hidden="1" outlineLevel="1">
      <c r="B3977" s="2" t="s">
        <v>1294</v>
      </c>
      <c r="D3977" s="113" t="s">
        <v>1296</v>
      </c>
      <c r="E3977" s="113">
        <v>750000</v>
      </c>
      <c r="F3977" s="113" t="s">
        <v>4342</v>
      </c>
      <c r="G3977" s="113" t="b">
        <v>0</v>
      </c>
      <c r="H3977" s="113" t="b">
        <v>0</v>
      </c>
      <c r="I3977" s="113"/>
      <c r="J3977" s="114">
        <v>10000</v>
      </c>
      <c r="L3977" s="114">
        <v>10000</v>
      </c>
    </row>
    <row r="3978" spans="2:16" hidden="1" outlineLevel="1">
      <c r="B3978" s="2" t="s">
        <v>1294</v>
      </c>
      <c r="D3978" s="111" t="s">
        <v>1297</v>
      </c>
      <c r="E3978" s="111">
        <v>99999999</v>
      </c>
      <c r="F3978" s="111" t="s">
        <v>4341</v>
      </c>
      <c r="G3978" s="111" t="b">
        <v>0</v>
      </c>
      <c r="H3978" s="111" t="b">
        <v>0</v>
      </c>
      <c r="I3978" s="111"/>
      <c r="J3978" s="112">
        <v>10000</v>
      </c>
      <c r="L3978" s="112">
        <v>10000</v>
      </c>
    </row>
    <row r="3979" spans="2:16" hidden="1" outlineLevel="1">
      <c r="B3979" s="2" t="s">
        <v>1294</v>
      </c>
      <c r="D3979" s="113" t="s">
        <v>1298</v>
      </c>
      <c r="E3979" s="113">
        <v>750000</v>
      </c>
      <c r="F3979" s="113" t="s">
        <v>4341</v>
      </c>
      <c r="G3979" s="113" t="b">
        <v>0</v>
      </c>
      <c r="H3979" s="113" t="b">
        <v>0</v>
      </c>
      <c r="I3979" s="113"/>
      <c r="J3979" s="1340">
        <v>30000</v>
      </c>
      <c r="L3979" s="114">
        <v>15000</v>
      </c>
    </row>
    <row r="3980" spans="2:16" hidden="1" outlineLevel="1">
      <c r="B3980" s="2" t="s">
        <v>1294</v>
      </c>
      <c r="D3980" s="111" t="s">
        <v>1300</v>
      </c>
      <c r="E3980" s="1341">
        <v>99999999</v>
      </c>
      <c r="F3980" s="111" t="s">
        <v>4341</v>
      </c>
      <c r="G3980" s="111" t="b">
        <v>0</v>
      </c>
      <c r="H3980" s="111" t="b">
        <v>0</v>
      </c>
      <c r="I3980" s="111"/>
      <c r="J3980" s="112">
        <v>15000</v>
      </c>
      <c r="L3980" s="112">
        <v>15000</v>
      </c>
    </row>
    <row r="3981" spans="2:16" hidden="1" outlineLevel="1">
      <c r="B3981" s="2" t="s">
        <v>1294</v>
      </c>
      <c r="D3981" s="113" t="s">
        <v>1301</v>
      </c>
      <c r="E3981" s="113">
        <v>99999999</v>
      </c>
      <c r="F3981" s="113" t="s">
        <v>4341</v>
      </c>
      <c r="G3981" s="113" t="b">
        <v>0</v>
      </c>
      <c r="H3981" s="113" t="b">
        <v>0</v>
      </c>
      <c r="I3981" s="113"/>
      <c r="J3981" s="1340">
        <v>10000</v>
      </c>
      <c r="L3981" s="114">
        <v>30000</v>
      </c>
    </row>
    <row r="3982" spans="2:16" hidden="1" outlineLevel="1">
      <c r="B3982" s="2" t="s">
        <v>1294</v>
      </c>
      <c r="D3982" s="111" t="s">
        <v>1302</v>
      </c>
      <c r="E3982" s="111">
        <v>750000</v>
      </c>
      <c r="F3982" s="111" t="s">
        <v>4341</v>
      </c>
      <c r="G3982" s="111" t="b">
        <v>0</v>
      </c>
      <c r="H3982" s="111" t="b">
        <v>0</v>
      </c>
      <c r="I3982" s="283" t="s">
        <v>8961</v>
      </c>
      <c r="J3982" s="112">
        <v>10000</v>
      </c>
      <c r="L3982" s="112">
        <v>10000</v>
      </c>
    </row>
    <row r="3983" spans="2:16" hidden="1" outlineLevel="1">
      <c r="B3983" s="2" t="s">
        <v>1294</v>
      </c>
      <c r="C3983" s="105"/>
      <c r="D3983" s="113" t="s">
        <v>1303</v>
      </c>
      <c r="E3983" s="268">
        <v>750000</v>
      </c>
      <c r="F3983" s="285" t="s">
        <v>4341</v>
      </c>
      <c r="G3983" s="286" t="b">
        <v>0</v>
      </c>
      <c r="H3983" s="113" t="b">
        <v>1</v>
      </c>
      <c r="I3983" s="285" t="s">
        <v>4343</v>
      </c>
      <c r="J3983" s="287">
        <v>10000</v>
      </c>
      <c r="L3983" s="287">
        <v>10000</v>
      </c>
    </row>
    <row r="3984" spans="2:16" hidden="1" outlineLevel="1">
      <c r="B3984" s="2" t="s">
        <v>1294</v>
      </c>
      <c r="C3984" s="105"/>
      <c r="D3984" s="113" t="s">
        <v>1303</v>
      </c>
      <c r="E3984" s="268">
        <v>1000000</v>
      </c>
      <c r="F3984" s="285" t="s">
        <v>4341</v>
      </c>
      <c r="G3984" s="286" t="b">
        <v>0</v>
      </c>
      <c r="H3984" s="113" t="b">
        <v>1</v>
      </c>
      <c r="I3984" s="285" t="s">
        <v>4344</v>
      </c>
      <c r="J3984" s="287">
        <v>10000</v>
      </c>
      <c r="L3984" s="287">
        <v>10000</v>
      </c>
    </row>
    <row r="3985" spans="2:16" hidden="1" outlineLevel="1">
      <c r="B3985" s="2" t="s">
        <v>1294</v>
      </c>
      <c r="C3985" s="105" t="s">
        <v>474</v>
      </c>
      <c r="D3985" s="113" t="s">
        <v>1303</v>
      </c>
      <c r="E3985" s="268">
        <v>750000</v>
      </c>
      <c r="F3985" s="285" t="s">
        <v>4341</v>
      </c>
      <c r="G3985" s="286" t="b">
        <v>0</v>
      </c>
      <c r="H3985" s="113" t="b">
        <v>1</v>
      </c>
      <c r="I3985" s="285"/>
      <c r="J3985" s="287">
        <v>10000</v>
      </c>
      <c r="L3985" s="287">
        <v>10000</v>
      </c>
    </row>
    <row r="3986" spans="2:16" hidden="1" outlineLevel="1">
      <c r="B3986" s="2" t="s">
        <v>860</v>
      </c>
    </row>
    <row r="3987" spans="2:16" hidden="1" outlineLevel="1">
      <c r="B3987" s="2" t="s">
        <v>851</v>
      </c>
      <c r="D3987" s="102" t="s">
        <v>4345</v>
      </c>
      <c r="E3987" s="104"/>
    </row>
    <row r="3988" spans="2:16" hidden="1" outlineLevel="1">
      <c r="B3988" s="2" t="s">
        <v>833</v>
      </c>
      <c r="D3988" s="210" t="s">
        <v>843</v>
      </c>
      <c r="E3988" s="209" t="s">
        <v>844</v>
      </c>
      <c r="F3988" s="210" t="s">
        <v>845</v>
      </c>
      <c r="G3988" s="210" t="s">
        <v>846</v>
      </c>
      <c r="H3988" s="210" t="s">
        <v>847</v>
      </c>
      <c r="I3988" s="210" t="s">
        <v>848</v>
      </c>
      <c r="J3988" s="210" t="s">
        <v>849</v>
      </c>
      <c r="K3988" s="210" t="s">
        <v>850</v>
      </c>
      <c r="L3988" s="210" t="s">
        <v>8055</v>
      </c>
      <c r="M3988" s="210" t="s">
        <v>8168</v>
      </c>
      <c r="N3988" s="210" t="s">
        <v>8571</v>
      </c>
      <c r="O3988" s="210" t="s">
        <v>8755</v>
      </c>
      <c r="P3988" s="210" t="s">
        <v>8892</v>
      </c>
    </row>
    <row r="3989" spans="2:16" hidden="1" outlineLevel="1">
      <c r="B3989" s="2" t="s">
        <v>833</v>
      </c>
      <c r="D3989" s="226" t="s">
        <v>254</v>
      </c>
      <c r="E3989" s="239" t="s">
        <v>4346</v>
      </c>
    </row>
    <row r="3990" spans="2:16" hidden="1" outlineLevel="1">
      <c r="B3990" s="2" t="s">
        <v>853</v>
      </c>
      <c r="D3990" s="111" t="s">
        <v>1295</v>
      </c>
      <c r="E3990" s="147" t="b">
        <v>1</v>
      </c>
    </row>
    <row r="3991" spans="2:16" hidden="1" outlineLevel="1">
      <c r="B3991" s="2" t="s">
        <v>853</v>
      </c>
      <c r="D3991" s="113" t="s">
        <v>1296</v>
      </c>
      <c r="E3991" s="217" t="b">
        <v>1</v>
      </c>
    </row>
    <row r="3992" spans="2:16" hidden="1" outlineLevel="1">
      <c r="B3992" s="2" t="s">
        <v>853</v>
      </c>
      <c r="D3992" s="111" t="s">
        <v>1297</v>
      </c>
      <c r="E3992" s="147" t="b">
        <v>1</v>
      </c>
    </row>
    <row r="3993" spans="2:16" hidden="1" outlineLevel="1">
      <c r="B3993" s="2" t="s">
        <v>853</v>
      </c>
      <c r="D3993" s="113" t="s">
        <v>1298</v>
      </c>
      <c r="E3993" s="217" t="b">
        <v>1</v>
      </c>
    </row>
    <row r="3994" spans="2:16" hidden="1" outlineLevel="1">
      <c r="B3994" s="2" t="s">
        <v>853</v>
      </c>
      <c r="D3994" s="111" t="s">
        <v>1300</v>
      </c>
      <c r="E3994" s="216" t="b">
        <v>1</v>
      </c>
    </row>
    <row r="3995" spans="2:16" hidden="1" outlineLevel="1">
      <c r="B3995" s="2" t="s">
        <v>853</v>
      </c>
      <c r="D3995" s="113" t="s">
        <v>1301</v>
      </c>
      <c r="E3995" s="217" t="b">
        <v>0</v>
      </c>
    </row>
    <row r="3996" spans="2:16" hidden="1" outlineLevel="1">
      <c r="B3996" s="2" t="s">
        <v>853</v>
      </c>
      <c r="D3996" s="111" t="s">
        <v>1302</v>
      </c>
      <c r="E3996" s="216" t="b">
        <v>1</v>
      </c>
    </row>
    <row r="3997" spans="2:16" hidden="1" outlineLevel="1">
      <c r="B3997" s="2" t="s">
        <v>853</v>
      </c>
      <c r="D3997" s="113" t="s">
        <v>1303</v>
      </c>
      <c r="E3997" s="217" t="b">
        <v>1</v>
      </c>
    </row>
    <row r="3998" spans="2:16" hidden="1" outlineLevel="1">
      <c r="B3998" s="2" t="s">
        <v>860</v>
      </c>
    </row>
    <row r="3999" spans="2:16" collapsed="1">
      <c r="B3999" s="2" t="s">
        <v>833</v>
      </c>
      <c r="C3999" s="246" t="s">
        <v>8169</v>
      </c>
      <c r="D3999" s="390" t="s">
        <v>843</v>
      </c>
      <c r="E3999" s="390" t="s">
        <v>844</v>
      </c>
      <c r="F3999" s="390" t="s">
        <v>845</v>
      </c>
      <c r="G3999" s="210" t="s">
        <v>846</v>
      </c>
      <c r="H3999" s="390" t="s">
        <v>847</v>
      </c>
      <c r="I3999" s="210" t="s">
        <v>848</v>
      </c>
      <c r="J3999" s="390" t="s">
        <v>849</v>
      </c>
      <c r="K3999" s="210" t="s">
        <v>850</v>
      </c>
      <c r="L3999" s="210" t="s">
        <v>8055</v>
      </c>
      <c r="M3999" s="209" t="s">
        <v>8168</v>
      </c>
      <c r="N3999" s="210" t="s">
        <v>8571</v>
      </c>
      <c r="O3999" s="210" t="s">
        <v>8755</v>
      </c>
      <c r="P3999" s="210" t="s">
        <v>8892</v>
      </c>
    </row>
    <row r="4000" spans="2:16" hidden="1" outlineLevel="1">
      <c r="B4000" s="2" t="s">
        <v>833</v>
      </c>
      <c r="C4000" s="145" t="s">
        <v>834</v>
      </c>
      <c r="D4000" s="145" t="s">
        <v>835</v>
      </c>
      <c r="E4000" s="207" t="s">
        <v>836</v>
      </c>
    </row>
    <row r="4001" spans="2:16" hidden="1" outlineLevel="1">
      <c r="B4001" s="2" t="s">
        <v>837</v>
      </c>
      <c r="C4001" s="138" t="s">
        <v>8171</v>
      </c>
      <c r="D4001" s="114" t="s">
        <v>8163</v>
      </c>
      <c r="E4001" s="114">
        <v>0.8</v>
      </c>
      <c r="H4001" s="223"/>
    </row>
    <row r="4002" spans="2:16" hidden="1" outlineLevel="1">
      <c r="B4002" s="2" t="s">
        <v>833</v>
      </c>
      <c r="C4002" s="206"/>
    </row>
    <row r="4003" spans="2:16" hidden="1" outlineLevel="1" collapsed="1">
      <c r="B4003" s="2" t="s">
        <v>851</v>
      </c>
      <c r="C4003" s="132" t="s">
        <v>8197</v>
      </c>
      <c r="D4003" s="102" t="s">
        <v>8170</v>
      </c>
      <c r="E4003" s="103"/>
      <c r="F4003" s="103"/>
      <c r="G4003" s="103"/>
      <c r="H4003" s="104"/>
    </row>
    <row r="4004" spans="2:16" hidden="1" outlineLevel="2">
      <c r="B4004" s="2" t="s">
        <v>833</v>
      </c>
      <c r="D4004" s="390" t="s">
        <v>843</v>
      </c>
      <c r="E4004" s="390" t="s">
        <v>844</v>
      </c>
      <c r="F4004" s="390" t="s">
        <v>845</v>
      </c>
      <c r="G4004" s="210" t="s">
        <v>846</v>
      </c>
      <c r="H4004" s="390" t="s">
        <v>847</v>
      </c>
      <c r="I4004" s="210" t="s">
        <v>848</v>
      </c>
      <c r="J4004" s="390" t="s">
        <v>849</v>
      </c>
      <c r="K4004" s="210" t="s">
        <v>850</v>
      </c>
      <c r="L4004" s="210" t="s">
        <v>8055</v>
      </c>
      <c r="M4004" s="209" t="s">
        <v>8168</v>
      </c>
      <c r="N4004" s="210" t="s">
        <v>8571</v>
      </c>
      <c r="O4004" s="210" t="s">
        <v>8755</v>
      </c>
      <c r="P4004" s="210" t="s">
        <v>8892</v>
      </c>
    </row>
    <row r="4005" spans="2:16" hidden="1" outlineLevel="2">
      <c r="B4005" s="2" t="s">
        <v>833</v>
      </c>
      <c r="D4005" s="226" t="s">
        <v>254</v>
      </c>
      <c r="E4005" s="207" t="s">
        <v>8199</v>
      </c>
      <c r="F4005" s="207" t="s">
        <v>8200</v>
      </c>
      <c r="G4005" s="207" t="s">
        <v>8201</v>
      </c>
      <c r="H4005" s="207" t="s">
        <v>8202</v>
      </c>
      <c r="I4005" s="207" t="s">
        <v>8203</v>
      </c>
      <c r="J4005" s="207" t="s">
        <v>8212</v>
      </c>
      <c r="K4005" s="207" t="s">
        <v>8204</v>
      </c>
    </row>
    <row r="4006" spans="2:16" hidden="1" outlineLevel="2">
      <c r="B4006" s="2" t="s">
        <v>874</v>
      </c>
      <c r="D4006" s="138" t="s">
        <v>293</v>
      </c>
      <c r="E4006" s="138" t="s">
        <v>8172</v>
      </c>
      <c r="F4006" s="138" t="s">
        <v>8173</v>
      </c>
      <c r="G4006" s="138" t="s">
        <v>8184</v>
      </c>
      <c r="H4006" s="138" t="s">
        <v>8186</v>
      </c>
      <c r="I4006" s="138" t="s">
        <v>8187</v>
      </c>
      <c r="J4006" s="138" t="s">
        <v>8188</v>
      </c>
      <c r="K4006" s="138" t="s">
        <v>8189</v>
      </c>
    </row>
    <row r="4007" spans="2:16" hidden="1" outlineLevel="2">
      <c r="B4007" s="2" t="s">
        <v>1294</v>
      </c>
      <c r="D4007" s="111" t="s">
        <v>1295</v>
      </c>
      <c r="E4007" s="111">
        <v>2.5000000000000001E-2</v>
      </c>
      <c r="F4007" s="111">
        <v>2000</v>
      </c>
      <c r="G4007" s="111">
        <v>4000</v>
      </c>
      <c r="H4007" s="112">
        <v>2000</v>
      </c>
      <c r="I4007" s="112">
        <v>10000</v>
      </c>
      <c r="J4007" s="112">
        <f t="shared" ref="J4007:J4014" si="25">160+VLOOKUP(D4007,MDF,2,FALSE)</f>
        <v>332</v>
      </c>
      <c r="K4007" s="112">
        <v>1000</v>
      </c>
    </row>
    <row r="4008" spans="2:16" hidden="1" outlineLevel="2">
      <c r="B4008" s="2" t="s">
        <v>1294</v>
      </c>
      <c r="D4008" s="113" t="s">
        <v>1296</v>
      </c>
      <c r="E4008" s="113">
        <v>2.5000000000000001E-2</v>
      </c>
      <c r="F4008" s="113">
        <v>2000</v>
      </c>
      <c r="G4008" s="113">
        <v>4000</v>
      </c>
      <c r="H4008" s="114">
        <v>2000</v>
      </c>
      <c r="I4008" s="114">
        <v>10000</v>
      </c>
      <c r="J4008" s="114">
        <f t="shared" si="25"/>
        <v>331.7</v>
      </c>
      <c r="K4008" s="114">
        <v>1000</v>
      </c>
    </row>
    <row r="4009" spans="2:16" hidden="1" outlineLevel="2">
      <c r="B4009" s="2" t="s">
        <v>1294</v>
      </c>
      <c r="D4009" s="111" t="s">
        <v>1297</v>
      </c>
      <c r="E4009" s="111">
        <v>2.5000000000000001E-2</v>
      </c>
      <c r="F4009" s="111">
        <v>2000</v>
      </c>
      <c r="G4009" s="111">
        <v>4000</v>
      </c>
      <c r="H4009" s="112">
        <v>2000</v>
      </c>
      <c r="I4009" s="112">
        <v>10000</v>
      </c>
      <c r="J4009" s="112">
        <f t="shared" si="25"/>
        <v>332</v>
      </c>
      <c r="K4009" s="112">
        <v>1000</v>
      </c>
    </row>
    <row r="4010" spans="2:16" hidden="1" outlineLevel="2">
      <c r="B4010" s="2" t="s">
        <v>1294</v>
      </c>
      <c r="D4010" s="113" t="s">
        <v>1298</v>
      </c>
      <c r="E4010" s="113">
        <v>2.5000000000000001E-2</v>
      </c>
      <c r="F4010" s="113">
        <v>2000</v>
      </c>
      <c r="G4010" s="113">
        <v>4000</v>
      </c>
      <c r="H4010" s="114">
        <v>2000</v>
      </c>
      <c r="I4010" s="114">
        <v>10000</v>
      </c>
      <c r="J4010" s="114">
        <f t="shared" si="25"/>
        <v>391.98</v>
      </c>
      <c r="K4010" s="114">
        <v>1000</v>
      </c>
    </row>
    <row r="4011" spans="2:16" hidden="1" outlineLevel="2">
      <c r="B4011" s="2" t="s">
        <v>1294</v>
      </c>
      <c r="D4011" s="111" t="s">
        <v>1300</v>
      </c>
      <c r="E4011" s="111">
        <v>2.5000000000000001E-2</v>
      </c>
      <c r="F4011" s="111">
        <v>2000</v>
      </c>
      <c r="G4011" s="111">
        <v>4000</v>
      </c>
      <c r="H4011" s="112">
        <v>2000</v>
      </c>
      <c r="I4011" s="112">
        <v>10000</v>
      </c>
      <c r="J4011" s="112">
        <f t="shared" si="25"/>
        <v>352</v>
      </c>
      <c r="K4011" s="112">
        <v>1000</v>
      </c>
    </row>
    <row r="4012" spans="2:16" hidden="1" outlineLevel="2">
      <c r="B4012" s="2" t="s">
        <v>1294</v>
      </c>
      <c r="D4012" s="113" t="s">
        <v>1301</v>
      </c>
      <c r="E4012" s="113">
        <v>2.5000000000000001E-2</v>
      </c>
      <c r="F4012" s="113">
        <v>2000</v>
      </c>
      <c r="G4012" s="113">
        <v>4000</v>
      </c>
      <c r="H4012" s="114">
        <v>2000</v>
      </c>
      <c r="I4012" s="114">
        <v>10000</v>
      </c>
      <c r="J4012" s="114">
        <f t="shared" si="25"/>
        <v>358.22</v>
      </c>
      <c r="K4012" s="114">
        <v>1000</v>
      </c>
    </row>
    <row r="4013" spans="2:16" hidden="1" outlineLevel="2">
      <c r="B4013" s="2" t="s">
        <v>1294</v>
      </c>
      <c r="D4013" s="111" t="s">
        <v>1302</v>
      </c>
      <c r="E4013" s="111">
        <v>2.5000000000000001E-2</v>
      </c>
      <c r="F4013" s="111">
        <v>2000</v>
      </c>
      <c r="G4013" s="111">
        <v>4000</v>
      </c>
      <c r="H4013" s="112">
        <v>2000</v>
      </c>
      <c r="I4013" s="112">
        <v>10000</v>
      </c>
      <c r="J4013" s="112">
        <f t="shared" si="25"/>
        <v>291.89999999999998</v>
      </c>
      <c r="K4013" s="112">
        <v>1000</v>
      </c>
    </row>
    <row r="4014" spans="2:16" hidden="1" outlineLevel="2">
      <c r="B4014" s="2" t="s">
        <v>1294</v>
      </c>
      <c r="D4014" s="113" t="s">
        <v>1303</v>
      </c>
      <c r="E4014" s="113">
        <v>2.5000000000000001E-2</v>
      </c>
      <c r="F4014" s="113">
        <v>2000</v>
      </c>
      <c r="G4014" s="113">
        <v>4000</v>
      </c>
      <c r="H4014" s="114">
        <v>2000</v>
      </c>
      <c r="I4014" s="114">
        <v>10000</v>
      </c>
      <c r="J4014" s="114">
        <f t="shared" si="25"/>
        <v>370.3</v>
      </c>
      <c r="K4014" s="114">
        <v>1000</v>
      </c>
    </row>
    <row r="4015" spans="2:16" hidden="1" outlineLevel="2">
      <c r="B4015" s="2" t="s">
        <v>860</v>
      </c>
    </row>
    <row r="4016" spans="2:16" hidden="1" outlineLevel="1" collapsed="1">
      <c r="B4016" s="2" t="s">
        <v>851</v>
      </c>
      <c r="C4016" s="132" t="s">
        <v>8198</v>
      </c>
      <c r="D4016" s="102" t="s">
        <v>8190</v>
      </c>
      <c r="E4016" s="103"/>
      <c r="F4016" s="103"/>
      <c r="G4016" s="103"/>
      <c r="H4016" s="104"/>
    </row>
    <row r="4017" spans="2:23" hidden="1" outlineLevel="2">
      <c r="B4017" s="2" t="s">
        <v>833</v>
      </c>
      <c r="D4017" s="390" t="s">
        <v>843</v>
      </c>
      <c r="E4017" s="390" t="s">
        <v>844</v>
      </c>
      <c r="F4017" s="390" t="s">
        <v>845</v>
      </c>
      <c r="G4017" s="210" t="s">
        <v>846</v>
      </c>
      <c r="H4017" s="390" t="s">
        <v>847</v>
      </c>
      <c r="I4017" s="210" t="s">
        <v>848</v>
      </c>
      <c r="J4017" s="390" t="s">
        <v>849</v>
      </c>
      <c r="K4017" s="210" t="s">
        <v>850</v>
      </c>
      <c r="L4017" s="210" t="s">
        <v>8055</v>
      </c>
      <c r="M4017" s="209" t="s">
        <v>8168</v>
      </c>
      <c r="N4017" s="210" t="s">
        <v>8571</v>
      </c>
      <c r="O4017" s="210" t="s">
        <v>8755</v>
      </c>
      <c r="P4017" s="210" t="s">
        <v>8892</v>
      </c>
    </row>
    <row r="4018" spans="2:23" hidden="1" outlineLevel="2">
      <c r="B4018" s="2" t="s">
        <v>833</v>
      </c>
      <c r="D4018" s="226" t="s">
        <v>254</v>
      </c>
      <c r="E4018" s="207" t="s">
        <v>8191</v>
      </c>
      <c r="F4018" s="207" t="s">
        <v>8192</v>
      </c>
      <c r="G4018" s="207" t="s">
        <v>8193</v>
      </c>
      <c r="H4018" s="207" t="s">
        <v>8194</v>
      </c>
      <c r="I4018" s="207" t="s">
        <v>8195</v>
      </c>
      <c r="J4018" s="207" t="s">
        <v>8196</v>
      </c>
    </row>
    <row r="4019" spans="2:23" hidden="1" outlineLevel="2">
      <c r="B4019" s="2" t="s">
        <v>874</v>
      </c>
      <c r="D4019" s="138" t="s">
        <v>293</v>
      </c>
      <c r="E4019" s="138" t="s">
        <v>8205</v>
      </c>
      <c r="F4019" s="138" t="s">
        <v>8206</v>
      </c>
      <c r="G4019" s="138" t="s">
        <v>8207</v>
      </c>
      <c r="H4019" s="138" t="s">
        <v>8208</v>
      </c>
      <c r="I4019" s="138" t="s">
        <v>8209</v>
      </c>
      <c r="J4019" s="138" t="s">
        <v>8210</v>
      </c>
    </row>
    <row r="4020" spans="2:23" hidden="1" outlineLevel="2">
      <c r="B4020" s="2" t="s">
        <v>1294</v>
      </c>
      <c r="D4020" s="111" t="s">
        <v>1295</v>
      </c>
      <c r="E4020" s="111">
        <v>25001</v>
      </c>
      <c r="F4020" s="111">
        <v>20001</v>
      </c>
      <c r="G4020" s="111">
        <v>10001</v>
      </c>
      <c r="H4020" s="112">
        <v>15001</v>
      </c>
      <c r="I4020" s="112">
        <v>17001</v>
      </c>
      <c r="J4020" s="112">
        <v>13001</v>
      </c>
    </row>
    <row r="4021" spans="2:23" hidden="1" outlineLevel="2">
      <c r="B4021" s="2" t="s">
        <v>1294</v>
      </c>
      <c r="D4021" s="113" t="s">
        <v>1296</v>
      </c>
      <c r="E4021" s="113">
        <v>25002</v>
      </c>
      <c r="F4021" s="113">
        <v>20002</v>
      </c>
      <c r="G4021" s="113">
        <v>10002</v>
      </c>
      <c r="H4021" s="114">
        <v>15002</v>
      </c>
      <c r="I4021" s="114">
        <v>17002</v>
      </c>
      <c r="J4021" s="114">
        <v>13002</v>
      </c>
    </row>
    <row r="4022" spans="2:23" hidden="1" outlineLevel="2">
      <c r="B4022" s="2" t="s">
        <v>1294</v>
      </c>
      <c r="D4022" s="111" t="s">
        <v>1297</v>
      </c>
      <c r="E4022" s="111">
        <v>25003</v>
      </c>
      <c r="F4022" s="111">
        <v>20003</v>
      </c>
      <c r="G4022" s="111">
        <v>10003</v>
      </c>
      <c r="H4022" s="112">
        <v>15003</v>
      </c>
      <c r="I4022" s="112">
        <v>17003</v>
      </c>
      <c r="J4022" s="112">
        <v>13003</v>
      </c>
    </row>
    <row r="4023" spans="2:23" hidden="1" outlineLevel="2">
      <c r="B4023" s="2" t="s">
        <v>1294</v>
      </c>
      <c r="D4023" s="113" t="s">
        <v>1298</v>
      </c>
      <c r="E4023" s="113">
        <v>25004</v>
      </c>
      <c r="F4023" s="113">
        <v>20004</v>
      </c>
      <c r="G4023" s="113">
        <v>10004</v>
      </c>
      <c r="H4023" s="114">
        <v>15004</v>
      </c>
      <c r="I4023" s="114">
        <v>17004</v>
      </c>
      <c r="J4023" s="114">
        <v>13004</v>
      </c>
    </row>
    <row r="4024" spans="2:23" hidden="1" outlineLevel="2">
      <c r="B4024" s="2" t="s">
        <v>1294</v>
      </c>
      <c r="D4024" s="111" t="s">
        <v>1300</v>
      </c>
      <c r="E4024" s="111">
        <v>25005</v>
      </c>
      <c r="F4024" s="111">
        <v>20005</v>
      </c>
      <c r="G4024" s="111">
        <v>10005</v>
      </c>
      <c r="H4024" s="112">
        <v>15005</v>
      </c>
      <c r="I4024" s="112">
        <v>17005</v>
      </c>
      <c r="J4024" s="112">
        <v>13005</v>
      </c>
    </row>
    <row r="4025" spans="2:23" hidden="1" outlineLevel="2">
      <c r="B4025" s="2" t="s">
        <v>1294</v>
      </c>
      <c r="D4025" s="113" t="s">
        <v>1301</v>
      </c>
      <c r="E4025" s="113">
        <v>25006</v>
      </c>
      <c r="F4025" s="113">
        <v>20006</v>
      </c>
      <c r="G4025" s="113">
        <v>10006</v>
      </c>
      <c r="H4025" s="114">
        <v>15006</v>
      </c>
      <c r="I4025" s="114">
        <v>17006</v>
      </c>
      <c r="J4025" s="114">
        <v>13006</v>
      </c>
    </row>
    <row r="4026" spans="2:23" hidden="1" outlineLevel="2">
      <c r="B4026" s="2" t="s">
        <v>1294</v>
      </c>
      <c r="D4026" s="111" t="s">
        <v>1302</v>
      </c>
      <c r="E4026" s="111">
        <v>25007</v>
      </c>
      <c r="F4026" s="111">
        <v>20007</v>
      </c>
      <c r="G4026" s="111">
        <v>10007</v>
      </c>
      <c r="H4026" s="112">
        <v>15007</v>
      </c>
      <c r="I4026" s="112">
        <v>17007</v>
      </c>
      <c r="J4026" s="112">
        <v>13007</v>
      </c>
    </row>
    <row r="4027" spans="2:23" hidden="1" outlineLevel="2">
      <c r="B4027" s="2" t="s">
        <v>1294</v>
      </c>
      <c r="D4027" s="113" t="s">
        <v>1303</v>
      </c>
      <c r="E4027" s="113">
        <v>25008</v>
      </c>
      <c r="F4027" s="113">
        <v>20008</v>
      </c>
      <c r="G4027" s="113">
        <v>10008</v>
      </c>
      <c r="H4027" s="114">
        <v>15008</v>
      </c>
      <c r="I4027" s="114">
        <v>17008</v>
      </c>
      <c r="J4027" s="114">
        <v>13008</v>
      </c>
    </row>
    <row r="4028" spans="2:23" hidden="1" outlineLevel="2">
      <c r="B4028" s="2" t="s">
        <v>860</v>
      </c>
    </row>
    <row r="4029" spans="2:23" hidden="1" outlineLevel="1" collapsed="1">
      <c r="B4029" s="2" t="s">
        <v>870</v>
      </c>
      <c r="C4029" s="132" t="s">
        <v>4890</v>
      </c>
      <c r="D4029" s="102" t="s">
        <v>8213</v>
      </c>
      <c r="E4029" s="103"/>
      <c r="F4029" s="103"/>
      <c r="G4029" s="103"/>
      <c r="H4029" s="103"/>
      <c r="I4029" s="103"/>
      <c r="J4029" s="103"/>
      <c r="K4029" s="103"/>
      <c r="L4029" s="104"/>
    </row>
    <row r="4030" spans="2:23" hidden="1" outlineLevel="2">
      <c r="B4030" s="2" t="s">
        <v>833</v>
      </c>
      <c r="C4030" s="45">
        <f>ROW(C4192)-ROW(C4029)-5</f>
        <v>158</v>
      </c>
      <c r="D4030" s="390" t="s">
        <v>843</v>
      </c>
      <c r="E4030" s="390" t="s">
        <v>844</v>
      </c>
      <c r="F4030" s="390" t="s">
        <v>845</v>
      </c>
      <c r="G4030" s="210" t="s">
        <v>846</v>
      </c>
      <c r="H4030" s="390" t="s">
        <v>847</v>
      </c>
      <c r="I4030" s="210" t="s">
        <v>848</v>
      </c>
      <c r="J4030" s="390" t="s">
        <v>849</v>
      </c>
      <c r="K4030" s="390" t="s">
        <v>850</v>
      </c>
      <c r="L4030" s="390" t="s">
        <v>8055</v>
      </c>
      <c r="M4030" s="209" t="s">
        <v>8168</v>
      </c>
      <c r="N4030" s="210" t="s">
        <v>8571</v>
      </c>
      <c r="O4030" s="210" t="s">
        <v>8755</v>
      </c>
      <c r="P4030" s="210" t="s">
        <v>8892</v>
      </c>
    </row>
    <row r="4031" spans="2:23" hidden="1" outlineLevel="2">
      <c r="B4031" s="2" t="s">
        <v>833</v>
      </c>
      <c r="C4031" s="2">
        <v>2</v>
      </c>
      <c r="D4031" s="145" t="s">
        <v>1215</v>
      </c>
      <c r="E4031" s="145" t="s">
        <v>8235</v>
      </c>
      <c r="F4031" s="145" t="s">
        <v>8236</v>
      </c>
      <c r="G4031" s="145" t="s">
        <v>8229</v>
      </c>
      <c r="H4031" s="145" t="s">
        <v>8230</v>
      </c>
      <c r="I4031" s="145" t="s">
        <v>4221</v>
      </c>
      <c r="J4031" s="145" t="s">
        <v>4222</v>
      </c>
      <c r="K4031" s="145" t="s">
        <v>8169</v>
      </c>
      <c r="L4031" s="145" t="s">
        <v>8491</v>
      </c>
      <c r="M4031" s="227" t="s">
        <v>4811</v>
      </c>
      <c r="N4031" s="227" t="s">
        <v>4224</v>
      </c>
      <c r="O4031" s="227" t="s">
        <v>4228</v>
      </c>
      <c r="P4031" s="227" t="s">
        <v>8216</v>
      </c>
      <c r="Q4031" s="227" t="s">
        <v>8490</v>
      </c>
      <c r="R4031" s="227" t="s">
        <v>8474</v>
      </c>
      <c r="S4031" s="227" t="s">
        <v>8472</v>
      </c>
      <c r="T4031" s="227" t="s">
        <v>4229</v>
      </c>
      <c r="U4031" s="227" t="s">
        <v>4229</v>
      </c>
      <c r="V4031" s="227" t="s">
        <v>8475</v>
      </c>
      <c r="W4031" s="227" t="s">
        <v>8473</v>
      </c>
    </row>
    <row r="4032" spans="2:23" hidden="1" outlineLevel="2">
      <c r="B4032" s="2" t="s">
        <v>874</v>
      </c>
      <c r="C4032" s="2">
        <v>3</v>
      </c>
      <c r="D4032" s="138" t="s">
        <v>8429</v>
      </c>
      <c r="E4032" s="138" t="s">
        <v>8214</v>
      </c>
      <c r="F4032" s="138" t="s">
        <v>8215</v>
      </c>
      <c r="G4032" s="138" t="s">
        <v>8217</v>
      </c>
      <c r="H4032" s="138" t="s">
        <v>8219</v>
      </c>
      <c r="I4032" s="138" t="s">
        <v>8484</v>
      </c>
      <c r="J4032" s="138" t="s">
        <v>8485</v>
      </c>
      <c r="K4032" s="138" t="s">
        <v>8486</v>
      </c>
      <c r="L4032" s="138" t="s">
        <v>8489</v>
      </c>
      <c r="M4032" s="138" t="s">
        <v>8231</v>
      </c>
      <c r="N4032" s="138" t="s">
        <v>8232</v>
      </c>
      <c r="O4032" s="138" t="s">
        <v>293</v>
      </c>
      <c r="P4032" s="138" t="s">
        <v>8233</v>
      </c>
      <c r="Q4032" s="138" t="s">
        <v>293</v>
      </c>
      <c r="R4032" s="138" t="s">
        <v>8412</v>
      </c>
      <c r="S4032" s="138" t="s">
        <v>8421</v>
      </c>
      <c r="T4032" s="138" t="s">
        <v>8487</v>
      </c>
      <c r="U4032" s="138" t="s">
        <v>293</v>
      </c>
      <c r="V4032" s="138" t="s">
        <v>8431</v>
      </c>
      <c r="W4032" s="138" t="s">
        <v>8488</v>
      </c>
    </row>
    <row r="4033" spans="2:23" hidden="1" outlineLevel="2">
      <c r="B4033" s="2" t="s">
        <v>876</v>
      </c>
      <c r="C4033" s="2">
        <v>4</v>
      </c>
      <c r="D4033" s="114" t="b">
        <v>0</v>
      </c>
      <c r="E4033" s="114"/>
      <c r="F4033" s="114">
        <v>60</v>
      </c>
      <c r="G4033" s="114">
        <v>50000</v>
      </c>
      <c r="H4033" s="114"/>
      <c r="I4033" s="114" t="s">
        <v>4317</v>
      </c>
      <c r="J4033" s="114" t="s">
        <v>4247</v>
      </c>
      <c r="K4033" s="114" t="b">
        <v>1</v>
      </c>
      <c r="L4033" s="114"/>
      <c r="M4033" s="215" t="s">
        <v>8687</v>
      </c>
      <c r="N4033" s="236" t="s">
        <v>6153</v>
      </c>
      <c r="O4033" s="236" t="str">
        <f>VLOOKUP(N4033,Table15[[code9]:[ratevalue]],6,FALSE)</f>
        <v>6.14</v>
      </c>
      <c r="P4033" s="236" t="s">
        <v>6154</v>
      </c>
      <c r="Q4033" s="236" t="str">
        <f>VLOOKUP(P4033,Table15[[code9]:[ratevalue]],6,FALSE)</f>
        <v>6.14</v>
      </c>
      <c r="R4033" s="236" t="s">
        <v>6074</v>
      </c>
      <c r="S4033" s="236" t="s">
        <v>4758</v>
      </c>
      <c r="T4033" s="236"/>
      <c r="U4033" s="236" t="str">
        <f>IF(ISNA(VLOOKUP(T4033,Table15[[code9]:[ratevalue]],6,FALSE)),"",VLOOKUP(T4033,Table15[[code9]:[ratevalue]],6,FALSE))</f>
        <v/>
      </c>
      <c r="V4033" s="236" t="s">
        <v>1485</v>
      </c>
      <c r="W4033" s="236" t="s">
        <v>1485</v>
      </c>
    </row>
    <row r="4034" spans="2:23" hidden="1" outlineLevel="2">
      <c r="B4034" s="2" t="s">
        <v>876</v>
      </c>
      <c r="C4034" s="2">
        <v>5</v>
      </c>
      <c r="D4034" s="114" t="b">
        <v>0</v>
      </c>
      <c r="E4034" s="114"/>
      <c r="F4034" s="114">
        <v>60</v>
      </c>
      <c r="G4034" s="114"/>
      <c r="H4034" s="114">
        <v>50000</v>
      </c>
      <c r="I4034" s="114" t="s">
        <v>4317</v>
      </c>
      <c r="J4034" s="114" t="s">
        <v>4247</v>
      </c>
      <c r="K4034" s="114" t="b">
        <v>1</v>
      </c>
      <c r="L4034" s="114"/>
      <c r="M4034" s="215" t="s">
        <v>488</v>
      </c>
      <c r="N4034" s="236" t="s">
        <v>4759</v>
      </c>
      <c r="O4034" s="236" t="str">
        <f>VLOOKUP(N4034,Table15[[code9]:[ratevalue]],6,FALSE)</f>
        <v>7.74</v>
      </c>
      <c r="P4034" s="236" t="s">
        <v>6143</v>
      </c>
      <c r="Q4034" s="236" t="str">
        <f>VLOOKUP(P4034,Table15[[code9]:[ratevalue]],6,FALSE)</f>
        <v>7.74</v>
      </c>
      <c r="R4034" s="236" t="s">
        <v>6074</v>
      </c>
      <c r="S4034" s="236" t="s">
        <v>4758</v>
      </c>
      <c r="T4034" s="236"/>
      <c r="U4034" s="236" t="str">
        <f>IF(ISNA(VLOOKUP(T4034,Table15[[code9]:[ratevalue]],6,FALSE)),"",VLOOKUP(T4034,Table15[[code9]:[ratevalue]],6,FALSE))</f>
        <v/>
      </c>
      <c r="V4034" s="236" t="s">
        <v>1485</v>
      </c>
      <c r="W4034" s="236" t="s">
        <v>1485</v>
      </c>
    </row>
    <row r="4035" spans="2:23" hidden="1" outlineLevel="2">
      <c r="B4035" s="2" t="s">
        <v>876</v>
      </c>
      <c r="C4035" s="2">
        <v>6</v>
      </c>
      <c r="D4035" s="114" t="b">
        <v>0</v>
      </c>
      <c r="E4035" s="114"/>
      <c r="F4035" s="114">
        <v>60</v>
      </c>
      <c r="G4035" s="114"/>
      <c r="H4035" s="114"/>
      <c r="I4035" s="114" t="s">
        <v>4311</v>
      </c>
      <c r="J4035" s="114" t="s">
        <v>4247</v>
      </c>
      <c r="K4035" s="114" t="b">
        <v>1</v>
      </c>
      <c r="L4035" s="114"/>
      <c r="M4035" s="215" t="s">
        <v>8223</v>
      </c>
      <c r="N4035" s="236" t="s">
        <v>6397</v>
      </c>
      <c r="O4035" s="236" t="str">
        <f>VLOOKUP(N4035,Table15[[code9]:[ratevalue]],6,FALSE)</f>
        <v>6.99</v>
      </c>
      <c r="P4035" s="236" t="s">
        <v>6398</v>
      </c>
      <c r="Q4035" s="236" t="str">
        <f>VLOOKUP(P4035,Table15[[code9]:[ratevalue]],6,FALSE)</f>
        <v>6.99</v>
      </c>
      <c r="R4035" s="236" t="s">
        <v>6074</v>
      </c>
      <c r="S4035" s="236" t="s">
        <v>6395</v>
      </c>
      <c r="T4035" s="236"/>
      <c r="U4035" s="236" t="str">
        <f>IF(ISNA(VLOOKUP(T4035,Table15[[code9]:[ratevalue]],6,FALSE)),"",VLOOKUP(T4035,Table15[[code9]:[ratevalue]],6,FALSE))</f>
        <v/>
      </c>
      <c r="V4035" s="236" t="s">
        <v>1485</v>
      </c>
      <c r="W4035" s="236" t="s">
        <v>1485</v>
      </c>
    </row>
    <row r="4036" spans="2:23" hidden="1" outlineLevel="2">
      <c r="B4036" s="2" t="s">
        <v>876</v>
      </c>
      <c r="C4036" s="2">
        <v>7</v>
      </c>
      <c r="D4036" s="114" t="b">
        <v>0</v>
      </c>
      <c r="E4036" s="114"/>
      <c r="F4036" s="114">
        <v>60</v>
      </c>
      <c r="G4036" s="114"/>
      <c r="H4036" s="114"/>
      <c r="I4036" s="114" t="s">
        <v>4246</v>
      </c>
      <c r="J4036" s="114" t="s">
        <v>4247</v>
      </c>
      <c r="K4036" s="114" t="b">
        <v>1</v>
      </c>
      <c r="L4036" s="114">
        <v>1</v>
      </c>
      <c r="M4036" s="215" t="s">
        <v>8226</v>
      </c>
      <c r="N4036" s="236" t="s">
        <v>6407</v>
      </c>
      <c r="O4036" s="236" t="str">
        <f>VLOOKUP(N4036,Table15[[code9]:[ratevalue]],6,FALSE)</f>
        <v>5.89</v>
      </c>
      <c r="P4036" s="236" t="s">
        <v>6409</v>
      </c>
      <c r="Q4036" s="236" t="str">
        <f>VLOOKUP(P4036,Table15[[code9]:[ratevalue]],6,FALSE)</f>
        <v>6.66</v>
      </c>
      <c r="R4036" s="236" t="s">
        <v>6074</v>
      </c>
      <c r="S4036" s="236" t="s">
        <v>6405</v>
      </c>
      <c r="T4036" s="236" t="s">
        <v>6397</v>
      </c>
      <c r="U4036" s="236" t="str">
        <f>IF(ISNA(VLOOKUP(T4036,Table15[[code9]:[ratevalue]],6,FALSE)),"",VLOOKUP(T4036,Table15[[code9]:[ratevalue]],6,FALSE))</f>
        <v>6.99</v>
      </c>
      <c r="V4036" s="236" t="s">
        <v>6074</v>
      </c>
      <c r="W4036" s="236" t="s">
        <v>6395</v>
      </c>
    </row>
    <row r="4037" spans="2:23" hidden="1" outlineLevel="2">
      <c r="B4037" s="2" t="s">
        <v>876</v>
      </c>
      <c r="C4037" s="2">
        <v>8</v>
      </c>
      <c r="D4037" s="114" t="b">
        <v>0</v>
      </c>
      <c r="E4037" s="114"/>
      <c r="F4037" s="114">
        <v>60</v>
      </c>
      <c r="G4037" s="114"/>
      <c r="H4037" s="114"/>
      <c r="I4037" s="114" t="s">
        <v>4246</v>
      </c>
      <c r="J4037" s="114" t="s">
        <v>4247</v>
      </c>
      <c r="K4037" s="114" t="b">
        <v>1</v>
      </c>
      <c r="L4037" s="114">
        <v>2</v>
      </c>
      <c r="M4037" s="215" t="s">
        <v>8227</v>
      </c>
      <c r="N4037" s="236" t="s">
        <v>6412</v>
      </c>
      <c r="O4037" s="236" t="str">
        <f>VLOOKUP(N4037,Table15[[code9]:[ratevalue]],6,FALSE)</f>
        <v>5.74</v>
      </c>
      <c r="P4037" s="236" t="s">
        <v>6414</v>
      </c>
      <c r="Q4037" s="236" t="str">
        <f>VLOOKUP(P4037,Table15[[code9]:[ratevalue]],6,FALSE)</f>
        <v>6.74</v>
      </c>
      <c r="R4037" s="236" t="s">
        <v>6074</v>
      </c>
      <c r="S4037" s="236" t="s">
        <v>6405</v>
      </c>
      <c r="T4037" s="236" t="s">
        <v>6397</v>
      </c>
      <c r="U4037" s="236" t="str">
        <f>IF(ISNA(VLOOKUP(T4037,Table15[[code9]:[ratevalue]],6,FALSE)),"",VLOOKUP(T4037,Table15[[code9]:[ratevalue]],6,FALSE))</f>
        <v>6.99</v>
      </c>
      <c r="V4037" s="236" t="s">
        <v>6074</v>
      </c>
      <c r="W4037" s="236" t="s">
        <v>6395</v>
      </c>
    </row>
    <row r="4038" spans="2:23" hidden="1" outlineLevel="2">
      <c r="B4038" s="2" t="s">
        <v>876</v>
      </c>
      <c r="C4038" s="2">
        <v>9</v>
      </c>
      <c r="D4038" s="114" t="b">
        <v>0</v>
      </c>
      <c r="E4038" s="114"/>
      <c r="F4038" s="114">
        <v>60</v>
      </c>
      <c r="G4038" s="114"/>
      <c r="H4038" s="114"/>
      <c r="I4038" s="114" t="s">
        <v>4246</v>
      </c>
      <c r="J4038" s="114" t="s">
        <v>4247</v>
      </c>
      <c r="K4038" s="114" t="b">
        <v>1</v>
      </c>
      <c r="L4038" s="114">
        <v>3</v>
      </c>
      <c r="M4038" s="215" t="s">
        <v>8228</v>
      </c>
      <c r="N4038" s="236" t="s">
        <v>6417</v>
      </c>
      <c r="O4038" s="236" t="str">
        <f>VLOOKUP(N4038,Table15[[code9]:[ratevalue]],6,FALSE)</f>
        <v>5.74</v>
      </c>
      <c r="P4038" s="236" t="s">
        <v>6419</v>
      </c>
      <c r="Q4038" s="236" t="str">
        <f>VLOOKUP(P4038,Table15[[code9]:[ratevalue]],6,FALSE)</f>
        <v>6.63</v>
      </c>
      <c r="R4038" s="236" t="s">
        <v>6074</v>
      </c>
      <c r="S4038" s="236" t="s">
        <v>6405</v>
      </c>
      <c r="T4038" s="236" t="s">
        <v>6397</v>
      </c>
      <c r="U4038" s="236" t="str">
        <f>IF(ISNA(VLOOKUP(T4038,Table15[[code9]:[ratevalue]],6,FALSE)),"",VLOOKUP(T4038,Table15[[code9]:[ratevalue]],6,FALSE))</f>
        <v>6.99</v>
      </c>
      <c r="V4038" s="236" t="s">
        <v>6074</v>
      </c>
      <c r="W4038" s="236" t="s">
        <v>6395</v>
      </c>
    </row>
    <row r="4039" spans="2:23" hidden="1" outlineLevel="2">
      <c r="B4039" s="2" t="s">
        <v>876</v>
      </c>
      <c r="C4039" s="2">
        <v>10</v>
      </c>
      <c r="D4039" s="114" t="b">
        <v>0</v>
      </c>
      <c r="E4039" s="114"/>
      <c r="F4039" s="114">
        <v>60</v>
      </c>
      <c r="G4039" s="114"/>
      <c r="H4039" s="114"/>
      <c r="I4039" s="114" t="s">
        <v>4246</v>
      </c>
      <c r="J4039" s="114" t="s">
        <v>4247</v>
      </c>
      <c r="K4039" s="114" t="b">
        <v>0</v>
      </c>
      <c r="L4039" s="114">
        <v>4</v>
      </c>
      <c r="M4039" s="215" t="s">
        <v>8476</v>
      </c>
      <c r="N4039" s="236" t="s">
        <v>6422</v>
      </c>
      <c r="O4039" s="236" t="str">
        <f>VLOOKUP(N4039,Table15[[code9]:[ratevalue]],6,FALSE)</f>
        <v>5.89</v>
      </c>
      <c r="P4039" s="236" t="s">
        <v>6424</v>
      </c>
      <c r="Q4039" s="236" t="str">
        <f>VLOOKUP(P4039,Table15[[code9]:[ratevalue]],6,FALSE)</f>
        <v>6.59</v>
      </c>
      <c r="R4039" s="236" t="s">
        <v>6074</v>
      </c>
      <c r="S4039" s="236" t="s">
        <v>6405</v>
      </c>
      <c r="T4039" s="236" t="s">
        <v>6397</v>
      </c>
      <c r="U4039" s="236" t="str">
        <f>IF(ISNA(VLOOKUP(T4039,Table15[[code9]:[ratevalue]],6,FALSE)),"",VLOOKUP(T4039,Table15[[code9]:[ratevalue]],6,FALSE))</f>
        <v>6.99</v>
      </c>
      <c r="V4039" s="236" t="s">
        <v>6074</v>
      </c>
      <c r="W4039" s="236" t="s">
        <v>6395</v>
      </c>
    </row>
    <row r="4040" spans="2:23" hidden="1" outlineLevel="2">
      <c r="B4040" s="2" t="s">
        <v>876</v>
      </c>
      <c r="C4040" s="2">
        <v>11</v>
      </c>
      <c r="D4040" s="114" t="b">
        <v>0</v>
      </c>
      <c r="E4040" s="114"/>
      <c r="F4040" s="114">
        <v>60</v>
      </c>
      <c r="G4040" s="114"/>
      <c r="H4040" s="114"/>
      <c r="I4040" s="114" t="s">
        <v>4246</v>
      </c>
      <c r="J4040" s="114" t="s">
        <v>4247</v>
      </c>
      <c r="K4040" s="114" t="b">
        <v>0</v>
      </c>
      <c r="L4040" s="114">
        <v>5</v>
      </c>
      <c r="M4040" s="215" t="s">
        <v>8477</v>
      </c>
      <c r="N4040" s="236" t="s">
        <v>6427</v>
      </c>
      <c r="O4040" s="236" t="str">
        <f>VLOOKUP(N4040,Table15[[code9]:[ratevalue]],6,FALSE)</f>
        <v>5.99</v>
      </c>
      <c r="P4040" s="236" t="s">
        <v>6429</v>
      </c>
      <c r="Q4040" s="236" t="str">
        <f>VLOOKUP(P4040,Table15[[code9]:[ratevalue]],6,FALSE)</f>
        <v>6.55</v>
      </c>
      <c r="R4040" s="236" t="s">
        <v>6074</v>
      </c>
      <c r="S4040" s="236" t="s">
        <v>6405</v>
      </c>
      <c r="T4040" s="236" t="s">
        <v>6397</v>
      </c>
      <c r="U4040" s="236" t="str">
        <f>IF(ISNA(VLOOKUP(T4040,Table15[[code9]:[ratevalue]],6,FALSE)),"",VLOOKUP(T4040,Table15[[code9]:[ratevalue]],6,FALSE))</f>
        <v>6.99</v>
      </c>
      <c r="V4040" s="236" t="s">
        <v>6074</v>
      </c>
      <c r="W4040" s="236" t="s">
        <v>6395</v>
      </c>
    </row>
    <row r="4041" spans="2:23" hidden="1" outlineLevel="2">
      <c r="B4041" s="2" t="s">
        <v>876</v>
      </c>
      <c r="C4041" s="2">
        <v>4</v>
      </c>
      <c r="D4041" s="112" t="b">
        <v>0</v>
      </c>
      <c r="E4041" s="112">
        <v>60</v>
      </c>
      <c r="F4041" s="112">
        <v>70</v>
      </c>
      <c r="G4041" s="112">
        <v>50000</v>
      </c>
      <c r="H4041" s="112"/>
      <c r="I4041" s="112" t="s">
        <v>4317</v>
      </c>
      <c r="J4041" s="112" t="s">
        <v>4247</v>
      </c>
      <c r="K4041" s="112" t="b">
        <v>1</v>
      </c>
      <c r="L4041" s="112"/>
      <c r="M4041" s="147" t="s">
        <v>8221</v>
      </c>
      <c r="N4041" s="229" t="s">
        <v>6149</v>
      </c>
      <c r="O4041" s="236" t="str">
        <f>VLOOKUP(N4041,Table15[[code9]:[ratevalue]],6,FALSE)</f>
        <v>6.19</v>
      </c>
      <c r="P4041" s="229" t="s">
        <v>6150</v>
      </c>
      <c r="Q4041" s="236" t="str">
        <f>VLOOKUP(P4041,Table15[[code9]:[ratevalue]],6,FALSE)</f>
        <v>6.19</v>
      </c>
      <c r="R4041" s="229" t="s">
        <v>6074</v>
      </c>
      <c r="S4041" s="229" t="s">
        <v>4758</v>
      </c>
      <c r="T4041" s="229"/>
      <c r="U4041" s="236" t="str">
        <f>IF(ISNA(VLOOKUP(T4041,Table15[[code9]:[ratevalue]],6,FALSE)),"",VLOOKUP(T4041,Table15[[code9]:[ratevalue]],6,FALSE))</f>
        <v/>
      </c>
      <c r="V4041" s="229" t="s">
        <v>1485</v>
      </c>
      <c r="W4041" s="229" t="s">
        <v>1485</v>
      </c>
    </row>
    <row r="4042" spans="2:23" hidden="1" outlineLevel="2">
      <c r="B4042" s="2" t="s">
        <v>876</v>
      </c>
      <c r="C4042" s="2">
        <v>5</v>
      </c>
      <c r="D4042" s="112" t="b">
        <v>0</v>
      </c>
      <c r="E4042" s="112">
        <v>60</v>
      </c>
      <c r="F4042" s="112">
        <v>70</v>
      </c>
      <c r="G4042" s="112"/>
      <c r="H4042" s="112">
        <v>50000</v>
      </c>
      <c r="I4042" s="112" t="s">
        <v>4317</v>
      </c>
      <c r="J4042" s="112" t="s">
        <v>4247</v>
      </c>
      <c r="K4042" s="112" t="b">
        <v>1</v>
      </c>
      <c r="L4042" s="112"/>
      <c r="M4042" s="147" t="s">
        <v>488</v>
      </c>
      <c r="N4042" s="229" t="s">
        <v>4759</v>
      </c>
      <c r="O4042" s="236" t="str">
        <f>VLOOKUP(N4042,Table15[[code9]:[ratevalue]],6,FALSE)</f>
        <v>7.74</v>
      </c>
      <c r="P4042" s="229" t="s">
        <v>6143</v>
      </c>
      <c r="Q4042" s="236" t="str">
        <f>VLOOKUP(P4042,Table15[[code9]:[ratevalue]],6,FALSE)</f>
        <v>7.74</v>
      </c>
      <c r="R4042" s="229" t="s">
        <v>6074</v>
      </c>
      <c r="S4042" s="229" t="s">
        <v>4758</v>
      </c>
      <c r="T4042" s="229"/>
      <c r="U4042" s="236" t="str">
        <f>IF(ISNA(VLOOKUP(T4042,Table15[[code9]:[ratevalue]],6,FALSE)),"",VLOOKUP(T4042,Table15[[code9]:[ratevalue]],6,FALSE))</f>
        <v/>
      </c>
      <c r="V4042" s="229" t="s">
        <v>1485</v>
      </c>
      <c r="W4042" s="229" t="s">
        <v>1485</v>
      </c>
    </row>
    <row r="4043" spans="2:23" hidden="1" outlineLevel="2">
      <c r="B4043" s="2" t="s">
        <v>876</v>
      </c>
      <c r="C4043" s="2">
        <v>6</v>
      </c>
      <c r="D4043" s="112" t="b">
        <v>0</v>
      </c>
      <c r="E4043" s="112">
        <v>60</v>
      </c>
      <c r="F4043" s="112">
        <v>70</v>
      </c>
      <c r="G4043" s="112"/>
      <c r="H4043" s="112"/>
      <c r="I4043" s="112" t="s">
        <v>4311</v>
      </c>
      <c r="J4043" s="112" t="s">
        <v>4247</v>
      </c>
      <c r="K4043" s="112" t="b">
        <v>1</v>
      </c>
      <c r="L4043" s="112"/>
      <c r="M4043" s="147" t="s">
        <v>8223</v>
      </c>
      <c r="N4043" s="229" t="s">
        <v>6397</v>
      </c>
      <c r="O4043" s="236" t="str">
        <f>VLOOKUP(N4043,Table15[[code9]:[ratevalue]],6,FALSE)</f>
        <v>6.99</v>
      </c>
      <c r="P4043" s="229" t="s">
        <v>6398</v>
      </c>
      <c r="Q4043" s="236" t="str">
        <f>VLOOKUP(P4043,Table15[[code9]:[ratevalue]],6,FALSE)</f>
        <v>6.99</v>
      </c>
      <c r="R4043" s="229" t="s">
        <v>6074</v>
      </c>
      <c r="S4043" s="229" t="s">
        <v>6395</v>
      </c>
      <c r="T4043" s="229"/>
      <c r="U4043" s="236" t="str">
        <f>IF(ISNA(VLOOKUP(T4043,Table15[[code9]:[ratevalue]],6,FALSE)),"",VLOOKUP(T4043,Table15[[code9]:[ratevalue]],6,FALSE))</f>
        <v/>
      </c>
      <c r="V4043" s="229" t="s">
        <v>1485</v>
      </c>
      <c r="W4043" s="229" t="s">
        <v>1485</v>
      </c>
    </row>
    <row r="4044" spans="2:23" hidden="1" outlineLevel="2">
      <c r="B4044" s="2" t="s">
        <v>876</v>
      </c>
      <c r="C4044" s="2">
        <v>7</v>
      </c>
      <c r="D4044" s="112" t="b">
        <v>0</v>
      </c>
      <c r="E4044" s="112">
        <v>60</v>
      </c>
      <c r="F4044" s="112">
        <v>70</v>
      </c>
      <c r="G4044" s="112"/>
      <c r="H4044" s="112"/>
      <c r="I4044" s="112" t="s">
        <v>4246</v>
      </c>
      <c r="J4044" s="112" t="s">
        <v>4247</v>
      </c>
      <c r="K4044" s="112" t="b">
        <v>1</v>
      </c>
      <c r="L4044" s="112">
        <v>1</v>
      </c>
      <c r="M4044" s="147" t="s">
        <v>8226</v>
      </c>
      <c r="N4044" s="229" t="s">
        <v>6407</v>
      </c>
      <c r="O4044" s="236" t="str">
        <f>VLOOKUP(N4044,Table15[[code9]:[ratevalue]],6,FALSE)</f>
        <v>5.89</v>
      </c>
      <c r="P4044" s="229" t="s">
        <v>6409</v>
      </c>
      <c r="Q4044" s="236" t="str">
        <f>VLOOKUP(P4044,Table15[[code9]:[ratevalue]],6,FALSE)</f>
        <v>6.66</v>
      </c>
      <c r="R4044" s="229" t="s">
        <v>6074</v>
      </c>
      <c r="S4044" s="229" t="s">
        <v>6405</v>
      </c>
      <c r="T4044" s="229" t="s">
        <v>6397</v>
      </c>
      <c r="U4044" s="236" t="str">
        <f>IF(ISNA(VLOOKUP(T4044,Table15[[code9]:[ratevalue]],6,FALSE)),"",VLOOKUP(T4044,Table15[[code9]:[ratevalue]],6,FALSE))</f>
        <v>6.99</v>
      </c>
      <c r="V4044" s="229" t="s">
        <v>6074</v>
      </c>
      <c r="W4044" s="229" t="s">
        <v>6395</v>
      </c>
    </row>
    <row r="4045" spans="2:23" hidden="1" outlineLevel="2">
      <c r="B4045" s="2" t="s">
        <v>876</v>
      </c>
      <c r="C4045" s="2">
        <v>8</v>
      </c>
      <c r="D4045" s="112" t="b">
        <v>0</v>
      </c>
      <c r="E4045" s="112">
        <v>60</v>
      </c>
      <c r="F4045" s="112">
        <v>70</v>
      </c>
      <c r="G4045" s="112"/>
      <c r="H4045" s="112"/>
      <c r="I4045" s="112" t="s">
        <v>4246</v>
      </c>
      <c r="J4045" s="112" t="s">
        <v>4247</v>
      </c>
      <c r="K4045" s="112" t="b">
        <v>1</v>
      </c>
      <c r="L4045" s="112">
        <v>2</v>
      </c>
      <c r="M4045" s="147" t="s">
        <v>8227</v>
      </c>
      <c r="N4045" s="229" t="s">
        <v>6412</v>
      </c>
      <c r="O4045" s="236" t="str">
        <f>VLOOKUP(N4045,Table15[[code9]:[ratevalue]],6,FALSE)</f>
        <v>5.74</v>
      </c>
      <c r="P4045" s="229" t="s">
        <v>6414</v>
      </c>
      <c r="Q4045" s="236" t="str">
        <f>VLOOKUP(P4045,Table15[[code9]:[ratevalue]],6,FALSE)</f>
        <v>6.74</v>
      </c>
      <c r="R4045" s="229" t="s">
        <v>6074</v>
      </c>
      <c r="S4045" s="229" t="s">
        <v>6405</v>
      </c>
      <c r="T4045" s="229" t="s">
        <v>6397</v>
      </c>
      <c r="U4045" s="236" t="str">
        <f>IF(ISNA(VLOOKUP(T4045,Table15[[code9]:[ratevalue]],6,FALSE)),"",VLOOKUP(T4045,Table15[[code9]:[ratevalue]],6,FALSE))</f>
        <v>6.99</v>
      </c>
      <c r="V4045" s="229" t="s">
        <v>6074</v>
      </c>
      <c r="W4045" s="229" t="s">
        <v>6395</v>
      </c>
    </row>
    <row r="4046" spans="2:23" hidden="1" outlineLevel="2">
      <c r="B4046" s="2" t="s">
        <v>876</v>
      </c>
      <c r="C4046" s="2">
        <v>9</v>
      </c>
      <c r="D4046" s="112" t="b">
        <v>0</v>
      </c>
      <c r="E4046" s="112">
        <v>60</v>
      </c>
      <c r="F4046" s="112">
        <v>70</v>
      </c>
      <c r="G4046" s="112"/>
      <c r="H4046" s="112"/>
      <c r="I4046" s="112" t="s">
        <v>4246</v>
      </c>
      <c r="J4046" s="112" t="s">
        <v>4247</v>
      </c>
      <c r="K4046" s="112" t="b">
        <v>1</v>
      </c>
      <c r="L4046" s="112">
        <v>3</v>
      </c>
      <c r="M4046" s="147" t="s">
        <v>8228</v>
      </c>
      <c r="N4046" s="229" t="s">
        <v>6417</v>
      </c>
      <c r="O4046" s="236" t="str">
        <f>VLOOKUP(N4046,Table15[[code9]:[ratevalue]],6,FALSE)</f>
        <v>5.74</v>
      </c>
      <c r="P4046" s="229" t="s">
        <v>6419</v>
      </c>
      <c r="Q4046" s="236" t="str">
        <f>VLOOKUP(P4046,Table15[[code9]:[ratevalue]],6,FALSE)</f>
        <v>6.63</v>
      </c>
      <c r="R4046" s="229" t="s">
        <v>6074</v>
      </c>
      <c r="S4046" s="229" t="s">
        <v>6405</v>
      </c>
      <c r="T4046" s="229" t="s">
        <v>6397</v>
      </c>
      <c r="U4046" s="236" t="str">
        <f>IF(ISNA(VLOOKUP(T4046,Table15[[code9]:[ratevalue]],6,FALSE)),"",VLOOKUP(T4046,Table15[[code9]:[ratevalue]],6,FALSE))</f>
        <v>6.99</v>
      </c>
      <c r="V4046" s="229" t="s">
        <v>6074</v>
      </c>
      <c r="W4046" s="229" t="s">
        <v>6395</v>
      </c>
    </row>
    <row r="4047" spans="2:23" hidden="1" outlineLevel="2">
      <c r="B4047" s="2" t="s">
        <v>876</v>
      </c>
      <c r="C4047" s="2">
        <v>10</v>
      </c>
      <c r="D4047" s="112" t="b">
        <v>0</v>
      </c>
      <c r="E4047" s="112">
        <v>60</v>
      </c>
      <c r="F4047" s="112">
        <v>70</v>
      </c>
      <c r="G4047" s="112"/>
      <c r="H4047" s="112"/>
      <c r="I4047" s="112" t="s">
        <v>4246</v>
      </c>
      <c r="J4047" s="112" t="s">
        <v>4247</v>
      </c>
      <c r="K4047" s="112" t="b">
        <v>0</v>
      </c>
      <c r="L4047" s="112">
        <v>4</v>
      </c>
      <c r="M4047" s="147" t="s">
        <v>8476</v>
      </c>
      <c r="N4047" s="229" t="s">
        <v>6422</v>
      </c>
      <c r="O4047" s="236" t="str">
        <f>VLOOKUP(N4047,Table15[[code9]:[ratevalue]],6,FALSE)</f>
        <v>5.89</v>
      </c>
      <c r="P4047" s="229" t="s">
        <v>6424</v>
      </c>
      <c r="Q4047" s="236" t="str">
        <f>VLOOKUP(P4047,Table15[[code9]:[ratevalue]],6,FALSE)</f>
        <v>6.59</v>
      </c>
      <c r="R4047" s="229" t="s">
        <v>6074</v>
      </c>
      <c r="S4047" s="229" t="s">
        <v>6405</v>
      </c>
      <c r="T4047" s="229" t="s">
        <v>6397</v>
      </c>
      <c r="U4047" s="236" t="str">
        <f>IF(ISNA(VLOOKUP(T4047,Table15[[code9]:[ratevalue]],6,FALSE)),"",VLOOKUP(T4047,Table15[[code9]:[ratevalue]],6,FALSE))</f>
        <v>6.99</v>
      </c>
      <c r="V4047" s="229" t="s">
        <v>6074</v>
      </c>
      <c r="W4047" s="229" t="s">
        <v>6395</v>
      </c>
    </row>
    <row r="4048" spans="2:23" hidden="1" outlineLevel="2">
      <c r="B4048" s="2" t="s">
        <v>876</v>
      </c>
      <c r="C4048" s="2">
        <v>11</v>
      </c>
      <c r="D4048" s="112" t="b">
        <v>0</v>
      </c>
      <c r="E4048" s="112">
        <v>60</v>
      </c>
      <c r="F4048" s="112">
        <v>70</v>
      </c>
      <c r="G4048" s="112"/>
      <c r="H4048" s="112"/>
      <c r="I4048" s="112" t="s">
        <v>4246</v>
      </c>
      <c r="J4048" s="112" t="s">
        <v>4247</v>
      </c>
      <c r="K4048" s="112" t="b">
        <v>0</v>
      </c>
      <c r="L4048" s="112">
        <v>5</v>
      </c>
      <c r="M4048" s="147" t="s">
        <v>8477</v>
      </c>
      <c r="N4048" s="229" t="s">
        <v>6427</v>
      </c>
      <c r="O4048" s="236" t="str">
        <f>VLOOKUP(N4048,Table15[[code9]:[ratevalue]],6,FALSE)</f>
        <v>5.99</v>
      </c>
      <c r="P4048" s="229" t="s">
        <v>6429</v>
      </c>
      <c r="Q4048" s="236" t="str">
        <f>VLOOKUP(P4048,Table15[[code9]:[ratevalue]],6,FALSE)</f>
        <v>6.55</v>
      </c>
      <c r="R4048" s="229" t="s">
        <v>6074</v>
      </c>
      <c r="S4048" s="229" t="s">
        <v>6405</v>
      </c>
      <c r="T4048" s="229" t="s">
        <v>6397</v>
      </c>
      <c r="U4048" s="236" t="str">
        <f>IF(ISNA(VLOOKUP(T4048,Table15[[code9]:[ratevalue]],6,FALSE)),"",VLOOKUP(T4048,Table15[[code9]:[ratevalue]],6,FALSE))</f>
        <v>6.99</v>
      </c>
      <c r="V4048" s="229" t="s">
        <v>6074</v>
      </c>
      <c r="W4048" s="229" t="s">
        <v>6395</v>
      </c>
    </row>
    <row r="4049" spans="2:23" hidden="1" outlineLevel="2">
      <c r="B4049" s="2" t="s">
        <v>876</v>
      </c>
      <c r="C4049" s="2">
        <v>12</v>
      </c>
      <c r="D4049" s="114" t="b">
        <v>0</v>
      </c>
      <c r="E4049" s="114">
        <v>70</v>
      </c>
      <c r="F4049" s="114">
        <v>80</v>
      </c>
      <c r="G4049" s="114">
        <v>50000</v>
      </c>
      <c r="H4049" s="114"/>
      <c r="I4049" s="114" t="s">
        <v>4317</v>
      </c>
      <c r="J4049" s="114" t="s">
        <v>4247</v>
      </c>
      <c r="K4049" s="114" t="b">
        <v>1</v>
      </c>
      <c r="L4049" s="114"/>
      <c r="M4049" s="215" t="s">
        <v>8222</v>
      </c>
      <c r="N4049" s="114" t="s">
        <v>6157</v>
      </c>
      <c r="O4049" s="236" t="str">
        <f>VLOOKUP(N4049,Table15[[code9]:[ratevalue]],6,FALSE)</f>
        <v>6.29</v>
      </c>
      <c r="P4049" s="114" t="s">
        <v>6158</v>
      </c>
      <c r="Q4049" s="236" t="str">
        <f>VLOOKUP(P4049,Table15[[code9]:[ratevalue]],6,FALSE)</f>
        <v>6.29</v>
      </c>
      <c r="R4049" s="229" t="s">
        <v>6074</v>
      </c>
      <c r="S4049" s="229" t="s">
        <v>4758</v>
      </c>
      <c r="T4049" s="114"/>
      <c r="U4049" s="236" t="str">
        <f>IF(ISNA(VLOOKUP(T4049,Table15[[code9]:[ratevalue]],6,FALSE)),"",VLOOKUP(T4049,Table15[[code9]:[ratevalue]],6,FALSE))</f>
        <v/>
      </c>
      <c r="V4049" s="229" t="s">
        <v>1485</v>
      </c>
      <c r="W4049" s="229" t="s">
        <v>1485</v>
      </c>
    </row>
    <row r="4050" spans="2:23" hidden="1" outlineLevel="2">
      <c r="B4050" s="2" t="s">
        <v>876</v>
      </c>
      <c r="C4050" s="2">
        <v>13</v>
      </c>
      <c r="D4050" s="114" t="b">
        <v>0</v>
      </c>
      <c r="E4050" s="114">
        <v>70</v>
      </c>
      <c r="F4050" s="114">
        <v>80</v>
      </c>
      <c r="G4050" s="114"/>
      <c r="H4050" s="114">
        <v>50000</v>
      </c>
      <c r="I4050" s="114" t="s">
        <v>4317</v>
      </c>
      <c r="J4050" s="114" t="s">
        <v>4247</v>
      </c>
      <c r="K4050" s="114" t="b">
        <v>1</v>
      </c>
      <c r="L4050" s="114"/>
      <c r="M4050" s="215" t="s">
        <v>488</v>
      </c>
      <c r="N4050" s="114" t="s">
        <v>4759</v>
      </c>
      <c r="O4050" s="236" t="str">
        <f>VLOOKUP(N4050,Table15[[code9]:[ratevalue]],6,FALSE)</f>
        <v>7.74</v>
      </c>
      <c r="P4050" s="114" t="s">
        <v>6143</v>
      </c>
      <c r="Q4050" s="236" t="str">
        <f>VLOOKUP(P4050,Table15[[code9]:[ratevalue]],6,FALSE)</f>
        <v>7.74</v>
      </c>
      <c r="R4050" s="229" t="s">
        <v>6074</v>
      </c>
      <c r="S4050" s="229" t="s">
        <v>4758</v>
      </c>
      <c r="T4050" s="114"/>
      <c r="U4050" s="236" t="str">
        <f>IF(ISNA(VLOOKUP(T4050,Table15[[code9]:[ratevalue]],6,FALSE)),"",VLOOKUP(T4050,Table15[[code9]:[ratevalue]],6,FALSE))</f>
        <v/>
      </c>
      <c r="V4050" s="229" t="s">
        <v>1485</v>
      </c>
      <c r="W4050" s="229" t="s">
        <v>1485</v>
      </c>
    </row>
    <row r="4051" spans="2:23" hidden="1" outlineLevel="2">
      <c r="B4051" s="2" t="s">
        <v>876</v>
      </c>
      <c r="C4051" s="2">
        <v>14</v>
      </c>
      <c r="D4051" s="114" t="b">
        <v>0</v>
      </c>
      <c r="E4051" s="114">
        <v>70</v>
      </c>
      <c r="F4051" s="114">
        <v>80</v>
      </c>
      <c r="G4051" s="114"/>
      <c r="H4051" s="114"/>
      <c r="I4051" s="114" t="s">
        <v>4311</v>
      </c>
      <c r="J4051" s="114" t="s">
        <v>4247</v>
      </c>
      <c r="K4051" s="114" t="b">
        <v>1</v>
      </c>
      <c r="L4051" s="114"/>
      <c r="M4051" s="215" t="s">
        <v>8223</v>
      </c>
      <c r="N4051" s="114" t="s">
        <v>6397</v>
      </c>
      <c r="O4051" s="236" t="str">
        <f>VLOOKUP(N4051,Table15[[code9]:[ratevalue]],6,FALSE)</f>
        <v>6.99</v>
      </c>
      <c r="P4051" s="114" t="s">
        <v>6398</v>
      </c>
      <c r="Q4051" s="236" t="str">
        <f>VLOOKUP(P4051,Table15[[code9]:[ratevalue]],6,FALSE)</f>
        <v>6.99</v>
      </c>
      <c r="R4051" s="229" t="s">
        <v>6074</v>
      </c>
      <c r="S4051" s="229" t="s">
        <v>6395</v>
      </c>
      <c r="T4051" s="114"/>
      <c r="U4051" s="236" t="str">
        <f>IF(ISNA(VLOOKUP(T4051,Table15[[code9]:[ratevalue]],6,FALSE)),"",VLOOKUP(T4051,Table15[[code9]:[ratevalue]],6,FALSE))</f>
        <v/>
      </c>
      <c r="V4051" s="229" t="s">
        <v>1485</v>
      </c>
      <c r="W4051" s="229" t="s">
        <v>1485</v>
      </c>
    </row>
    <row r="4052" spans="2:23" hidden="1" outlineLevel="2">
      <c r="B4052" s="2" t="s">
        <v>876</v>
      </c>
      <c r="C4052" s="2">
        <v>15</v>
      </c>
      <c r="D4052" s="114" t="b">
        <v>0</v>
      </c>
      <c r="E4052" s="114">
        <v>70</v>
      </c>
      <c r="F4052" s="114">
        <v>80</v>
      </c>
      <c r="G4052" s="114"/>
      <c r="H4052" s="114"/>
      <c r="I4052" s="114" t="s">
        <v>4246</v>
      </c>
      <c r="J4052" s="114" t="s">
        <v>4247</v>
      </c>
      <c r="K4052" s="114" t="b">
        <v>1</v>
      </c>
      <c r="L4052" s="114">
        <v>1</v>
      </c>
      <c r="M4052" s="215" t="s">
        <v>8226</v>
      </c>
      <c r="N4052" s="114" t="s">
        <v>6407</v>
      </c>
      <c r="O4052" s="236" t="str">
        <f>VLOOKUP(N4052,Table15[[code9]:[ratevalue]],6,FALSE)</f>
        <v>5.89</v>
      </c>
      <c r="P4052" s="114" t="s">
        <v>6409</v>
      </c>
      <c r="Q4052" s="236" t="str">
        <f>VLOOKUP(P4052,Table15[[code9]:[ratevalue]],6,FALSE)</f>
        <v>6.66</v>
      </c>
      <c r="R4052" s="229" t="s">
        <v>6074</v>
      </c>
      <c r="S4052" s="229" t="s">
        <v>6405</v>
      </c>
      <c r="T4052" s="114" t="s">
        <v>6397</v>
      </c>
      <c r="U4052" s="236" t="str">
        <f>IF(ISNA(VLOOKUP(T4052,Table15[[code9]:[ratevalue]],6,FALSE)),"",VLOOKUP(T4052,Table15[[code9]:[ratevalue]],6,FALSE))</f>
        <v>6.99</v>
      </c>
      <c r="V4052" s="229" t="s">
        <v>6074</v>
      </c>
      <c r="W4052" s="229" t="s">
        <v>6395</v>
      </c>
    </row>
    <row r="4053" spans="2:23" hidden="1" outlineLevel="2">
      <c r="B4053" s="2" t="s">
        <v>876</v>
      </c>
      <c r="C4053" s="2">
        <v>16</v>
      </c>
      <c r="D4053" s="114" t="b">
        <v>0</v>
      </c>
      <c r="E4053" s="114">
        <v>70</v>
      </c>
      <c r="F4053" s="114">
        <v>80</v>
      </c>
      <c r="G4053" s="114"/>
      <c r="H4053" s="114"/>
      <c r="I4053" s="114" t="s">
        <v>4246</v>
      </c>
      <c r="J4053" s="114" t="s">
        <v>4247</v>
      </c>
      <c r="K4053" s="114" t="b">
        <v>1</v>
      </c>
      <c r="L4053" s="114">
        <v>2</v>
      </c>
      <c r="M4053" s="215" t="s">
        <v>8227</v>
      </c>
      <c r="N4053" s="114" t="s">
        <v>6412</v>
      </c>
      <c r="O4053" s="236" t="str">
        <f>VLOOKUP(N4053,Table15[[code9]:[ratevalue]],6,FALSE)</f>
        <v>5.74</v>
      </c>
      <c r="P4053" s="114" t="s">
        <v>6414</v>
      </c>
      <c r="Q4053" s="236" t="str">
        <f>VLOOKUP(P4053,Table15[[code9]:[ratevalue]],6,FALSE)</f>
        <v>6.74</v>
      </c>
      <c r="R4053" s="229" t="s">
        <v>6074</v>
      </c>
      <c r="S4053" s="229" t="s">
        <v>6405</v>
      </c>
      <c r="T4053" s="114" t="s">
        <v>6397</v>
      </c>
      <c r="U4053" s="236" t="str">
        <f>IF(ISNA(VLOOKUP(T4053,Table15[[code9]:[ratevalue]],6,FALSE)),"",VLOOKUP(T4053,Table15[[code9]:[ratevalue]],6,FALSE))</f>
        <v>6.99</v>
      </c>
      <c r="V4053" s="229" t="s">
        <v>6074</v>
      </c>
      <c r="W4053" s="229" t="s">
        <v>6395</v>
      </c>
    </row>
    <row r="4054" spans="2:23" hidden="1" outlineLevel="2">
      <c r="B4054" s="2" t="s">
        <v>876</v>
      </c>
      <c r="C4054" s="2">
        <v>17</v>
      </c>
      <c r="D4054" s="114" t="b">
        <v>0</v>
      </c>
      <c r="E4054" s="114">
        <v>70</v>
      </c>
      <c r="F4054" s="114">
        <v>80</v>
      </c>
      <c r="G4054" s="114"/>
      <c r="H4054" s="114"/>
      <c r="I4054" s="114" t="s">
        <v>4246</v>
      </c>
      <c r="J4054" s="114" t="s">
        <v>4247</v>
      </c>
      <c r="K4054" s="114" t="b">
        <v>1</v>
      </c>
      <c r="L4054" s="114">
        <v>3</v>
      </c>
      <c r="M4054" s="215" t="s">
        <v>8228</v>
      </c>
      <c r="N4054" s="114" t="s">
        <v>6417</v>
      </c>
      <c r="O4054" s="236" t="str">
        <f>VLOOKUP(N4054,Table15[[code9]:[ratevalue]],6,FALSE)</f>
        <v>5.74</v>
      </c>
      <c r="P4054" s="114" t="s">
        <v>6419</v>
      </c>
      <c r="Q4054" s="236" t="str">
        <f>VLOOKUP(P4054,Table15[[code9]:[ratevalue]],6,FALSE)</f>
        <v>6.63</v>
      </c>
      <c r="R4054" s="229" t="s">
        <v>6074</v>
      </c>
      <c r="S4054" s="229" t="s">
        <v>6405</v>
      </c>
      <c r="T4054" s="114" t="s">
        <v>6397</v>
      </c>
      <c r="U4054" s="236" t="str">
        <f>IF(ISNA(VLOOKUP(T4054,Table15[[code9]:[ratevalue]],6,FALSE)),"",VLOOKUP(T4054,Table15[[code9]:[ratevalue]],6,FALSE))</f>
        <v>6.99</v>
      </c>
      <c r="V4054" s="229" t="s">
        <v>6074</v>
      </c>
      <c r="W4054" s="229" t="s">
        <v>6395</v>
      </c>
    </row>
    <row r="4055" spans="2:23" hidden="1" outlineLevel="2">
      <c r="B4055" s="2" t="s">
        <v>876</v>
      </c>
      <c r="C4055" s="2">
        <v>18</v>
      </c>
      <c r="D4055" s="114" t="b">
        <v>0</v>
      </c>
      <c r="E4055" s="114">
        <v>70</v>
      </c>
      <c r="F4055" s="114">
        <v>80</v>
      </c>
      <c r="G4055" s="114"/>
      <c r="H4055" s="114"/>
      <c r="I4055" s="114" t="s">
        <v>4246</v>
      </c>
      <c r="J4055" s="114" t="s">
        <v>4247</v>
      </c>
      <c r="K4055" s="114" t="b">
        <v>0</v>
      </c>
      <c r="L4055" s="114">
        <v>4</v>
      </c>
      <c r="M4055" s="215" t="s">
        <v>8476</v>
      </c>
      <c r="N4055" s="114" t="s">
        <v>6422</v>
      </c>
      <c r="O4055" s="236" t="str">
        <f>VLOOKUP(N4055,Table15[[code9]:[ratevalue]],6,FALSE)</f>
        <v>5.89</v>
      </c>
      <c r="P4055" s="114" t="s">
        <v>6424</v>
      </c>
      <c r="Q4055" s="236" t="str">
        <f>VLOOKUP(P4055,Table15[[code9]:[ratevalue]],6,FALSE)</f>
        <v>6.59</v>
      </c>
      <c r="R4055" s="229" t="s">
        <v>6074</v>
      </c>
      <c r="S4055" s="229" t="s">
        <v>6405</v>
      </c>
      <c r="T4055" s="114" t="s">
        <v>6397</v>
      </c>
      <c r="U4055" s="236" t="str">
        <f>IF(ISNA(VLOOKUP(T4055,Table15[[code9]:[ratevalue]],6,FALSE)),"",VLOOKUP(T4055,Table15[[code9]:[ratevalue]],6,FALSE))</f>
        <v>6.99</v>
      </c>
      <c r="V4055" s="229" t="s">
        <v>6074</v>
      </c>
      <c r="W4055" s="229" t="s">
        <v>6395</v>
      </c>
    </row>
    <row r="4056" spans="2:23" hidden="1" outlineLevel="2">
      <c r="B4056" s="2" t="s">
        <v>876</v>
      </c>
      <c r="C4056" s="2">
        <v>19</v>
      </c>
      <c r="D4056" s="114" t="b">
        <v>0</v>
      </c>
      <c r="E4056" s="114">
        <v>70</v>
      </c>
      <c r="F4056" s="114">
        <v>80</v>
      </c>
      <c r="G4056" s="114"/>
      <c r="H4056" s="114"/>
      <c r="I4056" s="114" t="s">
        <v>4246</v>
      </c>
      <c r="J4056" s="114" t="s">
        <v>4247</v>
      </c>
      <c r="K4056" s="114" t="b">
        <v>0</v>
      </c>
      <c r="L4056" s="114">
        <v>5</v>
      </c>
      <c r="M4056" s="215" t="s">
        <v>8477</v>
      </c>
      <c r="N4056" s="114" t="s">
        <v>6422</v>
      </c>
      <c r="O4056" s="236" t="str">
        <f>VLOOKUP(N4056,Table15[[code9]:[ratevalue]],6,FALSE)</f>
        <v>5.89</v>
      </c>
      <c r="P4056" s="114" t="s">
        <v>6429</v>
      </c>
      <c r="Q4056" s="236" t="str">
        <f>VLOOKUP(P4056,Table15[[code9]:[ratevalue]],6,FALSE)</f>
        <v>6.55</v>
      </c>
      <c r="R4056" s="229" t="s">
        <v>6074</v>
      </c>
      <c r="S4056" s="229" t="s">
        <v>6405</v>
      </c>
      <c r="T4056" s="114" t="s">
        <v>6397</v>
      </c>
      <c r="U4056" s="236" t="str">
        <f>IF(ISNA(VLOOKUP(T4056,Table15[[code9]:[ratevalue]],6,FALSE)),"",VLOOKUP(T4056,Table15[[code9]:[ratevalue]],6,FALSE))</f>
        <v>6.99</v>
      </c>
      <c r="V4056" s="229" t="s">
        <v>6074</v>
      </c>
      <c r="W4056" s="229" t="s">
        <v>6395</v>
      </c>
    </row>
    <row r="4057" spans="2:23" hidden="1" outlineLevel="2">
      <c r="B4057" s="2" t="s">
        <v>876</v>
      </c>
      <c r="C4057" s="2">
        <v>20</v>
      </c>
      <c r="D4057" s="112" t="b">
        <v>0</v>
      </c>
      <c r="E4057" s="112">
        <v>80</v>
      </c>
      <c r="F4057" s="112">
        <v>90</v>
      </c>
      <c r="G4057" s="112">
        <v>50000</v>
      </c>
      <c r="H4057" s="112"/>
      <c r="I4057" s="112" t="s">
        <v>4317</v>
      </c>
      <c r="J4057" s="112" t="s">
        <v>4247</v>
      </c>
      <c r="K4057" s="112" t="b">
        <v>1</v>
      </c>
      <c r="L4057" s="112"/>
      <c r="M4057" s="147" t="s">
        <v>8220</v>
      </c>
      <c r="N4057" s="229" t="s">
        <v>6145</v>
      </c>
      <c r="O4057" s="236" t="str">
        <f>VLOOKUP(N4057,Table15[[code9]:[ratevalue]],6,FALSE)</f>
        <v>6.84</v>
      </c>
      <c r="P4057" s="229" t="s">
        <v>6146</v>
      </c>
      <c r="Q4057" s="236" t="str">
        <f>VLOOKUP(P4057,Table15[[code9]:[ratevalue]],6,FALSE)</f>
        <v>6.84</v>
      </c>
      <c r="R4057" s="229" t="s">
        <v>6074</v>
      </c>
      <c r="S4057" s="229" t="s">
        <v>4758</v>
      </c>
      <c r="T4057" s="229"/>
      <c r="U4057" s="236" t="str">
        <f>IF(ISNA(VLOOKUP(T4057,Table15[[code9]:[ratevalue]],6,FALSE)),"",VLOOKUP(T4057,Table15[[code9]:[ratevalue]],6,FALSE))</f>
        <v/>
      </c>
      <c r="V4057" s="229" t="s">
        <v>1485</v>
      </c>
      <c r="W4057" s="229" t="s">
        <v>1485</v>
      </c>
    </row>
    <row r="4058" spans="2:23" hidden="1" outlineLevel="2">
      <c r="B4058" s="2" t="s">
        <v>876</v>
      </c>
      <c r="C4058" s="2">
        <v>21</v>
      </c>
      <c r="D4058" s="112" t="b">
        <v>0</v>
      </c>
      <c r="E4058" s="112">
        <v>80</v>
      </c>
      <c r="F4058" s="112">
        <v>90</v>
      </c>
      <c r="G4058" s="112"/>
      <c r="H4058" s="112">
        <v>50000</v>
      </c>
      <c r="I4058" s="112" t="s">
        <v>4317</v>
      </c>
      <c r="J4058" s="112" t="s">
        <v>4247</v>
      </c>
      <c r="K4058" s="112" t="b">
        <v>1</v>
      </c>
      <c r="L4058" s="112"/>
      <c r="M4058" s="147" t="s">
        <v>488</v>
      </c>
      <c r="N4058" s="229" t="s">
        <v>4759</v>
      </c>
      <c r="O4058" s="236" t="str">
        <f>VLOOKUP(N4058,Table15[[code9]:[ratevalue]],6,FALSE)</f>
        <v>7.74</v>
      </c>
      <c r="P4058" s="229" t="s">
        <v>6143</v>
      </c>
      <c r="Q4058" s="236" t="str">
        <f>VLOOKUP(P4058,Table15[[code9]:[ratevalue]],6,FALSE)</f>
        <v>7.74</v>
      </c>
      <c r="R4058" s="229" t="s">
        <v>6074</v>
      </c>
      <c r="S4058" s="229" t="s">
        <v>4758</v>
      </c>
      <c r="T4058" s="229"/>
      <c r="U4058" s="236" t="str">
        <f>IF(ISNA(VLOOKUP(T4058,Table15[[code9]:[ratevalue]],6,FALSE)),"",VLOOKUP(T4058,Table15[[code9]:[ratevalue]],6,FALSE))</f>
        <v/>
      </c>
      <c r="V4058" s="229" t="s">
        <v>1485</v>
      </c>
      <c r="W4058" s="229" t="s">
        <v>1485</v>
      </c>
    </row>
    <row r="4059" spans="2:23" hidden="1" outlineLevel="2">
      <c r="B4059" s="2" t="s">
        <v>876</v>
      </c>
      <c r="C4059" s="2">
        <v>22</v>
      </c>
      <c r="D4059" s="112" t="b">
        <v>0</v>
      </c>
      <c r="E4059" s="112">
        <v>80</v>
      </c>
      <c r="F4059" s="112">
        <v>90</v>
      </c>
      <c r="G4059" s="112"/>
      <c r="H4059" s="112"/>
      <c r="I4059" s="112" t="s">
        <v>4311</v>
      </c>
      <c r="J4059" s="112" t="s">
        <v>4247</v>
      </c>
      <c r="K4059" s="112" t="b">
        <v>1</v>
      </c>
      <c r="L4059" s="112"/>
      <c r="M4059" s="147" t="s">
        <v>8218</v>
      </c>
      <c r="N4059" s="229" t="s">
        <v>6401</v>
      </c>
      <c r="O4059" s="236" t="str">
        <f>VLOOKUP(N4059,Table15[[code9]:[ratevalue]],6,FALSE)</f>
        <v>7.19</v>
      </c>
      <c r="P4059" s="229" t="s">
        <v>6402</v>
      </c>
      <c r="Q4059" s="236" t="str">
        <f>VLOOKUP(P4059,Table15[[code9]:[ratevalue]],6,FALSE)</f>
        <v>7.19</v>
      </c>
      <c r="R4059" s="229" t="s">
        <v>6074</v>
      </c>
      <c r="S4059" s="229" t="s">
        <v>6395</v>
      </c>
      <c r="T4059" s="229"/>
      <c r="U4059" s="236" t="str">
        <f>IF(ISNA(VLOOKUP(T4059,Table15[[code9]:[ratevalue]],6,FALSE)),"",VLOOKUP(T4059,Table15[[code9]:[ratevalue]],6,FALSE))</f>
        <v/>
      </c>
      <c r="V4059" s="229" t="s">
        <v>1485</v>
      </c>
      <c r="W4059" s="229" t="s">
        <v>1485</v>
      </c>
    </row>
    <row r="4060" spans="2:23" hidden="1" outlineLevel="2">
      <c r="B4060" s="2" t="s">
        <v>876</v>
      </c>
      <c r="C4060" s="2">
        <v>23</v>
      </c>
      <c r="D4060" s="112" t="b">
        <v>0</v>
      </c>
      <c r="E4060" s="112">
        <v>80</v>
      </c>
      <c r="F4060" s="112">
        <v>90</v>
      </c>
      <c r="G4060" s="112"/>
      <c r="H4060" s="112"/>
      <c r="I4060" s="112" t="s">
        <v>4246</v>
      </c>
      <c r="J4060" s="112" t="s">
        <v>4247</v>
      </c>
      <c r="K4060" s="112" t="b">
        <v>1</v>
      </c>
      <c r="L4060" s="112">
        <v>1</v>
      </c>
      <c r="M4060" s="147" t="s">
        <v>4771</v>
      </c>
      <c r="N4060" s="229" t="s">
        <v>6444</v>
      </c>
      <c r="O4060" s="236" t="str">
        <f>VLOOKUP(N4060,Table15[[code9]:[ratevalue]],6,FALSE)</f>
        <v>6.34</v>
      </c>
      <c r="P4060" s="229" t="s">
        <v>6445</v>
      </c>
      <c r="Q4060" s="236" t="str">
        <f>VLOOKUP(P4060,Table15[[code9]:[ratevalue]],6,FALSE)</f>
        <v>6.88</v>
      </c>
      <c r="R4060" s="229" t="s">
        <v>6074</v>
      </c>
      <c r="S4060" s="229" t="s">
        <v>6442</v>
      </c>
      <c r="T4060" s="229" t="s">
        <v>6401</v>
      </c>
      <c r="U4060" s="236" t="str">
        <f>IF(ISNA(VLOOKUP(T4060,Table15[[code9]:[ratevalue]],6,FALSE)),"",VLOOKUP(T4060,Table15[[code9]:[ratevalue]],6,FALSE))</f>
        <v>7.19</v>
      </c>
      <c r="V4060" s="229" t="s">
        <v>6074</v>
      </c>
      <c r="W4060" s="229" t="s">
        <v>6395</v>
      </c>
    </row>
    <row r="4061" spans="2:23" hidden="1" outlineLevel="2">
      <c r="B4061" s="2" t="s">
        <v>876</v>
      </c>
      <c r="D4061" s="112" t="b">
        <v>0</v>
      </c>
      <c r="E4061" s="112">
        <v>80</v>
      </c>
      <c r="F4061" s="112">
        <v>90</v>
      </c>
      <c r="G4061" s="112"/>
      <c r="H4061" s="112"/>
      <c r="I4061" s="112" t="s">
        <v>4246</v>
      </c>
      <c r="J4061" s="112" t="s">
        <v>4247</v>
      </c>
      <c r="K4061" s="112" t="b">
        <v>1</v>
      </c>
      <c r="L4061" s="112">
        <v>2</v>
      </c>
      <c r="M4061" s="147" t="s">
        <v>8224</v>
      </c>
      <c r="N4061" s="229" t="s">
        <v>6448</v>
      </c>
      <c r="O4061" s="236" t="str">
        <f>VLOOKUP(N4061,Table15[[code9]:[ratevalue]],6,FALSE)</f>
        <v>6.19</v>
      </c>
      <c r="P4061" s="229" t="s">
        <v>6449</v>
      </c>
      <c r="Q4061" s="236" t="str">
        <f>VLOOKUP(P4061,Table15[[code9]:[ratevalue]],6,FALSE)</f>
        <v>6.99</v>
      </c>
      <c r="R4061" s="229" t="s">
        <v>6074</v>
      </c>
      <c r="S4061" s="229" t="s">
        <v>6442</v>
      </c>
      <c r="T4061" s="229" t="s">
        <v>6401</v>
      </c>
      <c r="U4061" s="236" t="str">
        <f>IF(ISNA(VLOOKUP(T4061,Table15[[code9]:[ratevalue]],6,FALSE)),"",VLOOKUP(T4061,Table15[[code9]:[ratevalue]],6,FALSE))</f>
        <v>7.19</v>
      </c>
      <c r="V4061" s="229" t="s">
        <v>6074</v>
      </c>
      <c r="W4061" s="229" t="s">
        <v>6395</v>
      </c>
    </row>
    <row r="4062" spans="2:23" hidden="1" outlineLevel="2">
      <c r="B4062" s="2" t="s">
        <v>876</v>
      </c>
      <c r="D4062" s="112" t="b">
        <v>0</v>
      </c>
      <c r="E4062" s="112">
        <v>80</v>
      </c>
      <c r="F4062" s="112">
        <v>90</v>
      </c>
      <c r="G4062" s="112"/>
      <c r="H4062" s="112"/>
      <c r="I4062" s="112" t="s">
        <v>4246</v>
      </c>
      <c r="J4062" s="112" t="s">
        <v>4247</v>
      </c>
      <c r="K4062" s="112" t="b">
        <v>1</v>
      </c>
      <c r="L4062" s="112">
        <v>3</v>
      </c>
      <c r="M4062" s="147" t="s">
        <v>8225</v>
      </c>
      <c r="N4062" s="229" t="s">
        <v>6452</v>
      </c>
      <c r="O4062" s="236" t="str">
        <f>VLOOKUP(N4062,Table15[[code9]:[ratevalue]],6,FALSE)</f>
        <v>6.19</v>
      </c>
      <c r="P4062" s="229" t="s">
        <v>6453</v>
      </c>
      <c r="Q4062" s="236" t="str">
        <f>VLOOKUP(P4062,Table15[[code9]:[ratevalue]],6,FALSE)</f>
        <v>6.90</v>
      </c>
      <c r="R4062" s="229" t="s">
        <v>6074</v>
      </c>
      <c r="S4062" s="229" t="s">
        <v>6442</v>
      </c>
      <c r="T4062" s="229" t="s">
        <v>6401</v>
      </c>
      <c r="U4062" s="236" t="str">
        <f>IF(ISNA(VLOOKUP(T4062,Table15[[code9]:[ratevalue]],6,FALSE)),"",VLOOKUP(T4062,Table15[[code9]:[ratevalue]],6,FALSE))</f>
        <v>7.19</v>
      </c>
      <c r="V4062" s="229" t="s">
        <v>6074</v>
      </c>
      <c r="W4062" s="229" t="s">
        <v>6395</v>
      </c>
    </row>
    <row r="4063" spans="2:23" hidden="1" outlineLevel="2">
      <c r="B4063" s="2" t="s">
        <v>876</v>
      </c>
      <c r="D4063" s="112" t="b">
        <v>0</v>
      </c>
      <c r="E4063" s="112">
        <v>80</v>
      </c>
      <c r="F4063" s="112">
        <v>90</v>
      </c>
      <c r="G4063" s="112"/>
      <c r="H4063" s="112"/>
      <c r="I4063" s="112" t="s">
        <v>4246</v>
      </c>
      <c r="J4063" s="112" t="s">
        <v>4247</v>
      </c>
      <c r="K4063" s="112" t="b">
        <v>0</v>
      </c>
      <c r="L4063" s="112">
        <v>4</v>
      </c>
      <c r="M4063" s="147" t="s">
        <v>8478</v>
      </c>
      <c r="N4063" s="229" t="s">
        <v>6456</v>
      </c>
      <c r="O4063" s="236" t="str">
        <f>VLOOKUP(N4063,Table15[[code9]:[ratevalue]],6,FALSE)</f>
        <v>6.34</v>
      </c>
      <c r="P4063" s="229" t="s">
        <v>6457</v>
      </c>
      <c r="Q4063" s="236" t="str">
        <f>VLOOKUP(P4063,Table15[[code9]:[ratevalue]],6,FALSE)</f>
        <v>6.88</v>
      </c>
      <c r="R4063" s="229" t="s">
        <v>6074</v>
      </c>
      <c r="S4063" s="229" t="s">
        <v>6442</v>
      </c>
      <c r="T4063" s="229" t="s">
        <v>6401</v>
      </c>
      <c r="U4063" s="236" t="str">
        <f>IF(ISNA(VLOOKUP(T4063,Table15[[code9]:[ratevalue]],6,FALSE)),"",VLOOKUP(T4063,Table15[[code9]:[ratevalue]],6,FALSE))</f>
        <v>7.19</v>
      </c>
      <c r="V4063" s="229" t="s">
        <v>6074</v>
      </c>
      <c r="W4063" s="229" t="s">
        <v>6395</v>
      </c>
    </row>
    <row r="4064" spans="2:23" hidden="1" outlineLevel="2">
      <c r="B4064" s="2" t="s">
        <v>876</v>
      </c>
      <c r="D4064" s="119" t="b">
        <v>0</v>
      </c>
      <c r="E4064" s="119">
        <v>80</v>
      </c>
      <c r="F4064" s="112">
        <v>90</v>
      </c>
      <c r="G4064" s="119"/>
      <c r="H4064" s="119"/>
      <c r="I4064" s="119" t="s">
        <v>4246</v>
      </c>
      <c r="J4064" s="119" t="s">
        <v>4247</v>
      </c>
      <c r="K4064" s="119" t="b">
        <v>0</v>
      </c>
      <c r="L4064" s="119">
        <v>5</v>
      </c>
      <c r="M4064" s="451" t="s">
        <v>8479</v>
      </c>
      <c r="N4064" s="452" t="s">
        <v>6460</v>
      </c>
      <c r="O4064" s="236" t="str">
        <f>VLOOKUP(N4064,Table15[[code9]:[ratevalue]],6,FALSE)</f>
        <v>6.44</v>
      </c>
      <c r="P4064" s="452" t="s">
        <v>6461</v>
      </c>
      <c r="Q4064" s="236" t="str">
        <f>VLOOKUP(P4064,Table15[[code9]:[ratevalue]],6,FALSE)</f>
        <v>6.86</v>
      </c>
      <c r="R4064" s="229" t="s">
        <v>6074</v>
      </c>
      <c r="S4064" s="229" t="s">
        <v>6442</v>
      </c>
      <c r="T4064" s="452" t="s">
        <v>6401</v>
      </c>
      <c r="U4064" s="236" t="str">
        <f>IF(ISNA(VLOOKUP(T4064,Table15[[code9]:[ratevalue]],6,FALSE)),"",VLOOKUP(T4064,Table15[[code9]:[ratevalue]],6,FALSE))</f>
        <v>7.19</v>
      </c>
      <c r="V4064" s="229" t="s">
        <v>6074</v>
      </c>
      <c r="W4064" s="229" t="s">
        <v>6395</v>
      </c>
    </row>
    <row r="4065" spans="2:23" hidden="1" outlineLevel="2">
      <c r="B4065" s="2" t="s">
        <v>876</v>
      </c>
      <c r="C4065" s="2">
        <v>20</v>
      </c>
      <c r="D4065" s="114" t="b">
        <v>0</v>
      </c>
      <c r="E4065" s="114">
        <v>90</v>
      </c>
      <c r="F4065" s="114"/>
      <c r="G4065" s="114">
        <v>50000</v>
      </c>
      <c r="H4065" s="114"/>
      <c r="I4065" s="114" t="s">
        <v>4317</v>
      </c>
      <c r="J4065" s="114" t="s">
        <v>4247</v>
      </c>
      <c r="K4065" s="114" t="b">
        <v>1</v>
      </c>
      <c r="L4065" s="114"/>
      <c r="M4065" s="215" t="s">
        <v>8220</v>
      </c>
      <c r="N4065" s="236" t="s">
        <v>8452</v>
      </c>
      <c r="O4065" s="236" t="str">
        <f>VLOOKUP(N4065,Table15[[code9]:[ratevalue]],6,FALSE)</f>
        <v>7.39</v>
      </c>
      <c r="P4065" s="236" t="s">
        <v>8453</v>
      </c>
      <c r="Q4065" s="236" t="str">
        <f>VLOOKUP(P4065,Table15[[code9]:[ratevalue]],6,FALSE)</f>
        <v>7.39</v>
      </c>
      <c r="R4065" s="236" t="s">
        <v>6074</v>
      </c>
      <c r="S4065" s="236" t="s">
        <v>4758</v>
      </c>
      <c r="T4065" s="236"/>
      <c r="U4065" s="236" t="str">
        <f>IF(ISNA(VLOOKUP(T4065,Table15[[code9]:[ratevalue]],6,FALSE)),"",VLOOKUP(T4065,Table15[[code9]:[ratevalue]],6,FALSE))</f>
        <v/>
      </c>
      <c r="V4065" s="236" t="s">
        <v>1485</v>
      </c>
      <c r="W4065" s="236" t="s">
        <v>1485</v>
      </c>
    </row>
    <row r="4066" spans="2:23" hidden="1" outlineLevel="2">
      <c r="B4066" s="2" t="s">
        <v>876</v>
      </c>
      <c r="C4066" s="2">
        <v>21</v>
      </c>
      <c r="D4066" s="114" t="b">
        <v>0</v>
      </c>
      <c r="E4066" s="114">
        <v>90</v>
      </c>
      <c r="F4066" s="114"/>
      <c r="G4066" s="114"/>
      <c r="H4066" s="114">
        <v>50000</v>
      </c>
      <c r="I4066" s="114" t="s">
        <v>4317</v>
      </c>
      <c r="J4066" s="114" t="s">
        <v>4247</v>
      </c>
      <c r="K4066" s="114" t="b">
        <v>1</v>
      </c>
      <c r="L4066" s="114"/>
      <c r="M4066" s="215" t="s">
        <v>488</v>
      </c>
      <c r="N4066" s="236" t="s">
        <v>4759</v>
      </c>
      <c r="O4066" s="236" t="str">
        <f>VLOOKUP(N4066,Table15[[code9]:[ratevalue]],6,FALSE)</f>
        <v>7.74</v>
      </c>
      <c r="P4066" s="236" t="s">
        <v>6143</v>
      </c>
      <c r="Q4066" s="236" t="str">
        <f>VLOOKUP(P4066,Table15[[code9]:[ratevalue]],6,FALSE)</f>
        <v>7.74</v>
      </c>
      <c r="R4066" s="236" t="s">
        <v>6074</v>
      </c>
      <c r="S4066" s="236" t="s">
        <v>4758</v>
      </c>
      <c r="T4066" s="236"/>
      <c r="U4066" s="236" t="str">
        <f>IF(ISNA(VLOOKUP(T4066,Table15[[code9]:[ratevalue]],6,FALSE)),"",VLOOKUP(T4066,Table15[[code9]:[ratevalue]],6,FALSE))</f>
        <v/>
      </c>
      <c r="V4066" s="236" t="s">
        <v>1485</v>
      </c>
      <c r="W4066" s="236" t="s">
        <v>1485</v>
      </c>
    </row>
    <row r="4067" spans="2:23" hidden="1" outlineLevel="2">
      <c r="B4067" s="2" t="s">
        <v>876</v>
      </c>
      <c r="C4067" s="2">
        <v>22</v>
      </c>
      <c r="D4067" s="114" t="b">
        <v>0</v>
      </c>
      <c r="E4067" s="114">
        <v>90</v>
      </c>
      <c r="F4067" s="114"/>
      <c r="G4067" s="114"/>
      <c r="H4067" s="114"/>
      <c r="I4067" s="114" t="s">
        <v>4311</v>
      </c>
      <c r="J4067" s="114" t="s">
        <v>4247</v>
      </c>
      <c r="K4067" s="114" t="b">
        <v>1</v>
      </c>
      <c r="L4067" s="114"/>
      <c r="M4067" s="215" t="s">
        <v>8218</v>
      </c>
      <c r="N4067" s="236" t="s">
        <v>6401</v>
      </c>
      <c r="O4067" s="236" t="str">
        <f>VLOOKUP(N4067,Table15[[code9]:[ratevalue]],6,FALSE)</f>
        <v>7.19</v>
      </c>
      <c r="P4067" s="236" t="s">
        <v>6402</v>
      </c>
      <c r="Q4067" s="236" t="str">
        <f>VLOOKUP(P4067,Table15[[code9]:[ratevalue]],6,FALSE)</f>
        <v>7.19</v>
      </c>
      <c r="R4067" s="236" t="s">
        <v>6074</v>
      </c>
      <c r="S4067" s="236" t="s">
        <v>6395</v>
      </c>
      <c r="T4067" s="236"/>
      <c r="U4067" s="236" t="str">
        <f>IF(ISNA(VLOOKUP(T4067,Table15[[code9]:[ratevalue]],6,FALSE)),"",VLOOKUP(T4067,Table15[[code9]:[ratevalue]],6,FALSE))</f>
        <v/>
      </c>
      <c r="V4067" s="236" t="s">
        <v>1485</v>
      </c>
      <c r="W4067" s="236" t="s">
        <v>1485</v>
      </c>
    </row>
    <row r="4068" spans="2:23" hidden="1" outlineLevel="2">
      <c r="B4068" s="2" t="s">
        <v>876</v>
      </c>
      <c r="C4068" s="2">
        <v>23</v>
      </c>
      <c r="D4068" s="114" t="b">
        <v>0</v>
      </c>
      <c r="E4068" s="114">
        <v>90</v>
      </c>
      <c r="F4068" s="114"/>
      <c r="G4068" s="114"/>
      <c r="H4068" s="114"/>
      <c r="I4068" s="114" t="s">
        <v>4246</v>
      </c>
      <c r="J4068" s="114" t="s">
        <v>4247</v>
      </c>
      <c r="K4068" s="114" t="b">
        <v>1</v>
      </c>
      <c r="L4068" s="114">
        <v>1</v>
      </c>
      <c r="M4068" s="215" t="s">
        <v>4771</v>
      </c>
      <c r="N4068" s="236" t="s">
        <v>6444</v>
      </c>
      <c r="O4068" s="236" t="str">
        <f>VLOOKUP(N4068,Table15[[code9]:[ratevalue]],6,FALSE)</f>
        <v>6.34</v>
      </c>
      <c r="P4068" s="236" t="s">
        <v>6445</v>
      </c>
      <c r="Q4068" s="236" t="str">
        <f>VLOOKUP(P4068,Table15[[code9]:[ratevalue]],6,FALSE)</f>
        <v>6.88</v>
      </c>
      <c r="R4068" s="236" t="s">
        <v>6074</v>
      </c>
      <c r="S4068" s="236" t="s">
        <v>6442</v>
      </c>
      <c r="T4068" s="236" t="s">
        <v>6401</v>
      </c>
      <c r="U4068" s="236" t="str">
        <f>IF(ISNA(VLOOKUP(T4068,Table15[[code9]:[ratevalue]],6,FALSE)),"",VLOOKUP(T4068,Table15[[code9]:[ratevalue]],6,FALSE))</f>
        <v>7.19</v>
      </c>
      <c r="V4068" s="236" t="s">
        <v>6074</v>
      </c>
      <c r="W4068" s="236" t="s">
        <v>6395</v>
      </c>
    </row>
    <row r="4069" spans="2:23" hidden="1" outlineLevel="2">
      <c r="B4069" s="2" t="s">
        <v>876</v>
      </c>
      <c r="D4069" s="114" t="b">
        <v>0</v>
      </c>
      <c r="E4069" s="114">
        <v>90</v>
      </c>
      <c r="F4069" s="114"/>
      <c r="G4069" s="114"/>
      <c r="H4069" s="114"/>
      <c r="I4069" s="114" t="s">
        <v>4246</v>
      </c>
      <c r="J4069" s="114" t="s">
        <v>4247</v>
      </c>
      <c r="K4069" s="114" t="b">
        <v>1</v>
      </c>
      <c r="L4069" s="114">
        <v>2</v>
      </c>
      <c r="M4069" s="215" t="s">
        <v>8224</v>
      </c>
      <c r="N4069" s="236" t="s">
        <v>6448</v>
      </c>
      <c r="O4069" s="236" t="str">
        <f>VLOOKUP(N4069,Table15[[code9]:[ratevalue]],6,FALSE)</f>
        <v>6.19</v>
      </c>
      <c r="P4069" s="236" t="s">
        <v>6449</v>
      </c>
      <c r="Q4069" s="236" t="str">
        <f>VLOOKUP(P4069,Table15[[code9]:[ratevalue]],6,FALSE)</f>
        <v>6.99</v>
      </c>
      <c r="R4069" s="236" t="s">
        <v>6074</v>
      </c>
      <c r="S4069" s="236" t="s">
        <v>6442</v>
      </c>
      <c r="T4069" s="236" t="s">
        <v>6401</v>
      </c>
      <c r="U4069" s="236" t="str">
        <f>IF(ISNA(VLOOKUP(T4069,Table15[[code9]:[ratevalue]],6,FALSE)),"",VLOOKUP(T4069,Table15[[code9]:[ratevalue]],6,FALSE))</f>
        <v>7.19</v>
      </c>
      <c r="V4069" s="236" t="s">
        <v>6074</v>
      </c>
      <c r="W4069" s="236" t="s">
        <v>6395</v>
      </c>
    </row>
    <row r="4070" spans="2:23" hidden="1" outlineLevel="2">
      <c r="B4070" s="2" t="s">
        <v>876</v>
      </c>
      <c r="D4070" s="114" t="b">
        <v>0</v>
      </c>
      <c r="E4070" s="114">
        <v>90</v>
      </c>
      <c r="F4070" s="114"/>
      <c r="G4070" s="114"/>
      <c r="H4070" s="114"/>
      <c r="I4070" s="114" t="s">
        <v>4246</v>
      </c>
      <c r="J4070" s="114" t="s">
        <v>4247</v>
      </c>
      <c r="K4070" s="114" t="b">
        <v>1</v>
      </c>
      <c r="L4070" s="114">
        <v>3</v>
      </c>
      <c r="M4070" s="215" t="s">
        <v>8225</v>
      </c>
      <c r="N4070" s="236" t="s">
        <v>6452</v>
      </c>
      <c r="O4070" s="236" t="str">
        <f>VLOOKUP(N4070,Table15[[code9]:[ratevalue]],6,FALSE)</f>
        <v>6.19</v>
      </c>
      <c r="P4070" s="236" t="s">
        <v>6453</v>
      </c>
      <c r="Q4070" s="236" t="str">
        <f>VLOOKUP(P4070,Table15[[code9]:[ratevalue]],6,FALSE)</f>
        <v>6.90</v>
      </c>
      <c r="R4070" s="236" t="s">
        <v>6074</v>
      </c>
      <c r="S4070" s="236" t="s">
        <v>6442</v>
      </c>
      <c r="T4070" s="236" t="s">
        <v>6401</v>
      </c>
      <c r="U4070" s="236" t="str">
        <f>IF(ISNA(VLOOKUP(T4070,Table15[[code9]:[ratevalue]],6,FALSE)),"",VLOOKUP(T4070,Table15[[code9]:[ratevalue]],6,FALSE))</f>
        <v>7.19</v>
      </c>
      <c r="V4070" s="236" t="s">
        <v>6074</v>
      </c>
      <c r="W4070" s="236" t="s">
        <v>6395</v>
      </c>
    </row>
    <row r="4071" spans="2:23" hidden="1" outlineLevel="2">
      <c r="B4071" s="2" t="s">
        <v>876</v>
      </c>
      <c r="D4071" s="114" t="b">
        <v>0</v>
      </c>
      <c r="E4071" s="114">
        <v>90</v>
      </c>
      <c r="F4071" s="114"/>
      <c r="G4071" s="114"/>
      <c r="H4071" s="114"/>
      <c r="I4071" s="114" t="s">
        <v>4246</v>
      </c>
      <c r="J4071" s="114" t="s">
        <v>4247</v>
      </c>
      <c r="K4071" s="114" t="b">
        <v>0</v>
      </c>
      <c r="L4071" s="114">
        <v>4</v>
      </c>
      <c r="M4071" s="215" t="s">
        <v>8478</v>
      </c>
      <c r="N4071" s="236" t="s">
        <v>6456</v>
      </c>
      <c r="O4071" s="236" t="str">
        <f>VLOOKUP(N4071,Table15[[code9]:[ratevalue]],6,FALSE)</f>
        <v>6.34</v>
      </c>
      <c r="P4071" s="236" t="s">
        <v>6457</v>
      </c>
      <c r="Q4071" s="236" t="str">
        <f>VLOOKUP(P4071,Table15[[code9]:[ratevalue]],6,FALSE)</f>
        <v>6.88</v>
      </c>
      <c r="R4071" s="236" t="s">
        <v>6074</v>
      </c>
      <c r="S4071" s="236" t="s">
        <v>6442</v>
      </c>
      <c r="T4071" s="236" t="s">
        <v>6401</v>
      </c>
      <c r="U4071" s="236" t="str">
        <f>IF(ISNA(VLOOKUP(T4071,Table15[[code9]:[ratevalue]],6,FALSE)),"",VLOOKUP(T4071,Table15[[code9]:[ratevalue]],6,FALSE))</f>
        <v>7.19</v>
      </c>
      <c r="V4071" s="236" t="s">
        <v>6074</v>
      </c>
      <c r="W4071" s="236" t="s">
        <v>6395</v>
      </c>
    </row>
    <row r="4072" spans="2:23" ht="16" hidden="1" outlineLevel="2" thickBot="1">
      <c r="B4072" s="2" t="s">
        <v>876</v>
      </c>
      <c r="D4072" s="479" t="b">
        <v>0</v>
      </c>
      <c r="E4072" s="479">
        <v>90</v>
      </c>
      <c r="F4072" s="479"/>
      <c r="G4072" s="479"/>
      <c r="H4072" s="479"/>
      <c r="I4072" s="479" t="s">
        <v>4246</v>
      </c>
      <c r="J4072" s="479" t="s">
        <v>4247</v>
      </c>
      <c r="K4072" s="479" t="b">
        <v>0</v>
      </c>
      <c r="L4072" s="479">
        <v>5</v>
      </c>
      <c r="M4072" s="487" t="s">
        <v>8479</v>
      </c>
      <c r="N4072" s="488" t="s">
        <v>6460</v>
      </c>
      <c r="O4072" s="236" t="str">
        <f>VLOOKUP(N4072,Table15[[code9]:[ratevalue]],6,FALSE)</f>
        <v>6.44</v>
      </c>
      <c r="P4072" s="488" t="s">
        <v>6461</v>
      </c>
      <c r="Q4072" s="236" t="str">
        <f>VLOOKUP(P4072,Table15[[code9]:[ratevalue]],6,FALSE)</f>
        <v>6.86</v>
      </c>
      <c r="R4072" s="236" t="s">
        <v>6074</v>
      </c>
      <c r="S4072" s="236" t="s">
        <v>6442</v>
      </c>
      <c r="T4072" s="488" t="s">
        <v>6401</v>
      </c>
      <c r="U4072" s="236" t="str">
        <f>IF(ISNA(VLOOKUP(T4072,Table15[[code9]:[ratevalue]],6,FALSE)),"",VLOOKUP(T4072,Table15[[code9]:[ratevalue]],6,FALSE))</f>
        <v>7.19</v>
      </c>
      <c r="V4072" s="236" t="s">
        <v>6074</v>
      </c>
      <c r="W4072" s="236" t="s">
        <v>6395</v>
      </c>
    </row>
    <row r="4073" spans="2:23" hidden="1" outlineLevel="2">
      <c r="B4073" s="2" t="s">
        <v>876</v>
      </c>
      <c r="D4073" s="126" t="b">
        <v>0</v>
      </c>
      <c r="E4073" s="126"/>
      <c r="F4073" s="126">
        <v>70</v>
      </c>
      <c r="G4073" s="126"/>
      <c r="H4073" s="126"/>
      <c r="I4073" s="126" t="s">
        <v>4311</v>
      </c>
      <c r="J4073" s="126" t="s">
        <v>4267</v>
      </c>
      <c r="K4073" s="126" t="b">
        <v>0</v>
      </c>
      <c r="L4073" s="126"/>
      <c r="M4073" s="333" t="s">
        <v>8223</v>
      </c>
      <c r="N4073" s="494" t="s">
        <v>6399</v>
      </c>
      <c r="O4073" s="236" t="str">
        <f>VLOOKUP(N4073,Table15[[code9]:[ratevalue]],6,FALSE)</f>
        <v>7.54</v>
      </c>
      <c r="P4073" s="494" t="s">
        <v>6400</v>
      </c>
      <c r="Q4073" s="236" t="str">
        <f>VLOOKUP(P4073,Table15[[code9]:[ratevalue]],6,FALSE)</f>
        <v>7.24</v>
      </c>
      <c r="R4073" s="229" t="s">
        <v>6074</v>
      </c>
      <c r="S4073" s="229" t="s">
        <v>6395</v>
      </c>
      <c r="T4073" s="494" t="s">
        <v>6397</v>
      </c>
      <c r="U4073" s="236" t="str">
        <f>IF(ISNA(VLOOKUP(T4073,Table15[[code9]:[ratevalue]],6,FALSE)),"",VLOOKUP(T4073,Table15[[code9]:[ratevalue]],6,FALSE))</f>
        <v>6.99</v>
      </c>
      <c r="V4073" s="229" t="s">
        <v>6074</v>
      </c>
      <c r="W4073" s="229" t="s">
        <v>6395</v>
      </c>
    </row>
    <row r="4074" spans="2:23" hidden="1" outlineLevel="2">
      <c r="B4074" s="2" t="s">
        <v>876</v>
      </c>
      <c r="D4074" s="112" t="b">
        <v>0</v>
      </c>
      <c r="E4074" s="112"/>
      <c r="F4074" s="112">
        <v>70</v>
      </c>
      <c r="G4074" s="112"/>
      <c r="H4074" s="112"/>
      <c r="I4074" s="112" t="s">
        <v>4246</v>
      </c>
      <c r="J4074" s="112" t="s">
        <v>4267</v>
      </c>
      <c r="K4074" s="112" t="b">
        <v>0</v>
      </c>
      <c r="L4074" s="112">
        <v>1</v>
      </c>
      <c r="M4074" s="147" t="s">
        <v>8226</v>
      </c>
      <c r="N4074" s="229" t="s">
        <v>6410</v>
      </c>
      <c r="O4074" s="236" t="str">
        <f>VLOOKUP(N4074,Table15[[code9]:[ratevalue]],6,FALSE)</f>
        <v>6.34</v>
      </c>
      <c r="P4074" s="114" t="s">
        <v>6447</v>
      </c>
      <c r="Q4074" s="236" t="str">
        <f>VLOOKUP(P4074,Table15[[code9]:[ratevalue]],6,FALSE)</f>
        <v>7.15</v>
      </c>
      <c r="R4074" s="229" t="s">
        <v>6074</v>
      </c>
      <c r="S4074" s="229" t="s">
        <v>6405</v>
      </c>
      <c r="T4074" s="229" t="s">
        <v>6397</v>
      </c>
      <c r="U4074" s="236" t="str">
        <f>IF(ISNA(VLOOKUP(T4074,Table15[[code9]:[ratevalue]],6,FALSE)),"",VLOOKUP(T4074,Table15[[code9]:[ratevalue]],6,FALSE))</f>
        <v>6.99</v>
      </c>
      <c r="V4074" s="229" t="s">
        <v>6074</v>
      </c>
      <c r="W4074" s="229" t="s">
        <v>6395</v>
      </c>
    </row>
    <row r="4075" spans="2:23" hidden="1" outlineLevel="2">
      <c r="B4075" s="2" t="s">
        <v>876</v>
      </c>
      <c r="D4075" s="112" t="b">
        <v>0</v>
      </c>
      <c r="E4075" s="112"/>
      <c r="F4075" s="112">
        <v>70</v>
      </c>
      <c r="G4075" s="112"/>
      <c r="H4075" s="112"/>
      <c r="I4075" s="112" t="s">
        <v>4246</v>
      </c>
      <c r="J4075" s="112" t="s">
        <v>4267</v>
      </c>
      <c r="K4075" s="112" t="b">
        <v>0</v>
      </c>
      <c r="L4075" s="112">
        <v>2</v>
      </c>
      <c r="M4075" s="147" t="s">
        <v>8227</v>
      </c>
      <c r="N4075" s="229" t="s">
        <v>6415</v>
      </c>
      <c r="O4075" s="236" t="str">
        <f>VLOOKUP(N4075,Table15[[code9]:[ratevalue]],6,FALSE)</f>
        <v>6.04</v>
      </c>
      <c r="P4075" s="114" t="s">
        <v>6451</v>
      </c>
      <c r="Q4075" s="236" t="str">
        <f>VLOOKUP(P4075,Table15[[code9]:[ratevalue]],6,FALSE)</f>
        <v>7.05</v>
      </c>
      <c r="R4075" s="229" t="s">
        <v>6074</v>
      </c>
      <c r="S4075" s="229" t="s">
        <v>6405</v>
      </c>
      <c r="T4075" s="229" t="s">
        <v>6397</v>
      </c>
      <c r="U4075" s="236" t="str">
        <f>IF(ISNA(VLOOKUP(T4075,Table15[[code9]:[ratevalue]],6,FALSE)),"",VLOOKUP(T4075,Table15[[code9]:[ratevalue]],6,FALSE))</f>
        <v>6.99</v>
      </c>
      <c r="V4075" s="229" t="s">
        <v>6074</v>
      </c>
      <c r="W4075" s="229" t="s">
        <v>6395</v>
      </c>
    </row>
    <row r="4076" spans="2:23" hidden="1" outlineLevel="2">
      <c r="B4076" s="2" t="s">
        <v>876</v>
      </c>
      <c r="D4076" s="112" t="b">
        <v>0</v>
      </c>
      <c r="E4076" s="112"/>
      <c r="F4076" s="112">
        <v>70</v>
      </c>
      <c r="G4076" s="112"/>
      <c r="H4076" s="112"/>
      <c r="I4076" s="112" t="s">
        <v>4246</v>
      </c>
      <c r="J4076" s="112" t="s">
        <v>4267</v>
      </c>
      <c r="K4076" s="112" t="b">
        <v>0</v>
      </c>
      <c r="L4076" s="112">
        <v>3</v>
      </c>
      <c r="M4076" s="147" t="s">
        <v>8228</v>
      </c>
      <c r="N4076" s="229" t="s">
        <v>6420</v>
      </c>
      <c r="O4076" s="236" t="str">
        <f>VLOOKUP(N4076,Table15[[code9]:[ratevalue]],6,FALSE)</f>
        <v>6.04</v>
      </c>
      <c r="P4076" s="114" t="s">
        <v>6455</v>
      </c>
      <c r="Q4076" s="236" t="str">
        <f>VLOOKUP(P4076,Table15[[code9]:[ratevalue]],6,FALSE)</f>
        <v>6.99</v>
      </c>
      <c r="R4076" s="229" t="s">
        <v>6074</v>
      </c>
      <c r="S4076" s="229" t="s">
        <v>6405</v>
      </c>
      <c r="T4076" s="229" t="s">
        <v>6397</v>
      </c>
      <c r="U4076" s="236" t="str">
        <f>IF(ISNA(VLOOKUP(T4076,Table15[[code9]:[ratevalue]],6,FALSE)),"",VLOOKUP(T4076,Table15[[code9]:[ratevalue]],6,FALSE))</f>
        <v>6.99</v>
      </c>
      <c r="V4076" s="229" t="s">
        <v>6074</v>
      </c>
      <c r="W4076" s="229" t="s">
        <v>6395</v>
      </c>
    </row>
    <row r="4077" spans="2:23" hidden="1" outlineLevel="2">
      <c r="B4077" s="2" t="s">
        <v>876</v>
      </c>
      <c r="D4077" s="112" t="b">
        <v>0</v>
      </c>
      <c r="E4077" s="112"/>
      <c r="F4077" s="112">
        <v>70</v>
      </c>
      <c r="G4077" s="112"/>
      <c r="H4077" s="112"/>
      <c r="I4077" s="112" t="s">
        <v>4246</v>
      </c>
      <c r="J4077" s="112" t="s">
        <v>4267</v>
      </c>
      <c r="K4077" s="112" t="b">
        <v>0</v>
      </c>
      <c r="L4077" s="112">
        <v>4</v>
      </c>
      <c r="M4077" s="147" t="s">
        <v>8476</v>
      </c>
      <c r="N4077" s="229" t="s">
        <v>6425</v>
      </c>
      <c r="O4077" s="236" t="str">
        <f>VLOOKUP(N4077,Table15[[code9]:[ratevalue]],6,FALSE)</f>
        <v>6.09</v>
      </c>
      <c r="P4077" s="114" t="s">
        <v>6459</v>
      </c>
      <c r="Q4077" s="236" t="str">
        <f>VLOOKUP(P4077,Table15[[code9]:[ratevalue]],6,FALSE)</f>
        <v>6.96</v>
      </c>
      <c r="R4077" s="229" t="s">
        <v>6074</v>
      </c>
      <c r="S4077" s="229" t="s">
        <v>6405</v>
      </c>
      <c r="T4077" s="229" t="s">
        <v>6397</v>
      </c>
      <c r="U4077" s="236" t="str">
        <f>IF(ISNA(VLOOKUP(T4077,Table15[[code9]:[ratevalue]],6,FALSE)),"",VLOOKUP(T4077,Table15[[code9]:[ratevalue]],6,FALSE))</f>
        <v>6.99</v>
      </c>
      <c r="V4077" s="229" t="s">
        <v>6074</v>
      </c>
      <c r="W4077" s="229" t="s">
        <v>6395</v>
      </c>
    </row>
    <row r="4078" spans="2:23" hidden="1" outlineLevel="2">
      <c r="B4078" s="2" t="s">
        <v>876</v>
      </c>
      <c r="D4078" s="112" t="b">
        <v>0</v>
      </c>
      <c r="E4078" s="112"/>
      <c r="F4078" s="112">
        <v>70</v>
      </c>
      <c r="G4078" s="112"/>
      <c r="H4078" s="112"/>
      <c r="I4078" s="112" t="s">
        <v>4246</v>
      </c>
      <c r="J4078" s="112" t="s">
        <v>4267</v>
      </c>
      <c r="K4078" s="112" t="b">
        <v>0</v>
      </c>
      <c r="L4078" s="112">
        <v>5</v>
      </c>
      <c r="M4078" s="147" t="s">
        <v>8477</v>
      </c>
      <c r="N4078" s="229" t="s">
        <v>6430</v>
      </c>
      <c r="O4078" s="236" t="str">
        <f>VLOOKUP(N4078,Table15[[code9]:[ratevalue]],6,FALSE)</f>
        <v>6.19</v>
      </c>
      <c r="P4078" s="114" t="s">
        <v>6463</v>
      </c>
      <c r="Q4078" s="236" t="str">
        <f>VLOOKUP(P4078,Table15[[code9]:[ratevalue]],6,FALSE)</f>
        <v>6.96</v>
      </c>
      <c r="R4078" s="229" t="s">
        <v>6074</v>
      </c>
      <c r="S4078" s="229" t="s">
        <v>6405</v>
      </c>
      <c r="T4078" s="229" t="s">
        <v>6397</v>
      </c>
      <c r="U4078" s="236" t="str">
        <f>IF(ISNA(VLOOKUP(T4078,Table15[[code9]:[ratevalue]],6,FALSE)),"",VLOOKUP(T4078,Table15[[code9]:[ratevalue]],6,FALSE))</f>
        <v>6.99</v>
      </c>
      <c r="V4078" s="229" t="s">
        <v>6074</v>
      </c>
      <c r="W4078" s="229" t="s">
        <v>6395</v>
      </c>
    </row>
    <row r="4079" spans="2:23" hidden="1" outlineLevel="2">
      <c r="B4079" s="2" t="s">
        <v>876</v>
      </c>
      <c r="D4079" s="114" t="b">
        <v>0</v>
      </c>
      <c r="E4079" s="114">
        <v>70</v>
      </c>
      <c r="F4079" s="114">
        <v>80</v>
      </c>
      <c r="G4079" s="114"/>
      <c r="H4079" s="114"/>
      <c r="I4079" s="114" t="s">
        <v>4311</v>
      </c>
      <c r="J4079" s="114" t="s">
        <v>4267</v>
      </c>
      <c r="K4079" s="114" t="b">
        <v>0</v>
      </c>
      <c r="L4079" s="114"/>
      <c r="M4079" s="215" t="s">
        <v>8223</v>
      </c>
      <c r="N4079" s="114" t="s">
        <v>6399</v>
      </c>
      <c r="O4079" s="236" t="str">
        <f>VLOOKUP(N4079,Table15[[code9]:[ratevalue]],6,FALSE)</f>
        <v>7.54</v>
      </c>
      <c r="P4079" s="114" t="s">
        <v>6400</v>
      </c>
      <c r="Q4079" s="236" t="str">
        <f>VLOOKUP(P4079,Table15[[code9]:[ratevalue]],6,FALSE)</f>
        <v>7.24</v>
      </c>
      <c r="R4079" s="229" t="s">
        <v>6074</v>
      </c>
      <c r="S4079" s="229" t="s">
        <v>6395</v>
      </c>
      <c r="T4079" s="114" t="s">
        <v>6397</v>
      </c>
      <c r="U4079" s="236" t="str">
        <f>IF(ISNA(VLOOKUP(T4079,Table15[[code9]:[ratevalue]],6,FALSE)),"",VLOOKUP(T4079,Table15[[code9]:[ratevalue]],6,FALSE))</f>
        <v>6.99</v>
      </c>
      <c r="V4079" s="229" t="s">
        <v>6074</v>
      </c>
      <c r="W4079" s="229" t="s">
        <v>6395</v>
      </c>
    </row>
    <row r="4080" spans="2:23" hidden="1" outlineLevel="2">
      <c r="B4080" s="2" t="s">
        <v>876</v>
      </c>
      <c r="D4080" s="114" t="b">
        <v>0</v>
      </c>
      <c r="E4080" s="114">
        <v>70</v>
      </c>
      <c r="F4080" s="114">
        <v>80</v>
      </c>
      <c r="G4080" s="114"/>
      <c r="H4080" s="114"/>
      <c r="I4080" s="114" t="s">
        <v>4246</v>
      </c>
      <c r="J4080" s="114" t="s">
        <v>4267</v>
      </c>
      <c r="K4080" s="114" t="b">
        <v>0</v>
      </c>
      <c r="L4080" s="114">
        <v>1</v>
      </c>
      <c r="M4080" s="215" t="s">
        <v>8226</v>
      </c>
      <c r="N4080" s="236" t="s">
        <v>6410</v>
      </c>
      <c r="O4080" s="236" t="str">
        <f>VLOOKUP(N4080,Table15[[code9]:[ratevalue]],6,FALSE)</f>
        <v>6.34</v>
      </c>
      <c r="P4080" s="114" t="s">
        <v>6447</v>
      </c>
      <c r="Q4080" s="236" t="str">
        <f>VLOOKUP(P4080,Table15[[code9]:[ratevalue]],6,FALSE)</f>
        <v>7.15</v>
      </c>
      <c r="R4080" s="229" t="s">
        <v>6074</v>
      </c>
      <c r="S4080" s="229" t="s">
        <v>6405</v>
      </c>
      <c r="T4080" s="114" t="s">
        <v>6397</v>
      </c>
      <c r="U4080" s="236" t="str">
        <f>IF(ISNA(VLOOKUP(T4080,Table15[[code9]:[ratevalue]],6,FALSE)),"",VLOOKUP(T4080,Table15[[code9]:[ratevalue]],6,FALSE))</f>
        <v>6.99</v>
      </c>
      <c r="V4080" s="229" t="s">
        <v>6074</v>
      </c>
      <c r="W4080" s="229" t="s">
        <v>6395</v>
      </c>
    </row>
    <row r="4081" spans="2:23" hidden="1" outlineLevel="2">
      <c r="B4081" s="2" t="s">
        <v>876</v>
      </c>
      <c r="D4081" s="114" t="b">
        <v>0</v>
      </c>
      <c r="E4081" s="114">
        <v>70</v>
      </c>
      <c r="F4081" s="114">
        <v>80</v>
      </c>
      <c r="G4081" s="114"/>
      <c r="H4081" s="114"/>
      <c r="I4081" s="114" t="s">
        <v>4246</v>
      </c>
      <c r="J4081" s="114" t="s">
        <v>4267</v>
      </c>
      <c r="K4081" s="114" t="b">
        <v>0</v>
      </c>
      <c r="L4081" s="114">
        <v>2</v>
      </c>
      <c r="M4081" s="215" t="s">
        <v>8227</v>
      </c>
      <c r="N4081" s="236" t="s">
        <v>6415</v>
      </c>
      <c r="O4081" s="236" t="str">
        <f>VLOOKUP(N4081,Table15[[code9]:[ratevalue]],6,FALSE)</f>
        <v>6.04</v>
      </c>
      <c r="P4081" s="114" t="s">
        <v>6451</v>
      </c>
      <c r="Q4081" s="236" t="str">
        <f>VLOOKUP(P4081,Table15[[code9]:[ratevalue]],6,FALSE)</f>
        <v>7.05</v>
      </c>
      <c r="R4081" s="229" t="s">
        <v>6074</v>
      </c>
      <c r="S4081" s="229" t="s">
        <v>6405</v>
      </c>
      <c r="T4081" s="114" t="s">
        <v>6397</v>
      </c>
      <c r="U4081" s="236" t="str">
        <f>IF(ISNA(VLOOKUP(T4081,Table15[[code9]:[ratevalue]],6,FALSE)),"",VLOOKUP(T4081,Table15[[code9]:[ratevalue]],6,FALSE))</f>
        <v>6.99</v>
      </c>
      <c r="V4081" s="229" t="s">
        <v>6074</v>
      </c>
      <c r="W4081" s="229" t="s">
        <v>6395</v>
      </c>
    </row>
    <row r="4082" spans="2:23" hidden="1" outlineLevel="2">
      <c r="B4082" s="2" t="s">
        <v>876</v>
      </c>
      <c r="D4082" s="114" t="b">
        <v>0</v>
      </c>
      <c r="E4082" s="114">
        <v>70</v>
      </c>
      <c r="F4082" s="114">
        <v>80</v>
      </c>
      <c r="G4082" s="114"/>
      <c r="H4082" s="114"/>
      <c r="I4082" s="114" t="s">
        <v>4246</v>
      </c>
      <c r="J4082" s="114" t="s">
        <v>4267</v>
      </c>
      <c r="K4082" s="114" t="b">
        <v>0</v>
      </c>
      <c r="L4082" s="114">
        <v>3</v>
      </c>
      <c r="M4082" s="215" t="s">
        <v>8228</v>
      </c>
      <c r="N4082" s="236" t="s">
        <v>6420</v>
      </c>
      <c r="O4082" s="236" t="str">
        <f>VLOOKUP(N4082,Table15[[code9]:[ratevalue]],6,FALSE)</f>
        <v>6.04</v>
      </c>
      <c r="P4082" s="114" t="s">
        <v>6455</v>
      </c>
      <c r="Q4082" s="236" t="str">
        <f>VLOOKUP(P4082,Table15[[code9]:[ratevalue]],6,FALSE)</f>
        <v>6.99</v>
      </c>
      <c r="R4082" s="229" t="s">
        <v>6074</v>
      </c>
      <c r="S4082" s="229" t="s">
        <v>6405</v>
      </c>
      <c r="T4082" s="114" t="s">
        <v>6397</v>
      </c>
      <c r="U4082" s="236" t="str">
        <f>IF(ISNA(VLOOKUP(T4082,Table15[[code9]:[ratevalue]],6,FALSE)),"",VLOOKUP(T4082,Table15[[code9]:[ratevalue]],6,FALSE))</f>
        <v>6.99</v>
      </c>
      <c r="V4082" s="229" t="s">
        <v>6074</v>
      </c>
      <c r="W4082" s="229" t="s">
        <v>6395</v>
      </c>
    </row>
    <row r="4083" spans="2:23" hidden="1" outlineLevel="2">
      <c r="B4083" s="2" t="s">
        <v>876</v>
      </c>
      <c r="D4083" s="114" t="b">
        <v>0</v>
      </c>
      <c r="E4083" s="114">
        <v>70</v>
      </c>
      <c r="F4083" s="114">
        <v>80</v>
      </c>
      <c r="G4083" s="114"/>
      <c r="H4083" s="114"/>
      <c r="I4083" s="114" t="s">
        <v>4246</v>
      </c>
      <c r="J4083" s="114" t="s">
        <v>4267</v>
      </c>
      <c r="K4083" s="114" t="b">
        <v>0</v>
      </c>
      <c r="L4083" s="114">
        <v>4</v>
      </c>
      <c r="M4083" s="215" t="s">
        <v>8476</v>
      </c>
      <c r="N4083" s="236" t="s">
        <v>6425</v>
      </c>
      <c r="O4083" s="236" t="str">
        <f>VLOOKUP(N4083,Table15[[code9]:[ratevalue]],6,FALSE)</f>
        <v>6.09</v>
      </c>
      <c r="P4083" s="114" t="s">
        <v>6459</v>
      </c>
      <c r="Q4083" s="236" t="str">
        <f>VLOOKUP(P4083,Table15[[code9]:[ratevalue]],6,FALSE)</f>
        <v>6.96</v>
      </c>
      <c r="R4083" s="229" t="s">
        <v>6074</v>
      </c>
      <c r="S4083" s="229" t="s">
        <v>6405</v>
      </c>
      <c r="T4083" s="114" t="s">
        <v>6397</v>
      </c>
      <c r="U4083" s="236" t="str">
        <f>IF(ISNA(VLOOKUP(T4083,Table15[[code9]:[ratevalue]],6,FALSE)),"",VLOOKUP(T4083,Table15[[code9]:[ratevalue]],6,FALSE))</f>
        <v>6.99</v>
      </c>
      <c r="V4083" s="229" t="s">
        <v>6074</v>
      </c>
      <c r="W4083" s="229" t="s">
        <v>6395</v>
      </c>
    </row>
    <row r="4084" spans="2:23" hidden="1" outlineLevel="2">
      <c r="B4084" s="2" t="s">
        <v>876</v>
      </c>
      <c r="D4084" s="114" t="b">
        <v>0</v>
      </c>
      <c r="E4084" s="114">
        <v>70</v>
      </c>
      <c r="F4084" s="114">
        <v>80</v>
      </c>
      <c r="G4084" s="114"/>
      <c r="H4084" s="114"/>
      <c r="I4084" s="114" t="s">
        <v>4246</v>
      </c>
      <c r="J4084" s="114" t="s">
        <v>4267</v>
      </c>
      <c r="K4084" s="114" t="b">
        <v>0</v>
      </c>
      <c r="L4084" s="114">
        <v>5</v>
      </c>
      <c r="M4084" s="215" t="s">
        <v>8477</v>
      </c>
      <c r="N4084" s="236" t="s">
        <v>6430</v>
      </c>
      <c r="O4084" s="236" t="str">
        <f>VLOOKUP(N4084,Table15[[code9]:[ratevalue]],6,FALSE)</f>
        <v>6.19</v>
      </c>
      <c r="P4084" s="114" t="s">
        <v>6463</v>
      </c>
      <c r="Q4084" s="236" t="str">
        <f>VLOOKUP(P4084,Table15[[code9]:[ratevalue]],6,FALSE)</f>
        <v>6.96</v>
      </c>
      <c r="R4084" s="229" t="s">
        <v>6074</v>
      </c>
      <c r="S4084" s="229" t="s">
        <v>6405</v>
      </c>
      <c r="T4084" s="114" t="s">
        <v>6397</v>
      </c>
      <c r="U4084" s="236" t="str">
        <f>IF(ISNA(VLOOKUP(T4084,Table15[[code9]:[ratevalue]],6,FALSE)),"",VLOOKUP(T4084,Table15[[code9]:[ratevalue]],6,FALSE))</f>
        <v>6.99</v>
      </c>
      <c r="V4084" s="229" t="s">
        <v>6074</v>
      </c>
      <c r="W4084" s="229" t="s">
        <v>6395</v>
      </c>
    </row>
    <row r="4085" spans="2:23" hidden="1" outlineLevel="2">
      <c r="B4085" s="2" t="s">
        <v>876</v>
      </c>
      <c r="D4085" s="112" t="b">
        <v>0</v>
      </c>
      <c r="E4085" s="112">
        <v>80</v>
      </c>
      <c r="F4085" s="112"/>
      <c r="G4085" s="112"/>
      <c r="H4085" s="112"/>
      <c r="I4085" s="112" t="s">
        <v>4311</v>
      </c>
      <c r="J4085" s="112" t="s">
        <v>4267</v>
      </c>
      <c r="K4085" s="112" t="b">
        <v>0</v>
      </c>
      <c r="L4085" s="112"/>
      <c r="M4085" s="147" t="s">
        <v>8218</v>
      </c>
      <c r="N4085" s="229" t="s">
        <v>6403</v>
      </c>
      <c r="O4085" s="236" t="str">
        <f>VLOOKUP(N4085,Table15[[code9]:[ratevalue]],6,FALSE)</f>
        <v>7.74</v>
      </c>
      <c r="P4085" s="229" t="s">
        <v>6404</v>
      </c>
      <c r="Q4085" s="236" t="str">
        <f>VLOOKUP(P4085,Table15[[code9]:[ratevalue]],6,FALSE)</f>
        <v>7.44</v>
      </c>
      <c r="R4085" s="229" t="s">
        <v>6074</v>
      </c>
      <c r="S4085" s="229" t="s">
        <v>6395</v>
      </c>
      <c r="T4085" s="229" t="s">
        <v>6401</v>
      </c>
      <c r="U4085" s="236" t="str">
        <f>IF(ISNA(VLOOKUP(T4085,Table15[[code9]:[ratevalue]],6,FALSE)),"",VLOOKUP(T4085,Table15[[code9]:[ratevalue]],6,FALSE))</f>
        <v>7.19</v>
      </c>
      <c r="V4085" s="229" t="s">
        <v>6074</v>
      </c>
      <c r="W4085" s="229" t="s">
        <v>6395</v>
      </c>
    </row>
    <row r="4086" spans="2:23" hidden="1" outlineLevel="2">
      <c r="B4086" s="2" t="s">
        <v>876</v>
      </c>
      <c r="D4086" s="112" t="b">
        <v>0</v>
      </c>
      <c r="E4086" s="112">
        <v>80</v>
      </c>
      <c r="F4086" s="112"/>
      <c r="G4086" s="112"/>
      <c r="H4086" s="112"/>
      <c r="I4086" s="112" t="s">
        <v>4246</v>
      </c>
      <c r="J4086" s="112" t="s">
        <v>4267</v>
      </c>
      <c r="K4086" s="112" t="b">
        <v>0</v>
      </c>
      <c r="L4086" s="112">
        <v>1</v>
      </c>
      <c r="M4086" s="147" t="s">
        <v>4771</v>
      </c>
      <c r="N4086" s="229" t="s">
        <v>6446</v>
      </c>
      <c r="O4086" s="236" t="str">
        <f>VLOOKUP(N4086,Table15[[code9]:[ratevalue]],6,FALSE)</f>
        <v>6.79</v>
      </c>
      <c r="P4086" s="229" t="s">
        <v>6411</v>
      </c>
      <c r="Q4086" s="236" t="str">
        <f>VLOOKUP(P4086,Table15[[code9]:[ratevalue]],6,FALSE)</f>
        <v>6.93</v>
      </c>
      <c r="R4086" s="229" t="s">
        <v>6074</v>
      </c>
      <c r="S4086" s="229" t="s">
        <v>6442</v>
      </c>
      <c r="T4086" s="229" t="s">
        <v>6401</v>
      </c>
      <c r="U4086" s="236" t="str">
        <f>IF(ISNA(VLOOKUP(T4086,Table15[[code9]:[ratevalue]],6,FALSE)),"",VLOOKUP(T4086,Table15[[code9]:[ratevalue]],6,FALSE))</f>
        <v>7.19</v>
      </c>
      <c r="V4086" s="229" t="s">
        <v>6074</v>
      </c>
      <c r="W4086" s="229" t="s">
        <v>6395</v>
      </c>
    </row>
    <row r="4087" spans="2:23" hidden="1" outlineLevel="2">
      <c r="B4087" s="2" t="s">
        <v>876</v>
      </c>
      <c r="D4087" s="112" t="b">
        <v>0</v>
      </c>
      <c r="E4087" s="112">
        <v>80</v>
      </c>
      <c r="F4087" s="112"/>
      <c r="G4087" s="112"/>
      <c r="H4087" s="112"/>
      <c r="I4087" s="112" t="s">
        <v>4246</v>
      </c>
      <c r="J4087" s="112" t="s">
        <v>4267</v>
      </c>
      <c r="K4087" s="112" t="b">
        <v>0</v>
      </c>
      <c r="L4087" s="112">
        <v>2</v>
      </c>
      <c r="M4087" s="147" t="s">
        <v>8224</v>
      </c>
      <c r="N4087" s="229" t="s">
        <v>6450</v>
      </c>
      <c r="O4087" s="236" t="str">
        <f>VLOOKUP(N4087,Table15[[code9]:[ratevalue]],6,FALSE)</f>
        <v>6.49</v>
      </c>
      <c r="P4087" s="229" t="s">
        <v>6416</v>
      </c>
      <c r="Q4087" s="236" t="str">
        <f>VLOOKUP(P4087,Table15[[code9]:[ratevalue]],6,FALSE)</f>
        <v>6.81</v>
      </c>
      <c r="R4087" s="229" t="s">
        <v>6074</v>
      </c>
      <c r="S4087" s="229" t="s">
        <v>6442</v>
      </c>
      <c r="T4087" s="229" t="s">
        <v>6401</v>
      </c>
      <c r="U4087" s="236" t="str">
        <f>IF(ISNA(VLOOKUP(T4087,Table15[[code9]:[ratevalue]],6,FALSE)),"",VLOOKUP(T4087,Table15[[code9]:[ratevalue]],6,FALSE))</f>
        <v>7.19</v>
      </c>
      <c r="V4087" s="229" t="s">
        <v>6074</v>
      </c>
      <c r="W4087" s="229" t="s">
        <v>6395</v>
      </c>
    </row>
    <row r="4088" spans="2:23" hidden="1" outlineLevel="2">
      <c r="B4088" s="2" t="s">
        <v>876</v>
      </c>
      <c r="D4088" s="112" t="b">
        <v>0</v>
      </c>
      <c r="E4088" s="112">
        <v>80</v>
      </c>
      <c r="F4088" s="112"/>
      <c r="G4088" s="112"/>
      <c r="H4088" s="112"/>
      <c r="I4088" s="112" t="s">
        <v>4246</v>
      </c>
      <c r="J4088" s="112" t="s">
        <v>4267</v>
      </c>
      <c r="K4088" s="112" t="b">
        <v>0</v>
      </c>
      <c r="L4088" s="112">
        <v>3</v>
      </c>
      <c r="M4088" s="147" t="s">
        <v>8225</v>
      </c>
      <c r="N4088" s="229" t="s">
        <v>6454</v>
      </c>
      <c r="O4088" s="236" t="str">
        <f>VLOOKUP(N4088,Table15[[code9]:[ratevalue]],6,FALSE)</f>
        <v>6.49</v>
      </c>
      <c r="P4088" s="229" t="s">
        <v>6421</v>
      </c>
      <c r="Q4088" s="236" t="str">
        <f>VLOOKUP(P4088,Table15[[code9]:[ratevalue]],6,FALSE)</f>
        <v>6.73</v>
      </c>
      <c r="R4088" s="229" t="s">
        <v>6074</v>
      </c>
      <c r="S4088" s="229" t="s">
        <v>6442</v>
      </c>
      <c r="T4088" s="229" t="s">
        <v>6401</v>
      </c>
      <c r="U4088" s="236" t="str">
        <f>IF(ISNA(VLOOKUP(T4088,Table15[[code9]:[ratevalue]],6,FALSE)),"",VLOOKUP(T4088,Table15[[code9]:[ratevalue]],6,FALSE))</f>
        <v>7.19</v>
      </c>
      <c r="V4088" s="229" t="s">
        <v>6074</v>
      </c>
      <c r="W4088" s="229" t="s">
        <v>6395</v>
      </c>
    </row>
    <row r="4089" spans="2:23" hidden="1" outlineLevel="2">
      <c r="B4089" s="2" t="s">
        <v>876</v>
      </c>
      <c r="D4089" s="112" t="b">
        <v>0</v>
      </c>
      <c r="E4089" s="112">
        <v>80</v>
      </c>
      <c r="F4089" s="112"/>
      <c r="G4089" s="112"/>
      <c r="H4089" s="112"/>
      <c r="I4089" s="112" t="s">
        <v>4246</v>
      </c>
      <c r="J4089" s="112" t="s">
        <v>4267</v>
      </c>
      <c r="K4089" s="112" t="b">
        <v>0</v>
      </c>
      <c r="L4089" s="112">
        <v>4</v>
      </c>
      <c r="M4089" s="147" t="s">
        <v>8478</v>
      </c>
      <c r="N4089" s="229" t="s">
        <v>6458</v>
      </c>
      <c r="O4089" s="236" t="str">
        <f>VLOOKUP(N4089,Table15[[code9]:[ratevalue]],6,FALSE)</f>
        <v>6.54</v>
      </c>
      <c r="P4089" s="229" t="s">
        <v>6426</v>
      </c>
      <c r="Q4089" s="236" t="str">
        <f>VLOOKUP(P4089,Table15[[code9]:[ratevalue]],6,FALSE)</f>
        <v>6.67</v>
      </c>
      <c r="R4089" s="229" t="s">
        <v>6074</v>
      </c>
      <c r="S4089" s="229" t="s">
        <v>6442</v>
      </c>
      <c r="T4089" s="229" t="s">
        <v>6401</v>
      </c>
      <c r="U4089" s="236" t="str">
        <f>IF(ISNA(VLOOKUP(T4089,Table15[[code9]:[ratevalue]],6,FALSE)),"",VLOOKUP(T4089,Table15[[code9]:[ratevalue]],6,FALSE))</f>
        <v>7.19</v>
      </c>
      <c r="V4089" s="229" t="s">
        <v>6074</v>
      </c>
      <c r="W4089" s="229" t="s">
        <v>6395</v>
      </c>
    </row>
    <row r="4090" spans="2:23" ht="16" hidden="1" outlineLevel="2" thickBot="1">
      <c r="B4090" s="2" t="s">
        <v>876</v>
      </c>
      <c r="D4090" s="128" t="b">
        <v>0</v>
      </c>
      <c r="E4090" s="128">
        <v>80</v>
      </c>
      <c r="F4090" s="128"/>
      <c r="G4090" s="128"/>
      <c r="H4090" s="128"/>
      <c r="I4090" s="128" t="s">
        <v>4246</v>
      </c>
      <c r="J4090" s="128" t="s">
        <v>4267</v>
      </c>
      <c r="K4090" s="128" t="b">
        <v>0</v>
      </c>
      <c r="L4090" s="128">
        <v>5</v>
      </c>
      <c r="M4090" s="495" t="s">
        <v>8479</v>
      </c>
      <c r="N4090" s="496" t="s">
        <v>6462</v>
      </c>
      <c r="O4090" s="236" t="str">
        <f>VLOOKUP(N4090,Table15[[code9]:[ratevalue]],6,FALSE)</f>
        <v>6.64</v>
      </c>
      <c r="P4090" s="496" t="s">
        <v>6431</v>
      </c>
      <c r="Q4090" s="236" t="str">
        <f>VLOOKUP(P4090,Table15[[code9]:[ratevalue]],6,FALSE)</f>
        <v>6.65</v>
      </c>
      <c r="R4090" s="496" t="s">
        <v>6074</v>
      </c>
      <c r="S4090" s="496" t="s">
        <v>6442</v>
      </c>
      <c r="T4090" s="496" t="s">
        <v>6401</v>
      </c>
      <c r="U4090" s="236" t="str">
        <f>IF(ISNA(VLOOKUP(T4090,Table15[[code9]:[ratevalue]],6,FALSE)),"",VLOOKUP(T4090,Table15[[code9]:[ratevalue]],6,FALSE))</f>
        <v>7.19</v>
      </c>
      <c r="V4090" s="496" t="s">
        <v>6074</v>
      </c>
      <c r="W4090" s="496" t="s">
        <v>6395</v>
      </c>
    </row>
    <row r="4091" spans="2:23" hidden="1" outlineLevel="2">
      <c r="B4091" s="2" t="s">
        <v>876</v>
      </c>
      <c r="D4091" s="134" t="b">
        <v>1</v>
      </c>
      <c r="E4091" s="134"/>
      <c r="F4091" s="134">
        <v>60</v>
      </c>
      <c r="G4091" s="134">
        <v>50000</v>
      </c>
      <c r="H4091" s="134"/>
      <c r="I4091" s="134" t="s">
        <v>4317</v>
      </c>
      <c r="J4091" s="134" t="s">
        <v>4247</v>
      </c>
      <c r="K4091" s="134" t="b">
        <v>0</v>
      </c>
      <c r="L4091" s="134"/>
      <c r="M4091" s="490" t="s">
        <v>8687</v>
      </c>
      <c r="N4091" s="491" t="s">
        <v>6713</v>
      </c>
      <c r="O4091" s="236" t="str">
        <f>VLOOKUP(N4091,Table15[[code9]:[ratevalue]],6,FALSE)</f>
        <v>6.39</v>
      </c>
      <c r="P4091" s="491" t="s">
        <v>6714</v>
      </c>
      <c r="Q4091" s="236" t="str">
        <f>VLOOKUP(P4091,Table15[[code9]:[ratevalue]],6,FALSE)</f>
        <v>6.39</v>
      </c>
      <c r="R4091" s="491" t="s">
        <v>6513</v>
      </c>
      <c r="S4091" s="491" t="s">
        <v>4761</v>
      </c>
      <c r="T4091" s="491"/>
      <c r="U4091" s="236" t="str">
        <f>IF(ISNA(VLOOKUP(T4091,Table15[[code9]:[ratevalue]],6,FALSE)),"",VLOOKUP(T4091,Table15[[code9]:[ratevalue]],6,FALSE))</f>
        <v/>
      </c>
      <c r="V4091" s="491" t="s">
        <v>1485</v>
      </c>
      <c r="W4091" s="491" t="s">
        <v>1485</v>
      </c>
    </row>
    <row r="4092" spans="2:23" hidden="1" outlineLevel="2">
      <c r="B4092" s="2" t="s">
        <v>876</v>
      </c>
      <c r="D4092" s="114" t="b">
        <v>1</v>
      </c>
      <c r="E4092" s="114"/>
      <c r="F4092" s="114">
        <v>60</v>
      </c>
      <c r="G4092" s="114"/>
      <c r="H4092" s="114">
        <v>50000</v>
      </c>
      <c r="I4092" s="114" t="s">
        <v>4317</v>
      </c>
      <c r="J4092" s="114" t="s">
        <v>4247</v>
      </c>
      <c r="K4092" s="114" t="b">
        <v>0</v>
      </c>
      <c r="L4092" s="114"/>
      <c r="M4092" s="215" t="s">
        <v>488</v>
      </c>
      <c r="N4092" s="236" t="s">
        <v>4762</v>
      </c>
      <c r="O4092" s="236" t="str">
        <f>VLOOKUP(N4092,Table15[[code9]:[ratevalue]],6,FALSE)</f>
        <v>7.74</v>
      </c>
      <c r="P4092" s="236" t="s">
        <v>6699</v>
      </c>
      <c r="Q4092" s="236" t="str">
        <f>VLOOKUP(P4092,Table15[[code9]:[ratevalue]],6,FALSE)</f>
        <v>7.74</v>
      </c>
      <c r="R4092" s="236" t="s">
        <v>6513</v>
      </c>
      <c r="S4092" s="236" t="s">
        <v>4761</v>
      </c>
      <c r="T4092" s="236"/>
      <c r="U4092" s="236" t="str">
        <f>IF(ISNA(VLOOKUP(T4092,Table15[[code9]:[ratevalue]],6,FALSE)),"",VLOOKUP(T4092,Table15[[code9]:[ratevalue]],6,FALSE))</f>
        <v/>
      </c>
      <c r="V4092" s="236" t="s">
        <v>1485</v>
      </c>
      <c r="W4092" s="236" t="s">
        <v>1485</v>
      </c>
    </row>
    <row r="4093" spans="2:23" hidden="1" outlineLevel="2">
      <c r="B4093" s="2" t="s">
        <v>876</v>
      </c>
      <c r="D4093" s="114" t="b">
        <v>1</v>
      </c>
      <c r="E4093" s="114"/>
      <c r="F4093" s="114">
        <v>60</v>
      </c>
      <c r="G4093" s="114"/>
      <c r="H4093" s="114"/>
      <c r="I4093" s="114" t="s">
        <v>4311</v>
      </c>
      <c r="J4093" s="114" t="s">
        <v>4247</v>
      </c>
      <c r="K4093" s="114" t="b">
        <v>0</v>
      </c>
      <c r="L4093" s="114"/>
      <c r="M4093" s="215" t="s">
        <v>8223</v>
      </c>
      <c r="N4093" s="236" t="s">
        <v>6941</v>
      </c>
      <c r="O4093" s="236" t="str">
        <f>VLOOKUP(N4093,Table15[[code9]:[ratevalue]],6,FALSE)</f>
        <v>7.59</v>
      </c>
      <c r="P4093" s="236" t="s">
        <v>6942</v>
      </c>
      <c r="Q4093" s="236" t="str">
        <f>VLOOKUP(P4093,Table15[[code9]:[ratevalue]],6,FALSE)</f>
        <v>7.59</v>
      </c>
      <c r="R4093" s="236" t="s">
        <v>6513</v>
      </c>
      <c r="S4093" s="236" t="s">
        <v>6940</v>
      </c>
      <c r="T4093" s="236"/>
      <c r="U4093" s="236" t="str">
        <f>IF(ISNA(VLOOKUP(T4093,Table15[[code9]:[ratevalue]],6,FALSE)),"",VLOOKUP(T4093,Table15[[code9]:[ratevalue]],6,FALSE))</f>
        <v/>
      </c>
      <c r="V4093" s="236" t="s">
        <v>1485</v>
      </c>
      <c r="W4093" s="236" t="s">
        <v>1485</v>
      </c>
    </row>
    <row r="4094" spans="2:23" hidden="1" outlineLevel="2">
      <c r="B4094" s="2" t="s">
        <v>876</v>
      </c>
      <c r="D4094" s="114" t="b">
        <v>1</v>
      </c>
      <c r="E4094" s="114"/>
      <c r="F4094" s="114">
        <v>60</v>
      </c>
      <c r="G4094" s="114"/>
      <c r="H4094" s="114"/>
      <c r="I4094" s="114" t="s">
        <v>4246</v>
      </c>
      <c r="J4094" s="114" t="s">
        <v>4247</v>
      </c>
      <c r="K4094" s="114" t="b">
        <v>0</v>
      </c>
      <c r="L4094" s="114">
        <v>1</v>
      </c>
      <c r="M4094" s="215" t="s">
        <v>8226</v>
      </c>
      <c r="N4094" s="236" t="s">
        <v>6862</v>
      </c>
      <c r="O4094" s="236" t="str">
        <f>VLOOKUP(N4094,Table15[[code9]:[ratevalue]],6,FALSE)</f>
        <v>6.09</v>
      </c>
      <c r="P4094" s="236" t="s">
        <v>6863</v>
      </c>
      <c r="Q4094" s="236" t="str">
        <f>VLOOKUP(P4094,Table15[[code9]:[ratevalue]],6,FALSE)</f>
        <v>7.21</v>
      </c>
      <c r="R4094" s="236" t="s">
        <v>6513</v>
      </c>
      <c r="S4094" s="236" t="s">
        <v>6861</v>
      </c>
      <c r="T4094" s="236" t="s">
        <v>6941</v>
      </c>
      <c r="U4094" s="236" t="str">
        <f>IF(ISNA(VLOOKUP(T4094,Table15[[code9]:[ratevalue]],6,FALSE)),"",VLOOKUP(T4094,Table15[[code9]:[ratevalue]],6,FALSE))</f>
        <v>7.59</v>
      </c>
      <c r="V4094" s="236" t="s">
        <v>6513</v>
      </c>
      <c r="W4094" s="236" t="s">
        <v>6940</v>
      </c>
    </row>
    <row r="4095" spans="2:23" hidden="1" outlineLevel="2">
      <c r="B4095" s="2" t="s">
        <v>876</v>
      </c>
      <c r="D4095" s="114" t="b">
        <v>1</v>
      </c>
      <c r="E4095" s="114"/>
      <c r="F4095" s="114">
        <v>60</v>
      </c>
      <c r="G4095" s="114"/>
      <c r="H4095" s="114"/>
      <c r="I4095" s="114" t="s">
        <v>4246</v>
      </c>
      <c r="J4095" s="114" t="s">
        <v>4247</v>
      </c>
      <c r="K4095" s="114" t="b">
        <v>0</v>
      </c>
      <c r="L4095" s="114">
        <v>2</v>
      </c>
      <c r="M4095" s="215" t="s">
        <v>8227</v>
      </c>
      <c r="N4095" s="236" t="s">
        <v>6866</v>
      </c>
      <c r="O4095" s="236" t="str">
        <f>VLOOKUP(N4095,Table15[[code9]:[ratevalue]],6,FALSE)</f>
        <v>5.94</v>
      </c>
      <c r="P4095" s="236" t="s">
        <v>6867</v>
      </c>
      <c r="Q4095" s="236" t="str">
        <f>VLOOKUP(P4095,Table15[[code9]:[ratevalue]],6,FALSE)</f>
        <v>7.26</v>
      </c>
      <c r="R4095" s="236" t="s">
        <v>6513</v>
      </c>
      <c r="S4095" s="236" t="s">
        <v>6861</v>
      </c>
      <c r="T4095" s="236" t="s">
        <v>6941</v>
      </c>
      <c r="U4095" s="236" t="str">
        <f>IF(ISNA(VLOOKUP(T4095,Table15[[code9]:[ratevalue]],6,FALSE)),"",VLOOKUP(T4095,Table15[[code9]:[ratevalue]],6,FALSE))</f>
        <v>7.59</v>
      </c>
      <c r="V4095" s="236" t="s">
        <v>6513</v>
      </c>
      <c r="W4095" s="236" t="s">
        <v>6940</v>
      </c>
    </row>
    <row r="4096" spans="2:23" hidden="1" outlineLevel="2">
      <c r="B4096" s="2" t="s">
        <v>876</v>
      </c>
      <c r="D4096" s="114" t="b">
        <v>1</v>
      </c>
      <c r="E4096" s="114"/>
      <c r="F4096" s="114">
        <v>60</v>
      </c>
      <c r="G4096" s="114"/>
      <c r="H4096" s="114"/>
      <c r="I4096" s="114" t="s">
        <v>4246</v>
      </c>
      <c r="J4096" s="114" t="s">
        <v>4247</v>
      </c>
      <c r="K4096" s="114" t="b">
        <v>0</v>
      </c>
      <c r="L4096" s="114">
        <v>3</v>
      </c>
      <c r="M4096" s="215" t="s">
        <v>8228</v>
      </c>
      <c r="N4096" s="236" t="s">
        <v>6870</v>
      </c>
      <c r="O4096" s="236" t="str">
        <f>VLOOKUP(N4096,Table15[[code9]:[ratevalue]],6,FALSE)</f>
        <v>5.94</v>
      </c>
      <c r="P4096" s="236" t="s">
        <v>6871</v>
      </c>
      <c r="Q4096" s="236" t="str">
        <f>VLOOKUP(P4096,Table15[[code9]:[ratevalue]],6,FALSE)</f>
        <v>7.11</v>
      </c>
      <c r="R4096" s="236" t="s">
        <v>6513</v>
      </c>
      <c r="S4096" s="236" t="s">
        <v>6861</v>
      </c>
      <c r="T4096" s="236" t="s">
        <v>6941</v>
      </c>
      <c r="U4096" s="236" t="str">
        <f>IF(ISNA(VLOOKUP(T4096,Table15[[code9]:[ratevalue]],6,FALSE)),"",VLOOKUP(T4096,Table15[[code9]:[ratevalue]],6,FALSE))</f>
        <v>7.59</v>
      </c>
      <c r="V4096" s="236" t="s">
        <v>6513</v>
      </c>
      <c r="W4096" s="236" t="s">
        <v>6940</v>
      </c>
    </row>
    <row r="4097" spans="2:23" hidden="1" outlineLevel="2">
      <c r="B4097" s="2" t="s">
        <v>876</v>
      </c>
      <c r="D4097" s="114" t="b">
        <v>1</v>
      </c>
      <c r="E4097" s="114"/>
      <c r="F4097" s="114">
        <v>60</v>
      </c>
      <c r="G4097" s="114"/>
      <c r="H4097" s="114"/>
      <c r="I4097" s="114" t="s">
        <v>4246</v>
      </c>
      <c r="J4097" s="114" t="s">
        <v>4247</v>
      </c>
      <c r="K4097" s="114" t="b">
        <v>0</v>
      </c>
      <c r="L4097" s="114">
        <v>4</v>
      </c>
      <c r="M4097" s="215" t="s">
        <v>8476</v>
      </c>
      <c r="N4097" s="236" t="s">
        <v>6874</v>
      </c>
      <c r="O4097" s="236" t="str">
        <f>VLOOKUP(N4097,Table15[[code9]:[ratevalue]],6,FALSE)</f>
        <v>5.99</v>
      </c>
      <c r="P4097" s="236" t="s">
        <v>6875</v>
      </c>
      <c r="Q4097" s="236" t="str">
        <f>VLOOKUP(P4097,Table15[[code9]:[ratevalue]],6,FALSE)</f>
        <v>7.00</v>
      </c>
      <c r="R4097" s="236" t="s">
        <v>6513</v>
      </c>
      <c r="S4097" s="236" t="s">
        <v>6861</v>
      </c>
      <c r="T4097" s="236" t="s">
        <v>6941</v>
      </c>
      <c r="U4097" s="236" t="str">
        <f>IF(ISNA(VLOOKUP(T4097,Table15[[code9]:[ratevalue]],6,FALSE)),"",VLOOKUP(T4097,Table15[[code9]:[ratevalue]],6,FALSE))</f>
        <v>7.59</v>
      </c>
      <c r="V4097" s="236" t="s">
        <v>6513</v>
      </c>
      <c r="W4097" s="236" t="s">
        <v>6940</v>
      </c>
    </row>
    <row r="4098" spans="2:23" hidden="1" outlineLevel="2">
      <c r="B4098" s="2" t="s">
        <v>876</v>
      </c>
      <c r="D4098" s="114" t="b">
        <v>1</v>
      </c>
      <c r="E4098" s="114"/>
      <c r="F4098" s="114">
        <v>60</v>
      </c>
      <c r="G4098" s="114"/>
      <c r="H4098" s="114"/>
      <c r="I4098" s="114" t="s">
        <v>4246</v>
      </c>
      <c r="J4098" s="114" t="s">
        <v>4247</v>
      </c>
      <c r="K4098" s="114" t="b">
        <v>0</v>
      </c>
      <c r="L4098" s="114">
        <v>5</v>
      </c>
      <c r="M4098" s="215" t="s">
        <v>8477</v>
      </c>
      <c r="N4098" s="236" t="s">
        <v>6878</v>
      </c>
      <c r="O4098" s="236" t="str">
        <f>VLOOKUP(N4098,Table15[[code9]:[ratevalue]],6,FALSE)</f>
        <v>6.09</v>
      </c>
      <c r="P4098" s="236" t="s">
        <v>6879</v>
      </c>
      <c r="Q4098" s="236" t="str">
        <f>VLOOKUP(P4098,Table15[[code9]:[ratevalue]],6,FALSE)</f>
        <v>6.93</v>
      </c>
      <c r="R4098" s="236" t="s">
        <v>6513</v>
      </c>
      <c r="S4098" s="236" t="s">
        <v>6861</v>
      </c>
      <c r="T4098" s="236" t="s">
        <v>6941</v>
      </c>
      <c r="U4098" s="236" t="str">
        <f>IF(ISNA(VLOOKUP(T4098,Table15[[code9]:[ratevalue]],6,FALSE)),"",VLOOKUP(T4098,Table15[[code9]:[ratevalue]],6,FALSE))</f>
        <v>7.59</v>
      </c>
      <c r="V4098" s="236" t="s">
        <v>6513</v>
      </c>
      <c r="W4098" s="236" t="s">
        <v>6940</v>
      </c>
    </row>
    <row r="4099" spans="2:23" hidden="1" outlineLevel="2">
      <c r="B4099" s="2" t="s">
        <v>876</v>
      </c>
      <c r="D4099" s="479" t="b">
        <v>1</v>
      </c>
      <c r="E4099" s="479"/>
      <c r="F4099" s="114">
        <v>60</v>
      </c>
      <c r="G4099" s="479"/>
      <c r="H4099" s="479"/>
      <c r="I4099" s="479" t="s">
        <v>4246</v>
      </c>
      <c r="J4099" s="479" t="s">
        <v>4247</v>
      </c>
      <c r="K4099" s="479" t="b">
        <v>0</v>
      </c>
      <c r="L4099" s="479">
        <v>7</v>
      </c>
      <c r="M4099" s="487" t="s">
        <v>8480</v>
      </c>
      <c r="N4099" s="488" t="s">
        <v>6882</v>
      </c>
      <c r="O4099" s="236" t="str">
        <f>VLOOKUP(N4099,Table15[[code9]:[ratevalue]],6,FALSE)</f>
        <v>7.24</v>
      </c>
      <c r="P4099" s="488" t="s">
        <v>6883</v>
      </c>
      <c r="Q4099" s="236" t="str">
        <f>VLOOKUP(P4099,Table15[[code9]:[ratevalue]],6,FALSE)</f>
        <v>7.39</v>
      </c>
      <c r="R4099" s="488" t="s">
        <v>6513</v>
      </c>
      <c r="S4099" s="488" t="s">
        <v>6861</v>
      </c>
      <c r="T4099" s="488" t="s">
        <v>6941</v>
      </c>
      <c r="U4099" s="236" t="str">
        <f>IF(ISNA(VLOOKUP(T4099,Table15[[code9]:[ratevalue]],6,FALSE)),"",VLOOKUP(T4099,Table15[[code9]:[ratevalue]],6,FALSE))</f>
        <v>7.59</v>
      </c>
      <c r="V4099" s="488" t="s">
        <v>6513</v>
      </c>
      <c r="W4099" s="488" t="s">
        <v>6940</v>
      </c>
    </row>
    <row r="4100" spans="2:23" hidden="1" outlineLevel="2">
      <c r="B4100" s="2" t="s">
        <v>876</v>
      </c>
      <c r="D4100" s="114" t="b">
        <v>1</v>
      </c>
      <c r="E4100" s="114"/>
      <c r="F4100" s="114">
        <v>60</v>
      </c>
      <c r="G4100" s="114"/>
      <c r="H4100" s="114"/>
      <c r="I4100" s="114" t="s">
        <v>4246</v>
      </c>
      <c r="J4100" s="114" t="s">
        <v>4247</v>
      </c>
      <c r="K4100" s="114" t="b">
        <v>0</v>
      </c>
      <c r="L4100" s="114">
        <v>10</v>
      </c>
      <c r="M4100" s="215" t="s">
        <v>8481</v>
      </c>
      <c r="N4100" s="236" t="s">
        <v>6886</v>
      </c>
      <c r="O4100" s="236" t="str">
        <f>VLOOKUP(N4100,Table15[[code9]:[ratevalue]],6,FALSE)</f>
        <v>7.24</v>
      </c>
      <c r="P4100" s="236" t="s">
        <v>6887</v>
      </c>
      <c r="Q4100" s="236" t="str">
        <f>VLOOKUP(P4100,Table15[[code9]:[ratevalue]],6,FALSE)</f>
        <v>7.34</v>
      </c>
      <c r="R4100" s="236" t="s">
        <v>6513</v>
      </c>
      <c r="S4100" s="236" t="s">
        <v>6861</v>
      </c>
      <c r="T4100" s="236" t="s">
        <v>6941</v>
      </c>
      <c r="U4100" s="236" t="str">
        <f>IF(ISNA(VLOOKUP(T4100,Table15[[code9]:[ratevalue]],6,FALSE)),"",VLOOKUP(T4100,Table15[[code9]:[ratevalue]],6,FALSE))</f>
        <v>7.59</v>
      </c>
      <c r="V4100" s="236" t="s">
        <v>6513</v>
      </c>
      <c r="W4100" s="236" t="s">
        <v>6940</v>
      </c>
    </row>
    <row r="4101" spans="2:23" hidden="1" outlineLevel="2">
      <c r="B4101" s="2" t="s">
        <v>876</v>
      </c>
      <c r="D4101" s="112" t="b">
        <v>1</v>
      </c>
      <c r="E4101" s="112">
        <v>60</v>
      </c>
      <c r="F4101" s="112">
        <v>70</v>
      </c>
      <c r="G4101" s="112">
        <v>50000</v>
      </c>
      <c r="H4101" s="112"/>
      <c r="I4101" s="112" t="s">
        <v>4317</v>
      </c>
      <c r="J4101" s="112" t="s">
        <v>4247</v>
      </c>
      <c r="K4101" s="112" t="b">
        <v>0</v>
      </c>
      <c r="L4101" s="112"/>
      <c r="M4101" s="147" t="s">
        <v>8221</v>
      </c>
      <c r="N4101" s="229" t="s">
        <v>6709</v>
      </c>
      <c r="O4101" s="236" t="str">
        <f>VLOOKUP(N4101,Table15[[code9]:[ratevalue]],6,FALSE)</f>
        <v>6.44</v>
      </c>
      <c r="P4101" s="229" t="s">
        <v>6710</v>
      </c>
      <c r="Q4101" s="236" t="str">
        <f>VLOOKUP(P4101,Table15[[code9]:[ratevalue]],6,FALSE)</f>
        <v>6.44</v>
      </c>
      <c r="R4101" s="229" t="s">
        <v>6513</v>
      </c>
      <c r="S4101" s="229" t="s">
        <v>4761</v>
      </c>
      <c r="T4101" s="229"/>
      <c r="U4101" s="236" t="str">
        <f>IF(ISNA(VLOOKUP(T4101,Table15[[code9]:[ratevalue]],6,FALSE)),"",VLOOKUP(T4101,Table15[[code9]:[ratevalue]],6,FALSE))</f>
        <v/>
      </c>
      <c r="V4101" s="229" t="s">
        <v>1485</v>
      </c>
      <c r="W4101" s="229" t="s">
        <v>1485</v>
      </c>
    </row>
    <row r="4102" spans="2:23" hidden="1" outlineLevel="2">
      <c r="B4102" s="2" t="s">
        <v>876</v>
      </c>
      <c r="D4102" s="112" t="b">
        <v>1</v>
      </c>
      <c r="E4102" s="112">
        <v>60</v>
      </c>
      <c r="F4102" s="112">
        <v>70</v>
      </c>
      <c r="G4102" s="112"/>
      <c r="H4102" s="112">
        <v>50000</v>
      </c>
      <c r="I4102" s="112" t="s">
        <v>4317</v>
      </c>
      <c r="J4102" s="112" t="s">
        <v>4247</v>
      </c>
      <c r="K4102" s="112" t="b">
        <v>0</v>
      </c>
      <c r="L4102" s="112"/>
      <c r="M4102" s="147" t="s">
        <v>488</v>
      </c>
      <c r="N4102" s="229" t="s">
        <v>4762</v>
      </c>
      <c r="O4102" s="236" t="str">
        <f>VLOOKUP(N4102,Table15[[code9]:[ratevalue]],6,FALSE)</f>
        <v>7.74</v>
      </c>
      <c r="P4102" s="229" t="s">
        <v>6699</v>
      </c>
      <c r="Q4102" s="236" t="str">
        <f>VLOOKUP(P4102,Table15[[code9]:[ratevalue]],6,FALSE)</f>
        <v>7.74</v>
      </c>
      <c r="R4102" s="229" t="s">
        <v>6513</v>
      </c>
      <c r="S4102" s="229" t="s">
        <v>4761</v>
      </c>
      <c r="T4102" s="229"/>
      <c r="U4102" s="236" t="str">
        <f>IF(ISNA(VLOOKUP(T4102,Table15[[code9]:[ratevalue]],6,FALSE)),"",VLOOKUP(T4102,Table15[[code9]:[ratevalue]],6,FALSE))</f>
        <v/>
      </c>
      <c r="V4102" s="229" t="s">
        <v>1485</v>
      </c>
      <c r="W4102" s="229" t="s">
        <v>1485</v>
      </c>
    </row>
    <row r="4103" spans="2:23" hidden="1" outlineLevel="2">
      <c r="B4103" s="2" t="s">
        <v>876</v>
      </c>
      <c r="D4103" s="112" t="b">
        <v>1</v>
      </c>
      <c r="E4103" s="112">
        <v>60</v>
      </c>
      <c r="F4103" s="112">
        <v>70</v>
      </c>
      <c r="G4103" s="112"/>
      <c r="H4103" s="112"/>
      <c r="I4103" s="112" t="s">
        <v>4311</v>
      </c>
      <c r="J4103" s="112" t="s">
        <v>4247</v>
      </c>
      <c r="K4103" s="112" t="b">
        <v>0</v>
      </c>
      <c r="L4103" s="112"/>
      <c r="M4103" s="147" t="s">
        <v>8223</v>
      </c>
      <c r="N4103" s="229" t="s">
        <v>6941</v>
      </c>
      <c r="O4103" s="236" t="str">
        <f>VLOOKUP(N4103,Table15[[code9]:[ratevalue]],6,FALSE)</f>
        <v>7.59</v>
      </c>
      <c r="P4103" s="229" t="s">
        <v>6942</v>
      </c>
      <c r="Q4103" s="236" t="str">
        <f>VLOOKUP(P4103,Table15[[code9]:[ratevalue]],6,FALSE)</f>
        <v>7.59</v>
      </c>
      <c r="R4103" s="229" t="s">
        <v>6513</v>
      </c>
      <c r="S4103" s="229" t="s">
        <v>6940</v>
      </c>
      <c r="T4103" s="229"/>
      <c r="U4103" s="236" t="str">
        <f>IF(ISNA(VLOOKUP(T4103,Table15[[code9]:[ratevalue]],6,FALSE)),"",VLOOKUP(T4103,Table15[[code9]:[ratevalue]],6,FALSE))</f>
        <v/>
      </c>
      <c r="V4103" s="229" t="s">
        <v>1485</v>
      </c>
      <c r="W4103" s="229" t="s">
        <v>1485</v>
      </c>
    </row>
    <row r="4104" spans="2:23" hidden="1" outlineLevel="2">
      <c r="B4104" s="2" t="s">
        <v>876</v>
      </c>
      <c r="D4104" s="112" t="b">
        <v>1</v>
      </c>
      <c r="E4104" s="112">
        <v>60</v>
      </c>
      <c r="F4104" s="112">
        <v>70</v>
      </c>
      <c r="G4104" s="112"/>
      <c r="H4104" s="112"/>
      <c r="I4104" s="112" t="s">
        <v>4246</v>
      </c>
      <c r="J4104" s="112" t="s">
        <v>4247</v>
      </c>
      <c r="K4104" s="112" t="b">
        <v>0</v>
      </c>
      <c r="L4104" s="112">
        <v>1</v>
      </c>
      <c r="M4104" s="147" t="s">
        <v>8226</v>
      </c>
      <c r="N4104" s="229" t="s">
        <v>6862</v>
      </c>
      <c r="O4104" s="236" t="str">
        <f>VLOOKUP(N4104,Table15[[code9]:[ratevalue]],6,FALSE)</f>
        <v>6.09</v>
      </c>
      <c r="P4104" s="229" t="s">
        <v>6863</v>
      </c>
      <c r="Q4104" s="236" t="str">
        <f>VLOOKUP(P4104,Table15[[code9]:[ratevalue]],6,FALSE)</f>
        <v>7.21</v>
      </c>
      <c r="R4104" s="229" t="s">
        <v>6513</v>
      </c>
      <c r="S4104" s="229" t="s">
        <v>6861</v>
      </c>
      <c r="T4104" s="229" t="s">
        <v>6941</v>
      </c>
      <c r="U4104" s="236" t="str">
        <f>IF(ISNA(VLOOKUP(T4104,Table15[[code9]:[ratevalue]],6,FALSE)),"",VLOOKUP(T4104,Table15[[code9]:[ratevalue]],6,FALSE))</f>
        <v>7.59</v>
      </c>
      <c r="V4104" s="229" t="s">
        <v>6513</v>
      </c>
      <c r="W4104" s="229" t="s">
        <v>6940</v>
      </c>
    </row>
    <row r="4105" spans="2:23" hidden="1" outlineLevel="2">
      <c r="B4105" s="2" t="s">
        <v>876</v>
      </c>
      <c r="D4105" s="112" t="b">
        <v>1</v>
      </c>
      <c r="E4105" s="112">
        <v>60</v>
      </c>
      <c r="F4105" s="112">
        <v>70</v>
      </c>
      <c r="G4105" s="112"/>
      <c r="H4105" s="112"/>
      <c r="I4105" s="112" t="s">
        <v>4246</v>
      </c>
      <c r="J4105" s="112" t="s">
        <v>4247</v>
      </c>
      <c r="K4105" s="112" t="b">
        <v>0</v>
      </c>
      <c r="L4105" s="112">
        <v>2</v>
      </c>
      <c r="M4105" s="147" t="s">
        <v>8227</v>
      </c>
      <c r="N4105" s="229" t="s">
        <v>6866</v>
      </c>
      <c r="O4105" s="236" t="str">
        <f>VLOOKUP(N4105,Table15[[code9]:[ratevalue]],6,FALSE)</f>
        <v>5.94</v>
      </c>
      <c r="P4105" s="229" t="s">
        <v>6867</v>
      </c>
      <c r="Q4105" s="236" t="str">
        <f>VLOOKUP(P4105,Table15[[code9]:[ratevalue]],6,FALSE)</f>
        <v>7.26</v>
      </c>
      <c r="R4105" s="229" t="s">
        <v>6513</v>
      </c>
      <c r="S4105" s="229" t="s">
        <v>6861</v>
      </c>
      <c r="T4105" s="229" t="s">
        <v>6941</v>
      </c>
      <c r="U4105" s="236" t="str">
        <f>IF(ISNA(VLOOKUP(T4105,Table15[[code9]:[ratevalue]],6,FALSE)),"",VLOOKUP(T4105,Table15[[code9]:[ratevalue]],6,FALSE))</f>
        <v>7.59</v>
      </c>
      <c r="V4105" s="229" t="s">
        <v>6513</v>
      </c>
      <c r="W4105" s="229" t="s">
        <v>6940</v>
      </c>
    </row>
    <row r="4106" spans="2:23" hidden="1" outlineLevel="2">
      <c r="B4106" s="2" t="s">
        <v>876</v>
      </c>
      <c r="D4106" s="112" t="b">
        <v>1</v>
      </c>
      <c r="E4106" s="112">
        <v>60</v>
      </c>
      <c r="F4106" s="112">
        <v>70</v>
      </c>
      <c r="G4106" s="112"/>
      <c r="H4106" s="112"/>
      <c r="I4106" s="112" t="s">
        <v>4246</v>
      </c>
      <c r="J4106" s="112" t="s">
        <v>4247</v>
      </c>
      <c r="K4106" s="112" t="b">
        <v>0</v>
      </c>
      <c r="L4106" s="112">
        <v>3</v>
      </c>
      <c r="M4106" s="147" t="s">
        <v>8228</v>
      </c>
      <c r="N4106" s="229" t="s">
        <v>6870</v>
      </c>
      <c r="O4106" s="236" t="str">
        <f>VLOOKUP(N4106,Table15[[code9]:[ratevalue]],6,FALSE)</f>
        <v>5.94</v>
      </c>
      <c r="P4106" s="229" t="s">
        <v>6871</v>
      </c>
      <c r="Q4106" s="236" t="str">
        <f>VLOOKUP(P4106,Table15[[code9]:[ratevalue]],6,FALSE)</f>
        <v>7.11</v>
      </c>
      <c r="R4106" s="229" t="s">
        <v>6513</v>
      </c>
      <c r="S4106" s="229" t="s">
        <v>6861</v>
      </c>
      <c r="T4106" s="229" t="s">
        <v>6941</v>
      </c>
      <c r="U4106" s="236" t="str">
        <f>IF(ISNA(VLOOKUP(T4106,Table15[[code9]:[ratevalue]],6,FALSE)),"",VLOOKUP(T4106,Table15[[code9]:[ratevalue]],6,FALSE))</f>
        <v>7.59</v>
      </c>
      <c r="V4106" s="229" t="s">
        <v>6513</v>
      </c>
      <c r="W4106" s="229" t="s">
        <v>6940</v>
      </c>
    </row>
    <row r="4107" spans="2:23" hidden="1" outlineLevel="2">
      <c r="B4107" s="2" t="s">
        <v>876</v>
      </c>
      <c r="D4107" s="112" t="b">
        <v>1</v>
      </c>
      <c r="E4107" s="112">
        <v>60</v>
      </c>
      <c r="F4107" s="112">
        <v>70</v>
      </c>
      <c r="G4107" s="112"/>
      <c r="H4107" s="112"/>
      <c r="I4107" s="112" t="s">
        <v>4246</v>
      </c>
      <c r="J4107" s="112" t="s">
        <v>4247</v>
      </c>
      <c r="K4107" s="112" t="b">
        <v>0</v>
      </c>
      <c r="L4107" s="112">
        <v>4</v>
      </c>
      <c r="M4107" s="147" t="s">
        <v>8476</v>
      </c>
      <c r="N4107" s="229" t="s">
        <v>6874</v>
      </c>
      <c r="O4107" s="236" t="str">
        <f>VLOOKUP(N4107,Table15[[code9]:[ratevalue]],6,FALSE)</f>
        <v>5.99</v>
      </c>
      <c r="P4107" s="229" t="s">
        <v>6875</v>
      </c>
      <c r="Q4107" s="236" t="str">
        <f>VLOOKUP(P4107,Table15[[code9]:[ratevalue]],6,FALSE)</f>
        <v>7.00</v>
      </c>
      <c r="R4107" s="229" t="s">
        <v>6513</v>
      </c>
      <c r="S4107" s="229" t="s">
        <v>6861</v>
      </c>
      <c r="T4107" s="229" t="s">
        <v>6941</v>
      </c>
      <c r="U4107" s="236" t="str">
        <f>IF(ISNA(VLOOKUP(T4107,Table15[[code9]:[ratevalue]],6,FALSE)),"",VLOOKUP(T4107,Table15[[code9]:[ratevalue]],6,FALSE))</f>
        <v>7.59</v>
      </c>
      <c r="V4107" s="229" t="s">
        <v>6513</v>
      </c>
      <c r="W4107" s="229" t="s">
        <v>6940</v>
      </c>
    </row>
    <row r="4108" spans="2:23" hidden="1" outlineLevel="2">
      <c r="B4108" s="2" t="s">
        <v>876</v>
      </c>
      <c r="D4108" s="112" t="b">
        <v>1</v>
      </c>
      <c r="E4108" s="112">
        <v>60</v>
      </c>
      <c r="F4108" s="112">
        <v>70</v>
      </c>
      <c r="G4108" s="112"/>
      <c r="H4108" s="112"/>
      <c r="I4108" s="112" t="s">
        <v>4246</v>
      </c>
      <c r="J4108" s="112" t="s">
        <v>4247</v>
      </c>
      <c r="K4108" s="112" t="b">
        <v>0</v>
      </c>
      <c r="L4108" s="112">
        <v>5</v>
      </c>
      <c r="M4108" s="147" t="s">
        <v>8477</v>
      </c>
      <c r="N4108" s="229" t="s">
        <v>6878</v>
      </c>
      <c r="O4108" s="236" t="str">
        <f>VLOOKUP(N4108,Table15[[code9]:[ratevalue]],6,FALSE)</f>
        <v>6.09</v>
      </c>
      <c r="P4108" s="229" t="s">
        <v>6879</v>
      </c>
      <c r="Q4108" s="236" t="str">
        <f>VLOOKUP(P4108,Table15[[code9]:[ratevalue]],6,FALSE)</f>
        <v>6.93</v>
      </c>
      <c r="R4108" s="229" t="s">
        <v>6513</v>
      </c>
      <c r="S4108" s="229" t="s">
        <v>6861</v>
      </c>
      <c r="T4108" s="229" t="s">
        <v>6941</v>
      </c>
      <c r="U4108" s="236" t="str">
        <f>IF(ISNA(VLOOKUP(T4108,Table15[[code9]:[ratevalue]],6,FALSE)),"",VLOOKUP(T4108,Table15[[code9]:[ratevalue]],6,FALSE))</f>
        <v>7.59</v>
      </c>
      <c r="V4108" s="229" t="s">
        <v>6513</v>
      </c>
      <c r="W4108" s="229" t="s">
        <v>6940</v>
      </c>
    </row>
    <row r="4109" spans="2:23" hidden="1" outlineLevel="2">
      <c r="B4109" s="2" t="s">
        <v>876</v>
      </c>
      <c r="D4109" s="112" t="b">
        <v>1</v>
      </c>
      <c r="E4109" s="112">
        <v>60</v>
      </c>
      <c r="F4109" s="112">
        <v>70</v>
      </c>
      <c r="G4109" s="112"/>
      <c r="H4109" s="112"/>
      <c r="I4109" s="112" t="s">
        <v>4246</v>
      </c>
      <c r="J4109" s="112" t="s">
        <v>4247</v>
      </c>
      <c r="K4109" s="112" t="b">
        <v>0</v>
      </c>
      <c r="L4109" s="112">
        <v>7</v>
      </c>
      <c r="M4109" s="147" t="s">
        <v>8480</v>
      </c>
      <c r="N4109" s="229" t="s">
        <v>6882</v>
      </c>
      <c r="O4109" s="236" t="str">
        <f>VLOOKUP(N4109,Table15[[code9]:[ratevalue]],6,FALSE)</f>
        <v>7.24</v>
      </c>
      <c r="P4109" s="229" t="s">
        <v>6883</v>
      </c>
      <c r="Q4109" s="236" t="str">
        <f>VLOOKUP(P4109,Table15[[code9]:[ratevalue]],6,FALSE)</f>
        <v>7.39</v>
      </c>
      <c r="R4109" s="229" t="s">
        <v>6513</v>
      </c>
      <c r="S4109" s="229" t="s">
        <v>6861</v>
      </c>
      <c r="T4109" s="229" t="s">
        <v>6941</v>
      </c>
      <c r="U4109" s="236" t="str">
        <f>IF(ISNA(VLOOKUP(T4109,Table15[[code9]:[ratevalue]],6,FALSE)),"",VLOOKUP(T4109,Table15[[code9]:[ratevalue]],6,FALSE))</f>
        <v>7.59</v>
      </c>
      <c r="V4109" s="229" t="s">
        <v>6513</v>
      </c>
      <c r="W4109" s="229" t="s">
        <v>6940</v>
      </c>
    </row>
    <row r="4110" spans="2:23" hidden="1" outlineLevel="2">
      <c r="B4110" s="2" t="s">
        <v>876</v>
      </c>
      <c r="D4110" s="112" t="b">
        <v>1</v>
      </c>
      <c r="E4110" s="112">
        <v>60</v>
      </c>
      <c r="F4110" s="112">
        <v>70</v>
      </c>
      <c r="G4110" s="112"/>
      <c r="H4110" s="112"/>
      <c r="I4110" s="112" t="s">
        <v>4246</v>
      </c>
      <c r="J4110" s="112" t="s">
        <v>4247</v>
      </c>
      <c r="K4110" s="112" t="b">
        <v>0</v>
      </c>
      <c r="L4110" s="112">
        <v>10</v>
      </c>
      <c r="M4110" s="147" t="s">
        <v>8481</v>
      </c>
      <c r="N4110" s="229" t="s">
        <v>6886</v>
      </c>
      <c r="O4110" s="236" t="str">
        <f>VLOOKUP(N4110,Table15[[code9]:[ratevalue]],6,FALSE)</f>
        <v>7.24</v>
      </c>
      <c r="P4110" s="229" t="s">
        <v>6887</v>
      </c>
      <c r="Q4110" s="236" t="str">
        <f>VLOOKUP(P4110,Table15[[code9]:[ratevalue]],6,FALSE)</f>
        <v>7.34</v>
      </c>
      <c r="R4110" s="229" t="s">
        <v>6513</v>
      </c>
      <c r="S4110" s="229" t="s">
        <v>6861</v>
      </c>
      <c r="T4110" s="229" t="s">
        <v>6941</v>
      </c>
      <c r="U4110" s="236" t="str">
        <f>IF(ISNA(VLOOKUP(T4110,Table15[[code9]:[ratevalue]],6,FALSE)),"",VLOOKUP(T4110,Table15[[code9]:[ratevalue]],6,FALSE))</f>
        <v>7.59</v>
      </c>
      <c r="V4110" s="229" t="s">
        <v>6513</v>
      </c>
      <c r="W4110" s="229" t="s">
        <v>6940</v>
      </c>
    </row>
    <row r="4111" spans="2:23" hidden="1" outlineLevel="2">
      <c r="B4111" s="2" t="s">
        <v>876</v>
      </c>
      <c r="D4111" s="114" t="b">
        <v>1</v>
      </c>
      <c r="E4111" s="114">
        <v>70</v>
      </c>
      <c r="F4111" s="114">
        <v>80</v>
      </c>
      <c r="G4111" s="114">
        <v>50000</v>
      </c>
      <c r="H4111" s="114"/>
      <c r="I4111" s="114" t="s">
        <v>4317</v>
      </c>
      <c r="J4111" s="114" t="s">
        <v>4247</v>
      </c>
      <c r="K4111" s="114" t="b">
        <v>0</v>
      </c>
      <c r="L4111" s="114"/>
      <c r="M4111" s="215" t="s">
        <v>8222</v>
      </c>
      <c r="N4111" s="114" t="s">
        <v>6705</v>
      </c>
      <c r="O4111" s="236" t="str">
        <f>VLOOKUP(N4111,Table15[[code9]:[ratevalue]],6,FALSE)</f>
        <v>6.54</v>
      </c>
      <c r="P4111" s="114" t="s">
        <v>6706</v>
      </c>
      <c r="Q4111" s="236" t="str">
        <f>VLOOKUP(P4111,Table15[[code9]:[ratevalue]],6,FALSE)</f>
        <v>6.54</v>
      </c>
      <c r="R4111" s="236" t="s">
        <v>6513</v>
      </c>
      <c r="S4111" s="236" t="s">
        <v>4761</v>
      </c>
      <c r="T4111" s="114"/>
      <c r="U4111" s="236" t="str">
        <f>IF(ISNA(VLOOKUP(T4111,Table15[[code9]:[ratevalue]],6,FALSE)),"",VLOOKUP(T4111,Table15[[code9]:[ratevalue]],6,FALSE))</f>
        <v/>
      </c>
      <c r="V4111" s="236" t="s">
        <v>1485</v>
      </c>
      <c r="W4111" s="236" t="s">
        <v>1485</v>
      </c>
    </row>
    <row r="4112" spans="2:23" hidden="1" outlineLevel="2">
      <c r="B4112" s="2" t="s">
        <v>876</v>
      </c>
      <c r="D4112" s="114" t="b">
        <v>1</v>
      </c>
      <c r="E4112" s="114">
        <v>70</v>
      </c>
      <c r="F4112" s="114">
        <v>80</v>
      </c>
      <c r="G4112" s="114"/>
      <c r="H4112" s="114">
        <v>50000</v>
      </c>
      <c r="I4112" s="114" t="s">
        <v>4317</v>
      </c>
      <c r="J4112" s="114" t="s">
        <v>4247</v>
      </c>
      <c r="K4112" s="114" t="b">
        <v>0</v>
      </c>
      <c r="L4112" s="114"/>
      <c r="M4112" s="215" t="s">
        <v>488</v>
      </c>
      <c r="N4112" s="114" t="s">
        <v>4762</v>
      </c>
      <c r="O4112" s="236" t="str">
        <f>VLOOKUP(N4112,Table15[[code9]:[ratevalue]],6,FALSE)</f>
        <v>7.74</v>
      </c>
      <c r="P4112" s="114" t="s">
        <v>6699</v>
      </c>
      <c r="Q4112" s="236" t="str">
        <f>VLOOKUP(P4112,Table15[[code9]:[ratevalue]],6,FALSE)</f>
        <v>7.74</v>
      </c>
      <c r="R4112" s="236" t="s">
        <v>6513</v>
      </c>
      <c r="S4112" s="236" t="s">
        <v>4761</v>
      </c>
      <c r="T4112" s="114"/>
      <c r="U4112" s="236" t="str">
        <f>IF(ISNA(VLOOKUP(T4112,Table15[[code9]:[ratevalue]],6,FALSE)),"",VLOOKUP(T4112,Table15[[code9]:[ratevalue]],6,FALSE))</f>
        <v/>
      </c>
      <c r="V4112" s="236" t="s">
        <v>1485</v>
      </c>
      <c r="W4112" s="236" t="s">
        <v>1485</v>
      </c>
    </row>
    <row r="4113" spans="2:23" hidden="1" outlineLevel="2">
      <c r="B4113" s="2" t="s">
        <v>876</v>
      </c>
      <c r="D4113" s="114" t="b">
        <v>1</v>
      </c>
      <c r="E4113" s="114">
        <v>70</v>
      </c>
      <c r="F4113" s="114">
        <v>80</v>
      </c>
      <c r="G4113" s="114"/>
      <c r="H4113" s="114"/>
      <c r="I4113" s="114" t="s">
        <v>4311</v>
      </c>
      <c r="J4113" s="114" t="s">
        <v>4247</v>
      </c>
      <c r="K4113" s="114" t="b">
        <v>0</v>
      </c>
      <c r="L4113" s="114"/>
      <c r="M4113" s="215" t="s">
        <v>8223</v>
      </c>
      <c r="N4113" s="114" t="s">
        <v>6941</v>
      </c>
      <c r="O4113" s="236" t="str">
        <f>VLOOKUP(N4113,Table15[[code9]:[ratevalue]],6,FALSE)</f>
        <v>7.59</v>
      </c>
      <c r="P4113" s="114" t="s">
        <v>6942</v>
      </c>
      <c r="Q4113" s="236" t="str">
        <f>VLOOKUP(P4113,Table15[[code9]:[ratevalue]],6,FALSE)</f>
        <v>7.59</v>
      </c>
      <c r="R4113" s="236" t="s">
        <v>6513</v>
      </c>
      <c r="S4113" s="236" t="s">
        <v>6940</v>
      </c>
      <c r="T4113" s="114"/>
      <c r="U4113" s="236" t="str">
        <f>IF(ISNA(VLOOKUP(T4113,Table15[[code9]:[ratevalue]],6,FALSE)),"",VLOOKUP(T4113,Table15[[code9]:[ratevalue]],6,FALSE))</f>
        <v/>
      </c>
      <c r="V4113" s="236" t="s">
        <v>1485</v>
      </c>
      <c r="W4113" s="236" t="s">
        <v>1485</v>
      </c>
    </row>
    <row r="4114" spans="2:23" hidden="1" outlineLevel="2">
      <c r="B4114" s="2" t="s">
        <v>876</v>
      </c>
      <c r="D4114" s="114" t="b">
        <v>1</v>
      </c>
      <c r="E4114" s="114">
        <v>70</v>
      </c>
      <c r="F4114" s="114">
        <v>80</v>
      </c>
      <c r="G4114" s="114"/>
      <c r="H4114" s="114"/>
      <c r="I4114" s="114" t="s">
        <v>4246</v>
      </c>
      <c r="J4114" s="114" t="s">
        <v>4247</v>
      </c>
      <c r="K4114" s="114" t="b">
        <v>0</v>
      </c>
      <c r="L4114" s="114">
        <v>1</v>
      </c>
      <c r="M4114" s="215" t="s">
        <v>8226</v>
      </c>
      <c r="N4114" s="236" t="s">
        <v>6862</v>
      </c>
      <c r="O4114" s="236" t="str">
        <f>VLOOKUP(N4114,Table15[[code9]:[ratevalue]],6,FALSE)</f>
        <v>6.09</v>
      </c>
      <c r="P4114" s="236" t="s">
        <v>6863</v>
      </c>
      <c r="Q4114" s="236" t="str">
        <f>VLOOKUP(P4114,Table15[[code9]:[ratevalue]],6,FALSE)</f>
        <v>7.21</v>
      </c>
      <c r="R4114" s="236" t="s">
        <v>6513</v>
      </c>
      <c r="S4114" s="236" t="s">
        <v>6861</v>
      </c>
      <c r="T4114" s="114" t="s">
        <v>6941</v>
      </c>
      <c r="U4114" s="236" t="str">
        <f>IF(ISNA(VLOOKUP(T4114,Table15[[code9]:[ratevalue]],6,FALSE)),"",VLOOKUP(T4114,Table15[[code9]:[ratevalue]],6,FALSE))</f>
        <v>7.59</v>
      </c>
      <c r="V4114" s="236" t="s">
        <v>6513</v>
      </c>
      <c r="W4114" s="236" t="s">
        <v>6940</v>
      </c>
    </row>
    <row r="4115" spans="2:23" hidden="1" outlineLevel="2">
      <c r="B4115" s="2" t="s">
        <v>876</v>
      </c>
      <c r="D4115" s="114" t="b">
        <v>1</v>
      </c>
      <c r="E4115" s="114">
        <v>70</v>
      </c>
      <c r="F4115" s="114">
        <v>80</v>
      </c>
      <c r="G4115" s="114"/>
      <c r="H4115" s="114"/>
      <c r="I4115" s="114" t="s">
        <v>4246</v>
      </c>
      <c r="J4115" s="114" t="s">
        <v>4247</v>
      </c>
      <c r="K4115" s="114" t="b">
        <v>0</v>
      </c>
      <c r="L4115" s="114">
        <v>2</v>
      </c>
      <c r="M4115" s="215" t="s">
        <v>8227</v>
      </c>
      <c r="N4115" s="236" t="s">
        <v>6866</v>
      </c>
      <c r="O4115" s="236" t="str">
        <f>VLOOKUP(N4115,Table15[[code9]:[ratevalue]],6,FALSE)</f>
        <v>5.94</v>
      </c>
      <c r="P4115" s="236" t="s">
        <v>6867</v>
      </c>
      <c r="Q4115" s="236" t="str">
        <f>VLOOKUP(P4115,Table15[[code9]:[ratevalue]],6,FALSE)</f>
        <v>7.26</v>
      </c>
      <c r="R4115" s="236" t="s">
        <v>6513</v>
      </c>
      <c r="S4115" s="236" t="s">
        <v>6861</v>
      </c>
      <c r="T4115" s="114" t="s">
        <v>6941</v>
      </c>
      <c r="U4115" s="236" t="str">
        <f>IF(ISNA(VLOOKUP(T4115,Table15[[code9]:[ratevalue]],6,FALSE)),"",VLOOKUP(T4115,Table15[[code9]:[ratevalue]],6,FALSE))</f>
        <v>7.59</v>
      </c>
      <c r="V4115" s="236" t="s">
        <v>6513</v>
      </c>
      <c r="W4115" s="236" t="s">
        <v>6940</v>
      </c>
    </row>
    <row r="4116" spans="2:23" hidden="1" outlineLevel="2">
      <c r="B4116" s="2" t="s">
        <v>876</v>
      </c>
      <c r="D4116" s="114" t="b">
        <v>1</v>
      </c>
      <c r="E4116" s="114">
        <v>70</v>
      </c>
      <c r="F4116" s="114">
        <v>80</v>
      </c>
      <c r="G4116" s="114"/>
      <c r="H4116" s="114"/>
      <c r="I4116" s="114" t="s">
        <v>4246</v>
      </c>
      <c r="J4116" s="114" t="s">
        <v>4247</v>
      </c>
      <c r="K4116" s="114" t="b">
        <v>0</v>
      </c>
      <c r="L4116" s="114">
        <v>3</v>
      </c>
      <c r="M4116" s="215" t="s">
        <v>8228</v>
      </c>
      <c r="N4116" s="236" t="s">
        <v>6870</v>
      </c>
      <c r="O4116" s="236" t="str">
        <f>VLOOKUP(N4116,Table15[[code9]:[ratevalue]],6,FALSE)</f>
        <v>5.94</v>
      </c>
      <c r="P4116" s="236" t="s">
        <v>6871</v>
      </c>
      <c r="Q4116" s="236" t="str">
        <f>VLOOKUP(P4116,Table15[[code9]:[ratevalue]],6,FALSE)</f>
        <v>7.11</v>
      </c>
      <c r="R4116" s="236" t="s">
        <v>6513</v>
      </c>
      <c r="S4116" s="236" t="s">
        <v>6861</v>
      </c>
      <c r="T4116" s="114" t="s">
        <v>6941</v>
      </c>
      <c r="U4116" s="236" t="str">
        <f>IF(ISNA(VLOOKUP(T4116,Table15[[code9]:[ratevalue]],6,FALSE)),"",VLOOKUP(T4116,Table15[[code9]:[ratevalue]],6,FALSE))</f>
        <v>7.59</v>
      </c>
      <c r="V4116" s="236" t="s">
        <v>6513</v>
      </c>
      <c r="W4116" s="236" t="s">
        <v>6940</v>
      </c>
    </row>
    <row r="4117" spans="2:23" hidden="1" outlineLevel="2">
      <c r="B4117" s="2" t="s">
        <v>876</v>
      </c>
      <c r="D4117" s="114" t="b">
        <v>1</v>
      </c>
      <c r="E4117" s="114">
        <v>70</v>
      </c>
      <c r="F4117" s="114">
        <v>80</v>
      </c>
      <c r="G4117" s="114"/>
      <c r="H4117" s="114"/>
      <c r="I4117" s="114" t="s">
        <v>4246</v>
      </c>
      <c r="J4117" s="114" t="s">
        <v>4247</v>
      </c>
      <c r="K4117" s="114" t="b">
        <v>0</v>
      </c>
      <c r="L4117" s="114">
        <v>4</v>
      </c>
      <c r="M4117" s="215" t="s">
        <v>8476</v>
      </c>
      <c r="N4117" s="236" t="s">
        <v>6874</v>
      </c>
      <c r="O4117" s="236" t="str">
        <f>VLOOKUP(N4117,Table15[[code9]:[ratevalue]],6,FALSE)</f>
        <v>5.99</v>
      </c>
      <c r="P4117" s="236" t="s">
        <v>6875</v>
      </c>
      <c r="Q4117" s="236" t="str">
        <f>VLOOKUP(P4117,Table15[[code9]:[ratevalue]],6,FALSE)</f>
        <v>7.00</v>
      </c>
      <c r="R4117" s="236" t="s">
        <v>6513</v>
      </c>
      <c r="S4117" s="236" t="s">
        <v>6861</v>
      </c>
      <c r="T4117" s="114" t="s">
        <v>6941</v>
      </c>
      <c r="U4117" s="236" t="str">
        <f>IF(ISNA(VLOOKUP(T4117,Table15[[code9]:[ratevalue]],6,FALSE)),"",VLOOKUP(T4117,Table15[[code9]:[ratevalue]],6,FALSE))</f>
        <v>7.59</v>
      </c>
      <c r="V4117" s="236" t="s">
        <v>6513</v>
      </c>
      <c r="W4117" s="236" t="s">
        <v>6940</v>
      </c>
    </row>
    <row r="4118" spans="2:23" hidden="1" outlineLevel="2">
      <c r="B4118" s="2" t="s">
        <v>876</v>
      </c>
      <c r="D4118" s="114" t="b">
        <v>1</v>
      </c>
      <c r="E4118" s="114">
        <v>70</v>
      </c>
      <c r="F4118" s="114">
        <v>80</v>
      </c>
      <c r="G4118" s="114"/>
      <c r="H4118" s="114"/>
      <c r="I4118" s="114" t="s">
        <v>4246</v>
      </c>
      <c r="J4118" s="114" t="s">
        <v>4247</v>
      </c>
      <c r="K4118" s="114" t="b">
        <v>0</v>
      </c>
      <c r="L4118" s="114">
        <v>5</v>
      </c>
      <c r="M4118" s="215" t="s">
        <v>8477</v>
      </c>
      <c r="N4118" s="236" t="s">
        <v>6878</v>
      </c>
      <c r="O4118" s="236" t="str">
        <f>VLOOKUP(N4118,Table15[[code9]:[ratevalue]],6,FALSE)</f>
        <v>6.09</v>
      </c>
      <c r="P4118" s="236" t="s">
        <v>6879</v>
      </c>
      <c r="Q4118" s="236" t="str">
        <f>VLOOKUP(P4118,Table15[[code9]:[ratevalue]],6,FALSE)</f>
        <v>6.93</v>
      </c>
      <c r="R4118" s="236" t="s">
        <v>6513</v>
      </c>
      <c r="S4118" s="236" t="s">
        <v>6861</v>
      </c>
      <c r="T4118" s="114" t="s">
        <v>6941</v>
      </c>
      <c r="U4118" s="236" t="str">
        <f>IF(ISNA(VLOOKUP(T4118,Table15[[code9]:[ratevalue]],6,FALSE)),"",VLOOKUP(T4118,Table15[[code9]:[ratevalue]],6,FALSE))</f>
        <v>7.59</v>
      </c>
      <c r="V4118" s="236" t="s">
        <v>6513</v>
      </c>
      <c r="W4118" s="236" t="s">
        <v>6940</v>
      </c>
    </row>
    <row r="4119" spans="2:23" hidden="1" outlineLevel="2">
      <c r="B4119" s="2" t="s">
        <v>876</v>
      </c>
      <c r="D4119" s="114" t="b">
        <v>1</v>
      </c>
      <c r="E4119" s="114">
        <v>70</v>
      </c>
      <c r="F4119" s="114">
        <v>80</v>
      </c>
      <c r="G4119" s="114"/>
      <c r="H4119" s="114"/>
      <c r="I4119" s="114" t="s">
        <v>4246</v>
      </c>
      <c r="J4119" s="114" t="s">
        <v>4247</v>
      </c>
      <c r="K4119" s="114" t="b">
        <v>0</v>
      </c>
      <c r="L4119" s="114">
        <v>7</v>
      </c>
      <c r="M4119" s="215" t="s">
        <v>8480</v>
      </c>
      <c r="N4119" s="236" t="s">
        <v>6882</v>
      </c>
      <c r="O4119" s="236" t="str">
        <f>VLOOKUP(N4119,Table15[[code9]:[ratevalue]],6,FALSE)</f>
        <v>7.24</v>
      </c>
      <c r="P4119" s="236" t="s">
        <v>6883</v>
      </c>
      <c r="Q4119" s="236" t="str">
        <f>VLOOKUP(P4119,Table15[[code9]:[ratevalue]],6,FALSE)</f>
        <v>7.39</v>
      </c>
      <c r="R4119" s="236" t="s">
        <v>6513</v>
      </c>
      <c r="S4119" s="236" t="s">
        <v>6861</v>
      </c>
      <c r="T4119" s="114" t="s">
        <v>6941</v>
      </c>
      <c r="U4119" s="236" t="str">
        <f>IF(ISNA(VLOOKUP(T4119,Table15[[code9]:[ratevalue]],6,FALSE)),"",VLOOKUP(T4119,Table15[[code9]:[ratevalue]],6,FALSE))</f>
        <v>7.59</v>
      </c>
      <c r="V4119" s="236" t="s">
        <v>6513</v>
      </c>
      <c r="W4119" s="236" t="s">
        <v>6940</v>
      </c>
    </row>
    <row r="4120" spans="2:23" hidden="1" outlineLevel="2">
      <c r="B4120" s="2" t="s">
        <v>876</v>
      </c>
      <c r="D4120" s="114" t="b">
        <v>1</v>
      </c>
      <c r="E4120" s="114">
        <v>70</v>
      </c>
      <c r="F4120" s="114">
        <v>80</v>
      </c>
      <c r="G4120" s="114"/>
      <c r="H4120" s="114"/>
      <c r="I4120" s="114" t="s">
        <v>4246</v>
      </c>
      <c r="J4120" s="114" t="s">
        <v>4247</v>
      </c>
      <c r="K4120" s="114" t="b">
        <v>0</v>
      </c>
      <c r="L4120" s="114">
        <v>10</v>
      </c>
      <c r="M4120" s="215" t="s">
        <v>8481</v>
      </c>
      <c r="N4120" s="236" t="s">
        <v>6886</v>
      </c>
      <c r="O4120" s="236" t="str">
        <f>VLOOKUP(N4120,Table15[[code9]:[ratevalue]],6,FALSE)</f>
        <v>7.24</v>
      </c>
      <c r="P4120" s="236" t="s">
        <v>6887</v>
      </c>
      <c r="Q4120" s="236" t="str">
        <f>VLOOKUP(P4120,Table15[[code9]:[ratevalue]],6,FALSE)</f>
        <v>7.34</v>
      </c>
      <c r="R4120" s="236" t="s">
        <v>6513</v>
      </c>
      <c r="S4120" s="236" t="s">
        <v>6861</v>
      </c>
      <c r="T4120" s="114" t="s">
        <v>6941</v>
      </c>
      <c r="U4120" s="236" t="str">
        <f>IF(ISNA(VLOOKUP(T4120,Table15[[code9]:[ratevalue]],6,FALSE)),"",VLOOKUP(T4120,Table15[[code9]:[ratevalue]],6,FALSE))</f>
        <v>7.59</v>
      </c>
      <c r="V4120" s="236" t="s">
        <v>6513</v>
      </c>
      <c r="W4120" s="236" t="s">
        <v>6940</v>
      </c>
    </row>
    <row r="4121" spans="2:23" hidden="1" outlineLevel="2">
      <c r="B4121" s="2" t="s">
        <v>876</v>
      </c>
      <c r="D4121" s="112" t="b">
        <v>1</v>
      </c>
      <c r="E4121" s="112">
        <v>80</v>
      </c>
      <c r="F4121" s="112">
        <v>90</v>
      </c>
      <c r="G4121" s="112">
        <v>50000</v>
      </c>
      <c r="H4121" s="112"/>
      <c r="I4121" s="112" t="s">
        <v>4317</v>
      </c>
      <c r="J4121" s="112" t="s">
        <v>4247</v>
      </c>
      <c r="K4121" s="112" t="b">
        <v>0</v>
      </c>
      <c r="L4121" s="112"/>
      <c r="M4121" s="147" t="s">
        <v>8220</v>
      </c>
      <c r="N4121" s="229" t="s">
        <v>6701</v>
      </c>
      <c r="O4121" s="236" t="str">
        <f>VLOOKUP(N4121,Table15[[code9]:[ratevalue]],6,FALSE)</f>
        <v>7.24</v>
      </c>
      <c r="P4121" s="229" t="s">
        <v>6702</v>
      </c>
      <c r="Q4121" s="236" t="str">
        <f>VLOOKUP(P4121,Table15[[code9]:[ratevalue]],6,FALSE)</f>
        <v>7.24</v>
      </c>
      <c r="R4121" s="229" t="s">
        <v>6513</v>
      </c>
      <c r="S4121" s="229" t="s">
        <v>4761</v>
      </c>
      <c r="T4121" s="229"/>
      <c r="U4121" s="236" t="str">
        <f>IF(ISNA(VLOOKUP(T4121,Table15[[code9]:[ratevalue]],6,FALSE)),"",VLOOKUP(T4121,Table15[[code9]:[ratevalue]],6,FALSE))</f>
        <v/>
      </c>
      <c r="V4121" s="229" t="s">
        <v>1485</v>
      </c>
      <c r="W4121" s="229" t="s">
        <v>1485</v>
      </c>
    </row>
    <row r="4122" spans="2:23" hidden="1" outlineLevel="2">
      <c r="B4122" s="2" t="s">
        <v>876</v>
      </c>
      <c r="D4122" s="112" t="b">
        <v>1</v>
      </c>
      <c r="E4122" s="112">
        <v>80</v>
      </c>
      <c r="F4122" s="112">
        <v>90</v>
      </c>
      <c r="G4122" s="112"/>
      <c r="H4122" s="112">
        <v>50000</v>
      </c>
      <c r="I4122" s="112" t="s">
        <v>4317</v>
      </c>
      <c r="J4122" s="112" t="s">
        <v>4247</v>
      </c>
      <c r="K4122" s="112" t="b">
        <v>0</v>
      </c>
      <c r="L4122" s="112"/>
      <c r="M4122" s="147" t="s">
        <v>488</v>
      </c>
      <c r="N4122" s="229" t="s">
        <v>4762</v>
      </c>
      <c r="O4122" s="236" t="str">
        <f>VLOOKUP(N4122,Table15[[code9]:[ratevalue]],6,FALSE)</f>
        <v>7.74</v>
      </c>
      <c r="P4122" s="229" t="s">
        <v>6699</v>
      </c>
      <c r="Q4122" s="236" t="str">
        <f>VLOOKUP(P4122,Table15[[code9]:[ratevalue]],6,FALSE)</f>
        <v>7.74</v>
      </c>
      <c r="R4122" s="229" t="s">
        <v>6513</v>
      </c>
      <c r="S4122" s="229" t="s">
        <v>4761</v>
      </c>
      <c r="T4122" s="229"/>
      <c r="U4122" s="236" t="str">
        <f>IF(ISNA(VLOOKUP(T4122,Table15[[code9]:[ratevalue]],6,FALSE)),"",VLOOKUP(T4122,Table15[[code9]:[ratevalue]],6,FALSE))</f>
        <v/>
      </c>
      <c r="V4122" s="229" t="s">
        <v>1485</v>
      </c>
      <c r="W4122" s="229" t="s">
        <v>1485</v>
      </c>
    </row>
    <row r="4123" spans="2:23" hidden="1" outlineLevel="2">
      <c r="B4123" s="2" t="s">
        <v>876</v>
      </c>
      <c r="D4123" s="112" t="b">
        <v>1</v>
      </c>
      <c r="E4123" s="112">
        <v>80</v>
      </c>
      <c r="F4123" s="112">
        <v>90</v>
      </c>
      <c r="G4123" s="112"/>
      <c r="H4123" s="112"/>
      <c r="I4123" s="112" t="s">
        <v>4311</v>
      </c>
      <c r="J4123" s="112" t="s">
        <v>4247</v>
      </c>
      <c r="K4123" s="112" t="b">
        <v>0</v>
      </c>
      <c r="L4123" s="112"/>
      <c r="M4123" s="147" t="s">
        <v>8218</v>
      </c>
      <c r="N4123" s="229" t="s">
        <v>6945</v>
      </c>
      <c r="O4123" s="236" t="str">
        <f>VLOOKUP(N4123,Table15[[code9]:[ratevalue]],6,FALSE)</f>
        <v>7.79</v>
      </c>
      <c r="P4123" s="229" t="s">
        <v>6946</v>
      </c>
      <c r="Q4123" s="236" t="str">
        <f>VLOOKUP(P4123,Table15[[code9]:[ratevalue]],6,FALSE)</f>
        <v>7.79</v>
      </c>
      <c r="R4123" s="229" t="s">
        <v>6513</v>
      </c>
      <c r="S4123" s="229" t="s">
        <v>6940</v>
      </c>
      <c r="T4123" s="229"/>
      <c r="U4123" s="236" t="str">
        <f>IF(ISNA(VLOOKUP(T4123,Table15[[code9]:[ratevalue]],6,FALSE)),"",VLOOKUP(T4123,Table15[[code9]:[ratevalue]],6,FALSE))</f>
        <v/>
      </c>
      <c r="V4123" s="229" t="s">
        <v>1485</v>
      </c>
      <c r="W4123" s="229" t="s">
        <v>1485</v>
      </c>
    </row>
    <row r="4124" spans="2:23" hidden="1" outlineLevel="2">
      <c r="B4124" s="2" t="s">
        <v>876</v>
      </c>
      <c r="D4124" s="112" t="b">
        <v>1</v>
      </c>
      <c r="E4124" s="112">
        <v>80</v>
      </c>
      <c r="F4124" s="112">
        <v>90</v>
      </c>
      <c r="G4124" s="112"/>
      <c r="H4124" s="112"/>
      <c r="I4124" s="112" t="s">
        <v>4246</v>
      </c>
      <c r="J4124" s="112" t="s">
        <v>4247</v>
      </c>
      <c r="K4124" s="112" t="b">
        <v>0</v>
      </c>
      <c r="L4124" s="112">
        <v>1</v>
      </c>
      <c r="M4124" s="147" t="s">
        <v>4771</v>
      </c>
      <c r="N4124" s="229" t="s">
        <v>6833</v>
      </c>
      <c r="O4124" s="236" t="str">
        <f>VLOOKUP(N4124,Table15[[code9]:[ratevalue]],6,FALSE)</f>
        <v>6.54</v>
      </c>
      <c r="P4124" s="229" t="s">
        <v>6834</v>
      </c>
      <c r="Q4124" s="236" t="str">
        <f>VLOOKUP(P4124,Table15[[code9]:[ratevalue]],6,FALSE)</f>
        <v>7.44</v>
      </c>
      <c r="R4124" s="229" t="s">
        <v>6513</v>
      </c>
      <c r="S4124" s="229" t="s">
        <v>6832</v>
      </c>
      <c r="T4124" s="229" t="s">
        <v>6945</v>
      </c>
      <c r="U4124" s="236" t="str">
        <f>IF(ISNA(VLOOKUP(T4124,Table15[[code9]:[ratevalue]],6,FALSE)),"",VLOOKUP(T4124,Table15[[code9]:[ratevalue]],6,FALSE))</f>
        <v>7.79</v>
      </c>
      <c r="V4124" s="229" t="s">
        <v>6513</v>
      </c>
      <c r="W4124" s="229" t="s">
        <v>6940</v>
      </c>
    </row>
    <row r="4125" spans="2:23" hidden="1" outlineLevel="2">
      <c r="B4125" s="2" t="s">
        <v>876</v>
      </c>
      <c r="D4125" s="112" t="b">
        <v>1</v>
      </c>
      <c r="E4125" s="112">
        <v>80</v>
      </c>
      <c r="F4125" s="112">
        <v>90</v>
      </c>
      <c r="G4125" s="112"/>
      <c r="H4125" s="112"/>
      <c r="I4125" s="112" t="s">
        <v>4246</v>
      </c>
      <c r="J4125" s="112" t="s">
        <v>4247</v>
      </c>
      <c r="K4125" s="112" t="b">
        <v>0</v>
      </c>
      <c r="L4125" s="112">
        <v>2</v>
      </c>
      <c r="M4125" s="147" t="s">
        <v>8224</v>
      </c>
      <c r="N4125" s="229" t="s">
        <v>6837</v>
      </c>
      <c r="O4125" s="236" t="str">
        <f>VLOOKUP(N4125,Table15[[code9]:[ratevalue]],6,FALSE)</f>
        <v>6.39</v>
      </c>
      <c r="P4125" s="229" t="s">
        <v>6838</v>
      </c>
      <c r="Q4125" s="236" t="str">
        <f>VLOOKUP(P4125,Table15[[code9]:[ratevalue]],6,FALSE)</f>
        <v>7.50</v>
      </c>
      <c r="R4125" s="229" t="s">
        <v>6513</v>
      </c>
      <c r="S4125" s="229" t="s">
        <v>6832</v>
      </c>
      <c r="T4125" s="229" t="s">
        <v>6945</v>
      </c>
      <c r="U4125" s="236" t="str">
        <f>IF(ISNA(VLOOKUP(T4125,Table15[[code9]:[ratevalue]],6,FALSE)),"",VLOOKUP(T4125,Table15[[code9]:[ratevalue]],6,FALSE))</f>
        <v>7.79</v>
      </c>
      <c r="V4125" s="229" t="s">
        <v>6513</v>
      </c>
      <c r="W4125" s="229" t="s">
        <v>6940</v>
      </c>
    </row>
    <row r="4126" spans="2:23" hidden="1" outlineLevel="2">
      <c r="B4126" s="2" t="s">
        <v>876</v>
      </c>
      <c r="D4126" s="112" t="b">
        <v>1</v>
      </c>
      <c r="E4126" s="112">
        <v>80</v>
      </c>
      <c r="F4126" s="112">
        <v>90</v>
      </c>
      <c r="G4126" s="112"/>
      <c r="H4126" s="112"/>
      <c r="I4126" s="112" t="s">
        <v>4246</v>
      </c>
      <c r="J4126" s="112" t="s">
        <v>4247</v>
      </c>
      <c r="K4126" s="112" t="b">
        <v>0</v>
      </c>
      <c r="L4126" s="112">
        <v>3</v>
      </c>
      <c r="M4126" s="147" t="s">
        <v>8225</v>
      </c>
      <c r="N4126" s="229" t="s">
        <v>6841</v>
      </c>
      <c r="O4126" s="236" t="str">
        <f>VLOOKUP(N4126,Table15[[code9]:[ratevalue]],6,FALSE)</f>
        <v>6.39</v>
      </c>
      <c r="P4126" s="229" t="s">
        <v>6842</v>
      </c>
      <c r="Q4126" s="236" t="str">
        <f>VLOOKUP(P4126,Table15[[code9]:[ratevalue]],6,FALSE)</f>
        <v>7.38</v>
      </c>
      <c r="R4126" s="229" t="s">
        <v>6513</v>
      </c>
      <c r="S4126" s="229" t="s">
        <v>6832</v>
      </c>
      <c r="T4126" s="229" t="s">
        <v>6945</v>
      </c>
      <c r="U4126" s="236" t="str">
        <f>IF(ISNA(VLOOKUP(T4126,Table15[[code9]:[ratevalue]],6,FALSE)),"",VLOOKUP(T4126,Table15[[code9]:[ratevalue]],6,FALSE))</f>
        <v>7.79</v>
      </c>
      <c r="V4126" s="229" t="s">
        <v>6513</v>
      </c>
      <c r="W4126" s="229" t="s">
        <v>6940</v>
      </c>
    </row>
    <row r="4127" spans="2:23" hidden="1" outlineLevel="2">
      <c r="B4127" s="2" t="s">
        <v>876</v>
      </c>
      <c r="D4127" s="112" t="b">
        <v>1</v>
      </c>
      <c r="E4127" s="112">
        <v>80</v>
      </c>
      <c r="F4127" s="112">
        <v>90</v>
      </c>
      <c r="G4127" s="112"/>
      <c r="H4127" s="112"/>
      <c r="I4127" s="112" t="s">
        <v>4246</v>
      </c>
      <c r="J4127" s="112" t="s">
        <v>4247</v>
      </c>
      <c r="K4127" s="112" t="b">
        <v>0</v>
      </c>
      <c r="L4127" s="112">
        <v>4</v>
      </c>
      <c r="M4127" s="147" t="s">
        <v>8478</v>
      </c>
      <c r="N4127" s="229" t="s">
        <v>6845</v>
      </c>
      <c r="O4127" s="236" t="str">
        <f>VLOOKUP(N4127,Table15[[code9]:[ratevalue]],6,FALSE)</f>
        <v>6.44</v>
      </c>
      <c r="P4127" s="229" t="s">
        <v>6846</v>
      </c>
      <c r="Q4127" s="236" t="str">
        <f>VLOOKUP(P4127,Table15[[code9]:[ratevalue]],6,FALSE)</f>
        <v>7.29</v>
      </c>
      <c r="R4127" s="229" t="s">
        <v>6513</v>
      </c>
      <c r="S4127" s="229" t="s">
        <v>6832</v>
      </c>
      <c r="T4127" s="229" t="s">
        <v>6945</v>
      </c>
      <c r="U4127" s="236" t="str">
        <f>IF(ISNA(VLOOKUP(T4127,Table15[[code9]:[ratevalue]],6,FALSE)),"",VLOOKUP(T4127,Table15[[code9]:[ratevalue]],6,FALSE))</f>
        <v>7.79</v>
      </c>
      <c r="V4127" s="229" t="s">
        <v>6513</v>
      </c>
      <c r="W4127" s="229" t="s">
        <v>6940</v>
      </c>
    </row>
    <row r="4128" spans="2:23" hidden="1" outlineLevel="2">
      <c r="B4128" s="2" t="s">
        <v>876</v>
      </c>
      <c r="D4128" s="112" t="b">
        <v>1</v>
      </c>
      <c r="E4128" s="112">
        <v>80</v>
      </c>
      <c r="F4128" s="112">
        <v>90</v>
      </c>
      <c r="G4128" s="112"/>
      <c r="H4128" s="112"/>
      <c r="I4128" s="112" t="s">
        <v>4246</v>
      </c>
      <c r="J4128" s="112" t="s">
        <v>4247</v>
      </c>
      <c r="K4128" s="112" t="b">
        <v>0</v>
      </c>
      <c r="L4128" s="112">
        <v>5</v>
      </c>
      <c r="M4128" s="147" t="s">
        <v>8479</v>
      </c>
      <c r="N4128" s="229" t="s">
        <v>6849</v>
      </c>
      <c r="O4128" s="236" t="str">
        <f>VLOOKUP(N4128,Table15[[code9]:[ratevalue]],6,FALSE)</f>
        <v>6.54</v>
      </c>
      <c r="P4128" s="229" t="s">
        <v>6850</v>
      </c>
      <c r="Q4128" s="236" t="str">
        <f>VLOOKUP(P4128,Table15[[code9]:[ratevalue]],6,FALSE)</f>
        <v>7.23</v>
      </c>
      <c r="R4128" s="229" t="s">
        <v>6513</v>
      </c>
      <c r="S4128" s="229" t="s">
        <v>6832</v>
      </c>
      <c r="T4128" s="229" t="s">
        <v>6945</v>
      </c>
      <c r="U4128" s="236" t="str">
        <f>IF(ISNA(VLOOKUP(T4128,Table15[[code9]:[ratevalue]],6,FALSE)),"",VLOOKUP(T4128,Table15[[code9]:[ratevalue]],6,FALSE))</f>
        <v>7.79</v>
      </c>
      <c r="V4128" s="229" t="s">
        <v>6513</v>
      </c>
      <c r="W4128" s="229" t="s">
        <v>6940</v>
      </c>
    </row>
    <row r="4129" spans="2:23" hidden="1" outlineLevel="2">
      <c r="B4129" s="2" t="s">
        <v>876</v>
      </c>
      <c r="D4129" s="112" t="b">
        <v>1</v>
      </c>
      <c r="E4129" s="112">
        <v>80</v>
      </c>
      <c r="F4129" s="112">
        <v>90</v>
      </c>
      <c r="G4129" s="112"/>
      <c r="H4129" s="112"/>
      <c r="I4129" s="112" t="s">
        <v>4246</v>
      </c>
      <c r="J4129" s="112" t="s">
        <v>4247</v>
      </c>
      <c r="K4129" s="112" t="b">
        <v>0</v>
      </c>
      <c r="L4129" s="112">
        <v>7</v>
      </c>
      <c r="M4129" s="147" t="s">
        <v>8482</v>
      </c>
      <c r="N4129" s="229" t="s">
        <v>6853</v>
      </c>
      <c r="O4129" s="236" t="str">
        <f>VLOOKUP(N4129,Table15[[code9]:[ratevalue]],6,FALSE)</f>
        <v>7.69</v>
      </c>
      <c r="P4129" s="229" t="s">
        <v>6854</v>
      </c>
      <c r="Q4129" s="236" t="str">
        <f>VLOOKUP(P4129,Table15[[code9]:[ratevalue]],6,FALSE)</f>
        <v>7.73</v>
      </c>
      <c r="R4129" s="229" t="s">
        <v>6513</v>
      </c>
      <c r="S4129" s="229" t="s">
        <v>6832</v>
      </c>
      <c r="T4129" s="229" t="s">
        <v>6945</v>
      </c>
      <c r="U4129" s="236" t="str">
        <f>IF(ISNA(VLOOKUP(T4129,Table15[[code9]:[ratevalue]],6,FALSE)),"",VLOOKUP(T4129,Table15[[code9]:[ratevalue]],6,FALSE))</f>
        <v>7.79</v>
      </c>
      <c r="V4129" s="229" t="s">
        <v>6513</v>
      </c>
      <c r="W4129" s="229" t="s">
        <v>6940</v>
      </c>
    </row>
    <row r="4130" spans="2:23" hidden="1" outlineLevel="2">
      <c r="B4130" s="2" t="s">
        <v>876</v>
      </c>
      <c r="D4130" s="112" t="b">
        <v>1</v>
      </c>
      <c r="E4130" s="112">
        <v>80</v>
      </c>
      <c r="F4130" s="112">
        <v>90</v>
      </c>
      <c r="G4130" s="112"/>
      <c r="H4130" s="112"/>
      <c r="I4130" s="112" t="s">
        <v>4246</v>
      </c>
      <c r="J4130" s="112" t="s">
        <v>4247</v>
      </c>
      <c r="K4130" s="112" t="b">
        <v>0</v>
      </c>
      <c r="L4130" s="112">
        <v>10</v>
      </c>
      <c r="M4130" s="147" t="s">
        <v>8483</v>
      </c>
      <c r="N4130" s="229" t="s">
        <v>6857</v>
      </c>
      <c r="O4130" s="236" t="str">
        <f>VLOOKUP(N4130,Table15[[code9]:[ratevalue]],6,FALSE)</f>
        <v>7.69</v>
      </c>
      <c r="P4130" s="229" t="s">
        <v>6858</v>
      </c>
      <c r="Q4130" s="236" t="str">
        <f>VLOOKUP(P4130,Table15[[code9]:[ratevalue]],6,FALSE)</f>
        <v>7.72</v>
      </c>
      <c r="R4130" s="229" t="s">
        <v>6513</v>
      </c>
      <c r="S4130" s="229" t="s">
        <v>6832</v>
      </c>
      <c r="T4130" s="229" t="s">
        <v>6945</v>
      </c>
      <c r="U4130" s="236" t="str">
        <f>IF(ISNA(VLOOKUP(T4130,Table15[[code9]:[ratevalue]],6,FALSE)),"",VLOOKUP(T4130,Table15[[code9]:[ratevalue]],6,FALSE))</f>
        <v>7.79</v>
      </c>
      <c r="V4130" s="229" t="s">
        <v>6513</v>
      </c>
      <c r="W4130" s="229" t="s">
        <v>6940</v>
      </c>
    </row>
    <row r="4131" spans="2:23" hidden="1" outlineLevel="2">
      <c r="B4131" s="2" t="s">
        <v>876</v>
      </c>
      <c r="D4131" s="114" t="b">
        <v>1</v>
      </c>
      <c r="E4131" s="114">
        <v>90</v>
      </c>
      <c r="F4131" s="114"/>
      <c r="G4131" s="114">
        <v>50000</v>
      </c>
      <c r="H4131" s="114"/>
      <c r="I4131" s="114" t="s">
        <v>4317</v>
      </c>
      <c r="J4131" s="114" t="s">
        <v>4247</v>
      </c>
      <c r="K4131" s="114" t="b">
        <v>0</v>
      </c>
      <c r="L4131" s="114"/>
      <c r="M4131" s="215" t="s">
        <v>8220</v>
      </c>
      <c r="N4131" s="236" t="s">
        <v>8456</v>
      </c>
      <c r="O4131" s="236" t="str">
        <f>VLOOKUP(N4131,Table15[[code9]:[ratevalue]],6,FALSE)</f>
        <v>7.74</v>
      </c>
      <c r="P4131" s="236" t="s">
        <v>8457</v>
      </c>
      <c r="Q4131" s="236" t="str">
        <f>VLOOKUP(P4131,Table15[[code9]:[ratevalue]],6,FALSE)</f>
        <v>7.74</v>
      </c>
      <c r="R4131" s="236" t="s">
        <v>6513</v>
      </c>
      <c r="S4131" s="236" t="s">
        <v>4761</v>
      </c>
      <c r="T4131" s="236"/>
      <c r="U4131" s="236" t="str">
        <f>IF(ISNA(VLOOKUP(T4131,Table15[[code9]:[ratevalue]],6,FALSE)),"",VLOOKUP(T4131,Table15[[code9]:[ratevalue]],6,FALSE))</f>
        <v/>
      </c>
      <c r="V4131" s="236" t="s">
        <v>1485</v>
      </c>
      <c r="W4131" s="236" t="s">
        <v>1485</v>
      </c>
    </row>
    <row r="4132" spans="2:23" hidden="1" outlineLevel="2">
      <c r="B4132" s="2" t="s">
        <v>876</v>
      </c>
      <c r="D4132" s="114" t="b">
        <v>1</v>
      </c>
      <c r="E4132" s="114">
        <v>90</v>
      </c>
      <c r="F4132" s="114"/>
      <c r="G4132" s="114"/>
      <c r="H4132" s="114">
        <v>50000</v>
      </c>
      <c r="I4132" s="114" t="s">
        <v>4317</v>
      </c>
      <c r="J4132" s="114" t="s">
        <v>4247</v>
      </c>
      <c r="K4132" s="114" t="b">
        <v>0</v>
      </c>
      <c r="L4132" s="114"/>
      <c r="M4132" s="215" t="s">
        <v>488</v>
      </c>
      <c r="N4132" s="236" t="s">
        <v>4762</v>
      </c>
      <c r="O4132" s="236" t="str">
        <f>VLOOKUP(N4132,Table15[[code9]:[ratevalue]],6,FALSE)</f>
        <v>7.74</v>
      </c>
      <c r="P4132" s="236" t="s">
        <v>6699</v>
      </c>
      <c r="Q4132" s="236" t="str">
        <f>VLOOKUP(P4132,Table15[[code9]:[ratevalue]],6,FALSE)</f>
        <v>7.74</v>
      </c>
      <c r="R4132" s="236" t="s">
        <v>6513</v>
      </c>
      <c r="S4132" s="236" t="s">
        <v>4761</v>
      </c>
      <c r="T4132" s="236"/>
      <c r="U4132" s="236" t="str">
        <f>IF(ISNA(VLOOKUP(T4132,Table15[[code9]:[ratevalue]],6,FALSE)),"",VLOOKUP(T4132,Table15[[code9]:[ratevalue]],6,FALSE))</f>
        <v/>
      </c>
      <c r="V4132" s="236" t="s">
        <v>1485</v>
      </c>
      <c r="W4132" s="236" t="s">
        <v>1485</v>
      </c>
    </row>
    <row r="4133" spans="2:23" hidden="1" outlineLevel="2">
      <c r="B4133" s="2" t="s">
        <v>876</v>
      </c>
      <c r="D4133" s="114" t="b">
        <v>1</v>
      </c>
      <c r="E4133" s="114">
        <v>90</v>
      </c>
      <c r="F4133" s="114"/>
      <c r="G4133" s="114"/>
      <c r="H4133" s="114"/>
      <c r="I4133" s="114" t="s">
        <v>4311</v>
      </c>
      <c r="J4133" s="114" t="s">
        <v>4247</v>
      </c>
      <c r="K4133" s="114" t="b">
        <v>0</v>
      </c>
      <c r="L4133" s="114"/>
      <c r="M4133" s="215" t="s">
        <v>8218</v>
      </c>
      <c r="N4133" s="236" t="s">
        <v>6945</v>
      </c>
      <c r="O4133" s="236" t="str">
        <f>VLOOKUP(N4133,Table15[[code9]:[ratevalue]],6,FALSE)</f>
        <v>7.79</v>
      </c>
      <c r="P4133" s="236" t="s">
        <v>6946</v>
      </c>
      <c r="Q4133" s="236" t="str">
        <f>VLOOKUP(P4133,Table15[[code9]:[ratevalue]],6,FALSE)</f>
        <v>7.79</v>
      </c>
      <c r="R4133" s="236" t="s">
        <v>6513</v>
      </c>
      <c r="S4133" s="236" t="s">
        <v>6940</v>
      </c>
      <c r="T4133" s="236"/>
      <c r="U4133" s="236" t="str">
        <f>IF(ISNA(VLOOKUP(T4133,Table15[[code9]:[ratevalue]],6,FALSE)),"",VLOOKUP(T4133,Table15[[code9]:[ratevalue]],6,FALSE))</f>
        <v/>
      </c>
      <c r="V4133" s="236" t="s">
        <v>1485</v>
      </c>
      <c r="W4133" s="236" t="s">
        <v>1485</v>
      </c>
    </row>
    <row r="4134" spans="2:23" hidden="1" outlineLevel="2">
      <c r="B4134" s="2" t="s">
        <v>876</v>
      </c>
      <c r="D4134" s="114" t="b">
        <v>1</v>
      </c>
      <c r="E4134" s="114">
        <v>90</v>
      </c>
      <c r="F4134" s="114"/>
      <c r="G4134" s="114"/>
      <c r="H4134" s="114"/>
      <c r="I4134" s="114" t="s">
        <v>4246</v>
      </c>
      <c r="J4134" s="114" t="s">
        <v>4247</v>
      </c>
      <c r="K4134" s="114" t="b">
        <v>0</v>
      </c>
      <c r="L4134" s="114">
        <v>1</v>
      </c>
      <c r="M4134" s="215" t="s">
        <v>4771</v>
      </c>
      <c r="N4134" s="236" t="s">
        <v>6833</v>
      </c>
      <c r="O4134" s="236" t="str">
        <f>VLOOKUP(N4134,Table15[[code9]:[ratevalue]],6,FALSE)</f>
        <v>6.54</v>
      </c>
      <c r="P4134" s="236" t="s">
        <v>6834</v>
      </c>
      <c r="Q4134" s="236" t="str">
        <f>VLOOKUP(P4134,Table15[[code9]:[ratevalue]],6,FALSE)</f>
        <v>7.44</v>
      </c>
      <c r="R4134" s="236" t="s">
        <v>6513</v>
      </c>
      <c r="S4134" s="236" t="s">
        <v>6832</v>
      </c>
      <c r="T4134" s="236" t="s">
        <v>6945</v>
      </c>
      <c r="U4134" s="236" t="str">
        <f>IF(ISNA(VLOOKUP(T4134,Table15[[code9]:[ratevalue]],6,FALSE)),"",VLOOKUP(T4134,Table15[[code9]:[ratevalue]],6,FALSE))</f>
        <v>7.79</v>
      </c>
      <c r="V4134" s="236" t="s">
        <v>6513</v>
      </c>
      <c r="W4134" s="236" t="s">
        <v>6940</v>
      </c>
    </row>
    <row r="4135" spans="2:23" hidden="1" outlineLevel="2">
      <c r="B4135" s="2" t="s">
        <v>876</v>
      </c>
      <c r="D4135" s="114" t="b">
        <v>1</v>
      </c>
      <c r="E4135" s="114">
        <v>90</v>
      </c>
      <c r="F4135" s="114"/>
      <c r="G4135" s="114"/>
      <c r="H4135" s="114"/>
      <c r="I4135" s="114" t="s">
        <v>4246</v>
      </c>
      <c r="J4135" s="114" t="s">
        <v>4247</v>
      </c>
      <c r="K4135" s="114" t="b">
        <v>0</v>
      </c>
      <c r="L4135" s="114">
        <v>2</v>
      </c>
      <c r="M4135" s="215" t="s">
        <v>8224</v>
      </c>
      <c r="N4135" s="236" t="s">
        <v>6837</v>
      </c>
      <c r="O4135" s="236" t="str">
        <f>VLOOKUP(N4135,Table15[[code9]:[ratevalue]],6,FALSE)</f>
        <v>6.39</v>
      </c>
      <c r="P4135" s="236" t="s">
        <v>6838</v>
      </c>
      <c r="Q4135" s="236" t="str">
        <f>VLOOKUP(P4135,Table15[[code9]:[ratevalue]],6,FALSE)</f>
        <v>7.50</v>
      </c>
      <c r="R4135" s="236" t="s">
        <v>6513</v>
      </c>
      <c r="S4135" s="236" t="s">
        <v>6832</v>
      </c>
      <c r="T4135" s="236" t="s">
        <v>6945</v>
      </c>
      <c r="U4135" s="236" t="str">
        <f>IF(ISNA(VLOOKUP(T4135,Table15[[code9]:[ratevalue]],6,FALSE)),"",VLOOKUP(T4135,Table15[[code9]:[ratevalue]],6,FALSE))</f>
        <v>7.79</v>
      </c>
      <c r="V4135" s="236" t="s">
        <v>6513</v>
      </c>
      <c r="W4135" s="236" t="s">
        <v>6940</v>
      </c>
    </row>
    <row r="4136" spans="2:23" hidden="1" outlineLevel="2">
      <c r="B4136" s="2" t="s">
        <v>876</v>
      </c>
      <c r="D4136" s="114" t="b">
        <v>1</v>
      </c>
      <c r="E4136" s="114">
        <v>90</v>
      </c>
      <c r="F4136" s="114"/>
      <c r="G4136" s="114"/>
      <c r="H4136" s="114"/>
      <c r="I4136" s="114" t="s">
        <v>4246</v>
      </c>
      <c r="J4136" s="114" t="s">
        <v>4247</v>
      </c>
      <c r="K4136" s="114" t="b">
        <v>0</v>
      </c>
      <c r="L4136" s="114">
        <v>3</v>
      </c>
      <c r="M4136" s="215" t="s">
        <v>8225</v>
      </c>
      <c r="N4136" s="236" t="s">
        <v>6841</v>
      </c>
      <c r="O4136" s="236" t="str">
        <f>VLOOKUP(N4136,Table15[[code9]:[ratevalue]],6,FALSE)</f>
        <v>6.39</v>
      </c>
      <c r="P4136" s="236" t="s">
        <v>6842</v>
      </c>
      <c r="Q4136" s="236" t="str">
        <f>VLOOKUP(P4136,Table15[[code9]:[ratevalue]],6,FALSE)</f>
        <v>7.38</v>
      </c>
      <c r="R4136" s="236" t="s">
        <v>6513</v>
      </c>
      <c r="S4136" s="236" t="s">
        <v>6832</v>
      </c>
      <c r="T4136" s="236" t="s">
        <v>6945</v>
      </c>
      <c r="U4136" s="236" t="str">
        <f>IF(ISNA(VLOOKUP(T4136,Table15[[code9]:[ratevalue]],6,FALSE)),"",VLOOKUP(T4136,Table15[[code9]:[ratevalue]],6,FALSE))</f>
        <v>7.79</v>
      </c>
      <c r="V4136" s="236" t="s">
        <v>6513</v>
      </c>
      <c r="W4136" s="236" t="s">
        <v>6940</v>
      </c>
    </row>
    <row r="4137" spans="2:23" hidden="1" outlineLevel="2">
      <c r="B4137" s="2" t="s">
        <v>876</v>
      </c>
      <c r="D4137" s="114" t="b">
        <v>1</v>
      </c>
      <c r="E4137" s="114">
        <v>90</v>
      </c>
      <c r="F4137" s="114"/>
      <c r="G4137" s="114"/>
      <c r="H4137" s="114"/>
      <c r="I4137" s="114" t="s">
        <v>4246</v>
      </c>
      <c r="J4137" s="114" t="s">
        <v>4247</v>
      </c>
      <c r="K4137" s="114" t="b">
        <v>0</v>
      </c>
      <c r="L4137" s="114">
        <v>4</v>
      </c>
      <c r="M4137" s="215" t="s">
        <v>8478</v>
      </c>
      <c r="N4137" s="236" t="s">
        <v>6845</v>
      </c>
      <c r="O4137" s="236" t="str">
        <f>VLOOKUP(N4137,Table15[[code9]:[ratevalue]],6,FALSE)</f>
        <v>6.44</v>
      </c>
      <c r="P4137" s="236" t="s">
        <v>6846</v>
      </c>
      <c r="Q4137" s="236" t="str">
        <f>VLOOKUP(P4137,Table15[[code9]:[ratevalue]],6,FALSE)</f>
        <v>7.29</v>
      </c>
      <c r="R4137" s="236" t="s">
        <v>6513</v>
      </c>
      <c r="S4137" s="236" t="s">
        <v>6832</v>
      </c>
      <c r="T4137" s="236" t="s">
        <v>6945</v>
      </c>
      <c r="U4137" s="236" t="str">
        <f>IF(ISNA(VLOOKUP(T4137,Table15[[code9]:[ratevalue]],6,FALSE)),"",VLOOKUP(T4137,Table15[[code9]:[ratevalue]],6,FALSE))</f>
        <v>7.79</v>
      </c>
      <c r="V4137" s="236" t="s">
        <v>6513</v>
      </c>
      <c r="W4137" s="236" t="s">
        <v>6940</v>
      </c>
    </row>
    <row r="4138" spans="2:23" hidden="1" outlineLevel="2">
      <c r="B4138" s="2" t="s">
        <v>876</v>
      </c>
      <c r="D4138" s="114" t="b">
        <v>1</v>
      </c>
      <c r="E4138" s="114">
        <v>90</v>
      </c>
      <c r="F4138" s="114"/>
      <c r="G4138" s="114"/>
      <c r="H4138" s="114"/>
      <c r="I4138" s="114" t="s">
        <v>4246</v>
      </c>
      <c r="J4138" s="114" t="s">
        <v>4247</v>
      </c>
      <c r="K4138" s="114" t="b">
        <v>0</v>
      </c>
      <c r="L4138" s="114">
        <v>5</v>
      </c>
      <c r="M4138" s="215" t="s">
        <v>8479</v>
      </c>
      <c r="N4138" s="236" t="s">
        <v>6849</v>
      </c>
      <c r="O4138" s="236" t="str">
        <f>VLOOKUP(N4138,Table15[[code9]:[ratevalue]],6,FALSE)</f>
        <v>6.54</v>
      </c>
      <c r="P4138" s="236" t="s">
        <v>6850</v>
      </c>
      <c r="Q4138" s="236" t="str">
        <f>VLOOKUP(P4138,Table15[[code9]:[ratevalue]],6,FALSE)</f>
        <v>7.23</v>
      </c>
      <c r="R4138" s="236" t="s">
        <v>6513</v>
      </c>
      <c r="S4138" s="236" t="s">
        <v>6832</v>
      </c>
      <c r="T4138" s="236" t="s">
        <v>6945</v>
      </c>
      <c r="U4138" s="236" t="str">
        <f>IF(ISNA(VLOOKUP(T4138,Table15[[code9]:[ratevalue]],6,FALSE)),"",VLOOKUP(T4138,Table15[[code9]:[ratevalue]],6,FALSE))</f>
        <v>7.79</v>
      </c>
      <c r="V4138" s="236" t="s">
        <v>6513</v>
      </c>
      <c r="W4138" s="236" t="s">
        <v>6940</v>
      </c>
    </row>
    <row r="4139" spans="2:23" hidden="1" outlineLevel="2">
      <c r="B4139" s="2" t="s">
        <v>876</v>
      </c>
      <c r="D4139" s="114" t="b">
        <v>1</v>
      </c>
      <c r="E4139" s="114">
        <v>90</v>
      </c>
      <c r="F4139" s="114"/>
      <c r="G4139" s="114"/>
      <c r="H4139" s="114"/>
      <c r="I4139" s="114" t="s">
        <v>4246</v>
      </c>
      <c r="J4139" s="114" t="s">
        <v>4247</v>
      </c>
      <c r="K4139" s="114" t="b">
        <v>0</v>
      </c>
      <c r="L4139" s="114">
        <v>7</v>
      </c>
      <c r="M4139" s="215" t="s">
        <v>8482</v>
      </c>
      <c r="N4139" s="236" t="s">
        <v>6853</v>
      </c>
      <c r="O4139" s="236" t="str">
        <f>VLOOKUP(N4139,Table15[[code9]:[ratevalue]],6,FALSE)</f>
        <v>7.69</v>
      </c>
      <c r="P4139" s="236" t="s">
        <v>6854</v>
      </c>
      <c r="Q4139" s="236" t="str">
        <f>VLOOKUP(P4139,Table15[[code9]:[ratevalue]],6,FALSE)</f>
        <v>7.73</v>
      </c>
      <c r="R4139" s="236" t="s">
        <v>6513</v>
      </c>
      <c r="S4139" s="236" t="s">
        <v>6832</v>
      </c>
      <c r="T4139" s="236" t="s">
        <v>6945</v>
      </c>
      <c r="U4139" s="236" t="str">
        <f>IF(ISNA(VLOOKUP(T4139,Table15[[code9]:[ratevalue]],6,FALSE)),"",VLOOKUP(T4139,Table15[[code9]:[ratevalue]],6,FALSE))</f>
        <v>7.79</v>
      </c>
      <c r="V4139" s="236" t="s">
        <v>6513</v>
      </c>
      <c r="W4139" s="236" t="s">
        <v>6940</v>
      </c>
    </row>
    <row r="4140" spans="2:23" ht="16" hidden="1" outlineLevel="2" thickBot="1">
      <c r="B4140" s="2" t="s">
        <v>876</v>
      </c>
      <c r="D4140" s="123" t="b">
        <v>1</v>
      </c>
      <c r="E4140" s="123">
        <v>90</v>
      </c>
      <c r="F4140" s="123"/>
      <c r="G4140" s="123"/>
      <c r="H4140" s="123"/>
      <c r="I4140" s="123" t="s">
        <v>4246</v>
      </c>
      <c r="J4140" s="123" t="s">
        <v>4247</v>
      </c>
      <c r="K4140" s="123" t="b">
        <v>0</v>
      </c>
      <c r="L4140" s="123">
        <v>10</v>
      </c>
      <c r="M4140" s="334" t="s">
        <v>8483</v>
      </c>
      <c r="N4140" s="504" t="s">
        <v>6857</v>
      </c>
      <c r="O4140" s="236" t="str">
        <f>VLOOKUP(N4140,Table15[[code9]:[ratevalue]],6,FALSE)</f>
        <v>7.69</v>
      </c>
      <c r="P4140" s="504" t="s">
        <v>6858</v>
      </c>
      <c r="Q4140" s="236" t="str">
        <f>VLOOKUP(P4140,Table15[[code9]:[ratevalue]],6,FALSE)</f>
        <v>7.72</v>
      </c>
      <c r="R4140" s="504" t="s">
        <v>6513</v>
      </c>
      <c r="S4140" s="504" t="s">
        <v>6832</v>
      </c>
      <c r="T4140" s="504" t="s">
        <v>6945</v>
      </c>
      <c r="U4140" s="236" t="str">
        <f>IF(ISNA(VLOOKUP(T4140,Table15[[code9]:[ratevalue]],6,FALSE)),"",VLOOKUP(T4140,Table15[[code9]:[ratevalue]],6,FALSE))</f>
        <v>7.79</v>
      </c>
      <c r="V4140" s="504" t="s">
        <v>6513</v>
      </c>
      <c r="W4140" s="504" t="s">
        <v>6940</v>
      </c>
    </row>
    <row r="4141" spans="2:23" hidden="1" outlineLevel="2">
      <c r="B4141" s="2" t="s">
        <v>876</v>
      </c>
      <c r="D4141" s="254" t="b">
        <v>1</v>
      </c>
      <c r="E4141" s="254"/>
      <c r="F4141" s="254">
        <v>60</v>
      </c>
      <c r="G4141" s="254">
        <v>50000</v>
      </c>
      <c r="H4141" s="254"/>
      <c r="I4141" s="254" t="s">
        <v>4317</v>
      </c>
      <c r="J4141" s="254" t="s">
        <v>4267</v>
      </c>
      <c r="K4141" s="254" t="b">
        <v>0</v>
      </c>
      <c r="L4141" s="254"/>
      <c r="M4141" s="474" t="s">
        <v>8687</v>
      </c>
      <c r="N4141" s="475" t="s">
        <v>6715</v>
      </c>
      <c r="O4141" s="236" t="str">
        <f>VLOOKUP(N4141,Table15[[code9]:[ratevalue]],6,FALSE)</f>
        <v>6.79</v>
      </c>
      <c r="P4141" s="475" t="s">
        <v>6716</v>
      </c>
      <c r="Q4141" s="236" t="str">
        <f>VLOOKUP(P4141,Table15[[code9]:[ratevalue]],6,FALSE)</f>
        <v>6.57</v>
      </c>
      <c r="R4141" s="475" t="s">
        <v>6513</v>
      </c>
      <c r="S4141" s="475" t="s">
        <v>4761</v>
      </c>
      <c r="T4141" s="475" t="s">
        <v>6709</v>
      </c>
      <c r="U4141" s="236" t="str">
        <f>IF(ISNA(VLOOKUP(T4141,Table15[[code9]:[ratevalue]],6,FALSE)),"",VLOOKUP(T4141,Table15[[code9]:[ratevalue]],6,FALSE))</f>
        <v>6.44</v>
      </c>
      <c r="V4141" s="475" t="s">
        <v>6513</v>
      </c>
      <c r="W4141" s="475" t="s">
        <v>4761</v>
      </c>
    </row>
    <row r="4142" spans="2:23" hidden="1" outlineLevel="2">
      <c r="B4142" s="2" t="s">
        <v>876</v>
      </c>
      <c r="D4142" s="112" t="b">
        <v>1</v>
      </c>
      <c r="E4142" s="112"/>
      <c r="F4142" s="112">
        <v>60</v>
      </c>
      <c r="G4142" s="112"/>
      <c r="H4142" s="112">
        <v>50000</v>
      </c>
      <c r="I4142" s="112" t="s">
        <v>4317</v>
      </c>
      <c r="J4142" s="112" t="s">
        <v>4267</v>
      </c>
      <c r="K4142" s="112" t="b">
        <v>0</v>
      </c>
      <c r="L4142" s="112"/>
      <c r="M4142" s="147" t="s">
        <v>488</v>
      </c>
      <c r="N4142" s="229" t="s">
        <v>4932</v>
      </c>
      <c r="O4142" s="236" t="str">
        <f>VLOOKUP(N4142,Table15[[code9]:[ratevalue]],6,FALSE)</f>
        <v>7.73</v>
      </c>
      <c r="P4142" s="229" t="s">
        <v>6700</v>
      </c>
      <c r="Q4142" s="236" t="str">
        <f>VLOOKUP(P4142,Table15[[code9]:[ratevalue]],6,FALSE)</f>
        <v>7.74</v>
      </c>
      <c r="R4142" s="229" t="s">
        <v>6513</v>
      </c>
      <c r="S4142" s="229" t="s">
        <v>4761</v>
      </c>
      <c r="T4142" s="229" t="s">
        <v>4762</v>
      </c>
      <c r="U4142" s="236" t="str">
        <f>IF(ISNA(VLOOKUP(T4142,Table15[[code9]:[ratevalue]],6,FALSE)),"",VLOOKUP(T4142,Table15[[code9]:[ratevalue]],6,FALSE))</f>
        <v>7.74</v>
      </c>
      <c r="V4142" s="229" t="s">
        <v>6513</v>
      </c>
      <c r="W4142" s="229" t="s">
        <v>4761</v>
      </c>
    </row>
    <row r="4143" spans="2:23" hidden="1" outlineLevel="2">
      <c r="B4143" s="2" t="s">
        <v>876</v>
      </c>
      <c r="D4143" s="112" t="b">
        <v>1</v>
      </c>
      <c r="E4143" s="112"/>
      <c r="F4143" s="112">
        <v>60</v>
      </c>
      <c r="G4143" s="112"/>
      <c r="H4143" s="112"/>
      <c r="I4143" s="112" t="s">
        <v>4311</v>
      </c>
      <c r="J4143" s="112" t="s">
        <v>4267</v>
      </c>
      <c r="K4143" s="112" t="b">
        <v>0</v>
      </c>
      <c r="L4143" s="112"/>
      <c r="M4143" s="147" t="s">
        <v>8223</v>
      </c>
      <c r="N4143" s="229" t="s">
        <v>6943</v>
      </c>
      <c r="O4143" s="236" t="str">
        <f>VLOOKUP(N4143,Table15[[code9]:[ratevalue]],6,FALSE)</f>
        <v>7.84</v>
      </c>
      <c r="P4143" s="229" t="s">
        <v>6944</v>
      </c>
      <c r="Q4143" s="236" t="str">
        <f>VLOOKUP(P4143,Table15[[code9]:[ratevalue]],6,FALSE)</f>
        <v>7.71</v>
      </c>
      <c r="R4143" s="229" t="s">
        <v>6513</v>
      </c>
      <c r="S4143" s="229" t="s">
        <v>6940</v>
      </c>
      <c r="T4143" s="229" t="s">
        <v>6941</v>
      </c>
      <c r="U4143" s="236" t="str">
        <f>IF(ISNA(VLOOKUP(T4143,Table15[[code9]:[ratevalue]],6,FALSE)),"",VLOOKUP(T4143,Table15[[code9]:[ratevalue]],6,FALSE))</f>
        <v>7.59</v>
      </c>
      <c r="V4143" s="229" t="s">
        <v>6513</v>
      </c>
      <c r="W4143" s="229" t="s">
        <v>6940</v>
      </c>
    </row>
    <row r="4144" spans="2:23" hidden="1" outlineLevel="2">
      <c r="B4144" s="2" t="s">
        <v>876</v>
      </c>
      <c r="D4144" s="112" t="b">
        <v>1</v>
      </c>
      <c r="E4144" s="112"/>
      <c r="F4144" s="112">
        <v>60</v>
      </c>
      <c r="G4144" s="112"/>
      <c r="H4144" s="112"/>
      <c r="I4144" s="112" t="s">
        <v>4246</v>
      </c>
      <c r="J4144" s="112" t="s">
        <v>4267</v>
      </c>
      <c r="K4144" s="112" t="b">
        <v>0</v>
      </c>
      <c r="L4144" s="112">
        <v>1</v>
      </c>
      <c r="M4144" s="147" t="s">
        <v>8226</v>
      </c>
      <c r="N4144" s="229" t="s">
        <v>6864</v>
      </c>
      <c r="O4144" s="236" t="str">
        <f>VLOOKUP(N4144,Table15[[code9]:[ratevalue]],6,FALSE)</f>
        <v>6.24</v>
      </c>
      <c r="P4144" s="229" t="s">
        <v>6865</v>
      </c>
      <c r="Q4144" s="236" t="str">
        <f>VLOOKUP(P4144,Table15[[code9]:[ratevalue]],6,FALSE)</f>
        <v>7.23</v>
      </c>
      <c r="R4144" s="229" t="s">
        <v>6513</v>
      </c>
      <c r="S4144" s="229" t="s">
        <v>6861</v>
      </c>
      <c r="T4144" s="229" t="s">
        <v>6941</v>
      </c>
      <c r="U4144" s="236" t="str">
        <f>IF(ISNA(VLOOKUP(T4144,Table15[[code9]:[ratevalue]],6,FALSE)),"",VLOOKUP(T4144,Table15[[code9]:[ratevalue]],6,FALSE))</f>
        <v>7.59</v>
      </c>
      <c r="V4144" s="229" t="s">
        <v>6513</v>
      </c>
      <c r="W4144" s="229" t="s">
        <v>6940</v>
      </c>
    </row>
    <row r="4145" spans="2:23" hidden="1" outlineLevel="2">
      <c r="B4145" s="2" t="s">
        <v>876</v>
      </c>
      <c r="D4145" s="112" t="b">
        <v>1</v>
      </c>
      <c r="E4145" s="112"/>
      <c r="F4145" s="112">
        <v>60</v>
      </c>
      <c r="G4145" s="112"/>
      <c r="H4145" s="112"/>
      <c r="I4145" s="112" t="s">
        <v>4246</v>
      </c>
      <c r="J4145" s="112" t="s">
        <v>4267</v>
      </c>
      <c r="K4145" s="112" t="b">
        <v>0</v>
      </c>
      <c r="L4145" s="112">
        <v>2</v>
      </c>
      <c r="M4145" s="147" t="s">
        <v>8227</v>
      </c>
      <c r="N4145" s="229" t="s">
        <v>6868</v>
      </c>
      <c r="O4145" s="236" t="str">
        <f>VLOOKUP(N4145,Table15[[code9]:[ratevalue]],6,FALSE)</f>
        <v>6.04</v>
      </c>
      <c r="P4145" s="229" t="s">
        <v>6869</v>
      </c>
      <c r="Q4145" s="236" t="str">
        <f>VLOOKUP(P4145,Table15[[code9]:[ratevalue]],6,FALSE)</f>
        <v>7.28</v>
      </c>
      <c r="R4145" s="229" t="s">
        <v>6513</v>
      </c>
      <c r="S4145" s="229" t="s">
        <v>6861</v>
      </c>
      <c r="T4145" s="229" t="s">
        <v>6941</v>
      </c>
      <c r="U4145" s="236" t="str">
        <f>IF(ISNA(VLOOKUP(T4145,Table15[[code9]:[ratevalue]],6,FALSE)),"",VLOOKUP(T4145,Table15[[code9]:[ratevalue]],6,FALSE))</f>
        <v>7.59</v>
      </c>
      <c r="V4145" s="229" t="s">
        <v>6513</v>
      </c>
      <c r="W4145" s="229" t="s">
        <v>6940</v>
      </c>
    </row>
    <row r="4146" spans="2:23" hidden="1" outlineLevel="2">
      <c r="B4146" s="2" t="s">
        <v>876</v>
      </c>
      <c r="D4146" s="112" t="b">
        <v>1</v>
      </c>
      <c r="E4146" s="112"/>
      <c r="F4146" s="112">
        <v>60</v>
      </c>
      <c r="G4146" s="112"/>
      <c r="H4146" s="112"/>
      <c r="I4146" s="112" t="s">
        <v>4246</v>
      </c>
      <c r="J4146" s="112" t="s">
        <v>4267</v>
      </c>
      <c r="K4146" s="112" t="b">
        <v>0</v>
      </c>
      <c r="L4146" s="112">
        <v>3</v>
      </c>
      <c r="M4146" s="147" t="s">
        <v>8228</v>
      </c>
      <c r="N4146" s="229" t="s">
        <v>6872</v>
      </c>
      <c r="O4146" s="236" t="str">
        <f>VLOOKUP(N4146,Table15[[code9]:[ratevalue]],6,FALSE)</f>
        <v>6.04</v>
      </c>
      <c r="P4146" s="229" t="s">
        <v>6873</v>
      </c>
      <c r="Q4146" s="236" t="str">
        <f>VLOOKUP(P4146,Table15[[code9]:[ratevalue]],6,FALSE)</f>
        <v>7.15</v>
      </c>
      <c r="R4146" s="229" t="s">
        <v>6513</v>
      </c>
      <c r="S4146" s="229" t="s">
        <v>6861</v>
      </c>
      <c r="T4146" s="229" t="s">
        <v>6941</v>
      </c>
      <c r="U4146" s="236" t="str">
        <f>IF(ISNA(VLOOKUP(T4146,Table15[[code9]:[ratevalue]],6,FALSE)),"",VLOOKUP(T4146,Table15[[code9]:[ratevalue]],6,FALSE))</f>
        <v>7.59</v>
      </c>
      <c r="V4146" s="229" t="s">
        <v>6513</v>
      </c>
      <c r="W4146" s="229" t="s">
        <v>6940</v>
      </c>
    </row>
    <row r="4147" spans="2:23" hidden="1" outlineLevel="2">
      <c r="B4147" s="2" t="s">
        <v>876</v>
      </c>
      <c r="D4147" s="112" t="b">
        <v>1</v>
      </c>
      <c r="E4147" s="112"/>
      <c r="F4147" s="112">
        <v>60</v>
      </c>
      <c r="G4147" s="112"/>
      <c r="H4147" s="112"/>
      <c r="I4147" s="112" t="s">
        <v>4246</v>
      </c>
      <c r="J4147" s="112" t="s">
        <v>4267</v>
      </c>
      <c r="K4147" s="112" t="b">
        <v>0</v>
      </c>
      <c r="L4147" s="112">
        <v>4</v>
      </c>
      <c r="M4147" s="147" t="s">
        <v>8476</v>
      </c>
      <c r="N4147" s="229" t="s">
        <v>6876</v>
      </c>
      <c r="O4147" s="236" t="str">
        <f>VLOOKUP(N4147,Table15[[code9]:[ratevalue]],6,FALSE)</f>
        <v>6.09</v>
      </c>
      <c r="P4147" s="229" t="s">
        <v>6877</v>
      </c>
      <c r="Q4147" s="236" t="str">
        <f>VLOOKUP(P4147,Table15[[code9]:[ratevalue]],6,FALSE)</f>
        <v>7.05</v>
      </c>
      <c r="R4147" s="229" t="s">
        <v>6513</v>
      </c>
      <c r="S4147" s="229" t="s">
        <v>6861</v>
      </c>
      <c r="T4147" s="229" t="s">
        <v>6941</v>
      </c>
      <c r="U4147" s="236" t="str">
        <f>IF(ISNA(VLOOKUP(T4147,Table15[[code9]:[ratevalue]],6,FALSE)),"",VLOOKUP(T4147,Table15[[code9]:[ratevalue]],6,FALSE))</f>
        <v>7.59</v>
      </c>
      <c r="V4147" s="229" t="s">
        <v>6513</v>
      </c>
      <c r="W4147" s="229" t="s">
        <v>6940</v>
      </c>
    </row>
    <row r="4148" spans="2:23" hidden="1" outlineLevel="2">
      <c r="B4148" s="2" t="s">
        <v>876</v>
      </c>
      <c r="D4148" s="112" t="b">
        <v>1</v>
      </c>
      <c r="E4148" s="112"/>
      <c r="F4148" s="112">
        <v>60</v>
      </c>
      <c r="G4148" s="112"/>
      <c r="H4148" s="112"/>
      <c r="I4148" s="112" t="s">
        <v>4246</v>
      </c>
      <c r="J4148" s="112" t="s">
        <v>4267</v>
      </c>
      <c r="K4148" s="112" t="b">
        <v>0</v>
      </c>
      <c r="L4148" s="112">
        <v>5</v>
      </c>
      <c r="M4148" s="147" t="s">
        <v>8477</v>
      </c>
      <c r="N4148" s="229" t="s">
        <v>6880</v>
      </c>
      <c r="O4148" s="236" t="str">
        <f>VLOOKUP(N4148,Table15[[code9]:[ratevalue]],6,FALSE)</f>
        <v>6.19</v>
      </c>
      <c r="P4148" s="229" t="s">
        <v>6881</v>
      </c>
      <c r="Q4148" s="236" t="str">
        <f>VLOOKUP(P4148,Table15[[code9]:[ratevalue]],6,FALSE)</f>
        <v>6.99</v>
      </c>
      <c r="R4148" s="229" t="s">
        <v>6513</v>
      </c>
      <c r="S4148" s="229" t="s">
        <v>6861</v>
      </c>
      <c r="T4148" s="229" t="s">
        <v>6941</v>
      </c>
      <c r="U4148" s="236" t="str">
        <f>IF(ISNA(VLOOKUP(T4148,Table15[[code9]:[ratevalue]],6,FALSE)),"",VLOOKUP(T4148,Table15[[code9]:[ratevalue]],6,FALSE))</f>
        <v>7.59</v>
      </c>
      <c r="V4148" s="229" t="s">
        <v>6513</v>
      </c>
      <c r="W4148" s="229" t="s">
        <v>6940</v>
      </c>
    </row>
    <row r="4149" spans="2:23" hidden="1" outlineLevel="2">
      <c r="B4149" s="2" t="s">
        <v>876</v>
      </c>
      <c r="D4149" s="112" t="b">
        <v>1</v>
      </c>
      <c r="E4149" s="112"/>
      <c r="F4149" s="112">
        <v>60</v>
      </c>
      <c r="G4149" s="112"/>
      <c r="H4149" s="112"/>
      <c r="I4149" s="112" t="s">
        <v>4246</v>
      </c>
      <c r="J4149" s="112" t="s">
        <v>4267</v>
      </c>
      <c r="K4149" s="112" t="b">
        <v>0</v>
      </c>
      <c r="L4149" s="112">
        <v>7</v>
      </c>
      <c r="M4149" s="147" t="s">
        <v>8480</v>
      </c>
      <c r="N4149" s="229" t="s">
        <v>6884</v>
      </c>
      <c r="O4149" s="236" t="str">
        <f>VLOOKUP(N4149,Table15[[code9]:[ratevalue]],6,FALSE)</f>
        <v>7.24</v>
      </c>
      <c r="P4149" s="229" t="s">
        <v>6885</v>
      </c>
      <c r="Q4149" s="236" t="str">
        <f>VLOOKUP(P4149,Table15[[code9]:[ratevalue]],6,FALSE)</f>
        <v>7.40</v>
      </c>
      <c r="R4149" s="229" t="s">
        <v>6513</v>
      </c>
      <c r="S4149" s="229" t="s">
        <v>6861</v>
      </c>
      <c r="T4149" s="229" t="s">
        <v>6941</v>
      </c>
      <c r="U4149" s="236" t="str">
        <f>IF(ISNA(VLOOKUP(T4149,Table15[[code9]:[ratevalue]],6,FALSE)),"",VLOOKUP(T4149,Table15[[code9]:[ratevalue]],6,FALSE))</f>
        <v>7.59</v>
      </c>
      <c r="V4149" s="229" t="s">
        <v>6513</v>
      </c>
      <c r="W4149" s="229" t="s">
        <v>6940</v>
      </c>
    </row>
    <row r="4150" spans="2:23" hidden="1" outlineLevel="2">
      <c r="B4150" s="2" t="s">
        <v>876</v>
      </c>
      <c r="D4150" s="112" t="b">
        <v>1</v>
      </c>
      <c r="E4150" s="112"/>
      <c r="F4150" s="112">
        <v>60</v>
      </c>
      <c r="G4150" s="112"/>
      <c r="H4150" s="112"/>
      <c r="I4150" s="112" t="s">
        <v>4246</v>
      </c>
      <c r="J4150" s="112" t="s">
        <v>4267</v>
      </c>
      <c r="K4150" s="112" t="b">
        <v>0</v>
      </c>
      <c r="L4150" s="112">
        <v>10</v>
      </c>
      <c r="M4150" s="147" t="s">
        <v>8481</v>
      </c>
      <c r="N4150" s="229" t="s">
        <v>6888</v>
      </c>
      <c r="O4150" s="236" t="str">
        <f>VLOOKUP(N4150,Table15[[code9]:[ratevalue]],6,FALSE)</f>
        <v>7.24</v>
      </c>
      <c r="P4150" s="229" t="s">
        <v>6889</v>
      </c>
      <c r="Q4150" s="236" t="str">
        <f>VLOOKUP(P4150,Table15[[code9]:[ratevalue]],6,FALSE)</f>
        <v>7.35</v>
      </c>
      <c r="R4150" s="229" t="s">
        <v>6513</v>
      </c>
      <c r="S4150" s="229" t="s">
        <v>6861</v>
      </c>
      <c r="T4150" s="229" t="s">
        <v>6941</v>
      </c>
      <c r="U4150" s="236" t="str">
        <f>IF(ISNA(VLOOKUP(T4150,Table15[[code9]:[ratevalue]],6,FALSE)),"",VLOOKUP(T4150,Table15[[code9]:[ratevalue]],6,FALSE))</f>
        <v>7.59</v>
      </c>
      <c r="V4150" s="229" t="s">
        <v>6513</v>
      </c>
      <c r="W4150" s="229" t="s">
        <v>6940</v>
      </c>
    </row>
    <row r="4151" spans="2:23" hidden="1" outlineLevel="2">
      <c r="B4151" s="2" t="s">
        <v>876</v>
      </c>
      <c r="D4151" s="134" t="b">
        <v>1</v>
      </c>
      <c r="E4151" s="114">
        <v>60</v>
      </c>
      <c r="F4151" s="134">
        <v>70</v>
      </c>
      <c r="G4151" s="134">
        <v>50000</v>
      </c>
      <c r="H4151" s="134"/>
      <c r="I4151" s="134" t="s">
        <v>4317</v>
      </c>
      <c r="J4151" s="134" t="s">
        <v>4267</v>
      </c>
      <c r="K4151" s="134" t="b">
        <v>0</v>
      </c>
      <c r="L4151" s="134"/>
      <c r="M4151" s="490" t="s">
        <v>8221</v>
      </c>
      <c r="N4151" s="491" t="s">
        <v>6711</v>
      </c>
      <c r="O4151" s="236" t="str">
        <f>VLOOKUP(N4151,Table15[[code9]:[ratevalue]],6,FALSE)</f>
        <v>6.84</v>
      </c>
      <c r="P4151" s="491" t="s">
        <v>6712</v>
      </c>
      <c r="Q4151" s="236" t="str">
        <f>VLOOKUP(P4151,Table15[[code9]:[ratevalue]],6,FALSE)</f>
        <v>6.62</v>
      </c>
      <c r="R4151" s="236" t="s">
        <v>6513</v>
      </c>
      <c r="S4151" s="236" t="s">
        <v>4761</v>
      </c>
      <c r="T4151" s="491" t="s">
        <v>6709</v>
      </c>
      <c r="U4151" s="236" t="str">
        <f>IF(ISNA(VLOOKUP(T4151,Table15[[code9]:[ratevalue]],6,FALSE)),"",VLOOKUP(T4151,Table15[[code9]:[ratevalue]],6,FALSE))</f>
        <v>6.44</v>
      </c>
      <c r="V4151" s="236" t="s">
        <v>6513</v>
      </c>
      <c r="W4151" s="236" t="s">
        <v>4761</v>
      </c>
    </row>
    <row r="4152" spans="2:23" hidden="1" outlineLevel="2">
      <c r="B4152" s="2" t="s">
        <v>876</v>
      </c>
      <c r="D4152" s="114" t="b">
        <v>1</v>
      </c>
      <c r="E4152" s="114">
        <v>60</v>
      </c>
      <c r="F4152" s="114">
        <v>70</v>
      </c>
      <c r="G4152" s="114"/>
      <c r="H4152" s="114">
        <v>50000</v>
      </c>
      <c r="I4152" s="114" t="s">
        <v>4317</v>
      </c>
      <c r="J4152" s="114" t="s">
        <v>4267</v>
      </c>
      <c r="K4152" s="114" t="b">
        <v>0</v>
      </c>
      <c r="L4152" s="114"/>
      <c r="M4152" s="215" t="s">
        <v>488</v>
      </c>
      <c r="N4152" s="236" t="s">
        <v>4932</v>
      </c>
      <c r="O4152" s="236" t="str">
        <f>VLOOKUP(N4152,Table15[[code9]:[ratevalue]],6,FALSE)</f>
        <v>7.73</v>
      </c>
      <c r="P4152" s="236" t="s">
        <v>6700</v>
      </c>
      <c r="Q4152" s="236" t="str">
        <f>VLOOKUP(P4152,Table15[[code9]:[ratevalue]],6,FALSE)</f>
        <v>7.74</v>
      </c>
      <c r="R4152" s="236" t="s">
        <v>6513</v>
      </c>
      <c r="S4152" s="236" t="s">
        <v>4761</v>
      </c>
      <c r="T4152" s="236" t="s">
        <v>4762</v>
      </c>
      <c r="U4152" s="236" t="str">
        <f>IF(ISNA(VLOOKUP(T4152,Table15[[code9]:[ratevalue]],6,FALSE)),"",VLOOKUP(T4152,Table15[[code9]:[ratevalue]],6,FALSE))</f>
        <v>7.74</v>
      </c>
      <c r="V4152" s="236" t="s">
        <v>6513</v>
      </c>
      <c r="W4152" s="236" t="s">
        <v>4761</v>
      </c>
    </row>
    <row r="4153" spans="2:23" hidden="1" outlineLevel="2">
      <c r="B4153" s="2" t="s">
        <v>876</v>
      </c>
      <c r="D4153" s="114" t="b">
        <v>1</v>
      </c>
      <c r="E4153" s="114">
        <v>60</v>
      </c>
      <c r="F4153" s="114">
        <v>70</v>
      </c>
      <c r="G4153" s="114"/>
      <c r="H4153" s="114"/>
      <c r="I4153" s="114" t="s">
        <v>4311</v>
      </c>
      <c r="J4153" s="114" t="s">
        <v>4267</v>
      </c>
      <c r="K4153" s="114" t="b">
        <v>0</v>
      </c>
      <c r="L4153" s="114"/>
      <c r="M4153" s="215" t="s">
        <v>8223</v>
      </c>
      <c r="N4153" s="236" t="s">
        <v>6943</v>
      </c>
      <c r="O4153" s="236" t="str">
        <f>VLOOKUP(N4153,Table15[[code9]:[ratevalue]],6,FALSE)</f>
        <v>7.84</v>
      </c>
      <c r="P4153" s="236" t="s">
        <v>6944</v>
      </c>
      <c r="Q4153" s="236" t="str">
        <f>VLOOKUP(P4153,Table15[[code9]:[ratevalue]],6,FALSE)</f>
        <v>7.71</v>
      </c>
      <c r="R4153" s="236" t="s">
        <v>6513</v>
      </c>
      <c r="S4153" s="236" t="s">
        <v>6940</v>
      </c>
      <c r="T4153" s="236" t="s">
        <v>6941</v>
      </c>
      <c r="U4153" s="236" t="str">
        <f>IF(ISNA(VLOOKUP(T4153,Table15[[code9]:[ratevalue]],6,FALSE)),"",VLOOKUP(T4153,Table15[[code9]:[ratevalue]],6,FALSE))</f>
        <v>7.59</v>
      </c>
      <c r="V4153" s="236" t="s">
        <v>6513</v>
      </c>
      <c r="W4153" s="236" t="s">
        <v>6940</v>
      </c>
    </row>
    <row r="4154" spans="2:23" hidden="1" outlineLevel="2">
      <c r="B4154" s="2" t="s">
        <v>876</v>
      </c>
      <c r="D4154" s="114" t="b">
        <v>1</v>
      </c>
      <c r="E4154" s="114">
        <v>60</v>
      </c>
      <c r="F4154" s="114">
        <v>70</v>
      </c>
      <c r="G4154" s="114"/>
      <c r="H4154" s="114"/>
      <c r="I4154" s="114" t="s">
        <v>4246</v>
      </c>
      <c r="J4154" s="114" t="s">
        <v>4267</v>
      </c>
      <c r="K4154" s="114" t="b">
        <v>0</v>
      </c>
      <c r="L4154" s="114">
        <v>1</v>
      </c>
      <c r="M4154" s="215" t="s">
        <v>8226</v>
      </c>
      <c r="N4154" s="236" t="s">
        <v>6864</v>
      </c>
      <c r="O4154" s="236" t="str">
        <f>VLOOKUP(N4154,Table15[[code9]:[ratevalue]],6,FALSE)</f>
        <v>6.24</v>
      </c>
      <c r="P4154" s="236" t="s">
        <v>6865</v>
      </c>
      <c r="Q4154" s="236" t="str">
        <f>VLOOKUP(P4154,Table15[[code9]:[ratevalue]],6,FALSE)</f>
        <v>7.23</v>
      </c>
      <c r="R4154" s="236" t="s">
        <v>6513</v>
      </c>
      <c r="S4154" s="236" t="s">
        <v>6861</v>
      </c>
      <c r="T4154" s="236" t="s">
        <v>6941</v>
      </c>
      <c r="U4154" s="236" t="str">
        <f>IF(ISNA(VLOOKUP(T4154,Table15[[code9]:[ratevalue]],6,FALSE)),"",VLOOKUP(T4154,Table15[[code9]:[ratevalue]],6,FALSE))</f>
        <v>7.59</v>
      </c>
      <c r="V4154" s="236" t="s">
        <v>6513</v>
      </c>
      <c r="W4154" s="236" t="s">
        <v>6940</v>
      </c>
    </row>
    <row r="4155" spans="2:23" hidden="1" outlineLevel="2">
      <c r="B4155" s="2" t="s">
        <v>876</v>
      </c>
      <c r="D4155" s="114" t="b">
        <v>1</v>
      </c>
      <c r="E4155" s="114">
        <v>60</v>
      </c>
      <c r="F4155" s="114">
        <v>70</v>
      </c>
      <c r="G4155" s="114"/>
      <c r="H4155" s="114"/>
      <c r="I4155" s="114" t="s">
        <v>4246</v>
      </c>
      <c r="J4155" s="114" t="s">
        <v>4267</v>
      </c>
      <c r="K4155" s="114" t="b">
        <v>0</v>
      </c>
      <c r="L4155" s="114">
        <v>2</v>
      </c>
      <c r="M4155" s="215" t="s">
        <v>8227</v>
      </c>
      <c r="N4155" s="236" t="s">
        <v>6868</v>
      </c>
      <c r="O4155" s="236" t="str">
        <f>VLOOKUP(N4155,Table15[[code9]:[ratevalue]],6,FALSE)</f>
        <v>6.04</v>
      </c>
      <c r="P4155" s="236" t="s">
        <v>6869</v>
      </c>
      <c r="Q4155" s="236" t="str">
        <f>VLOOKUP(P4155,Table15[[code9]:[ratevalue]],6,FALSE)</f>
        <v>7.28</v>
      </c>
      <c r="R4155" s="236" t="s">
        <v>6513</v>
      </c>
      <c r="S4155" s="236" t="s">
        <v>6861</v>
      </c>
      <c r="T4155" s="236" t="s">
        <v>6941</v>
      </c>
      <c r="U4155" s="236" t="str">
        <f>IF(ISNA(VLOOKUP(T4155,Table15[[code9]:[ratevalue]],6,FALSE)),"",VLOOKUP(T4155,Table15[[code9]:[ratevalue]],6,FALSE))</f>
        <v>7.59</v>
      </c>
      <c r="V4155" s="236" t="s">
        <v>6513</v>
      </c>
      <c r="W4155" s="236" t="s">
        <v>6940</v>
      </c>
    </row>
    <row r="4156" spans="2:23" hidden="1" outlineLevel="2">
      <c r="B4156" s="2" t="s">
        <v>876</v>
      </c>
      <c r="D4156" s="114" t="b">
        <v>1</v>
      </c>
      <c r="E4156" s="114">
        <v>60</v>
      </c>
      <c r="F4156" s="114">
        <v>70</v>
      </c>
      <c r="G4156" s="114"/>
      <c r="H4156" s="114"/>
      <c r="I4156" s="114" t="s">
        <v>4246</v>
      </c>
      <c r="J4156" s="114" t="s">
        <v>4267</v>
      </c>
      <c r="K4156" s="114" t="b">
        <v>0</v>
      </c>
      <c r="L4156" s="114">
        <v>3</v>
      </c>
      <c r="M4156" s="215" t="s">
        <v>8228</v>
      </c>
      <c r="N4156" s="236" t="s">
        <v>6872</v>
      </c>
      <c r="O4156" s="236" t="str">
        <f>VLOOKUP(N4156,Table15[[code9]:[ratevalue]],6,FALSE)</f>
        <v>6.04</v>
      </c>
      <c r="P4156" s="236" t="s">
        <v>6873</v>
      </c>
      <c r="Q4156" s="236" t="str">
        <f>VLOOKUP(P4156,Table15[[code9]:[ratevalue]],6,FALSE)</f>
        <v>7.15</v>
      </c>
      <c r="R4156" s="236" t="s">
        <v>6513</v>
      </c>
      <c r="S4156" s="236" t="s">
        <v>6861</v>
      </c>
      <c r="T4156" s="236" t="s">
        <v>6941</v>
      </c>
      <c r="U4156" s="236" t="str">
        <f>IF(ISNA(VLOOKUP(T4156,Table15[[code9]:[ratevalue]],6,FALSE)),"",VLOOKUP(T4156,Table15[[code9]:[ratevalue]],6,FALSE))</f>
        <v>7.59</v>
      </c>
      <c r="V4156" s="236" t="s">
        <v>6513</v>
      </c>
      <c r="W4156" s="236" t="s">
        <v>6940</v>
      </c>
    </row>
    <row r="4157" spans="2:23" hidden="1" outlineLevel="2">
      <c r="B4157" s="2" t="s">
        <v>876</v>
      </c>
      <c r="D4157" s="114" t="b">
        <v>1</v>
      </c>
      <c r="E4157" s="114">
        <v>60</v>
      </c>
      <c r="F4157" s="114">
        <v>70</v>
      </c>
      <c r="G4157" s="114"/>
      <c r="H4157" s="114"/>
      <c r="I4157" s="114" t="s">
        <v>4246</v>
      </c>
      <c r="J4157" s="114" t="s">
        <v>4267</v>
      </c>
      <c r="K4157" s="114" t="b">
        <v>0</v>
      </c>
      <c r="L4157" s="114">
        <v>4</v>
      </c>
      <c r="M4157" s="215" t="s">
        <v>8476</v>
      </c>
      <c r="N4157" s="236" t="s">
        <v>6876</v>
      </c>
      <c r="O4157" s="236" t="str">
        <f>VLOOKUP(N4157,Table15[[code9]:[ratevalue]],6,FALSE)</f>
        <v>6.09</v>
      </c>
      <c r="P4157" s="236" t="s">
        <v>6877</v>
      </c>
      <c r="Q4157" s="236" t="str">
        <f>VLOOKUP(P4157,Table15[[code9]:[ratevalue]],6,FALSE)</f>
        <v>7.05</v>
      </c>
      <c r="R4157" s="236" t="s">
        <v>6513</v>
      </c>
      <c r="S4157" s="236" t="s">
        <v>6861</v>
      </c>
      <c r="T4157" s="236" t="s">
        <v>6941</v>
      </c>
      <c r="U4157" s="236" t="str">
        <f>IF(ISNA(VLOOKUP(T4157,Table15[[code9]:[ratevalue]],6,FALSE)),"",VLOOKUP(T4157,Table15[[code9]:[ratevalue]],6,FALSE))</f>
        <v>7.59</v>
      </c>
      <c r="V4157" s="236" t="s">
        <v>6513</v>
      </c>
      <c r="W4157" s="236" t="s">
        <v>6940</v>
      </c>
    </row>
    <row r="4158" spans="2:23" hidden="1" outlineLevel="2">
      <c r="B4158" s="2" t="s">
        <v>876</v>
      </c>
      <c r="D4158" s="114" t="b">
        <v>1</v>
      </c>
      <c r="E4158" s="114">
        <v>60</v>
      </c>
      <c r="F4158" s="114">
        <v>70</v>
      </c>
      <c r="G4158" s="114"/>
      <c r="H4158" s="114"/>
      <c r="I4158" s="114" t="s">
        <v>4246</v>
      </c>
      <c r="J4158" s="114" t="s">
        <v>4267</v>
      </c>
      <c r="K4158" s="114" t="b">
        <v>0</v>
      </c>
      <c r="L4158" s="114">
        <v>5</v>
      </c>
      <c r="M4158" s="215" t="s">
        <v>8477</v>
      </c>
      <c r="N4158" s="236" t="s">
        <v>6880</v>
      </c>
      <c r="O4158" s="236" t="str">
        <f>VLOOKUP(N4158,Table15[[code9]:[ratevalue]],6,FALSE)</f>
        <v>6.19</v>
      </c>
      <c r="P4158" s="236" t="s">
        <v>6881</v>
      </c>
      <c r="Q4158" s="236" t="str">
        <f>VLOOKUP(P4158,Table15[[code9]:[ratevalue]],6,FALSE)</f>
        <v>6.99</v>
      </c>
      <c r="R4158" s="236" t="s">
        <v>6513</v>
      </c>
      <c r="S4158" s="236" t="s">
        <v>6861</v>
      </c>
      <c r="T4158" s="236" t="s">
        <v>6941</v>
      </c>
      <c r="U4158" s="236" t="str">
        <f>IF(ISNA(VLOOKUP(T4158,Table15[[code9]:[ratevalue]],6,FALSE)),"",VLOOKUP(T4158,Table15[[code9]:[ratevalue]],6,FALSE))</f>
        <v>7.59</v>
      </c>
      <c r="V4158" s="236" t="s">
        <v>6513</v>
      </c>
      <c r="W4158" s="236" t="s">
        <v>6940</v>
      </c>
    </row>
    <row r="4159" spans="2:23" hidden="1" outlineLevel="2">
      <c r="B4159" s="2" t="s">
        <v>876</v>
      </c>
      <c r="D4159" s="114" t="b">
        <v>1</v>
      </c>
      <c r="E4159" s="114">
        <v>60</v>
      </c>
      <c r="F4159" s="114">
        <v>70</v>
      </c>
      <c r="G4159" s="114"/>
      <c r="H4159" s="114"/>
      <c r="I4159" s="114" t="s">
        <v>4246</v>
      </c>
      <c r="J4159" s="114" t="s">
        <v>4267</v>
      </c>
      <c r="K4159" s="114" t="b">
        <v>0</v>
      </c>
      <c r="L4159" s="114">
        <v>7</v>
      </c>
      <c r="M4159" s="215" t="s">
        <v>8480</v>
      </c>
      <c r="N4159" s="236" t="s">
        <v>6884</v>
      </c>
      <c r="O4159" s="236" t="str">
        <f>VLOOKUP(N4159,Table15[[code9]:[ratevalue]],6,FALSE)</f>
        <v>7.24</v>
      </c>
      <c r="P4159" s="236" t="s">
        <v>6885</v>
      </c>
      <c r="Q4159" s="236" t="str">
        <f>VLOOKUP(P4159,Table15[[code9]:[ratevalue]],6,FALSE)</f>
        <v>7.40</v>
      </c>
      <c r="R4159" s="236" t="s">
        <v>6513</v>
      </c>
      <c r="S4159" s="236" t="s">
        <v>6861</v>
      </c>
      <c r="T4159" s="236" t="s">
        <v>6941</v>
      </c>
      <c r="U4159" s="236" t="str">
        <f>IF(ISNA(VLOOKUP(T4159,Table15[[code9]:[ratevalue]],6,FALSE)),"",VLOOKUP(T4159,Table15[[code9]:[ratevalue]],6,FALSE))</f>
        <v>7.59</v>
      </c>
      <c r="V4159" s="236" t="s">
        <v>6513</v>
      </c>
      <c r="W4159" s="236" t="s">
        <v>6940</v>
      </c>
    </row>
    <row r="4160" spans="2:23" hidden="1" outlineLevel="2">
      <c r="B4160" s="2" t="s">
        <v>876</v>
      </c>
      <c r="D4160" s="114" t="b">
        <v>1</v>
      </c>
      <c r="E4160" s="114">
        <v>60</v>
      </c>
      <c r="F4160" s="114">
        <v>70</v>
      </c>
      <c r="G4160" s="114"/>
      <c r="H4160" s="114"/>
      <c r="I4160" s="114" t="s">
        <v>4246</v>
      </c>
      <c r="J4160" s="114" t="s">
        <v>4267</v>
      </c>
      <c r="K4160" s="114" t="b">
        <v>0</v>
      </c>
      <c r="L4160" s="114">
        <v>10</v>
      </c>
      <c r="M4160" s="215" t="s">
        <v>8481</v>
      </c>
      <c r="N4160" s="236" t="s">
        <v>6888</v>
      </c>
      <c r="O4160" s="236" t="str">
        <f>VLOOKUP(N4160,Table15[[code9]:[ratevalue]],6,FALSE)</f>
        <v>7.24</v>
      </c>
      <c r="P4160" s="236" t="s">
        <v>6889</v>
      </c>
      <c r="Q4160" s="236" t="str">
        <f>VLOOKUP(P4160,Table15[[code9]:[ratevalue]],6,FALSE)</f>
        <v>7.35</v>
      </c>
      <c r="R4160" s="236" t="s">
        <v>6513</v>
      </c>
      <c r="S4160" s="236" t="s">
        <v>6861</v>
      </c>
      <c r="T4160" s="236" t="s">
        <v>6941</v>
      </c>
      <c r="U4160" s="236" t="str">
        <f>IF(ISNA(VLOOKUP(T4160,Table15[[code9]:[ratevalue]],6,FALSE)),"",VLOOKUP(T4160,Table15[[code9]:[ratevalue]],6,FALSE))</f>
        <v>7.59</v>
      </c>
      <c r="V4160" s="236" t="s">
        <v>6513</v>
      </c>
      <c r="W4160" s="236" t="s">
        <v>6940</v>
      </c>
    </row>
    <row r="4161" spans="2:23" hidden="1" outlineLevel="2">
      <c r="B4161" s="2" t="s">
        <v>876</v>
      </c>
      <c r="D4161" s="112" t="b">
        <v>1</v>
      </c>
      <c r="E4161" s="112">
        <v>70</v>
      </c>
      <c r="F4161" s="112">
        <v>80</v>
      </c>
      <c r="G4161" s="112">
        <v>50000</v>
      </c>
      <c r="H4161" s="112"/>
      <c r="I4161" s="112" t="s">
        <v>4317</v>
      </c>
      <c r="J4161" s="112" t="s">
        <v>4267</v>
      </c>
      <c r="K4161" s="112" t="b">
        <v>0</v>
      </c>
      <c r="L4161" s="112"/>
      <c r="M4161" s="147" t="s">
        <v>8222</v>
      </c>
      <c r="N4161" s="112" t="s">
        <v>6707</v>
      </c>
      <c r="O4161" s="236" t="str">
        <f>VLOOKUP(N4161,Table15[[code9]:[ratevalue]],6,FALSE)</f>
        <v>6.94</v>
      </c>
      <c r="P4161" s="112" t="s">
        <v>6708</v>
      </c>
      <c r="Q4161" s="236" t="str">
        <f>VLOOKUP(P4161,Table15[[code9]:[ratevalue]],6,FALSE)</f>
        <v>6.72</v>
      </c>
      <c r="R4161" s="229" t="s">
        <v>6513</v>
      </c>
      <c r="S4161" s="229" t="s">
        <v>4761</v>
      </c>
      <c r="T4161" s="112" t="s">
        <v>6705</v>
      </c>
      <c r="U4161" s="236" t="str">
        <f>IF(ISNA(VLOOKUP(T4161,Table15[[code9]:[ratevalue]],6,FALSE)),"",VLOOKUP(T4161,Table15[[code9]:[ratevalue]],6,FALSE))</f>
        <v>6.54</v>
      </c>
      <c r="V4161" s="229" t="s">
        <v>6513</v>
      </c>
      <c r="W4161" s="229" t="s">
        <v>4761</v>
      </c>
    </row>
    <row r="4162" spans="2:23" hidden="1" outlineLevel="2">
      <c r="B4162" s="2" t="s">
        <v>876</v>
      </c>
      <c r="D4162" s="112" t="b">
        <v>1</v>
      </c>
      <c r="E4162" s="112">
        <v>70</v>
      </c>
      <c r="F4162" s="112">
        <v>80</v>
      </c>
      <c r="G4162" s="112"/>
      <c r="H4162" s="112">
        <v>50000</v>
      </c>
      <c r="I4162" s="112" t="s">
        <v>4317</v>
      </c>
      <c r="J4162" s="112" t="s">
        <v>4267</v>
      </c>
      <c r="K4162" s="112" t="b">
        <v>0</v>
      </c>
      <c r="L4162" s="112"/>
      <c r="M4162" s="147" t="s">
        <v>488</v>
      </c>
      <c r="N4162" s="112" t="s">
        <v>4932</v>
      </c>
      <c r="O4162" s="236" t="str">
        <f>VLOOKUP(N4162,Table15[[code9]:[ratevalue]],6,FALSE)</f>
        <v>7.73</v>
      </c>
      <c r="P4162" s="112" t="s">
        <v>6700</v>
      </c>
      <c r="Q4162" s="236" t="str">
        <f>VLOOKUP(P4162,Table15[[code9]:[ratevalue]],6,FALSE)</f>
        <v>7.74</v>
      </c>
      <c r="R4162" s="229" t="s">
        <v>6513</v>
      </c>
      <c r="S4162" s="229" t="s">
        <v>4761</v>
      </c>
      <c r="T4162" s="112" t="s">
        <v>4762</v>
      </c>
      <c r="U4162" s="236" t="str">
        <f>IF(ISNA(VLOOKUP(T4162,Table15[[code9]:[ratevalue]],6,FALSE)),"",VLOOKUP(T4162,Table15[[code9]:[ratevalue]],6,FALSE))</f>
        <v>7.74</v>
      </c>
      <c r="V4162" s="229" t="s">
        <v>6513</v>
      </c>
      <c r="W4162" s="229" t="s">
        <v>4761</v>
      </c>
    </row>
    <row r="4163" spans="2:23" hidden="1" outlineLevel="2">
      <c r="B4163" s="2" t="s">
        <v>876</v>
      </c>
      <c r="D4163" s="112" t="b">
        <v>1</v>
      </c>
      <c r="E4163" s="112">
        <v>70</v>
      </c>
      <c r="F4163" s="112">
        <v>80</v>
      </c>
      <c r="G4163" s="112"/>
      <c r="H4163" s="112"/>
      <c r="I4163" s="112" t="s">
        <v>4311</v>
      </c>
      <c r="J4163" s="112" t="s">
        <v>4267</v>
      </c>
      <c r="K4163" s="112" t="b">
        <v>0</v>
      </c>
      <c r="L4163" s="112"/>
      <c r="M4163" s="147" t="s">
        <v>8223</v>
      </c>
      <c r="N4163" s="229" t="s">
        <v>6943</v>
      </c>
      <c r="O4163" s="236" t="str">
        <f>VLOOKUP(N4163,Table15[[code9]:[ratevalue]],6,FALSE)</f>
        <v>7.84</v>
      </c>
      <c r="P4163" s="229" t="s">
        <v>6944</v>
      </c>
      <c r="Q4163" s="236" t="str">
        <f>VLOOKUP(P4163,Table15[[code9]:[ratevalue]],6,FALSE)</f>
        <v>7.71</v>
      </c>
      <c r="R4163" s="229" t="s">
        <v>6513</v>
      </c>
      <c r="S4163" s="229" t="s">
        <v>6940</v>
      </c>
      <c r="T4163" s="112" t="s">
        <v>6941</v>
      </c>
      <c r="U4163" s="236" t="str">
        <f>IF(ISNA(VLOOKUP(T4163,Table15[[code9]:[ratevalue]],6,FALSE)),"",VLOOKUP(T4163,Table15[[code9]:[ratevalue]],6,FALSE))</f>
        <v>7.59</v>
      </c>
      <c r="V4163" s="229" t="s">
        <v>6513</v>
      </c>
      <c r="W4163" s="229" t="s">
        <v>6940</v>
      </c>
    </row>
    <row r="4164" spans="2:23" hidden="1" outlineLevel="2">
      <c r="B4164" s="2" t="s">
        <v>876</v>
      </c>
      <c r="D4164" s="112" t="b">
        <v>1</v>
      </c>
      <c r="E4164" s="112">
        <v>70</v>
      </c>
      <c r="F4164" s="112">
        <v>80</v>
      </c>
      <c r="G4164" s="112"/>
      <c r="H4164" s="112"/>
      <c r="I4164" s="112" t="s">
        <v>4246</v>
      </c>
      <c r="J4164" s="112" t="s">
        <v>4267</v>
      </c>
      <c r="K4164" s="112" t="b">
        <v>0</v>
      </c>
      <c r="L4164" s="112">
        <v>1</v>
      </c>
      <c r="M4164" s="147" t="s">
        <v>8226</v>
      </c>
      <c r="N4164" s="229" t="s">
        <v>6864</v>
      </c>
      <c r="O4164" s="236" t="str">
        <f>VLOOKUP(N4164,Table15[[code9]:[ratevalue]],6,FALSE)</f>
        <v>6.24</v>
      </c>
      <c r="P4164" s="229" t="s">
        <v>6865</v>
      </c>
      <c r="Q4164" s="236" t="str">
        <f>VLOOKUP(P4164,Table15[[code9]:[ratevalue]],6,FALSE)</f>
        <v>7.23</v>
      </c>
      <c r="R4164" s="229" t="s">
        <v>6513</v>
      </c>
      <c r="S4164" s="229" t="s">
        <v>6861</v>
      </c>
      <c r="T4164" s="112" t="s">
        <v>6941</v>
      </c>
      <c r="U4164" s="236" t="str">
        <f>IF(ISNA(VLOOKUP(T4164,Table15[[code9]:[ratevalue]],6,FALSE)),"",VLOOKUP(T4164,Table15[[code9]:[ratevalue]],6,FALSE))</f>
        <v>7.59</v>
      </c>
      <c r="V4164" s="229" t="s">
        <v>6513</v>
      </c>
      <c r="W4164" s="229" t="s">
        <v>6940</v>
      </c>
    </row>
    <row r="4165" spans="2:23" hidden="1" outlineLevel="2">
      <c r="B4165" s="2" t="s">
        <v>876</v>
      </c>
      <c r="D4165" s="112" t="b">
        <v>1</v>
      </c>
      <c r="E4165" s="112">
        <v>70</v>
      </c>
      <c r="F4165" s="112">
        <v>80</v>
      </c>
      <c r="G4165" s="112"/>
      <c r="H4165" s="112"/>
      <c r="I4165" s="112" t="s">
        <v>4246</v>
      </c>
      <c r="J4165" s="112" t="s">
        <v>4267</v>
      </c>
      <c r="K4165" s="112" t="b">
        <v>0</v>
      </c>
      <c r="L4165" s="112">
        <v>2</v>
      </c>
      <c r="M4165" s="147" t="s">
        <v>8227</v>
      </c>
      <c r="N4165" s="229" t="s">
        <v>6868</v>
      </c>
      <c r="O4165" s="236" t="str">
        <f>VLOOKUP(N4165,Table15[[code9]:[ratevalue]],6,FALSE)</f>
        <v>6.04</v>
      </c>
      <c r="P4165" s="229" t="s">
        <v>6869</v>
      </c>
      <c r="Q4165" s="236" t="str">
        <f>VLOOKUP(P4165,Table15[[code9]:[ratevalue]],6,FALSE)</f>
        <v>7.28</v>
      </c>
      <c r="R4165" s="229" t="s">
        <v>6513</v>
      </c>
      <c r="S4165" s="229" t="s">
        <v>6861</v>
      </c>
      <c r="T4165" s="112" t="s">
        <v>6941</v>
      </c>
      <c r="U4165" s="236" t="str">
        <f>IF(ISNA(VLOOKUP(T4165,Table15[[code9]:[ratevalue]],6,FALSE)),"",VLOOKUP(T4165,Table15[[code9]:[ratevalue]],6,FALSE))</f>
        <v>7.59</v>
      </c>
      <c r="V4165" s="229" t="s">
        <v>6513</v>
      </c>
      <c r="W4165" s="229" t="s">
        <v>6940</v>
      </c>
    </row>
    <row r="4166" spans="2:23" hidden="1" outlineLevel="2">
      <c r="B4166" s="2" t="s">
        <v>876</v>
      </c>
      <c r="D4166" s="112" t="b">
        <v>1</v>
      </c>
      <c r="E4166" s="112">
        <v>70</v>
      </c>
      <c r="F4166" s="112">
        <v>80</v>
      </c>
      <c r="G4166" s="112"/>
      <c r="H4166" s="112"/>
      <c r="I4166" s="112" t="s">
        <v>4246</v>
      </c>
      <c r="J4166" s="112" t="s">
        <v>4267</v>
      </c>
      <c r="K4166" s="112" t="b">
        <v>0</v>
      </c>
      <c r="L4166" s="112">
        <v>3</v>
      </c>
      <c r="M4166" s="147" t="s">
        <v>8228</v>
      </c>
      <c r="N4166" s="229" t="s">
        <v>6872</v>
      </c>
      <c r="O4166" s="236" t="str">
        <f>VLOOKUP(N4166,Table15[[code9]:[ratevalue]],6,FALSE)</f>
        <v>6.04</v>
      </c>
      <c r="P4166" s="229" t="s">
        <v>6873</v>
      </c>
      <c r="Q4166" s="236" t="str">
        <f>VLOOKUP(P4166,Table15[[code9]:[ratevalue]],6,FALSE)</f>
        <v>7.15</v>
      </c>
      <c r="R4166" s="229" t="s">
        <v>6513</v>
      </c>
      <c r="S4166" s="229" t="s">
        <v>6861</v>
      </c>
      <c r="T4166" s="112" t="s">
        <v>6941</v>
      </c>
      <c r="U4166" s="236" t="str">
        <f>IF(ISNA(VLOOKUP(T4166,Table15[[code9]:[ratevalue]],6,FALSE)),"",VLOOKUP(T4166,Table15[[code9]:[ratevalue]],6,FALSE))</f>
        <v>7.59</v>
      </c>
      <c r="V4166" s="229" t="s">
        <v>6513</v>
      </c>
      <c r="W4166" s="229" t="s">
        <v>6940</v>
      </c>
    </row>
    <row r="4167" spans="2:23" hidden="1" outlineLevel="2">
      <c r="B4167" s="2" t="s">
        <v>876</v>
      </c>
      <c r="D4167" s="112" t="b">
        <v>1</v>
      </c>
      <c r="E4167" s="112">
        <v>70</v>
      </c>
      <c r="F4167" s="112">
        <v>80</v>
      </c>
      <c r="G4167" s="112"/>
      <c r="H4167" s="112"/>
      <c r="I4167" s="112" t="s">
        <v>4246</v>
      </c>
      <c r="J4167" s="112" t="s">
        <v>4267</v>
      </c>
      <c r="K4167" s="112" t="b">
        <v>0</v>
      </c>
      <c r="L4167" s="112">
        <v>4</v>
      </c>
      <c r="M4167" s="147" t="s">
        <v>8476</v>
      </c>
      <c r="N4167" s="229" t="s">
        <v>6876</v>
      </c>
      <c r="O4167" s="236" t="str">
        <f>VLOOKUP(N4167,Table15[[code9]:[ratevalue]],6,FALSE)</f>
        <v>6.09</v>
      </c>
      <c r="P4167" s="229" t="s">
        <v>6877</v>
      </c>
      <c r="Q4167" s="236" t="str">
        <f>VLOOKUP(P4167,Table15[[code9]:[ratevalue]],6,FALSE)</f>
        <v>7.05</v>
      </c>
      <c r="R4167" s="229" t="s">
        <v>6513</v>
      </c>
      <c r="S4167" s="229" t="s">
        <v>6861</v>
      </c>
      <c r="T4167" s="112" t="s">
        <v>6941</v>
      </c>
      <c r="U4167" s="236" t="str">
        <f>IF(ISNA(VLOOKUP(T4167,Table15[[code9]:[ratevalue]],6,FALSE)),"",VLOOKUP(T4167,Table15[[code9]:[ratevalue]],6,FALSE))</f>
        <v>7.59</v>
      </c>
      <c r="V4167" s="229" t="s">
        <v>6513</v>
      </c>
      <c r="W4167" s="229" t="s">
        <v>6940</v>
      </c>
    </row>
    <row r="4168" spans="2:23" hidden="1" outlineLevel="2">
      <c r="B4168" s="2" t="s">
        <v>876</v>
      </c>
      <c r="D4168" s="112" t="b">
        <v>1</v>
      </c>
      <c r="E4168" s="112">
        <v>70</v>
      </c>
      <c r="F4168" s="112">
        <v>80</v>
      </c>
      <c r="G4168" s="112"/>
      <c r="H4168" s="112"/>
      <c r="I4168" s="112" t="s">
        <v>4246</v>
      </c>
      <c r="J4168" s="112" t="s">
        <v>4267</v>
      </c>
      <c r="K4168" s="112" t="b">
        <v>0</v>
      </c>
      <c r="L4168" s="112">
        <v>5</v>
      </c>
      <c r="M4168" s="147" t="s">
        <v>8477</v>
      </c>
      <c r="N4168" s="229" t="s">
        <v>6880</v>
      </c>
      <c r="O4168" s="236" t="str">
        <f>VLOOKUP(N4168,Table15[[code9]:[ratevalue]],6,FALSE)</f>
        <v>6.19</v>
      </c>
      <c r="P4168" s="229" t="s">
        <v>6881</v>
      </c>
      <c r="Q4168" s="236" t="str">
        <f>VLOOKUP(P4168,Table15[[code9]:[ratevalue]],6,FALSE)</f>
        <v>6.99</v>
      </c>
      <c r="R4168" s="229" t="s">
        <v>6513</v>
      </c>
      <c r="S4168" s="229" t="s">
        <v>6861</v>
      </c>
      <c r="T4168" s="112" t="s">
        <v>6941</v>
      </c>
      <c r="U4168" s="236" t="str">
        <f>IF(ISNA(VLOOKUP(T4168,Table15[[code9]:[ratevalue]],6,FALSE)),"",VLOOKUP(T4168,Table15[[code9]:[ratevalue]],6,FALSE))</f>
        <v>7.59</v>
      </c>
      <c r="V4168" s="229" t="s">
        <v>6513</v>
      </c>
      <c r="W4168" s="229" t="s">
        <v>6940</v>
      </c>
    </row>
    <row r="4169" spans="2:23" hidden="1" outlineLevel="2">
      <c r="B4169" s="2" t="s">
        <v>876</v>
      </c>
      <c r="D4169" s="112" t="b">
        <v>1</v>
      </c>
      <c r="E4169" s="112">
        <v>70</v>
      </c>
      <c r="F4169" s="112">
        <v>80</v>
      </c>
      <c r="G4169" s="112"/>
      <c r="H4169" s="112"/>
      <c r="I4169" s="112" t="s">
        <v>4246</v>
      </c>
      <c r="J4169" s="112" t="s">
        <v>4267</v>
      </c>
      <c r="K4169" s="112" t="b">
        <v>0</v>
      </c>
      <c r="L4169" s="112">
        <v>7</v>
      </c>
      <c r="M4169" s="147" t="s">
        <v>8480</v>
      </c>
      <c r="N4169" s="229" t="s">
        <v>6884</v>
      </c>
      <c r="O4169" s="236" t="str">
        <f>VLOOKUP(N4169,Table15[[code9]:[ratevalue]],6,FALSE)</f>
        <v>7.24</v>
      </c>
      <c r="P4169" s="229" t="s">
        <v>6885</v>
      </c>
      <c r="Q4169" s="236" t="str">
        <f>VLOOKUP(P4169,Table15[[code9]:[ratevalue]],6,FALSE)</f>
        <v>7.40</v>
      </c>
      <c r="R4169" s="229" t="s">
        <v>6513</v>
      </c>
      <c r="S4169" s="229" t="s">
        <v>6861</v>
      </c>
      <c r="T4169" s="112" t="s">
        <v>6941</v>
      </c>
      <c r="U4169" s="236" t="str">
        <f>IF(ISNA(VLOOKUP(T4169,Table15[[code9]:[ratevalue]],6,FALSE)),"",VLOOKUP(T4169,Table15[[code9]:[ratevalue]],6,FALSE))</f>
        <v>7.59</v>
      </c>
      <c r="V4169" s="229" t="s">
        <v>6513</v>
      </c>
      <c r="W4169" s="229" t="s">
        <v>6940</v>
      </c>
    </row>
    <row r="4170" spans="2:23" hidden="1" outlineLevel="2">
      <c r="B4170" s="2" t="s">
        <v>876</v>
      </c>
      <c r="D4170" s="112" t="b">
        <v>1</v>
      </c>
      <c r="E4170" s="112">
        <v>70</v>
      </c>
      <c r="F4170" s="112">
        <v>80</v>
      </c>
      <c r="G4170" s="112"/>
      <c r="H4170" s="112"/>
      <c r="I4170" s="112" t="s">
        <v>4246</v>
      </c>
      <c r="J4170" s="112" t="s">
        <v>4267</v>
      </c>
      <c r="K4170" s="112" t="b">
        <v>0</v>
      </c>
      <c r="L4170" s="112">
        <v>10</v>
      </c>
      <c r="M4170" s="147" t="s">
        <v>8481</v>
      </c>
      <c r="N4170" s="229" t="s">
        <v>6888</v>
      </c>
      <c r="O4170" s="236" t="str">
        <f>VLOOKUP(N4170,Table15[[code9]:[ratevalue]],6,FALSE)</f>
        <v>7.24</v>
      </c>
      <c r="P4170" s="229" t="s">
        <v>6889</v>
      </c>
      <c r="Q4170" s="236" t="str">
        <f>VLOOKUP(P4170,Table15[[code9]:[ratevalue]],6,FALSE)</f>
        <v>7.35</v>
      </c>
      <c r="R4170" s="229" t="s">
        <v>6513</v>
      </c>
      <c r="S4170" s="229" t="s">
        <v>6861</v>
      </c>
      <c r="T4170" s="112" t="s">
        <v>6941</v>
      </c>
      <c r="U4170" s="236" t="str">
        <f>IF(ISNA(VLOOKUP(T4170,Table15[[code9]:[ratevalue]],6,FALSE)),"",VLOOKUP(T4170,Table15[[code9]:[ratevalue]],6,FALSE))</f>
        <v>7.59</v>
      </c>
      <c r="V4170" s="229" t="s">
        <v>6513</v>
      </c>
      <c r="W4170" s="229" t="s">
        <v>6940</v>
      </c>
    </row>
    <row r="4171" spans="2:23" hidden="1" outlineLevel="2">
      <c r="B4171" s="2" t="s">
        <v>876</v>
      </c>
      <c r="D4171" s="114" t="b">
        <v>1</v>
      </c>
      <c r="E4171" s="114">
        <v>80</v>
      </c>
      <c r="F4171" s="114">
        <v>90</v>
      </c>
      <c r="G4171" s="114">
        <v>50000</v>
      </c>
      <c r="H4171" s="114"/>
      <c r="I4171" s="114" t="s">
        <v>4317</v>
      </c>
      <c r="J4171" s="114" t="s">
        <v>4267</v>
      </c>
      <c r="K4171" s="114" t="b">
        <v>0</v>
      </c>
      <c r="L4171" s="114"/>
      <c r="M4171" s="215" t="s">
        <v>8220</v>
      </c>
      <c r="N4171" s="236" t="s">
        <v>6703</v>
      </c>
      <c r="O4171" s="236" t="str">
        <f>VLOOKUP(N4171,Table15[[code9]:[ratevalue]],6,FALSE)</f>
        <v>7.54</v>
      </c>
      <c r="P4171" s="236" t="s">
        <v>6704</v>
      </c>
      <c r="Q4171" s="236" t="str">
        <f>VLOOKUP(P4171,Table15[[code9]:[ratevalue]],6,FALSE)</f>
        <v>7.38</v>
      </c>
      <c r="R4171" s="236" t="s">
        <v>6513</v>
      </c>
      <c r="S4171" s="236" t="s">
        <v>4761</v>
      </c>
      <c r="T4171" s="236" t="s">
        <v>6701</v>
      </c>
      <c r="U4171" s="236" t="str">
        <f>IF(ISNA(VLOOKUP(T4171,Table15[[code9]:[ratevalue]],6,FALSE)),"",VLOOKUP(T4171,Table15[[code9]:[ratevalue]],6,FALSE))</f>
        <v>7.24</v>
      </c>
      <c r="V4171" s="236" t="s">
        <v>6513</v>
      </c>
      <c r="W4171" s="236" t="s">
        <v>4761</v>
      </c>
    </row>
    <row r="4172" spans="2:23" hidden="1" outlineLevel="2">
      <c r="B4172" s="2" t="s">
        <v>876</v>
      </c>
      <c r="D4172" s="114" t="b">
        <v>1</v>
      </c>
      <c r="E4172" s="114">
        <v>80</v>
      </c>
      <c r="F4172" s="114">
        <v>90</v>
      </c>
      <c r="G4172" s="114"/>
      <c r="H4172" s="114">
        <v>50000</v>
      </c>
      <c r="I4172" s="114" t="s">
        <v>4317</v>
      </c>
      <c r="J4172" s="114" t="s">
        <v>4267</v>
      </c>
      <c r="K4172" s="114" t="b">
        <v>0</v>
      </c>
      <c r="L4172" s="114"/>
      <c r="M4172" s="215" t="s">
        <v>488</v>
      </c>
      <c r="N4172" s="236" t="s">
        <v>4932</v>
      </c>
      <c r="O4172" s="236" t="str">
        <f>VLOOKUP(N4172,Table15[[code9]:[ratevalue]],6,FALSE)</f>
        <v>7.73</v>
      </c>
      <c r="P4172" s="236" t="s">
        <v>6700</v>
      </c>
      <c r="Q4172" s="236" t="str">
        <f>VLOOKUP(P4172,Table15[[code9]:[ratevalue]],6,FALSE)</f>
        <v>7.74</v>
      </c>
      <c r="R4172" s="236" t="s">
        <v>6513</v>
      </c>
      <c r="S4172" s="236" t="s">
        <v>4761</v>
      </c>
      <c r="T4172" s="236" t="s">
        <v>4762</v>
      </c>
      <c r="U4172" s="236" t="str">
        <f>IF(ISNA(VLOOKUP(T4172,Table15[[code9]:[ratevalue]],6,FALSE)),"",VLOOKUP(T4172,Table15[[code9]:[ratevalue]],6,FALSE))</f>
        <v>7.74</v>
      </c>
      <c r="V4172" s="236" t="s">
        <v>6513</v>
      </c>
      <c r="W4172" s="236" t="s">
        <v>4761</v>
      </c>
    </row>
    <row r="4173" spans="2:23" hidden="1" outlineLevel="2">
      <c r="B4173" s="2" t="s">
        <v>876</v>
      </c>
      <c r="D4173" s="114" t="b">
        <v>1</v>
      </c>
      <c r="E4173" s="114">
        <v>80</v>
      </c>
      <c r="F4173" s="114">
        <v>90</v>
      </c>
      <c r="G4173" s="114"/>
      <c r="H4173" s="114"/>
      <c r="I4173" s="114" t="s">
        <v>4311</v>
      </c>
      <c r="J4173" s="114" t="s">
        <v>4267</v>
      </c>
      <c r="K4173" s="114" t="b">
        <v>0</v>
      </c>
      <c r="L4173" s="114"/>
      <c r="M4173" s="215" t="s">
        <v>8218</v>
      </c>
      <c r="N4173" s="236" t="s">
        <v>6947</v>
      </c>
      <c r="O4173" s="236" t="str">
        <f>VLOOKUP(N4173,Table15[[code9]:[ratevalue]],6,FALSE)</f>
        <v>8.04</v>
      </c>
      <c r="P4173" s="236" t="s">
        <v>6948</v>
      </c>
      <c r="Q4173" s="236" t="str">
        <f>VLOOKUP(P4173,Table15[[code9]:[ratevalue]],6,FALSE)</f>
        <v>7.91</v>
      </c>
      <c r="R4173" s="236" t="s">
        <v>6513</v>
      </c>
      <c r="S4173" s="236" t="s">
        <v>6940</v>
      </c>
      <c r="T4173" s="236" t="s">
        <v>6945</v>
      </c>
      <c r="U4173" s="236" t="str">
        <f>IF(ISNA(VLOOKUP(T4173,Table15[[code9]:[ratevalue]],6,FALSE)),"",VLOOKUP(T4173,Table15[[code9]:[ratevalue]],6,FALSE))</f>
        <v>7.79</v>
      </c>
      <c r="V4173" s="236" t="s">
        <v>6513</v>
      </c>
      <c r="W4173" s="236" t="s">
        <v>6940</v>
      </c>
    </row>
    <row r="4174" spans="2:23" hidden="1" outlineLevel="2">
      <c r="B4174" s="2" t="s">
        <v>876</v>
      </c>
      <c r="D4174" s="114" t="b">
        <v>1</v>
      </c>
      <c r="E4174" s="114">
        <v>80</v>
      </c>
      <c r="F4174" s="114">
        <v>90</v>
      </c>
      <c r="G4174" s="114"/>
      <c r="H4174" s="114"/>
      <c r="I4174" s="114" t="s">
        <v>4246</v>
      </c>
      <c r="J4174" s="114" t="s">
        <v>4267</v>
      </c>
      <c r="K4174" s="114" t="b">
        <v>0</v>
      </c>
      <c r="L4174" s="114">
        <v>1</v>
      </c>
      <c r="M4174" s="215" t="s">
        <v>4771</v>
      </c>
      <c r="N4174" s="236" t="s">
        <v>6835</v>
      </c>
      <c r="O4174" s="236" t="str">
        <f>VLOOKUP(N4174,Table15[[code9]:[ratevalue]],6,FALSE)</f>
        <v>6.69</v>
      </c>
      <c r="P4174" s="236" t="s">
        <v>6836</v>
      </c>
      <c r="Q4174" s="236" t="str">
        <f>VLOOKUP(P4174,Table15[[code9]:[ratevalue]],6,FALSE)</f>
        <v>7.45</v>
      </c>
      <c r="R4174" s="236" t="s">
        <v>6513</v>
      </c>
      <c r="S4174" s="236" t="s">
        <v>6832</v>
      </c>
      <c r="T4174" s="236" t="s">
        <v>6945</v>
      </c>
      <c r="U4174" s="236" t="str">
        <f>IF(ISNA(VLOOKUP(T4174,Table15[[code9]:[ratevalue]],6,FALSE)),"",VLOOKUP(T4174,Table15[[code9]:[ratevalue]],6,FALSE))</f>
        <v>7.79</v>
      </c>
      <c r="V4174" s="236" t="s">
        <v>6513</v>
      </c>
      <c r="W4174" s="236" t="s">
        <v>6940</v>
      </c>
    </row>
    <row r="4175" spans="2:23" hidden="1" outlineLevel="2">
      <c r="B4175" s="2" t="s">
        <v>876</v>
      </c>
      <c r="D4175" s="114" t="b">
        <v>1</v>
      </c>
      <c r="E4175" s="114">
        <v>80</v>
      </c>
      <c r="F4175" s="114">
        <v>90</v>
      </c>
      <c r="G4175" s="114"/>
      <c r="H4175" s="114"/>
      <c r="I4175" s="114" t="s">
        <v>4246</v>
      </c>
      <c r="J4175" s="114" t="s">
        <v>4267</v>
      </c>
      <c r="K4175" s="114" t="b">
        <v>0</v>
      </c>
      <c r="L4175" s="114">
        <v>2</v>
      </c>
      <c r="M4175" s="215" t="s">
        <v>8224</v>
      </c>
      <c r="N4175" s="236" t="s">
        <v>6839</v>
      </c>
      <c r="O4175" s="236" t="str">
        <f>VLOOKUP(N4175,Table15[[code9]:[ratevalue]],6,FALSE)</f>
        <v>6.49</v>
      </c>
      <c r="P4175" s="236" t="s">
        <v>6840</v>
      </c>
      <c r="Q4175" s="236" t="str">
        <f>VLOOKUP(P4175,Table15[[code9]:[ratevalue]],6,FALSE)</f>
        <v>7.53</v>
      </c>
      <c r="R4175" s="236" t="s">
        <v>6513</v>
      </c>
      <c r="S4175" s="236" t="s">
        <v>6832</v>
      </c>
      <c r="T4175" s="236" t="s">
        <v>6945</v>
      </c>
      <c r="U4175" s="236" t="str">
        <f>IF(ISNA(VLOOKUP(T4175,Table15[[code9]:[ratevalue]],6,FALSE)),"",VLOOKUP(T4175,Table15[[code9]:[ratevalue]],6,FALSE))</f>
        <v>7.79</v>
      </c>
      <c r="V4175" s="236" t="s">
        <v>6513</v>
      </c>
      <c r="W4175" s="236" t="s">
        <v>6940</v>
      </c>
    </row>
    <row r="4176" spans="2:23" hidden="1" outlineLevel="2">
      <c r="B4176" s="2" t="s">
        <v>876</v>
      </c>
      <c r="D4176" s="114" t="b">
        <v>1</v>
      </c>
      <c r="E4176" s="114">
        <v>80</v>
      </c>
      <c r="F4176" s="114">
        <v>90</v>
      </c>
      <c r="G4176" s="114"/>
      <c r="H4176" s="114"/>
      <c r="I4176" s="114" t="s">
        <v>4246</v>
      </c>
      <c r="J4176" s="114" t="s">
        <v>4267</v>
      </c>
      <c r="K4176" s="114" t="b">
        <v>0</v>
      </c>
      <c r="L4176" s="114">
        <v>3</v>
      </c>
      <c r="M4176" s="215" t="s">
        <v>8225</v>
      </c>
      <c r="N4176" s="236" t="s">
        <v>6843</v>
      </c>
      <c r="O4176" s="236" t="str">
        <f>VLOOKUP(N4176,Table15[[code9]:[ratevalue]],6,FALSE)</f>
        <v>6.49</v>
      </c>
      <c r="P4176" s="236" t="s">
        <v>6844</v>
      </c>
      <c r="Q4176" s="236" t="str">
        <f>VLOOKUP(P4176,Table15[[code9]:[ratevalue]],6,FALSE)</f>
        <v>7.42</v>
      </c>
      <c r="R4176" s="236" t="s">
        <v>6513</v>
      </c>
      <c r="S4176" s="236" t="s">
        <v>6832</v>
      </c>
      <c r="T4176" s="236" t="s">
        <v>6945</v>
      </c>
      <c r="U4176" s="236" t="str">
        <f>IF(ISNA(VLOOKUP(T4176,Table15[[code9]:[ratevalue]],6,FALSE)),"",VLOOKUP(T4176,Table15[[code9]:[ratevalue]],6,FALSE))</f>
        <v>7.79</v>
      </c>
      <c r="V4176" s="236" t="s">
        <v>6513</v>
      </c>
      <c r="W4176" s="236" t="s">
        <v>6940</v>
      </c>
    </row>
    <row r="4177" spans="2:23" hidden="1" outlineLevel="2">
      <c r="B4177" s="2" t="s">
        <v>876</v>
      </c>
      <c r="D4177" s="114" t="b">
        <v>1</v>
      </c>
      <c r="E4177" s="114">
        <v>80</v>
      </c>
      <c r="F4177" s="114">
        <v>90</v>
      </c>
      <c r="G4177" s="114"/>
      <c r="H4177" s="114"/>
      <c r="I4177" s="114" t="s">
        <v>4246</v>
      </c>
      <c r="J4177" s="114" t="s">
        <v>4267</v>
      </c>
      <c r="K4177" s="114" t="b">
        <v>0</v>
      </c>
      <c r="L4177" s="114">
        <v>4</v>
      </c>
      <c r="M4177" s="215" t="s">
        <v>8478</v>
      </c>
      <c r="N4177" s="236" t="s">
        <v>6847</v>
      </c>
      <c r="O4177" s="236" t="str">
        <f>VLOOKUP(N4177,Table15[[code9]:[ratevalue]],6,FALSE)</f>
        <v>6.54</v>
      </c>
      <c r="P4177" s="236" t="s">
        <v>6848</v>
      </c>
      <c r="Q4177" s="236" t="str">
        <f>VLOOKUP(P4177,Table15[[code9]:[ratevalue]],6,FALSE)</f>
        <v>7.33</v>
      </c>
      <c r="R4177" s="236" t="s">
        <v>6513</v>
      </c>
      <c r="S4177" s="236" t="s">
        <v>6832</v>
      </c>
      <c r="T4177" s="236" t="s">
        <v>6945</v>
      </c>
      <c r="U4177" s="236" t="str">
        <f>IF(ISNA(VLOOKUP(T4177,Table15[[code9]:[ratevalue]],6,FALSE)),"",VLOOKUP(T4177,Table15[[code9]:[ratevalue]],6,FALSE))</f>
        <v>7.79</v>
      </c>
      <c r="V4177" s="236" t="s">
        <v>6513</v>
      </c>
      <c r="W4177" s="236" t="s">
        <v>6940</v>
      </c>
    </row>
    <row r="4178" spans="2:23" hidden="1" outlineLevel="2">
      <c r="B4178" s="2" t="s">
        <v>876</v>
      </c>
      <c r="D4178" s="114" t="b">
        <v>1</v>
      </c>
      <c r="E4178" s="114">
        <v>80</v>
      </c>
      <c r="F4178" s="114">
        <v>90</v>
      </c>
      <c r="G4178" s="114"/>
      <c r="H4178" s="114"/>
      <c r="I4178" s="114" t="s">
        <v>4246</v>
      </c>
      <c r="J4178" s="114" t="s">
        <v>4267</v>
      </c>
      <c r="K4178" s="114" t="b">
        <v>0</v>
      </c>
      <c r="L4178" s="114">
        <v>5</v>
      </c>
      <c r="M4178" s="215" t="s">
        <v>8479</v>
      </c>
      <c r="N4178" s="236" t="s">
        <v>6851</v>
      </c>
      <c r="O4178" s="236" t="str">
        <f>VLOOKUP(N4178,Table15[[code9]:[ratevalue]],6,FALSE)</f>
        <v>6.64</v>
      </c>
      <c r="P4178" s="236" t="s">
        <v>6852</v>
      </c>
      <c r="Q4178" s="236" t="str">
        <f>VLOOKUP(P4178,Table15[[code9]:[ratevalue]],6,FALSE)</f>
        <v>7.29</v>
      </c>
      <c r="R4178" s="236" t="s">
        <v>6513</v>
      </c>
      <c r="S4178" s="236" t="s">
        <v>6832</v>
      </c>
      <c r="T4178" s="236" t="s">
        <v>6945</v>
      </c>
      <c r="U4178" s="236" t="str">
        <f>IF(ISNA(VLOOKUP(T4178,Table15[[code9]:[ratevalue]],6,FALSE)),"",VLOOKUP(T4178,Table15[[code9]:[ratevalue]],6,FALSE))</f>
        <v>7.79</v>
      </c>
      <c r="V4178" s="236" t="s">
        <v>6513</v>
      </c>
      <c r="W4178" s="236" t="s">
        <v>6940</v>
      </c>
    </row>
    <row r="4179" spans="2:23" hidden="1" outlineLevel="2">
      <c r="B4179" s="2" t="s">
        <v>876</v>
      </c>
      <c r="D4179" s="114" t="b">
        <v>1</v>
      </c>
      <c r="E4179" s="114">
        <v>80</v>
      </c>
      <c r="F4179" s="114">
        <v>90</v>
      </c>
      <c r="G4179" s="114"/>
      <c r="H4179" s="114"/>
      <c r="I4179" s="114" t="s">
        <v>4246</v>
      </c>
      <c r="J4179" s="114" t="s">
        <v>4267</v>
      </c>
      <c r="K4179" s="114" t="b">
        <v>0</v>
      </c>
      <c r="L4179" s="114">
        <v>7</v>
      </c>
      <c r="M4179" s="215" t="s">
        <v>8482</v>
      </c>
      <c r="N4179" s="236" t="s">
        <v>6855</v>
      </c>
      <c r="O4179" s="236" t="str">
        <f>VLOOKUP(N4179,Table15[[code9]:[ratevalue]],6,FALSE)</f>
        <v>7.69</v>
      </c>
      <c r="P4179" s="236" t="s">
        <v>6856</v>
      </c>
      <c r="Q4179" s="236" t="str">
        <f>VLOOKUP(P4179,Table15[[code9]:[ratevalue]],6,FALSE)</f>
        <v>7.74</v>
      </c>
      <c r="R4179" s="236" t="s">
        <v>6513</v>
      </c>
      <c r="S4179" s="236" t="s">
        <v>6832</v>
      </c>
      <c r="T4179" s="236" t="s">
        <v>6945</v>
      </c>
      <c r="U4179" s="236" t="str">
        <f>IF(ISNA(VLOOKUP(T4179,Table15[[code9]:[ratevalue]],6,FALSE)),"",VLOOKUP(T4179,Table15[[code9]:[ratevalue]],6,FALSE))</f>
        <v>7.79</v>
      </c>
      <c r="V4179" s="236" t="s">
        <v>6513</v>
      </c>
      <c r="W4179" s="236" t="s">
        <v>6940</v>
      </c>
    </row>
    <row r="4180" spans="2:23" hidden="1" outlineLevel="2">
      <c r="B4180" s="2" t="s">
        <v>876</v>
      </c>
      <c r="D4180" s="114" t="b">
        <v>1</v>
      </c>
      <c r="E4180" s="114">
        <v>80</v>
      </c>
      <c r="F4180" s="114">
        <v>90</v>
      </c>
      <c r="G4180" s="114"/>
      <c r="H4180" s="114"/>
      <c r="I4180" s="114" t="s">
        <v>4246</v>
      </c>
      <c r="J4180" s="114" t="s">
        <v>4267</v>
      </c>
      <c r="K4180" s="114" t="b">
        <v>0</v>
      </c>
      <c r="L4180" s="114">
        <v>10</v>
      </c>
      <c r="M4180" s="215" t="s">
        <v>8483</v>
      </c>
      <c r="N4180" s="236" t="s">
        <v>6859</v>
      </c>
      <c r="O4180" s="236" t="str">
        <f>VLOOKUP(N4180,Table15[[code9]:[ratevalue]],6,FALSE)</f>
        <v>7.69</v>
      </c>
      <c r="P4180" s="236" t="s">
        <v>6860</v>
      </c>
      <c r="Q4180" s="236" t="str">
        <f>VLOOKUP(P4180,Table15[[code9]:[ratevalue]],6,FALSE)</f>
        <v>7.72</v>
      </c>
      <c r="R4180" s="236" t="s">
        <v>6513</v>
      </c>
      <c r="S4180" s="236" t="s">
        <v>6832</v>
      </c>
      <c r="T4180" s="236" t="s">
        <v>6945</v>
      </c>
      <c r="U4180" s="236" t="str">
        <f>IF(ISNA(VLOOKUP(T4180,Table15[[code9]:[ratevalue]],6,FALSE)),"",VLOOKUP(T4180,Table15[[code9]:[ratevalue]],6,FALSE))</f>
        <v>7.79</v>
      </c>
      <c r="V4180" s="236" t="s">
        <v>6513</v>
      </c>
      <c r="W4180" s="236" t="s">
        <v>6940</v>
      </c>
    </row>
    <row r="4181" spans="2:23" hidden="1" outlineLevel="2">
      <c r="B4181" s="2" t="s">
        <v>876</v>
      </c>
      <c r="D4181" s="112" t="b">
        <v>1</v>
      </c>
      <c r="E4181" s="112">
        <v>90</v>
      </c>
      <c r="F4181" s="112"/>
      <c r="G4181" s="112">
        <v>50000</v>
      </c>
      <c r="H4181" s="112"/>
      <c r="I4181" s="112" t="s">
        <v>4317</v>
      </c>
      <c r="J4181" s="112" t="s">
        <v>4267</v>
      </c>
      <c r="K4181" s="112" t="b">
        <v>0</v>
      </c>
      <c r="L4181" s="112"/>
      <c r="M4181" s="147" t="s">
        <v>8220</v>
      </c>
      <c r="N4181" s="229" t="s">
        <v>8458</v>
      </c>
      <c r="O4181" s="236" t="str">
        <f>VLOOKUP(N4181,Table15[[code9]:[ratevalue]],6,FALSE)</f>
        <v>7.73</v>
      </c>
      <c r="P4181" s="229" t="s">
        <v>8459</v>
      </c>
      <c r="Q4181" s="236" t="str">
        <f>VLOOKUP(P4181,Table15[[code9]:[ratevalue]],6,FALSE)</f>
        <v>7.74</v>
      </c>
      <c r="R4181" s="229" t="s">
        <v>6513</v>
      </c>
      <c r="S4181" s="229" t="s">
        <v>4761</v>
      </c>
      <c r="T4181" s="229" t="s">
        <v>6701</v>
      </c>
      <c r="U4181" s="236" t="str">
        <f>IF(ISNA(VLOOKUP(T4181,Table15[[code9]:[ratevalue]],6,FALSE)),"",VLOOKUP(T4181,Table15[[code9]:[ratevalue]],6,FALSE))</f>
        <v>7.24</v>
      </c>
      <c r="V4181" s="229" t="s">
        <v>6513</v>
      </c>
      <c r="W4181" s="229" t="s">
        <v>4761</v>
      </c>
    </row>
    <row r="4182" spans="2:23" hidden="1" outlineLevel="2">
      <c r="B4182" s="2" t="s">
        <v>876</v>
      </c>
      <c r="D4182" s="112" t="b">
        <v>1</v>
      </c>
      <c r="E4182" s="112">
        <v>90</v>
      </c>
      <c r="F4182" s="112"/>
      <c r="G4182" s="112"/>
      <c r="H4182" s="112">
        <v>50000</v>
      </c>
      <c r="I4182" s="112" t="s">
        <v>4317</v>
      </c>
      <c r="J4182" s="112" t="s">
        <v>4267</v>
      </c>
      <c r="K4182" s="112" t="b">
        <v>0</v>
      </c>
      <c r="L4182" s="112"/>
      <c r="M4182" s="147" t="s">
        <v>488</v>
      </c>
      <c r="N4182" s="229" t="s">
        <v>4932</v>
      </c>
      <c r="O4182" s="236" t="str">
        <f>VLOOKUP(N4182,Table15[[code9]:[ratevalue]],6,FALSE)</f>
        <v>7.73</v>
      </c>
      <c r="P4182" s="229" t="s">
        <v>6700</v>
      </c>
      <c r="Q4182" s="236" t="str">
        <f>VLOOKUP(P4182,Table15[[code9]:[ratevalue]],6,FALSE)</f>
        <v>7.74</v>
      </c>
      <c r="R4182" s="229" t="s">
        <v>6513</v>
      </c>
      <c r="S4182" s="229" t="s">
        <v>4761</v>
      </c>
      <c r="T4182" s="229" t="s">
        <v>4762</v>
      </c>
      <c r="U4182" s="236" t="str">
        <f>IF(ISNA(VLOOKUP(T4182,Table15[[code9]:[ratevalue]],6,FALSE)),"",VLOOKUP(T4182,Table15[[code9]:[ratevalue]],6,FALSE))</f>
        <v>7.74</v>
      </c>
      <c r="V4182" s="229" t="s">
        <v>6513</v>
      </c>
      <c r="W4182" s="229" t="s">
        <v>4761</v>
      </c>
    </row>
    <row r="4183" spans="2:23" hidden="1" outlineLevel="2">
      <c r="B4183" s="2" t="s">
        <v>876</v>
      </c>
      <c r="D4183" s="112" t="b">
        <v>1</v>
      </c>
      <c r="E4183" s="112">
        <v>90</v>
      </c>
      <c r="F4183" s="112"/>
      <c r="G4183" s="112"/>
      <c r="H4183" s="112"/>
      <c r="I4183" s="112" t="s">
        <v>4311</v>
      </c>
      <c r="J4183" s="112" t="s">
        <v>4267</v>
      </c>
      <c r="K4183" s="112" t="b">
        <v>0</v>
      </c>
      <c r="L4183" s="112"/>
      <c r="M4183" s="147" t="s">
        <v>8218</v>
      </c>
      <c r="N4183" s="229" t="s">
        <v>6947</v>
      </c>
      <c r="O4183" s="236" t="str">
        <f>VLOOKUP(N4183,Table15[[code9]:[ratevalue]],6,FALSE)</f>
        <v>8.04</v>
      </c>
      <c r="P4183" s="229" t="s">
        <v>6948</v>
      </c>
      <c r="Q4183" s="236" t="str">
        <f>VLOOKUP(P4183,Table15[[code9]:[ratevalue]],6,FALSE)</f>
        <v>7.91</v>
      </c>
      <c r="R4183" s="229" t="s">
        <v>6513</v>
      </c>
      <c r="S4183" s="229" t="s">
        <v>6940</v>
      </c>
      <c r="T4183" s="229" t="s">
        <v>6945</v>
      </c>
      <c r="U4183" s="236" t="str">
        <f>IF(ISNA(VLOOKUP(T4183,Table15[[code9]:[ratevalue]],6,FALSE)),"",VLOOKUP(T4183,Table15[[code9]:[ratevalue]],6,FALSE))</f>
        <v>7.79</v>
      </c>
      <c r="V4183" s="229" t="s">
        <v>6513</v>
      </c>
      <c r="W4183" s="229" t="s">
        <v>6940</v>
      </c>
    </row>
    <row r="4184" spans="2:23" hidden="1" outlineLevel="2">
      <c r="B4184" s="2" t="s">
        <v>876</v>
      </c>
      <c r="D4184" s="112" t="b">
        <v>1</v>
      </c>
      <c r="E4184" s="112">
        <v>90</v>
      </c>
      <c r="F4184" s="112"/>
      <c r="G4184" s="112"/>
      <c r="H4184" s="112"/>
      <c r="I4184" s="112" t="s">
        <v>4246</v>
      </c>
      <c r="J4184" s="112" t="s">
        <v>4267</v>
      </c>
      <c r="K4184" s="112" t="b">
        <v>0</v>
      </c>
      <c r="L4184" s="112">
        <v>1</v>
      </c>
      <c r="M4184" s="147" t="s">
        <v>4771</v>
      </c>
      <c r="N4184" s="229" t="s">
        <v>6835</v>
      </c>
      <c r="O4184" s="236" t="str">
        <f>VLOOKUP(N4184,Table15[[code9]:[ratevalue]],6,FALSE)</f>
        <v>6.69</v>
      </c>
      <c r="P4184" s="229" t="s">
        <v>6836</v>
      </c>
      <c r="Q4184" s="236" t="str">
        <f>VLOOKUP(P4184,Table15[[code9]:[ratevalue]],6,FALSE)</f>
        <v>7.45</v>
      </c>
      <c r="R4184" s="229" t="s">
        <v>6513</v>
      </c>
      <c r="S4184" s="229" t="s">
        <v>6832</v>
      </c>
      <c r="T4184" s="229" t="s">
        <v>6945</v>
      </c>
      <c r="U4184" s="236" t="str">
        <f>IF(ISNA(VLOOKUP(T4184,Table15[[code9]:[ratevalue]],6,FALSE)),"",VLOOKUP(T4184,Table15[[code9]:[ratevalue]],6,FALSE))</f>
        <v>7.79</v>
      </c>
      <c r="V4184" s="229" t="s">
        <v>6513</v>
      </c>
      <c r="W4184" s="229" t="s">
        <v>6940</v>
      </c>
    </row>
    <row r="4185" spans="2:23" hidden="1" outlineLevel="2">
      <c r="B4185" s="2" t="s">
        <v>876</v>
      </c>
      <c r="D4185" s="112" t="b">
        <v>1</v>
      </c>
      <c r="E4185" s="112">
        <v>90</v>
      </c>
      <c r="F4185" s="112"/>
      <c r="G4185" s="112"/>
      <c r="H4185" s="112"/>
      <c r="I4185" s="112" t="s">
        <v>4246</v>
      </c>
      <c r="J4185" s="112" t="s">
        <v>4267</v>
      </c>
      <c r="K4185" s="112" t="b">
        <v>0</v>
      </c>
      <c r="L4185" s="112">
        <v>2</v>
      </c>
      <c r="M4185" s="147" t="s">
        <v>8224</v>
      </c>
      <c r="N4185" s="229" t="s">
        <v>6839</v>
      </c>
      <c r="O4185" s="236" t="str">
        <f>VLOOKUP(N4185,Table15[[code9]:[ratevalue]],6,FALSE)</f>
        <v>6.49</v>
      </c>
      <c r="P4185" s="229" t="s">
        <v>6840</v>
      </c>
      <c r="Q4185" s="236" t="str">
        <f>VLOOKUP(P4185,Table15[[code9]:[ratevalue]],6,FALSE)</f>
        <v>7.53</v>
      </c>
      <c r="R4185" s="229" t="s">
        <v>6513</v>
      </c>
      <c r="S4185" s="229" t="s">
        <v>6832</v>
      </c>
      <c r="T4185" s="229" t="s">
        <v>6945</v>
      </c>
      <c r="U4185" s="236" t="str">
        <f>IF(ISNA(VLOOKUP(T4185,Table15[[code9]:[ratevalue]],6,FALSE)),"",VLOOKUP(T4185,Table15[[code9]:[ratevalue]],6,FALSE))</f>
        <v>7.79</v>
      </c>
      <c r="V4185" s="229" t="s">
        <v>6513</v>
      </c>
      <c r="W4185" s="229" t="s">
        <v>6940</v>
      </c>
    </row>
    <row r="4186" spans="2:23" hidden="1" outlineLevel="2">
      <c r="B4186" s="2" t="s">
        <v>876</v>
      </c>
      <c r="D4186" s="112" t="b">
        <v>1</v>
      </c>
      <c r="E4186" s="112">
        <v>90</v>
      </c>
      <c r="F4186" s="112"/>
      <c r="G4186" s="112"/>
      <c r="H4186" s="112"/>
      <c r="I4186" s="112" t="s">
        <v>4246</v>
      </c>
      <c r="J4186" s="112" t="s">
        <v>4267</v>
      </c>
      <c r="K4186" s="112" t="b">
        <v>0</v>
      </c>
      <c r="L4186" s="112">
        <v>3</v>
      </c>
      <c r="M4186" s="147" t="s">
        <v>8225</v>
      </c>
      <c r="N4186" s="229" t="s">
        <v>6843</v>
      </c>
      <c r="O4186" s="236" t="str">
        <f>VLOOKUP(N4186,Table15[[code9]:[ratevalue]],6,FALSE)</f>
        <v>6.49</v>
      </c>
      <c r="P4186" s="229" t="s">
        <v>6844</v>
      </c>
      <c r="Q4186" s="236" t="str">
        <f>VLOOKUP(P4186,Table15[[code9]:[ratevalue]],6,FALSE)</f>
        <v>7.42</v>
      </c>
      <c r="R4186" s="229" t="s">
        <v>6513</v>
      </c>
      <c r="S4186" s="229" t="s">
        <v>6832</v>
      </c>
      <c r="T4186" s="229" t="s">
        <v>6945</v>
      </c>
      <c r="U4186" s="236" t="str">
        <f>IF(ISNA(VLOOKUP(T4186,Table15[[code9]:[ratevalue]],6,FALSE)),"",VLOOKUP(T4186,Table15[[code9]:[ratevalue]],6,FALSE))</f>
        <v>7.79</v>
      </c>
      <c r="V4186" s="229" t="s">
        <v>6513</v>
      </c>
      <c r="W4186" s="229" t="s">
        <v>6940</v>
      </c>
    </row>
    <row r="4187" spans="2:23" hidden="1" outlineLevel="2">
      <c r="B4187" s="2" t="s">
        <v>876</v>
      </c>
      <c r="D4187" s="112" t="b">
        <v>1</v>
      </c>
      <c r="E4187" s="112">
        <v>90</v>
      </c>
      <c r="F4187" s="112"/>
      <c r="G4187" s="112"/>
      <c r="H4187" s="112"/>
      <c r="I4187" s="112" t="s">
        <v>4246</v>
      </c>
      <c r="J4187" s="112" t="s">
        <v>4267</v>
      </c>
      <c r="K4187" s="112" t="b">
        <v>0</v>
      </c>
      <c r="L4187" s="112">
        <v>4</v>
      </c>
      <c r="M4187" s="147" t="s">
        <v>8478</v>
      </c>
      <c r="N4187" s="229" t="s">
        <v>6847</v>
      </c>
      <c r="O4187" s="236" t="str">
        <f>VLOOKUP(N4187,Table15[[code9]:[ratevalue]],6,FALSE)</f>
        <v>6.54</v>
      </c>
      <c r="P4187" s="229" t="s">
        <v>6848</v>
      </c>
      <c r="Q4187" s="236" t="str">
        <f>VLOOKUP(P4187,Table15[[code9]:[ratevalue]],6,FALSE)</f>
        <v>7.33</v>
      </c>
      <c r="R4187" s="229" t="s">
        <v>6513</v>
      </c>
      <c r="S4187" s="229" t="s">
        <v>6832</v>
      </c>
      <c r="T4187" s="229" t="s">
        <v>6945</v>
      </c>
      <c r="U4187" s="236" t="str">
        <f>IF(ISNA(VLOOKUP(T4187,Table15[[code9]:[ratevalue]],6,FALSE)),"",VLOOKUP(T4187,Table15[[code9]:[ratevalue]],6,FALSE))</f>
        <v>7.79</v>
      </c>
      <c r="V4187" s="229" t="s">
        <v>6513</v>
      </c>
      <c r="W4187" s="229" t="s">
        <v>6940</v>
      </c>
    </row>
    <row r="4188" spans="2:23" hidden="1" outlineLevel="2">
      <c r="B4188" s="2" t="s">
        <v>876</v>
      </c>
      <c r="D4188" s="112" t="b">
        <v>1</v>
      </c>
      <c r="E4188" s="112">
        <v>90</v>
      </c>
      <c r="F4188" s="112"/>
      <c r="G4188" s="112"/>
      <c r="H4188" s="112"/>
      <c r="I4188" s="112" t="s">
        <v>4246</v>
      </c>
      <c r="J4188" s="112" t="s">
        <v>4267</v>
      </c>
      <c r="K4188" s="112" t="b">
        <v>0</v>
      </c>
      <c r="L4188" s="112">
        <v>5</v>
      </c>
      <c r="M4188" s="147" t="s">
        <v>8479</v>
      </c>
      <c r="N4188" s="229" t="s">
        <v>6851</v>
      </c>
      <c r="O4188" s="236" t="str">
        <f>VLOOKUP(N4188,Table15[[code9]:[ratevalue]],6,FALSE)</f>
        <v>6.64</v>
      </c>
      <c r="P4188" s="229" t="s">
        <v>6852</v>
      </c>
      <c r="Q4188" s="236" t="str">
        <f>VLOOKUP(P4188,Table15[[code9]:[ratevalue]],6,FALSE)</f>
        <v>7.29</v>
      </c>
      <c r="R4188" s="229" t="s">
        <v>6513</v>
      </c>
      <c r="S4188" s="229" t="s">
        <v>6832</v>
      </c>
      <c r="T4188" s="229" t="s">
        <v>6945</v>
      </c>
      <c r="U4188" s="236" t="str">
        <f>IF(ISNA(VLOOKUP(T4188,Table15[[code9]:[ratevalue]],6,FALSE)),"",VLOOKUP(T4188,Table15[[code9]:[ratevalue]],6,FALSE))</f>
        <v>7.79</v>
      </c>
      <c r="V4188" s="229" t="s">
        <v>6513</v>
      </c>
      <c r="W4188" s="229" t="s">
        <v>6940</v>
      </c>
    </row>
    <row r="4189" spans="2:23" hidden="1" outlineLevel="2">
      <c r="B4189" s="2" t="s">
        <v>876</v>
      </c>
      <c r="D4189" s="112" t="b">
        <v>1</v>
      </c>
      <c r="E4189" s="112">
        <v>90</v>
      </c>
      <c r="F4189" s="112"/>
      <c r="G4189" s="112"/>
      <c r="H4189" s="112"/>
      <c r="I4189" s="112" t="s">
        <v>4246</v>
      </c>
      <c r="J4189" s="112" t="s">
        <v>4267</v>
      </c>
      <c r="K4189" s="112" t="b">
        <v>0</v>
      </c>
      <c r="L4189" s="112">
        <v>7</v>
      </c>
      <c r="M4189" s="147" t="s">
        <v>8482</v>
      </c>
      <c r="N4189" s="229" t="s">
        <v>6855</v>
      </c>
      <c r="O4189" s="236" t="str">
        <f>VLOOKUP(N4189,Table15[[code9]:[ratevalue]],6,FALSE)</f>
        <v>7.69</v>
      </c>
      <c r="P4189" s="229" t="s">
        <v>6856</v>
      </c>
      <c r="Q4189" s="236" t="str">
        <f>VLOOKUP(P4189,Table15[[code9]:[ratevalue]],6,FALSE)</f>
        <v>7.74</v>
      </c>
      <c r="R4189" s="229" t="s">
        <v>6513</v>
      </c>
      <c r="S4189" s="229" t="s">
        <v>6832</v>
      </c>
      <c r="T4189" s="229" t="s">
        <v>6945</v>
      </c>
      <c r="U4189" s="236" t="str">
        <f>IF(ISNA(VLOOKUP(T4189,Table15[[code9]:[ratevalue]],6,FALSE)),"",VLOOKUP(T4189,Table15[[code9]:[ratevalue]],6,FALSE))</f>
        <v>7.79</v>
      </c>
      <c r="V4189" s="229" t="s">
        <v>6513</v>
      </c>
      <c r="W4189" s="229" t="s">
        <v>6940</v>
      </c>
    </row>
    <row r="4190" spans="2:23" hidden="1" outlineLevel="2">
      <c r="B4190" s="2" t="s">
        <v>876</v>
      </c>
      <c r="D4190" s="112" t="b">
        <v>1</v>
      </c>
      <c r="E4190" s="112">
        <v>90</v>
      </c>
      <c r="F4190" s="112"/>
      <c r="G4190" s="112"/>
      <c r="H4190" s="112"/>
      <c r="I4190" s="112" t="s">
        <v>4246</v>
      </c>
      <c r="J4190" s="112" t="s">
        <v>4267</v>
      </c>
      <c r="K4190" s="112" t="b">
        <v>0</v>
      </c>
      <c r="L4190" s="112">
        <v>10</v>
      </c>
      <c r="M4190" s="147" t="s">
        <v>8483</v>
      </c>
      <c r="N4190" s="229" t="s">
        <v>6859</v>
      </c>
      <c r="O4190" s="236" t="str">
        <f>VLOOKUP(N4190,Table15[[code9]:[ratevalue]],6,FALSE)</f>
        <v>7.69</v>
      </c>
      <c r="P4190" s="229" t="s">
        <v>6860</v>
      </c>
      <c r="Q4190" s="236" t="str">
        <f>VLOOKUP(P4190,Table15[[code9]:[ratevalue]],6,FALSE)</f>
        <v>7.72</v>
      </c>
      <c r="R4190" s="229" t="s">
        <v>6513</v>
      </c>
      <c r="S4190" s="229" t="s">
        <v>6832</v>
      </c>
      <c r="T4190" s="229" t="s">
        <v>6945</v>
      </c>
      <c r="U4190" s="236" t="str">
        <f>IF(ISNA(VLOOKUP(T4190,Table15[[code9]:[ratevalue]],6,FALSE)),"",VLOOKUP(T4190,Table15[[code9]:[ratevalue]],6,FALSE))</f>
        <v>7.79</v>
      </c>
      <c r="V4190" s="229" t="s">
        <v>6513</v>
      </c>
      <c r="W4190" s="229" t="s">
        <v>6940</v>
      </c>
    </row>
    <row r="4191" spans="2:23" hidden="1" outlineLevel="2">
      <c r="B4191" s="2" t="s">
        <v>889</v>
      </c>
    </row>
    <row r="4192" spans="2:23" hidden="1" outlineLevel="1" collapsed="1">
      <c r="B4192" s="2" t="s">
        <v>851</v>
      </c>
      <c r="C4192" s="132" t="s">
        <v>8211</v>
      </c>
      <c r="D4192" s="102" t="s">
        <v>8234</v>
      </c>
      <c r="E4192" s="104"/>
    </row>
    <row r="4193" spans="2:24" hidden="1" outlineLevel="2">
      <c r="B4193" s="2" t="s">
        <v>833</v>
      </c>
      <c r="D4193" s="390" t="s">
        <v>843</v>
      </c>
      <c r="E4193" s="390" t="s">
        <v>844</v>
      </c>
      <c r="F4193" s="390" t="s">
        <v>845</v>
      </c>
      <c r="G4193" s="210" t="s">
        <v>846</v>
      </c>
      <c r="H4193" s="390" t="s">
        <v>847</v>
      </c>
      <c r="I4193" s="210" t="s">
        <v>848</v>
      </c>
      <c r="J4193" s="390" t="s">
        <v>849</v>
      </c>
      <c r="K4193" s="210" t="s">
        <v>850</v>
      </c>
      <c r="L4193" s="210" t="s">
        <v>8055</v>
      </c>
      <c r="M4193" s="209" t="s">
        <v>8168</v>
      </c>
      <c r="N4193" s="210" t="s">
        <v>8571</v>
      </c>
      <c r="O4193" s="210" t="s">
        <v>8755</v>
      </c>
      <c r="P4193" s="210" t="s">
        <v>8892</v>
      </c>
    </row>
    <row r="4194" spans="2:24" hidden="1" outlineLevel="2">
      <c r="B4194" s="2" t="s">
        <v>833</v>
      </c>
      <c r="D4194" s="239" t="s">
        <v>254</v>
      </c>
      <c r="E4194" s="226" t="s">
        <v>8177</v>
      </c>
      <c r="G4194" s="239" t="s">
        <v>254</v>
      </c>
    </row>
    <row r="4195" spans="2:24" hidden="1" outlineLevel="2">
      <c r="B4195" s="2" t="s">
        <v>853</v>
      </c>
      <c r="D4195" s="111" t="s">
        <v>1295</v>
      </c>
      <c r="E4195" s="111" t="s">
        <v>8176</v>
      </c>
      <c r="G4195" s="111" t="s">
        <v>1295</v>
      </c>
    </row>
    <row r="4196" spans="2:24" hidden="1" outlineLevel="2">
      <c r="B4196" s="2" t="s">
        <v>853</v>
      </c>
      <c r="D4196" s="113" t="s">
        <v>1296</v>
      </c>
      <c r="E4196" s="113" t="s">
        <v>8175</v>
      </c>
      <c r="G4196" s="113" t="s">
        <v>1296</v>
      </c>
    </row>
    <row r="4197" spans="2:24" hidden="1" outlineLevel="2">
      <c r="B4197" s="2" t="s">
        <v>853</v>
      </c>
      <c r="D4197" s="111" t="s">
        <v>1297</v>
      </c>
      <c r="E4197" s="111" t="s">
        <v>8183</v>
      </c>
      <c r="G4197" s="111" t="s">
        <v>1297</v>
      </c>
    </row>
    <row r="4198" spans="2:24" hidden="1" outlineLevel="2">
      <c r="B4198" s="2" t="s">
        <v>853</v>
      </c>
      <c r="D4198" s="113" t="s">
        <v>1298</v>
      </c>
      <c r="E4198" s="113" t="s">
        <v>8178</v>
      </c>
      <c r="G4198" s="113" t="s">
        <v>1298</v>
      </c>
    </row>
    <row r="4199" spans="2:24" hidden="1" outlineLevel="2">
      <c r="B4199" s="2" t="s">
        <v>853</v>
      </c>
      <c r="D4199" s="111" t="s">
        <v>1300</v>
      </c>
      <c r="E4199" s="111" t="s">
        <v>8179</v>
      </c>
      <c r="G4199" s="111" t="s">
        <v>1300</v>
      </c>
    </row>
    <row r="4200" spans="2:24" hidden="1" outlineLevel="2">
      <c r="B4200" s="2" t="s">
        <v>853</v>
      </c>
      <c r="D4200" s="113" t="s">
        <v>1301</v>
      </c>
      <c r="E4200" s="113" t="s">
        <v>8180</v>
      </c>
      <c r="G4200" s="113" t="s">
        <v>1301</v>
      </c>
    </row>
    <row r="4201" spans="2:24" hidden="1" outlineLevel="2">
      <c r="B4201" s="2" t="s">
        <v>853</v>
      </c>
      <c r="D4201" s="111" t="s">
        <v>1302</v>
      </c>
      <c r="E4201" s="111" t="s">
        <v>8181</v>
      </c>
      <c r="G4201" s="111" t="s">
        <v>1302</v>
      </c>
    </row>
    <row r="4202" spans="2:24" hidden="1" outlineLevel="2">
      <c r="B4202" s="2" t="s">
        <v>853</v>
      </c>
      <c r="D4202" s="113" t="s">
        <v>1303</v>
      </c>
      <c r="E4202" s="113" t="s">
        <v>8182</v>
      </c>
      <c r="G4202" s="113" t="s">
        <v>1303</v>
      </c>
    </row>
    <row r="4203" spans="2:24" hidden="1" outlineLevel="2">
      <c r="B4203" s="2" t="s">
        <v>860</v>
      </c>
    </row>
    <row r="4204" spans="2:24" collapsed="1">
      <c r="B4204" s="2" t="s">
        <v>833</v>
      </c>
      <c r="C4204" s="246" t="s">
        <v>4347</v>
      </c>
      <c r="D4204" s="209" t="s">
        <v>843</v>
      </c>
      <c r="E4204" s="209" t="s">
        <v>844</v>
      </c>
      <c r="F4204" s="210" t="s">
        <v>845</v>
      </c>
      <c r="G4204" s="210" t="s">
        <v>846</v>
      </c>
      <c r="H4204" s="210" t="s">
        <v>847</v>
      </c>
      <c r="I4204" s="210" t="s">
        <v>848</v>
      </c>
      <c r="J4204" s="210" t="s">
        <v>849</v>
      </c>
      <c r="K4204" s="210" t="s">
        <v>850</v>
      </c>
      <c r="L4204" s="210" t="s">
        <v>8055</v>
      </c>
      <c r="M4204" s="210" t="s">
        <v>8168</v>
      </c>
      <c r="N4204" s="210" t="s">
        <v>8571</v>
      </c>
      <c r="O4204" s="210" t="s">
        <v>8755</v>
      </c>
      <c r="P4204" s="210" t="s">
        <v>8892</v>
      </c>
    </row>
    <row r="4205" spans="2:24" hidden="1" outlineLevel="1">
      <c r="B4205" s="2" t="s">
        <v>833</v>
      </c>
      <c r="C4205" s="145" t="s">
        <v>834</v>
      </c>
      <c r="D4205" s="145" t="s">
        <v>835</v>
      </c>
      <c r="E4205" s="207" t="s">
        <v>836</v>
      </c>
    </row>
    <row r="4206" spans="2:24" hidden="1" outlineLevel="1">
      <c r="B4206" s="2" t="s">
        <v>837</v>
      </c>
      <c r="C4206" s="138" t="s">
        <v>4348</v>
      </c>
      <c r="D4206" s="114" t="s">
        <v>4349</v>
      </c>
      <c r="E4206" s="114" t="s">
        <v>4350</v>
      </c>
      <c r="H4206" s="223"/>
    </row>
    <row r="4207" spans="2:24" hidden="1" outlineLevel="1">
      <c r="B4207" s="2" t="s">
        <v>833</v>
      </c>
    </row>
    <row r="4208" spans="2:24" hidden="1" outlineLevel="1">
      <c r="B4208" s="2" t="s">
        <v>870</v>
      </c>
      <c r="D4208" s="102" t="s">
        <v>4351</v>
      </c>
      <c r="E4208" s="103"/>
      <c r="F4208" s="103"/>
      <c r="G4208" s="103"/>
      <c r="H4208" s="103"/>
      <c r="I4208" s="103"/>
      <c r="J4208" s="103"/>
      <c r="K4208" s="103"/>
      <c r="L4208" s="103"/>
      <c r="M4208" s="103"/>
      <c r="N4208" s="103"/>
      <c r="O4208" s="103"/>
      <c r="P4208" s="103"/>
      <c r="Q4208" s="103"/>
      <c r="R4208" s="103"/>
      <c r="S4208" s="103"/>
      <c r="T4208" s="103"/>
      <c r="U4208" s="103"/>
      <c r="V4208" s="103"/>
      <c r="W4208" s="103"/>
      <c r="X4208" s="104"/>
    </row>
    <row r="4209" spans="2:31" hidden="1" outlineLevel="1">
      <c r="B4209" s="2" t="s">
        <v>833</v>
      </c>
      <c r="D4209" s="209" t="s">
        <v>843</v>
      </c>
      <c r="E4209" s="210" t="s">
        <v>844</v>
      </c>
      <c r="F4209" s="210" t="s">
        <v>845</v>
      </c>
      <c r="G4209" s="210" t="s">
        <v>846</v>
      </c>
      <c r="H4209" s="210" t="s">
        <v>847</v>
      </c>
      <c r="I4209" s="210" t="s">
        <v>848</v>
      </c>
      <c r="J4209" s="210" t="s">
        <v>849</v>
      </c>
      <c r="K4209" s="210" t="s">
        <v>850</v>
      </c>
      <c r="L4209" s="210" t="s">
        <v>8055</v>
      </c>
      <c r="M4209" s="210" t="s">
        <v>8168</v>
      </c>
      <c r="N4209" s="210" t="s">
        <v>8571</v>
      </c>
      <c r="O4209" s="210" t="s">
        <v>8755</v>
      </c>
      <c r="P4209" s="210" t="s">
        <v>8892</v>
      </c>
    </row>
    <row r="4210" spans="2:31" hidden="1" outlineLevel="1">
      <c r="B4210" s="2" t="s">
        <v>833</v>
      </c>
      <c r="D4210" s="226" t="s">
        <v>4352</v>
      </c>
      <c r="E4210" s="226" t="s">
        <v>4353</v>
      </c>
      <c r="F4210" s="226" t="s">
        <v>4354</v>
      </c>
      <c r="G4210" s="226" t="s">
        <v>4355</v>
      </c>
      <c r="H4210" s="226" t="s">
        <v>4356</v>
      </c>
      <c r="I4210" s="226" t="s">
        <v>4357</v>
      </c>
      <c r="J4210" s="226" t="s">
        <v>4358</v>
      </c>
      <c r="K4210" s="226" t="s">
        <v>4359</v>
      </c>
      <c r="L4210" s="226" t="s">
        <v>4360</v>
      </c>
      <c r="M4210" s="226" t="s">
        <v>4361</v>
      </c>
      <c r="N4210" s="226" t="s">
        <v>4362</v>
      </c>
      <c r="O4210" s="226" t="s">
        <v>184</v>
      </c>
      <c r="P4210" s="226" t="s">
        <v>1027</v>
      </c>
      <c r="Q4210" s="226" t="s">
        <v>4363</v>
      </c>
      <c r="R4210" s="226" t="s">
        <v>492</v>
      </c>
      <c r="S4210" s="226" t="s">
        <v>482</v>
      </c>
      <c r="T4210" s="239" t="s">
        <v>4364</v>
      </c>
      <c r="U4210" s="239" t="s">
        <v>827</v>
      </c>
      <c r="V4210" s="239" t="s">
        <v>828</v>
      </c>
      <c r="W4210" s="288" t="s">
        <v>4365</v>
      </c>
      <c r="X4210" s="288" t="s">
        <v>4366</v>
      </c>
    </row>
    <row r="4211" spans="2:31" hidden="1" outlineLevel="1">
      <c r="B4211" s="2" t="s">
        <v>874</v>
      </c>
      <c r="C4211" s="124" t="s">
        <v>297</v>
      </c>
      <c r="D4211" s="138" t="s">
        <v>293</v>
      </c>
      <c r="E4211" s="138" t="s">
        <v>4367</v>
      </c>
      <c r="F4211" s="138" t="s">
        <v>4368</v>
      </c>
      <c r="G4211" s="138" t="s">
        <v>4369</v>
      </c>
      <c r="H4211" s="138" t="s">
        <v>293</v>
      </c>
      <c r="I4211" s="138" t="s">
        <v>4370</v>
      </c>
      <c r="J4211" s="138" t="s">
        <v>293</v>
      </c>
      <c r="K4211" s="138" t="s">
        <v>4371</v>
      </c>
      <c r="L4211" s="138" t="s">
        <v>293</v>
      </c>
      <c r="M4211" s="138" t="s">
        <v>4372</v>
      </c>
      <c r="N4211" s="138" t="s">
        <v>293</v>
      </c>
      <c r="O4211" s="138" t="s">
        <v>1320</v>
      </c>
      <c r="P4211" s="138" t="s">
        <v>1049</v>
      </c>
      <c r="Q4211" s="138" t="s">
        <v>4244</v>
      </c>
      <c r="R4211" s="138" t="s">
        <v>1048</v>
      </c>
      <c r="S4211" s="138" t="s">
        <v>4234</v>
      </c>
      <c r="T4211" s="138" t="s">
        <v>4373</v>
      </c>
      <c r="U4211" s="138" t="s">
        <v>4374</v>
      </c>
      <c r="V4211" s="138" t="s">
        <v>4375</v>
      </c>
      <c r="W4211" s="138" t="s">
        <v>4376</v>
      </c>
      <c r="X4211" s="138" t="s">
        <v>4377</v>
      </c>
    </row>
    <row r="4212" spans="2:31" hidden="1" outlineLevel="1">
      <c r="B4212" s="2" t="s">
        <v>876</v>
      </c>
      <c r="D4212" s="111">
        <v>1</v>
      </c>
      <c r="E4212" s="111" t="s">
        <v>4378</v>
      </c>
      <c r="F4212" s="111" t="s">
        <v>4379</v>
      </c>
      <c r="G4212" s="111">
        <v>0</v>
      </c>
      <c r="H4212" s="111"/>
      <c r="I4212" s="111">
        <v>0</v>
      </c>
      <c r="J4212" s="111">
        <v>149999.99</v>
      </c>
      <c r="K4212" s="111">
        <v>0</v>
      </c>
      <c r="L4212" s="111"/>
      <c r="M4212" s="111">
        <v>0</v>
      </c>
      <c r="N4212" s="111">
        <v>0.8</v>
      </c>
      <c r="O4212" s="111"/>
      <c r="P4212" s="111"/>
      <c r="Q4212" s="111" t="b">
        <v>1</v>
      </c>
      <c r="R4212" s="111"/>
      <c r="S4212" s="111" t="s">
        <v>4246</v>
      </c>
      <c r="T4212" s="111" t="s">
        <v>4380</v>
      </c>
      <c r="U4212" s="111">
        <v>2E-3</v>
      </c>
      <c r="V4212" s="112">
        <v>0</v>
      </c>
      <c r="W4212" s="111">
        <v>2E-3</v>
      </c>
      <c r="X4212" s="112">
        <v>0</v>
      </c>
    </row>
    <row r="4213" spans="2:31" hidden="1" outlineLevel="1">
      <c r="B4213" s="2" t="s">
        <v>876</v>
      </c>
      <c r="D4213" s="111">
        <v>2</v>
      </c>
      <c r="E4213" s="111" t="s">
        <v>4378</v>
      </c>
      <c r="F4213" s="111" t="s">
        <v>4379</v>
      </c>
      <c r="G4213" s="111">
        <v>0</v>
      </c>
      <c r="H4213" s="111"/>
      <c r="I4213" s="111">
        <v>150000</v>
      </c>
      <c r="J4213" s="111"/>
      <c r="K4213" s="111">
        <v>0</v>
      </c>
      <c r="L4213" s="111"/>
      <c r="M4213" s="111">
        <v>0</v>
      </c>
      <c r="N4213" s="111">
        <v>0.8</v>
      </c>
      <c r="O4213" s="111"/>
      <c r="P4213" s="111"/>
      <c r="Q4213" s="111" t="b">
        <v>1</v>
      </c>
      <c r="R4213" s="111"/>
      <c r="S4213" s="111" t="s">
        <v>4246</v>
      </c>
      <c r="T4213" s="111" t="s">
        <v>4380</v>
      </c>
      <c r="U4213" s="111">
        <v>2E-3</v>
      </c>
      <c r="V4213" s="112">
        <v>1.4E-2</v>
      </c>
      <c r="W4213" s="111">
        <v>2E-3</v>
      </c>
      <c r="X4213" s="112">
        <v>1.4E-2</v>
      </c>
    </row>
    <row r="4214" spans="2:31" hidden="1" outlineLevel="1">
      <c r="B4214" s="2" t="s">
        <v>876</v>
      </c>
      <c r="D4214" s="113">
        <v>3</v>
      </c>
      <c r="E4214" s="113" t="s">
        <v>4378</v>
      </c>
      <c r="F4214" s="113" t="s">
        <v>4379</v>
      </c>
      <c r="G4214" s="113">
        <v>0</v>
      </c>
      <c r="H4214" s="113"/>
      <c r="I4214" s="113">
        <v>0</v>
      </c>
      <c r="J4214" s="113">
        <v>149999.99</v>
      </c>
      <c r="K4214" s="113">
        <v>0</v>
      </c>
      <c r="L4214" s="113"/>
      <c r="M4214" s="113">
        <v>0.8</v>
      </c>
      <c r="N4214" s="113"/>
      <c r="O4214" s="113"/>
      <c r="P4214" s="113"/>
      <c r="Q4214" s="113" t="b">
        <v>1</v>
      </c>
      <c r="R4214" s="113"/>
      <c r="S4214" s="113" t="s">
        <v>4246</v>
      </c>
      <c r="T4214" s="113" t="s">
        <v>4380</v>
      </c>
      <c r="U4214" s="113">
        <v>1.5E-3</v>
      </c>
      <c r="V4214" s="114">
        <v>0</v>
      </c>
      <c r="W4214" s="113">
        <v>1.5E-3</v>
      </c>
      <c r="X4214" s="114">
        <v>0</v>
      </c>
    </row>
    <row r="4215" spans="2:31" hidden="1" outlineLevel="1">
      <c r="B4215" s="2" t="s">
        <v>876</v>
      </c>
      <c r="D4215" s="113">
        <v>4</v>
      </c>
      <c r="E4215" s="113" t="s">
        <v>4378</v>
      </c>
      <c r="F4215" s="113" t="s">
        <v>4379</v>
      </c>
      <c r="G4215" s="113">
        <v>0</v>
      </c>
      <c r="H4215" s="113"/>
      <c r="I4215" s="113">
        <v>150000</v>
      </c>
      <c r="J4215" s="113"/>
      <c r="K4215" s="113">
        <v>0</v>
      </c>
      <c r="L4215" s="113"/>
      <c r="M4215" s="113">
        <v>0.8</v>
      </c>
      <c r="N4215" s="113"/>
      <c r="O4215" s="113"/>
      <c r="P4215" s="113"/>
      <c r="Q4215" s="113" t="b">
        <v>1</v>
      </c>
      <c r="R4215" s="113"/>
      <c r="S4215" s="113" t="s">
        <v>4246</v>
      </c>
      <c r="T4215" s="113" t="s">
        <v>4380</v>
      </c>
      <c r="U4215" s="113">
        <v>1.5E-3</v>
      </c>
      <c r="V4215" s="114">
        <v>1.2E-2</v>
      </c>
      <c r="W4215" s="113">
        <v>1.5E-3</v>
      </c>
      <c r="X4215" s="114">
        <v>1.2E-2</v>
      </c>
    </row>
    <row r="4216" spans="2:31" hidden="1" outlineLevel="1">
      <c r="B4216" s="2" t="s">
        <v>876</v>
      </c>
      <c r="D4216" s="111">
        <v>5</v>
      </c>
      <c r="E4216" s="111" t="s">
        <v>4378</v>
      </c>
      <c r="F4216" s="111" t="s">
        <v>4379</v>
      </c>
      <c r="G4216" s="111">
        <v>0</v>
      </c>
      <c r="H4216" s="111"/>
      <c r="I4216" s="111">
        <v>0</v>
      </c>
      <c r="J4216" s="111">
        <v>149999.99</v>
      </c>
      <c r="K4216" s="111">
        <v>0</v>
      </c>
      <c r="L4216" s="111"/>
      <c r="M4216" s="111">
        <v>0</v>
      </c>
      <c r="N4216" s="111">
        <v>0.8</v>
      </c>
      <c r="O4216" s="111"/>
      <c r="P4216" s="111"/>
      <c r="Q4216" s="111" t="b">
        <v>1</v>
      </c>
      <c r="R4216" s="111"/>
      <c r="S4216" s="111" t="s">
        <v>4311</v>
      </c>
      <c r="T4216" s="111" t="s">
        <v>4380</v>
      </c>
      <c r="U4216" s="112">
        <v>0</v>
      </c>
      <c r="V4216" s="112">
        <v>0</v>
      </c>
      <c r="W4216" s="111"/>
      <c r="X4216" s="112">
        <v>0</v>
      </c>
    </row>
    <row r="4217" spans="2:31" hidden="1" outlineLevel="1">
      <c r="B4217" s="2" t="s">
        <v>876</v>
      </c>
      <c r="D4217" s="111">
        <v>6</v>
      </c>
      <c r="E4217" s="111" t="s">
        <v>4378</v>
      </c>
      <c r="F4217" s="111" t="s">
        <v>4379</v>
      </c>
      <c r="G4217" s="111">
        <v>0</v>
      </c>
      <c r="H4217" s="111"/>
      <c r="I4217" s="111">
        <v>150000</v>
      </c>
      <c r="J4217" s="111"/>
      <c r="K4217" s="111">
        <v>0</v>
      </c>
      <c r="L4217" s="111"/>
      <c r="M4217" s="111">
        <v>0</v>
      </c>
      <c r="N4217" s="111">
        <v>0.8</v>
      </c>
      <c r="O4217" s="111"/>
      <c r="P4217" s="111"/>
      <c r="Q4217" s="111" t="b">
        <v>1</v>
      </c>
      <c r="R4217" s="111"/>
      <c r="S4217" s="111" t="s">
        <v>4311</v>
      </c>
      <c r="T4217" s="111" t="s">
        <v>4380</v>
      </c>
      <c r="U4217" s="112">
        <v>1.4E-2</v>
      </c>
      <c r="V4217" s="112">
        <v>1.4E-2</v>
      </c>
      <c r="W4217" s="111"/>
      <c r="X4217" s="112">
        <v>1.4E-2</v>
      </c>
    </row>
    <row r="4218" spans="2:31" hidden="1" outlineLevel="1">
      <c r="B4218" s="2" t="s">
        <v>876</v>
      </c>
      <c r="D4218" s="113">
        <v>7</v>
      </c>
      <c r="E4218" s="113" t="s">
        <v>4378</v>
      </c>
      <c r="F4218" s="113" t="s">
        <v>4379</v>
      </c>
      <c r="G4218" s="113">
        <v>0</v>
      </c>
      <c r="H4218" s="113"/>
      <c r="I4218" s="113">
        <v>0</v>
      </c>
      <c r="J4218" s="113">
        <v>149999.99</v>
      </c>
      <c r="K4218" s="113">
        <v>0</v>
      </c>
      <c r="L4218" s="113"/>
      <c r="M4218" s="113">
        <v>0.8</v>
      </c>
      <c r="N4218" s="113"/>
      <c r="O4218" s="113"/>
      <c r="P4218" s="113"/>
      <c r="Q4218" s="113" t="b">
        <v>1</v>
      </c>
      <c r="R4218" s="113"/>
      <c r="S4218" s="113" t="s">
        <v>4311</v>
      </c>
      <c r="T4218" s="113" t="s">
        <v>4380</v>
      </c>
      <c r="U4218" s="114">
        <v>0</v>
      </c>
      <c r="V4218" s="114">
        <v>0</v>
      </c>
      <c r="W4218" s="113"/>
      <c r="X4218" s="114">
        <v>0</v>
      </c>
    </row>
    <row r="4219" spans="2:31" hidden="1" outlineLevel="1">
      <c r="B4219" s="2" t="s">
        <v>876</v>
      </c>
      <c r="D4219" s="113">
        <v>8</v>
      </c>
      <c r="E4219" s="113" t="s">
        <v>4378</v>
      </c>
      <c r="F4219" s="113" t="s">
        <v>4379</v>
      </c>
      <c r="G4219" s="113">
        <v>0</v>
      </c>
      <c r="H4219" s="113"/>
      <c r="I4219" s="113">
        <v>150000</v>
      </c>
      <c r="J4219" s="113"/>
      <c r="K4219" s="113">
        <v>0</v>
      </c>
      <c r="L4219" s="113"/>
      <c r="M4219" s="113">
        <v>0.8</v>
      </c>
      <c r="N4219" s="113"/>
      <c r="O4219" s="113"/>
      <c r="P4219" s="113"/>
      <c r="Q4219" s="113" t="b">
        <v>1</v>
      </c>
      <c r="R4219" s="113"/>
      <c r="S4219" s="113" t="s">
        <v>4311</v>
      </c>
      <c r="T4219" s="113" t="s">
        <v>4380</v>
      </c>
      <c r="U4219" s="114">
        <v>1.2E-2</v>
      </c>
      <c r="V4219" s="114">
        <v>1.2E-2</v>
      </c>
      <c r="W4219" s="113"/>
      <c r="X4219" s="114">
        <v>1.2E-2</v>
      </c>
    </row>
    <row r="4220" spans="2:31" hidden="1" outlineLevel="1">
      <c r="B4220" s="2" t="s">
        <v>876</v>
      </c>
      <c r="D4220" s="111">
        <v>1</v>
      </c>
      <c r="E4220" s="111" t="s">
        <v>4378</v>
      </c>
      <c r="F4220" s="111" t="s">
        <v>4379</v>
      </c>
      <c r="G4220" s="111">
        <v>0</v>
      </c>
      <c r="H4220" s="111"/>
      <c r="I4220" s="111"/>
      <c r="J4220" s="111"/>
      <c r="K4220" s="111">
        <v>0</v>
      </c>
      <c r="L4220" s="111"/>
      <c r="M4220" s="111">
        <v>0</v>
      </c>
      <c r="N4220" s="111">
        <v>0.8</v>
      </c>
      <c r="O4220" s="111"/>
      <c r="P4220" s="111"/>
      <c r="Q4220" s="111"/>
      <c r="R4220" s="111"/>
      <c r="S4220" s="111" t="s">
        <v>4246</v>
      </c>
      <c r="T4220" s="111"/>
      <c r="U4220" s="111">
        <v>5.0000000000000001E-4</v>
      </c>
      <c r="V4220" s="112">
        <v>0</v>
      </c>
      <c r="W4220" s="111">
        <v>5.0000000000000001E-4</v>
      </c>
      <c r="X4220" s="112">
        <v>0</v>
      </c>
    </row>
    <row r="4221" spans="2:31" hidden="1" outlineLevel="1">
      <c r="B4221" s="2" t="s">
        <v>876</v>
      </c>
      <c r="D4221" s="113">
        <v>2</v>
      </c>
      <c r="E4221" s="113" t="s">
        <v>4378</v>
      </c>
      <c r="F4221" s="113" t="s">
        <v>4379</v>
      </c>
      <c r="G4221" s="113">
        <v>0</v>
      </c>
      <c r="H4221" s="113"/>
      <c r="I4221" s="113"/>
      <c r="J4221" s="113"/>
      <c r="K4221" s="113">
        <v>0</v>
      </c>
      <c r="L4221" s="113"/>
      <c r="M4221" s="113">
        <v>0.8</v>
      </c>
      <c r="N4221" s="113"/>
      <c r="O4221" s="113"/>
      <c r="P4221" s="113"/>
      <c r="Q4221" s="113"/>
      <c r="R4221" s="113"/>
      <c r="S4221" s="113" t="s">
        <v>4246</v>
      </c>
      <c r="T4221" s="113"/>
      <c r="U4221" s="113">
        <v>0</v>
      </c>
      <c r="V4221" s="114">
        <v>0</v>
      </c>
      <c r="W4221" s="113">
        <v>0</v>
      </c>
      <c r="X4221" s="114">
        <v>0</v>
      </c>
    </row>
    <row r="4222" spans="2:31" hidden="1" outlineLevel="1">
      <c r="B4222" s="2" t="s">
        <v>876</v>
      </c>
      <c r="D4222" s="111">
        <v>1</v>
      </c>
      <c r="E4222" s="289" t="s">
        <v>4381</v>
      </c>
      <c r="F4222" s="111" t="s">
        <v>4379</v>
      </c>
      <c r="G4222" s="111">
        <v>0</v>
      </c>
      <c r="H4222" s="111">
        <v>49999.99</v>
      </c>
      <c r="I4222" s="111"/>
      <c r="J4222" s="111"/>
      <c r="K4222" s="111"/>
      <c r="L4222" s="111"/>
      <c r="M4222" s="111"/>
      <c r="N4222" s="111"/>
      <c r="O4222" s="111" t="b">
        <v>0</v>
      </c>
      <c r="P4222" s="111"/>
      <c r="Q4222" s="111"/>
      <c r="R4222" s="111"/>
      <c r="S4222" s="111" t="s">
        <v>4317</v>
      </c>
      <c r="T4222" s="111" t="s">
        <v>4380</v>
      </c>
      <c r="U4222" s="112">
        <v>0</v>
      </c>
      <c r="V4222" s="112">
        <v>0</v>
      </c>
      <c r="W4222" s="111"/>
      <c r="X4222" s="112">
        <v>0</v>
      </c>
      <c r="Z4222" s="290"/>
      <c r="AA4222" s="290"/>
      <c r="AB4222" s="61"/>
      <c r="AD4222" s="61"/>
      <c r="AE4222" s="61"/>
    </row>
    <row r="4223" spans="2:31" hidden="1" outlineLevel="1">
      <c r="B4223" s="2" t="s">
        <v>876</v>
      </c>
      <c r="D4223" s="113">
        <v>2</v>
      </c>
      <c r="E4223" s="291" t="s">
        <v>4381</v>
      </c>
      <c r="F4223" s="113" t="s">
        <v>4379</v>
      </c>
      <c r="G4223" s="113">
        <v>50000</v>
      </c>
      <c r="H4223" s="113"/>
      <c r="I4223" s="113"/>
      <c r="J4223" s="113"/>
      <c r="K4223" s="113"/>
      <c r="L4223" s="113"/>
      <c r="M4223" s="113">
        <v>0</v>
      </c>
      <c r="N4223" s="113">
        <v>0.8</v>
      </c>
      <c r="O4223" s="113" t="b">
        <v>0</v>
      </c>
      <c r="P4223" s="113"/>
      <c r="Q4223" s="113"/>
      <c r="R4223" s="113" t="s">
        <v>497</v>
      </c>
      <c r="S4223" s="113" t="s">
        <v>4317</v>
      </c>
      <c r="T4223" s="113" t="s">
        <v>4380</v>
      </c>
      <c r="U4223" s="114">
        <v>1.0200000000000001E-2</v>
      </c>
      <c r="V4223" s="114">
        <v>1.0200000000000001E-2</v>
      </c>
      <c r="W4223" s="113"/>
      <c r="X4223" s="114">
        <v>1.0200000000000001E-2</v>
      </c>
      <c r="Z4223" s="290"/>
      <c r="AA4223" s="290"/>
      <c r="AB4223" s="61"/>
      <c r="AD4223" s="61"/>
      <c r="AE4223" s="61"/>
    </row>
    <row r="4224" spans="2:31" hidden="1" outlineLevel="1">
      <c r="B4224" s="2" t="s">
        <v>876</v>
      </c>
      <c r="D4224" s="111">
        <v>3</v>
      </c>
      <c r="E4224" s="289" t="s">
        <v>4381</v>
      </c>
      <c r="F4224" s="111" t="s">
        <v>4379</v>
      </c>
      <c r="G4224" s="111">
        <v>50000</v>
      </c>
      <c r="H4224" s="111"/>
      <c r="I4224" s="111"/>
      <c r="J4224" s="111"/>
      <c r="K4224" s="111"/>
      <c r="L4224" s="111"/>
      <c r="M4224" s="111">
        <v>0.8</v>
      </c>
      <c r="N4224" s="111"/>
      <c r="O4224" s="111" t="b">
        <v>0</v>
      </c>
      <c r="P4224" s="111"/>
      <c r="Q4224" s="111"/>
      <c r="R4224" s="111" t="s">
        <v>497</v>
      </c>
      <c r="S4224" s="111" t="s">
        <v>4317</v>
      </c>
      <c r="T4224" s="111" t="s">
        <v>4380</v>
      </c>
      <c r="U4224" s="112">
        <v>7.6E-3</v>
      </c>
      <c r="V4224" s="112">
        <v>7.6E-3</v>
      </c>
      <c r="W4224" s="111"/>
      <c r="X4224" s="112">
        <v>7.6E-3</v>
      </c>
      <c r="Z4224" s="290"/>
      <c r="AA4224" s="290"/>
      <c r="AB4224" s="61"/>
      <c r="AD4224" s="61"/>
      <c r="AE4224" s="61"/>
    </row>
    <row r="4225" spans="2:31" hidden="1" outlineLevel="1">
      <c r="B4225" s="2" t="s">
        <v>876</v>
      </c>
      <c r="D4225" s="113">
        <v>4</v>
      </c>
      <c r="E4225" s="291" t="s">
        <v>4381</v>
      </c>
      <c r="F4225" s="113" t="s">
        <v>4379</v>
      </c>
      <c r="G4225" s="113">
        <v>50000</v>
      </c>
      <c r="H4225" s="113"/>
      <c r="I4225" s="113"/>
      <c r="J4225" s="113"/>
      <c r="K4225" s="113"/>
      <c r="L4225" s="113"/>
      <c r="M4225" s="113">
        <v>0</v>
      </c>
      <c r="N4225" s="113">
        <v>0.8</v>
      </c>
      <c r="O4225" s="113" t="b">
        <v>1</v>
      </c>
      <c r="P4225" s="113"/>
      <c r="Q4225" s="113"/>
      <c r="R4225" s="113" t="s">
        <v>497</v>
      </c>
      <c r="S4225" s="113" t="s">
        <v>4317</v>
      </c>
      <c r="T4225" s="113" t="s">
        <v>4380</v>
      </c>
      <c r="U4225" s="114">
        <v>6.1999999999999998E-3</v>
      </c>
      <c r="V4225" s="114">
        <v>6.1999999999999998E-3</v>
      </c>
      <c r="W4225" s="113"/>
      <c r="X4225" s="114">
        <v>6.1999999999999998E-3</v>
      </c>
      <c r="Z4225" s="290"/>
      <c r="AA4225" s="290"/>
      <c r="AB4225" s="61"/>
      <c r="AD4225" s="61"/>
      <c r="AE4225" s="61"/>
    </row>
    <row r="4226" spans="2:31" hidden="1" outlineLevel="1">
      <c r="B4226" s="2" t="s">
        <v>876</v>
      </c>
      <c r="D4226" s="111">
        <v>5</v>
      </c>
      <c r="E4226" s="289" t="s">
        <v>4381</v>
      </c>
      <c r="F4226" s="111" t="s">
        <v>4379</v>
      </c>
      <c r="G4226" s="111">
        <v>50000</v>
      </c>
      <c r="H4226" s="111"/>
      <c r="I4226" s="111"/>
      <c r="J4226" s="111"/>
      <c r="K4226" s="111"/>
      <c r="L4226" s="111"/>
      <c r="M4226" s="111">
        <v>0.8</v>
      </c>
      <c r="N4226" s="111"/>
      <c r="O4226" s="111" t="b">
        <v>1</v>
      </c>
      <c r="P4226" s="111"/>
      <c r="Q4226" s="111"/>
      <c r="R4226" s="111" t="s">
        <v>497</v>
      </c>
      <c r="S4226" s="111" t="s">
        <v>4317</v>
      </c>
      <c r="T4226" s="111" t="s">
        <v>4380</v>
      </c>
      <c r="U4226" s="112">
        <v>5.1999999999999998E-3</v>
      </c>
      <c r="V4226" s="112">
        <v>5.1999999999999998E-3</v>
      </c>
      <c r="W4226" s="111"/>
      <c r="X4226" s="112">
        <v>5.1999999999999998E-3</v>
      </c>
      <c r="Z4226" s="290"/>
      <c r="AA4226" s="290"/>
      <c r="AB4226" s="61"/>
      <c r="AD4226" s="61"/>
      <c r="AE4226" s="61"/>
    </row>
    <row r="4227" spans="2:31" hidden="1" outlineLevel="1">
      <c r="B4227" s="2" t="s">
        <v>876</v>
      </c>
      <c r="D4227" s="113">
        <v>6</v>
      </c>
      <c r="E4227" s="291" t="s">
        <v>4381</v>
      </c>
      <c r="F4227" s="113" t="s">
        <v>4379</v>
      </c>
      <c r="G4227" s="113">
        <v>50000</v>
      </c>
      <c r="H4227" s="113"/>
      <c r="I4227" s="113"/>
      <c r="J4227" s="113"/>
      <c r="K4227" s="113"/>
      <c r="L4227" s="113"/>
      <c r="M4227" s="113">
        <v>0</v>
      </c>
      <c r="N4227" s="113">
        <v>0.8</v>
      </c>
      <c r="O4227" s="113" t="b">
        <v>1</v>
      </c>
      <c r="P4227" s="113"/>
      <c r="Q4227" s="113"/>
      <c r="R4227" s="113"/>
      <c r="S4227" s="113" t="s">
        <v>4317</v>
      </c>
      <c r="T4227" s="113" t="s">
        <v>4380</v>
      </c>
      <c r="U4227" s="114">
        <v>4.1000000000000003E-3</v>
      </c>
      <c r="V4227" s="114">
        <v>6.1999999999999998E-3</v>
      </c>
      <c r="W4227" s="113"/>
      <c r="X4227" s="114">
        <v>4.1000000000000003E-3</v>
      </c>
      <c r="Z4227" s="290"/>
      <c r="AA4227" s="290"/>
      <c r="AB4227" s="61"/>
      <c r="AD4227" s="61"/>
      <c r="AE4227" s="61"/>
    </row>
    <row r="4228" spans="2:31" hidden="1" outlineLevel="1">
      <c r="B4228" s="2" t="s">
        <v>876</v>
      </c>
      <c r="D4228" s="111">
        <v>7</v>
      </c>
      <c r="E4228" s="289" t="s">
        <v>4381</v>
      </c>
      <c r="F4228" s="111" t="s">
        <v>4379</v>
      </c>
      <c r="G4228" s="111">
        <v>50000</v>
      </c>
      <c r="H4228" s="111"/>
      <c r="I4228" s="111"/>
      <c r="J4228" s="111"/>
      <c r="K4228" s="111"/>
      <c r="L4228" s="111"/>
      <c r="M4228" s="111">
        <v>0.8</v>
      </c>
      <c r="N4228" s="111"/>
      <c r="O4228" s="111" t="b">
        <v>1</v>
      </c>
      <c r="P4228" s="111"/>
      <c r="Q4228" s="111"/>
      <c r="R4228" s="111"/>
      <c r="S4228" s="111" t="s">
        <v>4317</v>
      </c>
      <c r="T4228" s="111" t="s">
        <v>4380</v>
      </c>
      <c r="U4228" s="112">
        <v>4.1000000000000003E-3</v>
      </c>
      <c r="V4228" s="112">
        <v>5.1999999999999998E-3</v>
      </c>
      <c r="W4228" s="111"/>
      <c r="X4228" s="112">
        <v>4.1000000000000003E-3</v>
      </c>
      <c r="Z4228" s="290"/>
      <c r="AA4228" s="290"/>
      <c r="AB4228" s="61"/>
      <c r="AD4228" s="61"/>
      <c r="AE4228" s="61"/>
    </row>
    <row r="4229" spans="2:31" hidden="1" outlineLevel="1">
      <c r="B4229" s="2" t="s">
        <v>889</v>
      </c>
      <c r="D4229" s="292"/>
      <c r="E4229" s="293"/>
      <c r="F4229" s="292"/>
      <c r="G4229" s="294"/>
      <c r="H4229" s="294"/>
      <c r="I4229" s="294"/>
      <c r="M4229" s="295"/>
      <c r="N4229" s="296"/>
      <c r="O4229" s="296"/>
      <c r="P4229" s="297"/>
      <c r="Q4229" s="297"/>
    </row>
    <row r="4230" spans="2:31" hidden="1" outlineLevel="1">
      <c r="B4230" s="2" t="s">
        <v>833</v>
      </c>
    </row>
    <row r="4231" spans="2:31" hidden="1" outlineLevel="1">
      <c r="B4231" s="2" t="s">
        <v>870</v>
      </c>
      <c r="D4231" s="102" t="s">
        <v>4382</v>
      </c>
      <c r="E4231" s="103"/>
      <c r="F4231" s="103"/>
      <c r="G4231" s="103"/>
      <c r="H4231" s="103"/>
      <c r="I4231" s="103"/>
      <c r="J4231" s="103"/>
      <c r="K4231" s="103"/>
      <c r="L4231" s="104"/>
    </row>
    <row r="4232" spans="2:31" hidden="1" outlineLevel="1">
      <c r="B4232" s="2" t="s">
        <v>833</v>
      </c>
      <c r="D4232" s="210" t="s">
        <v>843</v>
      </c>
      <c r="E4232" s="210" t="s">
        <v>844</v>
      </c>
      <c r="F4232" s="210" t="s">
        <v>845</v>
      </c>
      <c r="G4232" s="210" t="s">
        <v>846</v>
      </c>
      <c r="H4232" s="210" t="s">
        <v>847</v>
      </c>
      <c r="I4232" s="209" t="s">
        <v>848</v>
      </c>
      <c r="J4232" s="210" t="s">
        <v>849</v>
      </c>
      <c r="K4232" s="210" t="s">
        <v>850</v>
      </c>
      <c r="L4232" s="210" t="s">
        <v>8055</v>
      </c>
      <c r="M4232" s="210" t="s">
        <v>8168</v>
      </c>
      <c r="N4232" s="210" t="s">
        <v>8571</v>
      </c>
      <c r="O4232" s="210" t="s">
        <v>8755</v>
      </c>
      <c r="P4232" s="210" t="s">
        <v>8892</v>
      </c>
    </row>
    <row r="4233" spans="2:31" hidden="1" outlineLevel="1">
      <c r="B4233" s="2" t="s">
        <v>833</v>
      </c>
      <c r="D4233" s="226" t="s">
        <v>4383</v>
      </c>
      <c r="E4233" s="226" t="s">
        <v>4384</v>
      </c>
      <c r="F4233" s="226" t="s">
        <v>4385</v>
      </c>
      <c r="G4233" s="226" t="s">
        <v>4386</v>
      </c>
      <c r="H4233" s="226" t="s">
        <v>4387</v>
      </c>
      <c r="I4233" s="226" t="s">
        <v>4388</v>
      </c>
      <c r="J4233" s="226" t="s">
        <v>4389</v>
      </c>
      <c r="K4233" s="239" t="s">
        <v>4390</v>
      </c>
      <c r="L4233" s="239" t="s">
        <v>4391</v>
      </c>
    </row>
    <row r="4234" spans="2:31" hidden="1" outlineLevel="1">
      <c r="B4234" s="2" t="s">
        <v>874</v>
      </c>
      <c r="C4234" s="124"/>
      <c r="D4234" s="138" t="s">
        <v>4392</v>
      </c>
      <c r="E4234" s="138" t="s">
        <v>4393</v>
      </c>
      <c r="F4234" s="138" t="s">
        <v>4394</v>
      </c>
      <c r="G4234" s="138" t="s">
        <v>4395</v>
      </c>
      <c r="H4234" s="138" t="s">
        <v>4396</v>
      </c>
      <c r="I4234" s="138" t="s">
        <v>4397</v>
      </c>
      <c r="J4234" s="138" t="s">
        <v>4398</v>
      </c>
      <c r="K4234" s="138" t="s">
        <v>4399</v>
      </c>
      <c r="L4234" s="138" t="s">
        <v>4400</v>
      </c>
    </row>
    <row r="4235" spans="2:31" hidden="1" outlineLevel="1">
      <c r="B4235" s="2" t="s">
        <v>876</v>
      </c>
      <c r="D4235" s="111" t="b">
        <v>1</v>
      </c>
      <c r="E4235" s="111"/>
      <c r="F4235" s="111"/>
      <c r="G4235" s="111"/>
      <c r="H4235" s="111"/>
      <c r="I4235" s="111"/>
      <c r="J4235" s="111"/>
      <c r="K4235" s="111" t="b">
        <v>0</v>
      </c>
      <c r="L4235" s="112" t="b">
        <v>0</v>
      </c>
    </row>
    <row r="4236" spans="2:31" hidden="1" outlineLevel="1">
      <c r="B4236" s="2" t="s">
        <v>876</v>
      </c>
      <c r="D4236" s="113" t="b">
        <v>0</v>
      </c>
      <c r="E4236" s="113"/>
      <c r="F4236" s="113" t="s">
        <v>4401</v>
      </c>
      <c r="G4236" s="113"/>
      <c r="H4236" s="113" t="s">
        <v>4311</v>
      </c>
      <c r="I4236" s="113" t="s">
        <v>4267</v>
      </c>
      <c r="J4236" s="113"/>
      <c r="K4236" s="113" t="b">
        <v>1</v>
      </c>
      <c r="L4236" s="114" t="b">
        <v>1</v>
      </c>
    </row>
    <row r="4237" spans="2:31" hidden="1" outlineLevel="1">
      <c r="B4237" s="2" t="s">
        <v>876</v>
      </c>
      <c r="D4237" s="111" t="b">
        <v>0</v>
      </c>
      <c r="E4237" s="111"/>
      <c r="F4237" s="111" t="s">
        <v>4401</v>
      </c>
      <c r="G4237" s="111"/>
      <c r="H4237" s="111" t="s">
        <v>4246</v>
      </c>
      <c r="I4237" s="111" t="s">
        <v>4402</v>
      </c>
      <c r="J4237" s="111"/>
      <c r="K4237" s="111" t="b">
        <v>0</v>
      </c>
      <c r="L4237" s="112" t="b">
        <v>1</v>
      </c>
    </row>
    <row r="4238" spans="2:31" hidden="1" outlineLevel="1">
      <c r="B4238" s="2" t="s">
        <v>876</v>
      </c>
      <c r="D4238" s="113" t="b">
        <v>0</v>
      </c>
      <c r="E4238" s="113"/>
      <c r="F4238" s="113" t="s">
        <v>4401</v>
      </c>
      <c r="G4238" s="113"/>
      <c r="H4238" s="113" t="s">
        <v>4311</v>
      </c>
      <c r="I4238" s="113" t="s">
        <v>4247</v>
      </c>
      <c r="J4238" s="113"/>
      <c r="K4238" s="113" t="b">
        <v>1</v>
      </c>
      <c r="L4238" s="114"/>
    </row>
    <row r="4239" spans="2:31" hidden="1" outlineLevel="1">
      <c r="B4239" s="2" t="s">
        <v>876</v>
      </c>
      <c r="D4239" s="111" t="b">
        <v>0</v>
      </c>
      <c r="E4239" s="111"/>
      <c r="F4239" s="111" t="s">
        <v>4317</v>
      </c>
      <c r="G4239" s="111"/>
      <c r="H4239" s="111" t="s">
        <v>4317</v>
      </c>
      <c r="I4239" s="111" t="s">
        <v>4267</v>
      </c>
      <c r="J4239" s="111"/>
      <c r="K4239" s="111" t="b">
        <v>1</v>
      </c>
      <c r="L4239" s="112" t="b">
        <v>1</v>
      </c>
    </row>
    <row r="4240" spans="2:31" hidden="1" outlineLevel="1">
      <c r="B4240" s="2" t="s">
        <v>876</v>
      </c>
      <c r="D4240" s="113" t="b">
        <v>0</v>
      </c>
      <c r="E4240" s="113"/>
      <c r="F4240" s="113"/>
      <c r="G4240" s="113" t="s">
        <v>4403</v>
      </c>
      <c r="H4240" s="113"/>
      <c r="I4240" s="113" t="s">
        <v>4403</v>
      </c>
      <c r="J4240" s="113" t="b">
        <v>0</v>
      </c>
      <c r="K4240" s="113" t="b">
        <v>1</v>
      </c>
      <c r="L4240" s="114"/>
    </row>
    <row r="4241" spans="2:20" hidden="1" outlineLevel="1">
      <c r="B4241" s="2" t="s">
        <v>876</v>
      </c>
      <c r="D4241" s="111" t="b">
        <v>0</v>
      </c>
      <c r="E4241" s="111"/>
      <c r="F4241" s="111"/>
      <c r="G4241" s="111"/>
      <c r="H4241" s="111"/>
      <c r="I4241" s="111"/>
      <c r="J4241" s="111"/>
      <c r="K4241" s="111" t="b">
        <v>0</v>
      </c>
      <c r="L4241" s="112" t="b">
        <v>0</v>
      </c>
    </row>
    <row r="4242" spans="2:20" hidden="1" outlineLevel="1">
      <c r="B4242" s="2" t="s">
        <v>889</v>
      </c>
      <c r="D4242" s="292"/>
      <c r="E4242" s="293"/>
      <c r="F4242" s="292"/>
      <c r="G4242" s="294"/>
      <c r="H4242" s="294"/>
      <c r="I4242" s="294"/>
      <c r="M4242" s="295"/>
      <c r="N4242" s="296"/>
      <c r="O4242" s="296"/>
      <c r="P4242" s="297"/>
      <c r="Q4242" s="297"/>
    </row>
    <row r="4243" spans="2:20" collapsed="1">
      <c r="B4243" s="2" t="s">
        <v>833</v>
      </c>
      <c r="C4243" s="246" t="s">
        <v>4404</v>
      </c>
      <c r="D4243" s="209" t="s">
        <v>843</v>
      </c>
      <c r="E4243" s="210" t="s">
        <v>844</v>
      </c>
      <c r="F4243" s="210" t="s">
        <v>845</v>
      </c>
      <c r="G4243" s="210" t="s">
        <v>846</v>
      </c>
      <c r="H4243" s="210" t="s">
        <v>847</v>
      </c>
      <c r="I4243" s="210" t="s">
        <v>848</v>
      </c>
      <c r="J4243" s="210" t="s">
        <v>849</v>
      </c>
      <c r="K4243" s="210" t="s">
        <v>850</v>
      </c>
      <c r="L4243" s="210" t="s">
        <v>8055</v>
      </c>
      <c r="M4243" s="210" t="s">
        <v>8168</v>
      </c>
      <c r="N4243" s="210" t="s">
        <v>8571</v>
      </c>
      <c r="O4243" s="210" t="s">
        <v>8755</v>
      </c>
      <c r="P4243" s="210" t="s">
        <v>8892</v>
      </c>
    </row>
    <row r="4244" spans="2:20" hidden="1" outlineLevel="1">
      <c r="B4244" s="2" t="s">
        <v>833</v>
      </c>
    </row>
    <row r="4245" spans="2:20" hidden="1" outlineLevel="1">
      <c r="B4245" s="2" t="s">
        <v>853</v>
      </c>
      <c r="C4245" s="138" t="s">
        <v>4405</v>
      </c>
      <c r="D4245" s="114" t="s">
        <v>4406</v>
      </c>
      <c r="E4245" s="114" t="s">
        <v>4337</v>
      </c>
    </row>
    <row r="4246" spans="2:20" hidden="1" outlineLevel="1">
      <c r="B4246" s="2" t="s">
        <v>853</v>
      </c>
      <c r="C4246" s="138" t="s">
        <v>4407</v>
      </c>
      <c r="D4246" s="114" t="s">
        <v>4408</v>
      </c>
      <c r="E4246" s="114" t="s">
        <v>4409</v>
      </c>
    </row>
    <row r="4247" spans="2:20" hidden="1" outlineLevel="1">
      <c r="B4247" s="2" t="s">
        <v>853</v>
      </c>
      <c r="C4247" s="138" t="s">
        <v>4410</v>
      </c>
      <c r="D4247" s="114" t="s">
        <v>4411</v>
      </c>
      <c r="E4247" s="114" t="b">
        <v>0</v>
      </c>
    </row>
    <row r="4248" spans="2:20" hidden="1" outlineLevel="1">
      <c r="B4248" s="2" t="s">
        <v>853</v>
      </c>
      <c r="C4248" s="138" t="s">
        <v>4412</v>
      </c>
      <c r="D4248" s="114" t="s">
        <v>4413</v>
      </c>
      <c r="E4248" s="114" t="b">
        <v>0</v>
      </c>
    </row>
    <row r="4249" spans="2:20" hidden="1" outlineLevel="1">
      <c r="B4249" s="2" t="s">
        <v>833</v>
      </c>
    </row>
    <row r="4250" spans="2:20" hidden="1" outlineLevel="1" collapsed="1">
      <c r="B4250" s="2" t="s">
        <v>870</v>
      </c>
      <c r="D4250" s="102" t="s">
        <v>4414</v>
      </c>
      <c r="E4250" s="102"/>
      <c r="F4250" s="103"/>
      <c r="G4250" s="103"/>
      <c r="H4250" s="103"/>
      <c r="I4250" s="103"/>
      <c r="J4250" s="104"/>
    </row>
    <row r="4251" spans="2:20" hidden="1" outlineLevel="2">
      <c r="B4251" s="2" t="s">
        <v>833</v>
      </c>
      <c r="D4251" s="298" t="s">
        <v>4415</v>
      </c>
      <c r="E4251" s="298" t="s">
        <v>4416</v>
      </c>
      <c r="F4251" s="298" t="s">
        <v>4417</v>
      </c>
      <c r="G4251" s="298" t="s">
        <v>4418</v>
      </c>
      <c r="H4251" s="298" t="s">
        <v>4419</v>
      </c>
      <c r="I4251" s="298" t="s">
        <v>4420</v>
      </c>
      <c r="J4251" s="298" t="s">
        <v>4421</v>
      </c>
    </row>
    <row r="4252" spans="2:20" hidden="1" outlineLevel="2">
      <c r="B4252" s="2" t="s">
        <v>874</v>
      </c>
      <c r="D4252" s="138" t="s">
        <v>4422</v>
      </c>
      <c r="E4252" s="138" t="s">
        <v>4423</v>
      </c>
      <c r="F4252" s="138" t="s">
        <v>4424</v>
      </c>
      <c r="G4252" s="138" t="s">
        <v>4425</v>
      </c>
      <c r="H4252" s="138" t="s">
        <v>4426</v>
      </c>
      <c r="I4252" s="251" t="s">
        <v>4427</v>
      </c>
      <c r="J4252" s="251" t="s">
        <v>4428</v>
      </c>
    </row>
    <row r="4253" spans="2:20" hidden="1" outlineLevel="2">
      <c r="B4253" s="2" t="s">
        <v>876</v>
      </c>
      <c r="D4253" s="111">
        <v>1</v>
      </c>
      <c r="E4253" s="111" t="s">
        <v>4429</v>
      </c>
      <c r="F4253" s="111">
        <v>6000</v>
      </c>
      <c r="G4253" s="111">
        <v>50000</v>
      </c>
      <c r="H4253" s="111" t="b">
        <v>0</v>
      </c>
      <c r="I4253" s="112" t="b">
        <v>0</v>
      </c>
      <c r="J4253" s="112"/>
      <c r="R4253" s="295"/>
      <c r="S4253" s="295"/>
      <c r="T4253" s="295"/>
    </row>
    <row r="4254" spans="2:20" hidden="1" outlineLevel="2">
      <c r="B4254" s="2" t="s">
        <v>876</v>
      </c>
      <c r="D4254" s="111">
        <v>2</v>
      </c>
      <c r="E4254" s="111" t="s">
        <v>4430</v>
      </c>
      <c r="F4254" s="111">
        <v>6000</v>
      </c>
      <c r="G4254" s="111">
        <v>50000</v>
      </c>
      <c r="H4254" s="111" t="b">
        <v>1</v>
      </c>
      <c r="I4254" s="112" t="b">
        <v>0</v>
      </c>
      <c r="J4254" s="112" t="s">
        <v>4431</v>
      </c>
      <c r="R4254" s="295"/>
      <c r="S4254" s="295"/>
      <c r="T4254" s="295"/>
    </row>
    <row r="4255" spans="2:20" hidden="1" outlineLevel="2">
      <c r="B4255" s="2" t="s">
        <v>876</v>
      </c>
      <c r="D4255" s="111">
        <v>3</v>
      </c>
      <c r="E4255" s="111" t="s">
        <v>4432</v>
      </c>
      <c r="F4255" s="111">
        <v>6000</v>
      </c>
      <c r="G4255" s="111">
        <v>50000</v>
      </c>
      <c r="H4255" s="111" t="b">
        <v>0</v>
      </c>
      <c r="I4255" s="112" t="b">
        <v>0</v>
      </c>
      <c r="J4255" s="112" t="s">
        <v>4431</v>
      </c>
      <c r="R4255" s="295"/>
      <c r="S4255" s="295"/>
      <c r="T4255" s="295"/>
    </row>
    <row r="4256" spans="2:20" hidden="1" outlineLevel="2">
      <c r="B4256" s="2" t="s">
        <v>876</v>
      </c>
      <c r="D4256" s="111">
        <v>4</v>
      </c>
      <c r="E4256" s="111" t="s">
        <v>4433</v>
      </c>
      <c r="F4256" s="111">
        <v>6000</v>
      </c>
      <c r="G4256" s="111">
        <v>50000</v>
      </c>
      <c r="H4256" s="111" t="b">
        <v>0</v>
      </c>
      <c r="I4256" s="112" t="b">
        <v>0</v>
      </c>
      <c r="J4256" s="299" t="s">
        <v>4434</v>
      </c>
      <c r="R4256" s="295"/>
      <c r="S4256" s="295"/>
      <c r="T4256" s="295"/>
    </row>
    <row r="4257" spans="2:20" hidden="1" outlineLevel="2">
      <c r="B4257" s="2" t="s">
        <v>876</v>
      </c>
      <c r="D4257" s="111">
        <v>9</v>
      </c>
      <c r="E4257" s="111" t="s">
        <v>4435</v>
      </c>
      <c r="F4257" s="111">
        <v>1000</v>
      </c>
      <c r="G4257" s="111">
        <v>50000</v>
      </c>
      <c r="H4257" s="111" t="b">
        <v>0</v>
      </c>
      <c r="I4257" s="112" t="b">
        <v>0</v>
      </c>
      <c r="J4257" s="299"/>
      <c r="R4257" s="295"/>
      <c r="S4257" s="295"/>
      <c r="T4257" s="295"/>
    </row>
    <row r="4258" spans="2:20" hidden="1" outlineLevel="2">
      <c r="B4258" s="2" t="s">
        <v>876</v>
      </c>
      <c r="D4258" s="111">
        <v>8</v>
      </c>
      <c r="E4258" s="111" t="s">
        <v>4436</v>
      </c>
      <c r="F4258" s="111">
        <v>6000</v>
      </c>
      <c r="G4258" s="111">
        <v>50000</v>
      </c>
      <c r="H4258" s="111" t="b">
        <v>0</v>
      </c>
      <c r="I4258" s="112" t="b">
        <v>0</v>
      </c>
      <c r="J4258" s="112" t="s">
        <v>4431</v>
      </c>
      <c r="R4258" s="295"/>
      <c r="S4258" s="295"/>
      <c r="T4258" s="295"/>
    </row>
    <row r="4259" spans="2:20" hidden="1" outlineLevel="2">
      <c r="B4259" s="2" t="s">
        <v>876</v>
      </c>
      <c r="D4259" s="111">
        <v>5</v>
      </c>
      <c r="E4259" s="111" t="s">
        <v>4437</v>
      </c>
      <c r="F4259" s="111">
        <v>15000</v>
      </c>
      <c r="G4259" s="111">
        <v>75000</v>
      </c>
      <c r="H4259" s="111" t="b">
        <v>0</v>
      </c>
      <c r="I4259" s="112" t="b">
        <v>1</v>
      </c>
      <c r="J4259" s="112" t="s">
        <v>4431</v>
      </c>
      <c r="R4259" s="295"/>
      <c r="S4259" s="295"/>
      <c r="T4259" s="295"/>
    </row>
    <row r="4260" spans="2:20" hidden="1" outlineLevel="2">
      <c r="B4260" s="2" t="s">
        <v>876</v>
      </c>
      <c r="D4260" s="111">
        <v>7</v>
      </c>
      <c r="E4260" s="111" t="s">
        <v>4438</v>
      </c>
      <c r="F4260" s="111">
        <v>15000</v>
      </c>
      <c r="G4260" s="111">
        <v>75000</v>
      </c>
      <c r="H4260" s="111" t="b">
        <v>1</v>
      </c>
      <c r="I4260" s="112" t="b">
        <v>1</v>
      </c>
      <c r="J4260" s="112" t="s">
        <v>4431</v>
      </c>
      <c r="R4260" s="295"/>
      <c r="S4260" s="295"/>
      <c r="T4260" s="295"/>
    </row>
    <row r="4261" spans="2:20" hidden="1" outlineLevel="2">
      <c r="B4261" s="2" t="s">
        <v>876</v>
      </c>
      <c r="D4261" s="111">
        <v>10</v>
      </c>
      <c r="E4261" s="111" t="s">
        <v>4439</v>
      </c>
      <c r="F4261" s="111">
        <v>0</v>
      </c>
      <c r="G4261" s="111">
        <v>0</v>
      </c>
      <c r="H4261" s="111" t="b">
        <v>0</v>
      </c>
      <c r="I4261" s="112" t="b">
        <v>0</v>
      </c>
      <c r="J4261" s="112"/>
      <c r="R4261" s="295"/>
      <c r="S4261" s="295"/>
      <c r="T4261" s="295"/>
    </row>
    <row r="4262" spans="2:20" hidden="1" outlineLevel="2">
      <c r="B4262" s="2" t="s">
        <v>876</v>
      </c>
      <c r="D4262" s="111">
        <v>6</v>
      </c>
      <c r="E4262" s="111" t="s">
        <v>4440</v>
      </c>
      <c r="F4262" s="111"/>
      <c r="G4262" s="111"/>
      <c r="H4262" s="111"/>
      <c r="I4262" s="112"/>
      <c r="J4262" s="112"/>
      <c r="R4262" s="295"/>
      <c r="S4262" s="295"/>
      <c r="T4262" s="295"/>
    </row>
    <row r="4263" spans="2:20" hidden="1" outlineLevel="2">
      <c r="B4263" s="2" t="s">
        <v>889</v>
      </c>
      <c r="R4263" s="295"/>
      <c r="S4263" s="295"/>
      <c r="T4263" s="295"/>
    </row>
    <row r="4264" spans="2:20" hidden="1" outlineLevel="1" collapsed="1">
      <c r="B4264" s="2" t="s">
        <v>870</v>
      </c>
      <c r="D4264" s="102" t="s">
        <v>4441</v>
      </c>
      <c r="E4264" s="103"/>
      <c r="F4264" s="103"/>
      <c r="G4264" s="104"/>
    </row>
    <row r="4265" spans="2:20" hidden="1" outlineLevel="2">
      <c r="B4265" s="2" t="s">
        <v>833</v>
      </c>
      <c r="D4265" s="298" t="s">
        <v>4442</v>
      </c>
      <c r="E4265" s="298" t="s">
        <v>4443</v>
      </c>
      <c r="F4265" s="298" t="s">
        <v>4443</v>
      </c>
      <c r="G4265" s="298" t="s">
        <v>4415</v>
      </c>
    </row>
    <row r="4266" spans="2:20" hidden="1" outlineLevel="2">
      <c r="B4266" s="2" t="s">
        <v>874</v>
      </c>
      <c r="D4266" s="138" t="s">
        <v>4444</v>
      </c>
      <c r="E4266" s="138" t="s">
        <v>4445</v>
      </c>
      <c r="F4266" s="138" t="s">
        <v>4446</v>
      </c>
      <c r="G4266" s="138" t="s">
        <v>4422</v>
      </c>
    </row>
    <row r="4267" spans="2:20" hidden="1" outlineLevel="2">
      <c r="B4267" s="2" t="s">
        <v>876</v>
      </c>
      <c r="D4267" s="111">
        <v>7</v>
      </c>
      <c r="E4267" s="111" t="s">
        <v>4439</v>
      </c>
      <c r="F4267" s="111" t="s">
        <v>4447</v>
      </c>
      <c r="G4267" s="112" t="s">
        <v>4448</v>
      </c>
      <c r="R4267" s="295"/>
      <c r="S4267" s="295"/>
      <c r="T4267" s="295"/>
    </row>
    <row r="4268" spans="2:20" hidden="1" outlineLevel="2">
      <c r="B4268" s="2" t="s">
        <v>876</v>
      </c>
      <c r="D4268" s="111">
        <v>1</v>
      </c>
      <c r="E4268" s="111" t="s">
        <v>4440</v>
      </c>
      <c r="F4268" s="111" t="s">
        <v>4449</v>
      </c>
      <c r="G4268" s="112" t="s">
        <v>4450</v>
      </c>
      <c r="R4268" s="295"/>
      <c r="S4268" s="295"/>
      <c r="T4268" s="295"/>
    </row>
    <row r="4269" spans="2:20" hidden="1" outlineLevel="2">
      <c r="B4269" s="2" t="s">
        <v>876</v>
      </c>
      <c r="D4269" s="111">
        <v>2</v>
      </c>
      <c r="E4269" s="111" t="s">
        <v>4451</v>
      </c>
      <c r="F4269" s="111" t="s">
        <v>4447</v>
      </c>
      <c r="G4269" s="112" t="s">
        <v>4450</v>
      </c>
      <c r="R4269" s="295"/>
      <c r="S4269" s="295"/>
      <c r="T4269" s="295"/>
    </row>
    <row r="4270" spans="2:20" hidden="1" outlineLevel="2">
      <c r="B4270" s="2" t="s">
        <v>876</v>
      </c>
      <c r="D4270" s="111">
        <v>3</v>
      </c>
      <c r="E4270" s="111" t="s">
        <v>4452</v>
      </c>
      <c r="F4270" s="111" t="s">
        <v>4447</v>
      </c>
      <c r="G4270" s="112" t="s">
        <v>4453</v>
      </c>
      <c r="R4270" s="295"/>
      <c r="S4270" s="295"/>
      <c r="T4270" s="295"/>
    </row>
    <row r="4271" spans="2:20" hidden="1" outlineLevel="2">
      <c r="B4271" s="2" t="s">
        <v>876</v>
      </c>
      <c r="D4271" s="111">
        <v>4</v>
      </c>
      <c r="E4271" s="111" t="s">
        <v>4454</v>
      </c>
      <c r="F4271" s="111" t="s">
        <v>4447</v>
      </c>
      <c r="G4271" s="277" t="s">
        <v>4455</v>
      </c>
      <c r="R4271" s="295"/>
      <c r="S4271" s="295"/>
      <c r="T4271" s="295"/>
    </row>
    <row r="4272" spans="2:20" hidden="1" outlineLevel="2">
      <c r="B4272" s="2" t="s">
        <v>876</v>
      </c>
      <c r="D4272" s="111">
        <v>5</v>
      </c>
      <c r="E4272" s="111" t="s">
        <v>4456</v>
      </c>
      <c r="F4272" s="111" t="s">
        <v>4447</v>
      </c>
      <c r="G4272" s="112" t="s">
        <v>4457</v>
      </c>
      <c r="R4272" s="295"/>
      <c r="S4272" s="295"/>
      <c r="T4272" s="295"/>
    </row>
    <row r="4273" spans="2:20" hidden="1" outlineLevel="2">
      <c r="B4273" s="2" t="s">
        <v>876</v>
      </c>
      <c r="D4273" s="111">
        <v>6</v>
      </c>
      <c r="E4273" s="111" t="s">
        <v>4458</v>
      </c>
      <c r="F4273" s="111" t="s">
        <v>4447</v>
      </c>
      <c r="G4273" s="112" t="s">
        <v>4459</v>
      </c>
      <c r="R4273" s="295"/>
      <c r="S4273" s="295"/>
      <c r="T4273" s="295"/>
    </row>
    <row r="4274" spans="2:20" hidden="1" outlineLevel="2">
      <c r="B4274" s="2" t="s">
        <v>889</v>
      </c>
      <c r="R4274" s="295"/>
      <c r="S4274" s="295"/>
      <c r="T4274" s="295"/>
    </row>
    <row r="4275" spans="2:20" hidden="1" outlineLevel="1" collapsed="1">
      <c r="B4275" s="2" t="s">
        <v>870</v>
      </c>
      <c r="D4275" s="102" t="s">
        <v>4460</v>
      </c>
      <c r="E4275" s="103"/>
      <c r="F4275" s="103"/>
      <c r="G4275" s="103"/>
      <c r="H4275" s="104"/>
    </row>
    <row r="4276" spans="2:20" hidden="1" outlineLevel="2">
      <c r="B4276" s="2" t="s">
        <v>833</v>
      </c>
      <c r="D4276" s="298" t="s">
        <v>4461</v>
      </c>
      <c r="E4276" s="298" t="s">
        <v>4462</v>
      </c>
      <c r="F4276" s="298" t="s">
        <v>4463</v>
      </c>
      <c r="G4276" s="298" t="s">
        <v>4464</v>
      </c>
      <c r="H4276" s="298" t="s">
        <v>4421</v>
      </c>
    </row>
    <row r="4277" spans="2:20" hidden="1" outlineLevel="2">
      <c r="B4277" s="2" t="s">
        <v>874</v>
      </c>
      <c r="D4277" s="138" t="s">
        <v>4465</v>
      </c>
      <c r="E4277" s="138" t="s">
        <v>4466</v>
      </c>
      <c r="F4277" s="138" t="s">
        <v>4467</v>
      </c>
      <c r="G4277" s="138" t="s">
        <v>4427</v>
      </c>
      <c r="H4277" s="138" t="s">
        <v>4428</v>
      </c>
    </row>
    <row r="4278" spans="2:20" ht="16" hidden="1" outlineLevel="2">
      <c r="B4278" s="2" t="s">
        <v>876</v>
      </c>
      <c r="D4278" s="111">
        <v>1</v>
      </c>
      <c r="E4278" s="111" t="s">
        <v>4468</v>
      </c>
      <c r="F4278" s="300" t="s">
        <v>4447</v>
      </c>
      <c r="G4278" s="111" t="b">
        <v>0</v>
      </c>
      <c r="H4278" s="112"/>
      <c r="R4278" s="295"/>
      <c r="S4278" s="295"/>
      <c r="T4278" s="295"/>
    </row>
    <row r="4279" spans="2:20" hidden="1" outlineLevel="2">
      <c r="B4279" s="2" t="s">
        <v>876</v>
      </c>
      <c r="D4279" s="111">
        <v>2</v>
      </c>
      <c r="E4279" s="111" t="s">
        <v>4469</v>
      </c>
      <c r="F4279" s="111" t="s">
        <v>4447</v>
      </c>
      <c r="G4279" s="111" t="b">
        <v>0</v>
      </c>
      <c r="H4279" s="112" t="s">
        <v>4470</v>
      </c>
      <c r="R4279" s="295"/>
      <c r="S4279" s="295"/>
      <c r="T4279" s="295"/>
    </row>
    <row r="4280" spans="2:20" hidden="1" outlineLevel="2">
      <c r="B4280" s="2" t="s">
        <v>876</v>
      </c>
      <c r="D4280" s="111">
        <v>3</v>
      </c>
      <c r="E4280" s="111" t="s">
        <v>4471</v>
      </c>
      <c r="F4280" s="111" t="s">
        <v>4447</v>
      </c>
      <c r="G4280" s="111" t="b">
        <v>0</v>
      </c>
      <c r="H4280" s="112"/>
      <c r="R4280" s="295"/>
      <c r="S4280" s="295"/>
      <c r="T4280" s="295"/>
    </row>
    <row r="4281" spans="2:20" hidden="1" outlineLevel="2">
      <c r="B4281" s="2" t="s">
        <v>876</v>
      </c>
      <c r="D4281" s="111">
        <v>4</v>
      </c>
      <c r="E4281" s="111" t="s">
        <v>4472</v>
      </c>
      <c r="F4281" s="111" t="s">
        <v>4447</v>
      </c>
      <c r="G4281" s="111" t="b">
        <v>0</v>
      </c>
      <c r="H4281" s="277" t="s">
        <v>4473</v>
      </c>
      <c r="R4281" s="295"/>
      <c r="S4281" s="295"/>
      <c r="T4281" s="295"/>
    </row>
    <row r="4282" spans="2:20" ht="16" hidden="1" outlineLevel="2">
      <c r="B4282" s="2" t="s">
        <v>876</v>
      </c>
      <c r="D4282" s="111">
        <v>5</v>
      </c>
      <c r="E4282" s="111" t="s">
        <v>4474</v>
      </c>
      <c r="F4282" s="300" t="s">
        <v>4447</v>
      </c>
      <c r="G4282" s="111" t="b">
        <v>1</v>
      </c>
      <c r="H4282" s="277" t="s">
        <v>4475</v>
      </c>
      <c r="R4282" s="295"/>
      <c r="S4282" s="295"/>
      <c r="T4282" s="295"/>
    </row>
    <row r="4283" spans="2:20" hidden="1" outlineLevel="2">
      <c r="B4283" s="2" t="s">
        <v>876</v>
      </c>
      <c r="D4283" s="111">
        <v>6</v>
      </c>
      <c r="E4283" s="111" t="s">
        <v>4476</v>
      </c>
      <c r="F4283" s="111" t="s">
        <v>4449</v>
      </c>
      <c r="G4283" s="111" t="b">
        <v>0</v>
      </c>
      <c r="H4283" s="112"/>
      <c r="R4283" s="295"/>
      <c r="S4283" s="295"/>
      <c r="T4283" s="295"/>
    </row>
    <row r="4284" spans="2:20" hidden="1" outlineLevel="2">
      <c r="B4284" s="2" t="s">
        <v>876</v>
      </c>
      <c r="D4284" s="111">
        <v>7</v>
      </c>
      <c r="E4284" s="111" t="s">
        <v>4477</v>
      </c>
      <c r="F4284" s="111" t="s">
        <v>4449</v>
      </c>
      <c r="G4284" s="111" t="b">
        <v>0</v>
      </c>
      <c r="H4284" s="112"/>
      <c r="R4284" s="295"/>
      <c r="S4284" s="295"/>
      <c r="T4284" s="295"/>
    </row>
    <row r="4285" spans="2:20" hidden="1" outlineLevel="2">
      <c r="B4285" s="2" t="s">
        <v>889</v>
      </c>
      <c r="R4285" s="295"/>
      <c r="S4285" s="295"/>
      <c r="T4285" s="295"/>
    </row>
    <row r="4286" spans="2:20" hidden="1" outlineLevel="1" collapsed="1">
      <c r="B4286" s="2" t="s">
        <v>870</v>
      </c>
      <c r="D4286" s="102" t="s">
        <v>4478</v>
      </c>
      <c r="E4286" s="103"/>
      <c r="F4286" s="103"/>
      <c r="G4286" s="103"/>
      <c r="H4286" s="103"/>
      <c r="I4286" s="104"/>
    </row>
    <row r="4287" spans="2:20" hidden="1" outlineLevel="2">
      <c r="B4287" s="2" t="s">
        <v>833</v>
      </c>
      <c r="D4287" s="226" t="s">
        <v>4479</v>
      </c>
      <c r="E4287" s="298" t="s">
        <v>4480</v>
      </c>
      <c r="F4287" s="298" t="s">
        <v>817</v>
      </c>
      <c r="G4287" s="226" t="s">
        <v>4481</v>
      </c>
      <c r="H4287" s="301" t="s">
        <v>4482</v>
      </c>
      <c r="I4287" s="226" t="s">
        <v>482</v>
      </c>
    </row>
    <row r="4288" spans="2:20" hidden="1" outlineLevel="2">
      <c r="B4288" s="2" t="s">
        <v>874</v>
      </c>
      <c r="D4288" s="138" t="s">
        <v>4483</v>
      </c>
      <c r="E4288" s="138" t="s">
        <v>4484</v>
      </c>
      <c r="F4288" s="138" t="s">
        <v>1119</v>
      </c>
      <c r="G4288" s="138" t="s">
        <v>4485</v>
      </c>
      <c r="H4288" s="138" t="s">
        <v>1094</v>
      </c>
      <c r="I4288" s="138" t="s">
        <v>4234</v>
      </c>
    </row>
    <row r="4289" spans="1:28" hidden="1" outlineLevel="2">
      <c r="B4289" s="2" t="s">
        <v>876</v>
      </c>
      <c r="D4289" s="111" t="b">
        <v>1</v>
      </c>
      <c r="E4289" s="111"/>
      <c r="F4289" s="111"/>
      <c r="G4289" s="112"/>
      <c r="H4289" s="112"/>
      <c r="I4289" s="112" t="s">
        <v>4486</v>
      </c>
      <c r="R4289" s="295"/>
      <c r="S4289" s="295"/>
      <c r="T4289" s="295"/>
    </row>
    <row r="4290" spans="1:28" hidden="1" outlineLevel="2">
      <c r="B4290" s="2" t="s">
        <v>876</v>
      </c>
      <c r="D4290" s="111" t="b">
        <v>0</v>
      </c>
      <c r="E4290" s="111" t="b">
        <v>1</v>
      </c>
      <c r="F4290" s="111" t="s">
        <v>4487</v>
      </c>
      <c r="G4290" s="112">
        <v>0.01</v>
      </c>
      <c r="H4290" s="112">
        <v>0.01</v>
      </c>
      <c r="I4290" s="112"/>
      <c r="R4290" s="295"/>
      <c r="S4290" s="295"/>
      <c r="T4290" s="295"/>
    </row>
    <row r="4291" spans="1:28" hidden="1" outlineLevel="2">
      <c r="B4291" s="2" t="s">
        <v>889</v>
      </c>
      <c r="R4291" s="295"/>
      <c r="S4291" s="295"/>
      <c r="T4291" s="295"/>
    </row>
    <row r="4292" spans="1:28" collapsed="1">
      <c r="B4292" s="2" t="s">
        <v>833</v>
      </c>
      <c r="C4292" s="246" t="s">
        <v>4488</v>
      </c>
      <c r="D4292" s="210" t="s">
        <v>843</v>
      </c>
      <c r="E4292" s="210" t="s">
        <v>844</v>
      </c>
      <c r="F4292" s="210" t="s">
        <v>845</v>
      </c>
      <c r="G4292" s="210" t="s">
        <v>846</v>
      </c>
      <c r="H4292" s="210" t="s">
        <v>847</v>
      </c>
      <c r="I4292" s="209" t="s">
        <v>848</v>
      </c>
      <c r="J4292" s="210" t="s">
        <v>849</v>
      </c>
      <c r="K4292" s="210" t="s">
        <v>850</v>
      </c>
      <c r="L4292" s="210" t="s">
        <v>8055</v>
      </c>
      <c r="M4292" s="210" t="s">
        <v>8168</v>
      </c>
      <c r="N4292" s="210" t="s">
        <v>8571</v>
      </c>
      <c r="O4292" s="210" t="s">
        <v>8755</v>
      </c>
      <c r="P4292" s="210" t="s">
        <v>8892</v>
      </c>
      <c r="R4292" s="295"/>
      <c r="S4292" s="295"/>
      <c r="T4292" s="295"/>
    </row>
    <row r="4293" spans="1:28" hidden="1" outlineLevel="1">
      <c r="B4293" s="2" t="s">
        <v>833</v>
      </c>
      <c r="C4293" s="145" t="s">
        <v>834</v>
      </c>
      <c r="D4293" s="145" t="s">
        <v>835</v>
      </c>
      <c r="E4293" s="207" t="s">
        <v>836</v>
      </c>
      <c r="M4293" s="2">
        <v>600030</v>
      </c>
      <c r="P4293" s="2" t="e">
        <f>M4293/O4293</f>
        <v>#DIV/0!</v>
      </c>
      <c r="R4293" s="2" t="e">
        <f>S4293/S4292</f>
        <v>#DIV/0!</v>
      </c>
      <c r="S4293" s="2">
        <v>1033097</v>
      </c>
      <c r="T4293" s="2">
        <f>S4293-S4294</f>
        <v>990539.6</v>
      </c>
      <c r="V4293" s="2" t="e">
        <f>T4293/S4292</f>
        <v>#DIV/0!</v>
      </c>
      <c r="Y4293" s="2">
        <v>656767</v>
      </c>
      <c r="Z4293" s="2" t="e">
        <f>Y4293/Y4292</f>
        <v>#DIV/0!</v>
      </c>
    </row>
    <row r="4294" spans="1:28" hidden="1" outlineLevel="1">
      <c r="B4294" s="2" t="s">
        <v>833</v>
      </c>
      <c r="C4294" s="138" t="s">
        <v>4489</v>
      </c>
      <c r="D4294" s="114" t="s">
        <v>4490</v>
      </c>
      <c r="E4294" s="114" t="s">
        <v>4491</v>
      </c>
      <c r="H4294" s="223"/>
      <c r="S4294" s="2">
        <v>42557.4</v>
      </c>
      <c r="Y4294" s="2">
        <v>26184.52</v>
      </c>
      <c r="Z4294" s="2">
        <f>Y4293-Y4294</f>
        <v>630582.48</v>
      </c>
      <c r="AB4294" s="2" t="e">
        <f>Z4294/Y4292</f>
        <v>#DIV/0!</v>
      </c>
    </row>
    <row r="4295" spans="1:28" hidden="1" outlineLevel="1">
      <c r="B4295" s="2" t="s">
        <v>833</v>
      </c>
    </row>
    <row r="4296" spans="1:28" hidden="1" outlineLevel="1">
      <c r="B4296" s="2" t="s">
        <v>833</v>
      </c>
    </row>
    <row r="4297" spans="1:28" hidden="1" outlineLevel="1" collapsed="1">
      <c r="A4297" s="2" t="s">
        <v>870</v>
      </c>
      <c r="B4297" s="2" t="s">
        <v>833</v>
      </c>
      <c r="C4297" s="132" t="s">
        <v>4492</v>
      </c>
      <c r="D4297" s="102" t="s">
        <v>4493</v>
      </c>
      <c r="E4297" s="103"/>
      <c r="F4297" s="103"/>
      <c r="G4297" s="103"/>
      <c r="H4297" s="103"/>
      <c r="I4297" s="103"/>
      <c r="J4297" s="103"/>
      <c r="K4297" s="103"/>
      <c r="L4297" s="104"/>
    </row>
    <row r="4298" spans="1:28" hidden="1" outlineLevel="2">
      <c r="A4298" s="2" t="s">
        <v>833</v>
      </c>
      <c r="B4298" s="2" t="s">
        <v>833</v>
      </c>
      <c r="C4298" s="132"/>
      <c r="D4298" s="226" t="s">
        <v>4494</v>
      </c>
      <c r="E4298" s="239" t="s">
        <v>4495</v>
      </c>
      <c r="F4298" s="239" t="s">
        <v>4496</v>
      </c>
      <c r="G4298" s="239" t="s">
        <v>4497</v>
      </c>
      <c r="H4298" s="239" t="s">
        <v>4498</v>
      </c>
      <c r="I4298" s="239" t="s">
        <v>4499</v>
      </c>
      <c r="J4298" s="239" t="s">
        <v>4500</v>
      </c>
      <c r="K4298" s="239" t="s">
        <v>4501</v>
      </c>
      <c r="L4298" s="239" t="s">
        <v>4502</v>
      </c>
    </row>
    <row r="4299" spans="1:28" hidden="1" outlineLevel="2">
      <c r="A4299" s="2" t="s">
        <v>874</v>
      </c>
      <c r="B4299" s="2" t="s">
        <v>833</v>
      </c>
      <c r="D4299" s="138" t="s">
        <v>4503</v>
      </c>
      <c r="E4299" s="138" t="s">
        <v>4504</v>
      </c>
      <c r="F4299" s="138" t="s">
        <v>4505</v>
      </c>
      <c r="G4299" s="138" t="s">
        <v>4506</v>
      </c>
      <c r="H4299" s="138" t="s">
        <v>4507</v>
      </c>
      <c r="I4299" s="138" t="s">
        <v>4508</v>
      </c>
      <c r="J4299" s="138" t="s">
        <v>4509</v>
      </c>
      <c r="K4299" s="138" t="s">
        <v>4510</v>
      </c>
      <c r="L4299" s="138" t="s">
        <v>4511</v>
      </c>
    </row>
    <row r="4300" spans="1:28" ht="224" hidden="1" outlineLevel="2">
      <c r="A4300" s="2" t="s">
        <v>876</v>
      </c>
      <c r="B4300" s="2" t="s">
        <v>833</v>
      </c>
      <c r="C4300" s="226" t="s">
        <v>4512</v>
      </c>
      <c r="D4300" s="111" t="s">
        <v>4513</v>
      </c>
      <c r="E4300" s="213">
        <v>43466</v>
      </c>
      <c r="F4300" s="111"/>
      <c r="G4300" s="111"/>
      <c r="H4300" s="111" t="s">
        <v>4514</v>
      </c>
      <c r="I4300" s="111"/>
      <c r="J4300" s="111"/>
      <c r="K4300" s="111"/>
      <c r="L4300" s="231" t="s">
        <v>4515</v>
      </c>
    </row>
    <row r="4301" spans="1:28" hidden="1" outlineLevel="2">
      <c r="A4301" s="2" t="s">
        <v>876</v>
      </c>
      <c r="B4301" s="2" t="s">
        <v>833</v>
      </c>
      <c r="C4301" s="226" t="s">
        <v>4516</v>
      </c>
      <c r="D4301" s="113" t="s">
        <v>4517</v>
      </c>
      <c r="E4301" s="302">
        <v>43466</v>
      </c>
      <c r="F4301" s="113"/>
      <c r="G4301" s="113"/>
      <c r="H4301" s="113" t="s">
        <v>4514</v>
      </c>
      <c r="I4301" s="113"/>
      <c r="J4301" s="303" t="s">
        <v>4518</v>
      </c>
      <c r="K4301" s="113"/>
      <c r="L4301" s="114"/>
    </row>
    <row r="4302" spans="1:28" hidden="1" outlineLevel="2">
      <c r="A4302" s="2" t="s">
        <v>876</v>
      </c>
      <c r="B4302" s="2" t="s">
        <v>833</v>
      </c>
      <c r="C4302" s="226" t="s">
        <v>4519</v>
      </c>
      <c r="D4302" s="111" t="s">
        <v>4520</v>
      </c>
      <c r="E4302" s="213">
        <v>43466</v>
      </c>
      <c r="F4302" s="111"/>
      <c r="G4302" s="111"/>
      <c r="H4302" s="111" t="s">
        <v>4514</v>
      </c>
      <c r="I4302" s="111"/>
      <c r="J4302" s="111"/>
      <c r="K4302" s="111"/>
      <c r="L4302" s="112"/>
    </row>
    <row r="4303" spans="1:28" hidden="1" outlineLevel="2">
      <c r="A4303" s="2" t="s">
        <v>876</v>
      </c>
      <c r="B4303" s="2" t="s">
        <v>833</v>
      </c>
      <c r="C4303" s="226" t="s">
        <v>4521</v>
      </c>
      <c r="D4303" s="113" t="s">
        <v>4522</v>
      </c>
      <c r="E4303" s="302">
        <v>43466</v>
      </c>
      <c r="F4303" s="113"/>
      <c r="G4303" s="113"/>
      <c r="H4303" s="113" t="s">
        <v>4514</v>
      </c>
      <c r="I4303" s="113"/>
      <c r="J4303" s="113"/>
      <c r="K4303" s="113"/>
      <c r="L4303" s="114"/>
    </row>
    <row r="4304" spans="1:28" hidden="1" outlineLevel="2">
      <c r="A4304" s="2" t="s">
        <v>876</v>
      </c>
      <c r="B4304" s="2" t="s">
        <v>833</v>
      </c>
      <c r="C4304" s="226" t="s">
        <v>4523</v>
      </c>
      <c r="D4304" s="111" t="s">
        <v>4524</v>
      </c>
      <c r="E4304" s="213">
        <v>43466</v>
      </c>
      <c r="F4304" s="111"/>
      <c r="G4304" s="111"/>
      <c r="H4304" s="111" t="s">
        <v>4514</v>
      </c>
      <c r="I4304" s="111"/>
      <c r="J4304" s="111"/>
      <c r="K4304" s="111"/>
      <c r="L4304" s="112"/>
    </row>
    <row r="4305" spans="1:13" hidden="1" outlineLevel="2">
      <c r="A4305" s="2" t="s">
        <v>876</v>
      </c>
      <c r="B4305" s="2" t="s">
        <v>833</v>
      </c>
      <c r="C4305" s="226" t="s">
        <v>4525</v>
      </c>
      <c r="D4305" s="113" t="s">
        <v>4526</v>
      </c>
      <c r="E4305" s="302">
        <v>43466</v>
      </c>
      <c r="F4305" s="113"/>
      <c r="G4305" s="113" t="s">
        <v>4527</v>
      </c>
      <c r="H4305" s="113"/>
      <c r="I4305" s="113" t="s">
        <v>4528</v>
      </c>
      <c r="J4305" s="304" t="s">
        <v>4529</v>
      </c>
      <c r="K4305" s="113" t="s">
        <v>4530</v>
      </c>
      <c r="L4305" s="114"/>
    </row>
    <row r="4306" spans="1:13" hidden="1" outlineLevel="2">
      <c r="A4306" s="2" t="s">
        <v>876</v>
      </c>
      <c r="B4306" s="2" t="s">
        <v>833</v>
      </c>
      <c r="C4306" s="226" t="s">
        <v>4531</v>
      </c>
      <c r="D4306" s="111" t="s">
        <v>2195</v>
      </c>
      <c r="E4306" s="213">
        <v>43466</v>
      </c>
      <c r="F4306" s="111"/>
      <c r="G4306" s="111"/>
      <c r="H4306" s="111" t="s">
        <v>4527</v>
      </c>
      <c r="I4306" s="111" t="s">
        <v>4532</v>
      </c>
      <c r="J4306" s="305" t="s">
        <v>4533</v>
      </c>
      <c r="K4306" s="306" t="s">
        <v>4534</v>
      </c>
      <c r="L4306" s="112"/>
    </row>
    <row r="4307" spans="1:13" ht="80" hidden="1" outlineLevel="2">
      <c r="A4307" s="2" t="s">
        <v>876</v>
      </c>
      <c r="B4307" s="2" t="s">
        <v>833</v>
      </c>
      <c r="C4307" s="226" t="s">
        <v>4535</v>
      </c>
      <c r="D4307" s="113" t="s">
        <v>4536</v>
      </c>
      <c r="E4307" s="302">
        <v>43466</v>
      </c>
      <c r="F4307" s="307"/>
      <c r="G4307" s="307" t="s">
        <v>4527</v>
      </c>
      <c r="H4307" s="307"/>
      <c r="I4307" s="307" t="s">
        <v>4537</v>
      </c>
      <c r="J4307" s="113"/>
      <c r="K4307" s="113"/>
      <c r="L4307" s="114" t="s">
        <v>4538</v>
      </c>
    </row>
    <row r="4308" spans="1:13" hidden="1" outlineLevel="2">
      <c r="A4308" s="2" t="s">
        <v>889</v>
      </c>
      <c r="B4308" s="2" t="s">
        <v>833</v>
      </c>
      <c r="C4308" s="132"/>
    </row>
    <row r="4309" spans="1:13" hidden="1" outlineLevel="1" collapsed="1">
      <c r="A4309" s="2" t="s">
        <v>870</v>
      </c>
      <c r="B4309" s="2" t="s">
        <v>833</v>
      </c>
      <c r="C4309" s="132" t="s">
        <v>4539</v>
      </c>
      <c r="D4309" s="102" t="s">
        <v>4540</v>
      </c>
      <c r="E4309" s="103"/>
      <c r="F4309" s="103"/>
      <c r="G4309" s="103"/>
      <c r="H4309" s="103"/>
      <c r="I4309" s="103"/>
      <c r="J4309" s="103"/>
      <c r="K4309" s="103"/>
      <c r="L4309" s="103"/>
      <c r="M4309" s="104"/>
    </row>
    <row r="4310" spans="1:13" hidden="1" outlineLevel="2">
      <c r="A4310" s="2" t="s">
        <v>833</v>
      </c>
      <c r="B4310" s="2" t="s">
        <v>833</v>
      </c>
      <c r="C4310" s="132"/>
      <c r="D4310" s="226" t="s">
        <v>4494</v>
      </c>
      <c r="E4310" s="226" t="s">
        <v>4541</v>
      </c>
      <c r="F4310" s="239" t="s">
        <v>4495</v>
      </c>
      <c r="G4310" s="239" t="s">
        <v>4496</v>
      </c>
      <c r="H4310" s="239" t="s">
        <v>4542</v>
      </c>
      <c r="I4310" s="239" t="s">
        <v>4543</v>
      </c>
      <c r="J4310" s="239" t="s">
        <v>4544</v>
      </c>
      <c r="K4310" s="239" t="s">
        <v>4545</v>
      </c>
      <c r="L4310" s="239" t="s">
        <v>4546</v>
      </c>
      <c r="M4310" s="239" t="s">
        <v>4547</v>
      </c>
    </row>
    <row r="4311" spans="1:13" hidden="1" outlineLevel="2">
      <c r="A4311" s="2" t="s">
        <v>874</v>
      </c>
      <c r="B4311" s="2" t="s">
        <v>833</v>
      </c>
      <c r="D4311" s="138" t="s">
        <v>4548</v>
      </c>
      <c r="E4311" s="138" t="s">
        <v>4549</v>
      </c>
      <c r="F4311" s="138" t="s">
        <v>1360</v>
      </c>
      <c r="G4311" s="138" t="s">
        <v>4550</v>
      </c>
      <c r="H4311" s="138" t="s">
        <v>4551</v>
      </c>
      <c r="I4311" s="138" t="s">
        <v>4552</v>
      </c>
      <c r="J4311" s="138" t="s">
        <v>4553</v>
      </c>
      <c r="K4311" s="138" t="s">
        <v>4554</v>
      </c>
      <c r="L4311" s="138" t="s">
        <v>4555</v>
      </c>
      <c r="M4311" s="138" t="s">
        <v>4556</v>
      </c>
    </row>
    <row r="4312" spans="1:13" hidden="1" outlineLevel="2">
      <c r="A4312" s="2" t="s">
        <v>876</v>
      </c>
      <c r="B4312" s="2" t="s">
        <v>833</v>
      </c>
      <c r="C4312" s="124"/>
      <c r="D4312" s="111" t="s">
        <v>4536</v>
      </c>
      <c r="E4312" s="111" t="s">
        <v>4557</v>
      </c>
      <c r="F4312" s="213">
        <v>43466</v>
      </c>
      <c r="G4312" s="111"/>
      <c r="H4312" s="111"/>
      <c r="I4312" s="111"/>
      <c r="J4312" s="111"/>
      <c r="K4312" s="111"/>
      <c r="L4312" s="111"/>
      <c r="M4312" s="299" t="b">
        <v>0</v>
      </c>
    </row>
    <row r="4313" spans="1:13" hidden="1" outlineLevel="2">
      <c r="A4313" s="2" t="s">
        <v>876</v>
      </c>
      <c r="B4313" s="2" t="s">
        <v>833</v>
      </c>
      <c r="D4313" s="113" t="s">
        <v>4536</v>
      </c>
      <c r="E4313" s="113" t="s">
        <v>4558</v>
      </c>
      <c r="F4313" s="302">
        <v>43466</v>
      </c>
      <c r="G4313" s="113"/>
      <c r="H4313" s="113"/>
      <c r="I4313" s="113"/>
      <c r="J4313" s="113"/>
      <c r="K4313" s="113"/>
      <c r="L4313" s="113"/>
      <c r="M4313" s="308" t="b">
        <v>0</v>
      </c>
    </row>
    <row r="4314" spans="1:13" hidden="1" outlineLevel="2">
      <c r="A4314" s="2" t="s">
        <v>876</v>
      </c>
      <c r="B4314" s="2" t="s">
        <v>833</v>
      </c>
      <c r="D4314" s="111" t="s">
        <v>4536</v>
      </c>
      <c r="E4314" s="111" t="s">
        <v>4559</v>
      </c>
      <c r="F4314" s="213">
        <v>43466</v>
      </c>
      <c r="G4314" s="111"/>
      <c r="H4314" s="111"/>
      <c r="I4314" s="111"/>
      <c r="J4314" s="111"/>
      <c r="K4314" s="111"/>
      <c r="L4314" s="111"/>
      <c r="M4314" s="299" t="b">
        <v>0</v>
      </c>
    </row>
    <row r="4315" spans="1:13" hidden="1" outlineLevel="2">
      <c r="A4315" s="2" t="s">
        <v>876</v>
      </c>
      <c r="B4315" s="2" t="s">
        <v>833</v>
      </c>
      <c r="D4315" s="113" t="s">
        <v>4536</v>
      </c>
      <c r="E4315" s="113" t="s">
        <v>4560</v>
      </c>
      <c r="F4315" s="302">
        <v>43466</v>
      </c>
      <c r="G4315" s="113"/>
      <c r="H4315" s="113"/>
      <c r="I4315" s="113"/>
      <c r="J4315" s="113"/>
      <c r="K4315" s="113"/>
      <c r="L4315" s="113"/>
      <c r="M4315" s="308" t="b">
        <v>0</v>
      </c>
    </row>
    <row r="4316" spans="1:13" hidden="1" outlineLevel="2">
      <c r="A4316" s="2" t="s">
        <v>876</v>
      </c>
      <c r="B4316" s="2" t="s">
        <v>833</v>
      </c>
      <c r="D4316" s="111" t="s">
        <v>4513</v>
      </c>
      <c r="E4316" s="111" t="s">
        <v>4561</v>
      </c>
      <c r="F4316" s="213">
        <v>43466</v>
      </c>
      <c r="G4316" s="111"/>
      <c r="H4316" s="111"/>
      <c r="I4316" s="111"/>
      <c r="J4316" s="111"/>
      <c r="K4316" s="111"/>
      <c r="L4316" s="111"/>
      <c r="M4316" s="299" t="b">
        <v>1</v>
      </c>
    </row>
    <row r="4317" spans="1:13" hidden="1" outlineLevel="2">
      <c r="A4317" s="2" t="s">
        <v>876</v>
      </c>
      <c r="B4317" s="2" t="s">
        <v>833</v>
      </c>
      <c r="D4317" s="113" t="s">
        <v>4513</v>
      </c>
      <c r="E4317" s="113" t="s">
        <v>4562</v>
      </c>
      <c r="F4317" s="302">
        <v>43466</v>
      </c>
      <c r="G4317" s="113"/>
      <c r="H4317" s="113"/>
      <c r="I4317" s="113"/>
      <c r="J4317" s="113"/>
      <c r="K4317" s="113"/>
      <c r="L4317" s="113"/>
      <c r="M4317" s="308" t="b">
        <v>1</v>
      </c>
    </row>
    <row r="4318" spans="1:13" hidden="1" outlineLevel="2">
      <c r="A4318" s="2" t="s">
        <v>876</v>
      </c>
      <c r="B4318" s="2" t="s">
        <v>833</v>
      </c>
      <c r="D4318" s="111" t="s">
        <v>4513</v>
      </c>
      <c r="E4318" s="111" t="s">
        <v>4563</v>
      </c>
      <c r="F4318" s="213">
        <v>43466</v>
      </c>
      <c r="G4318" s="111"/>
      <c r="H4318" s="111"/>
      <c r="I4318" s="111"/>
      <c r="J4318" s="111"/>
      <c r="K4318" s="111"/>
      <c r="L4318" s="111"/>
      <c r="M4318" s="299" t="b">
        <v>1</v>
      </c>
    </row>
    <row r="4319" spans="1:13" hidden="1" outlineLevel="2">
      <c r="A4319" s="2" t="s">
        <v>876</v>
      </c>
      <c r="B4319" s="2" t="s">
        <v>833</v>
      </c>
      <c r="D4319" s="113" t="s">
        <v>4513</v>
      </c>
      <c r="E4319" s="306" t="s">
        <v>4564</v>
      </c>
      <c r="F4319" s="302">
        <v>43466</v>
      </c>
      <c r="G4319" s="113"/>
      <c r="H4319" s="113"/>
      <c r="I4319" s="113"/>
      <c r="J4319" s="113"/>
      <c r="K4319" s="113"/>
      <c r="L4319" s="113"/>
      <c r="M4319" s="308" t="b">
        <v>1</v>
      </c>
    </row>
    <row r="4320" spans="1:13" hidden="1" outlineLevel="2">
      <c r="A4320" s="2" t="s">
        <v>876</v>
      </c>
      <c r="B4320" s="2" t="s">
        <v>833</v>
      </c>
      <c r="D4320" s="111" t="s">
        <v>4513</v>
      </c>
      <c r="E4320" s="111" t="s">
        <v>4565</v>
      </c>
      <c r="F4320" s="213">
        <v>43466</v>
      </c>
      <c r="G4320" s="111"/>
      <c r="H4320" s="111"/>
      <c r="I4320" s="111"/>
      <c r="J4320" s="111"/>
      <c r="K4320" s="111"/>
      <c r="L4320" s="111"/>
      <c r="M4320" s="299" t="b">
        <v>0</v>
      </c>
    </row>
    <row r="4321" spans="1:13" hidden="1" outlineLevel="2">
      <c r="A4321" s="2" t="s">
        <v>876</v>
      </c>
      <c r="B4321" s="2" t="s">
        <v>833</v>
      </c>
      <c r="D4321" s="113" t="s">
        <v>4513</v>
      </c>
      <c r="E4321" s="113" t="s">
        <v>4566</v>
      </c>
      <c r="F4321" s="302">
        <v>43466</v>
      </c>
      <c r="G4321" s="113"/>
      <c r="H4321" s="113"/>
      <c r="I4321" s="113"/>
      <c r="J4321" s="113"/>
      <c r="K4321" s="113"/>
      <c r="L4321" s="113"/>
      <c r="M4321" s="308" t="b">
        <v>0</v>
      </c>
    </row>
    <row r="4322" spans="1:13" hidden="1" outlineLevel="2">
      <c r="A4322" s="2" t="s">
        <v>876</v>
      </c>
      <c r="B4322" s="2" t="s">
        <v>833</v>
      </c>
      <c r="D4322" s="111" t="s">
        <v>4513</v>
      </c>
      <c r="E4322" s="111" t="s">
        <v>4567</v>
      </c>
      <c r="F4322" s="213">
        <v>43466</v>
      </c>
      <c r="G4322" s="111"/>
      <c r="H4322" s="111"/>
      <c r="I4322" s="111"/>
      <c r="J4322" s="111"/>
      <c r="K4322" s="111"/>
      <c r="L4322" s="111"/>
      <c r="M4322" s="299" t="b">
        <v>0</v>
      </c>
    </row>
    <row r="4323" spans="1:13" hidden="1" outlineLevel="2">
      <c r="A4323" s="2" t="s">
        <v>876</v>
      </c>
      <c r="B4323" s="2" t="s">
        <v>833</v>
      </c>
      <c r="D4323" s="113" t="s">
        <v>4513</v>
      </c>
      <c r="E4323" s="113" t="s">
        <v>4568</v>
      </c>
      <c r="F4323" s="302">
        <v>43466</v>
      </c>
      <c r="G4323" s="113"/>
      <c r="H4323" s="113"/>
      <c r="I4323" s="113"/>
      <c r="J4323" s="113"/>
      <c r="K4323" s="113"/>
      <c r="L4323" s="113"/>
      <c r="M4323" s="308" t="b">
        <v>0</v>
      </c>
    </row>
    <row r="4324" spans="1:13" hidden="1" outlineLevel="2">
      <c r="A4324" s="2" t="s">
        <v>876</v>
      </c>
      <c r="B4324" s="2" t="s">
        <v>833</v>
      </c>
      <c r="D4324" s="111" t="s">
        <v>4536</v>
      </c>
      <c r="E4324" s="111" t="s">
        <v>4569</v>
      </c>
      <c r="F4324" s="213">
        <v>43466</v>
      </c>
      <c r="G4324" s="111"/>
      <c r="H4324" s="111"/>
      <c r="I4324" s="111"/>
      <c r="J4324" s="111"/>
      <c r="K4324" s="111"/>
      <c r="L4324" s="111"/>
      <c r="M4324" s="299" t="b">
        <v>0</v>
      </c>
    </row>
    <row r="4325" spans="1:13" hidden="1" outlineLevel="2">
      <c r="A4325" s="2" t="s">
        <v>876</v>
      </c>
      <c r="B4325" s="2" t="s">
        <v>833</v>
      </c>
      <c r="D4325" s="113" t="s">
        <v>4513</v>
      </c>
      <c r="E4325" s="113" t="s">
        <v>4570</v>
      </c>
      <c r="F4325" s="302">
        <v>43466</v>
      </c>
      <c r="G4325" s="113"/>
      <c r="H4325" s="113"/>
      <c r="I4325" s="113"/>
      <c r="J4325" s="113"/>
      <c r="K4325" s="113"/>
      <c r="L4325" s="113"/>
      <c r="M4325" s="308" t="b">
        <v>1</v>
      </c>
    </row>
    <row r="4326" spans="1:13" hidden="1" outlineLevel="2">
      <c r="A4326" s="2" t="s">
        <v>876</v>
      </c>
      <c r="B4326" s="2" t="s">
        <v>833</v>
      </c>
      <c r="D4326" s="111" t="s">
        <v>4517</v>
      </c>
      <c r="E4326" s="111" t="s">
        <v>4571</v>
      </c>
      <c r="F4326" s="213">
        <v>43466</v>
      </c>
      <c r="G4326" s="111"/>
      <c r="H4326" s="111"/>
      <c r="I4326" s="111"/>
      <c r="J4326" s="111"/>
      <c r="K4326" s="111"/>
      <c r="L4326" s="111"/>
      <c r="M4326" s="299" t="b">
        <v>0</v>
      </c>
    </row>
    <row r="4327" spans="1:13" hidden="1" outlineLevel="2">
      <c r="A4327" s="2" t="s">
        <v>876</v>
      </c>
      <c r="B4327" s="2" t="s">
        <v>833</v>
      </c>
      <c r="D4327" s="113" t="s">
        <v>4517</v>
      </c>
      <c r="E4327" s="113" t="s">
        <v>4572</v>
      </c>
      <c r="F4327" s="302">
        <v>43466</v>
      </c>
      <c r="G4327" s="113"/>
      <c r="H4327" s="113"/>
      <c r="I4327" s="113"/>
      <c r="J4327" s="113"/>
      <c r="K4327" s="113"/>
      <c r="L4327" s="113"/>
      <c r="M4327" s="308" t="b">
        <v>0</v>
      </c>
    </row>
    <row r="4328" spans="1:13" hidden="1" outlineLevel="2">
      <c r="A4328" s="2" t="s">
        <v>876</v>
      </c>
      <c r="B4328" s="2" t="s">
        <v>833</v>
      </c>
      <c r="D4328" s="111" t="s">
        <v>4517</v>
      </c>
      <c r="E4328" s="111" t="s">
        <v>4561</v>
      </c>
      <c r="F4328" s="213">
        <v>43466</v>
      </c>
      <c r="G4328" s="111"/>
      <c r="H4328" s="111"/>
      <c r="I4328" s="111"/>
      <c r="J4328" s="111"/>
      <c r="K4328" s="111" t="s">
        <v>4573</v>
      </c>
      <c r="L4328" s="111"/>
      <c r="M4328" s="299" t="b">
        <v>1</v>
      </c>
    </row>
    <row r="4329" spans="1:13" hidden="1" outlineLevel="2">
      <c r="A4329" s="2" t="s">
        <v>876</v>
      </c>
      <c r="B4329" s="2" t="s">
        <v>833</v>
      </c>
      <c r="D4329" s="113" t="s">
        <v>4517</v>
      </c>
      <c r="E4329" s="113" t="s">
        <v>4562</v>
      </c>
      <c r="F4329" s="302">
        <v>43466</v>
      </c>
      <c r="G4329" s="113"/>
      <c r="H4329" s="113"/>
      <c r="I4329" s="113"/>
      <c r="J4329" s="113"/>
      <c r="K4329" s="113" t="s">
        <v>4574</v>
      </c>
      <c r="L4329" s="113"/>
      <c r="M4329" s="308" t="b">
        <v>1</v>
      </c>
    </row>
    <row r="4330" spans="1:13" hidden="1" outlineLevel="2">
      <c r="A4330" s="2" t="s">
        <v>876</v>
      </c>
      <c r="B4330" s="2" t="s">
        <v>833</v>
      </c>
      <c r="D4330" s="111" t="s">
        <v>4517</v>
      </c>
      <c r="E4330" s="111" t="s">
        <v>4566</v>
      </c>
      <c r="F4330" s="213">
        <v>43466</v>
      </c>
      <c r="G4330" s="111"/>
      <c r="H4330" s="111"/>
      <c r="I4330" s="111"/>
      <c r="J4330" s="111"/>
      <c r="K4330" s="111"/>
      <c r="L4330" s="111"/>
      <c r="M4330" s="299" t="b">
        <v>0</v>
      </c>
    </row>
    <row r="4331" spans="1:13" hidden="1" outlineLevel="2">
      <c r="A4331" s="2" t="s">
        <v>876</v>
      </c>
      <c r="B4331" s="2" t="s">
        <v>833</v>
      </c>
      <c r="D4331" s="113" t="s">
        <v>4517</v>
      </c>
      <c r="E4331" s="113" t="s">
        <v>4575</v>
      </c>
      <c r="F4331" s="302">
        <v>43466</v>
      </c>
      <c r="G4331" s="113"/>
      <c r="H4331" s="113" t="s">
        <v>4576</v>
      </c>
      <c r="I4331" s="113"/>
      <c r="J4331" s="113"/>
      <c r="K4331" s="113" t="s">
        <v>4577</v>
      </c>
      <c r="L4331" s="113"/>
      <c r="M4331" s="308" t="b">
        <v>0</v>
      </c>
    </row>
    <row r="4332" spans="1:13" hidden="1" outlineLevel="2">
      <c r="A4332" s="2" t="s">
        <v>876</v>
      </c>
      <c r="B4332" s="2" t="s">
        <v>833</v>
      </c>
      <c r="D4332" s="111" t="s">
        <v>4517</v>
      </c>
      <c r="E4332" s="111" t="s">
        <v>4578</v>
      </c>
      <c r="F4332" s="213">
        <v>43466</v>
      </c>
      <c r="G4332" s="111"/>
      <c r="H4332" s="111"/>
      <c r="I4332" s="111"/>
      <c r="J4332" s="111"/>
      <c r="K4332" s="111" t="s">
        <v>4579</v>
      </c>
      <c r="L4332" s="111"/>
      <c r="M4332" s="299" t="b">
        <v>0</v>
      </c>
    </row>
    <row r="4333" spans="1:13" hidden="1" outlineLevel="2">
      <c r="A4333" s="2" t="s">
        <v>876</v>
      </c>
      <c r="B4333" s="2" t="s">
        <v>833</v>
      </c>
      <c r="D4333" s="113" t="s">
        <v>4517</v>
      </c>
      <c r="E4333" s="113" t="s">
        <v>4580</v>
      </c>
      <c r="F4333" s="302">
        <v>43466</v>
      </c>
      <c r="G4333" s="113"/>
      <c r="H4333" s="113" t="s">
        <v>4581</v>
      </c>
      <c r="I4333" s="113"/>
      <c r="J4333" s="113"/>
      <c r="K4333" s="113"/>
      <c r="L4333" s="113"/>
      <c r="M4333" s="308" t="b">
        <v>0</v>
      </c>
    </row>
    <row r="4334" spans="1:13" hidden="1" outlineLevel="2">
      <c r="A4334" s="2" t="s">
        <v>876</v>
      </c>
      <c r="B4334" s="2" t="s">
        <v>833</v>
      </c>
      <c r="D4334" s="111" t="s">
        <v>4524</v>
      </c>
      <c r="E4334" s="111" t="s">
        <v>4561</v>
      </c>
      <c r="F4334" s="213">
        <v>43466</v>
      </c>
      <c r="G4334" s="111"/>
      <c r="H4334" s="111" t="s">
        <v>4582</v>
      </c>
      <c r="I4334" s="111"/>
      <c r="J4334" s="111"/>
      <c r="K4334" s="111"/>
      <c r="L4334" s="111"/>
      <c r="M4334" s="299" t="b">
        <v>1</v>
      </c>
    </row>
    <row r="4335" spans="1:13" hidden="1" outlineLevel="2">
      <c r="A4335" s="2" t="s">
        <v>876</v>
      </c>
      <c r="B4335" s="2" t="s">
        <v>833</v>
      </c>
      <c r="D4335" s="113" t="s">
        <v>4524</v>
      </c>
      <c r="E4335" s="113" t="s">
        <v>4562</v>
      </c>
      <c r="F4335" s="302">
        <v>43466</v>
      </c>
      <c r="G4335" s="113"/>
      <c r="H4335" s="113" t="s">
        <v>4583</v>
      </c>
      <c r="I4335" s="113"/>
      <c r="J4335" s="113"/>
      <c r="K4335" s="113"/>
      <c r="L4335" s="113"/>
      <c r="M4335" s="308" t="b">
        <v>1</v>
      </c>
    </row>
    <row r="4336" spans="1:13" hidden="1" outlineLevel="2">
      <c r="A4336" s="2" t="s">
        <v>876</v>
      </c>
      <c r="B4336" s="2" t="s">
        <v>833</v>
      </c>
      <c r="D4336" s="111" t="s">
        <v>4524</v>
      </c>
      <c r="E4336" s="306" t="s">
        <v>4584</v>
      </c>
      <c r="F4336" s="213">
        <v>43466</v>
      </c>
      <c r="G4336" s="111"/>
      <c r="H4336" s="111"/>
      <c r="I4336" s="111"/>
      <c r="J4336" s="111"/>
      <c r="K4336" s="111"/>
      <c r="L4336" s="111"/>
      <c r="M4336" s="299" t="b">
        <v>0</v>
      </c>
    </row>
    <row r="4337" spans="1:13" hidden="1" outlineLevel="2">
      <c r="A4337" s="2" t="s">
        <v>876</v>
      </c>
      <c r="B4337" s="2" t="s">
        <v>833</v>
      </c>
      <c r="D4337" s="113" t="s">
        <v>4524</v>
      </c>
      <c r="E4337" s="306" t="s">
        <v>4585</v>
      </c>
      <c r="F4337" s="302">
        <v>43466</v>
      </c>
      <c r="G4337" s="113"/>
      <c r="H4337" s="113"/>
      <c r="I4337" s="113"/>
      <c r="J4337" s="113"/>
      <c r="K4337" s="113"/>
      <c r="L4337" s="113"/>
      <c r="M4337" s="308" t="b">
        <v>1</v>
      </c>
    </row>
    <row r="4338" spans="1:13" hidden="1" outlineLevel="2">
      <c r="A4338" s="2" t="s">
        <v>876</v>
      </c>
      <c r="B4338" s="2" t="s">
        <v>833</v>
      </c>
      <c r="D4338" s="111" t="s">
        <v>4526</v>
      </c>
      <c r="E4338" s="111" t="s">
        <v>4530</v>
      </c>
      <c r="F4338" s="213">
        <v>43466</v>
      </c>
      <c r="G4338" s="111"/>
      <c r="H4338" s="111"/>
      <c r="I4338" s="111"/>
      <c r="J4338" s="111"/>
      <c r="K4338" s="111"/>
      <c r="L4338" s="111"/>
      <c r="M4338" s="299" t="b">
        <v>0</v>
      </c>
    </row>
    <row r="4339" spans="1:13" hidden="1" outlineLevel="2">
      <c r="A4339" s="2" t="s">
        <v>876</v>
      </c>
      <c r="B4339" s="2" t="s">
        <v>833</v>
      </c>
      <c r="D4339" s="111" t="s">
        <v>2195</v>
      </c>
      <c r="E4339" s="306" t="s">
        <v>4534</v>
      </c>
      <c r="F4339" s="302">
        <v>43466</v>
      </c>
      <c r="G4339" s="113"/>
      <c r="H4339" s="113"/>
      <c r="I4339" s="113"/>
      <c r="J4339" s="113"/>
      <c r="K4339" s="113"/>
      <c r="L4339" s="113"/>
      <c r="M4339" s="308" t="b">
        <v>0</v>
      </c>
    </row>
    <row r="4340" spans="1:13" hidden="1" outlineLevel="2">
      <c r="A4340" s="2" t="s">
        <v>889</v>
      </c>
      <c r="B4340" s="2" t="s">
        <v>833</v>
      </c>
    </row>
    <row r="4341" spans="1:13" hidden="1" outlineLevel="2">
      <c r="A4341" s="2" t="s">
        <v>833</v>
      </c>
      <c r="B4341" s="2" t="s">
        <v>833</v>
      </c>
    </row>
    <row r="4342" spans="1:13" hidden="1" outlineLevel="2">
      <c r="A4342" s="2" t="s">
        <v>833</v>
      </c>
      <c r="B4342" s="2" t="s">
        <v>833</v>
      </c>
    </row>
    <row r="4343" spans="1:13" hidden="1" outlineLevel="2">
      <c r="A4343" s="2" t="s">
        <v>833</v>
      </c>
      <c r="B4343" s="2" t="s">
        <v>833</v>
      </c>
      <c r="C4343" s="132"/>
    </row>
    <row r="4344" spans="1:13" hidden="1" outlineLevel="1" collapsed="1">
      <c r="A4344" s="2" t="s">
        <v>870</v>
      </c>
      <c r="B4344" s="2" t="s">
        <v>833</v>
      </c>
      <c r="C4344" s="132" t="s">
        <v>4586</v>
      </c>
      <c r="D4344" s="102" t="s">
        <v>4587</v>
      </c>
      <c r="E4344" s="103"/>
      <c r="F4344" s="103"/>
      <c r="G4344" s="103"/>
      <c r="H4344" s="104"/>
      <c r="I4344" s="103"/>
      <c r="J4344" s="104"/>
      <c r="K4344" s="103"/>
    </row>
    <row r="4345" spans="1:13" hidden="1" outlineLevel="2">
      <c r="A4345" s="2" t="s">
        <v>833</v>
      </c>
      <c r="B4345" s="2" t="s">
        <v>833</v>
      </c>
      <c r="C4345" s="132"/>
      <c r="D4345" s="226" t="s">
        <v>4588</v>
      </c>
      <c r="E4345" s="239" t="s">
        <v>4495</v>
      </c>
      <c r="F4345" s="239" t="s">
        <v>4496</v>
      </c>
      <c r="G4345" s="239" t="s">
        <v>1382</v>
      </c>
      <c r="H4345" s="239" t="s">
        <v>4589</v>
      </c>
      <c r="I4345" s="239" t="s">
        <v>4590</v>
      </c>
      <c r="J4345" s="239" t="s">
        <v>4591</v>
      </c>
      <c r="K4345" s="239" t="s">
        <v>4592</v>
      </c>
    </row>
    <row r="4346" spans="1:13" hidden="1" outlineLevel="2">
      <c r="A4346" s="2" t="s">
        <v>874</v>
      </c>
      <c r="B4346" s="2" t="s">
        <v>833</v>
      </c>
      <c r="D4346" s="138" t="s">
        <v>4593</v>
      </c>
      <c r="E4346" s="138" t="s">
        <v>4594</v>
      </c>
      <c r="F4346" s="138" t="s">
        <v>4595</v>
      </c>
      <c r="G4346" s="138" t="s">
        <v>4596</v>
      </c>
      <c r="H4346" s="138" t="s">
        <v>4597</v>
      </c>
      <c r="I4346" s="138" t="s">
        <v>4598</v>
      </c>
      <c r="J4346" s="138" t="s">
        <v>4599</v>
      </c>
      <c r="K4346" s="138" t="s">
        <v>4600</v>
      </c>
    </row>
    <row r="4347" spans="1:13" hidden="1" outlineLevel="2">
      <c r="A4347" s="2" t="s">
        <v>876</v>
      </c>
      <c r="B4347" s="2" t="s">
        <v>833</v>
      </c>
      <c r="C4347" s="124"/>
      <c r="D4347" s="309" t="s">
        <v>4557</v>
      </c>
      <c r="E4347" s="302">
        <v>43466</v>
      </c>
      <c r="F4347" s="112"/>
      <c r="G4347" s="309" t="s">
        <v>4601</v>
      </c>
      <c r="H4347" s="309" t="b">
        <v>1</v>
      </c>
      <c r="I4347" s="309" t="s">
        <v>4602</v>
      </c>
      <c r="J4347" s="309" t="s">
        <v>4603</v>
      </c>
      <c r="K4347" s="112"/>
    </row>
    <row r="4348" spans="1:13" hidden="1" outlineLevel="2">
      <c r="A4348" s="2" t="s">
        <v>876</v>
      </c>
      <c r="B4348" s="2" t="s">
        <v>833</v>
      </c>
      <c r="D4348" s="310" t="s">
        <v>4558</v>
      </c>
      <c r="E4348" s="302">
        <v>43466</v>
      </c>
      <c r="F4348" s="114"/>
      <c r="G4348" s="310" t="s">
        <v>4604</v>
      </c>
      <c r="H4348" s="310" t="b">
        <v>1</v>
      </c>
      <c r="I4348" s="310" t="s">
        <v>4602</v>
      </c>
      <c r="J4348" s="310" t="s">
        <v>4605</v>
      </c>
      <c r="K4348" s="114"/>
    </row>
    <row r="4349" spans="1:13" hidden="1" outlineLevel="2">
      <c r="A4349" s="2" t="s">
        <v>876</v>
      </c>
      <c r="B4349" s="2" t="s">
        <v>833</v>
      </c>
      <c r="D4349" s="309" t="s">
        <v>4559</v>
      </c>
      <c r="E4349" s="302">
        <v>43466</v>
      </c>
      <c r="F4349" s="112"/>
      <c r="G4349" s="309" t="s">
        <v>4606</v>
      </c>
      <c r="H4349" s="309" t="b">
        <v>1</v>
      </c>
      <c r="I4349" s="309" t="s">
        <v>4602</v>
      </c>
      <c r="J4349" s="309" t="s">
        <v>4603</v>
      </c>
      <c r="K4349" s="112"/>
    </row>
    <row r="4350" spans="1:13" hidden="1" outlineLevel="2">
      <c r="A4350" s="2" t="s">
        <v>876</v>
      </c>
      <c r="B4350" s="2" t="s">
        <v>833</v>
      </c>
      <c r="D4350" s="309" t="s">
        <v>4560</v>
      </c>
      <c r="E4350" s="302">
        <v>43466</v>
      </c>
      <c r="F4350" s="114"/>
      <c r="G4350" s="309" t="s">
        <v>4607</v>
      </c>
      <c r="H4350" s="309" t="b">
        <v>1</v>
      </c>
      <c r="I4350" s="309" t="s">
        <v>4608</v>
      </c>
      <c r="J4350" s="309" t="s">
        <v>4609</v>
      </c>
      <c r="K4350" s="114"/>
    </row>
    <row r="4351" spans="1:13" hidden="1" outlineLevel="2">
      <c r="A4351" s="2" t="s">
        <v>876</v>
      </c>
      <c r="B4351" s="2" t="s">
        <v>833</v>
      </c>
      <c r="C4351" s="2" t="s">
        <v>4561</v>
      </c>
      <c r="D4351" s="309" t="s">
        <v>4561</v>
      </c>
      <c r="E4351" s="302">
        <v>43466</v>
      </c>
      <c r="F4351" s="112"/>
      <c r="G4351" s="309" t="s">
        <v>4610</v>
      </c>
      <c r="H4351" s="309" t="b">
        <v>1</v>
      </c>
      <c r="I4351" s="309" t="s">
        <v>4602</v>
      </c>
      <c r="J4351" s="309" t="s">
        <v>4603</v>
      </c>
      <c r="K4351" s="112"/>
    </row>
    <row r="4352" spans="1:13" hidden="1" outlineLevel="2">
      <c r="A4352" s="2" t="s">
        <v>876</v>
      </c>
      <c r="B4352" s="2" t="s">
        <v>833</v>
      </c>
      <c r="C4352" s="2" t="s">
        <v>4562</v>
      </c>
      <c r="D4352" s="306"/>
      <c r="E4352" s="302">
        <v>43466</v>
      </c>
      <c r="F4352" s="114"/>
      <c r="G4352" s="306" t="s">
        <v>4611</v>
      </c>
      <c r="H4352" s="306" t="b">
        <v>1</v>
      </c>
      <c r="I4352" s="306"/>
      <c r="J4352" s="306"/>
      <c r="K4352" s="114"/>
    </row>
    <row r="4353" spans="1:11" hidden="1" outlineLevel="2">
      <c r="A4353" s="2" t="s">
        <v>876</v>
      </c>
      <c r="B4353" s="2" t="s">
        <v>833</v>
      </c>
      <c r="C4353" s="2" t="s">
        <v>4563</v>
      </c>
      <c r="D4353" s="306"/>
      <c r="E4353" s="302">
        <v>43466</v>
      </c>
      <c r="F4353" s="112"/>
      <c r="G4353" s="306" t="s">
        <v>4612</v>
      </c>
      <c r="H4353" s="306" t="b">
        <v>1</v>
      </c>
      <c r="I4353" s="306"/>
      <c r="J4353" s="306"/>
      <c r="K4353" s="112"/>
    </row>
    <row r="4354" spans="1:11" hidden="1" outlineLevel="2">
      <c r="A4354" s="2" t="s">
        <v>876</v>
      </c>
      <c r="B4354" s="2" t="s">
        <v>833</v>
      </c>
      <c r="C4354" s="2" t="s">
        <v>4564</v>
      </c>
      <c r="D4354" s="306"/>
      <c r="E4354" s="302">
        <v>43466</v>
      </c>
      <c r="F4354" s="114"/>
      <c r="G4354" s="306" t="s">
        <v>4613</v>
      </c>
      <c r="H4354" s="306" t="b">
        <v>1</v>
      </c>
      <c r="I4354" s="306"/>
      <c r="J4354" s="306"/>
      <c r="K4354" s="221"/>
    </row>
    <row r="4355" spans="1:11" hidden="1" outlineLevel="2">
      <c r="A4355" s="2" t="s">
        <v>876</v>
      </c>
      <c r="B4355" s="2" t="s">
        <v>833</v>
      </c>
      <c r="C4355" s="2" t="s">
        <v>4565</v>
      </c>
      <c r="D4355" s="309" t="s">
        <v>4614</v>
      </c>
      <c r="E4355" s="302">
        <v>43466</v>
      </c>
      <c r="F4355" s="112"/>
      <c r="G4355" s="309" t="s">
        <v>4615</v>
      </c>
      <c r="H4355" s="309" t="b">
        <v>1</v>
      </c>
      <c r="I4355" s="309" t="s">
        <v>4602</v>
      </c>
      <c r="J4355" s="309" t="s">
        <v>4603</v>
      </c>
      <c r="K4355" s="114"/>
    </row>
    <row r="4356" spans="1:11" hidden="1" outlineLevel="2">
      <c r="A4356" s="2" t="s">
        <v>876</v>
      </c>
      <c r="B4356" s="2" t="s">
        <v>833</v>
      </c>
      <c r="C4356" s="2" t="s">
        <v>4566</v>
      </c>
      <c r="D4356" s="310" t="s">
        <v>4616</v>
      </c>
      <c r="E4356" s="302">
        <v>43466</v>
      </c>
      <c r="F4356" s="114"/>
      <c r="G4356" s="310" t="s">
        <v>4617</v>
      </c>
      <c r="H4356" s="310" t="b">
        <v>1</v>
      </c>
      <c r="I4356" s="310" t="s">
        <v>4602</v>
      </c>
      <c r="J4356" s="310" t="s">
        <v>4618</v>
      </c>
      <c r="K4356" s="112" t="s">
        <v>4619</v>
      </c>
    </row>
    <row r="4357" spans="1:11" hidden="1" outlineLevel="2">
      <c r="A4357" s="2" t="s">
        <v>876</v>
      </c>
      <c r="B4357" s="2" t="s">
        <v>833</v>
      </c>
      <c r="C4357" s="2" t="s">
        <v>4567</v>
      </c>
      <c r="D4357" s="309" t="s">
        <v>4620</v>
      </c>
      <c r="E4357" s="302">
        <v>43466</v>
      </c>
      <c r="F4357" s="112"/>
      <c r="G4357" s="309" t="s">
        <v>4621</v>
      </c>
      <c r="H4357" s="309" t="b">
        <v>1</v>
      </c>
      <c r="I4357" s="309" t="s">
        <v>4602</v>
      </c>
      <c r="J4357" s="309" t="s">
        <v>4622</v>
      </c>
      <c r="K4357" s="114"/>
    </row>
    <row r="4358" spans="1:11" hidden="1" outlineLevel="2">
      <c r="A4358" s="2" t="s">
        <v>876</v>
      </c>
      <c r="B4358" s="2" t="s">
        <v>833</v>
      </c>
      <c r="C4358" s="2" t="s">
        <v>4568</v>
      </c>
      <c r="D4358" s="309" t="s">
        <v>4568</v>
      </c>
      <c r="E4358" s="302">
        <v>43466</v>
      </c>
      <c r="F4358" s="114"/>
      <c r="G4358" s="309" t="s">
        <v>4623</v>
      </c>
      <c r="H4358" s="309" t="b">
        <v>1</v>
      </c>
      <c r="I4358" s="309" t="s">
        <v>4608</v>
      </c>
      <c r="J4358" s="309" t="s">
        <v>4624</v>
      </c>
      <c r="K4358" s="112"/>
    </row>
    <row r="4359" spans="1:11" hidden="1" outlineLevel="2">
      <c r="A4359" s="2" t="s">
        <v>876</v>
      </c>
      <c r="B4359" s="2" t="s">
        <v>833</v>
      </c>
      <c r="C4359" s="2" t="s">
        <v>4569</v>
      </c>
      <c r="D4359" s="310" t="s">
        <v>4625</v>
      </c>
      <c r="E4359" s="302">
        <v>43466</v>
      </c>
      <c r="F4359" s="112"/>
      <c r="G4359" s="310" t="s">
        <v>4626</v>
      </c>
      <c r="H4359" s="310" t="b">
        <v>1</v>
      </c>
      <c r="I4359" s="310" t="s">
        <v>4602</v>
      </c>
      <c r="J4359" s="310" t="s">
        <v>4618</v>
      </c>
      <c r="K4359" s="114"/>
    </row>
    <row r="4360" spans="1:11" hidden="1" outlineLevel="2">
      <c r="A4360" s="2" t="s">
        <v>876</v>
      </c>
      <c r="B4360" s="2" t="s">
        <v>833</v>
      </c>
      <c r="C4360" s="2" t="s">
        <v>4570</v>
      </c>
      <c r="D4360" s="309" t="s">
        <v>4570</v>
      </c>
      <c r="E4360" s="302">
        <v>43466</v>
      </c>
      <c r="F4360" s="114"/>
      <c r="G4360" s="309" t="s">
        <v>4627</v>
      </c>
      <c r="H4360" s="309" t="b">
        <v>1</v>
      </c>
      <c r="I4360" s="309" t="s">
        <v>4628</v>
      </c>
      <c r="J4360" s="309" t="s">
        <v>4629</v>
      </c>
      <c r="K4360" s="112"/>
    </row>
    <row r="4361" spans="1:11" hidden="1" outlineLevel="2">
      <c r="A4361" s="2" t="s">
        <v>876</v>
      </c>
      <c r="B4361" s="2" t="s">
        <v>833</v>
      </c>
      <c r="C4361" s="2" t="s">
        <v>4630</v>
      </c>
      <c r="D4361" s="306"/>
      <c r="E4361" s="302">
        <v>43466</v>
      </c>
      <c r="F4361" s="112"/>
      <c r="G4361" s="306" t="s">
        <v>4631</v>
      </c>
      <c r="H4361" s="306" t="b">
        <v>0</v>
      </c>
      <c r="I4361" s="306"/>
      <c r="J4361" s="306"/>
      <c r="K4361" s="221"/>
    </row>
    <row r="4362" spans="1:11" ht="96" hidden="1" outlineLevel="2">
      <c r="A4362" s="2" t="s">
        <v>876</v>
      </c>
      <c r="B4362" s="2" t="s">
        <v>833</v>
      </c>
      <c r="D4362" s="310" t="s">
        <v>4571</v>
      </c>
      <c r="E4362" s="302">
        <v>43466</v>
      </c>
      <c r="F4362" s="114"/>
      <c r="G4362" s="310" t="s">
        <v>4632</v>
      </c>
      <c r="H4362" s="310" t="b">
        <v>1</v>
      </c>
      <c r="I4362" s="310" t="s">
        <v>4602</v>
      </c>
      <c r="J4362" s="310" t="s">
        <v>4618</v>
      </c>
      <c r="K4362" s="231" t="s">
        <v>4633</v>
      </c>
    </row>
    <row r="4363" spans="1:11" ht="96" hidden="1" outlineLevel="2">
      <c r="A4363" s="2" t="s">
        <v>876</v>
      </c>
      <c r="B4363" s="2" t="s">
        <v>833</v>
      </c>
      <c r="D4363" s="310" t="s">
        <v>4572</v>
      </c>
      <c r="E4363" s="302">
        <v>43466</v>
      </c>
      <c r="F4363" s="112"/>
      <c r="G4363" s="310" t="s">
        <v>4634</v>
      </c>
      <c r="H4363" s="310" t="b">
        <v>1</v>
      </c>
      <c r="I4363" s="310" t="s">
        <v>4602</v>
      </c>
      <c r="J4363" s="310" t="s">
        <v>4618</v>
      </c>
      <c r="K4363" s="230" t="s">
        <v>4635</v>
      </c>
    </row>
    <row r="4364" spans="1:11" hidden="1" outlineLevel="2">
      <c r="A4364" s="2" t="s">
        <v>876</v>
      </c>
      <c r="B4364" s="2" t="s">
        <v>833</v>
      </c>
      <c r="D4364" s="309" t="s">
        <v>4575</v>
      </c>
      <c r="E4364" s="302">
        <v>43466</v>
      </c>
      <c r="F4364" s="114"/>
      <c r="G4364" s="309" t="s">
        <v>4636</v>
      </c>
      <c r="H4364" s="309" t="b">
        <v>1</v>
      </c>
      <c r="I4364" s="309" t="s">
        <v>4608</v>
      </c>
      <c r="J4364" s="309" t="s">
        <v>4609</v>
      </c>
      <c r="K4364" s="231"/>
    </row>
    <row r="4365" spans="1:11" hidden="1" outlineLevel="2">
      <c r="A4365" s="2" t="s">
        <v>876</v>
      </c>
      <c r="B4365" s="2" t="s">
        <v>833</v>
      </c>
      <c r="D4365" s="310" t="s">
        <v>4578</v>
      </c>
      <c r="E4365" s="302">
        <v>43466</v>
      </c>
      <c r="F4365" s="112"/>
      <c r="G4365" s="310" t="s">
        <v>4637</v>
      </c>
      <c r="H4365" s="310" t="b">
        <v>1</v>
      </c>
      <c r="I4365" s="310" t="s">
        <v>4602</v>
      </c>
      <c r="J4365" s="310" t="s">
        <v>4618</v>
      </c>
      <c r="K4365" s="231"/>
    </row>
    <row r="4366" spans="1:11" hidden="1" outlineLevel="2">
      <c r="A4366" s="2" t="s">
        <v>876</v>
      </c>
      <c r="B4366" s="2" t="s">
        <v>833</v>
      </c>
      <c r="D4366" s="309" t="s">
        <v>4580</v>
      </c>
      <c r="E4366" s="302">
        <v>43466</v>
      </c>
      <c r="F4366" s="114"/>
      <c r="G4366" s="309" t="s">
        <v>4638</v>
      </c>
      <c r="H4366" s="309" t="b">
        <v>1</v>
      </c>
      <c r="I4366" s="309" t="s">
        <v>4639</v>
      </c>
      <c r="J4366" s="309" t="s">
        <v>4640</v>
      </c>
      <c r="K4366" s="114"/>
    </row>
    <row r="4367" spans="1:11" hidden="1" outlineLevel="2">
      <c r="A4367" s="2" t="s">
        <v>876</v>
      </c>
      <c r="B4367" s="2" t="s">
        <v>833</v>
      </c>
      <c r="D4367" s="306"/>
      <c r="E4367" s="302">
        <v>43466</v>
      </c>
      <c r="F4367" s="112"/>
      <c r="G4367" s="306" t="s">
        <v>4641</v>
      </c>
      <c r="H4367" s="306" t="b">
        <v>1</v>
      </c>
      <c r="I4367" s="306"/>
      <c r="J4367" s="306"/>
      <c r="K4367" s="221"/>
    </row>
    <row r="4368" spans="1:11" hidden="1" outlineLevel="2">
      <c r="A4368" s="2" t="s">
        <v>876</v>
      </c>
      <c r="B4368" s="2" t="s">
        <v>833</v>
      </c>
      <c r="D4368" s="306"/>
      <c r="E4368" s="302">
        <v>43466</v>
      </c>
      <c r="F4368" s="114"/>
      <c r="G4368" s="306" t="s">
        <v>4642</v>
      </c>
      <c r="H4368" s="306" t="b">
        <v>1</v>
      </c>
      <c r="I4368" s="306"/>
      <c r="J4368" s="306"/>
      <c r="K4368" s="221"/>
    </row>
    <row r="4369" spans="1:20" hidden="1" outlineLevel="2">
      <c r="A4369" s="2" t="s">
        <v>876</v>
      </c>
      <c r="B4369" s="2" t="s">
        <v>833</v>
      </c>
      <c r="D4369" s="306" t="s">
        <v>4530</v>
      </c>
      <c r="E4369" s="302">
        <v>43466</v>
      </c>
      <c r="F4369" s="114"/>
      <c r="G4369" s="306" t="s">
        <v>4643</v>
      </c>
      <c r="H4369" s="306" t="b">
        <v>1</v>
      </c>
      <c r="I4369" s="309" t="s">
        <v>4639</v>
      </c>
      <c r="J4369" s="309" t="s">
        <v>4640</v>
      </c>
      <c r="K4369" s="221" t="s">
        <v>4644</v>
      </c>
    </row>
    <row r="4370" spans="1:20" hidden="1" outlineLevel="2">
      <c r="A4370" s="2" t="s">
        <v>876</v>
      </c>
      <c r="B4370" s="2" t="s">
        <v>833</v>
      </c>
      <c r="D4370" s="306" t="s">
        <v>4534</v>
      </c>
      <c r="E4370" s="302">
        <v>43466</v>
      </c>
      <c r="F4370" s="114"/>
      <c r="G4370" s="113" t="s">
        <v>4645</v>
      </c>
      <c r="H4370" s="306" t="b">
        <v>1</v>
      </c>
      <c r="I4370" s="309" t="s">
        <v>4639</v>
      </c>
      <c r="J4370" s="309" t="s">
        <v>4640</v>
      </c>
      <c r="K4370" s="221"/>
    </row>
    <row r="4371" spans="1:20" hidden="1" outlineLevel="2">
      <c r="A4371" s="2" t="s">
        <v>889</v>
      </c>
      <c r="B4371" s="2" t="s">
        <v>833</v>
      </c>
      <c r="C4371" s="132"/>
    </row>
    <row r="4372" spans="1:20" collapsed="1">
      <c r="B4372" s="2" t="s">
        <v>833</v>
      </c>
      <c r="C4372" s="246" t="s">
        <v>4646</v>
      </c>
      <c r="D4372" s="209" t="s">
        <v>843</v>
      </c>
      <c r="E4372" s="210" t="s">
        <v>844</v>
      </c>
      <c r="F4372" s="210" t="s">
        <v>845</v>
      </c>
      <c r="G4372" s="210" t="s">
        <v>846</v>
      </c>
      <c r="H4372" s="210" t="s">
        <v>847</v>
      </c>
      <c r="I4372" s="210" t="s">
        <v>848</v>
      </c>
      <c r="J4372" s="210" t="s">
        <v>849</v>
      </c>
      <c r="K4372" s="210" t="s">
        <v>850</v>
      </c>
      <c r="L4372" s="210" t="s">
        <v>8055</v>
      </c>
      <c r="M4372" s="210" t="s">
        <v>8168</v>
      </c>
      <c r="N4372" s="210" t="s">
        <v>8571</v>
      </c>
      <c r="O4372" s="210" t="s">
        <v>8755</v>
      </c>
      <c r="P4372" s="210" t="s">
        <v>8892</v>
      </c>
      <c r="R4372" s="295"/>
      <c r="S4372" s="295"/>
      <c r="T4372" s="295"/>
    </row>
    <row r="4373" spans="1:20" hidden="1" outlineLevel="1">
      <c r="B4373" s="2" t="s">
        <v>833</v>
      </c>
      <c r="R4373" s="295"/>
      <c r="S4373" s="295"/>
      <c r="T4373" s="295"/>
    </row>
    <row r="4374" spans="1:20" hidden="1" outlineLevel="1" collapsed="1">
      <c r="B4374" s="2" t="s">
        <v>870</v>
      </c>
      <c r="C4374" s="132" t="s">
        <v>4647</v>
      </c>
      <c r="D4374" s="102" t="s">
        <v>4648</v>
      </c>
      <c r="E4374" s="103"/>
      <c r="F4374" s="103"/>
      <c r="G4374" s="103"/>
      <c r="H4374" s="104"/>
    </row>
    <row r="4375" spans="1:20" hidden="1" outlineLevel="2">
      <c r="B4375" s="2" t="s">
        <v>833</v>
      </c>
      <c r="C4375" s="132"/>
      <c r="D4375" s="226" t="s">
        <v>4649</v>
      </c>
      <c r="E4375" s="226" t="s">
        <v>526</v>
      </c>
      <c r="F4375" s="239" t="s">
        <v>4650</v>
      </c>
      <c r="G4375" s="239" t="s">
        <v>4651</v>
      </c>
      <c r="H4375" s="239" t="s">
        <v>4652</v>
      </c>
    </row>
    <row r="4376" spans="1:20" hidden="1" outlineLevel="2">
      <c r="B4376" s="2" t="s">
        <v>874</v>
      </c>
      <c r="D4376" s="138" t="s">
        <v>4653</v>
      </c>
      <c r="E4376" s="138" t="s">
        <v>4654</v>
      </c>
      <c r="F4376" s="138" t="s">
        <v>4655</v>
      </c>
      <c r="G4376" s="138" t="s">
        <v>4656</v>
      </c>
      <c r="H4376" s="138" t="s">
        <v>4657</v>
      </c>
    </row>
    <row r="4377" spans="1:20" hidden="1" outlineLevel="2">
      <c r="B4377" s="2" t="s">
        <v>876</v>
      </c>
      <c r="C4377" s="124"/>
      <c r="D4377" s="111">
        <v>1</v>
      </c>
      <c r="E4377" s="111" t="s">
        <v>510</v>
      </c>
      <c r="F4377" s="111" t="s">
        <v>16</v>
      </c>
      <c r="G4377" s="111">
        <v>3</v>
      </c>
      <c r="H4377" s="284">
        <v>13</v>
      </c>
    </row>
    <row r="4378" spans="1:20" hidden="1" outlineLevel="2">
      <c r="B4378" s="2" t="s">
        <v>876</v>
      </c>
      <c r="D4378" s="113">
        <v>2</v>
      </c>
      <c r="E4378" s="113" t="s">
        <v>512</v>
      </c>
      <c r="F4378" s="113" t="s">
        <v>17</v>
      </c>
      <c r="G4378" s="113">
        <v>3</v>
      </c>
      <c r="H4378" s="311">
        <v>7</v>
      </c>
    </row>
    <row r="4379" spans="1:20" hidden="1" outlineLevel="2">
      <c r="B4379" s="2" t="s">
        <v>876</v>
      </c>
      <c r="D4379" s="111">
        <v>3</v>
      </c>
      <c r="E4379" s="111" t="s">
        <v>513</v>
      </c>
      <c r="F4379" s="111" t="s">
        <v>3</v>
      </c>
      <c r="G4379" s="111">
        <v>3</v>
      </c>
      <c r="H4379" s="284">
        <v>3</v>
      </c>
    </row>
    <row r="4380" spans="1:20" hidden="1" outlineLevel="2">
      <c r="B4380" s="2" t="s">
        <v>876</v>
      </c>
      <c r="D4380" s="113">
        <v>4</v>
      </c>
      <c r="E4380" s="113" t="s">
        <v>514</v>
      </c>
      <c r="F4380" s="113" t="s">
        <v>16</v>
      </c>
      <c r="G4380" s="113">
        <v>6</v>
      </c>
      <c r="H4380" s="311">
        <v>26</v>
      </c>
    </row>
    <row r="4381" spans="1:20" hidden="1" outlineLevel="2">
      <c r="B4381" s="2" t="s">
        <v>876</v>
      </c>
      <c r="D4381" s="111">
        <v>5</v>
      </c>
      <c r="E4381" s="111" t="s">
        <v>516</v>
      </c>
      <c r="F4381" s="111" t="s">
        <v>17</v>
      </c>
      <c r="G4381" s="111">
        <v>6</v>
      </c>
      <c r="H4381" s="284">
        <v>13</v>
      </c>
    </row>
    <row r="4382" spans="1:20" hidden="1" outlineLevel="2">
      <c r="B4382" s="2" t="s">
        <v>876</v>
      </c>
      <c r="D4382" s="113">
        <v>6</v>
      </c>
      <c r="E4382" s="113" t="s">
        <v>518</v>
      </c>
      <c r="F4382" s="113" t="s">
        <v>3</v>
      </c>
      <c r="G4382" s="113">
        <v>6</v>
      </c>
      <c r="H4382" s="311">
        <v>6</v>
      </c>
    </row>
    <row r="4383" spans="1:20" hidden="1" outlineLevel="2">
      <c r="B4383" s="2" t="s">
        <v>889</v>
      </c>
      <c r="C4383" s="132"/>
    </row>
    <row r="4384" spans="1:20" hidden="1" outlineLevel="2">
      <c r="B4384" s="2" t="s">
        <v>833</v>
      </c>
      <c r="C4384" s="132"/>
    </row>
    <row r="4385" spans="2:20" collapsed="1">
      <c r="B4385" s="2" t="s">
        <v>833</v>
      </c>
      <c r="C4385" s="246" t="s">
        <v>4658</v>
      </c>
      <c r="D4385" s="209" t="s">
        <v>843</v>
      </c>
      <c r="E4385" s="210" t="s">
        <v>844</v>
      </c>
      <c r="F4385" s="210" t="s">
        <v>845</v>
      </c>
      <c r="G4385" s="210" t="s">
        <v>846</v>
      </c>
      <c r="H4385" s="210" t="s">
        <v>847</v>
      </c>
      <c r="I4385" s="210" t="s">
        <v>848</v>
      </c>
      <c r="J4385" s="209" t="s">
        <v>849</v>
      </c>
      <c r="K4385" s="210" t="s">
        <v>850</v>
      </c>
      <c r="L4385" s="210" t="s">
        <v>8055</v>
      </c>
      <c r="M4385" s="210" t="s">
        <v>8168</v>
      </c>
      <c r="N4385" s="210" t="s">
        <v>8571</v>
      </c>
      <c r="O4385" s="210" t="s">
        <v>8755</v>
      </c>
      <c r="P4385" s="210" t="s">
        <v>8892</v>
      </c>
      <c r="R4385" s="295"/>
      <c r="S4385" s="295"/>
      <c r="T4385" s="295"/>
    </row>
    <row r="4386" spans="2:20" hidden="1" outlineLevel="1">
      <c r="B4386" s="2" t="s">
        <v>833</v>
      </c>
      <c r="R4386" s="295"/>
      <c r="S4386" s="295"/>
      <c r="T4386" s="295"/>
    </row>
    <row r="4387" spans="2:20" hidden="1" outlineLevel="1" collapsed="1">
      <c r="B4387" s="2" t="s">
        <v>870</v>
      </c>
      <c r="C4387" s="132" t="s">
        <v>4658</v>
      </c>
      <c r="D4387" s="102" t="s">
        <v>4659</v>
      </c>
      <c r="E4387" s="103"/>
      <c r="F4387" s="103"/>
      <c r="G4387" s="104"/>
    </row>
    <row r="4388" spans="2:20" hidden="1" outlineLevel="2">
      <c r="B4388" s="2" t="s">
        <v>833</v>
      </c>
      <c r="C4388" s="132"/>
      <c r="D4388" s="226" t="s">
        <v>4660</v>
      </c>
      <c r="E4388" s="226" t="s">
        <v>4661</v>
      </c>
      <c r="F4388" s="226" t="s">
        <v>4662</v>
      </c>
      <c r="G4388" s="239" t="s">
        <v>4663</v>
      </c>
    </row>
    <row r="4389" spans="2:20" hidden="1" outlineLevel="2">
      <c r="B4389" s="2" t="s">
        <v>874</v>
      </c>
      <c r="D4389" s="138" t="s">
        <v>4664</v>
      </c>
      <c r="E4389" s="138" t="s">
        <v>4665</v>
      </c>
      <c r="F4389" s="138" t="s">
        <v>4666</v>
      </c>
      <c r="G4389" s="138" t="s">
        <v>4667</v>
      </c>
    </row>
    <row r="4390" spans="2:20" hidden="1" outlineLevel="2">
      <c r="B4390" s="2" t="s">
        <v>876</v>
      </c>
      <c r="C4390" s="124" t="s">
        <v>4668</v>
      </c>
      <c r="D4390" s="111">
        <v>1</v>
      </c>
      <c r="E4390" s="111" t="s">
        <v>58</v>
      </c>
      <c r="F4390" s="111" t="s">
        <v>620</v>
      </c>
      <c r="G4390" s="112" t="b">
        <v>0</v>
      </c>
    </row>
    <row r="4391" spans="2:20" hidden="1" outlineLevel="2">
      <c r="B4391" s="2" t="s">
        <v>876</v>
      </c>
      <c r="D4391" s="113">
        <v>2</v>
      </c>
      <c r="E4391" s="113" t="s">
        <v>58</v>
      </c>
      <c r="F4391" s="113" t="s">
        <v>4669</v>
      </c>
      <c r="G4391" s="114" t="b">
        <v>1</v>
      </c>
    </row>
    <row r="4392" spans="2:20" hidden="1" outlineLevel="2">
      <c r="B4392" s="2" t="s">
        <v>876</v>
      </c>
      <c r="D4392" s="111">
        <v>3</v>
      </c>
      <c r="E4392" s="111" t="s">
        <v>58</v>
      </c>
      <c r="F4392" s="111" t="s">
        <v>4670</v>
      </c>
      <c r="G4392" s="112" t="b">
        <v>1</v>
      </c>
    </row>
    <row r="4393" spans="2:20" hidden="1" outlineLevel="2">
      <c r="B4393" s="2" t="s">
        <v>876</v>
      </c>
      <c r="D4393" s="113">
        <v>4</v>
      </c>
      <c r="E4393" s="113" t="s">
        <v>58</v>
      </c>
      <c r="F4393" s="113" t="s">
        <v>4671</v>
      </c>
      <c r="G4393" s="114" t="b">
        <v>0</v>
      </c>
    </row>
    <row r="4394" spans="2:20" hidden="1" outlineLevel="2">
      <c r="B4394" s="2" t="s">
        <v>876</v>
      </c>
      <c r="D4394" s="111">
        <v>5</v>
      </c>
      <c r="E4394" s="111" t="s">
        <v>79</v>
      </c>
      <c r="F4394" s="111" t="s">
        <v>4672</v>
      </c>
      <c r="G4394" s="112" t="b">
        <v>0</v>
      </c>
    </row>
    <row r="4395" spans="2:20" hidden="1" outlineLevel="2">
      <c r="B4395" s="2" t="s">
        <v>876</v>
      </c>
      <c r="D4395" s="113">
        <v>6</v>
      </c>
      <c r="E4395" s="113" t="s">
        <v>79</v>
      </c>
      <c r="F4395" s="113" t="s">
        <v>4673</v>
      </c>
      <c r="G4395" s="114" t="b">
        <v>0</v>
      </c>
    </row>
    <row r="4396" spans="2:20" hidden="1" outlineLevel="2">
      <c r="B4396" s="2" t="s">
        <v>876</v>
      </c>
      <c r="D4396" s="111">
        <v>7</v>
      </c>
      <c r="E4396" s="111" t="s">
        <v>79</v>
      </c>
      <c r="F4396" s="111" t="s">
        <v>4674</v>
      </c>
      <c r="G4396" s="112" t="b">
        <v>0</v>
      </c>
    </row>
    <row r="4397" spans="2:20" hidden="1" outlineLevel="2">
      <c r="B4397" s="2" t="s">
        <v>876</v>
      </c>
      <c r="D4397" s="113">
        <v>8</v>
      </c>
      <c r="E4397" s="113" t="s">
        <v>79</v>
      </c>
      <c r="F4397" s="113" t="s">
        <v>4675</v>
      </c>
      <c r="G4397" s="114" t="b">
        <v>0</v>
      </c>
    </row>
    <row r="4398" spans="2:20" hidden="1" outlineLevel="2">
      <c r="B4398" s="2" t="s">
        <v>876</v>
      </c>
      <c r="D4398" s="111">
        <v>9</v>
      </c>
      <c r="E4398" s="111" t="s">
        <v>79</v>
      </c>
      <c r="F4398" s="111" t="s">
        <v>4676</v>
      </c>
      <c r="G4398" s="112" t="b">
        <v>0</v>
      </c>
    </row>
    <row r="4399" spans="2:20" hidden="1" outlineLevel="2">
      <c r="B4399" s="2" t="s">
        <v>876</v>
      </c>
      <c r="D4399" s="113">
        <v>10</v>
      </c>
      <c r="E4399" s="113" t="s">
        <v>79</v>
      </c>
      <c r="F4399" s="113" t="s">
        <v>4677</v>
      </c>
      <c r="G4399" s="114" t="b">
        <v>0</v>
      </c>
    </row>
    <row r="4400" spans="2:20" hidden="1" outlineLevel="2">
      <c r="B4400" s="2" t="s">
        <v>876</v>
      </c>
      <c r="D4400" s="111">
        <v>11</v>
      </c>
      <c r="E4400" s="111" t="s">
        <v>79</v>
      </c>
      <c r="F4400" s="111" t="s">
        <v>4678</v>
      </c>
      <c r="G4400" s="112" t="b">
        <v>0</v>
      </c>
    </row>
    <row r="4401" spans="2:20" hidden="1" outlineLevel="2">
      <c r="B4401" s="2" t="s">
        <v>876</v>
      </c>
      <c r="D4401" s="113">
        <v>12</v>
      </c>
      <c r="E4401" s="113" t="s">
        <v>79</v>
      </c>
      <c r="F4401" s="113" t="s">
        <v>4679</v>
      </c>
      <c r="G4401" s="114" t="b">
        <v>1</v>
      </c>
    </row>
    <row r="4402" spans="2:20" hidden="1" outlineLevel="2">
      <c r="B4402" s="2" t="s">
        <v>876</v>
      </c>
      <c r="D4402" s="111">
        <v>13</v>
      </c>
      <c r="E4402" s="111" t="s">
        <v>79</v>
      </c>
      <c r="F4402" s="111" t="s">
        <v>4680</v>
      </c>
      <c r="G4402" s="112" t="b">
        <v>1</v>
      </c>
    </row>
    <row r="4403" spans="2:20" hidden="1" outlineLevel="2">
      <c r="B4403" s="2" t="s">
        <v>876</v>
      </c>
      <c r="D4403" s="113">
        <v>14</v>
      </c>
      <c r="E4403" s="113" t="s">
        <v>79</v>
      </c>
      <c r="F4403" s="113" t="s">
        <v>4681</v>
      </c>
      <c r="G4403" s="114" t="b">
        <v>1</v>
      </c>
    </row>
    <row r="4404" spans="2:20" hidden="1" outlineLevel="2">
      <c r="B4404" s="2" t="s">
        <v>889</v>
      </c>
      <c r="C4404" s="132"/>
    </row>
    <row r="4405" spans="2:20" collapsed="1">
      <c r="B4405" s="2" t="s">
        <v>4682</v>
      </c>
      <c r="C4405" s="246" t="s">
        <v>4683</v>
      </c>
      <c r="D4405" s="209" t="s">
        <v>843</v>
      </c>
      <c r="E4405" s="210" t="s">
        <v>844</v>
      </c>
      <c r="F4405" s="210" t="s">
        <v>845</v>
      </c>
      <c r="G4405" s="210" t="s">
        <v>846</v>
      </c>
      <c r="H4405" s="210" t="s">
        <v>847</v>
      </c>
      <c r="I4405" s="210" t="s">
        <v>848</v>
      </c>
      <c r="J4405" s="210" t="s">
        <v>849</v>
      </c>
      <c r="K4405" s="210" t="s">
        <v>850</v>
      </c>
      <c r="L4405" s="210" t="s">
        <v>8055</v>
      </c>
      <c r="M4405" s="210" t="s">
        <v>8168</v>
      </c>
      <c r="N4405" s="210" t="s">
        <v>8571</v>
      </c>
      <c r="O4405" s="210" t="s">
        <v>8755</v>
      </c>
      <c r="P4405" s="210" t="s">
        <v>8892</v>
      </c>
    </row>
    <row r="4406" spans="2:20" hidden="1" outlineLevel="1">
      <c r="B4406" s="2" t="s">
        <v>833</v>
      </c>
    </row>
    <row r="4407" spans="2:20" hidden="1" outlineLevel="1">
      <c r="B4407" s="2" t="s">
        <v>853</v>
      </c>
      <c r="C4407" s="138" t="s">
        <v>4684</v>
      </c>
      <c r="D4407" s="112" t="s">
        <v>4685</v>
      </c>
      <c r="E4407" s="112">
        <v>0.7</v>
      </c>
    </row>
    <row r="4408" spans="2:20" hidden="1" outlineLevel="1">
      <c r="B4408" s="2" t="s">
        <v>853</v>
      </c>
      <c r="C4408" s="138" t="s">
        <v>4686</v>
      </c>
      <c r="D4408" s="114" t="s">
        <v>4687</v>
      </c>
      <c r="E4408" s="114">
        <v>0.5</v>
      </c>
    </row>
    <row r="4409" spans="2:20" hidden="1" outlineLevel="1">
      <c r="B4409" s="2" t="s">
        <v>853</v>
      </c>
      <c r="C4409" s="138" t="s">
        <v>4688</v>
      </c>
      <c r="D4409" s="112" t="s">
        <v>4689</v>
      </c>
      <c r="E4409" s="112">
        <v>1.07</v>
      </c>
    </row>
    <row r="4410" spans="2:20" hidden="1" outlineLevel="1">
      <c r="B4410" s="2" t="s">
        <v>853</v>
      </c>
      <c r="C4410" s="138" t="s">
        <v>4690</v>
      </c>
      <c r="D4410" s="114" t="s">
        <v>1003</v>
      </c>
      <c r="E4410" s="114">
        <v>200</v>
      </c>
    </row>
    <row r="4411" spans="2:20" hidden="1" outlineLevel="1">
      <c r="B4411" s="2" t="s">
        <v>833</v>
      </c>
    </row>
    <row r="4412" spans="2:20" hidden="1" outlineLevel="1" collapsed="1">
      <c r="B4412" s="2" t="s">
        <v>870</v>
      </c>
      <c r="C4412" s="132"/>
      <c r="D4412" s="102" t="s">
        <v>4691</v>
      </c>
      <c r="E4412" s="102"/>
    </row>
    <row r="4413" spans="2:20" hidden="1" outlineLevel="2">
      <c r="B4413" s="2" t="s">
        <v>833</v>
      </c>
      <c r="D4413" s="298" t="s">
        <v>4692</v>
      </c>
      <c r="E4413" s="298" t="s">
        <v>4693</v>
      </c>
    </row>
    <row r="4414" spans="2:20" hidden="1" outlineLevel="2">
      <c r="B4414" s="2" t="s">
        <v>874</v>
      </c>
      <c r="D4414" s="138" t="s">
        <v>4694</v>
      </c>
      <c r="E4414" s="138" t="s">
        <v>4695</v>
      </c>
    </row>
    <row r="4415" spans="2:20" hidden="1" outlineLevel="2">
      <c r="B4415" s="2" t="s">
        <v>876</v>
      </c>
      <c r="D4415" s="111">
        <v>1</v>
      </c>
      <c r="E4415" s="112" t="s">
        <v>4696</v>
      </c>
      <c r="R4415" s="295"/>
      <c r="S4415" s="295"/>
      <c r="T4415" s="295"/>
    </row>
    <row r="4416" spans="2:20" hidden="1" outlineLevel="2">
      <c r="B4416" s="2" t="s">
        <v>876</v>
      </c>
      <c r="D4416" s="111">
        <v>2</v>
      </c>
      <c r="E4416" s="112" t="s">
        <v>4697</v>
      </c>
      <c r="R4416" s="295"/>
      <c r="S4416" s="295"/>
      <c r="T4416" s="295"/>
    </row>
    <row r="4417" spans="2:20" hidden="1" outlineLevel="2">
      <c r="B4417" s="2" t="s">
        <v>876</v>
      </c>
      <c r="D4417" s="111">
        <v>3</v>
      </c>
      <c r="E4417" s="112" t="s">
        <v>4698</v>
      </c>
      <c r="R4417" s="295"/>
      <c r="S4417" s="295"/>
      <c r="T4417" s="295"/>
    </row>
    <row r="4418" spans="2:20" hidden="1" outlineLevel="2">
      <c r="B4418" s="2" t="s">
        <v>876</v>
      </c>
      <c r="D4418" s="111">
        <v>4</v>
      </c>
      <c r="E4418" s="112" t="s">
        <v>4699</v>
      </c>
      <c r="R4418" s="295"/>
      <c r="S4418" s="295"/>
      <c r="T4418" s="295"/>
    </row>
    <row r="4419" spans="2:20" hidden="1" outlineLevel="2">
      <c r="B4419" s="2" t="s">
        <v>889</v>
      </c>
      <c r="R4419" s="295"/>
      <c r="S4419" s="295"/>
      <c r="T4419" s="295"/>
    </row>
    <row r="4420" spans="2:20" collapsed="1">
      <c r="B4420" s="2" t="s">
        <v>833</v>
      </c>
      <c r="C4420" s="246" t="s">
        <v>4700</v>
      </c>
      <c r="D4420" s="210" t="s">
        <v>843</v>
      </c>
      <c r="E4420" s="210" t="s">
        <v>844</v>
      </c>
      <c r="F4420" s="210" t="s">
        <v>845</v>
      </c>
      <c r="G4420" s="210" t="s">
        <v>846</v>
      </c>
      <c r="H4420" s="210" t="s">
        <v>847</v>
      </c>
      <c r="I4420" s="210" t="s">
        <v>848</v>
      </c>
      <c r="J4420" s="210" t="s">
        <v>849</v>
      </c>
      <c r="K4420" s="210" t="s">
        <v>850</v>
      </c>
      <c r="L4420" s="210" t="s">
        <v>8055</v>
      </c>
      <c r="M4420" s="210" t="s">
        <v>8168</v>
      </c>
      <c r="N4420" s="210" t="s">
        <v>8571</v>
      </c>
      <c r="O4420" s="210" t="s">
        <v>8755</v>
      </c>
      <c r="P4420" s="210" t="s">
        <v>8892</v>
      </c>
    </row>
    <row r="4421" spans="2:20" hidden="1" outlineLevel="1">
      <c r="B4421" s="2" t="s">
        <v>833</v>
      </c>
    </row>
    <row r="4422" spans="2:20" hidden="1" outlineLevel="1">
      <c r="B4422" s="2" t="s">
        <v>833</v>
      </c>
      <c r="D4422" s="102" t="s">
        <v>4701</v>
      </c>
      <c r="E4422" s="102"/>
      <c r="F4422" s="103"/>
      <c r="G4422" s="103"/>
      <c r="H4422" s="104"/>
    </row>
    <row r="4423" spans="2:20" hidden="1" outlineLevel="1">
      <c r="B4423" s="2" t="s">
        <v>833</v>
      </c>
      <c r="D4423" s="226" t="s">
        <v>4702</v>
      </c>
      <c r="E4423" s="298" t="s">
        <v>4703</v>
      </c>
      <c r="F4423" s="298" t="s">
        <v>4704</v>
      </c>
      <c r="G4423" s="298"/>
      <c r="H4423" s="298"/>
    </row>
    <row r="4424" spans="2:20" hidden="1" outlineLevel="1">
      <c r="B4424" s="2" t="s">
        <v>833</v>
      </c>
      <c r="D4424" s="138" t="s">
        <v>4702</v>
      </c>
      <c r="E4424" s="138" t="s">
        <v>4703</v>
      </c>
      <c r="F4424" s="138" t="s">
        <v>4704</v>
      </c>
      <c r="G4424" s="138"/>
      <c r="H4424" s="138"/>
    </row>
    <row r="4425" spans="2:20" hidden="1" outlineLevel="1">
      <c r="B4425" s="2" t="s">
        <v>833</v>
      </c>
      <c r="D4425" s="111" t="s">
        <v>209</v>
      </c>
      <c r="E4425" s="111">
        <v>1000</v>
      </c>
      <c r="F4425" s="111">
        <v>600</v>
      </c>
      <c r="G4425" s="112"/>
      <c r="H4425" s="112"/>
      <c r="T4425" s="295"/>
    </row>
    <row r="4426" spans="2:20" hidden="1" outlineLevel="1">
      <c r="B4426" s="2" t="s">
        <v>833</v>
      </c>
      <c r="D4426" s="111" t="s">
        <v>207</v>
      </c>
      <c r="E4426" s="111">
        <v>1000</v>
      </c>
      <c r="F4426" s="111">
        <v>600</v>
      </c>
      <c r="G4426" s="112"/>
      <c r="H4426" s="112"/>
      <c r="R4426" s="295"/>
      <c r="S4426" s="295"/>
      <c r="T4426" s="295"/>
    </row>
    <row r="4427" spans="2:20" hidden="1" outlineLevel="1">
      <c r="B4427" s="2" t="s">
        <v>833</v>
      </c>
      <c r="D4427" s="111" t="s">
        <v>219</v>
      </c>
      <c r="E4427" s="111">
        <v>1000</v>
      </c>
      <c r="F4427" s="111">
        <v>600</v>
      </c>
      <c r="G4427" s="112"/>
      <c r="H4427" s="112"/>
      <c r="R4427" s="295"/>
      <c r="S4427" s="295"/>
      <c r="T4427" s="295"/>
    </row>
    <row r="4428" spans="2:20" hidden="1" outlineLevel="1">
      <c r="B4428" s="2" t="s">
        <v>833</v>
      </c>
      <c r="D4428" s="111" t="s">
        <v>4705</v>
      </c>
      <c r="E4428" s="111">
        <v>1000</v>
      </c>
      <c r="F4428" s="111">
        <v>600</v>
      </c>
      <c r="G4428" s="112"/>
      <c r="H4428" s="112"/>
      <c r="R4428" s="295"/>
      <c r="S4428" s="295"/>
      <c r="T4428" s="295"/>
    </row>
    <row r="4429" spans="2:20" hidden="1" outlineLevel="1">
      <c r="B4429" s="2" t="s">
        <v>833</v>
      </c>
      <c r="D4429" s="111" t="s">
        <v>216</v>
      </c>
      <c r="E4429" s="111">
        <v>0</v>
      </c>
      <c r="F4429" s="111">
        <v>600</v>
      </c>
      <c r="G4429" s="112"/>
      <c r="H4429" s="112"/>
      <c r="T4429" s="295"/>
    </row>
    <row r="4430" spans="2:20" hidden="1" outlineLevel="1">
      <c r="B4430" s="2" t="s">
        <v>833</v>
      </c>
      <c r="D4430" s="111" t="s">
        <v>4706</v>
      </c>
      <c r="E4430" s="111">
        <v>1000</v>
      </c>
      <c r="F4430" s="111">
        <v>600</v>
      </c>
      <c r="G4430" s="112"/>
      <c r="H4430" s="112"/>
      <c r="T4430" s="295"/>
    </row>
    <row r="4431" spans="2:20" hidden="1" outlineLevel="1">
      <c r="B4431" s="2" t="s">
        <v>833</v>
      </c>
      <c r="D4431" s="258"/>
      <c r="E4431" s="258"/>
      <c r="F4431" s="258"/>
      <c r="G4431" s="258"/>
      <c r="H4431" s="258"/>
      <c r="R4431" s="295"/>
      <c r="S4431" s="295"/>
      <c r="T4431" s="295"/>
    </row>
    <row r="4432" spans="2:20" hidden="1" outlineLevel="1">
      <c r="B4432" s="2" t="s">
        <v>833</v>
      </c>
      <c r="D4432" s="102" t="s">
        <v>4707</v>
      </c>
      <c r="E4432" s="102"/>
      <c r="F4432" s="103"/>
      <c r="G4432" s="103"/>
      <c r="H4432" s="104"/>
    </row>
    <row r="4433" spans="2:20" hidden="1" outlineLevel="1">
      <c r="B4433" s="2" t="s">
        <v>833</v>
      </c>
      <c r="D4433" s="226" t="s">
        <v>4702</v>
      </c>
      <c r="E4433" s="298" t="s">
        <v>1330</v>
      </c>
      <c r="F4433" s="298" t="s">
        <v>4708</v>
      </c>
      <c r="G4433" s="298" t="s">
        <v>4709</v>
      </c>
      <c r="H4433" s="298" t="s">
        <v>230</v>
      </c>
    </row>
    <row r="4434" spans="2:20" hidden="1" outlineLevel="1">
      <c r="B4434" s="2" t="s">
        <v>833</v>
      </c>
      <c r="D4434" s="138" t="s">
        <v>4702</v>
      </c>
      <c r="E4434" s="138" t="s">
        <v>1330</v>
      </c>
      <c r="F4434" s="138" t="s">
        <v>4708</v>
      </c>
      <c r="G4434" s="138" t="s">
        <v>4709</v>
      </c>
      <c r="H4434" s="138" t="s">
        <v>230</v>
      </c>
    </row>
    <row r="4435" spans="2:20" ht="16" hidden="1" outlineLevel="1">
      <c r="B4435" s="2" t="s">
        <v>833</v>
      </c>
      <c r="D4435" s="111" t="s">
        <v>209</v>
      </c>
      <c r="E4435" s="111" t="b">
        <v>1</v>
      </c>
      <c r="F4435" s="111" t="b">
        <v>0</v>
      </c>
      <c r="G4435" s="112" t="s">
        <v>4710</v>
      </c>
      <c r="H4435" s="112" t="s">
        <v>4711</v>
      </c>
      <c r="T4435" s="295"/>
    </row>
    <row r="4436" spans="2:20" ht="16" hidden="1" outlineLevel="1">
      <c r="B4436" s="2" t="s">
        <v>833</v>
      </c>
      <c r="D4436" s="111" t="s">
        <v>209</v>
      </c>
      <c r="E4436" s="111" t="b">
        <v>0</v>
      </c>
      <c r="F4436" s="111" t="b">
        <v>0</v>
      </c>
      <c r="G4436" s="112" t="s">
        <v>4710</v>
      </c>
      <c r="H4436" s="112" t="s">
        <v>4712</v>
      </c>
      <c r="R4436" s="295"/>
      <c r="S4436" s="295"/>
      <c r="T4436" s="295"/>
    </row>
    <row r="4437" spans="2:20" hidden="1" outlineLevel="1">
      <c r="B4437" s="2" t="s">
        <v>833</v>
      </c>
      <c r="D4437" s="111" t="s">
        <v>209</v>
      </c>
      <c r="E4437" s="111"/>
      <c r="F4437" s="111" t="b">
        <v>1</v>
      </c>
      <c r="G4437" s="112" t="s">
        <v>4710</v>
      </c>
      <c r="H4437" s="112" t="s">
        <v>1419</v>
      </c>
      <c r="R4437" s="295"/>
      <c r="S4437" s="295"/>
      <c r="T4437" s="295"/>
    </row>
    <row r="4438" spans="2:20" ht="16" hidden="1" outlineLevel="1">
      <c r="B4438" s="2" t="s">
        <v>833</v>
      </c>
      <c r="D4438" s="111" t="s">
        <v>207</v>
      </c>
      <c r="E4438" s="111" t="b">
        <v>1</v>
      </c>
      <c r="F4438" s="111" t="b">
        <v>0</v>
      </c>
      <c r="G4438" s="112" t="s">
        <v>4713</v>
      </c>
      <c r="H4438" s="112" t="s">
        <v>4714</v>
      </c>
      <c r="R4438" s="295"/>
      <c r="S4438" s="295"/>
      <c r="T4438" s="295"/>
    </row>
    <row r="4439" spans="2:20" ht="16" hidden="1" outlineLevel="1">
      <c r="B4439" s="2" t="s">
        <v>833</v>
      </c>
      <c r="D4439" s="111" t="s">
        <v>207</v>
      </c>
      <c r="E4439" s="111" t="b">
        <v>0</v>
      </c>
      <c r="F4439" s="111" t="b">
        <v>0</v>
      </c>
      <c r="G4439" s="112" t="s">
        <v>4713</v>
      </c>
      <c r="H4439" s="112" t="s">
        <v>4715</v>
      </c>
      <c r="R4439" s="295"/>
      <c r="S4439" s="295"/>
      <c r="T4439" s="295"/>
    </row>
    <row r="4440" spans="2:20" hidden="1" outlineLevel="1">
      <c r="B4440" s="2" t="s">
        <v>833</v>
      </c>
      <c r="D4440" s="111" t="s">
        <v>207</v>
      </c>
      <c r="E4440" s="111"/>
      <c r="F4440" s="111" t="b">
        <v>1</v>
      </c>
      <c r="G4440" s="112" t="s">
        <v>4713</v>
      </c>
      <c r="H4440" s="112" t="s">
        <v>1418</v>
      </c>
      <c r="R4440" s="295"/>
      <c r="S4440" s="295"/>
      <c r="T4440" s="295"/>
    </row>
    <row r="4441" spans="2:20" hidden="1" outlineLevel="1">
      <c r="B4441" s="2" t="s">
        <v>833</v>
      </c>
      <c r="D4441" s="111" t="s">
        <v>219</v>
      </c>
      <c r="E4441" s="111"/>
      <c r="F4441" s="111" t="b">
        <v>0</v>
      </c>
      <c r="G4441" s="112" t="s">
        <v>4716</v>
      </c>
      <c r="H4441" s="112" t="s">
        <v>1416</v>
      </c>
      <c r="R4441" s="295"/>
      <c r="S4441" s="295"/>
      <c r="T4441" s="295"/>
    </row>
    <row r="4442" spans="2:20" hidden="1" outlineLevel="1">
      <c r="B4442" s="2" t="s">
        <v>833</v>
      </c>
      <c r="D4442" s="111" t="s">
        <v>219</v>
      </c>
      <c r="E4442" s="111"/>
      <c r="F4442" s="111" t="b">
        <v>1</v>
      </c>
      <c r="G4442" s="112" t="s">
        <v>4716</v>
      </c>
      <c r="H4442" s="112" t="s">
        <v>1420</v>
      </c>
      <c r="R4442" s="295"/>
      <c r="S4442" s="295"/>
      <c r="T4442" s="295"/>
    </row>
    <row r="4443" spans="2:20" ht="16" hidden="1" outlineLevel="1">
      <c r="B4443" s="2" t="s">
        <v>833</v>
      </c>
      <c r="D4443" s="111" t="s">
        <v>4705</v>
      </c>
      <c r="E4443" s="111" t="b">
        <v>1</v>
      </c>
      <c r="F4443" s="111" t="b">
        <v>0</v>
      </c>
      <c r="G4443" s="112" t="s">
        <v>4717</v>
      </c>
      <c r="H4443" s="112" t="s">
        <v>4718</v>
      </c>
      <c r="R4443" s="295"/>
      <c r="S4443" s="295"/>
      <c r="T4443" s="295"/>
    </row>
    <row r="4444" spans="2:20" ht="16" hidden="1" outlineLevel="1">
      <c r="B4444" s="2" t="s">
        <v>833</v>
      </c>
      <c r="D4444" s="111" t="s">
        <v>4705</v>
      </c>
      <c r="E4444" s="111" t="b">
        <v>0</v>
      </c>
      <c r="F4444" s="111" t="b">
        <v>0</v>
      </c>
      <c r="G4444" s="112" t="s">
        <v>4717</v>
      </c>
      <c r="H4444" s="112" t="s">
        <v>4719</v>
      </c>
      <c r="R4444" s="295"/>
      <c r="S4444" s="295"/>
      <c r="T4444" s="295"/>
    </row>
    <row r="4445" spans="2:20" hidden="1" outlineLevel="1">
      <c r="B4445" s="2" t="s">
        <v>833</v>
      </c>
      <c r="D4445" s="111" t="s">
        <v>4705</v>
      </c>
      <c r="E4445" s="111"/>
      <c r="F4445" s="111" t="b">
        <v>1</v>
      </c>
      <c r="G4445" s="112" t="s">
        <v>4717</v>
      </c>
      <c r="H4445" s="112" t="s">
        <v>1421</v>
      </c>
      <c r="R4445" s="295"/>
      <c r="S4445" s="295"/>
      <c r="T4445" s="295"/>
    </row>
    <row r="4446" spans="2:20" ht="16" hidden="1" outlineLevel="1">
      <c r="B4446" s="2" t="s">
        <v>833</v>
      </c>
      <c r="D4446" s="111" t="s">
        <v>216</v>
      </c>
      <c r="E4446" s="111" t="b">
        <v>1</v>
      </c>
      <c r="F4446" s="111" t="b">
        <v>0</v>
      </c>
      <c r="G4446" s="112" t="s">
        <v>4717</v>
      </c>
      <c r="H4446" s="112" t="s">
        <v>4718</v>
      </c>
      <c r="T4446" s="295"/>
    </row>
    <row r="4447" spans="2:20" ht="16" hidden="1" outlineLevel="1">
      <c r="B4447" s="2" t="s">
        <v>833</v>
      </c>
      <c r="D4447" s="111" t="s">
        <v>216</v>
      </c>
      <c r="E4447" s="111" t="b">
        <v>0</v>
      </c>
      <c r="F4447" s="111" t="b">
        <v>0</v>
      </c>
      <c r="G4447" s="112" t="s">
        <v>4717</v>
      </c>
      <c r="H4447" s="112" t="s">
        <v>4719</v>
      </c>
      <c r="T4447" s="295"/>
    </row>
    <row r="4448" spans="2:20" hidden="1" outlineLevel="1">
      <c r="B4448" s="2" t="s">
        <v>833</v>
      </c>
      <c r="D4448" s="111" t="s">
        <v>216</v>
      </c>
      <c r="E4448" s="111"/>
      <c r="F4448" s="111" t="b">
        <v>1</v>
      </c>
      <c r="G4448" s="112" t="s">
        <v>4717</v>
      </c>
      <c r="H4448" s="112" t="s">
        <v>1421</v>
      </c>
      <c r="T4448" s="295"/>
    </row>
    <row r="4449" spans="2:20" ht="16" hidden="1" outlineLevel="1">
      <c r="B4449" s="2" t="s">
        <v>833</v>
      </c>
      <c r="D4449" s="111" t="s">
        <v>4706</v>
      </c>
      <c r="E4449" s="111" t="b">
        <v>1</v>
      </c>
      <c r="F4449" s="111" t="b">
        <v>0</v>
      </c>
      <c r="G4449" s="112" t="s">
        <v>4717</v>
      </c>
      <c r="H4449" s="112" t="s">
        <v>4718</v>
      </c>
      <c r="T4449" s="295"/>
    </row>
    <row r="4450" spans="2:20" ht="16" hidden="1" outlineLevel="1">
      <c r="B4450" s="2" t="s">
        <v>833</v>
      </c>
      <c r="D4450" s="111" t="s">
        <v>4706</v>
      </c>
      <c r="E4450" s="111" t="b">
        <v>0</v>
      </c>
      <c r="F4450" s="111" t="b">
        <v>0</v>
      </c>
      <c r="G4450" s="112" t="s">
        <v>4717</v>
      </c>
      <c r="H4450" s="112" t="s">
        <v>4719</v>
      </c>
      <c r="T4450" s="295"/>
    </row>
    <row r="4451" spans="2:20" hidden="1" outlineLevel="1">
      <c r="B4451" s="2" t="s">
        <v>833</v>
      </c>
      <c r="D4451" s="111" t="s">
        <v>4706</v>
      </c>
      <c r="E4451" s="111"/>
      <c r="F4451" s="111" t="b">
        <v>1</v>
      </c>
      <c r="G4451" s="112" t="s">
        <v>4717</v>
      </c>
      <c r="H4451" s="112" t="s">
        <v>1421</v>
      </c>
      <c r="R4451" s="295"/>
      <c r="S4451" s="295"/>
      <c r="T4451" s="295"/>
    </row>
    <row r="4452" spans="2:20" hidden="1" outlineLevel="1">
      <c r="B4452" s="2" t="s">
        <v>833</v>
      </c>
      <c r="D4452" s="258"/>
      <c r="E4452" s="258"/>
      <c r="F4452" s="258"/>
      <c r="G4452" s="258"/>
      <c r="H4452" s="258"/>
      <c r="R4452" s="295"/>
      <c r="S4452" s="295"/>
      <c r="T4452" s="295"/>
    </row>
    <row r="4453" spans="2:20" hidden="1" outlineLevel="1">
      <c r="B4453" s="2" t="s">
        <v>833</v>
      </c>
      <c r="D4453" s="102" t="s">
        <v>4720</v>
      </c>
      <c r="E4453" s="102"/>
      <c r="F4453" s="103"/>
      <c r="G4453" s="103"/>
      <c r="H4453" s="258"/>
      <c r="R4453" s="295"/>
      <c r="S4453" s="295"/>
      <c r="T4453" s="295"/>
    </row>
    <row r="4454" spans="2:20" hidden="1" outlineLevel="1">
      <c r="B4454" s="2" t="s">
        <v>833</v>
      </c>
      <c r="D4454" s="226" t="s">
        <v>88</v>
      </c>
      <c r="E4454" s="298" t="s">
        <v>4708</v>
      </c>
      <c r="F4454" s="298" t="s">
        <v>4709</v>
      </c>
      <c r="G4454" s="298" t="s">
        <v>230</v>
      </c>
      <c r="H4454" s="258"/>
      <c r="R4454" s="295"/>
      <c r="S4454" s="295"/>
      <c r="T4454" s="295"/>
    </row>
    <row r="4455" spans="2:20" hidden="1" outlineLevel="1">
      <c r="B4455" s="2" t="s">
        <v>833</v>
      </c>
      <c r="D4455" s="138" t="s">
        <v>88</v>
      </c>
      <c r="E4455" s="138" t="s">
        <v>4708</v>
      </c>
      <c r="F4455" s="138" t="s">
        <v>4709</v>
      </c>
      <c r="G4455" s="138" t="s">
        <v>230</v>
      </c>
      <c r="H4455" s="258"/>
      <c r="R4455" s="295"/>
      <c r="S4455" s="295"/>
      <c r="T4455" s="295"/>
    </row>
    <row r="4456" spans="2:20" hidden="1" outlineLevel="1">
      <c r="B4456" s="2" t="s">
        <v>833</v>
      </c>
      <c r="D4456" s="111" t="b">
        <v>1</v>
      </c>
      <c r="E4456" s="111" t="b">
        <v>0</v>
      </c>
      <c r="F4456" s="111" t="s">
        <v>240</v>
      </c>
      <c r="G4456" s="112" t="s">
        <v>1417</v>
      </c>
      <c r="H4456" s="258"/>
      <c r="R4456" s="295"/>
      <c r="S4456" s="295"/>
      <c r="T4456" s="295"/>
    </row>
    <row r="4457" spans="2:20" hidden="1" outlineLevel="1">
      <c r="B4457" s="2" t="s">
        <v>833</v>
      </c>
      <c r="D4457" s="111" t="b">
        <v>0</v>
      </c>
      <c r="E4457" s="111" t="b">
        <v>0</v>
      </c>
      <c r="F4457" s="111" t="s">
        <v>240</v>
      </c>
      <c r="G4457" s="112" t="s">
        <v>1430</v>
      </c>
      <c r="H4457" s="258"/>
      <c r="R4457" s="295"/>
      <c r="S4457" s="295"/>
      <c r="T4457" s="295"/>
    </row>
    <row r="4458" spans="2:20" hidden="1" outlineLevel="1">
      <c r="B4458" s="2" t="s">
        <v>833</v>
      </c>
      <c r="D4458" s="111" t="b">
        <v>1</v>
      </c>
      <c r="E4458" s="111" t="b">
        <v>1</v>
      </c>
      <c r="F4458" s="111" t="s">
        <v>240</v>
      </c>
      <c r="G4458" s="112" t="s">
        <v>1422</v>
      </c>
      <c r="H4458" s="258"/>
      <c r="R4458" s="295"/>
      <c r="S4458" s="295"/>
      <c r="T4458" s="295"/>
    </row>
    <row r="4459" spans="2:20" hidden="1" outlineLevel="1">
      <c r="B4459" s="2" t="s">
        <v>833</v>
      </c>
      <c r="D4459" s="111" t="b">
        <v>0</v>
      </c>
      <c r="E4459" s="111" t="b">
        <v>1</v>
      </c>
      <c r="F4459" s="111" t="s">
        <v>240</v>
      </c>
      <c r="G4459" s="112" t="s">
        <v>1423</v>
      </c>
      <c r="H4459" s="258"/>
      <c r="R4459" s="295"/>
      <c r="S4459" s="295"/>
      <c r="T4459" s="295"/>
    </row>
    <row r="4460" spans="2:20" hidden="1" outlineLevel="1">
      <c r="B4460" s="2" t="s">
        <v>833</v>
      </c>
      <c r="D4460" s="258"/>
      <c r="E4460" s="258"/>
      <c r="F4460" s="258"/>
      <c r="G4460" s="258"/>
      <c r="H4460" s="258"/>
      <c r="T4460" s="295"/>
    </row>
    <row r="4461" spans="2:20" hidden="1" outlineLevel="1">
      <c r="B4461" s="2" t="s">
        <v>833</v>
      </c>
      <c r="C4461" s="124" t="s">
        <v>398</v>
      </c>
      <c r="D4461" s="248" t="s">
        <v>815</v>
      </c>
      <c r="E4461" s="248" t="s">
        <v>448</v>
      </c>
      <c r="F4461" s="248" t="s">
        <v>816</v>
      </c>
      <c r="G4461" s="226" t="s">
        <v>823</v>
      </c>
      <c r="H4461" s="226" t="s">
        <v>825</v>
      </c>
      <c r="T4461" s="295"/>
    </row>
    <row r="4462" spans="2:20" hidden="1" outlineLevel="1">
      <c r="B4462" s="2" t="s">
        <v>833</v>
      </c>
      <c r="D4462" s="111" t="s">
        <v>4721</v>
      </c>
      <c r="E4462" s="111"/>
      <c r="F4462" s="111"/>
      <c r="G4462" s="111" t="s">
        <v>4722</v>
      </c>
      <c r="H4462" s="112" t="s">
        <v>1418</v>
      </c>
      <c r="T4462" s="295"/>
    </row>
    <row r="4463" spans="2:20" ht="16" hidden="1" outlineLevel="1">
      <c r="B4463" s="2" t="s">
        <v>833</v>
      </c>
      <c r="D4463" s="113"/>
      <c r="E4463" s="113" t="s">
        <v>535</v>
      </c>
      <c r="F4463" s="113" t="b">
        <v>1</v>
      </c>
      <c r="G4463" s="113" t="s">
        <v>4723</v>
      </c>
      <c r="H4463" s="265" t="s">
        <v>1429</v>
      </c>
      <c r="T4463" s="295"/>
    </row>
    <row r="4464" spans="2:20" ht="16" hidden="1" outlineLevel="1">
      <c r="B4464" s="2" t="s">
        <v>833</v>
      </c>
      <c r="D4464" s="111"/>
      <c r="E4464" s="111" t="s">
        <v>535</v>
      </c>
      <c r="F4464" s="111" t="b">
        <v>0</v>
      </c>
      <c r="G4464" s="111" t="s">
        <v>4724</v>
      </c>
      <c r="H4464" s="264" t="s">
        <v>1428</v>
      </c>
      <c r="R4464" s="295"/>
      <c r="S4464" s="295"/>
      <c r="T4464" s="295"/>
    </row>
    <row r="4465" spans="2:20" ht="16" hidden="1" outlineLevel="1">
      <c r="B4465" s="2" t="s">
        <v>833</v>
      </c>
      <c r="D4465" s="113"/>
      <c r="E4465" s="113" t="s">
        <v>533</v>
      </c>
      <c r="F4465" s="113" t="b">
        <v>1</v>
      </c>
      <c r="G4465" s="113" t="s">
        <v>4725</v>
      </c>
      <c r="H4465" s="265" t="s">
        <v>1427</v>
      </c>
      <c r="R4465" s="295"/>
      <c r="S4465" s="295"/>
      <c r="T4465" s="295"/>
    </row>
    <row r="4466" spans="2:20" ht="16" hidden="1" outlineLevel="1">
      <c r="B4466" s="2" t="s">
        <v>833</v>
      </c>
      <c r="D4466" s="111"/>
      <c r="E4466" s="111" t="s">
        <v>533</v>
      </c>
      <c r="F4466" s="111" t="b">
        <v>0</v>
      </c>
      <c r="G4466" s="111" t="s">
        <v>4726</v>
      </c>
      <c r="H4466" s="264" t="s">
        <v>1426</v>
      </c>
      <c r="R4466" s="295"/>
      <c r="S4466" s="295"/>
      <c r="T4466" s="295"/>
    </row>
    <row r="4467" spans="2:20" hidden="1" outlineLevel="1">
      <c r="B4467" s="2" t="s">
        <v>833</v>
      </c>
      <c r="D4467" s="258"/>
      <c r="E4467" s="258"/>
      <c r="F4467" s="258"/>
      <c r="R4467" s="295"/>
      <c r="S4467" s="295"/>
      <c r="T4467" s="295"/>
    </row>
    <row r="4468" spans="2:20" collapsed="1">
      <c r="B4468" s="2" t="s">
        <v>833</v>
      </c>
      <c r="C4468" s="246" t="s">
        <v>407</v>
      </c>
      <c r="D4468" s="210" t="s">
        <v>843</v>
      </c>
      <c r="E4468" s="210" t="s">
        <v>844</v>
      </c>
      <c r="F4468" s="210" t="s">
        <v>845</v>
      </c>
      <c r="G4468" s="210" t="s">
        <v>846</v>
      </c>
      <c r="H4468" s="210" t="s">
        <v>847</v>
      </c>
      <c r="I4468" s="210" t="s">
        <v>848</v>
      </c>
      <c r="J4468" s="210" t="s">
        <v>849</v>
      </c>
      <c r="K4468" s="210" t="s">
        <v>850</v>
      </c>
      <c r="L4468" s="210" t="s">
        <v>8055</v>
      </c>
      <c r="M4468" s="210" t="s">
        <v>8168</v>
      </c>
      <c r="N4468" s="210" t="s">
        <v>8571</v>
      </c>
      <c r="O4468" s="210" t="s">
        <v>8755</v>
      </c>
      <c r="P4468" s="210" t="s">
        <v>8892</v>
      </c>
    </row>
    <row r="4469" spans="2:20" hidden="1" outlineLevel="1">
      <c r="B4469" s="2" t="s">
        <v>833</v>
      </c>
    </row>
    <row r="4470" spans="2:20" hidden="1" outlineLevel="1">
      <c r="B4470" s="2" t="s">
        <v>833</v>
      </c>
      <c r="D4470" s="298" t="s">
        <v>4727</v>
      </c>
      <c r="E4470" s="298" t="s">
        <v>1215</v>
      </c>
      <c r="F4470" s="226" t="s">
        <v>482</v>
      </c>
      <c r="G4470" s="298" t="s">
        <v>4363</v>
      </c>
      <c r="H4470" s="298" t="s">
        <v>492</v>
      </c>
      <c r="I4470" s="239" t="s">
        <v>4728</v>
      </c>
      <c r="J4470" s="239" t="s">
        <v>4729</v>
      </c>
    </row>
    <row r="4471" spans="2:20" hidden="1" outlineLevel="1">
      <c r="B4471" s="2" t="s">
        <v>833</v>
      </c>
      <c r="D4471" s="138" t="s">
        <v>4727</v>
      </c>
      <c r="E4471" s="138" t="s">
        <v>1215</v>
      </c>
      <c r="F4471" s="138" t="s">
        <v>482</v>
      </c>
      <c r="G4471" s="138" t="s">
        <v>4363</v>
      </c>
      <c r="H4471" s="138" t="s">
        <v>492</v>
      </c>
      <c r="I4471" s="138" t="s">
        <v>4728</v>
      </c>
      <c r="J4471" s="138" t="s">
        <v>4729</v>
      </c>
    </row>
    <row r="4472" spans="2:20" hidden="1" outlineLevel="1">
      <c r="B4472" s="2" t="s">
        <v>833</v>
      </c>
      <c r="D4472" s="111" t="b">
        <v>1</v>
      </c>
      <c r="E4472" s="112"/>
      <c r="F4472" s="111" t="s">
        <v>484</v>
      </c>
      <c r="G4472" s="112" t="b">
        <v>1</v>
      </c>
      <c r="H4472" s="112"/>
      <c r="I4472" s="112" t="s">
        <v>4730</v>
      </c>
      <c r="J4472" s="112" t="s">
        <v>4730</v>
      </c>
      <c r="R4472" s="295"/>
      <c r="S4472" s="295"/>
      <c r="T4472" s="295"/>
    </row>
    <row r="4473" spans="2:20" hidden="1" outlineLevel="1">
      <c r="B4473" s="2" t="s">
        <v>833</v>
      </c>
      <c r="D4473" s="111" t="b">
        <v>1</v>
      </c>
      <c r="E4473" s="112"/>
      <c r="F4473" s="111" t="s">
        <v>484</v>
      </c>
      <c r="G4473" s="112" t="b">
        <v>0</v>
      </c>
      <c r="H4473" s="112"/>
      <c r="I4473" s="112" t="s">
        <v>4731</v>
      </c>
      <c r="J4473" s="112" t="s">
        <v>4731</v>
      </c>
      <c r="R4473" s="295"/>
      <c r="S4473" s="295"/>
      <c r="T4473" s="295"/>
    </row>
    <row r="4474" spans="2:20" hidden="1" outlineLevel="1">
      <c r="B4474" s="2" t="s">
        <v>833</v>
      </c>
      <c r="D4474" s="111" t="b">
        <v>1</v>
      </c>
      <c r="E4474" s="112"/>
      <c r="F4474" s="111" t="s">
        <v>486</v>
      </c>
      <c r="G4474" s="112" t="b">
        <v>1</v>
      </c>
      <c r="H4474" s="112"/>
      <c r="I4474" s="112" t="s">
        <v>4732</v>
      </c>
      <c r="J4474" s="112" t="s">
        <v>4732</v>
      </c>
      <c r="R4474" s="295"/>
      <c r="S4474" s="295"/>
      <c r="T4474" s="295"/>
    </row>
    <row r="4475" spans="2:20" hidden="1" outlineLevel="1">
      <c r="B4475" s="2" t="s">
        <v>833</v>
      </c>
      <c r="D4475" s="111" t="b">
        <v>1</v>
      </c>
      <c r="E4475" s="112"/>
      <c r="F4475" s="111" t="s">
        <v>486</v>
      </c>
      <c r="G4475" s="112" t="b">
        <v>0</v>
      </c>
      <c r="H4475" s="112"/>
      <c r="I4475" s="112" t="s">
        <v>4733</v>
      </c>
      <c r="J4475" s="112" t="s">
        <v>4733</v>
      </c>
      <c r="R4475" s="295"/>
      <c r="S4475" s="295"/>
      <c r="T4475" s="295"/>
    </row>
    <row r="4476" spans="2:20" hidden="1" outlineLevel="1">
      <c r="B4476" s="2" t="s">
        <v>833</v>
      </c>
      <c r="D4476" s="111" t="b">
        <v>1</v>
      </c>
      <c r="E4476" s="112"/>
      <c r="F4476" s="111" t="s">
        <v>488</v>
      </c>
      <c r="G4476" s="112" t="b">
        <v>0</v>
      </c>
      <c r="H4476" s="112"/>
      <c r="I4476" s="112" t="s">
        <v>4733</v>
      </c>
      <c r="J4476" s="112" t="s">
        <v>4733</v>
      </c>
      <c r="R4476" s="295"/>
      <c r="S4476" s="295"/>
      <c r="T4476" s="295"/>
    </row>
    <row r="4477" spans="2:20" hidden="1" outlineLevel="1">
      <c r="B4477" s="2" t="s">
        <v>833</v>
      </c>
      <c r="D4477" s="113" t="b">
        <v>0</v>
      </c>
      <c r="E4477" s="114" t="b">
        <v>0</v>
      </c>
      <c r="F4477" s="113" t="s">
        <v>484</v>
      </c>
      <c r="G4477" s="114" t="b">
        <v>0</v>
      </c>
      <c r="H4477" s="114" t="s">
        <v>493</v>
      </c>
      <c r="I4477" s="114" t="s">
        <v>4734</v>
      </c>
      <c r="J4477" s="114" t="s">
        <v>4735</v>
      </c>
      <c r="R4477" s="295"/>
      <c r="S4477" s="295"/>
      <c r="T4477" s="295"/>
    </row>
    <row r="4478" spans="2:20" hidden="1" outlineLevel="1">
      <c r="B4478" s="2" t="s">
        <v>833</v>
      </c>
      <c r="D4478" s="113" t="b">
        <v>0</v>
      </c>
      <c r="E4478" s="114" t="b">
        <v>0</v>
      </c>
      <c r="F4478" s="113" t="s">
        <v>484</v>
      </c>
      <c r="G4478" s="114" t="b">
        <v>0</v>
      </c>
      <c r="H4478" s="114"/>
      <c r="I4478" s="114" t="s">
        <v>4734</v>
      </c>
      <c r="J4478" s="114" t="s">
        <v>4736</v>
      </c>
      <c r="R4478" s="295"/>
      <c r="S4478" s="295"/>
      <c r="T4478" s="295"/>
    </row>
    <row r="4479" spans="2:20" hidden="1" outlineLevel="1">
      <c r="B4479" s="2" t="s">
        <v>833</v>
      </c>
      <c r="D4479" s="113" t="b">
        <v>0</v>
      </c>
      <c r="E4479" s="114" t="b">
        <v>0</v>
      </c>
      <c r="F4479" s="113" t="s">
        <v>484</v>
      </c>
      <c r="G4479" s="114" t="b">
        <v>1</v>
      </c>
      <c r="H4479" s="114" t="s">
        <v>493</v>
      </c>
      <c r="I4479" s="114" t="s">
        <v>4737</v>
      </c>
      <c r="J4479" s="114" t="s">
        <v>4738</v>
      </c>
      <c r="R4479" s="295"/>
      <c r="S4479" s="295"/>
      <c r="T4479" s="295"/>
    </row>
    <row r="4480" spans="2:20" hidden="1" outlineLevel="1">
      <c r="B4480" s="2" t="s">
        <v>833</v>
      </c>
      <c r="D4480" s="113" t="b">
        <v>0</v>
      </c>
      <c r="E4480" s="114" t="b">
        <v>0</v>
      </c>
      <c r="F4480" s="113" t="s">
        <v>484</v>
      </c>
      <c r="G4480" s="114" t="b">
        <v>1</v>
      </c>
      <c r="H4480" s="114"/>
      <c r="I4480" s="114" t="s">
        <v>4737</v>
      </c>
      <c r="J4480" s="114" t="s">
        <v>4739</v>
      </c>
      <c r="R4480" s="295"/>
      <c r="S4480" s="295"/>
      <c r="T4480" s="295"/>
    </row>
    <row r="4481" spans="2:20" hidden="1" outlineLevel="1">
      <c r="B4481" s="2" t="s">
        <v>833</v>
      </c>
      <c r="D4481" s="113" t="b">
        <v>0</v>
      </c>
      <c r="E4481" s="114" t="b">
        <v>1</v>
      </c>
      <c r="F4481" s="113" t="s">
        <v>484</v>
      </c>
      <c r="G4481" s="114" t="b">
        <v>0</v>
      </c>
      <c r="H4481" s="114" t="s">
        <v>493</v>
      </c>
      <c r="I4481" s="114" t="s">
        <v>4740</v>
      </c>
      <c r="J4481" s="114" t="s">
        <v>4741</v>
      </c>
      <c r="R4481" s="295"/>
      <c r="S4481" s="295"/>
      <c r="T4481" s="295"/>
    </row>
    <row r="4482" spans="2:20" hidden="1" outlineLevel="1">
      <c r="B4482" s="2" t="s">
        <v>833</v>
      </c>
      <c r="D4482" s="113" t="b">
        <v>0</v>
      </c>
      <c r="E4482" s="114" t="b">
        <v>1</v>
      </c>
      <c r="F4482" s="113" t="s">
        <v>484</v>
      </c>
      <c r="G4482" s="114" t="b">
        <v>0</v>
      </c>
      <c r="H4482" s="114"/>
      <c r="I4482" s="114" t="s">
        <v>4740</v>
      </c>
      <c r="J4482" s="114" t="s">
        <v>4742</v>
      </c>
      <c r="R4482" s="295"/>
      <c r="S4482" s="295"/>
      <c r="T4482" s="295"/>
    </row>
    <row r="4483" spans="2:20" hidden="1" outlineLevel="1">
      <c r="B4483" s="2" t="s">
        <v>833</v>
      </c>
      <c r="D4483" s="113" t="b">
        <v>0</v>
      </c>
      <c r="E4483" s="114" t="b">
        <v>1</v>
      </c>
      <c r="F4483" s="113" t="s">
        <v>484</v>
      </c>
      <c r="G4483" s="114" t="b">
        <v>1</v>
      </c>
      <c r="H4483" s="114" t="s">
        <v>493</v>
      </c>
      <c r="I4483" s="114" t="s">
        <v>4743</v>
      </c>
      <c r="J4483" s="114" t="s">
        <v>4744</v>
      </c>
      <c r="R4483" s="295"/>
      <c r="S4483" s="295"/>
      <c r="T4483" s="295"/>
    </row>
    <row r="4484" spans="2:20" hidden="1" outlineLevel="1">
      <c r="B4484" s="2" t="s">
        <v>833</v>
      </c>
      <c r="D4484" s="113" t="b">
        <v>0</v>
      </c>
      <c r="E4484" s="114" t="b">
        <v>1</v>
      </c>
      <c r="F4484" s="113" t="s">
        <v>484</v>
      </c>
      <c r="G4484" s="114" t="b">
        <v>1</v>
      </c>
      <c r="H4484" s="114"/>
      <c r="I4484" s="114" t="s">
        <v>4743</v>
      </c>
      <c r="J4484" s="114" t="s">
        <v>4745</v>
      </c>
      <c r="R4484" s="295"/>
      <c r="S4484" s="295"/>
      <c r="T4484" s="295"/>
    </row>
    <row r="4485" spans="2:20" hidden="1" outlineLevel="1">
      <c r="B4485" s="2" t="s">
        <v>833</v>
      </c>
      <c r="D4485" s="111" t="b">
        <v>0</v>
      </c>
      <c r="E4485" s="112" t="b">
        <v>0</v>
      </c>
      <c r="F4485" s="111" t="s">
        <v>486</v>
      </c>
      <c r="G4485" s="112" t="b">
        <v>0</v>
      </c>
      <c r="H4485" s="112" t="s">
        <v>493</v>
      </c>
      <c r="I4485" s="112" t="s">
        <v>4746</v>
      </c>
      <c r="J4485" s="112" t="s">
        <v>4747</v>
      </c>
      <c r="R4485" s="295"/>
      <c r="S4485" s="295"/>
      <c r="T4485" s="295"/>
    </row>
    <row r="4486" spans="2:20" hidden="1" outlineLevel="1">
      <c r="B4486" s="2" t="s">
        <v>833</v>
      </c>
      <c r="D4486" s="111" t="b">
        <v>0</v>
      </c>
      <c r="E4486" s="112" t="b">
        <v>0</v>
      </c>
      <c r="F4486" s="111" t="s">
        <v>486</v>
      </c>
      <c r="G4486" s="112" t="b">
        <v>0</v>
      </c>
      <c r="H4486" s="112"/>
      <c r="I4486" s="112" t="s">
        <v>4746</v>
      </c>
      <c r="J4486" s="112" t="s">
        <v>4748</v>
      </c>
      <c r="R4486" s="295"/>
      <c r="S4486" s="295"/>
      <c r="T4486" s="295"/>
    </row>
    <row r="4487" spans="2:20" hidden="1" outlineLevel="1">
      <c r="B4487" s="2" t="s">
        <v>833</v>
      </c>
      <c r="D4487" s="111" t="b">
        <v>0</v>
      </c>
      <c r="E4487" s="112" t="b">
        <v>0</v>
      </c>
      <c r="F4487" s="111" t="s">
        <v>486</v>
      </c>
      <c r="G4487" s="112" t="b">
        <v>1</v>
      </c>
      <c r="H4487" s="112" t="s">
        <v>493</v>
      </c>
      <c r="I4487" s="112" t="s">
        <v>4749</v>
      </c>
      <c r="J4487" s="112" t="s">
        <v>4750</v>
      </c>
      <c r="R4487" s="295"/>
      <c r="S4487" s="295"/>
      <c r="T4487" s="295"/>
    </row>
    <row r="4488" spans="2:20" hidden="1" outlineLevel="1">
      <c r="B4488" s="2" t="s">
        <v>833</v>
      </c>
      <c r="D4488" s="111" t="b">
        <v>0</v>
      </c>
      <c r="E4488" s="112" t="b">
        <v>0</v>
      </c>
      <c r="F4488" s="111" t="s">
        <v>486</v>
      </c>
      <c r="G4488" s="112" t="b">
        <v>1</v>
      </c>
      <c r="H4488" s="112"/>
      <c r="I4488" s="112" t="s">
        <v>4749</v>
      </c>
      <c r="J4488" s="112" t="s">
        <v>4751</v>
      </c>
      <c r="R4488" s="295"/>
      <c r="S4488" s="295"/>
      <c r="T4488" s="295"/>
    </row>
    <row r="4489" spans="2:20" hidden="1" outlineLevel="1">
      <c r="B4489" s="2" t="s">
        <v>833</v>
      </c>
      <c r="D4489" s="111" t="b">
        <v>0</v>
      </c>
      <c r="E4489" s="112" t="b">
        <v>1</v>
      </c>
      <c r="F4489" s="111" t="s">
        <v>486</v>
      </c>
      <c r="G4489" s="112" t="b">
        <v>0</v>
      </c>
      <c r="H4489" s="112" t="s">
        <v>493</v>
      </c>
      <c r="I4489" s="112" t="s">
        <v>4752</v>
      </c>
      <c r="J4489" s="112" t="s">
        <v>4753</v>
      </c>
      <c r="R4489" s="295"/>
      <c r="S4489" s="295"/>
      <c r="T4489" s="295"/>
    </row>
    <row r="4490" spans="2:20" hidden="1" outlineLevel="1">
      <c r="B4490" s="2" t="s">
        <v>833</v>
      </c>
      <c r="D4490" s="111" t="b">
        <v>0</v>
      </c>
      <c r="E4490" s="112" t="b">
        <v>1</v>
      </c>
      <c r="F4490" s="111" t="s">
        <v>486</v>
      </c>
      <c r="G4490" s="112" t="b">
        <v>0</v>
      </c>
      <c r="H4490" s="112"/>
      <c r="I4490" s="112" t="s">
        <v>4752</v>
      </c>
      <c r="J4490" s="112" t="s">
        <v>4754</v>
      </c>
      <c r="R4490" s="295"/>
      <c r="S4490" s="295"/>
      <c r="T4490" s="295"/>
    </row>
    <row r="4491" spans="2:20" hidden="1" outlineLevel="1">
      <c r="B4491" s="2" t="s">
        <v>833</v>
      </c>
      <c r="D4491" s="111" t="b">
        <v>0</v>
      </c>
      <c r="E4491" s="112" t="b">
        <v>1</v>
      </c>
      <c r="F4491" s="111" t="s">
        <v>486</v>
      </c>
      <c r="G4491" s="112" t="b">
        <v>1</v>
      </c>
      <c r="H4491" s="112" t="s">
        <v>493</v>
      </c>
      <c r="I4491" s="112" t="s">
        <v>4755</v>
      </c>
      <c r="J4491" s="112" t="s">
        <v>4756</v>
      </c>
      <c r="R4491" s="295"/>
      <c r="S4491" s="295"/>
      <c r="T4491" s="295"/>
    </row>
    <row r="4492" spans="2:20" hidden="1" outlineLevel="1">
      <c r="B4492" s="2" t="s">
        <v>833</v>
      </c>
      <c r="D4492" s="111" t="b">
        <v>0</v>
      </c>
      <c r="E4492" s="112" t="b">
        <v>1</v>
      </c>
      <c r="F4492" s="111" t="s">
        <v>486</v>
      </c>
      <c r="G4492" s="112" t="b">
        <v>1</v>
      </c>
      <c r="H4492" s="112"/>
      <c r="I4492" s="112" t="s">
        <v>4755</v>
      </c>
      <c r="J4492" s="112" t="s">
        <v>4757</v>
      </c>
      <c r="R4492" s="295"/>
      <c r="S4492" s="295"/>
      <c r="T4492" s="295"/>
    </row>
    <row r="4493" spans="2:20" hidden="1" outlineLevel="1">
      <c r="B4493" s="2" t="s">
        <v>833</v>
      </c>
      <c r="D4493" s="113" t="b">
        <v>0</v>
      </c>
      <c r="E4493" s="114" t="b">
        <v>0</v>
      </c>
      <c r="F4493" s="113" t="s">
        <v>488</v>
      </c>
      <c r="G4493" s="114" t="b">
        <v>0</v>
      </c>
      <c r="H4493" s="114"/>
      <c r="I4493" s="114" t="s">
        <v>4758</v>
      </c>
      <c r="J4493" s="114" t="s">
        <v>4759</v>
      </c>
      <c r="R4493" s="295"/>
      <c r="S4493" s="295"/>
      <c r="T4493" s="295"/>
    </row>
    <row r="4494" spans="2:20" hidden="1" outlineLevel="1">
      <c r="B4494" s="2" t="s">
        <v>833</v>
      </c>
      <c r="D4494" s="113" t="b">
        <v>0</v>
      </c>
      <c r="E4494" s="114" t="b">
        <v>0</v>
      </c>
      <c r="F4494" s="113" t="s">
        <v>488</v>
      </c>
      <c r="G4494" s="114" t="b">
        <v>0</v>
      </c>
      <c r="H4494" s="114" t="s">
        <v>493</v>
      </c>
      <c r="I4494" s="114" t="s">
        <v>4758</v>
      </c>
      <c r="J4494" s="114" t="s">
        <v>4760</v>
      </c>
      <c r="R4494" s="295"/>
      <c r="S4494" s="295"/>
      <c r="T4494" s="295"/>
    </row>
    <row r="4495" spans="2:20" hidden="1" outlineLevel="1">
      <c r="B4495" s="2" t="s">
        <v>833</v>
      </c>
      <c r="D4495" s="113" t="b">
        <v>0</v>
      </c>
      <c r="E4495" s="114" t="b">
        <v>1</v>
      </c>
      <c r="F4495" s="113" t="s">
        <v>488</v>
      </c>
      <c r="G4495" s="114" t="b">
        <v>0</v>
      </c>
      <c r="H4495" s="114"/>
      <c r="I4495" s="114" t="s">
        <v>4761</v>
      </c>
      <c r="J4495" s="114" t="s">
        <v>4762</v>
      </c>
      <c r="R4495" s="295"/>
      <c r="S4495" s="295"/>
      <c r="T4495" s="295"/>
    </row>
    <row r="4496" spans="2:20" hidden="1" outlineLevel="1">
      <c r="B4496" s="2" t="s">
        <v>833</v>
      </c>
      <c r="D4496" s="113" t="b">
        <v>0</v>
      </c>
      <c r="E4496" s="114" t="b">
        <v>1</v>
      </c>
      <c r="F4496" s="113" t="s">
        <v>488</v>
      </c>
      <c r="G4496" s="114" t="b">
        <v>0</v>
      </c>
      <c r="H4496" s="114" t="s">
        <v>493</v>
      </c>
      <c r="I4496" s="114" t="s">
        <v>4761</v>
      </c>
      <c r="J4496" s="114" t="s">
        <v>4763</v>
      </c>
      <c r="R4496" s="295"/>
      <c r="S4496" s="295"/>
      <c r="T4496" s="295"/>
    </row>
    <row r="4497" spans="2:20" hidden="1" outlineLevel="1">
      <c r="B4497" s="2" t="s">
        <v>833</v>
      </c>
      <c r="R4497" s="295"/>
      <c r="S4497" s="295"/>
      <c r="T4497" s="295"/>
    </row>
    <row r="4498" spans="2:20" collapsed="1">
      <c r="B4498" s="2" t="s">
        <v>833</v>
      </c>
      <c r="C4498" s="246" t="s">
        <v>584</v>
      </c>
      <c r="D4498" s="210" t="s">
        <v>843</v>
      </c>
      <c r="E4498" s="210" t="s">
        <v>844</v>
      </c>
      <c r="F4498" s="210" t="s">
        <v>845</v>
      </c>
      <c r="G4498" s="210" t="s">
        <v>846</v>
      </c>
      <c r="H4498" s="210" t="s">
        <v>847</v>
      </c>
      <c r="I4498" s="210" t="s">
        <v>848</v>
      </c>
      <c r="J4498" s="210" t="s">
        <v>849</v>
      </c>
      <c r="K4498" s="210" t="s">
        <v>850</v>
      </c>
      <c r="L4498" s="210" t="s">
        <v>8055</v>
      </c>
      <c r="M4498" s="210" t="s">
        <v>8168</v>
      </c>
      <c r="N4498" s="210" t="s">
        <v>8571</v>
      </c>
      <c r="O4498" s="210" t="s">
        <v>8755</v>
      </c>
      <c r="P4498" s="210" t="s">
        <v>8892</v>
      </c>
    </row>
    <row r="4499" spans="2:20" hidden="1" outlineLevel="1">
      <c r="B4499" s="2" t="s">
        <v>833</v>
      </c>
      <c r="C4499" s="137"/>
    </row>
    <row r="4500" spans="2:20" hidden="1" outlineLevel="1" collapsed="1">
      <c r="B4500" s="2" t="s">
        <v>833</v>
      </c>
      <c r="C4500" s="137" t="s">
        <v>4764</v>
      </c>
      <c r="D4500" s="298" t="s">
        <v>4765</v>
      </c>
      <c r="E4500" s="239" t="s">
        <v>824</v>
      </c>
      <c r="F4500" s="239" t="s">
        <v>4766</v>
      </c>
    </row>
    <row r="4501" spans="2:20" hidden="1" outlineLevel="2">
      <c r="B4501" s="2" t="s">
        <v>833</v>
      </c>
      <c r="D4501" s="138"/>
      <c r="E4501" s="138"/>
      <c r="F4501" s="138"/>
    </row>
    <row r="4502" spans="2:20" hidden="1" outlineLevel="2">
      <c r="B4502" s="2" t="s">
        <v>833</v>
      </c>
      <c r="D4502" s="112">
        <v>1</v>
      </c>
      <c r="E4502" s="112">
        <v>0</v>
      </c>
      <c r="F4502" s="276">
        <v>0</v>
      </c>
      <c r="R4502" s="295"/>
      <c r="S4502" s="295"/>
      <c r="T4502" s="295"/>
    </row>
    <row r="4503" spans="2:20" hidden="1" outlineLevel="2">
      <c r="B4503" s="2" t="s">
        <v>833</v>
      </c>
      <c r="D4503" s="114">
        <v>2</v>
      </c>
      <c r="E4503" s="114">
        <v>150000</v>
      </c>
      <c r="F4503" s="279">
        <v>5.0000000000000001E-3</v>
      </c>
      <c r="R4503" s="295"/>
      <c r="S4503" s="295"/>
      <c r="T4503" s="295"/>
    </row>
    <row r="4504" spans="2:20" hidden="1" outlineLevel="2">
      <c r="B4504" s="2" t="s">
        <v>833</v>
      </c>
      <c r="D4504" s="112">
        <v>3</v>
      </c>
      <c r="E4504" s="112">
        <v>250000</v>
      </c>
      <c r="F4504" s="276">
        <v>6.0000000000000001E-3</v>
      </c>
      <c r="R4504" s="295"/>
      <c r="S4504" s="295"/>
      <c r="T4504" s="295"/>
    </row>
    <row r="4505" spans="2:20" hidden="1" outlineLevel="2">
      <c r="B4505" s="2" t="s">
        <v>833</v>
      </c>
      <c r="D4505" s="114">
        <v>4</v>
      </c>
      <c r="E4505" s="114">
        <v>700000</v>
      </c>
      <c r="F4505" s="279">
        <v>7.0000000000000001E-3</v>
      </c>
      <c r="R4505" s="295"/>
      <c r="S4505" s="295"/>
      <c r="T4505" s="295"/>
    </row>
    <row r="4506" spans="2:20" hidden="1" outlineLevel="2">
      <c r="B4506" s="2" t="s">
        <v>833</v>
      </c>
      <c r="R4506" s="295"/>
      <c r="S4506" s="295"/>
      <c r="T4506" s="295"/>
    </row>
    <row r="4507" spans="2:20" hidden="1" outlineLevel="1" collapsed="1">
      <c r="B4507" s="2" t="s">
        <v>833</v>
      </c>
      <c r="C4507" s="137" t="s">
        <v>8532</v>
      </c>
      <c r="D4507" s="298" t="s">
        <v>8533</v>
      </c>
      <c r="E4507" s="298" t="s">
        <v>8536</v>
      </c>
      <c r="R4507" s="295"/>
      <c r="S4507" s="295"/>
      <c r="T4507" s="295"/>
    </row>
    <row r="4508" spans="2:20" hidden="1" outlineLevel="2">
      <c r="B4508" s="2" t="s">
        <v>833</v>
      </c>
      <c r="D4508" s="138"/>
      <c r="E4508" s="138"/>
      <c r="R4508" s="295"/>
      <c r="S4508" s="295"/>
      <c r="T4508" s="295"/>
    </row>
    <row r="4509" spans="2:20" hidden="1" outlineLevel="2">
      <c r="B4509" s="2" t="s">
        <v>833</v>
      </c>
      <c r="D4509" s="112" t="s">
        <v>8534</v>
      </c>
      <c r="E4509" s="112" t="s">
        <v>8537</v>
      </c>
      <c r="R4509" s="295"/>
      <c r="S4509" s="295"/>
      <c r="T4509" s="295"/>
    </row>
    <row r="4510" spans="2:20" hidden="1" outlineLevel="2">
      <c r="B4510" s="2" t="s">
        <v>833</v>
      </c>
      <c r="D4510" s="114" t="s">
        <v>8535</v>
      </c>
      <c r="E4510" s="114" t="s">
        <v>8538</v>
      </c>
      <c r="R4510" s="295"/>
      <c r="S4510" s="295"/>
      <c r="T4510" s="295"/>
    </row>
    <row r="4511" spans="2:20" hidden="1" outlineLevel="2">
      <c r="B4511" s="2" t="s">
        <v>833</v>
      </c>
      <c r="D4511" s="112"/>
      <c r="E4511" s="112"/>
      <c r="R4511" s="295"/>
      <c r="S4511" s="295"/>
      <c r="T4511" s="295"/>
    </row>
    <row r="4512" spans="2:20" hidden="1" outlineLevel="2">
      <c r="B4512" s="2" t="s">
        <v>833</v>
      </c>
      <c r="D4512" s="114"/>
      <c r="E4512" s="114"/>
      <c r="R4512" s="295"/>
      <c r="S4512" s="295"/>
      <c r="T4512" s="295"/>
    </row>
    <row r="4513" spans="2:20" hidden="1" outlineLevel="2">
      <c r="B4513" s="2" t="s">
        <v>833</v>
      </c>
      <c r="R4513" s="295"/>
      <c r="S4513" s="295"/>
      <c r="T4513" s="295"/>
    </row>
    <row r="4514" spans="2:20" hidden="1" outlineLevel="1" collapsed="1">
      <c r="B4514" s="2" t="s">
        <v>833</v>
      </c>
      <c r="C4514" s="137" t="s">
        <v>4767</v>
      </c>
      <c r="D4514" s="298" t="s">
        <v>4768</v>
      </c>
      <c r="E4514" s="298" t="s">
        <v>4769</v>
      </c>
      <c r="R4514" s="295"/>
      <c r="S4514" s="295"/>
      <c r="T4514" s="295"/>
    </row>
    <row r="4515" spans="2:20" hidden="1" outlineLevel="2">
      <c r="B4515" s="2" t="s">
        <v>833</v>
      </c>
      <c r="D4515" s="138"/>
      <c r="E4515" s="138"/>
      <c r="R4515" s="295"/>
      <c r="S4515" s="295"/>
      <c r="T4515" s="295"/>
    </row>
    <row r="4516" spans="2:20" hidden="1" outlineLevel="2">
      <c r="B4516" s="2" t="s">
        <v>833</v>
      </c>
      <c r="D4516" s="112" t="s">
        <v>4770</v>
      </c>
      <c r="E4516" s="112" t="s">
        <v>4771</v>
      </c>
      <c r="R4516" s="295"/>
      <c r="S4516" s="295"/>
      <c r="T4516" s="295"/>
    </row>
    <row r="4517" spans="2:20" hidden="1" outlineLevel="2">
      <c r="B4517" s="2" t="s">
        <v>833</v>
      </c>
      <c r="D4517" s="114"/>
      <c r="E4517" s="114" t="s">
        <v>4772</v>
      </c>
      <c r="R4517" s="295"/>
      <c r="S4517" s="295"/>
      <c r="T4517" s="295"/>
    </row>
    <row r="4518" spans="2:20" hidden="1" outlineLevel="2">
      <c r="B4518" s="2" t="s">
        <v>833</v>
      </c>
      <c r="D4518" s="112"/>
      <c r="E4518" s="112" t="s">
        <v>4773</v>
      </c>
      <c r="R4518" s="295"/>
      <c r="S4518" s="295"/>
      <c r="T4518" s="295"/>
    </row>
    <row r="4519" spans="2:20" hidden="1" outlineLevel="2">
      <c r="B4519" s="2" t="s">
        <v>833</v>
      </c>
      <c r="D4519" s="114"/>
      <c r="E4519" s="114" t="s">
        <v>4774</v>
      </c>
      <c r="R4519" s="295"/>
      <c r="S4519" s="295"/>
      <c r="T4519" s="295"/>
    </row>
    <row r="4520" spans="2:20" hidden="1" outlineLevel="2">
      <c r="B4520" s="2" t="s">
        <v>833</v>
      </c>
      <c r="R4520" s="295"/>
      <c r="S4520" s="295"/>
      <c r="T4520" s="295"/>
    </row>
    <row r="4521" spans="2:20" hidden="1" outlineLevel="1" collapsed="1">
      <c r="B4521" s="2" t="s">
        <v>833</v>
      </c>
      <c r="C4521" s="137" t="s">
        <v>8504</v>
      </c>
      <c r="D4521" s="298" t="s">
        <v>8507</v>
      </c>
      <c r="E4521" s="298" t="s">
        <v>8502</v>
      </c>
      <c r="F4521" s="298" t="s">
        <v>4221</v>
      </c>
      <c r="G4521" s="298" t="s">
        <v>8505</v>
      </c>
      <c r="H4521" s="239" t="s">
        <v>492</v>
      </c>
      <c r="I4521" s="239" t="s">
        <v>8500</v>
      </c>
      <c r="J4521" s="298" t="s">
        <v>8506</v>
      </c>
      <c r="K4521" s="239" t="s">
        <v>492</v>
      </c>
      <c r="L4521" s="239" t="s">
        <v>8500</v>
      </c>
      <c r="M4521" s="298" t="s">
        <v>8506</v>
      </c>
      <c r="N4521" s="239" t="s">
        <v>492</v>
      </c>
      <c r="O4521" s="239" t="s">
        <v>8500</v>
      </c>
      <c r="P4521" s="298" t="s">
        <v>8508</v>
      </c>
      <c r="Q4521" s="239" t="s">
        <v>8512</v>
      </c>
      <c r="R4521" s="239" t="s">
        <v>482</v>
      </c>
      <c r="S4521" s="239" t="s">
        <v>8509</v>
      </c>
      <c r="T4521" s="239" t="s">
        <v>788</v>
      </c>
    </row>
    <row r="4522" spans="2:20" hidden="1" outlineLevel="2">
      <c r="B4522" s="2" t="s">
        <v>833</v>
      </c>
      <c r="D4522" s="138"/>
      <c r="E4522" s="138"/>
      <c r="F4522" s="138"/>
      <c r="G4522" s="138"/>
      <c r="H4522" s="138"/>
      <c r="I4522" s="138"/>
      <c r="J4522" s="138"/>
      <c r="K4522" s="138"/>
      <c r="L4522" s="138"/>
      <c r="M4522" s="138"/>
      <c r="N4522" s="138"/>
      <c r="O4522" s="138"/>
      <c r="P4522" s="138"/>
      <c r="Q4522" s="138"/>
      <c r="R4522" s="138"/>
      <c r="S4522" s="138"/>
      <c r="T4522" s="138"/>
    </row>
    <row r="4523" spans="2:20" hidden="1" outlineLevel="2">
      <c r="B4523" s="2" t="s">
        <v>833</v>
      </c>
      <c r="D4523" s="320" t="s">
        <v>8468</v>
      </c>
      <c r="E4523" s="320" t="s">
        <v>5995</v>
      </c>
      <c r="F4523" s="320" t="s">
        <v>486</v>
      </c>
      <c r="G4523" s="320" t="s">
        <v>497</v>
      </c>
      <c r="H4523" s="320" t="s">
        <v>497</v>
      </c>
      <c r="I4523" s="205">
        <v>0</v>
      </c>
      <c r="J4523" s="320" t="s">
        <v>497</v>
      </c>
      <c r="K4523" s="320" t="s">
        <v>497</v>
      </c>
      <c r="L4523" s="205">
        <v>0</v>
      </c>
      <c r="M4523" s="320" t="s">
        <v>497</v>
      </c>
      <c r="N4523" s="320" t="s">
        <v>497</v>
      </c>
      <c r="O4523" s="205">
        <v>0</v>
      </c>
      <c r="P4523" s="320" t="s">
        <v>4771</v>
      </c>
      <c r="Q4523" s="205">
        <v>1</v>
      </c>
      <c r="R4523" s="320" t="s">
        <v>484</v>
      </c>
      <c r="S4523" s="320">
        <v>51000</v>
      </c>
      <c r="T4523" s="205">
        <v>81</v>
      </c>
    </row>
    <row r="4524" spans="2:20" hidden="1" outlineLevel="2">
      <c r="B4524" s="2" t="s">
        <v>833</v>
      </c>
      <c r="D4524" s="498" t="s">
        <v>8469</v>
      </c>
      <c r="E4524" s="498" t="s">
        <v>8471</v>
      </c>
      <c r="F4524" s="498" t="s">
        <v>484</v>
      </c>
      <c r="G4524" s="498" t="s">
        <v>8493</v>
      </c>
      <c r="H4524" s="498" t="s">
        <v>493</v>
      </c>
      <c r="I4524" s="500">
        <v>1</v>
      </c>
      <c r="J4524" s="498" t="s">
        <v>8493</v>
      </c>
      <c r="K4524" s="498" t="s">
        <v>493</v>
      </c>
      <c r="L4524" s="500">
        <v>1</v>
      </c>
      <c r="M4524" s="498" t="s">
        <v>8493</v>
      </c>
      <c r="N4524" s="498" t="s">
        <v>493</v>
      </c>
      <c r="O4524" s="500">
        <v>1</v>
      </c>
      <c r="P4524" s="320" t="s">
        <v>8226</v>
      </c>
      <c r="Q4524" s="205">
        <v>1</v>
      </c>
      <c r="R4524" s="320" t="s">
        <v>484</v>
      </c>
      <c r="S4524" s="320">
        <v>51000</v>
      </c>
      <c r="T4524" s="205">
        <v>70</v>
      </c>
    </row>
    <row r="4525" spans="2:20" hidden="1" outlineLevel="2">
      <c r="B4525" s="2" t="s">
        <v>833</v>
      </c>
      <c r="D4525" s="320" t="s">
        <v>8528</v>
      </c>
      <c r="G4525" s="320" t="s">
        <v>8494</v>
      </c>
      <c r="H4525" s="320" t="s">
        <v>493</v>
      </c>
      <c r="I4525" s="205">
        <v>2</v>
      </c>
      <c r="J4525" s="320" t="s">
        <v>8494</v>
      </c>
      <c r="K4525" s="320" t="s">
        <v>493</v>
      </c>
      <c r="L4525" s="205">
        <v>2</v>
      </c>
      <c r="M4525" s="320" t="s">
        <v>8494</v>
      </c>
      <c r="N4525" s="320" t="s">
        <v>493</v>
      </c>
      <c r="O4525" s="205">
        <v>2</v>
      </c>
      <c r="P4525" s="320" t="s">
        <v>8483</v>
      </c>
      <c r="Q4525" s="205">
        <v>10</v>
      </c>
      <c r="R4525" s="320" t="s">
        <v>484</v>
      </c>
      <c r="S4525" s="320">
        <v>51000</v>
      </c>
      <c r="T4525" s="205">
        <v>81</v>
      </c>
    </row>
    <row r="4526" spans="2:20" hidden="1" outlineLevel="2">
      <c r="B4526" s="2" t="s">
        <v>833</v>
      </c>
      <c r="G4526" s="498" t="s">
        <v>8495</v>
      </c>
      <c r="H4526" s="498" t="s">
        <v>493</v>
      </c>
      <c r="I4526" s="500">
        <v>3</v>
      </c>
      <c r="J4526" s="498" t="s">
        <v>8495</v>
      </c>
      <c r="K4526" s="498" t="s">
        <v>493</v>
      </c>
      <c r="L4526" s="500">
        <v>3</v>
      </c>
      <c r="M4526" s="498" t="s">
        <v>8495</v>
      </c>
      <c r="N4526" s="498" t="s">
        <v>493</v>
      </c>
      <c r="O4526" s="500">
        <v>3</v>
      </c>
      <c r="P4526" s="320" t="s">
        <v>8481</v>
      </c>
      <c r="Q4526" s="205">
        <v>10</v>
      </c>
      <c r="R4526" s="320" t="s">
        <v>484</v>
      </c>
      <c r="S4526" s="320">
        <v>51000</v>
      </c>
      <c r="T4526" s="205">
        <v>70</v>
      </c>
    </row>
    <row r="4527" spans="2:20" hidden="1" outlineLevel="2">
      <c r="B4527" s="2" t="s">
        <v>833</v>
      </c>
      <c r="G4527" s="320" t="s">
        <v>8496</v>
      </c>
      <c r="H4527" s="320" t="s">
        <v>493</v>
      </c>
      <c r="I4527" s="205">
        <v>4</v>
      </c>
      <c r="J4527" s="320" t="s">
        <v>8496</v>
      </c>
      <c r="K4527" s="320" t="s">
        <v>493</v>
      </c>
      <c r="L4527" s="205">
        <v>4</v>
      </c>
      <c r="M4527" s="320" t="s">
        <v>8496</v>
      </c>
      <c r="N4527" s="320" t="s">
        <v>493</v>
      </c>
      <c r="O4527" s="205">
        <v>4</v>
      </c>
      <c r="P4527" s="320" t="s">
        <v>8224</v>
      </c>
      <c r="Q4527" s="205">
        <v>2</v>
      </c>
      <c r="R4527" s="320" t="s">
        <v>484</v>
      </c>
      <c r="S4527" s="320">
        <v>51000</v>
      </c>
      <c r="T4527" s="205">
        <v>81</v>
      </c>
    </row>
    <row r="4528" spans="2:20" hidden="1" outlineLevel="2">
      <c r="B4528" s="2" t="s">
        <v>833</v>
      </c>
      <c r="G4528" s="498" t="s">
        <v>8497</v>
      </c>
      <c r="H4528" s="498" t="s">
        <v>493</v>
      </c>
      <c r="I4528" s="500">
        <v>5</v>
      </c>
      <c r="J4528" s="498" t="s">
        <v>8497</v>
      </c>
      <c r="K4528" s="498" t="s">
        <v>493</v>
      </c>
      <c r="L4528" s="500">
        <v>5</v>
      </c>
      <c r="M4528" s="498" t="s">
        <v>8497</v>
      </c>
      <c r="N4528" s="498" t="s">
        <v>493</v>
      </c>
      <c r="O4528" s="500">
        <v>5</v>
      </c>
      <c r="P4528" s="320" t="s">
        <v>8227</v>
      </c>
      <c r="Q4528" s="205">
        <v>2</v>
      </c>
      <c r="R4528" s="320" t="s">
        <v>484</v>
      </c>
      <c r="S4528" s="320">
        <v>51000</v>
      </c>
      <c r="T4528" s="205">
        <v>70</v>
      </c>
    </row>
    <row r="4529" spans="2:20" hidden="1" outlineLevel="2">
      <c r="B4529" s="2" t="s">
        <v>833</v>
      </c>
      <c r="G4529" s="499"/>
      <c r="J4529" s="320" t="s">
        <v>8498</v>
      </c>
      <c r="K4529" s="320" t="s">
        <v>493</v>
      </c>
      <c r="L4529" s="205">
        <v>7</v>
      </c>
      <c r="M4529" s="320" t="s">
        <v>8513</v>
      </c>
      <c r="N4529" s="320" t="s">
        <v>493</v>
      </c>
      <c r="O4529" s="205">
        <v>6</v>
      </c>
      <c r="P4529" s="320" t="s">
        <v>8225</v>
      </c>
      <c r="Q4529" s="205">
        <v>3</v>
      </c>
      <c r="R4529" s="320" t="s">
        <v>484</v>
      </c>
      <c r="S4529" s="320">
        <v>51000</v>
      </c>
      <c r="T4529" s="205">
        <v>81</v>
      </c>
    </row>
    <row r="4530" spans="2:20" hidden="1" outlineLevel="2">
      <c r="B4530" s="2" t="s">
        <v>833</v>
      </c>
      <c r="G4530" s="499"/>
      <c r="J4530" s="498" t="s">
        <v>8499</v>
      </c>
      <c r="K4530" s="498" t="s">
        <v>493</v>
      </c>
      <c r="L4530" s="500">
        <v>10</v>
      </c>
      <c r="M4530" s="498" t="s">
        <v>8498</v>
      </c>
      <c r="N4530" s="498" t="s">
        <v>493</v>
      </c>
      <c r="O4530" s="500">
        <v>7</v>
      </c>
      <c r="P4530" s="320" t="s">
        <v>8228</v>
      </c>
      <c r="Q4530" s="205">
        <v>3</v>
      </c>
      <c r="R4530" s="320" t="s">
        <v>484</v>
      </c>
      <c r="S4530" s="320">
        <v>51000</v>
      </c>
      <c r="T4530" s="205">
        <v>70</v>
      </c>
    </row>
    <row r="4531" spans="2:20" hidden="1" outlineLevel="2">
      <c r="B4531" s="2" t="s">
        <v>833</v>
      </c>
      <c r="G4531" s="499"/>
      <c r="M4531" s="320" t="s">
        <v>8514</v>
      </c>
      <c r="N4531" s="320" t="s">
        <v>493</v>
      </c>
      <c r="O4531" s="205">
        <v>8</v>
      </c>
      <c r="P4531" s="320" t="s">
        <v>8478</v>
      </c>
      <c r="Q4531" s="205">
        <v>4</v>
      </c>
      <c r="R4531" s="320" t="s">
        <v>484</v>
      </c>
      <c r="S4531" s="320">
        <v>51000</v>
      </c>
      <c r="T4531" s="205">
        <v>81</v>
      </c>
    </row>
    <row r="4532" spans="2:20" hidden="1" outlineLevel="2">
      <c r="B4532" s="2" t="s">
        <v>833</v>
      </c>
      <c r="G4532" s="499"/>
      <c r="M4532" s="498" t="s">
        <v>8515</v>
      </c>
      <c r="N4532" s="498" t="s">
        <v>493</v>
      </c>
      <c r="O4532" s="500">
        <v>9</v>
      </c>
      <c r="P4532" s="320" t="s">
        <v>8476</v>
      </c>
      <c r="Q4532" s="205">
        <v>4</v>
      </c>
      <c r="R4532" s="320" t="s">
        <v>484</v>
      </c>
      <c r="S4532" s="320">
        <v>51000</v>
      </c>
      <c r="T4532" s="205">
        <v>70</v>
      </c>
    </row>
    <row r="4533" spans="2:20" hidden="1" outlineLevel="2">
      <c r="B4533" s="2" t="s">
        <v>833</v>
      </c>
      <c r="G4533" s="499"/>
      <c r="M4533" s="320" t="s">
        <v>8499</v>
      </c>
      <c r="N4533" s="320" t="s">
        <v>493</v>
      </c>
      <c r="O4533" s="205">
        <v>10</v>
      </c>
      <c r="P4533" s="320" t="s">
        <v>8479</v>
      </c>
      <c r="Q4533" s="205">
        <v>5</v>
      </c>
      <c r="R4533" s="320" t="s">
        <v>484</v>
      </c>
      <c r="S4533" s="320">
        <v>51000</v>
      </c>
      <c r="T4533" s="205">
        <v>81</v>
      </c>
    </row>
    <row r="4534" spans="2:20" hidden="1" outlineLevel="2">
      <c r="B4534" s="2" t="s">
        <v>833</v>
      </c>
      <c r="G4534" s="499"/>
      <c r="P4534" s="320" t="s">
        <v>8477</v>
      </c>
      <c r="Q4534" s="205">
        <v>5</v>
      </c>
      <c r="R4534" s="320" t="s">
        <v>484</v>
      </c>
      <c r="S4534" s="320">
        <v>51000</v>
      </c>
      <c r="T4534" s="205">
        <v>70</v>
      </c>
    </row>
    <row r="4535" spans="2:20" hidden="1" outlineLevel="2">
      <c r="B4535" s="2" t="s">
        <v>833</v>
      </c>
      <c r="G4535" s="499"/>
      <c r="P4535" s="320" t="s">
        <v>8482</v>
      </c>
      <c r="Q4535" s="205">
        <v>7</v>
      </c>
      <c r="R4535" s="320" t="s">
        <v>484</v>
      </c>
      <c r="S4535" s="320">
        <v>51000</v>
      </c>
      <c r="T4535" s="205">
        <v>81</v>
      </c>
    </row>
    <row r="4536" spans="2:20" hidden="1" outlineLevel="2">
      <c r="B4536" s="2" t="s">
        <v>833</v>
      </c>
      <c r="G4536" s="499"/>
      <c r="P4536" s="320" t="s">
        <v>8480</v>
      </c>
      <c r="Q4536" s="205">
        <v>7</v>
      </c>
      <c r="R4536" s="320" t="s">
        <v>484</v>
      </c>
      <c r="S4536" s="320">
        <v>51000</v>
      </c>
      <c r="T4536" s="205">
        <v>70</v>
      </c>
    </row>
    <row r="4537" spans="2:20" hidden="1" outlineLevel="2">
      <c r="B4537" s="2" t="s">
        <v>833</v>
      </c>
      <c r="G4537" s="499"/>
      <c r="P4537" s="320" t="s">
        <v>488</v>
      </c>
      <c r="Q4537" s="205">
        <v>0</v>
      </c>
      <c r="R4537" s="320" t="s">
        <v>488</v>
      </c>
      <c r="S4537" s="320">
        <v>49000</v>
      </c>
      <c r="T4537" s="205">
        <v>81</v>
      </c>
    </row>
    <row r="4538" spans="2:20" hidden="1" outlineLevel="2">
      <c r="B4538" s="2" t="s">
        <v>833</v>
      </c>
      <c r="G4538" s="499"/>
      <c r="P4538" s="320" t="s">
        <v>8221</v>
      </c>
      <c r="Q4538" s="205">
        <v>0</v>
      </c>
      <c r="R4538" s="320" t="s">
        <v>488</v>
      </c>
      <c r="S4538" s="320">
        <v>51000</v>
      </c>
      <c r="T4538" s="205">
        <v>70</v>
      </c>
    </row>
    <row r="4539" spans="2:20" hidden="1" outlineLevel="2">
      <c r="B4539" s="2" t="s">
        <v>833</v>
      </c>
      <c r="G4539" s="499"/>
      <c r="P4539" s="320" t="s">
        <v>8222</v>
      </c>
      <c r="Q4539" s="205">
        <v>0</v>
      </c>
      <c r="R4539" s="320" t="s">
        <v>488</v>
      </c>
      <c r="S4539" s="320">
        <v>51000</v>
      </c>
      <c r="T4539" s="205">
        <v>80</v>
      </c>
    </row>
    <row r="4540" spans="2:20" hidden="1" outlineLevel="2">
      <c r="B4540" s="2" t="s">
        <v>833</v>
      </c>
      <c r="G4540" s="499"/>
      <c r="P4540" s="320" t="s">
        <v>8220</v>
      </c>
      <c r="Q4540" s="205">
        <v>0</v>
      </c>
      <c r="R4540" s="320" t="s">
        <v>488</v>
      </c>
      <c r="S4540" s="320">
        <v>51000</v>
      </c>
      <c r="T4540" s="205">
        <v>81</v>
      </c>
    </row>
    <row r="4541" spans="2:20" hidden="1" outlineLevel="2">
      <c r="B4541" s="2" t="s">
        <v>833</v>
      </c>
      <c r="G4541" s="499"/>
      <c r="P4541" s="320" t="s">
        <v>4770</v>
      </c>
      <c r="Q4541" s="205">
        <v>0</v>
      </c>
      <c r="R4541" s="320" t="s">
        <v>486</v>
      </c>
      <c r="S4541" s="320">
        <v>51000</v>
      </c>
      <c r="T4541" s="205">
        <v>81</v>
      </c>
    </row>
    <row r="4542" spans="2:20" hidden="1" outlineLevel="2">
      <c r="B4542" s="2" t="s">
        <v>833</v>
      </c>
      <c r="G4542" s="499"/>
      <c r="P4542" s="320" t="s">
        <v>8470</v>
      </c>
      <c r="Q4542" s="205">
        <v>0</v>
      </c>
      <c r="R4542" s="320" t="s">
        <v>486</v>
      </c>
      <c r="S4542" s="320">
        <v>51000</v>
      </c>
      <c r="T4542" s="205">
        <v>70</v>
      </c>
    </row>
    <row r="4543" spans="2:20" hidden="1" outlineLevel="2">
      <c r="B4543" s="2" t="s">
        <v>833</v>
      </c>
      <c r="G4543" s="499"/>
      <c r="P4543" s="497" t="s">
        <v>8510</v>
      </c>
      <c r="Q4543" s="205">
        <v>1</v>
      </c>
      <c r="R4543" s="320" t="s">
        <v>484</v>
      </c>
      <c r="S4543" s="320"/>
      <c r="T4543" s="205"/>
    </row>
    <row r="4544" spans="2:20" hidden="1" outlineLevel="2">
      <c r="B4544" s="2" t="s">
        <v>833</v>
      </c>
      <c r="G4544" s="499"/>
      <c r="P4544" s="497" t="s">
        <v>8511</v>
      </c>
      <c r="Q4544" s="205">
        <v>0</v>
      </c>
      <c r="R4544" s="320" t="s">
        <v>486</v>
      </c>
      <c r="S4544" s="320"/>
      <c r="T4544" s="205"/>
    </row>
    <row r="4545" spans="2:20" hidden="1" outlineLevel="2">
      <c r="B4545" s="2" t="s">
        <v>833</v>
      </c>
      <c r="P4545" s="497" t="s">
        <v>8520</v>
      </c>
      <c r="Q4545" s="205">
        <v>0</v>
      </c>
      <c r="R4545" s="320" t="s">
        <v>486</v>
      </c>
      <c r="S4545" s="320"/>
      <c r="T4545" s="205"/>
    </row>
    <row r="4546" spans="2:20" hidden="1" outlineLevel="1" collapsed="1">
      <c r="B4546" s="2" t="s">
        <v>833</v>
      </c>
      <c r="C4546" s="137" t="s">
        <v>8503</v>
      </c>
      <c r="D4546" s="298" t="s">
        <v>8502</v>
      </c>
      <c r="E4546" s="298" t="s">
        <v>4221</v>
      </c>
      <c r="F4546" s="298" t="s">
        <v>8501</v>
      </c>
      <c r="G4546" s="298" t="s">
        <v>4230</v>
      </c>
      <c r="H4546" s="239" t="s">
        <v>492</v>
      </c>
      <c r="I4546" s="239" t="s">
        <v>8500</v>
      </c>
      <c r="J4546" s="239" t="s">
        <v>824</v>
      </c>
      <c r="K4546" s="239" t="s">
        <v>788</v>
      </c>
      <c r="R4546" s="295"/>
      <c r="S4546" s="295"/>
      <c r="T4546" s="295"/>
    </row>
    <row r="4547" spans="2:20" hidden="1" outlineLevel="2">
      <c r="B4547" s="2" t="s">
        <v>833</v>
      </c>
      <c r="C4547" s="137"/>
      <c r="D4547" s="138"/>
      <c r="E4547" s="138"/>
      <c r="F4547" s="138"/>
      <c r="G4547" s="138"/>
      <c r="H4547" s="138"/>
      <c r="I4547" s="138"/>
      <c r="J4547" s="138"/>
      <c r="K4547" s="138"/>
      <c r="R4547" s="295"/>
      <c r="S4547" s="295"/>
      <c r="T4547" s="295"/>
    </row>
    <row r="4548" spans="2:20" hidden="1" outlineLevel="2">
      <c r="B4548" s="2" t="s">
        <v>833</v>
      </c>
      <c r="D4548" s="320" t="s">
        <v>5995</v>
      </c>
      <c r="E4548" s="321" t="s">
        <v>486</v>
      </c>
      <c r="F4548" s="320" t="s">
        <v>497</v>
      </c>
      <c r="G4548" s="320" t="s">
        <v>8470</v>
      </c>
      <c r="H4548" s="320" t="s">
        <v>497</v>
      </c>
      <c r="I4548" s="205">
        <v>0</v>
      </c>
      <c r="J4548" s="320">
        <v>51000</v>
      </c>
      <c r="K4548" s="205">
        <v>70</v>
      </c>
    </row>
    <row r="4549" spans="2:20" hidden="1" outlineLevel="2">
      <c r="B4549" s="2" t="s">
        <v>833</v>
      </c>
      <c r="D4549" s="320" t="s">
        <v>5995</v>
      </c>
      <c r="E4549" s="321" t="s">
        <v>486</v>
      </c>
      <c r="F4549" s="320" t="s">
        <v>497</v>
      </c>
      <c r="G4549" s="320" t="s">
        <v>4770</v>
      </c>
      <c r="H4549" s="320" t="s">
        <v>497</v>
      </c>
      <c r="I4549" s="205">
        <v>0</v>
      </c>
      <c r="J4549" s="320">
        <v>51000</v>
      </c>
      <c r="K4549" s="205">
        <v>81</v>
      </c>
    </row>
    <row r="4550" spans="2:20" hidden="1" outlineLevel="2">
      <c r="B4550" s="2" t="s">
        <v>833</v>
      </c>
      <c r="D4550" s="320" t="s">
        <v>5995</v>
      </c>
      <c r="E4550" s="321" t="s">
        <v>486</v>
      </c>
      <c r="F4550" s="320" t="s">
        <v>497</v>
      </c>
      <c r="G4550" s="320" t="s">
        <v>488</v>
      </c>
      <c r="H4550" s="320" t="s">
        <v>497</v>
      </c>
      <c r="I4550" s="205">
        <v>0</v>
      </c>
      <c r="J4550" s="320">
        <v>49000</v>
      </c>
      <c r="K4550" s="205">
        <v>81</v>
      </c>
    </row>
    <row r="4551" spans="2:20" hidden="1" outlineLevel="2">
      <c r="B4551" s="2" t="s">
        <v>833</v>
      </c>
      <c r="D4551" s="320" t="s">
        <v>5995</v>
      </c>
      <c r="E4551" s="321" t="s">
        <v>486</v>
      </c>
      <c r="F4551" s="320" t="s">
        <v>497</v>
      </c>
      <c r="G4551" s="320" t="s">
        <v>8220</v>
      </c>
      <c r="H4551" s="320" t="s">
        <v>497</v>
      </c>
      <c r="I4551" s="205">
        <v>0</v>
      </c>
      <c r="J4551" s="320">
        <v>51000</v>
      </c>
      <c r="K4551" s="205">
        <v>81</v>
      </c>
    </row>
    <row r="4552" spans="2:20" hidden="1" outlineLevel="2">
      <c r="B4552" s="2" t="s">
        <v>833</v>
      </c>
      <c r="D4552" s="320" t="s">
        <v>5995</v>
      </c>
      <c r="E4552" s="321" t="s">
        <v>486</v>
      </c>
      <c r="F4552" s="320" t="s">
        <v>497</v>
      </c>
      <c r="G4552" s="320" t="s">
        <v>8222</v>
      </c>
      <c r="H4552" s="320" t="s">
        <v>497</v>
      </c>
      <c r="I4552" s="205">
        <v>0</v>
      </c>
      <c r="J4552" s="320">
        <v>51000</v>
      </c>
      <c r="K4552" s="205">
        <v>80</v>
      </c>
    </row>
    <row r="4553" spans="2:20" hidden="1" outlineLevel="2">
      <c r="B4553" s="2" t="s">
        <v>833</v>
      </c>
      <c r="D4553" s="320" t="s">
        <v>5995</v>
      </c>
      <c r="E4553" s="321" t="s">
        <v>486</v>
      </c>
      <c r="F4553" s="320" t="s">
        <v>497</v>
      </c>
      <c r="G4553" s="320" t="s">
        <v>8221</v>
      </c>
      <c r="H4553" s="320" t="s">
        <v>497</v>
      </c>
      <c r="I4553" s="205">
        <v>0</v>
      </c>
      <c r="J4553" s="320">
        <v>51000</v>
      </c>
      <c r="K4553" s="205">
        <v>70</v>
      </c>
    </row>
    <row r="4554" spans="2:20" hidden="1" outlineLevel="2">
      <c r="B4554" s="2" t="s">
        <v>833</v>
      </c>
      <c r="D4554" s="320" t="s">
        <v>5995</v>
      </c>
      <c r="E4554" s="321" t="s">
        <v>486</v>
      </c>
      <c r="F4554" s="320" t="s">
        <v>497</v>
      </c>
      <c r="G4554" s="497" t="s">
        <v>8511</v>
      </c>
      <c r="H4554" s="320" t="s">
        <v>497</v>
      </c>
      <c r="I4554" s="205">
        <v>0</v>
      </c>
      <c r="J4554" s="320">
        <v>51000</v>
      </c>
      <c r="K4554" s="205"/>
    </row>
    <row r="4555" spans="2:20" hidden="1" outlineLevel="2">
      <c r="B4555" s="2" t="s">
        <v>833</v>
      </c>
      <c r="D4555" s="320" t="s">
        <v>5995</v>
      </c>
      <c r="E4555" s="321" t="s">
        <v>486</v>
      </c>
      <c r="F4555" s="320" t="s">
        <v>8493</v>
      </c>
      <c r="G4555" s="320" t="s">
        <v>8470</v>
      </c>
      <c r="H4555" s="320" t="s">
        <v>493</v>
      </c>
      <c r="I4555" s="205">
        <v>1</v>
      </c>
      <c r="J4555" s="320">
        <v>51000</v>
      </c>
      <c r="K4555" s="205">
        <v>70</v>
      </c>
    </row>
    <row r="4556" spans="2:20" hidden="1" outlineLevel="2">
      <c r="B4556" s="2" t="s">
        <v>833</v>
      </c>
      <c r="D4556" s="320" t="s">
        <v>5995</v>
      </c>
      <c r="E4556" s="321" t="s">
        <v>486</v>
      </c>
      <c r="F4556" s="320" t="s">
        <v>8493</v>
      </c>
      <c r="G4556" s="320" t="s">
        <v>4770</v>
      </c>
      <c r="H4556" s="320" t="s">
        <v>493</v>
      </c>
      <c r="I4556" s="205">
        <v>1</v>
      </c>
      <c r="J4556" s="320">
        <v>51000</v>
      </c>
      <c r="K4556" s="205">
        <v>81</v>
      </c>
    </row>
    <row r="4557" spans="2:20" hidden="1" outlineLevel="2">
      <c r="B4557" s="2" t="s">
        <v>833</v>
      </c>
      <c r="D4557" s="320" t="s">
        <v>5995</v>
      </c>
      <c r="E4557" s="321" t="s">
        <v>486</v>
      </c>
      <c r="F4557" s="320" t="s">
        <v>8493</v>
      </c>
      <c r="G4557" s="497" t="s">
        <v>8511</v>
      </c>
      <c r="H4557" s="320" t="s">
        <v>493</v>
      </c>
      <c r="I4557" s="205">
        <v>1</v>
      </c>
      <c r="J4557" s="320">
        <v>51000</v>
      </c>
      <c r="K4557" s="205"/>
    </row>
    <row r="4558" spans="2:20" hidden="1" outlineLevel="2">
      <c r="B4558" s="2" t="s">
        <v>833</v>
      </c>
      <c r="D4558" s="320" t="s">
        <v>5995</v>
      </c>
      <c r="E4558" s="321" t="s">
        <v>486</v>
      </c>
      <c r="F4558" s="320" t="s">
        <v>8494</v>
      </c>
      <c r="G4558" s="320" t="s">
        <v>8470</v>
      </c>
      <c r="H4558" s="320" t="s">
        <v>493</v>
      </c>
      <c r="I4558" s="205">
        <v>2</v>
      </c>
      <c r="J4558" s="320">
        <v>51000</v>
      </c>
      <c r="K4558" s="205">
        <v>70</v>
      </c>
    </row>
    <row r="4559" spans="2:20" hidden="1" outlineLevel="2">
      <c r="B4559" s="2" t="s">
        <v>833</v>
      </c>
      <c r="D4559" s="320" t="s">
        <v>5995</v>
      </c>
      <c r="E4559" s="321" t="s">
        <v>486</v>
      </c>
      <c r="F4559" s="320" t="s">
        <v>8494</v>
      </c>
      <c r="G4559" s="320" t="s">
        <v>4770</v>
      </c>
      <c r="H4559" s="320" t="s">
        <v>493</v>
      </c>
      <c r="I4559" s="205">
        <v>2</v>
      </c>
      <c r="J4559" s="320">
        <v>51000</v>
      </c>
      <c r="K4559" s="205">
        <v>81</v>
      </c>
    </row>
    <row r="4560" spans="2:20" hidden="1" outlineLevel="2">
      <c r="B4560" s="2" t="s">
        <v>833</v>
      </c>
      <c r="D4560" s="320" t="s">
        <v>5995</v>
      </c>
      <c r="E4560" s="321" t="s">
        <v>486</v>
      </c>
      <c r="F4560" s="320" t="s">
        <v>8494</v>
      </c>
      <c r="G4560" s="497" t="s">
        <v>8511</v>
      </c>
      <c r="H4560" s="320" t="s">
        <v>493</v>
      </c>
      <c r="I4560" s="205">
        <v>2</v>
      </c>
      <c r="J4560" s="320">
        <v>51000</v>
      </c>
      <c r="K4560" s="205"/>
    </row>
    <row r="4561" spans="2:11" hidden="1" outlineLevel="2">
      <c r="B4561" s="2" t="s">
        <v>833</v>
      </c>
      <c r="D4561" s="320" t="s">
        <v>5995</v>
      </c>
      <c r="E4561" s="321" t="s">
        <v>486</v>
      </c>
      <c r="F4561" s="320" t="s">
        <v>8495</v>
      </c>
      <c r="G4561" s="320" t="s">
        <v>8470</v>
      </c>
      <c r="H4561" s="320" t="s">
        <v>493</v>
      </c>
      <c r="I4561" s="205">
        <v>3</v>
      </c>
      <c r="J4561" s="320">
        <v>51000</v>
      </c>
      <c r="K4561" s="205">
        <v>70</v>
      </c>
    </row>
    <row r="4562" spans="2:11" hidden="1" outlineLevel="2">
      <c r="B4562" s="2" t="s">
        <v>833</v>
      </c>
      <c r="D4562" s="320" t="s">
        <v>5995</v>
      </c>
      <c r="E4562" s="321" t="s">
        <v>486</v>
      </c>
      <c r="F4562" s="320" t="s">
        <v>8495</v>
      </c>
      <c r="G4562" s="320" t="s">
        <v>4770</v>
      </c>
      <c r="H4562" s="320" t="s">
        <v>493</v>
      </c>
      <c r="I4562" s="205">
        <v>3</v>
      </c>
      <c r="J4562" s="320">
        <v>51000</v>
      </c>
      <c r="K4562" s="205">
        <v>81</v>
      </c>
    </row>
    <row r="4563" spans="2:11" hidden="1" outlineLevel="2">
      <c r="B4563" s="2" t="s">
        <v>833</v>
      </c>
      <c r="D4563" s="320" t="s">
        <v>5995</v>
      </c>
      <c r="E4563" s="321" t="s">
        <v>486</v>
      </c>
      <c r="F4563" s="320" t="s">
        <v>8495</v>
      </c>
      <c r="G4563" s="497" t="s">
        <v>8511</v>
      </c>
      <c r="H4563" s="320" t="s">
        <v>493</v>
      </c>
      <c r="I4563" s="205">
        <v>3</v>
      </c>
      <c r="J4563" s="320">
        <v>51000</v>
      </c>
      <c r="K4563" s="205"/>
    </row>
    <row r="4564" spans="2:11" hidden="1" outlineLevel="2">
      <c r="B4564" s="2" t="s">
        <v>833</v>
      </c>
      <c r="D4564" s="320" t="s">
        <v>5995</v>
      </c>
      <c r="E4564" s="321" t="s">
        <v>486</v>
      </c>
      <c r="F4564" s="320" t="s">
        <v>8496</v>
      </c>
      <c r="G4564" s="320" t="s">
        <v>8470</v>
      </c>
      <c r="H4564" s="320" t="s">
        <v>493</v>
      </c>
      <c r="I4564" s="205">
        <v>4</v>
      </c>
      <c r="J4564" s="320">
        <v>51000</v>
      </c>
      <c r="K4564" s="205">
        <v>70</v>
      </c>
    </row>
    <row r="4565" spans="2:11" hidden="1" outlineLevel="2">
      <c r="B4565" s="2" t="s">
        <v>833</v>
      </c>
      <c r="D4565" s="320" t="s">
        <v>5995</v>
      </c>
      <c r="E4565" s="321" t="s">
        <v>486</v>
      </c>
      <c r="F4565" s="320" t="s">
        <v>8496</v>
      </c>
      <c r="G4565" s="320" t="s">
        <v>4770</v>
      </c>
      <c r="H4565" s="320" t="s">
        <v>493</v>
      </c>
      <c r="I4565" s="205">
        <v>4</v>
      </c>
      <c r="J4565" s="320">
        <v>51000</v>
      </c>
      <c r="K4565" s="205">
        <v>81</v>
      </c>
    </row>
    <row r="4566" spans="2:11" hidden="1" outlineLevel="2">
      <c r="B4566" s="2" t="s">
        <v>833</v>
      </c>
      <c r="D4566" s="320" t="s">
        <v>5995</v>
      </c>
      <c r="E4566" s="321" t="s">
        <v>486</v>
      </c>
      <c r="F4566" s="320" t="s">
        <v>8496</v>
      </c>
      <c r="G4566" s="497" t="s">
        <v>8511</v>
      </c>
      <c r="H4566" s="320" t="s">
        <v>493</v>
      </c>
      <c r="I4566" s="205">
        <v>4</v>
      </c>
      <c r="J4566" s="320">
        <v>51000</v>
      </c>
      <c r="K4566" s="205"/>
    </row>
    <row r="4567" spans="2:11" hidden="1" outlineLevel="2">
      <c r="B4567" s="2" t="s">
        <v>833</v>
      </c>
      <c r="D4567" s="320" t="s">
        <v>5995</v>
      </c>
      <c r="E4567" s="321" t="s">
        <v>486</v>
      </c>
      <c r="F4567" s="320" t="s">
        <v>8497</v>
      </c>
      <c r="G4567" s="320" t="s">
        <v>8470</v>
      </c>
      <c r="H4567" s="320" t="s">
        <v>493</v>
      </c>
      <c r="I4567" s="205">
        <v>5</v>
      </c>
      <c r="J4567" s="320">
        <v>51000</v>
      </c>
      <c r="K4567" s="205">
        <v>70</v>
      </c>
    </row>
    <row r="4568" spans="2:11" hidden="1" outlineLevel="2">
      <c r="B4568" s="2" t="s">
        <v>833</v>
      </c>
      <c r="D4568" s="320" t="s">
        <v>5995</v>
      </c>
      <c r="E4568" s="321" t="s">
        <v>486</v>
      </c>
      <c r="F4568" s="320" t="s">
        <v>8497</v>
      </c>
      <c r="G4568" s="320" t="s">
        <v>4770</v>
      </c>
      <c r="H4568" s="320" t="s">
        <v>493</v>
      </c>
      <c r="I4568" s="205">
        <v>5</v>
      </c>
      <c r="J4568" s="320">
        <v>51000</v>
      </c>
      <c r="K4568" s="205">
        <v>81</v>
      </c>
    </row>
    <row r="4569" spans="2:11" hidden="1" outlineLevel="2">
      <c r="B4569" s="2" t="s">
        <v>833</v>
      </c>
      <c r="D4569" s="320" t="s">
        <v>5995</v>
      </c>
      <c r="E4569" s="321" t="s">
        <v>486</v>
      </c>
      <c r="F4569" s="320" t="s">
        <v>8497</v>
      </c>
      <c r="G4569" s="497" t="s">
        <v>8511</v>
      </c>
      <c r="H4569" s="320" t="s">
        <v>493</v>
      </c>
      <c r="I4569" s="205">
        <v>5</v>
      </c>
      <c r="J4569" s="320">
        <v>51000</v>
      </c>
      <c r="K4569" s="205"/>
    </row>
    <row r="4570" spans="2:11" hidden="1" outlineLevel="2">
      <c r="B4570" s="2" t="s">
        <v>833</v>
      </c>
      <c r="D4570" s="320" t="s">
        <v>8471</v>
      </c>
      <c r="E4570" s="321" t="s">
        <v>486</v>
      </c>
      <c r="F4570" s="320" t="s">
        <v>497</v>
      </c>
      <c r="G4570" s="320" t="s">
        <v>4770</v>
      </c>
      <c r="H4570" s="320" t="s">
        <v>497</v>
      </c>
      <c r="I4570" s="205">
        <v>0</v>
      </c>
      <c r="J4570" s="320">
        <v>51000</v>
      </c>
      <c r="K4570" s="205">
        <v>81</v>
      </c>
    </row>
    <row r="4571" spans="2:11" hidden="1" outlineLevel="2">
      <c r="B4571" s="2" t="s">
        <v>833</v>
      </c>
      <c r="D4571" s="320" t="s">
        <v>8471</v>
      </c>
      <c r="E4571" s="321" t="s">
        <v>486</v>
      </c>
      <c r="F4571" s="320" t="s">
        <v>497</v>
      </c>
      <c r="G4571" s="320" t="s">
        <v>8470</v>
      </c>
      <c r="H4571" s="320" t="s">
        <v>497</v>
      </c>
      <c r="I4571" s="205">
        <v>0</v>
      </c>
      <c r="J4571" s="320">
        <v>51000</v>
      </c>
      <c r="K4571" s="205">
        <v>70</v>
      </c>
    </row>
    <row r="4572" spans="2:11" hidden="1" outlineLevel="2">
      <c r="B4572" s="2" t="s">
        <v>833</v>
      </c>
      <c r="D4572" s="320" t="s">
        <v>8471</v>
      </c>
      <c r="E4572" s="321" t="s">
        <v>486</v>
      </c>
      <c r="F4572" s="320" t="s">
        <v>497</v>
      </c>
      <c r="G4572" s="320" t="s">
        <v>488</v>
      </c>
      <c r="H4572" s="320" t="s">
        <v>497</v>
      </c>
      <c r="I4572" s="205">
        <v>0</v>
      </c>
      <c r="J4572" s="320">
        <v>49000</v>
      </c>
      <c r="K4572" s="205">
        <v>81</v>
      </c>
    </row>
    <row r="4573" spans="2:11" hidden="1" outlineLevel="2">
      <c r="B4573" s="2" t="s">
        <v>833</v>
      </c>
      <c r="D4573" s="320" t="s">
        <v>8471</v>
      </c>
      <c r="E4573" s="321" t="s">
        <v>486</v>
      </c>
      <c r="F4573" s="320" t="s">
        <v>497</v>
      </c>
      <c r="G4573" s="320" t="s">
        <v>8220</v>
      </c>
      <c r="H4573" s="320" t="s">
        <v>497</v>
      </c>
      <c r="I4573" s="205">
        <v>0</v>
      </c>
      <c r="J4573" s="320">
        <v>51000</v>
      </c>
      <c r="K4573" s="205">
        <v>81</v>
      </c>
    </row>
    <row r="4574" spans="2:11" hidden="1" outlineLevel="2">
      <c r="B4574" s="2" t="s">
        <v>833</v>
      </c>
      <c r="D4574" s="320" t="s">
        <v>8471</v>
      </c>
      <c r="E4574" s="321" t="s">
        <v>486</v>
      </c>
      <c r="F4574" s="320" t="s">
        <v>497</v>
      </c>
      <c r="G4574" s="320" t="s">
        <v>8222</v>
      </c>
      <c r="H4574" s="320" t="s">
        <v>497</v>
      </c>
      <c r="I4574" s="205">
        <v>0</v>
      </c>
      <c r="J4574" s="320">
        <v>51000</v>
      </c>
      <c r="K4574" s="205">
        <v>80</v>
      </c>
    </row>
    <row r="4575" spans="2:11" hidden="1" outlineLevel="2">
      <c r="B4575" s="2" t="s">
        <v>833</v>
      </c>
      <c r="D4575" s="320" t="s">
        <v>8471</v>
      </c>
      <c r="E4575" s="321" t="s">
        <v>486</v>
      </c>
      <c r="F4575" s="320" t="s">
        <v>497</v>
      </c>
      <c r="G4575" s="320" t="s">
        <v>8221</v>
      </c>
      <c r="H4575" s="320" t="s">
        <v>497</v>
      </c>
      <c r="I4575" s="205">
        <v>0</v>
      </c>
      <c r="J4575" s="320">
        <v>51000</v>
      </c>
      <c r="K4575" s="205">
        <v>70</v>
      </c>
    </row>
    <row r="4576" spans="2:11" hidden="1" outlineLevel="2">
      <c r="B4576" s="2" t="s">
        <v>833</v>
      </c>
      <c r="D4576" s="320" t="s">
        <v>8471</v>
      </c>
      <c r="E4576" s="321" t="s">
        <v>486</v>
      </c>
      <c r="F4576" s="320" t="s">
        <v>497</v>
      </c>
      <c r="G4576" s="497" t="s">
        <v>8511</v>
      </c>
      <c r="H4576" s="320" t="s">
        <v>497</v>
      </c>
      <c r="I4576" s="205">
        <v>0</v>
      </c>
      <c r="J4576" s="320">
        <v>51000</v>
      </c>
      <c r="K4576" s="205"/>
    </row>
    <row r="4577" spans="2:11" hidden="1" outlineLevel="2">
      <c r="B4577" s="2" t="s">
        <v>833</v>
      </c>
      <c r="D4577" s="320" t="s">
        <v>8471</v>
      </c>
      <c r="E4577" s="321" t="s">
        <v>486</v>
      </c>
      <c r="F4577" s="320" t="s">
        <v>8493</v>
      </c>
      <c r="G4577" s="320" t="s">
        <v>4770</v>
      </c>
      <c r="H4577" s="320" t="s">
        <v>493</v>
      </c>
      <c r="I4577" s="205">
        <v>1</v>
      </c>
      <c r="J4577" s="320">
        <v>51000</v>
      </c>
      <c r="K4577" s="205">
        <v>81</v>
      </c>
    </row>
    <row r="4578" spans="2:11" hidden="1" outlineLevel="2">
      <c r="B4578" s="2" t="s">
        <v>833</v>
      </c>
      <c r="D4578" s="320" t="s">
        <v>8471</v>
      </c>
      <c r="E4578" s="321" t="s">
        <v>486</v>
      </c>
      <c r="F4578" s="320" t="s">
        <v>8493</v>
      </c>
      <c r="G4578" s="320" t="s">
        <v>8470</v>
      </c>
      <c r="H4578" s="320" t="s">
        <v>493</v>
      </c>
      <c r="I4578" s="205">
        <v>1</v>
      </c>
      <c r="J4578" s="320">
        <v>51000</v>
      </c>
      <c r="K4578" s="205">
        <v>70</v>
      </c>
    </row>
    <row r="4579" spans="2:11" hidden="1" outlineLevel="2">
      <c r="B4579" s="2" t="s">
        <v>833</v>
      </c>
      <c r="D4579" s="320" t="s">
        <v>8471</v>
      </c>
      <c r="E4579" s="321" t="s">
        <v>486</v>
      </c>
      <c r="F4579" s="320" t="s">
        <v>8493</v>
      </c>
      <c r="G4579" s="320" t="s">
        <v>488</v>
      </c>
      <c r="H4579" s="320" t="s">
        <v>493</v>
      </c>
      <c r="I4579" s="205">
        <v>1</v>
      </c>
      <c r="J4579" s="320">
        <v>49000</v>
      </c>
      <c r="K4579" s="205">
        <v>81</v>
      </c>
    </row>
    <row r="4580" spans="2:11" hidden="1" outlineLevel="2">
      <c r="B4580" s="2" t="s">
        <v>833</v>
      </c>
      <c r="D4580" s="320" t="s">
        <v>8471</v>
      </c>
      <c r="E4580" s="321" t="s">
        <v>486</v>
      </c>
      <c r="F4580" s="320" t="s">
        <v>8493</v>
      </c>
      <c r="G4580" s="320" t="s">
        <v>8220</v>
      </c>
      <c r="H4580" s="320" t="s">
        <v>493</v>
      </c>
      <c r="I4580" s="205">
        <v>1</v>
      </c>
      <c r="J4580" s="320">
        <v>51000</v>
      </c>
      <c r="K4580" s="205">
        <v>81</v>
      </c>
    </row>
    <row r="4581" spans="2:11" hidden="1" outlineLevel="2">
      <c r="B4581" s="2" t="s">
        <v>833</v>
      </c>
      <c r="D4581" s="320" t="s">
        <v>8471</v>
      </c>
      <c r="E4581" s="321" t="s">
        <v>486</v>
      </c>
      <c r="F4581" s="320" t="s">
        <v>8493</v>
      </c>
      <c r="G4581" s="320" t="s">
        <v>8222</v>
      </c>
      <c r="H4581" s="320" t="s">
        <v>493</v>
      </c>
      <c r="I4581" s="205">
        <v>1</v>
      </c>
      <c r="J4581" s="320">
        <v>51000</v>
      </c>
      <c r="K4581" s="205">
        <v>80</v>
      </c>
    </row>
    <row r="4582" spans="2:11" hidden="1" outlineLevel="2">
      <c r="B4582" s="2" t="s">
        <v>833</v>
      </c>
      <c r="D4582" s="320" t="s">
        <v>8471</v>
      </c>
      <c r="E4582" s="321" t="s">
        <v>486</v>
      </c>
      <c r="F4582" s="320" t="s">
        <v>8493</v>
      </c>
      <c r="G4582" s="320" t="s">
        <v>8221</v>
      </c>
      <c r="H4582" s="320" t="s">
        <v>493</v>
      </c>
      <c r="I4582" s="205">
        <v>1</v>
      </c>
      <c r="J4582" s="320">
        <v>51000</v>
      </c>
      <c r="K4582" s="205">
        <v>70</v>
      </c>
    </row>
    <row r="4583" spans="2:11" hidden="1" outlineLevel="2">
      <c r="B4583" s="2" t="s">
        <v>833</v>
      </c>
      <c r="D4583" s="320" t="s">
        <v>8471</v>
      </c>
      <c r="E4583" s="321" t="s">
        <v>486</v>
      </c>
      <c r="F4583" s="320" t="s">
        <v>8493</v>
      </c>
      <c r="G4583" s="497" t="s">
        <v>8511</v>
      </c>
      <c r="H4583" s="320" t="s">
        <v>493</v>
      </c>
      <c r="I4583" s="205">
        <v>1</v>
      </c>
      <c r="J4583" s="320">
        <v>51000</v>
      </c>
      <c r="K4583" s="205"/>
    </row>
    <row r="4584" spans="2:11" hidden="1" outlineLevel="2">
      <c r="B4584" s="2" t="s">
        <v>833</v>
      </c>
      <c r="D4584" s="320" t="s">
        <v>8471</v>
      </c>
      <c r="E4584" s="321" t="s">
        <v>486</v>
      </c>
      <c r="F4584" s="320" t="s">
        <v>8494</v>
      </c>
      <c r="G4584" s="320" t="s">
        <v>4770</v>
      </c>
      <c r="H4584" s="320" t="s">
        <v>493</v>
      </c>
      <c r="I4584" s="205">
        <v>2</v>
      </c>
      <c r="J4584" s="320">
        <v>51000</v>
      </c>
      <c r="K4584" s="205">
        <v>81</v>
      </c>
    </row>
    <row r="4585" spans="2:11" hidden="1" outlineLevel="2">
      <c r="B4585" s="2" t="s">
        <v>833</v>
      </c>
      <c r="D4585" s="320" t="s">
        <v>8471</v>
      </c>
      <c r="E4585" s="321" t="s">
        <v>486</v>
      </c>
      <c r="F4585" s="320" t="s">
        <v>8494</v>
      </c>
      <c r="G4585" s="320" t="s">
        <v>8470</v>
      </c>
      <c r="H4585" s="320" t="s">
        <v>493</v>
      </c>
      <c r="I4585" s="205">
        <v>2</v>
      </c>
      <c r="J4585" s="320">
        <v>51000</v>
      </c>
      <c r="K4585" s="205">
        <v>70</v>
      </c>
    </row>
    <row r="4586" spans="2:11" hidden="1" outlineLevel="2">
      <c r="B4586" s="2" t="s">
        <v>833</v>
      </c>
      <c r="D4586" s="320" t="s">
        <v>8471</v>
      </c>
      <c r="E4586" s="321" t="s">
        <v>486</v>
      </c>
      <c r="F4586" s="320" t="s">
        <v>8494</v>
      </c>
      <c r="G4586" s="320" t="s">
        <v>488</v>
      </c>
      <c r="H4586" s="320" t="s">
        <v>493</v>
      </c>
      <c r="I4586" s="205">
        <v>2</v>
      </c>
      <c r="J4586" s="320">
        <v>49000</v>
      </c>
      <c r="K4586" s="205">
        <v>81</v>
      </c>
    </row>
    <row r="4587" spans="2:11" hidden="1" outlineLevel="2">
      <c r="B4587" s="2" t="s">
        <v>833</v>
      </c>
      <c r="D4587" s="320" t="s">
        <v>8471</v>
      </c>
      <c r="E4587" s="321" t="s">
        <v>486</v>
      </c>
      <c r="F4587" s="320" t="s">
        <v>8494</v>
      </c>
      <c r="G4587" s="320" t="s">
        <v>8220</v>
      </c>
      <c r="H4587" s="320" t="s">
        <v>493</v>
      </c>
      <c r="I4587" s="205">
        <v>2</v>
      </c>
      <c r="J4587" s="320">
        <v>51000</v>
      </c>
      <c r="K4587" s="205">
        <v>81</v>
      </c>
    </row>
    <row r="4588" spans="2:11" hidden="1" outlineLevel="2">
      <c r="B4588" s="2" t="s">
        <v>833</v>
      </c>
      <c r="D4588" s="320" t="s">
        <v>8471</v>
      </c>
      <c r="E4588" s="321" t="s">
        <v>486</v>
      </c>
      <c r="F4588" s="320" t="s">
        <v>8494</v>
      </c>
      <c r="G4588" s="320" t="s">
        <v>8222</v>
      </c>
      <c r="H4588" s="320" t="s">
        <v>493</v>
      </c>
      <c r="I4588" s="205">
        <v>2</v>
      </c>
      <c r="J4588" s="320">
        <v>51000</v>
      </c>
      <c r="K4588" s="205">
        <v>80</v>
      </c>
    </row>
    <row r="4589" spans="2:11" hidden="1" outlineLevel="2">
      <c r="B4589" s="2" t="s">
        <v>833</v>
      </c>
      <c r="D4589" s="320" t="s">
        <v>8471</v>
      </c>
      <c r="E4589" s="321" t="s">
        <v>486</v>
      </c>
      <c r="F4589" s="320" t="s">
        <v>8494</v>
      </c>
      <c r="G4589" s="320" t="s">
        <v>8221</v>
      </c>
      <c r="H4589" s="320" t="s">
        <v>493</v>
      </c>
      <c r="I4589" s="205">
        <v>2</v>
      </c>
      <c r="J4589" s="320">
        <v>51000</v>
      </c>
      <c r="K4589" s="205">
        <v>70</v>
      </c>
    </row>
    <row r="4590" spans="2:11" hidden="1" outlineLevel="2">
      <c r="B4590" s="2" t="s">
        <v>833</v>
      </c>
      <c r="D4590" s="320" t="s">
        <v>8471</v>
      </c>
      <c r="E4590" s="321" t="s">
        <v>486</v>
      </c>
      <c r="F4590" s="320" t="s">
        <v>8494</v>
      </c>
      <c r="G4590" s="497" t="s">
        <v>8511</v>
      </c>
      <c r="H4590" s="320" t="s">
        <v>493</v>
      </c>
      <c r="I4590" s="205">
        <v>2</v>
      </c>
      <c r="J4590" s="320">
        <v>51000</v>
      </c>
      <c r="K4590" s="205"/>
    </row>
    <row r="4591" spans="2:11" hidden="1" outlineLevel="2">
      <c r="B4591" s="2" t="s">
        <v>833</v>
      </c>
      <c r="D4591" s="320" t="s">
        <v>8471</v>
      </c>
      <c r="E4591" s="321" t="s">
        <v>486</v>
      </c>
      <c r="F4591" s="320" t="s">
        <v>8495</v>
      </c>
      <c r="G4591" s="320" t="s">
        <v>4770</v>
      </c>
      <c r="H4591" s="320" t="s">
        <v>493</v>
      </c>
      <c r="I4591" s="205">
        <v>3</v>
      </c>
      <c r="J4591" s="320">
        <v>51000</v>
      </c>
      <c r="K4591" s="205">
        <v>81</v>
      </c>
    </row>
    <row r="4592" spans="2:11" hidden="1" outlineLevel="2">
      <c r="B4592" s="2" t="s">
        <v>833</v>
      </c>
      <c r="D4592" s="320" t="s">
        <v>8471</v>
      </c>
      <c r="E4592" s="321" t="s">
        <v>486</v>
      </c>
      <c r="F4592" s="320" t="s">
        <v>8495</v>
      </c>
      <c r="G4592" s="320" t="s">
        <v>8470</v>
      </c>
      <c r="H4592" s="320" t="s">
        <v>493</v>
      </c>
      <c r="I4592" s="205">
        <v>3</v>
      </c>
      <c r="J4592" s="320">
        <v>51000</v>
      </c>
      <c r="K4592" s="205">
        <v>70</v>
      </c>
    </row>
    <row r="4593" spans="2:11" hidden="1" outlineLevel="2">
      <c r="B4593" s="2" t="s">
        <v>833</v>
      </c>
      <c r="D4593" s="320" t="s">
        <v>8471</v>
      </c>
      <c r="E4593" s="321" t="s">
        <v>486</v>
      </c>
      <c r="F4593" s="320" t="s">
        <v>8495</v>
      </c>
      <c r="G4593" s="320" t="s">
        <v>488</v>
      </c>
      <c r="H4593" s="320" t="s">
        <v>493</v>
      </c>
      <c r="I4593" s="205">
        <v>3</v>
      </c>
      <c r="J4593" s="320">
        <v>49000</v>
      </c>
      <c r="K4593" s="205">
        <v>81</v>
      </c>
    </row>
    <row r="4594" spans="2:11" hidden="1" outlineLevel="2">
      <c r="B4594" s="2" t="s">
        <v>833</v>
      </c>
      <c r="D4594" s="320" t="s">
        <v>8471</v>
      </c>
      <c r="E4594" s="321" t="s">
        <v>486</v>
      </c>
      <c r="F4594" s="320" t="s">
        <v>8495</v>
      </c>
      <c r="G4594" s="320" t="s">
        <v>8220</v>
      </c>
      <c r="H4594" s="320" t="s">
        <v>493</v>
      </c>
      <c r="I4594" s="205">
        <v>3</v>
      </c>
      <c r="J4594" s="320">
        <v>51000</v>
      </c>
      <c r="K4594" s="205">
        <v>81</v>
      </c>
    </row>
    <row r="4595" spans="2:11" hidden="1" outlineLevel="2">
      <c r="B4595" s="2" t="s">
        <v>833</v>
      </c>
      <c r="D4595" s="320" t="s">
        <v>8471</v>
      </c>
      <c r="E4595" s="321" t="s">
        <v>486</v>
      </c>
      <c r="F4595" s="320" t="s">
        <v>8495</v>
      </c>
      <c r="G4595" s="320" t="s">
        <v>8222</v>
      </c>
      <c r="H4595" s="320" t="s">
        <v>493</v>
      </c>
      <c r="I4595" s="205">
        <v>3</v>
      </c>
      <c r="J4595" s="320">
        <v>51000</v>
      </c>
      <c r="K4595" s="205">
        <v>80</v>
      </c>
    </row>
    <row r="4596" spans="2:11" hidden="1" outlineLevel="2">
      <c r="B4596" s="2" t="s">
        <v>833</v>
      </c>
      <c r="D4596" s="320" t="s">
        <v>8471</v>
      </c>
      <c r="E4596" s="321" t="s">
        <v>486</v>
      </c>
      <c r="F4596" s="320" t="s">
        <v>8495</v>
      </c>
      <c r="G4596" s="320" t="s">
        <v>8221</v>
      </c>
      <c r="H4596" s="320" t="s">
        <v>493</v>
      </c>
      <c r="I4596" s="205">
        <v>3</v>
      </c>
      <c r="J4596" s="320">
        <v>51000</v>
      </c>
      <c r="K4596" s="205">
        <v>70</v>
      </c>
    </row>
    <row r="4597" spans="2:11" hidden="1" outlineLevel="2">
      <c r="B4597" s="2" t="s">
        <v>833</v>
      </c>
      <c r="D4597" s="320" t="s">
        <v>8471</v>
      </c>
      <c r="E4597" s="321" t="s">
        <v>486</v>
      </c>
      <c r="F4597" s="320" t="s">
        <v>8495</v>
      </c>
      <c r="G4597" s="497" t="s">
        <v>8511</v>
      </c>
      <c r="H4597" s="320" t="s">
        <v>493</v>
      </c>
      <c r="I4597" s="205">
        <v>3</v>
      </c>
      <c r="J4597" s="320">
        <v>51000</v>
      </c>
      <c r="K4597" s="205"/>
    </row>
    <row r="4598" spans="2:11" hidden="1" outlineLevel="2">
      <c r="B4598" s="2" t="s">
        <v>833</v>
      </c>
      <c r="D4598" s="320" t="s">
        <v>8471</v>
      </c>
      <c r="E4598" s="321" t="s">
        <v>486</v>
      </c>
      <c r="F4598" s="320" t="s">
        <v>8496</v>
      </c>
      <c r="G4598" s="320" t="s">
        <v>4770</v>
      </c>
      <c r="H4598" s="320" t="s">
        <v>493</v>
      </c>
      <c r="I4598" s="205">
        <v>4</v>
      </c>
      <c r="J4598" s="320">
        <v>51000</v>
      </c>
      <c r="K4598" s="205">
        <v>81</v>
      </c>
    </row>
    <row r="4599" spans="2:11" hidden="1" outlineLevel="2">
      <c r="B4599" s="2" t="s">
        <v>833</v>
      </c>
      <c r="D4599" s="320" t="s">
        <v>8471</v>
      </c>
      <c r="E4599" s="321" t="s">
        <v>486</v>
      </c>
      <c r="F4599" s="320" t="s">
        <v>8496</v>
      </c>
      <c r="G4599" s="320" t="s">
        <v>8470</v>
      </c>
      <c r="H4599" s="320" t="s">
        <v>493</v>
      </c>
      <c r="I4599" s="205">
        <v>4</v>
      </c>
      <c r="J4599" s="320">
        <v>51000</v>
      </c>
      <c r="K4599" s="205">
        <v>70</v>
      </c>
    </row>
    <row r="4600" spans="2:11" hidden="1" outlineLevel="2">
      <c r="B4600" s="2" t="s">
        <v>833</v>
      </c>
      <c r="D4600" s="320" t="s">
        <v>8471</v>
      </c>
      <c r="E4600" s="321" t="s">
        <v>486</v>
      </c>
      <c r="F4600" s="320" t="s">
        <v>8496</v>
      </c>
      <c r="G4600" s="320" t="s">
        <v>488</v>
      </c>
      <c r="H4600" s="320" t="s">
        <v>493</v>
      </c>
      <c r="I4600" s="205">
        <v>4</v>
      </c>
      <c r="J4600" s="320">
        <v>49000</v>
      </c>
      <c r="K4600" s="205">
        <v>81</v>
      </c>
    </row>
    <row r="4601" spans="2:11" hidden="1" outlineLevel="2">
      <c r="B4601" s="2" t="s">
        <v>833</v>
      </c>
      <c r="D4601" s="320" t="s">
        <v>8471</v>
      </c>
      <c r="E4601" s="321" t="s">
        <v>486</v>
      </c>
      <c r="F4601" s="320" t="s">
        <v>8496</v>
      </c>
      <c r="G4601" s="320" t="s">
        <v>8220</v>
      </c>
      <c r="H4601" s="320" t="s">
        <v>493</v>
      </c>
      <c r="I4601" s="205">
        <v>4</v>
      </c>
      <c r="J4601" s="320">
        <v>51000</v>
      </c>
      <c r="K4601" s="205">
        <v>81</v>
      </c>
    </row>
    <row r="4602" spans="2:11" hidden="1" outlineLevel="2">
      <c r="B4602" s="2" t="s">
        <v>833</v>
      </c>
      <c r="D4602" s="320" t="s">
        <v>8471</v>
      </c>
      <c r="E4602" s="321" t="s">
        <v>486</v>
      </c>
      <c r="F4602" s="320" t="s">
        <v>8496</v>
      </c>
      <c r="G4602" s="320" t="s">
        <v>8222</v>
      </c>
      <c r="H4602" s="320" t="s">
        <v>493</v>
      </c>
      <c r="I4602" s="205">
        <v>4</v>
      </c>
      <c r="J4602" s="320">
        <v>51000</v>
      </c>
      <c r="K4602" s="205">
        <v>80</v>
      </c>
    </row>
    <row r="4603" spans="2:11" hidden="1" outlineLevel="2">
      <c r="B4603" s="2" t="s">
        <v>833</v>
      </c>
      <c r="D4603" s="320" t="s">
        <v>8471</v>
      </c>
      <c r="E4603" s="321" t="s">
        <v>486</v>
      </c>
      <c r="F4603" s="320" t="s">
        <v>8496</v>
      </c>
      <c r="G4603" s="320" t="s">
        <v>8221</v>
      </c>
      <c r="H4603" s="320" t="s">
        <v>493</v>
      </c>
      <c r="I4603" s="205">
        <v>4</v>
      </c>
      <c r="J4603" s="320">
        <v>51000</v>
      </c>
      <c r="K4603" s="205">
        <v>70</v>
      </c>
    </row>
    <row r="4604" spans="2:11" hidden="1" outlineLevel="2">
      <c r="B4604" s="2" t="s">
        <v>833</v>
      </c>
      <c r="D4604" s="320" t="s">
        <v>8471</v>
      </c>
      <c r="E4604" s="321" t="s">
        <v>486</v>
      </c>
      <c r="F4604" s="320" t="s">
        <v>8496</v>
      </c>
      <c r="G4604" s="497" t="s">
        <v>8511</v>
      </c>
      <c r="H4604" s="320" t="s">
        <v>493</v>
      </c>
      <c r="I4604" s="205">
        <v>4</v>
      </c>
      <c r="J4604" s="320">
        <v>51000</v>
      </c>
      <c r="K4604" s="205"/>
    </row>
    <row r="4605" spans="2:11" hidden="1" outlineLevel="2">
      <c r="B4605" s="2" t="s">
        <v>833</v>
      </c>
      <c r="D4605" s="320" t="s">
        <v>8471</v>
      </c>
      <c r="E4605" s="321" t="s">
        <v>486</v>
      </c>
      <c r="F4605" s="320" t="s">
        <v>8497</v>
      </c>
      <c r="G4605" s="320" t="s">
        <v>4770</v>
      </c>
      <c r="H4605" s="320" t="s">
        <v>493</v>
      </c>
      <c r="I4605" s="205">
        <v>5</v>
      </c>
      <c r="J4605" s="320">
        <v>51000</v>
      </c>
      <c r="K4605" s="205">
        <v>81</v>
      </c>
    </row>
    <row r="4606" spans="2:11" hidden="1" outlineLevel="2">
      <c r="B4606" s="2" t="s">
        <v>833</v>
      </c>
      <c r="D4606" s="320" t="s">
        <v>8471</v>
      </c>
      <c r="E4606" s="321" t="s">
        <v>486</v>
      </c>
      <c r="F4606" s="320" t="s">
        <v>8497</v>
      </c>
      <c r="G4606" s="320" t="s">
        <v>8470</v>
      </c>
      <c r="H4606" s="320" t="s">
        <v>493</v>
      </c>
      <c r="I4606" s="205">
        <v>5</v>
      </c>
      <c r="J4606" s="320">
        <v>51000</v>
      </c>
      <c r="K4606" s="205">
        <v>70</v>
      </c>
    </row>
    <row r="4607" spans="2:11" hidden="1" outlineLevel="2">
      <c r="B4607" s="2" t="s">
        <v>833</v>
      </c>
      <c r="D4607" s="320" t="s">
        <v>8471</v>
      </c>
      <c r="E4607" s="321" t="s">
        <v>486</v>
      </c>
      <c r="F4607" s="320" t="s">
        <v>8497</v>
      </c>
      <c r="G4607" s="320" t="s">
        <v>488</v>
      </c>
      <c r="H4607" s="320" t="s">
        <v>493</v>
      </c>
      <c r="I4607" s="205">
        <v>5</v>
      </c>
      <c r="J4607" s="320">
        <v>49000</v>
      </c>
      <c r="K4607" s="205">
        <v>81</v>
      </c>
    </row>
    <row r="4608" spans="2:11" hidden="1" outlineLevel="2">
      <c r="B4608" s="2" t="s">
        <v>833</v>
      </c>
      <c r="D4608" s="320" t="s">
        <v>8471</v>
      </c>
      <c r="E4608" s="321" t="s">
        <v>486</v>
      </c>
      <c r="F4608" s="320" t="s">
        <v>8497</v>
      </c>
      <c r="G4608" s="320" t="s">
        <v>8220</v>
      </c>
      <c r="H4608" s="320" t="s">
        <v>493</v>
      </c>
      <c r="I4608" s="205">
        <v>5</v>
      </c>
      <c r="J4608" s="320">
        <v>51000</v>
      </c>
      <c r="K4608" s="205">
        <v>81</v>
      </c>
    </row>
    <row r="4609" spans="2:11" hidden="1" outlineLevel="2">
      <c r="B4609" s="2" t="s">
        <v>833</v>
      </c>
      <c r="D4609" s="320" t="s">
        <v>8471</v>
      </c>
      <c r="E4609" s="321" t="s">
        <v>486</v>
      </c>
      <c r="F4609" s="320" t="s">
        <v>8497</v>
      </c>
      <c r="G4609" s="320" t="s">
        <v>8222</v>
      </c>
      <c r="H4609" s="320" t="s">
        <v>493</v>
      </c>
      <c r="I4609" s="205">
        <v>5</v>
      </c>
      <c r="J4609" s="320">
        <v>51000</v>
      </c>
      <c r="K4609" s="205">
        <v>80</v>
      </c>
    </row>
    <row r="4610" spans="2:11" hidden="1" outlineLevel="2">
      <c r="B4610" s="2" t="s">
        <v>833</v>
      </c>
      <c r="D4610" s="320" t="s">
        <v>8471</v>
      </c>
      <c r="E4610" s="321" t="s">
        <v>486</v>
      </c>
      <c r="F4610" s="320" t="s">
        <v>8497</v>
      </c>
      <c r="G4610" s="320" t="s">
        <v>8221</v>
      </c>
      <c r="H4610" s="320" t="s">
        <v>493</v>
      </c>
      <c r="I4610" s="205">
        <v>5</v>
      </c>
      <c r="J4610" s="320">
        <v>51000</v>
      </c>
      <c r="K4610" s="205">
        <v>70</v>
      </c>
    </row>
    <row r="4611" spans="2:11" hidden="1" outlineLevel="2">
      <c r="B4611" s="2" t="s">
        <v>833</v>
      </c>
      <c r="D4611" s="320" t="s">
        <v>8471</v>
      </c>
      <c r="E4611" s="321" t="s">
        <v>486</v>
      </c>
      <c r="F4611" s="320" t="s">
        <v>8497</v>
      </c>
      <c r="G4611" s="497" t="s">
        <v>8511</v>
      </c>
      <c r="H4611" s="320" t="s">
        <v>493</v>
      </c>
      <c r="I4611" s="205">
        <v>5</v>
      </c>
      <c r="J4611" s="320">
        <v>51000</v>
      </c>
      <c r="K4611" s="205"/>
    </row>
    <row r="4612" spans="2:11" hidden="1" outlineLevel="2">
      <c r="B4612" s="2" t="s">
        <v>833</v>
      </c>
      <c r="D4612" s="320" t="s">
        <v>8471</v>
      </c>
      <c r="E4612" s="321" t="s">
        <v>486</v>
      </c>
      <c r="F4612" s="320" t="s">
        <v>8498</v>
      </c>
      <c r="G4612" s="320" t="s">
        <v>4770</v>
      </c>
      <c r="H4612" s="320" t="s">
        <v>493</v>
      </c>
      <c r="I4612" s="205">
        <v>7</v>
      </c>
      <c r="J4612" s="320">
        <v>51000</v>
      </c>
      <c r="K4612" s="205">
        <v>81</v>
      </c>
    </row>
    <row r="4613" spans="2:11" hidden="1" outlineLevel="2">
      <c r="B4613" s="2" t="s">
        <v>833</v>
      </c>
      <c r="D4613" s="320" t="s">
        <v>8471</v>
      </c>
      <c r="E4613" s="321" t="s">
        <v>486</v>
      </c>
      <c r="F4613" s="320" t="s">
        <v>8498</v>
      </c>
      <c r="G4613" s="320" t="s">
        <v>8470</v>
      </c>
      <c r="H4613" s="320" t="s">
        <v>493</v>
      </c>
      <c r="I4613" s="205">
        <v>7</v>
      </c>
      <c r="J4613" s="320">
        <v>51000</v>
      </c>
      <c r="K4613" s="205">
        <v>70</v>
      </c>
    </row>
    <row r="4614" spans="2:11" hidden="1" outlineLevel="2">
      <c r="B4614" s="2" t="s">
        <v>833</v>
      </c>
      <c r="D4614" s="320" t="s">
        <v>8471</v>
      </c>
      <c r="E4614" s="321" t="s">
        <v>486</v>
      </c>
      <c r="F4614" s="320" t="s">
        <v>8498</v>
      </c>
      <c r="G4614" s="320" t="s">
        <v>488</v>
      </c>
      <c r="H4614" s="320" t="s">
        <v>493</v>
      </c>
      <c r="I4614" s="205">
        <v>7</v>
      </c>
      <c r="J4614" s="320">
        <v>49000</v>
      </c>
      <c r="K4614" s="205">
        <v>81</v>
      </c>
    </row>
    <row r="4615" spans="2:11" hidden="1" outlineLevel="2">
      <c r="B4615" s="2" t="s">
        <v>833</v>
      </c>
      <c r="D4615" s="320" t="s">
        <v>8471</v>
      </c>
      <c r="E4615" s="321" t="s">
        <v>486</v>
      </c>
      <c r="F4615" s="320" t="s">
        <v>8498</v>
      </c>
      <c r="G4615" s="320" t="s">
        <v>8220</v>
      </c>
      <c r="H4615" s="320" t="s">
        <v>493</v>
      </c>
      <c r="I4615" s="205">
        <v>7</v>
      </c>
      <c r="J4615" s="320">
        <v>51000</v>
      </c>
      <c r="K4615" s="205">
        <v>81</v>
      </c>
    </row>
    <row r="4616" spans="2:11" hidden="1" outlineLevel="2">
      <c r="B4616" s="2" t="s">
        <v>833</v>
      </c>
      <c r="D4616" s="320" t="s">
        <v>8471</v>
      </c>
      <c r="E4616" s="321" t="s">
        <v>486</v>
      </c>
      <c r="F4616" s="320" t="s">
        <v>8498</v>
      </c>
      <c r="G4616" s="320" t="s">
        <v>8222</v>
      </c>
      <c r="H4616" s="320" t="s">
        <v>493</v>
      </c>
      <c r="I4616" s="205">
        <v>7</v>
      </c>
      <c r="J4616" s="320">
        <v>51000</v>
      </c>
      <c r="K4616" s="205">
        <v>80</v>
      </c>
    </row>
    <row r="4617" spans="2:11" hidden="1" outlineLevel="2">
      <c r="B4617" s="2" t="s">
        <v>833</v>
      </c>
      <c r="D4617" s="320" t="s">
        <v>8471</v>
      </c>
      <c r="E4617" s="321" t="s">
        <v>486</v>
      </c>
      <c r="F4617" s="320" t="s">
        <v>8498</v>
      </c>
      <c r="G4617" s="320" t="s">
        <v>8221</v>
      </c>
      <c r="H4617" s="320" t="s">
        <v>493</v>
      </c>
      <c r="I4617" s="205">
        <v>7</v>
      </c>
      <c r="J4617" s="320">
        <v>51000</v>
      </c>
      <c r="K4617" s="205">
        <v>70</v>
      </c>
    </row>
    <row r="4618" spans="2:11" hidden="1" outlineLevel="2">
      <c r="B4618" s="2" t="s">
        <v>833</v>
      </c>
      <c r="D4618" s="320" t="s">
        <v>8471</v>
      </c>
      <c r="E4618" s="321" t="s">
        <v>486</v>
      </c>
      <c r="F4618" s="320" t="s">
        <v>8498</v>
      </c>
      <c r="G4618" s="497" t="s">
        <v>8242</v>
      </c>
      <c r="H4618" s="320" t="s">
        <v>493</v>
      </c>
      <c r="I4618" s="205">
        <v>7</v>
      </c>
      <c r="J4618" s="320">
        <v>51000</v>
      </c>
      <c r="K4618" s="205"/>
    </row>
    <row r="4619" spans="2:11" hidden="1" outlineLevel="2">
      <c r="B4619" s="2" t="s">
        <v>833</v>
      </c>
      <c r="D4619" s="320" t="s">
        <v>8471</v>
      </c>
      <c r="E4619" s="321" t="s">
        <v>486</v>
      </c>
      <c r="F4619" s="320" t="s">
        <v>8499</v>
      </c>
      <c r="G4619" s="320" t="s">
        <v>4770</v>
      </c>
      <c r="H4619" s="320" t="s">
        <v>493</v>
      </c>
      <c r="I4619" s="205">
        <v>10</v>
      </c>
      <c r="J4619" s="320">
        <v>51000</v>
      </c>
      <c r="K4619" s="205">
        <v>81</v>
      </c>
    </row>
    <row r="4620" spans="2:11" hidden="1" outlineLevel="2">
      <c r="B4620" s="2" t="s">
        <v>833</v>
      </c>
      <c r="D4620" s="320" t="s">
        <v>8471</v>
      </c>
      <c r="E4620" s="321" t="s">
        <v>486</v>
      </c>
      <c r="F4620" s="320" t="s">
        <v>8499</v>
      </c>
      <c r="G4620" s="320" t="s">
        <v>8470</v>
      </c>
      <c r="H4620" s="320" t="s">
        <v>493</v>
      </c>
      <c r="I4620" s="205">
        <v>10</v>
      </c>
      <c r="J4620" s="320">
        <v>51000</v>
      </c>
      <c r="K4620" s="205">
        <v>70</v>
      </c>
    </row>
    <row r="4621" spans="2:11" hidden="1" outlineLevel="2">
      <c r="B4621" s="2" t="s">
        <v>833</v>
      </c>
      <c r="D4621" s="320" t="s">
        <v>8471</v>
      </c>
      <c r="E4621" s="321" t="s">
        <v>486</v>
      </c>
      <c r="F4621" s="320" t="s">
        <v>8499</v>
      </c>
      <c r="G4621" s="320" t="s">
        <v>488</v>
      </c>
      <c r="H4621" s="320" t="s">
        <v>493</v>
      </c>
      <c r="I4621" s="205">
        <v>10</v>
      </c>
      <c r="J4621" s="320">
        <v>49000</v>
      </c>
      <c r="K4621" s="205">
        <v>81</v>
      </c>
    </row>
    <row r="4622" spans="2:11" hidden="1" outlineLevel="2">
      <c r="B4622" s="2" t="s">
        <v>833</v>
      </c>
      <c r="D4622" s="320" t="s">
        <v>8471</v>
      </c>
      <c r="E4622" s="321" t="s">
        <v>486</v>
      </c>
      <c r="F4622" s="320" t="s">
        <v>8499</v>
      </c>
      <c r="G4622" s="320" t="s">
        <v>8220</v>
      </c>
      <c r="H4622" s="320" t="s">
        <v>493</v>
      </c>
      <c r="I4622" s="205">
        <v>10</v>
      </c>
      <c r="J4622" s="320">
        <v>51000</v>
      </c>
      <c r="K4622" s="205">
        <v>81</v>
      </c>
    </row>
    <row r="4623" spans="2:11" hidden="1" outlineLevel="2">
      <c r="B4623" s="2" t="s">
        <v>833</v>
      </c>
      <c r="D4623" s="320" t="s">
        <v>8471</v>
      </c>
      <c r="E4623" s="321" t="s">
        <v>486</v>
      </c>
      <c r="F4623" s="320" t="s">
        <v>8499</v>
      </c>
      <c r="G4623" s="320" t="s">
        <v>8222</v>
      </c>
      <c r="H4623" s="320" t="s">
        <v>493</v>
      </c>
      <c r="I4623" s="205">
        <v>10</v>
      </c>
      <c r="J4623" s="320">
        <v>51000</v>
      </c>
      <c r="K4623" s="205">
        <v>80</v>
      </c>
    </row>
    <row r="4624" spans="2:11" hidden="1" outlineLevel="2">
      <c r="B4624" s="2" t="s">
        <v>833</v>
      </c>
      <c r="D4624" s="320" t="s">
        <v>8471</v>
      </c>
      <c r="E4624" s="321" t="s">
        <v>486</v>
      </c>
      <c r="F4624" s="320" t="s">
        <v>8499</v>
      </c>
      <c r="G4624" s="320" t="s">
        <v>8221</v>
      </c>
      <c r="H4624" s="320" t="s">
        <v>493</v>
      </c>
      <c r="I4624" s="205">
        <v>10</v>
      </c>
      <c r="J4624" s="320">
        <v>51000</v>
      </c>
      <c r="K4624" s="205">
        <v>70</v>
      </c>
    </row>
    <row r="4625" spans="2:11" hidden="1" outlineLevel="2">
      <c r="B4625" s="2" t="s">
        <v>833</v>
      </c>
      <c r="D4625" s="320" t="s">
        <v>8471</v>
      </c>
      <c r="E4625" s="321" t="s">
        <v>486</v>
      </c>
      <c r="F4625" s="320" t="s">
        <v>8499</v>
      </c>
      <c r="G4625" s="497" t="s">
        <v>8511</v>
      </c>
      <c r="H4625" s="320" t="s">
        <v>493</v>
      </c>
      <c r="I4625" s="205">
        <v>10</v>
      </c>
      <c r="J4625" s="320">
        <v>51000</v>
      </c>
      <c r="K4625" s="205"/>
    </row>
    <row r="4626" spans="2:11" hidden="1" outlineLevel="2">
      <c r="B4626" s="2" t="s">
        <v>833</v>
      </c>
      <c r="D4626" s="320" t="s">
        <v>5995</v>
      </c>
      <c r="E4626" s="321" t="s">
        <v>484</v>
      </c>
      <c r="F4626" s="320" t="s">
        <v>497</v>
      </c>
      <c r="G4626" s="320" t="s">
        <v>4771</v>
      </c>
      <c r="H4626" s="320" t="s">
        <v>497</v>
      </c>
      <c r="I4626" s="205">
        <v>1</v>
      </c>
      <c r="J4626" s="320">
        <v>51000</v>
      </c>
      <c r="K4626" s="205">
        <v>81</v>
      </c>
    </row>
    <row r="4627" spans="2:11" hidden="1" outlineLevel="2">
      <c r="B4627" s="2" t="s">
        <v>833</v>
      </c>
      <c r="D4627" s="320" t="s">
        <v>5995</v>
      </c>
      <c r="E4627" s="321" t="s">
        <v>484</v>
      </c>
      <c r="F4627" s="320" t="s">
        <v>497</v>
      </c>
      <c r="G4627" s="320" t="s">
        <v>8226</v>
      </c>
      <c r="H4627" s="320" t="s">
        <v>497</v>
      </c>
      <c r="I4627" s="205">
        <v>1</v>
      </c>
      <c r="J4627" s="320">
        <v>51000</v>
      </c>
      <c r="K4627" s="205">
        <v>70</v>
      </c>
    </row>
    <row r="4628" spans="2:11" hidden="1" outlineLevel="2">
      <c r="B4628" s="2" t="s">
        <v>833</v>
      </c>
      <c r="D4628" s="320" t="s">
        <v>5995</v>
      </c>
      <c r="E4628" s="321" t="s">
        <v>484</v>
      </c>
      <c r="F4628" s="320" t="s">
        <v>497</v>
      </c>
      <c r="G4628" s="320" t="s">
        <v>8224</v>
      </c>
      <c r="H4628" s="320" t="s">
        <v>497</v>
      </c>
      <c r="I4628" s="205">
        <v>2</v>
      </c>
      <c r="J4628" s="320">
        <v>51000</v>
      </c>
      <c r="K4628" s="205">
        <v>81</v>
      </c>
    </row>
    <row r="4629" spans="2:11" hidden="1" outlineLevel="2">
      <c r="B4629" s="2" t="s">
        <v>833</v>
      </c>
      <c r="D4629" s="320" t="s">
        <v>5995</v>
      </c>
      <c r="E4629" s="321" t="s">
        <v>484</v>
      </c>
      <c r="F4629" s="320" t="s">
        <v>497</v>
      </c>
      <c r="G4629" s="320" t="s">
        <v>8227</v>
      </c>
      <c r="H4629" s="320" t="s">
        <v>497</v>
      </c>
      <c r="I4629" s="205">
        <v>2</v>
      </c>
      <c r="J4629" s="320">
        <v>51000</v>
      </c>
      <c r="K4629" s="205">
        <v>70</v>
      </c>
    </row>
    <row r="4630" spans="2:11" hidden="1" outlineLevel="2">
      <c r="B4630" s="2" t="s">
        <v>833</v>
      </c>
      <c r="D4630" s="320" t="s">
        <v>5995</v>
      </c>
      <c r="E4630" s="321" t="s">
        <v>484</v>
      </c>
      <c r="F4630" s="320" t="s">
        <v>497</v>
      </c>
      <c r="G4630" s="320" t="s">
        <v>8225</v>
      </c>
      <c r="H4630" s="320" t="s">
        <v>497</v>
      </c>
      <c r="I4630" s="205">
        <v>3</v>
      </c>
      <c r="J4630" s="320">
        <v>51000</v>
      </c>
      <c r="K4630" s="205">
        <v>81</v>
      </c>
    </row>
    <row r="4631" spans="2:11" hidden="1" outlineLevel="2">
      <c r="B4631" s="2" t="s">
        <v>833</v>
      </c>
      <c r="D4631" s="320" t="s">
        <v>5995</v>
      </c>
      <c r="E4631" s="321" t="s">
        <v>484</v>
      </c>
      <c r="F4631" s="320" t="s">
        <v>497</v>
      </c>
      <c r="G4631" s="320" t="s">
        <v>8228</v>
      </c>
      <c r="H4631" s="320" t="s">
        <v>497</v>
      </c>
      <c r="I4631" s="205">
        <v>3</v>
      </c>
      <c r="J4631" s="320">
        <v>51000</v>
      </c>
      <c r="K4631" s="205">
        <v>70</v>
      </c>
    </row>
    <row r="4632" spans="2:11" hidden="1" outlineLevel="2">
      <c r="B4632" s="2" t="s">
        <v>833</v>
      </c>
      <c r="D4632" s="320" t="s">
        <v>5995</v>
      </c>
      <c r="E4632" s="321" t="s">
        <v>484</v>
      </c>
      <c r="F4632" s="320" t="s">
        <v>497</v>
      </c>
      <c r="G4632" s="320" t="s">
        <v>8478</v>
      </c>
      <c r="H4632" s="320" t="s">
        <v>497</v>
      </c>
      <c r="I4632" s="205">
        <v>4</v>
      </c>
      <c r="J4632" s="320">
        <v>51000</v>
      </c>
      <c r="K4632" s="205">
        <v>81</v>
      </c>
    </row>
    <row r="4633" spans="2:11" hidden="1" outlineLevel="2">
      <c r="B4633" s="2" t="s">
        <v>833</v>
      </c>
      <c r="D4633" s="320" t="s">
        <v>5995</v>
      </c>
      <c r="E4633" s="321" t="s">
        <v>484</v>
      </c>
      <c r="F4633" s="320" t="s">
        <v>497</v>
      </c>
      <c r="G4633" s="320" t="s">
        <v>8476</v>
      </c>
      <c r="H4633" s="320" t="s">
        <v>497</v>
      </c>
      <c r="I4633" s="205">
        <v>4</v>
      </c>
      <c r="J4633" s="320">
        <v>51000</v>
      </c>
      <c r="K4633" s="205">
        <v>70</v>
      </c>
    </row>
    <row r="4634" spans="2:11" hidden="1" outlineLevel="2">
      <c r="B4634" s="2" t="s">
        <v>833</v>
      </c>
      <c r="D4634" s="320" t="s">
        <v>5995</v>
      </c>
      <c r="E4634" s="321" t="s">
        <v>484</v>
      </c>
      <c r="F4634" s="320" t="s">
        <v>497</v>
      </c>
      <c r="G4634" s="320" t="s">
        <v>8479</v>
      </c>
      <c r="H4634" s="320" t="s">
        <v>497</v>
      </c>
      <c r="I4634" s="205">
        <v>5</v>
      </c>
      <c r="J4634" s="320">
        <v>51000</v>
      </c>
      <c r="K4634" s="205">
        <v>81</v>
      </c>
    </row>
    <row r="4635" spans="2:11" hidden="1" outlineLevel="2">
      <c r="B4635" s="2" t="s">
        <v>833</v>
      </c>
      <c r="D4635" s="320" t="s">
        <v>5995</v>
      </c>
      <c r="E4635" s="321" t="s">
        <v>484</v>
      </c>
      <c r="F4635" s="320" t="s">
        <v>497</v>
      </c>
      <c r="G4635" s="320" t="s">
        <v>8477</v>
      </c>
      <c r="H4635" s="320" t="s">
        <v>497</v>
      </c>
      <c r="I4635" s="205">
        <v>5</v>
      </c>
      <c r="J4635" s="320">
        <v>51000</v>
      </c>
      <c r="K4635" s="205">
        <v>70</v>
      </c>
    </row>
    <row r="4636" spans="2:11" hidden="1" outlineLevel="2">
      <c r="B4636" s="2" t="s">
        <v>833</v>
      </c>
      <c r="D4636" s="320" t="s">
        <v>5995</v>
      </c>
      <c r="E4636" s="321" t="s">
        <v>484</v>
      </c>
      <c r="F4636" s="320" t="s">
        <v>497</v>
      </c>
      <c r="G4636" s="497" t="s">
        <v>8510</v>
      </c>
      <c r="H4636" s="320" t="s">
        <v>497</v>
      </c>
      <c r="I4636" s="205">
        <v>1</v>
      </c>
      <c r="J4636" s="320">
        <v>51000</v>
      </c>
      <c r="K4636" s="205"/>
    </row>
    <row r="4637" spans="2:11" hidden="1" outlineLevel="2">
      <c r="B4637" s="2" t="s">
        <v>833</v>
      </c>
      <c r="D4637" s="320" t="s">
        <v>5995</v>
      </c>
      <c r="E4637" s="321" t="s">
        <v>484</v>
      </c>
      <c r="F4637" s="320" t="s">
        <v>8493</v>
      </c>
      <c r="G4637" s="320" t="s">
        <v>4771</v>
      </c>
      <c r="H4637" s="320" t="s">
        <v>493</v>
      </c>
      <c r="I4637" s="205">
        <v>1</v>
      </c>
      <c r="J4637" s="320">
        <v>51000</v>
      </c>
      <c r="K4637" s="205">
        <v>81</v>
      </c>
    </row>
    <row r="4638" spans="2:11" hidden="1" outlineLevel="2">
      <c r="B4638" s="2" t="s">
        <v>833</v>
      </c>
      <c r="D4638" s="320" t="s">
        <v>5995</v>
      </c>
      <c r="E4638" s="321" t="s">
        <v>484</v>
      </c>
      <c r="F4638" s="320" t="s">
        <v>8493</v>
      </c>
      <c r="G4638" s="320" t="s">
        <v>8226</v>
      </c>
      <c r="H4638" s="320" t="s">
        <v>493</v>
      </c>
      <c r="I4638" s="205">
        <v>1</v>
      </c>
      <c r="J4638" s="320">
        <v>51000</v>
      </c>
      <c r="K4638" s="205">
        <v>70</v>
      </c>
    </row>
    <row r="4639" spans="2:11" hidden="1" outlineLevel="2">
      <c r="B4639" s="2" t="s">
        <v>833</v>
      </c>
      <c r="D4639" s="320" t="s">
        <v>5995</v>
      </c>
      <c r="E4639" s="321" t="s">
        <v>484</v>
      </c>
      <c r="F4639" s="320" t="s">
        <v>8493</v>
      </c>
      <c r="G4639" s="497" t="s">
        <v>8510</v>
      </c>
      <c r="H4639" s="320" t="s">
        <v>493</v>
      </c>
      <c r="I4639" s="205">
        <v>1</v>
      </c>
      <c r="J4639" s="320">
        <v>51000</v>
      </c>
      <c r="K4639" s="205"/>
    </row>
    <row r="4640" spans="2:11" hidden="1" outlineLevel="2">
      <c r="B4640" s="2" t="s">
        <v>833</v>
      </c>
      <c r="D4640" s="320" t="s">
        <v>5995</v>
      </c>
      <c r="E4640" s="321" t="s">
        <v>484</v>
      </c>
      <c r="F4640" s="320" t="s">
        <v>8494</v>
      </c>
      <c r="G4640" s="320" t="s">
        <v>8224</v>
      </c>
      <c r="H4640" s="320" t="s">
        <v>493</v>
      </c>
      <c r="I4640" s="205">
        <v>2</v>
      </c>
      <c r="J4640" s="320">
        <v>51000</v>
      </c>
      <c r="K4640" s="205">
        <v>81</v>
      </c>
    </row>
    <row r="4641" spans="2:11" hidden="1" outlineLevel="2">
      <c r="B4641" s="2" t="s">
        <v>833</v>
      </c>
      <c r="D4641" s="320" t="s">
        <v>5995</v>
      </c>
      <c r="E4641" s="321" t="s">
        <v>484</v>
      </c>
      <c r="F4641" s="320" t="s">
        <v>8494</v>
      </c>
      <c r="G4641" s="320" t="s">
        <v>8227</v>
      </c>
      <c r="H4641" s="320" t="s">
        <v>493</v>
      </c>
      <c r="I4641" s="205">
        <v>2</v>
      </c>
      <c r="J4641" s="320">
        <v>51000</v>
      </c>
      <c r="K4641" s="205">
        <v>70</v>
      </c>
    </row>
    <row r="4642" spans="2:11" hidden="1" outlineLevel="2">
      <c r="B4642" s="2" t="s">
        <v>833</v>
      </c>
      <c r="D4642" s="320" t="s">
        <v>5995</v>
      </c>
      <c r="E4642" s="321" t="s">
        <v>484</v>
      </c>
      <c r="F4642" s="320" t="s">
        <v>8494</v>
      </c>
      <c r="G4642" s="497" t="s">
        <v>8510</v>
      </c>
      <c r="H4642" s="320" t="s">
        <v>493</v>
      </c>
      <c r="I4642" s="205">
        <v>2</v>
      </c>
      <c r="J4642" s="320">
        <v>51000</v>
      </c>
      <c r="K4642" s="205"/>
    </row>
    <row r="4643" spans="2:11" hidden="1" outlineLevel="2">
      <c r="B4643" s="2" t="s">
        <v>833</v>
      </c>
      <c r="D4643" s="320" t="s">
        <v>5995</v>
      </c>
      <c r="E4643" s="321" t="s">
        <v>484</v>
      </c>
      <c r="F4643" s="320" t="s">
        <v>8495</v>
      </c>
      <c r="G4643" s="320" t="s">
        <v>8225</v>
      </c>
      <c r="H4643" s="320" t="s">
        <v>493</v>
      </c>
      <c r="I4643" s="205">
        <v>3</v>
      </c>
      <c r="J4643" s="320">
        <v>51000</v>
      </c>
      <c r="K4643" s="205">
        <v>81</v>
      </c>
    </row>
    <row r="4644" spans="2:11" hidden="1" outlineLevel="2">
      <c r="B4644" s="2" t="s">
        <v>833</v>
      </c>
      <c r="D4644" s="320" t="s">
        <v>5995</v>
      </c>
      <c r="E4644" s="321" t="s">
        <v>484</v>
      </c>
      <c r="F4644" s="320" t="s">
        <v>8495</v>
      </c>
      <c r="G4644" s="320" t="s">
        <v>8228</v>
      </c>
      <c r="H4644" s="320" t="s">
        <v>493</v>
      </c>
      <c r="I4644" s="205">
        <v>3</v>
      </c>
      <c r="J4644" s="320">
        <v>51000</v>
      </c>
      <c r="K4644" s="205">
        <v>70</v>
      </c>
    </row>
    <row r="4645" spans="2:11" hidden="1" outlineLevel="2">
      <c r="B4645" s="2" t="s">
        <v>833</v>
      </c>
      <c r="D4645" s="320" t="s">
        <v>5995</v>
      </c>
      <c r="E4645" s="321" t="s">
        <v>484</v>
      </c>
      <c r="F4645" s="320" t="s">
        <v>8495</v>
      </c>
      <c r="G4645" s="497" t="s">
        <v>8510</v>
      </c>
      <c r="H4645" s="320" t="s">
        <v>493</v>
      </c>
      <c r="I4645" s="205">
        <v>3</v>
      </c>
      <c r="J4645" s="320">
        <v>51000</v>
      </c>
      <c r="K4645" s="205"/>
    </row>
    <row r="4646" spans="2:11" hidden="1" outlineLevel="2">
      <c r="B4646" s="2" t="s">
        <v>833</v>
      </c>
      <c r="D4646" s="320" t="s">
        <v>5995</v>
      </c>
      <c r="E4646" s="321" t="s">
        <v>484</v>
      </c>
      <c r="F4646" s="320" t="s">
        <v>8496</v>
      </c>
      <c r="G4646" s="320" t="s">
        <v>8478</v>
      </c>
      <c r="H4646" s="320" t="s">
        <v>493</v>
      </c>
      <c r="I4646" s="205">
        <v>4</v>
      </c>
      <c r="J4646" s="320">
        <v>51000</v>
      </c>
      <c r="K4646" s="205">
        <v>81</v>
      </c>
    </row>
    <row r="4647" spans="2:11" hidden="1" outlineLevel="2">
      <c r="B4647" s="2" t="s">
        <v>833</v>
      </c>
      <c r="D4647" s="320" t="s">
        <v>5995</v>
      </c>
      <c r="E4647" s="321" t="s">
        <v>484</v>
      </c>
      <c r="F4647" s="320" t="s">
        <v>8496</v>
      </c>
      <c r="G4647" s="320" t="s">
        <v>8476</v>
      </c>
      <c r="H4647" s="320" t="s">
        <v>493</v>
      </c>
      <c r="I4647" s="205">
        <v>4</v>
      </c>
      <c r="J4647" s="320">
        <v>51000</v>
      </c>
      <c r="K4647" s="205">
        <v>70</v>
      </c>
    </row>
    <row r="4648" spans="2:11" hidden="1" outlineLevel="2">
      <c r="B4648" s="2" t="s">
        <v>833</v>
      </c>
      <c r="D4648" s="320" t="s">
        <v>5995</v>
      </c>
      <c r="E4648" s="321" t="s">
        <v>484</v>
      </c>
      <c r="F4648" s="320" t="s">
        <v>8496</v>
      </c>
      <c r="G4648" s="497" t="s">
        <v>8510</v>
      </c>
      <c r="H4648" s="320" t="s">
        <v>493</v>
      </c>
      <c r="I4648" s="205">
        <v>4</v>
      </c>
      <c r="J4648" s="320">
        <v>51000</v>
      </c>
      <c r="K4648" s="205"/>
    </row>
    <row r="4649" spans="2:11" hidden="1" outlineLevel="2">
      <c r="B4649" s="2" t="s">
        <v>833</v>
      </c>
      <c r="D4649" s="320" t="s">
        <v>5995</v>
      </c>
      <c r="E4649" s="321" t="s">
        <v>484</v>
      </c>
      <c r="F4649" s="320" t="s">
        <v>8497</v>
      </c>
      <c r="G4649" s="320" t="s">
        <v>8479</v>
      </c>
      <c r="H4649" s="320" t="s">
        <v>493</v>
      </c>
      <c r="I4649" s="205">
        <v>5</v>
      </c>
      <c r="J4649" s="320">
        <v>51000</v>
      </c>
      <c r="K4649" s="205">
        <v>81</v>
      </c>
    </row>
    <row r="4650" spans="2:11" hidden="1" outlineLevel="2">
      <c r="B4650" s="2" t="s">
        <v>833</v>
      </c>
      <c r="D4650" s="320" t="s">
        <v>5995</v>
      </c>
      <c r="E4650" s="321" t="s">
        <v>484</v>
      </c>
      <c r="F4650" s="320" t="s">
        <v>8497</v>
      </c>
      <c r="G4650" s="320" t="s">
        <v>8477</v>
      </c>
      <c r="H4650" s="320" t="s">
        <v>493</v>
      </c>
      <c r="I4650" s="205">
        <v>5</v>
      </c>
      <c r="J4650" s="320">
        <v>51000</v>
      </c>
      <c r="K4650" s="205">
        <v>70</v>
      </c>
    </row>
    <row r="4651" spans="2:11" hidden="1" outlineLevel="2">
      <c r="B4651" s="2" t="s">
        <v>833</v>
      </c>
      <c r="D4651" s="320" t="s">
        <v>5995</v>
      </c>
      <c r="E4651" s="321" t="s">
        <v>484</v>
      </c>
      <c r="F4651" s="320" t="s">
        <v>8497</v>
      </c>
      <c r="G4651" s="497" t="s">
        <v>8510</v>
      </c>
      <c r="H4651" s="320" t="s">
        <v>493</v>
      </c>
      <c r="I4651" s="205">
        <v>5</v>
      </c>
      <c r="J4651" s="320">
        <v>51000</v>
      </c>
      <c r="K4651" s="205"/>
    </row>
    <row r="4652" spans="2:11" hidden="1" outlineLevel="2">
      <c r="B4652" s="2" t="s">
        <v>833</v>
      </c>
      <c r="D4652" s="320" t="s">
        <v>8471</v>
      </c>
      <c r="E4652" s="321" t="s">
        <v>484</v>
      </c>
      <c r="F4652" s="320" t="s">
        <v>497</v>
      </c>
      <c r="G4652" s="320" t="s">
        <v>4771</v>
      </c>
      <c r="H4652" s="320" t="s">
        <v>497</v>
      </c>
      <c r="I4652" s="205">
        <v>1</v>
      </c>
      <c r="J4652" s="320">
        <v>51000</v>
      </c>
      <c r="K4652" s="205">
        <v>81</v>
      </c>
    </row>
    <row r="4653" spans="2:11" hidden="1" outlineLevel="2">
      <c r="B4653" s="2" t="s">
        <v>833</v>
      </c>
      <c r="D4653" s="320" t="s">
        <v>8471</v>
      </c>
      <c r="E4653" s="321" t="s">
        <v>484</v>
      </c>
      <c r="F4653" s="320" t="s">
        <v>497</v>
      </c>
      <c r="G4653" s="320" t="s">
        <v>8226</v>
      </c>
      <c r="H4653" s="320" t="s">
        <v>497</v>
      </c>
      <c r="I4653" s="205">
        <v>1</v>
      </c>
      <c r="J4653" s="320">
        <v>51000</v>
      </c>
      <c r="K4653" s="205">
        <v>70</v>
      </c>
    </row>
    <row r="4654" spans="2:11" hidden="1" outlineLevel="2">
      <c r="B4654" s="2" t="s">
        <v>833</v>
      </c>
      <c r="D4654" s="320" t="s">
        <v>8471</v>
      </c>
      <c r="E4654" s="321" t="s">
        <v>484</v>
      </c>
      <c r="F4654" s="320" t="s">
        <v>497</v>
      </c>
      <c r="G4654" s="320" t="s">
        <v>8224</v>
      </c>
      <c r="H4654" s="320" t="s">
        <v>497</v>
      </c>
      <c r="I4654" s="205">
        <v>2</v>
      </c>
      <c r="J4654" s="320">
        <v>51000</v>
      </c>
      <c r="K4654" s="205">
        <v>81</v>
      </c>
    </row>
    <row r="4655" spans="2:11" hidden="1" outlineLevel="2">
      <c r="B4655" s="2" t="s">
        <v>833</v>
      </c>
      <c r="D4655" s="320" t="s">
        <v>8471</v>
      </c>
      <c r="E4655" s="321" t="s">
        <v>484</v>
      </c>
      <c r="F4655" s="320" t="s">
        <v>497</v>
      </c>
      <c r="G4655" s="320" t="s">
        <v>8227</v>
      </c>
      <c r="H4655" s="320" t="s">
        <v>497</v>
      </c>
      <c r="I4655" s="205">
        <v>2</v>
      </c>
      <c r="J4655" s="320">
        <v>51000</v>
      </c>
      <c r="K4655" s="205">
        <v>70</v>
      </c>
    </row>
    <row r="4656" spans="2:11" hidden="1" outlineLevel="2">
      <c r="B4656" s="2" t="s">
        <v>833</v>
      </c>
      <c r="D4656" s="320" t="s">
        <v>8471</v>
      </c>
      <c r="E4656" s="321" t="s">
        <v>484</v>
      </c>
      <c r="F4656" s="320" t="s">
        <v>497</v>
      </c>
      <c r="G4656" s="320" t="s">
        <v>8225</v>
      </c>
      <c r="H4656" s="320" t="s">
        <v>497</v>
      </c>
      <c r="I4656" s="205">
        <v>3</v>
      </c>
      <c r="J4656" s="320">
        <v>51000</v>
      </c>
      <c r="K4656" s="205">
        <v>81</v>
      </c>
    </row>
    <row r="4657" spans="2:11" hidden="1" outlineLevel="2">
      <c r="B4657" s="2" t="s">
        <v>833</v>
      </c>
      <c r="D4657" s="320" t="s">
        <v>8471</v>
      </c>
      <c r="E4657" s="321" t="s">
        <v>484</v>
      </c>
      <c r="F4657" s="320" t="s">
        <v>497</v>
      </c>
      <c r="G4657" s="320" t="s">
        <v>8228</v>
      </c>
      <c r="H4657" s="320" t="s">
        <v>497</v>
      </c>
      <c r="I4657" s="205">
        <v>3</v>
      </c>
      <c r="J4657" s="320">
        <v>51000</v>
      </c>
      <c r="K4657" s="205">
        <v>70</v>
      </c>
    </row>
    <row r="4658" spans="2:11" hidden="1" outlineLevel="2">
      <c r="B4658" s="2" t="s">
        <v>833</v>
      </c>
      <c r="D4658" s="320" t="s">
        <v>8471</v>
      </c>
      <c r="E4658" s="321" t="s">
        <v>484</v>
      </c>
      <c r="F4658" s="320" t="s">
        <v>497</v>
      </c>
      <c r="G4658" s="320" t="s">
        <v>8478</v>
      </c>
      <c r="H4658" s="320" t="s">
        <v>497</v>
      </c>
      <c r="I4658" s="205">
        <v>4</v>
      </c>
      <c r="J4658" s="320">
        <v>51000</v>
      </c>
      <c r="K4658" s="205">
        <v>81</v>
      </c>
    </row>
    <row r="4659" spans="2:11" hidden="1" outlineLevel="2">
      <c r="B4659" s="2" t="s">
        <v>833</v>
      </c>
      <c r="D4659" s="320" t="s">
        <v>8471</v>
      </c>
      <c r="E4659" s="321" t="s">
        <v>484</v>
      </c>
      <c r="F4659" s="320" t="s">
        <v>497</v>
      </c>
      <c r="G4659" s="320" t="s">
        <v>8476</v>
      </c>
      <c r="H4659" s="320" t="s">
        <v>497</v>
      </c>
      <c r="I4659" s="205">
        <v>4</v>
      </c>
      <c r="J4659" s="320">
        <v>51000</v>
      </c>
      <c r="K4659" s="205">
        <v>70</v>
      </c>
    </row>
    <row r="4660" spans="2:11" hidden="1" outlineLevel="2">
      <c r="B4660" s="2" t="s">
        <v>833</v>
      </c>
      <c r="D4660" s="320" t="s">
        <v>8471</v>
      </c>
      <c r="E4660" s="321" t="s">
        <v>484</v>
      </c>
      <c r="F4660" s="320" t="s">
        <v>497</v>
      </c>
      <c r="G4660" s="320" t="s">
        <v>8479</v>
      </c>
      <c r="H4660" s="320" t="s">
        <v>497</v>
      </c>
      <c r="I4660" s="205">
        <v>5</v>
      </c>
      <c r="J4660" s="320">
        <v>51000</v>
      </c>
      <c r="K4660" s="205">
        <v>81</v>
      </c>
    </row>
    <row r="4661" spans="2:11" hidden="1" outlineLevel="2">
      <c r="B4661" s="2" t="s">
        <v>833</v>
      </c>
      <c r="D4661" s="320" t="s">
        <v>8471</v>
      </c>
      <c r="E4661" s="321" t="s">
        <v>484</v>
      </c>
      <c r="F4661" s="320" t="s">
        <v>497</v>
      </c>
      <c r="G4661" s="320" t="s">
        <v>8477</v>
      </c>
      <c r="H4661" s="320" t="s">
        <v>497</v>
      </c>
      <c r="I4661" s="205">
        <v>5</v>
      </c>
      <c r="J4661" s="320">
        <v>51000</v>
      </c>
      <c r="K4661" s="205">
        <v>70</v>
      </c>
    </row>
    <row r="4662" spans="2:11" hidden="1" outlineLevel="2">
      <c r="B4662" s="2" t="s">
        <v>833</v>
      </c>
      <c r="D4662" s="320" t="s">
        <v>8471</v>
      </c>
      <c r="E4662" s="321" t="s">
        <v>484</v>
      </c>
      <c r="F4662" s="320" t="s">
        <v>497</v>
      </c>
      <c r="G4662" s="320" t="s">
        <v>8482</v>
      </c>
      <c r="H4662" s="320" t="s">
        <v>497</v>
      </c>
      <c r="I4662" s="205">
        <v>7</v>
      </c>
      <c r="J4662" s="320">
        <v>51000</v>
      </c>
      <c r="K4662" s="205">
        <v>81</v>
      </c>
    </row>
    <row r="4663" spans="2:11" hidden="1" outlineLevel="2">
      <c r="B4663" s="2" t="s">
        <v>833</v>
      </c>
      <c r="D4663" s="320" t="s">
        <v>8471</v>
      </c>
      <c r="E4663" s="321" t="s">
        <v>484</v>
      </c>
      <c r="F4663" s="320" t="s">
        <v>497</v>
      </c>
      <c r="G4663" s="320" t="s">
        <v>8480</v>
      </c>
      <c r="H4663" s="320" t="s">
        <v>497</v>
      </c>
      <c r="I4663" s="205">
        <v>7</v>
      </c>
      <c r="J4663" s="320">
        <v>51000</v>
      </c>
      <c r="K4663" s="205">
        <v>70</v>
      </c>
    </row>
    <row r="4664" spans="2:11" hidden="1" outlineLevel="2">
      <c r="B4664" s="2" t="s">
        <v>833</v>
      </c>
      <c r="D4664" s="320" t="s">
        <v>8471</v>
      </c>
      <c r="E4664" s="321" t="s">
        <v>484</v>
      </c>
      <c r="F4664" s="320" t="s">
        <v>497</v>
      </c>
      <c r="G4664" s="320" t="s">
        <v>8483</v>
      </c>
      <c r="H4664" s="320" t="s">
        <v>497</v>
      </c>
      <c r="I4664" s="205">
        <v>10</v>
      </c>
      <c r="J4664" s="320">
        <v>51000</v>
      </c>
      <c r="K4664" s="205">
        <v>81</v>
      </c>
    </row>
    <row r="4665" spans="2:11" hidden="1" outlineLevel="2">
      <c r="B4665" s="2" t="s">
        <v>833</v>
      </c>
      <c r="D4665" s="320" t="s">
        <v>8471</v>
      </c>
      <c r="E4665" s="321" t="s">
        <v>484</v>
      </c>
      <c r="F4665" s="320" t="s">
        <v>497</v>
      </c>
      <c r="G4665" s="320" t="s">
        <v>8481</v>
      </c>
      <c r="H4665" s="320" t="s">
        <v>497</v>
      </c>
      <c r="I4665" s="205">
        <v>10</v>
      </c>
      <c r="J4665" s="320">
        <v>51000</v>
      </c>
      <c r="K4665" s="205">
        <v>70</v>
      </c>
    </row>
    <row r="4666" spans="2:11" hidden="1" outlineLevel="2">
      <c r="B4666" s="2" t="s">
        <v>833</v>
      </c>
      <c r="D4666" s="320" t="s">
        <v>8471</v>
      </c>
      <c r="E4666" s="321" t="s">
        <v>484</v>
      </c>
      <c r="F4666" s="320" t="s">
        <v>497</v>
      </c>
      <c r="G4666" s="497" t="s">
        <v>8510</v>
      </c>
      <c r="H4666" s="320" t="s">
        <v>497</v>
      </c>
      <c r="I4666" s="205">
        <v>10</v>
      </c>
      <c r="J4666" s="320">
        <v>51000</v>
      </c>
      <c r="K4666" s="205"/>
    </row>
    <row r="4667" spans="2:11" hidden="1" outlineLevel="2">
      <c r="B4667" s="2" t="s">
        <v>833</v>
      </c>
      <c r="D4667" s="320" t="s">
        <v>8471</v>
      </c>
      <c r="E4667" s="321" t="s">
        <v>484</v>
      </c>
      <c r="F4667" s="320" t="s">
        <v>8493</v>
      </c>
      <c r="G4667" s="320" t="s">
        <v>4771</v>
      </c>
      <c r="H4667" s="320" t="s">
        <v>493</v>
      </c>
      <c r="I4667" s="205">
        <v>1</v>
      </c>
      <c r="J4667" s="320">
        <v>51000</v>
      </c>
      <c r="K4667" s="205">
        <v>81</v>
      </c>
    </row>
    <row r="4668" spans="2:11" hidden="1" outlineLevel="2">
      <c r="B4668" s="2" t="s">
        <v>833</v>
      </c>
      <c r="D4668" s="320" t="s">
        <v>8471</v>
      </c>
      <c r="E4668" s="321" t="s">
        <v>484</v>
      </c>
      <c r="F4668" s="320" t="s">
        <v>8493</v>
      </c>
      <c r="G4668" s="320" t="s">
        <v>8226</v>
      </c>
      <c r="H4668" s="320" t="s">
        <v>493</v>
      </c>
      <c r="I4668" s="205">
        <v>1</v>
      </c>
      <c r="J4668" s="320">
        <v>51000</v>
      </c>
      <c r="K4668" s="205">
        <v>70</v>
      </c>
    </row>
    <row r="4669" spans="2:11" hidden="1" outlineLevel="2">
      <c r="B4669" s="2" t="s">
        <v>833</v>
      </c>
      <c r="D4669" s="320" t="s">
        <v>8471</v>
      </c>
      <c r="E4669" s="321" t="s">
        <v>484</v>
      </c>
      <c r="F4669" s="320" t="s">
        <v>8493</v>
      </c>
      <c r="G4669" s="497" t="s">
        <v>8510</v>
      </c>
      <c r="H4669" s="320" t="s">
        <v>493</v>
      </c>
      <c r="I4669" s="205">
        <v>1</v>
      </c>
      <c r="J4669" s="320">
        <v>51000</v>
      </c>
      <c r="K4669" s="205"/>
    </row>
    <row r="4670" spans="2:11" hidden="1" outlineLevel="2">
      <c r="B4670" s="2" t="s">
        <v>833</v>
      </c>
      <c r="D4670" s="320" t="s">
        <v>8471</v>
      </c>
      <c r="E4670" s="321" t="s">
        <v>484</v>
      </c>
      <c r="F4670" s="320" t="s">
        <v>8494</v>
      </c>
      <c r="G4670" s="320" t="s">
        <v>8224</v>
      </c>
      <c r="H4670" s="320" t="s">
        <v>493</v>
      </c>
      <c r="I4670" s="205">
        <v>2</v>
      </c>
      <c r="J4670" s="320">
        <v>51000</v>
      </c>
      <c r="K4670" s="205">
        <v>81</v>
      </c>
    </row>
    <row r="4671" spans="2:11" hidden="1" outlineLevel="2">
      <c r="B4671" s="2" t="s">
        <v>833</v>
      </c>
      <c r="D4671" s="320" t="s">
        <v>8471</v>
      </c>
      <c r="E4671" s="321" t="s">
        <v>484</v>
      </c>
      <c r="F4671" s="320" t="s">
        <v>8494</v>
      </c>
      <c r="G4671" s="320" t="s">
        <v>8227</v>
      </c>
      <c r="H4671" s="320" t="s">
        <v>493</v>
      </c>
      <c r="I4671" s="205">
        <v>2</v>
      </c>
      <c r="J4671" s="320">
        <v>51000</v>
      </c>
      <c r="K4671" s="205">
        <v>70</v>
      </c>
    </row>
    <row r="4672" spans="2:11" hidden="1" outlineLevel="2">
      <c r="B4672" s="2" t="s">
        <v>833</v>
      </c>
      <c r="D4672" s="320" t="s">
        <v>8471</v>
      </c>
      <c r="E4672" s="321" t="s">
        <v>484</v>
      </c>
      <c r="F4672" s="320" t="s">
        <v>8494</v>
      </c>
      <c r="G4672" s="497" t="s">
        <v>8510</v>
      </c>
      <c r="H4672" s="320" t="s">
        <v>493</v>
      </c>
      <c r="I4672" s="205">
        <v>2</v>
      </c>
      <c r="J4672" s="320">
        <v>51000</v>
      </c>
      <c r="K4672" s="205"/>
    </row>
    <row r="4673" spans="2:20" hidden="1" outlineLevel="2">
      <c r="B4673" s="2" t="s">
        <v>833</v>
      </c>
      <c r="D4673" s="320" t="s">
        <v>8471</v>
      </c>
      <c r="E4673" s="321" t="s">
        <v>484</v>
      </c>
      <c r="F4673" s="320" t="s">
        <v>8495</v>
      </c>
      <c r="G4673" s="320" t="s">
        <v>8225</v>
      </c>
      <c r="H4673" s="320" t="s">
        <v>493</v>
      </c>
      <c r="I4673" s="205">
        <v>3</v>
      </c>
      <c r="J4673" s="320">
        <v>51000</v>
      </c>
      <c r="K4673" s="205">
        <v>81</v>
      </c>
    </row>
    <row r="4674" spans="2:20" hidden="1" outlineLevel="2">
      <c r="B4674" s="2" t="s">
        <v>833</v>
      </c>
      <c r="D4674" s="320" t="s">
        <v>8471</v>
      </c>
      <c r="E4674" s="321" t="s">
        <v>484</v>
      </c>
      <c r="F4674" s="320" t="s">
        <v>8495</v>
      </c>
      <c r="G4674" s="320" t="s">
        <v>8228</v>
      </c>
      <c r="H4674" s="320" t="s">
        <v>493</v>
      </c>
      <c r="I4674" s="205">
        <v>3</v>
      </c>
      <c r="J4674" s="320">
        <v>51000</v>
      </c>
      <c r="K4674" s="205">
        <v>70</v>
      </c>
    </row>
    <row r="4675" spans="2:20" hidden="1" outlineLevel="2">
      <c r="B4675" s="2" t="s">
        <v>833</v>
      </c>
      <c r="D4675" s="320" t="s">
        <v>8471</v>
      </c>
      <c r="E4675" s="321" t="s">
        <v>484</v>
      </c>
      <c r="F4675" s="320" t="s">
        <v>8495</v>
      </c>
      <c r="G4675" s="497" t="s">
        <v>8510</v>
      </c>
      <c r="H4675" s="320" t="s">
        <v>493</v>
      </c>
      <c r="I4675" s="205">
        <v>3</v>
      </c>
      <c r="J4675" s="320">
        <v>51000</v>
      </c>
      <c r="K4675" s="205"/>
    </row>
    <row r="4676" spans="2:20" hidden="1" outlineLevel="2">
      <c r="B4676" s="2" t="s">
        <v>833</v>
      </c>
      <c r="D4676" s="320" t="s">
        <v>8471</v>
      </c>
      <c r="E4676" s="321" t="s">
        <v>484</v>
      </c>
      <c r="F4676" s="320" t="s">
        <v>8496</v>
      </c>
      <c r="G4676" s="320" t="s">
        <v>8478</v>
      </c>
      <c r="H4676" s="320" t="s">
        <v>493</v>
      </c>
      <c r="I4676" s="205">
        <v>4</v>
      </c>
      <c r="J4676" s="320">
        <v>51000</v>
      </c>
      <c r="K4676" s="205">
        <v>81</v>
      </c>
    </row>
    <row r="4677" spans="2:20" hidden="1" outlineLevel="2">
      <c r="B4677" s="2" t="s">
        <v>833</v>
      </c>
      <c r="D4677" s="320" t="s">
        <v>8471</v>
      </c>
      <c r="E4677" s="321" t="s">
        <v>484</v>
      </c>
      <c r="F4677" s="320" t="s">
        <v>8496</v>
      </c>
      <c r="G4677" s="320" t="s">
        <v>8476</v>
      </c>
      <c r="H4677" s="320" t="s">
        <v>493</v>
      </c>
      <c r="I4677" s="205">
        <v>4</v>
      </c>
      <c r="J4677" s="320">
        <v>51000</v>
      </c>
      <c r="K4677" s="205">
        <v>70</v>
      </c>
    </row>
    <row r="4678" spans="2:20" hidden="1" outlineLevel="2">
      <c r="B4678" s="2" t="s">
        <v>833</v>
      </c>
      <c r="D4678" s="320" t="s">
        <v>8471</v>
      </c>
      <c r="E4678" s="321" t="s">
        <v>484</v>
      </c>
      <c r="F4678" s="320" t="s">
        <v>8496</v>
      </c>
      <c r="G4678" s="497" t="s">
        <v>8510</v>
      </c>
      <c r="H4678" s="320" t="s">
        <v>493</v>
      </c>
      <c r="I4678" s="205">
        <v>4</v>
      </c>
      <c r="J4678" s="320">
        <v>51000</v>
      </c>
      <c r="K4678" s="205"/>
    </row>
    <row r="4679" spans="2:20" hidden="1" outlineLevel="2">
      <c r="B4679" s="2" t="s">
        <v>833</v>
      </c>
      <c r="D4679" s="320" t="s">
        <v>8471</v>
      </c>
      <c r="E4679" s="321" t="s">
        <v>484</v>
      </c>
      <c r="F4679" s="320" t="s">
        <v>8497</v>
      </c>
      <c r="G4679" s="320" t="s">
        <v>8479</v>
      </c>
      <c r="H4679" s="320" t="s">
        <v>493</v>
      </c>
      <c r="I4679" s="205">
        <v>5</v>
      </c>
      <c r="J4679" s="320">
        <v>51000</v>
      </c>
      <c r="K4679" s="205">
        <v>81</v>
      </c>
    </row>
    <row r="4680" spans="2:20" hidden="1" outlineLevel="2">
      <c r="B4680" s="2" t="s">
        <v>833</v>
      </c>
      <c r="D4680" s="320" t="s">
        <v>8471</v>
      </c>
      <c r="E4680" s="321" t="s">
        <v>484</v>
      </c>
      <c r="F4680" s="320" t="s">
        <v>8497</v>
      </c>
      <c r="G4680" s="320" t="s">
        <v>8477</v>
      </c>
      <c r="H4680" s="320" t="s">
        <v>493</v>
      </c>
      <c r="I4680" s="205">
        <v>5</v>
      </c>
      <c r="J4680" s="320">
        <v>51000</v>
      </c>
      <c r="K4680" s="205">
        <v>70</v>
      </c>
    </row>
    <row r="4681" spans="2:20" hidden="1" outlineLevel="2">
      <c r="B4681" s="2" t="s">
        <v>833</v>
      </c>
      <c r="D4681" s="320" t="s">
        <v>8471</v>
      </c>
      <c r="E4681" s="321" t="s">
        <v>484</v>
      </c>
      <c r="F4681" s="320" t="s">
        <v>8497</v>
      </c>
      <c r="G4681" s="497" t="s">
        <v>8510</v>
      </c>
      <c r="H4681" s="320" t="s">
        <v>493</v>
      </c>
      <c r="I4681" s="205">
        <v>5</v>
      </c>
      <c r="J4681" s="320">
        <v>51000</v>
      </c>
      <c r="K4681" s="205"/>
    </row>
    <row r="4682" spans="2:20" hidden="1" outlineLevel="2">
      <c r="B4682" s="2" t="s">
        <v>833</v>
      </c>
      <c r="D4682" s="320" t="s">
        <v>8471</v>
      </c>
      <c r="E4682" s="321" t="s">
        <v>484</v>
      </c>
      <c r="F4682" s="320" t="s">
        <v>8498</v>
      </c>
      <c r="G4682" s="320" t="s">
        <v>8482</v>
      </c>
      <c r="H4682" s="320" t="s">
        <v>493</v>
      </c>
      <c r="I4682" s="205">
        <v>7</v>
      </c>
      <c r="J4682" s="320">
        <v>51000</v>
      </c>
      <c r="K4682" s="205">
        <v>81</v>
      </c>
    </row>
    <row r="4683" spans="2:20" hidden="1" outlineLevel="2">
      <c r="B4683" s="2" t="s">
        <v>833</v>
      </c>
      <c r="D4683" s="320" t="s">
        <v>8471</v>
      </c>
      <c r="E4683" s="321" t="s">
        <v>484</v>
      </c>
      <c r="F4683" s="320" t="s">
        <v>8498</v>
      </c>
      <c r="G4683" s="320" t="s">
        <v>8480</v>
      </c>
      <c r="H4683" s="320" t="s">
        <v>493</v>
      </c>
      <c r="I4683" s="205">
        <v>7</v>
      </c>
      <c r="J4683" s="320">
        <v>51000</v>
      </c>
      <c r="K4683" s="205">
        <v>70</v>
      </c>
    </row>
    <row r="4684" spans="2:20" hidden="1" outlineLevel="2">
      <c r="B4684" s="2" t="s">
        <v>833</v>
      </c>
      <c r="D4684" s="320" t="s">
        <v>8471</v>
      </c>
      <c r="E4684" s="321" t="s">
        <v>484</v>
      </c>
      <c r="F4684" s="320" t="s">
        <v>8498</v>
      </c>
      <c r="G4684" s="497" t="s">
        <v>8510</v>
      </c>
      <c r="H4684" s="320" t="s">
        <v>493</v>
      </c>
      <c r="I4684" s="205">
        <v>7</v>
      </c>
      <c r="J4684" s="320">
        <v>51000</v>
      </c>
      <c r="K4684" s="205"/>
    </row>
    <row r="4685" spans="2:20" hidden="1" outlineLevel="2">
      <c r="B4685" s="2" t="s">
        <v>833</v>
      </c>
      <c r="D4685" s="320" t="s">
        <v>8471</v>
      </c>
      <c r="E4685" s="321" t="s">
        <v>484</v>
      </c>
      <c r="F4685" s="320" t="s">
        <v>8499</v>
      </c>
      <c r="G4685" s="320" t="s">
        <v>8483</v>
      </c>
      <c r="H4685" s="320" t="s">
        <v>493</v>
      </c>
      <c r="I4685" s="205">
        <v>10</v>
      </c>
      <c r="J4685" s="320">
        <v>51000</v>
      </c>
      <c r="K4685" s="205">
        <v>81</v>
      </c>
    </row>
    <row r="4686" spans="2:20" hidden="1" outlineLevel="2">
      <c r="B4686" s="2" t="s">
        <v>833</v>
      </c>
      <c r="D4686" s="320" t="s">
        <v>8471</v>
      </c>
      <c r="E4686" s="321" t="s">
        <v>484</v>
      </c>
      <c r="F4686" s="320" t="s">
        <v>8499</v>
      </c>
      <c r="G4686" s="320" t="s">
        <v>8481</v>
      </c>
      <c r="H4686" s="320" t="s">
        <v>493</v>
      </c>
      <c r="I4686" s="205">
        <v>10</v>
      </c>
      <c r="J4686" s="320">
        <v>51000</v>
      </c>
      <c r="K4686" s="205">
        <v>70</v>
      </c>
    </row>
    <row r="4687" spans="2:20" hidden="1" outlineLevel="2">
      <c r="B4687" s="2" t="s">
        <v>833</v>
      </c>
      <c r="D4687" s="320" t="s">
        <v>8471</v>
      </c>
      <c r="E4687" s="321" t="s">
        <v>484</v>
      </c>
      <c r="F4687" s="320" t="s">
        <v>8499</v>
      </c>
      <c r="G4687" s="497" t="s">
        <v>8510</v>
      </c>
      <c r="H4687" s="320" t="s">
        <v>493</v>
      </c>
      <c r="I4687" s="205">
        <v>10</v>
      </c>
      <c r="J4687" s="320">
        <v>51000</v>
      </c>
      <c r="K4687" s="205"/>
    </row>
    <row r="4688" spans="2:20" hidden="1" outlineLevel="1">
      <c r="B4688" s="2" t="s">
        <v>833</v>
      </c>
      <c r="R4688" s="295"/>
      <c r="S4688" s="295"/>
      <c r="T4688" s="295"/>
    </row>
    <row r="4689" spans="2:20" collapsed="1">
      <c r="B4689" s="2" t="s">
        <v>833</v>
      </c>
      <c r="C4689" s="246" t="s">
        <v>4775</v>
      </c>
      <c r="D4689" s="210" t="s">
        <v>843</v>
      </c>
      <c r="E4689" s="210" t="s">
        <v>844</v>
      </c>
      <c r="F4689" s="210" t="s">
        <v>845</v>
      </c>
      <c r="G4689" s="210" t="s">
        <v>846</v>
      </c>
      <c r="H4689" s="210" t="s">
        <v>847</v>
      </c>
      <c r="I4689" s="210" t="s">
        <v>848</v>
      </c>
      <c r="J4689" s="209" t="s">
        <v>849</v>
      </c>
      <c r="K4689" s="210" t="s">
        <v>850</v>
      </c>
      <c r="L4689" s="210" t="s">
        <v>8055</v>
      </c>
      <c r="M4689" s="210" t="s">
        <v>8168</v>
      </c>
      <c r="N4689" s="210" t="s">
        <v>8571</v>
      </c>
      <c r="O4689" s="209" t="s">
        <v>8755</v>
      </c>
      <c r="P4689" s="210" t="s">
        <v>8892</v>
      </c>
    </row>
    <row r="4690" spans="2:20" hidden="1" outlineLevel="1" collapsed="1">
      <c r="B4690" s="2" t="s">
        <v>833</v>
      </c>
      <c r="C4690" s="137" t="s">
        <v>4777</v>
      </c>
      <c r="D4690" s="298" t="s">
        <v>4765</v>
      </c>
      <c r="E4690" s="239" t="s">
        <v>4778</v>
      </c>
      <c r="F4690" s="239" t="s">
        <v>4779</v>
      </c>
      <c r="G4690" s="239" t="s">
        <v>4663</v>
      </c>
      <c r="H4690" s="239" t="s">
        <v>8664</v>
      </c>
      <c r="I4690" s="239" t="s">
        <v>8805</v>
      </c>
      <c r="J4690" s="239" t="s">
        <v>8806</v>
      </c>
      <c r="K4690" s="239" t="s">
        <v>8809</v>
      </c>
      <c r="L4690" s="239" t="s">
        <v>8812</v>
      </c>
    </row>
    <row r="4691" spans="2:20" hidden="1" outlineLevel="2">
      <c r="B4691" s="2" t="s">
        <v>833</v>
      </c>
      <c r="D4691" s="138"/>
      <c r="E4691" s="138"/>
      <c r="F4691" s="138"/>
      <c r="G4691" s="138"/>
      <c r="H4691" s="138"/>
      <c r="I4691" s="138"/>
      <c r="J4691" s="138"/>
      <c r="K4691" s="138"/>
      <c r="L4691" s="138"/>
    </row>
    <row r="4692" spans="2:20" hidden="1" outlineLevel="2">
      <c r="B4692" s="2" t="s">
        <v>833</v>
      </c>
      <c r="D4692" s="232" t="s">
        <v>75</v>
      </c>
      <c r="E4692" s="232" t="b">
        <v>0</v>
      </c>
      <c r="F4692" s="232" t="b">
        <v>1</v>
      </c>
      <c r="G4692" s="232" t="b">
        <v>1</v>
      </c>
      <c r="H4692" s="232" t="b">
        <v>1</v>
      </c>
      <c r="I4692" s="232" t="s">
        <v>58</v>
      </c>
      <c r="J4692" s="232" t="s">
        <v>200</v>
      </c>
      <c r="K4692" s="232" t="b">
        <v>0</v>
      </c>
      <c r="L4692" s="114" t="b">
        <v>0</v>
      </c>
      <c r="R4692" s="295"/>
      <c r="S4692" s="295"/>
      <c r="T4692" s="295"/>
    </row>
    <row r="4693" spans="2:20" hidden="1" outlineLevel="2">
      <c r="B4693" s="2" t="s">
        <v>833</v>
      </c>
      <c r="D4693" s="232" t="s">
        <v>4780</v>
      </c>
      <c r="E4693" s="232" t="b">
        <v>0</v>
      </c>
      <c r="F4693" s="232" t="b">
        <v>1</v>
      </c>
      <c r="G4693" s="232" t="b">
        <v>1</v>
      </c>
      <c r="H4693" s="232" t="b">
        <v>1</v>
      </c>
      <c r="I4693" s="232" t="s">
        <v>58</v>
      </c>
      <c r="J4693" s="232" t="s">
        <v>200</v>
      </c>
      <c r="K4693" s="232" t="b">
        <v>0</v>
      </c>
      <c r="L4693" s="114" t="b">
        <v>0</v>
      </c>
      <c r="R4693" s="295"/>
      <c r="S4693" s="295"/>
      <c r="T4693" s="295"/>
    </row>
    <row r="4694" spans="2:20" hidden="1" outlineLevel="2">
      <c r="B4694" s="2" t="s">
        <v>833</v>
      </c>
      <c r="D4694" s="114" t="s">
        <v>76</v>
      </c>
      <c r="E4694" s="114" t="b">
        <v>0</v>
      </c>
      <c r="F4694" s="114" t="b">
        <v>0</v>
      </c>
      <c r="G4694" s="114" t="b">
        <v>1</v>
      </c>
      <c r="H4694" s="114" t="b">
        <v>0</v>
      </c>
      <c r="I4694" s="232" t="s">
        <v>58</v>
      </c>
      <c r="J4694" s="232" t="s">
        <v>200</v>
      </c>
      <c r="K4694" s="232" t="b">
        <v>0</v>
      </c>
      <c r="L4694" s="114" t="b">
        <v>0</v>
      </c>
      <c r="R4694" s="295"/>
      <c r="S4694" s="295"/>
      <c r="T4694" s="295"/>
    </row>
    <row r="4695" spans="2:20" hidden="1" outlineLevel="2">
      <c r="B4695" s="2" t="s">
        <v>833</v>
      </c>
      <c r="D4695" s="232" t="s">
        <v>77</v>
      </c>
      <c r="E4695" s="232" t="b">
        <v>0</v>
      </c>
      <c r="F4695" s="232" t="b">
        <v>1</v>
      </c>
      <c r="G4695" s="232" t="b">
        <v>1</v>
      </c>
      <c r="H4695" s="232" t="b">
        <v>0</v>
      </c>
      <c r="I4695" s="232" t="s">
        <v>58</v>
      </c>
      <c r="J4695" s="232" t="s">
        <v>58</v>
      </c>
      <c r="K4695" s="232" t="b">
        <v>0</v>
      </c>
      <c r="L4695" s="232" t="b">
        <v>1</v>
      </c>
      <c r="R4695" s="295"/>
      <c r="S4695" s="295"/>
      <c r="T4695" s="295"/>
    </row>
    <row r="4696" spans="2:20" hidden="1" outlineLevel="2">
      <c r="B4696" s="2" t="s">
        <v>833</v>
      </c>
      <c r="D4696" s="114" t="s">
        <v>78</v>
      </c>
      <c r="E4696" s="114" t="b">
        <v>0</v>
      </c>
      <c r="F4696" s="114" t="b">
        <v>1</v>
      </c>
      <c r="G4696" s="114" t="b">
        <v>1</v>
      </c>
      <c r="H4696" s="114" t="b">
        <v>0</v>
      </c>
      <c r="I4696" s="232" t="s">
        <v>58</v>
      </c>
      <c r="J4696" s="232" t="s">
        <v>58</v>
      </c>
      <c r="K4696" s="232" t="b">
        <v>0</v>
      </c>
      <c r="L4696" s="114" t="b">
        <v>1</v>
      </c>
      <c r="R4696" s="295"/>
      <c r="S4696" s="295"/>
      <c r="T4696" s="295"/>
    </row>
    <row r="4697" spans="2:20" hidden="1" outlineLevel="2">
      <c r="B4697" s="2" t="s">
        <v>833</v>
      </c>
      <c r="D4697" s="232" t="s">
        <v>79</v>
      </c>
      <c r="E4697" s="232" t="b">
        <v>1</v>
      </c>
      <c r="F4697" s="232" t="b">
        <v>0</v>
      </c>
      <c r="G4697" s="232"/>
      <c r="H4697" s="232" t="b">
        <v>0</v>
      </c>
      <c r="K4697" s="232" t="b">
        <v>0</v>
      </c>
      <c r="L4697" s="232" t="b">
        <v>0</v>
      </c>
      <c r="R4697" s="295"/>
      <c r="S4697" s="295"/>
      <c r="T4697" s="295"/>
    </row>
    <row r="4698" spans="2:20" hidden="1" outlineLevel="2">
      <c r="B4698" s="2" t="s">
        <v>833</v>
      </c>
      <c r="D4698" s="114" t="s">
        <v>80</v>
      </c>
      <c r="E4698" s="114" t="b">
        <v>1</v>
      </c>
      <c r="F4698" s="114" t="b">
        <v>0</v>
      </c>
      <c r="G4698" s="114"/>
      <c r="H4698" s="114" t="b">
        <v>0</v>
      </c>
      <c r="K4698" s="114"/>
      <c r="L4698" s="114" t="b">
        <v>0</v>
      </c>
      <c r="R4698" s="295"/>
      <c r="S4698" s="295"/>
      <c r="T4698" s="295"/>
    </row>
    <row r="4699" spans="2:20" hidden="1" outlineLevel="2">
      <c r="B4699" s="2" t="s">
        <v>833</v>
      </c>
      <c r="D4699" s="232" t="s">
        <v>81</v>
      </c>
      <c r="E4699" s="232" t="b">
        <v>1</v>
      </c>
      <c r="F4699" s="232" t="b">
        <v>0</v>
      </c>
      <c r="G4699" s="232" t="b">
        <v>1</v>
      </c>
      <c r="H4699" s="232" t="b">
        <v>0</v>
      </c>
      <c r="K4699" s="232"/>
      <c r="L4699" s="232" t="b">
        <v>0</v>
      </c>
      <c r="R4699" s="295"/>
      <c r="S4699" s="295"/>
      <c r="T4699" s="295"/>
    </row>
    <row r="4700" spans="2:20" hidden="1" outlineLevel="2">
      <c r="B4700" s="2" t="s">
        <v>833</v>
      </c>
      <c r="D4700" s="114" t="s">
        <v>58</v>
      </c>
      <c r="E4700" s="114" t="b">
        <v>1</v>
      </c>
      <c r="F4700" s="114" t="b">
        <v>0</v>
      </c>
      <c r="G4700" s="114"/>
      <c r="H4700" s="114" t="b">
        <v>0</v>
      </c>
      <c r="K4700" s="232"/>
      <c r="L4700" s="114" t="b">
        <v>0</v>
      </c>
      <c r="R4700" s="295"/>
      <c r="S4700" s="295"/>
      <c r="T4700" s="295"/>
    </row>
    <row r="4701" spans="2:20" hidden="1" outlineLevel="2">
      <c r="B4701" s="2" t="s">
        <v>833</v>
      </c>
      <c r="R4701" s="295"/>
      <c r="S4701" s="295"/>
      <c r="T4701" s="295"/>
    </row>
    <row r="4702" spans="2:20" hidden="1" outlineLevel="1" collapsed="1">
      <c r="B4702" s="2" t="s">
        <v>833</v>
      </c>
      <c r="C4702" s="137" t="s">
        <v>4781</v>
      </c>
      <c r="D4702" s="226" t="s">
        <v>4661</v>
      </c>
      <c r="E4702" s="226" t="s">
        <v>4662</v>
      </c>
      <c r="F4702" s="239" t="s">
        <v>4663</v>
      </c>
      <c r="G4702" s="239" t="s">
        <v>4779</v>
      </c>
      <c r="H4702" s="239" t="s">
        <v>8664</v>
      </c>
      <c r="I4702" s="239" t="s">
        <v>8800</v>
      </c>
      <c r="J4702" s="239" t="s">
        <v>8801</v>
      </c>
      <c r="K4702" s="239" t="s">
        <v>8805</v>
      </c>
      <c r="L4702" s="239" t="s">
        <v>8806</v>
      </c>
      <c r="M4702" s="239" t="s">
        <v>8809</v>
      </c>
    </row>
    <row r="4703" spans="2:20" hidden="1" outlineLevel="2">
      <c r="B4703" s="2" t="s">
        <v>833</v>
      </c>
      <c r="D4703" s="138" t="s">
        <v>4665</v>
      </c>
      <c r="E4703" s="138" t="s">
        <v>4666</v>
      </c>
      <c r="F4703" s="138" t="s">
        <v>4667</v>
      </c>
      <c r="G4703" s="138"/>
      <c r="H4703" s="138"/>
      <c r="I4703" s="138"/>
      <c r="J4703" s="138"/>
      <c r="K4703" s="138"/>
      <c r="L4703" s="138"/>
      <c r="M4703" s="138"/>
    </row>
    <row r="4704" spans="2:20" hidden="1" outlineLevel="2">
      <c r="B4704" s="2" t="s">
        <v>833</v>
      </c>
      <c r="C4704" s="105" t="s">
        <v>8795</v>
      </c>
      <c r="D4704" s="111" t="s">
        <v>58</v>
      </c>
      <c r="E4704" s="111" t="s">
        <v>620</v>
      </c>
      <c r="F4704" s="112" t="b">
        <v>0</v>
      </c>
      <c r="G4704" s="112" t="b">
        <v>0</v>
      </c>
      <c r="H4704" s="232" t="b">
        <v>0</v>
      </c>
      <c r="I4704" s="112" t="b">
        <v>0</v>
      </c>
      <c r="J4704" s="114" t="b">
        <v>1</v>
      </c>
      <c r="K4704" s="232" t="s">
        <v>8808</v>
      </c>
      <c r="L4704" s="232" t="s">
        <v>58</v>
      </c>
      <c r="M4704" s="112" t="b">
        <v>0</v>
      </c>
    </row>
    <row r="4705" spans="2:20" hidden="1" outlineLevel="2">
      <c r="B4705" s="2" t="s">
        <v>833</v>
      </c>
      <c r="D4705" s="113" t="s">
        <v>58</v>
      </c>
      <c r="E4705" s="113" t="s">
        <v>4669</v>
      </c>
      <c r="F4705" s="114" t="b">
        <v>1</v>
      </c>
      <c r="G4705" s="114" t="b">
        <v>0</v>
      </c>
      <c r="H4705" s="114" t="b">
        <v>0</v>
      </c>
      <c r="I4705" s="114" t="b">
        <v>1</v>
      </c>
      <c r="J4705" s="114" t="b">
        <v>1</v>
      </c>
      <c r="K4705" s="232" t="s">
        <v>8808</v>
      </c>
      <c r="L4705" s="232" t="s">
        <v>58</v>
      </c>
      <c r="M4705" s="112" t="b">
        <v>0</v>
      </c>
    </row>
    <row r="4706" spans="2:20" hidden="1" outlineLevel="2">
      <c r="B4706" s="2" t="s">
        <v>833</v>
      </c>
      <c r="D4706" s="111" t="s">
        <v>58</v>
      </c>
      <c r="E4706" s="111" t="s">
        <v>4670</v>
      </c>
      <c r="F4706" s="112" t="b">
        <v>1</v>
      </c>
      <c r="G4706" s="112" t="b">
        <v>0</v>
      </c>
      <c r="H4706" s="232" t="b">
        <v>0</v>
      </c>
      <c r="I4706" s="112" t="b">
        <v>1</v>
      </c>
      <c r="J4706" s="114" t="b">
        <v>1</v>
      </c>
      <c r="K4706" s="232" t="s">
        <v>8808</v>
      </c>
      <c r="L4706" s="232" t="s">
        <v>58</v>
      </c>
      <c r="M4706" s="112" t="b">
        <v>1</v>
      </c>
    </row>
    <row r="4707" spans="2:20" hidden="1" outlineLevel="2">
      <c r="B4707" s="2" t="s">
        <v>833</v>
      </c>
      <c r="D4707" s="113" t="s">
        <v>58</v>
      </c>
      <c r="E4707" s="113" t="s">
        <v>4671</v>
      </c>
      <c r="F4707" s="114" t="b">
        <v>0</v>
      </c>
      <c r="G4707" s="114" t="b">
        <v>0</v>
      </c>
      <c r="H4707" s="114" t="b">
        <v>0</v>
      </c>
      <c r="I4707" s="114" t="b">
        <v>0</v>
      </c>
      <c r="J4707" s="114" t="b">
        <v>1</v>
      </c>
      <c r="K4707" s="232" t="s">
        <v>8808</v>
      </c>
      <c r="L4707" s="232" t="s">
        <v>58</v>
      </c>
      <c r="M4707" s="114" t="b">
        <v>0</v>
      </c>
    </row>
    <row r="4708" spans="2:20" hidden="1" outlineLevel="2">
      <c r="B4708" s="2" t="s">
        <v>833</v>
      </c>
      <c r="D4708" s="111" t="s">
        <v>79</v>
      </c>
      <c r="E4708" s="111" t="s">
        <v>4672</v>
      </c>
      <c r="F4708" s="112" t="b">
        <v>0</v>
      </c>
      <c r="G4708" s="112" t="b">
        <v>0</v>
      </c>
      <c r="H4708" s="232" t="b">
        <v>0</v>
      </c>
      <c r="I4708" s="112" t="b">
        <v>0</v>
      </c>
      <c r="J4708" s="114" t="b">
        <v>1</v>
      </c>
      <c r="K4708" s="232" t="s">
        <v>8808</v>
      </c>
      <c r="L4708" s="232" t="s">
        <v>8807</v>
      </c>
      <c r="M4708" s="112" t="b">
        <v>0</v>
      </c>
    </row>
    <row r="4709" spans="2:20" hidden="1" outlineLevel="2">
      <c r="B4709" s="2" t="s">
        <v>833</v>
      </c>
      <c r="D4709" s="113" t="s">
        <v>79</v>
      </c>
      <c r="E4709" s="113" t="s">
        <v>4673</v>
      </c>
      <c r="F4709" s="114" t="b">
        <v>0</v>
      </c>
      <c r="G4709" s="114" t="b">
        <v>0</v>
      </c>
      <c r="H4709" s="114" t="b">
        <v>0</v>
      </c>
      <c r="I4709" s="114" t="b">
        <v>0</v>
      </c>
      <c r="J4709" s="114" t="b">
        <v>1</v>
      </c>
      <c r="K4709" s="232" t="s">
        <v>8808</v>
      </c>
      <c r="L4709" s="232" t="s">
        <v>8807</v>
      </c>
      <c r="M4709" s="114" t="b">
        <v>0</v>
      </c>
    </row>
    <row r="4710" spans="2:20" hidden="1" outlineLevel="2">
      <c r="B4710" s="2" t="s">
        <v>833</v>
      </c>
      <c r="D4710" s="111" t="s">
        <v>79</v>
      </c>
      <c r="E4710" s="111" t="s">
        <v>4674</v>
      </c>
      <c r="F4710" s="112" t="b">
        <v>0</v>
      </c>
      <c r="G4710" s="112" t="b">
        <v>0</v>
      </c>
      <c r="H4710" s="232" t="b">
        <v>0</v>
      </c>
      <c r="I4710" s="112" t="b">
        <v>0</v>
      </c>
      <c r="J4710" s="114" t="b">
        <v>1</v>
      </c>
      <c r="K4710" s="232" t="s">
        <v>8808</v>
      </c>
      <c r="L4710" s="232" t="s">
        <v>8807</v>
      </c>
      <c r="M4710" s="112" t="b">
        <v>0</v>
      </c>
    </row>
    <row r="4711" spans="2:20" hidden="1" outlineLevel="2">
      <c r="B4711" s="2" t="s">
        <v>833</v>
      </c>
      <c r="D4711" s="113" t="s">
        <v>79</v>
      </c>
      <c r="E4711" s="113" t="s">
        <v>4675</v>
      </c>
      <c r="F4711" s="114" t="b">
        <v>0</v>
      </c>
      <c r="G4711" s="114" t="b">
        <v>0</v>
      </c>
      <c r="H4711" s="114" t="b">
        <v>0</v>
      </c>
      <c r="I4711" s="114" t="b">
        <v>0</v>
      </c>
      <c r="J4711" s="114" t="b">
        <v>1</v>
      </c>
      <c r="K4711" s="232" t="s">
        <v>8808</v>
      </c>
      <c r="L4711" s="232" t="s">
        <v>8807</v>
      </c>
      <c r="M4711" s="114" t="b">
        <v>0</v>
      </c>
    </row>
    <row r="4712" spans="2:20" hidden="1" outlineLevel="2">
      <c r="B4712" s="2" t="s">
        <v>833</v>
      </c>
      <c r="D4712" s="111" t="s">
        <v>79</v>
      </c>
      <c r="E4712" s="111" t="s">
        <v>4676</v>
      </c>
      <c r="F4712" s="112" t="b">
        <v>0</v>
      </c>
      <c r="G4712" s="112" t="b">
        <v>0</v>
      </c>
      <c r="H4712" s="232" t="b">
        <v>0</v>
      </c>
      <c r="I4712" s="112" t="b">
        <v>0</v>
      </c>
      <c r="J4712" s="114" t="b">
        <v>1</v>
      </c>
      <c r="K4712" s="232" t="s">
        <v>8808</v>
      </c>
      <c r="L4712" s="232" t="s">
        <v>8807</v>
      </c>
      <c r="M4712" s="112" t="b">
        <v>0</v>
      </c>
    </row>
    <row r="4713" spans="2:20" hidden="1" outlineLevel="2">
      <c r="B4713" s="2" t="s">
        <v>833</v>
      </c>
      <c r="D4713" s="113" t="s">
        <v>79</v>
      </c>
      <c r="E4713" s="113" t="s">
        <v>4677</v>
      </c>
      <c r="F4713" s="114" t="b">
        <v>0</v>
      </c>
      <c r="G4713" s="114" t="b">
        <v>0</v>
      </c>
      <c r="H4713" s="114" t="b">
        <v>0</v>
      </c>
      <c r="I4713" s="114" t="b">
        <v>0</v>
      </c>
      <c r="J4713" s="686" t="b">
        <v>0</v>
      </c>
      <c r="K4713" s="232" t="s">
        <v>8808</v>
      </c>
      <c r="L4713" s="232" t="s">
        <v>8807</v>
      </c>
      <c r="M4713" s="114" t="b">
        <v>0</v>
      </c>
    </row>
    <row r="4714" spans="2:20" hidden="1" outlineLevel="2">
      <c r="B4714" s="2" t="s">
        <v>833</v>
      </c>
      <c r="D4714" s="111" t="s">
        <v>79</v>
      </c>
      <c r="E4714" s="111" t="s">
        <v>4678</v>
      </c>
      <c r="F4714" s="112" t="b">
        <v>0</v>
      </c>
      <c r="G4714" s="112" t="b">
        <v>0</v>
      </c>
      <c r="H4714" s="232" t="b">
        <v>0</v>
      </c>
      <c r="I4714" s="112" t="b">
        <v>0</v>
      </c>
      <c r="J4714" s="114" t="b">
        <v>1</v>
      </c>
      <c r="K4714" s="232" t="s">
        <v>8808</v>
      </c>
      <c r="L4714" s="232" t="s">
        <v>8807</v>
      </c>
      <c r="M4714" s="112" t="b">
        <v>0</v>
      </c>
    </row>
    <row r="4715" spans="2:20" hidden="1" outlineLevel="2">
      <c r="B4715" s="2" t="s">
        <v>833</v>
      </c>
      <c r="D4715" s="113" t="s">
        <v>79</v>
      </c>
      <c r="E4715" s="113" t="s">
        <v>4679</v>
      </c>
      <c r="F4715" s="114" t="b">
        <v>1</v>
      </c>
      <c r="G4715" s="114" t="b">
        <v>0</v>
      </c>
      <c r="H4715" s="114" t="b">
        <v>0</v>
      </c>
      <c r="I4715" s="686" t="b">
        <v>0</v>
      </c>
      <c r="J4715" s="686" t="b">
        <v>0</v>
      </c>
      <c r="K4715" s="232" t="s">
        <v>8808</v>
      </c>
      <c r="L4715" s="232" t="s">
        <v>8807</v>
      </c>
      <c r="M4715" s="686" t="b">
        <v>0</v>
      </c>
    </row>
    <row r="4716" spans="2:20" hidden="1" outlineLevel="2">
      <c r="B4716" s="2" t="s">
        <v>833</v>
      </c>
      <c r="D4716" s="111" t="s">
        <v>79</v>
      </c>
      <c r="E4716" s="111" t="s">
        <v>4680</v>
      </c>
      <c r="F4716" s="112" t="b">
        <v>1</v>
      </c>
      <c r="G4716" s="112" t="b">
        <v>0</v>
      </c>
      <c r="H4716" s="232" t="b">
        <v>0</v>
      </c>
      <c r="I4716" s="686" t="b">
        <v>0</v>
      </c>
      <c r="J4716" s="686" t="b">
        <v>0</v>
      </c>
      <c r="K4716" s="232" t="s">
        <v>8808</v>
      </c>
      <c r="L4716" s="232" t="s">
        <v>8807</v>
      </c>
      <c r="M4716" s="686" t="b">
        <v>0</v>
      </c>
    </row>
    <row r="4717" spans="2:20" hidden="1" outlineLevel="2">
      <c r="B4717" s="2" t="s">
        <v>833</v>
      </c>
      <c r="D4717" s="113" t="s">
        <v>79</v>
      </c>
      <c r="E4717" s="113" t="s">
        <v>4681</v>
      </c>
      <c r="F4717" s="114" t="b">
        <v>1</v>
      </c>
      <c r="G4717" s="114" t="b">
        <v>0</v>
      </c>
      <c r="H4717" s="114" t="b">
        <v>0</v>
      </c>
      <c r="I4717" s="686" t="b">
        <v>0</v>
      </c>
      <c r="J4717" s="686" t="b">
        <v>0</v>
      </c>
      <c r="K4717" s="232" t="s">
        <v>8808</v>
      </c>
      <c r="L4717" s="232" t="s">
        <v>8807</v>
      </c>
      <c r="M4717" s="686" t="b">
        <v>0</v>
      </c>
    </row>
    <row r="4718" spans="2:20" hidden="1" outlineLevel="2">
      <c r="B4718" s="2" t="s">
        <v>833</v>
      </c>
      <c r="D4718" s="111" t="s">
        <v>80</v>
      </c>
      <c r="E4718" s="111" t="s">
        <v>51</v>
      </c>
      <c r="F4718" s="112" t="b">
        <v>1</v>
      </c>
      <c r="G4718" s="112" t="b">
        <v>0</v>
      </c>
      <c r="H4718" s="232" t="b">
        <v>0</v>
      </c>
      <c r="I4718" s="112" t="b">
        <v>1</v>
      </c>
      <c r="J4718" s="114" t="b">
        <v>1</v>
      </c>
      <c r="K4718" s="232" t="s">
        <v>8808</v>
      </c>
      <c r="L4718" s="232" t="s">
        <v>58</v>
      </c>
      <c r="M4718" s="112" t="b">
        <v>1</v>
      </c>
    </row>
    <row r="4719" spans="2:20" hidden="1" outlineLevel="2">
      <c r="B4719" s="2" t="s">
        <v>833</v>
      </c>
      <c r="D4719" s="113" t="s">
        <v>80</v>
      </c>
      <c r="E4719" s="113" t="s">
        <v>59</v>
      </c>
      <c r="F4719" s="114" t="b">
        <v>0</v>
      </c>
      <c r="G4719" s="114" t="b">
        <v>0</v>
      </c>
      <c r="H4719" s="114" t="b">
        <v>0</v>
      </c>
      <c r="I4719" s="114" t="b">
        <v>0</v>
      </c>
      <c r="J4719" s="114" t="b">
        <v>1</v>
      </c>
      <c r="K4719" s="232" t="s">
        <v>8808</v>
      </c>
      <c r="L4719" s="232" t="s">
        <v>58</v>
      </c>
      <c r="M4719" s="114" t="b">
        <v>0</v>
      </c>
    </row>
    <row r="4720" spans="2:20" hidden="1" outlineLevel="2">
      <c r="B4720" s="2" t="s">
        <v>833</v>
      </c>
      <c r="D4720" s="111" t="s">
        <v>81</v>
      </c>
      <c r="E4720" s="232" t="s">
        <v>4782</v>
      </c>
      <c r="F4720" s="232" t="b">
        <v>1</v>
      </c>
      <c r="G4720" s="112" t="b">
        <v>0</v>
      </c>
      <c r="H4720" s="232" t="b">
        <v>0</v>
      </c>
      <c r="I4720" s="232" t="b">
        <v>1</v>
      </c>
      <c r="J4720" s="114" t="b">
        <v>1</v>
      </c>
      <c r="K4720" s="232" t="s">
        <v>58</v>
      </c>
      <c r="L4720" s="232" t="s">
        <v>58</v>
      </c>
      <c r="M4720" s="232" t="b">
        <v>1</v>
      </c>
      <c r="S4720" s="295"/>
      <c r="T4720" s="295"/>
    </row>
    <row r="4721" spans="2:20" hidden="1" outlineLevel="2">
      <c r="B4721" s="2" t="s">
        <v>833</v>
      </c>
      <c r="D4721" s="113" t="s">
        <v>81</v>
      </c>
      <c r="E4721" s="114" t="s">
        <v>4783</v>
      </c>
      <c r="F4721" s="114" t="b">
        <v>1</v>
      </c>
      <c r="G4721" s="114" t="b">
        <v>0</v>
      </c>
      <c r="H4721" s="114" t="b">
        <v>0</v>
      </c>
      <c r="I4721" s="114" t="b">
        <v>1</v>
      </c>
      <c r="J4721" s="114" t="b">
        <v>1</v>
      </c>
      <c r="K4721" s="232" t="s">
        <v>58</v>
      </c>
      <c r="L4721" s="232" t="s">
        <v>58</v>
      </c>
      <c r="M4721" s="114" t="b">
        <v>1</v>
      </c>
      <c r="S4721" s="295"/>
      <c r="T4721" s="295"/>
    </row>
    <row r="4722" spans="2:20" hidden="1" outlineLevel="2">
      <c r="B4722" s="2" t="s">
        <v>833</v>
      </c>
      <c r="D4722" s="111" t="s">
        <v>81</v>
      </c>
      <c r="E4722" s="232" t="s">
        <v>4784</v>
      </c>
      <c r="F4722" s="232" t="b">
        <v>1</v>
      </c>
      <c r="G4722" s="112" t="b">
        <v>0</v>
      </c>
      <c r="H4722" s="232" t="b">
        <v>0</v>
      </c>
      <c r="I4722" s="232" t="b">
        <v>1</v>
      </c>
      <c r="J4722" s="686" t="b">
        <v>0</v>
      </c>
      <c r="K4722" s="232" t="s">
        <v>58</v>
      </c>
      <c r="L4722" s="232" t="s">
        <v>58</v>
      </c>
      <c r="M4722" s="232" t="b">
        <v>1</v>
      </c>
      <c r="S4722" s="295"/>
      <c r="T4722" s="295"/>
    </row>
    <row r="4723" spans="2:20" hidden="1" outlineLevel="2">
      <c r="B4723" s="2" t="s">
        <v>833</v>
      </c>
      <c r="D4723" s="113" t="s">
        <v>81</v>
      </c>
      <c r="E4723" s="114" t="s">
        <v>4785</v>
      </c>
      <c r="F4723" s="114" t="b">
        <v>0</v>
      </c>
      <c r="G4723" s="114" t="b">
        <v>0</v>
      </c>
      <c r="H4723" s="114" t="b">
        <v>0</v>
      </c>
      <c r="I4723" s="114" t="b">
        <v>0</v>
      </c>
      <c r="J4723" s="686" t="b">
        <v>0</v>
      </c>
      <c r="K4723" s="232" t="s">
        <v>58</v>
      </c>
      <c r="L4723" s="232" t="s">
        <v>58</v>
      </c>
      <c r="M4723" s="114" t="b">
        <v>0</v>
      </c>
      <c r="S4723" s="295"/>
      <c r="T4723" s="295"/>
    </row>
    <row r="4724" spans="2:20" hidden="1" outlineLevel="2">
      <c r="B4724" s="2" t="s">
        <v>833</v>
      </c>
      <c r="D4724" s="111" t="s">
        <v>81</v>
      </c>
      <c r="E4724" s="232" t="s">
        <v>75</v>
      </c>
      <c r="F4724" s="232" t="b">
        <v>1</v>
      </c>
      <c r="G4724" s="112" t="b">
        <v>0</v>
      </c>
      <c r="H4724" s="232" t="b">
        <v>1</v>
      </c>
      <c r="I4724" s="112" t="b">
        <v>0</v>
      </c>
      <c r="J4724" s="114" t="b">
        <v>1</v>
      </c>
      <c r="K4724" s="232" t="s">
        <v>58</v>
      </c>
      <c r="L4724" s="232" t="s">
        <v>200</v>
      </c>
      <c r="M4724" s="112" t="b">
        <v>0</v>
      </c>
      <c r="S4724" s="295"/>
      <c r="T4724" s="295"/>
    </row>
    <row r="4725" spans="2:20" hidden="1" outlineLevel="2">
      <c r="B4725" s="2" t="s">
        <v>833</v>
      </c>
      <c r="D4725" s="111" t="s">
        <v>81</v>
      </c>
      <c r="E4725" s="232" t="s">
        <v>4780</v>
      </c>
      <c r="F4725" s="232" t="b">
        <v>1</v>
      </c>
      <c r="G4725" s="112" t="b">
        <v>0</v>
      </c>
      <c r="H4725" s="232" t="b">
        <v>1</v>
      </c>
      <c r="I4725" s="112" t="b">
        <v>0</v>
      </c>
      <c r="J4725" s="114" t="b">
        <v>1</v>
      </c>
      <c r="K4725" s="232" t="s">
        <v>58</v>
      </c>
      <c r="L4725" s="232" t="s">
        <v>200</v>
      </c>
      <c r="M4725" s="112" t="b">
        <v>0</v>
      </c>
      <c r="S4725" s="295"/>
      <c r="T4725" s="295"/>
    </row>
    <row r="4726" spans="2:20" hidden="1" outlineLevel="2">
      <c r="B4726" s="2" t="s">
        <v>833</v>
      </c>
      <c r="D4726" s="113" t="s">
        <v>81</v>
      </c>
      <c r="E4726" s="114" t="s">
        <v>76</v>
      </c>
      <c r="F4726" s="114" t="b">
        <v>1</v>
      </c>
      <c r="G4726" s="114" t="b">
        <v>0</v>
      </c>
      <c r="H4726" s="114" t="b">
        <v>0</v>
      </c>
      <c r="I4726" s="112" t="b">
        <v>0</v>
      </c>
      <c r="J4726" s="114" t="b">
        <v>1</v>
      </c>
      <c r="K4726" s="232" t="s">
        <v>58</v>
      </c>
      <c r="L4726" s="232" t="s">
        <v>200</v>
      </c>
      <c r="M4726" s="112" t="b">
        <v>0</v>
      </c>
      <c r="S4726" s="295"/>
      <c r="T4726" s="295"/>
    </row>
    <row r="4727" spans="2:20" hidden="1" outlineLevel="2">
      <c r="B4727" s="2" t="s">
        <v>833</v>
      </c>
      <c r="D4727" s="111" t="s">
        <v>81</v>
      </c>
      <c r="E4727" s="232" t="s">
        <v>77</v>
      </c>
      <c r="F4727" s="232" t="b">
        <v>1</v>
      </c>
      <c r="G4727" s="112" t="b">
        <v>1</v>
      </c>
      <c r="H4727" s="232" t="b">
        <v>0</v>
      </c>
      <c r="I4727" s="232" t="b">
        <v>1</v>
      </c>
      <c r="J4727" s="114" t="b">
        <v>1</v>
      </c>
      <c r="K4727" s="232" t="s">
        <v>58</v>
      </c>
      <c r="L4727" s="232" t="s">
        <v>58</v>
      </c>
      <c r="M4727" s="112" t="b">
        <v>0</v>
      </c>
      <c r="S4727" s="295"/>
      <c r="T4727" s="295"/>
    </row>
    <row r="4728" spans="2:20" hidden="1" outlineLevel="2">
      <c r="B4728" s="2" t="s">
        <v>833</v>
      </c>
      <c r="D4728" s="113" t="s">
        <v>81</v>
      </c>
      <c r="E4728" s="114" t="s">
        <v>78</v>
      </c>
      <c r="F4728" s="114" t="b">
        <v>1</v>
      </c>
      <c r="G4728" s="114" t="b">
        <v>1</v>
      </c>
      <c r="H4728" s="114" t="b">
        <v>0</v>
      </c>
      <c r="I4728" s="114" t="b">
        <v>1</v>
      </c>
      <c r="J4728" s="114" t="b">
        <v>1</v>
      </c>
      <c r="K4728" s="232" t="s">
        <v>58</v>
      </c>
      <c r="L4728" s="232" t="s">
        <v>58</v>
      </c>
      <c r="M4728" s="112" t="b">
        <v>0</v>
      </c>
      <c r="R4728" s="295"/>
      <c r="S4728" s="295"/>
      <c r="T4728" s="295"/>
    </row>
    <row r="4729" spans="2:20" hidden="1" outlineLevel="2">
      <c r="B4729" s="2" t="s">
        <v>833</v>
      </c>
      <c r="D4729" s="111" t="s">
        <v>81</v>
      </c>
      <c r="E4729" s="232" t="s">
        <v>4786</v>
      </c>
      <c r="F4729" s="232" t="b">
        <v>1</v>
      </c>
      <c r="G4729" s="112" t="b">
        <v>0</v>
      </c>
      <c r="H4729" s="232" t="b">
        <v>0</v>
      </c>
      <c r="I4729" s="232" t="b">
        <v>1</v>
      </c>
      <c r="J4729" s="114" t="b">
        <v>1</v>
      </c>
      <c r="K4729" s="232" t="s">
        <v>58</v>
      </c>
      <c r="L4729" s="232" t="s">
        <v>58</v>
      </c>
      <c r="M4729" s="232" t="b">
        <v>1</v>
      </c>
      <c r="R4729" s="295"/>
      <c r="S4729" s="295"/>
      <c r="T4729" s="295"/>
    </row>
    <row r="4730" spans="2:20" hidden="1" outlineLevel="2">
      <c r="B4730" s="2" t="s">
        <v>833</v>
      </c>
      <c r="C4730" s="105" t="s">
        <v>8796</v>
      </c>
      <c r="D4730" s="113" t="s">
        <v>81</v>
      </c>
      <c r="E4730" s="114" t="s">
        <v>4787</v>
      </c>
      <c r="F4730" s="114" t="b">
        <v>0</v>
      </c>
      <c r="G4730" s="114" t="b">
        <v>0</v>
      </c>
      <c r="H4730" s="114" t="b">
        <v>0</v>
      </c>
      <c r="I4730" s="114" t="b">
        <v>0</v>
      </c>
      <c r="J4730" s="114" t="b">
        <v>1</v>
      </c>
      <c r="K4730" s="232" t="s">
        <v>58</v>
      </c>
      <c r="L4730" s="232" t="s">
        <v>58</v>
      </c>
      <c r="M4730" s="114" t="b">
        <v>0</v>
      </c>
      <c r="R4730" s="295"/>
      <c r="S4730" s="295"/>
      <c r="T4730" s="295"/>
    </row>
    <row r="4731" spans="2:20" hidden="1" outlineLevel="2">
      <c r="B4731" s="2" t="s">
        <v>833</v>
      </c>
      <c r="C4731" s="132"/>
    </row>
    <row r="4732" spans="2:20" hidden="1" outlineLevel="1" collapsed="1">
      <c r="B4732" s="2" t="s">
        <v>833</v>
      </c>
      <c r="C4732" s="137" t="s">
        <v>4788</v>
      </c>
      <c r="D4732" s="298" t="s">
        <v>4765</v>
      </c>
      <c r="E4732" s="239" t="s">
        <v>4663</v>
      </c>
    </row>
    <row r="4733" spans="2:20" hidden="1" outlineLevel="2">
      <c r="B4733" s="2" t="s">
        <v>833</v>
      </c>
      <c r="D4733" s="138"/>
      <c r="E4733" s="138"/>
    </row>
    <row r="4734" spans="2:20" hidden="1" outlineLevel="2">
      <c r="B4734" s="2" t="s">
        <v>833</v>
      </c>
      <c r="D4734" s="112" t="s">
        <v>811</v>
      </c>
      <c r="E4734" s="112" t="b">
        <v>1</v>
      </c>
      <c r="F4734" s="112" t="str">
        <f>""</f>
        <v/>
      </c>
      <c r="R4734" s="295"/>
      <c r="S4734" s="295"/>
      <c r="T4734" s="295"/>
    </row>
    <row r="4735" spans="2:20" hidden="1" outlineLevel="2">
      <c r="B4735" s="2" t="s">
        <v>833</v>
      </c>
      <c r="D4735" s="114" t="s">
        <v>7872</v>
      </c>
      <c r="E4735" s="114" t="b">
        <v>1</v>
      </c>
      <c r="F4735" s="112" t="str">
        <f>""</f>
        <v/>
      </c>
      <c r="R4735" s="295"/>
      <c r="S4735" s="295"/>
      <c r="T4735" s="295"/>
    </row>
    <row r="4736" spans="2:20" hidden="1" outlineLevel="2">
      <c r="B4736" s="2" t="s">
        <v>833</v>
      </c>
      <c r="D4736" s="112" t="s">
        <v>7873</v>
      </c>
      <c r="E4736" s="112" t="b">
        <v>1</v>
      </c>
      <c r="F4736" s="112" t="str">
        <f>""</f>
        <v/>
      </c>
      <c r="R4736" s="295"/>
      <c r="S4736" s="295"/>
      <c r="T4736" s="295"/>
    </row>
    <row r="4737" spans="2:20" hidden="1" outlineLevel="2">
      <c r="B4737" s="2" t="s">
        <v>833</v>
      </c>
      <c r="D4737" s="114" t="s">
        <v>812</v>
      </c>
      <c r="E4737" s="114" t="b">
        <v>1</v>
      </c>
      <c r="F4737" s="112" t="str">
        <f>""</f>
        <v/>
      </c>
      <c r="R4737" s="295"/>
      <c r="S4737" s="295"/>
      <c r="T4737" s="295"/>
    </row>
    <row r="4738" spans="2:20" hidden="1" outlineLevel="2">
      <c r="B4738" s="2" t="s">
        <v>833</v>
      </c>
      <c r="D4738" s="112" t="s">
        <v>813</v>
      </c>
      <c r="E4738" s="112" t="b">
        <v>1</v>
      </c>
      <c r="F4738" s="112" t="str">
        <f>""</f>
        <v/>
      </c>
      <c r="R4738" s="295"/>
      <c r="S4738" s="295"/>
      <c r="T4738" s="295"/>
    </row>
    <row r="4739" spans="2:20" hidden="1" outlineLevel="2">
      <c r="B4739" s="2" t="s">
        <v>833</v>
      </c>
      <c r="D4739" s="114" t="s">
        <v>814</v>
      </c>
      <c r="E4739" s="114" t="b">
        <v>1</v>
      </c>
      <c r="F4739" s="112" t="str">
        <f>""</f>
        <v/>
      </c>
      <c r="R4739" s="295"/>
      <c r="S4739" s="295"/>
      <c r="T4739" s="295"/>
    </row>
    <row r="4740" spans="2:20" hidden="1" outlineLevel="2">
      <c r="B4740" s="2" t="s">
        <v>833</v>
      </c>
      <c r="D4740" s="112" t="s">
        <v>813</v>
      </c>
      <c r="E4740" s="112" t="b">
        <v>1</v>
      </c>
      <c r="F4740" s="112" t="str">
        <f>""</f>
        <v/>
      </c>
      <c r="R4740" s="295"/>
      <c r="S4740" s="295"/>
      <c r="T4740" s="295"/>
    </row>
    <row r="4741" spans="2:20" hidden="1" outlineLevel="2">
      <c r="B4741" s="2" t="s">
        <v>833</v>
      </c>
      <c r="D4741" s="114" t="s">
        <v>4789</v>
      </c>
      <c r="E4741" s="114" t="b">
        <v>0</v>
      </c>
      <c r="F4741" s="112" t="str">
        <f>""</f>
        <v/>
      </c>
      <c r="R4741" s="295"/>
      <c r="S4741" s="295"/>
      <c r="T4741" s="295"/>
    </row>
    <row r="4742" spans="2:20" hidden="1" outlineLevel="2">
      <c r="D4742" s="114" t="s">
        <v>8973</v>
      </c>
      <c r="E4742" s="114" t="b">
        <v>1</v>
      </c>
      <c r="F4742" s="112" t="s">
        <v>51</v>
      </c>
      <c r="R4742" s="295"/>
      <c r="S4742" s="295"/>
      <c r="T4742" s="295"/>
    </row>
    <row r="4743" spans="2:20" hidden="1" outlineLevel="2">
      <c r="D4743" s="114" t="s">
        <v>8974</v>
      </c>
      <c r="E4743" s="114" t="b">
        <v>0</v>
      </c>
      <c r="F4743" s="114" t="s">
        <v>59</v>
      </c>
      <c r="R4743" s="295"/>
      <c r="S4743" s="295"/>
      <c r="T4743" s="295"/>
    </row>
    <row r="4744" spans="2:20" hidden="1" outlineLevel="2">
      <c r="B4744" s="2" t="s">
        <v>833</v>
      </c>
      <c r="D4744" s="112" t="s">
        <v>78</v>
      </c>
      <c r="E4744" s="112" t="b">
        <v>1</v>
      </c>
      <c r="F4744" s="112" t="str">
        <f>""</f>
        <v/>
      </c>
      <c r="R4744" s="295"/>
      <c r="S4744" s="295"/>
      <c r="T4744" s="295"/>
    </row>
    <row r="4745" spans="2:20" hidden="1" outlineLevel="2">
      <c r="B4745" s="2" t="s">
        <v>833</v>
      </c>
      <c r="D4745" s="114" t="s">
        <v>77</v>
      </c>
      <c r="E4745" s="114" t="b">
        <v>0</v>
      </c>
      <c r="F4745" s="112" t="str">
        <f>""</f>
        <v/>
      </c>
      <c r="R4745" s="295"/>
      <c r="S4745" s="295"/>
      <c r="T4745" s="295"/>
    </row>
    <row r="4746" spans="2:20" hidden="1" outlineLevel="2">
      <c r="B4746" s="2" t="s">
        <v>833</v>
      </c>
      <c r="D4746" s="112" t="s">
        <v>4790</v>
      </c>
      <c r="E4746" s="112" t="b">
        <v>0</v>
      </c>
      <c r="F4746" s="112" t="str">
        <f>""</f>
        <v/>
      </c>
      <c r="R4746" s="295"/>
      <c r="S4746" s="295"/>
      <c r="T4746" s="295"/>
    </row>
    <row r="4747" spans="2:20" hidden="1" outlineLevel="2">
      <c r="B4747" s="2" t="s">
        <v>833</v>
      </c>
      <c r="D4747" s="114" t="s">
        <v>4791</v>
      </c>
      <c r="E4747" s="114" t="b">
        <v>0</v>
      </c>
      <c r="F4747" s="112" t="str">
        <f>""</f>
        <v/>
      </c>
      <c r="R4747" s="295"/>
      <c r="S4747" s="295"/>
      <c r="T4747" s="295"/>
    </row>
    <row r="4748" spans="2:20" hidden="1" outlineLevel="2">
      <c r="B4748" s="2" t="s">
        <v>833</v>
      </c>
      <c r="D4748" s="112" t="s">
        <v>8985</v>
      </c>
      <c r="E4748" s="112" t="b">
        <v>1</v>
      </c>
      <c r="F4748" s="112" t="str">
        <f>""</f>
        <v/>
      </c>
      <c r="R4748" s="295"/>
      <c r="S4748" s="295"/>
      <c r="T4748" s="295"/>
    </row>
    <row r="4749" spans="2:20" hidden="1" outlineLevel="2">
      <c r="B4749" s="2" t="s">
        <v>833</v>
      </c>
      <c r="D4749" s="114" t="s">
        <v>4792</v>
      </c>
      <c r="E4749" s="114" t="b">
        <v>1</v>
      </c>
      <c r="F4749" s="112" t="str">
        <f>""</f>
        <v/>
      </c>
      <c r="R4749" s="295"/>
      <c r="S4749" s="295"/>
      <c r="T4749" s="295"/>
    </row>
    <row r="4750" spans="2:20" hidden="1" outlineLevel="2">
      <c r="B4750" s="2" t="s">
        <v>833</v>
      </c>
      <c r="D4750" s="112" t="s">
        <v>4793</v>
      </c>
      <c r="E4750" s="112" t="b">
        <v>1</v>
      </c>
      <c r="F4750" s="112" t="str">
        <f>""</f>
        <v/>
      </c>
      <c r="R4750" s="295"/>
      <c r="S4750" s="295"/>
      <c r="T4750" s="295"/>
    </row>
    <row r="4751" spans="2:20" hidden="1" outlineLevel="2">
      <c r="B4751" s="2" t="s">
        <v>833</v>
      </c>
      <c r="D4751" s="114" t="s">
        <v>8967</v>
      </c>
      <c r="E4751" s="114" t="b">
        <v>1</v>
      </c>
      <c r="F4751" s="112" t="str">
        <f>""</f>
        <v/>
      </c>
      <c r="R4751" s="295"/>
      <c r="S4751" s="295"/>
      <c r="T4751" s="295"/>
    </row>
    <row r="4752" spans="2:20" hidden="1" outlineLevel="2">
      <c r="B4752" s="2" t="s">
        <v>833</v>
      </c>
      <c r="D4752" s="114" t="s">
        <v>8978</v>
      </c>
      <c r="E4752" s="114" t="b">
        <v>0</v>
      </c>
      <c r="F4752" s="112" t="str">
        <f>""</f>
        <v/>
      </c>
      <c r="R4752" s="295"/>
      <c r="S4752" s="295"/>
      <c r="T4752" s="295"/>
    </row>
    <row r="4753" spans="2:20" hidden="1" outlineLevel="2">
      <c r="B4753" s="2" t="s">
        <v>833</v>
      </c>
      <c r="D4753" s="112" t="s">
        <v>8966</v>
      </c>
      <c r="E4753" s="112" t="b">
        <v>1</v>
      </c>
      <c r="F4753" s="112" t="str">
        <f>""</f>
        <v/>
      </c>
      <c r="R4753" s="295"/>
      <c r="S4753" s="295"/>
      <c r="T4753" s="295"/>
    </row>
    <row r="4754" spans="2:20" hidden="1" outlineLevel="2">
      <c r="B4754" s="2" t="s">
        <v>833</v>
      </c>
      <c r="D4754" s="114" t="s">
        <v>8964</v>
      </c>
      <c r="E4754" s="114" t="b">
        <v>0</v>
      </c>
      <c r="F4754" s="112" t="str">
        <f>""</f>
        <v/>
      </c>
      <c r="R4754" s="295"/>
      <c r="S4754" s="295"/>
      <c r="T4754" s="295"/>
    </row>
    <row r="4755" spans="2:20" hidden="1" outlineLevel="2">
      <c r="B4755" s="2" t="s">
        <v>833</v>
      </c>
      <c r="D4755" s="112" t="s">
        <v>8965</v>
      </c>
      <c r="E4755" s="112" t="b">
        <v>1</v>
      </c>
      <c r="F4755" s="112" t="str">
        <f>""</f>
        <v/>
      </c>
      <c r="R4755" s="295"/>
      <c r="S4755" s="295"/>
      <c r="T4755" s="295"/>
    </row>
    <row r="4756" spans="2:20" hidden="1" outlineLevel="2">
      <c r="B4756" s="2" t="s">
        <v>833</v>
      </c>
      <c r="D4756" s="112" t="s">
        <v>8977</v>
      </c>
      <c r="E4756" s="112" t="b">
        <v>0</v>
      </c>
      <c r="F4756" s="112" t="str">
        <f>""</f>
        <v/>
      </c>
      <c r="R4756" s="295"/>
      <c r="S4756" s="295"/>
      <c r="T4756" s="295"/>
    </row>
    <row r="4757" spans="2:20" hidden="1" outlineLevel="2">
      <c r="B4757" s="2" t="s">
        <v>833</v>
      </c>
      <c r="D4757" s="114" t="s">
        <v>8975</v>
      </c>
      <c r="E4757" s="114" t="b">
        <v>0</v>
      </c>
      <c r="F4757" s="114" t="s">
        <v>51</v>
      </c>
      <c r="R4757" s="295"/>
      <c r="S4757" s="295"/>
      <c r="T4757" s="295"/>
    </row>
    <row r="4758" spans="2:20" hidden="1" outlineLevel="2">
      <c r="B4758" s="2" t="s">
        <v>833</v>
      </c>
      <c r="D4758" s="112" t="s">
        <v>8976</v>
      </c>
      <c r="E4758" s="112" t="b">
        <v>1</v>
      </c>
      <c r="F4758" s="112" t="s">
        <v>59</v>
      </c>
      <c r="R4758" s="295"/>
      <c r="S4758" s="295"/>
      <c r="T4758" s="295"/>
    </row>
    <row r="4759" spans="2:20" hidden="1" outlineLevel="2">
      <c r="B4759" s="2" t="s">
        <v>833</v>
      </c>
      <c r="R4759" s="295"/>
      <c r="S4759" s="295"/>
      <c r="T4759" s="295"/>
    </row>
    <row r="4760" spans="2:20" hidden="1" outlineLevel="1" collapsed="1">
      <c r="B4760" s="2" t="s">
        <v>833</v>
      </c>
      <c r="C4760" s="137" t="s">
        <v>4794</v>
      </c>
      <c r="D4760" s="298" t="s">
        <v>526</v>
      </c>
      <c r="E4760" s="298" t="s">
        <v>4795</v>
      </c>
      <c r="F4760" s="298" t="s">
        <v>9016</v>
      </c>
    </row>
    <row r="4761" spans="2:20" hidden="1" outlineLevel="2">
      <c r="B4761" s="2" t="s">
        <v>833</v>
      </c>
      <c r="D4761" s="138"/>
      <c r="E4761" s="138"/>
      <c r="F4761" s="138"/>
    </row>
    <row r="4762" spans="2:20" hidden="1" outlineLevel="2">
      <c r="B4762" s="2" t="s">
        <v>833</v>
      </c>
      <c r="D4762" s="2">
        <v>1</v>
      </c>
      <c r="E4762" s="112" t="s">
        <v>1437</v>
      </c>
      <c r="F4762" s="112">
        <v>0</v>
      </c>
      <c r="R4762" s="295"/>
      <c r="S4762" s="295"/>
      <c r="T4762" s="295"/>
    </row>
    <row r="4763" spans="2:20" hidden="1" outlineLevel="2">
      <c r="B4763" s="2" t="s">
        <v>833</v>
      </c>
      <c r="D4763" s="2">
        <v>2</v>
      </c>
      <c r="E4763" s="114" t="s">
        <v>1438</v>
      </c>
      <c r="F4763" s="114">
        <v>0</v>
      </c>
      <c r="R4763" s="295"/>
      <c r="S4763" s="295"/>
      <c r="T4763" s="295"/>
    </row>
    <row r="4764" spans="2:20" hidden="1" outlineLevel="2">
      <c r="B4764" s="2" t="s">
        <v>833</v>
      </c>
      <c r="D4764" s="2">
        <v>3</v>
      </c>
      <c r="E4764" s="112" t="s">
        <v>1441</v>
      </c>
      <c r="F4764" s="112">
        <v>0</v>
      </c>
      <c r="R4764" s="295"/>
      <c r="S4764" s="295"/>
      <c r="T4764" s="295"/>
    </row>
    <row r="4765" spans="2:20" hidden="1" outlineLevel="2">
      <c r="B4765" s="2" t="s">
        <v>833</v>
      </c>
      <c r="D4765" s="2">
        <v>4</v>
      </c>
      <c r="E4765" s="114" t="s">
        <v>1439</v>
      </c>
      <c r="F4765" s="114">
        <v>0</v>
      </c>
      <c r="R4765" s="295"/>
      <c r="S4765" s="295"/>
      <c r="T4765" s="295"/>
    </row>
    <row r="4766" spans="2:20" hidden="1" outlineLevel="2">
      <c r="B4766" s="2" t="s">
        <v>833</v>
      </c>
      <c r="D4766" s="2">
        <v>5</v>
      </c>
      <c r="E4766" s="112" t="s">
        <v>1440</v>
      </c>
      <c r="F4766" s="112">
        <v>0</v>
      </c>
      <c r="R4766" s="295"/>
      <c r="S4766" s="295"/>
      <c r="T4766" s="295"/>
    </row>
    <row r="4767" spans="2:20" hidden="1" outlineLevel="2">
      <c r="B4767" s="2" t="s">
        <v>833</v>
      </c>
      <c r="D4767" s="2">
        <v>6</v>
      </c>
      <c r="E4767" s="114" t="s">
        <v>1442</v>
      </c>
      <c r="F4767" s="114">
        <v>-1</v>
      </c>
      <c r="R4767" s="295"/>
      <c r="S4767" s="295"/>
      <c r="T4767" s="295"/>
    </row>
    <row r="4768" spans="2:20" hidden="1" outlineLevel="2">
      <c r="B4768" s="2" t="s">
        <v>833</v>
      </c>
      <c r="D4768" s="2">
        <v>7</v>
      </c>
      <c r="E4768" s="112" t="s">
        <v>1443</v>
      </c>
      <c r="F4768" s="112">
        <v>0</v>
      </c>
      <c r="R4768" s="295"/>
      <c r="S4768" s="295"/>
      <c r="T4768" s="295"/>
    </row>
    <row r="4769" spans="2:20" hidden="1" outlineLevel="2">
      <c r="B4769" s="2" t="s">
        <v>833</v>
      </c>
      <c r="D4769" s="2">
        <v>8</v>
      </c>
      <c r="E4769" s="114" t="s">
        <v>8979</v>
      </c>
      <c r="F4769" s="114">
        <v>0</v>
      </c>
      <c r="R4769" s="295"/>
      <c r="S4769" s="295"/>
      <c r="T4769" s="295"/>
    </row>
    <row r="4770" spans="2:20" hidden="1" outlineLevel="2">
      <c r="B4770" s="2" t="s">
        <v>833</v>
      </c>
      <c r="D4770" s="2">
        <v>9</v>
      </c>
      <c r="E4770" s="114" t="s">
        <v>8980</v>
      </c>
      <c r="F4770" s="114">
        <v>0</v>
      </c>
      <c r="R4770" s="295"/>
      <c r="S4770" s="295"/>
      <c r="T4770" s="295"/>
    </row>
    <row r="4771" spans="2:20" hidden="1" outlineLevel="2">
      <c r="B4771" s="2" t="s">
        <v>833</v>
      </c>
      <c r="D4771" s="2">
        <v>10</v>
      </c>
      <c r="E4771" s="112" t="s">
        <v>1445</v>
      </c>
      <c r="F4771" s="112">
        <v>4</v>
      </c>
      <c r="R4771" s="295"/>
      <c r="S4771" s="295"/>
      <c r="T4771" s="295"/>
    </row>
    <row r="4772" spans="2:20" hidden="1" outlineLevel="2">
      <c r="B4772" s="2" t="s">
        <v>833</v>
      </c>
      <c r="D4772" s="2">
        <v>11</v>
      </c>
      <c r="E4772" s="114" t="s">
        <v>7871</v>
      </c>
      <c r="F4772" s="114">
        <v>0</v>
      </c>
      <c r="R4772" s="295"/>
      <c r="S4772" s="295"/>
      <c r="T4772" s="295"/>
    </row>
    <row r="4773" spans="2:20" hidden="1" outlineLevel="2">
      <c r="B4773" s="2" t="s">
        <v>833</v>
      </c>
      <c r="D4773" s="2">
        <v>12</v>
      </c>
      <c r="E4773" s="112" t="s">
        <v>4796</v>
      </c>
      <c r="F4773" s="112">
        <v>0</v>
      </c>
      <c r="R4773" s="295"/>
      <c r="S4773" s="295"/>
      <c r="T4773" s="295"/>
    </row>
    <row r="4774" spans="2:20" hidden="1" outlineLevel="2">
      <c r="B4774" s="2" t="s">
        <v>833</v>
      </c>
      <c r="D4774" s="2">
        <v>13</v>
      </c>
      <c r="E4774" s="114" t="s">
        <v>4797</v>
      </c>
      <c r="F4774" s="114">
        <v>0</v>
      </c>
      <c r="R4774" s="295"/>
      <c r="S4774" s="295"/>
      <c r="T4774" s="295"/>
    </row>
    <row r="4775" spans="2:20" hidden="1" outlineLevel="2">
      <c r="B4775" s="2" t="s">
        <v>833</v>
      </c>
      <c r="R4775" s="295"/>
      <c r="S4775" s="295"/>
      <c r="T4775" s="295"/>
    </row>
    <row r="4776" spans="2:20" hidden="1" outlineLevel="1" collapsed="1">
      <c r="B4776" s="2" t="s">
        <v>833</v>
      </c>
      <c r="C4776" s="137" t="s">
        <v>4798</v>
      </c>
      <c r="D4776" s="298" t="s">
        <v>4768</v>
      </c>
      <c r="E4776" s="239" t="s">
        <v>4799</v>
      </c>
      <c r="F4776" s="239" t="s">
        <v>4800</v>
      </c>
      <c r="G4776" s="239" t="s">
        <v>1290</v>
      </c>
      <c r="H4776" s="239" t="s">
        <v>4801</v>
      </c>
      <c r="R4776" s="295"/>
      <c r="S4776" s="295"/>
      <c r="T4776" s="295"/>
    </row>
    <row r="4777" spans="2:20" hidden="1" outlineLevel="2">
      <c r="B4777" s="2" t="s">
        <v>833</v>
      </c>
      <c r="D4777" s="138"/>
      <c r="E4777" s="138"/>
      <c r="F4777" s="138"/>
      <c r="G4777" s="138"/>
      <c r="H4777" s="138"/>
      <c r="R4777" s="295"/>
      <c r="S4777" s="295"/>
      <c r="T4777" s="295"/>
    </row>
    <row r="4778" spans="2:20" hidden="1" outlineLevel="2">
      <c r="B4778" s="2" t="s">
        <v>833</v>
      </c>
      <c r="D4778" s="112" t="s">
        <v>96</v>
      </c>
      <c r="E4778" s="112" t="b">
        <v>1</v>
      </c>
      <c r="F4778" s="112" t="b">
        <v>1</v>
      </c>
      <c r="G4778" s="112" t="b">
        <v>1</v>
      </c>
      <c r="H4778" s="112" t="b">
        <v>1</v>
      </c>
      <c r="R4778" s="295"/>
      <c r="S4778" s="295"/>
      <c r="T4778" s="295"/>
    </row>
    <row r="4779" spans="2:20" hidden="1" outlineLevel="2">
      <c r="B4779" s="2" t="s">
        <v>833</v>
      </c>
      <c r="D4779" s="112" t="s">
        <v>97</v>
      </c>
      <c r="E4779" s="112" t="b">
        <v>1</v>
      </c>
      <c r="F4779" s="112" t="b">
        <v>1</v>
      </c>
      <c r="G4779" s="112" t="b">
        <v>1</v>
      </c>
      <c r="H4779" s="112" t="b">
        <v>1</v>
      </c>
      <c r="R4779" s="295"/>
      <c r="S4779" s="295"/>
      <c r="T4779" s="295"/>
    </row>
    <row r="4780" spans="2:20" hidden="1" outlineLevel="2">
      <c r="B4780" s="2" t="s">
        <v>833</v>
      </c>
      <c r="D4780" s="114" t="s">
        <v>98</v>
      </c>
      <c r="E4780" s="114" t="b">
        <v>0</v>
      </c>
      <c r="F4780" s="114" t="b">
        <v>0</v>
      </c>
      <c r="G4780" s="114" t="b">
        <v>1</v>
      </c>
      <c r="H4780" s="114" t="b">
        <v>0</v>
      </c>
      <c r="R4780" s="295"/>
      <c r="S4780" s="295"/>
      <c r="T4780" s="295"/>
    </row>
    <row r="4781" spans="2:20" hidden="1" outlineLevel="2">
      <c r="B4781" s="2" t="s">
        <v>833</v>
      </c>
      <c r="D4781" s="112" t="s">
        <v>99</v>
      </c>
      <c r="E4781" s="112" t="b">
        <v>0</v>
      </c>
      <c r="F4781" s="112" t="b">
        <v>0</v>
      </c>
      <c r="G4781" s="112" t="b">
        <v>0</v>
      </c>
      <c r="H4781" s="112" t="b">
        <v>0</v>
      </c>
      <c r="R4781" s="295"/>
      <c r="S4781" s="295"/>
      <c r="T4781" s="295"/>
    </row>
    <row r="4782" spans="2:20" hidden="1" outlineLevel="2">
      <c r="B4782" s="2" t="s">
        <v>833</v>
      </c>
      <c r="D4782" s="114" t="s">
        <v>100</v>
      </c>
      <c r="E4782" s="114" t="b">
        <v>1</v>
      </c>
      <c r="F4782" s="114" t="b">
        <v>1</v>
      </c>
      <c r="G4782" s="114" t="b">
        <v>1</v>
      </c>
      <c r="H4782" s="114" t="b">
        <v>0</v>
      </c>
      <c r="R4782" s="295"/>
      <c r="S4782" s="295"/>
      <c r="T4782" s="295"/>
    </row>
    <row r="4783" spans="2:20" hidden="1" outlineLevel="2">
      <c r="B4783" s="2" t="s">
        <v>833</v>
      </c>
      <c r="D4783" s="112" t="s">
        <v>101</v>
      </c>
      <c r="E4783" s="112" t="b">
        <v>0</v>
      </c>
      <c r="F4783" s="112" t="b">
        <v>0</v>
      </c>
      <c r="G4783" s="112" t="b">
        <v>1</v>
      </c>
      <c r="H4783" s="112" t="b">
        <v>0</v>
      </c>
      <c r="R4783" s="295"/>
      <c r="S4783" s="295"/>
      <c r="T4783" s="295"/>
    </row>
    <row r="4784" spans="2:20" hidden="1" outlineLevel="2">
      <c r="B4784" s="2" t="s">
        <v>833</v>
      </c>
      <c r="D4784" s="114" t="s">
        <v>102</v>
      </c>
      <c r="E4784" s="114" t="b">
        <v>0</v>
      </c>
      <c r="F4784" s="114" t="b">
        <v>0</v>
      </c>
      <c r="G4784" s="114" t="b">
        <v>1</v>
      </c>
      <c r="H4784" s="114" t="b">
        <v>0</v>
      </c>
      <c r="R4784" s="295"/>
      <c r="S4784" s="295"/>
      <c r="T4784" s="295"/>
    </row>
    <row r="4785" spans="2:20" hidden="1" outlineLevel="2">
      <c r="B4785" s="2" t="s">
        <v>833</v>
      </c>
      <c r="D4785" s="112" t="s">
        <v>8899</v>
      </c>
      <c r="E4785" s="112" t="b">
        <v>1</v>
      </c>
      <c r="F4785" s="112" t="b">
        <v>0</v>
      </c>
      <c r="G4785" s="112" t="b">
        <v>0</v>
      </c>
      <c r="H4785" s="112" t="b">
        <v>0</v>
      </c>
      <c r="R4785" s="295"/>
      <c r="S4785" s="295"/>
      <c r="T4785" s="295"/>
    </row>
    <row r="4786" spans="2:20" hidden="1" outlineLevel="2">
      <c r="B4786" s="2" t="s">
        <v>833</v>
      </c>
      <c r="D4786" s="114" t="s">
        <v>103</v>
      </c>
      <c r="E4786" s="114" t="b">
        <v>1</v>
      </c>
      <c r="F4786" s="114" t="b">
        <v>1</v>
      </c>
      <c r="G4786" s="114" t="b">
        <v>1</v>
      </c>
      <c r="H4786" s="114" t="b">
        <v>0</v>
      </c>
      <c r="R4786" s="295"/>
      <c r="S4786" s="295"/>
      <c r="T4786" s="295"/>
    </row>
    <row r="4787" spans="2:20" hidden="1" outlineLevel="2">
      <c r="B4787" s="2" t="s">
        <v>833</v>
      </c>
      <c r="D4787" s="112" t="s">
        <v>104</v>
      </c>
      <c r="E4787" s="112" t="b">
        <v>0</v>
      </c>
      <c r="F4787" s="112" t="b">
        <v>0</v>
      </c>
      <c r="G4787" s="112" t="b">
        <v>1</v>
      </c>
      <c r="H4787" s="112" t="b">
        <v>0</v>
      </c>
      <c r="R4787" s="295"/>
      <c r="S4787" s="295"/>
      <c r="T4787" s="295"/>
    </row>
    <row r="4788" spans="2:20" hidden="1" outlineLevel="2">
      <c r="B4788" s="2" t="s">
        <v>833</v>
      </c>
      <c r="R4788" s="295"/>
      <c r="S4788" s="295"/>
      <c r="T4788" s="295"/>
    </row>
    <row r="4789" spans="2:20" hidden="1" outlineLevel="1" collapsed="1">
      <c r="B4789" s="2" t="s">
        <v>833</v>
      </c>
      <c r="C4789" s="137" t="s">
        <v>4802</v>
      </c>
      <c r="D4789" s="298" t="s">
        <v>4802</v>
      </c>
      <c r="E4789" s="688" t="s">
        <v>4803</v>
      </c>
      <c r="F4789" s="688" t="s">
        <v>8811</v>
      </c>
    </row>
    <row r="4790" spans="2:20" hidden="1" outlineLevel="2">
      <c r="B4790" s="2" t="s">
        <v>833</v>
      </c>
      <c r="D4790" s="138"/>
      <c r="E4790" s="138"/>
      <c r="F4790" s="138"/>
    </row>
    <row r="4791" spans="2:20" hidden="1" outlineLevel="2">
      <c r="B4791" s="2" t="s">
        <v>833</v>
      </c>
      <c r="D4791" s="112" t="s">
        <v>4804</v>
      </c>
      <c r="E4791" s="112">
        <v>590</v>
      </c>
      <c r="F4791" s="112">
        <v>450</v>
      </c>
      <c r="R4791" s="295"/>
      <c r="S4791" s="295"/>
      <c r="T4791" s="295"/>
    </row>
    <row r="4792" spans="2:20" hidden="1" outlineLevel="2">
      <c r="B4792" s="2" t="s">
        <v>833</v>
      </c>
      <c r="D4792" s="114" t="s">
        <v>4805</v>
      </c>
      <c r="E4792" s="114">
        <v>590</v>
      </c>
      <c r="F4792" s="114">
        <v>450</v>
      </c>
      <c r="R4792" s="295"/>
      <c r="S4792" s="295"/>
      <c r="T4792" s="295"/>
    </row>
    <row r="4793" spans="2:20" hidden="1" outlineLevel="2">
      <c r="B4793" s="2" t="s">
        <v>833</v>
      </c>
      <c r="D4793" s="112" t="s">
        <v>4806</v>
      </c>
      <c r="E4793" s="112">
        <v>590</v>
      </c>
      <c r="F4793" s="112">
        <v>450</v>
      </c>
      <c r="R4793" s="295"/>
      <c r="S4793" s="295"/>
      <c r="T4793" s="295"/>
    </row>
    <row r="4794" spans="2:20" hidden="1" outlineLevel="2">
      <c r="B4794" s="2" t="s">
        <v>833</v>
      </c>
      <c r="D4794" s="114" t="s">
        <v>58</v>
      </c>
      <c r="E4794" s="114">
        <v>590</v>
      </c>
      <c r="F4794" s="114">
        <v>0</v>
      </c>
      <c r="R4794" s="295"/>
      <c r="S4794" s="295"/>
      <c r="T4794" s="295"/>
    </row>
    <row r="4795" spans="2:20" hidden="1" outlineLevel="2">
      <c r="B4795" s="2" t="s">
        <v>833</v>
      </c>
      <c r="D4795" s="112" t="s">
        <v>4807</v>
      </c>
      <c r="E4795" s="112">
        <v>0</v>
      </c>
      <c r="F4795" s="112">
        <v>0</v>
      </c>
      <c r="R4795" s="295"/>
      <c r="S4795" s="295"/>
      <c r="T4795" s="295"/>
    </row>
    <row r="4796" spans="2:20" hidden="1" outlineLevel="2">
      <c r="B4796" s="2" t="s">
        <v>833</v>
      </c>
      <c r="D4796" s="114" t="s">
        <v>4808</v>
      </c>
      <c r="E4796" s="114">
        <v>0</v>
      </c>
      <c r="F4796" s="114">
        <v>0</v>
      </c>
      <c r="R4796" s="295"/>
      <c r="S4796" s="295"/>
      <c r="T4796" s="295"/>
    </row>
    <row r="4797" spans="2:20" hidden="1" outlineLevel="2">
      <c r="B4797" s="2" t="s">
        <v>833</v>
      </c>
      <c r="D4797" s="112" t="s">
        <v>4809</v>
      </c>
      <c r="E4797" s="112">
        <v>590</v>
      </c>
      <c r="F4797" s="112">
        <v>450</v>
      </c>
      <c r="R4797" s="295"/>
      <c r="S4797" s="295"/>
      <c r="T4797" s="295"/>
    </row>
    <row r="4798" spans="2:20" hidden="1" outlineLevel="2">
      <c r="B4798" s="2" t="s">
        <v>833</v>
      </c>
      <c r="R4798" s="295"/>
      <c r="S4798" s="295"/>
      <c r="T4798" s="295"/>
    </row>
    <row r="4799" spans="2:20" hidden="1" outlineLevel="1" collapsed="1">
      <c r="B4799" s="2" t="s">
        <v>833</v>
      </c>
      <c r="C4799" s="137" t="s">
        <v>8048</v>
      </c>
      <c r="D4799" s="298" t="s">
        <v>8048</v>
      </c>
      <c r="E4799" s="298" t="s">
        <v>8755</v>
      </c>
    </row>
    <row r="4800" spans="2:20" hidden="1" outlineLevel="2">
      <c r="B4800" s="2" t="s">
        <v>833</v>
      </c>
      <c r="D4800" s="138"/>
      <c r="E4800" s="138"/>
    </row>
    <row r="4801" spans="2:20" hidden="1" outlineLevel="2">
      <c r="B4801" s="2" t="s">
        <v>833</v>
      </c>
      <c r="D4801" s="112" t="s">
        <v>8049</v>
      </c>
      <c r="E4801" s="112" t="s">
        <v>8049</v>
      </c>
      <c r="R4801" s="295"/>
      <c r="S4801" s="295"/>
      <c r="T4801" s="295"/>
    </row>
    <row r="4802" spans="2:20" hidden="1" outlineLevel="2">
      <c r="B4802" s="2" t="s">
        <v>833</v>
      </c>
      <c r="D4802" s="114" t="s">
        <v>8050</v>
      </c>
      <c r="E4802" s="114" t="s">
        <v>9055</v>
      </c>
      <c r="R4802" s="295"/>
      <c r="S4802" s="295"/>
      <c r="T4802" s="295"/>
    </row>
    <row r="4803" spans="2:20" hidden="1" outlineLevel="2">
      <c r="B4803" s="2" t="s">
        <v>833</v>
      </c>
      <c r="D4803" s="112" t="s">
        <v>8051</v>
      </c>
      <c r="E4803" s="112" t="s">
        <v>9056</v>
      </c>
      <c r="R4803" s="295"/>
      <c r="S4803" s="295"/>
      <c r="T4803" s="295"/>
    </row>
    <row r="4804" spans="2:20" hidden="1" outlineLevel="2">
      <c r="B4804" s="2" t="s">
        <v>833</v>
      </c>
      <c r="R4804" s="295"/>
      <c r="S4804" s="295"/>
      <c r="T4804" s="295"/>
    </row>
    <row r="4805" spans="2:20" hidden="1" outlineLevel="1" collapsed="1">
      <c r="B4805" s="2" t="s">
        <v>833</v>
      </c>
      <c r="C4805" s="137" t="s">
        <v>4810</v>
      </c>
      <c r="D4805" s="298" t="s">
        <v>4811</v>
      </c>
      <c r="E4805" s="298" t="s">
        <v>4222</v>
      </c>
      <c r="F4805" s="298" t="s">
        <v>4221</v>
      </c>
      <c r="G4805" s="298" t="s">
        <v>4812</v>
      </c>
      <c r="H4805" s="298" t="s">
        <v>4813</v>
      </c>
      <c r="I4805" s="298" t="s">
        <v>4812</v>
      </c>
      <c r="J4805" s="239" t="s">
        <v>4814</v>
      </c>
    </row>
    <row r="4806" spans="2:20" hidden="1" outlineLevel="2">
      <c r="B4806" s="2" t="s">
        <v>833</v>
      </c>
      <c r="C4806" s="105" t="s">
        <v>246</v>
      </c>
      <c r="D4806" s="138"/>
      <c r="E4806" s="138"/>
      <c r="F4806" s="138"/>
      <c r="G4806" s="138"/>
      <c r="H4806" s="138"/>
      <c r="I4806" s="138"/>
      <c r="J4806" s="138"/>
    </row>
    <row r="4807" spans="2:20" hidden="1" outlineLevel="2">
      <c r="B4807" s="2" t="s">
        <v>833</v>
      </c>
      <c r="D4807" s="112" t="s">
        <v>136</v>
      </c>
      <c r="E4807" s="112" t="s">
        <v>497</v>
      </c>
      <c r="F4807" s="112" t="s">
        <v>484</v>
      </c>
      <c r="G4807" s="112" t="b">
        <v>1</v>
      </c>
      <c r="H4807" s="112" t="b">
        <v>0</v>
      </c>
      <c r="I4807" s="112"/>
      <c r="J4807" s="112" t="s">
        <v>4815</v>
      </c>
      <c r="R4807" s="295"/>
      <c r="S4807" s="295"/>
      <c r="T4807" s="295"/>
    </row>
    <row r="4808" spans="2:20" hidden="1" outlineLevel="2">
      <c r="B4808" s="2" t="s">
        <v>833</v>
      </c>
      <c r="D4808" s="114" t="s">
        <v>137</v>
      </c>
      <c r="E4808" s="114" t="s">
        <v>493</v>
      </c>
      <c r="F4808" s="114" t="s">
        <v>484</v>
      </c>
      <c r="G4808" s="114" t="b">
        <v>1</v>
      </c>
      <c r="H4808" s="114" t="b">
        <v>1</v>
      </c>
      <c r="I4808" s="114"/>
      <c r="J4808" s="114" t="s">
        <v>4815</v>
      </c>
      <c r="R4808" s="295"/>
      <c r="S4808" s="295"/>
      <c r="T4808" s="295"/>
    </row>
    <row r="4809" spans="2:20" hidden="1" outlineLevel="2">
      <c r="B4809" s="2" t="s">
        <v>833</v>
      </c>
      <c r="D4809" s="112" t="s">
        <v>138</v>
      </c>
      <c r="E4809" s="112" t="s">
        <v>495</v>
      </c>
      <c r="F4809" s="112" t="s">
        <v>484</v>
      </c>
      <c r="G4809" s="112" t="b">
        <v>1</v>
      </c>
      <c r="H4809" s="112" t="b">
        <v>1</v>
      </c>
      <c r="I4809" s="112"/>
      <c r="J4809" s="112" t="s">
        <v>4815</v>
      </c>
      <c r="R4809" s="295"/>
      <c r="S4809" s="295"/>
      <c r="T4809" s="295"/>
    </row>
    <row r="4810" spans="2:20" hidden="1" outlineLevel="2">
      <c r="B4810" s="2" t="s">
        <v>833</v>
      </c>
      <c r="D4810" s="114" t="s">
        <v>139</v>
      </c>
      <c r="E4810" s="114" t="s">
        <v>497</v>
      </c>
      <c r="F4810" s="114" t="s">
        <v>486</v>
      </c>
      <c r="G4810" s="114" t="b">
        <v>0</v>
      </c>
      <c r="H4810" s="114" t="b">
        <v>0</v>
      </c>
      <c r="I4810" s="114"/>
      <c r="J4810" s="114" t="s">
        <v>4815</v>
      </c>
      <c r="R4810" s="295"/>
      <c r="S4810" s="295"/>
      <c r="T4810" s="295"/>
    </row>
    <row r="4811" spans="2:20" hidden="1" outlineLevel="2">
      <c r="B4811" s="2" t="s">
        <v>833</v>
      </c>
      <c r="D4811" s="112" t="s">
        <v>140</v>
      </c>
      <c r="E4811" s="112" t="s">
        <v>493</v>
      </c>
      <c r="F4811" s="112" t="s">
        <v>486</v>
      </c>
      <c r="G4811" s="112" t="b">
        <v>1</v>
      </c>
      <c r="H4811" s="112" t="b">
        <v>1</v>
      </c>
      <c r="I4811" s="112"/>
      <c r="J4811" s="112" t="s">
        <v>4815</v>
      </c>
      <c r="R4811" s="295"/>
      <c r="S4811" s="295"/>
      <c r="T4811" s="295"/>
    </row>
    <row r="4812" spans="2:20" hidden="1" outlineLevel="2">
      <c r="B4812" s="2" t="s">
        <v>833</v>
      </c>
      <c r="D4812" s="114" t="s">
        <v>141</v>
      </c>
      <c r="E4812" s="114" t="s">
        <v>497</v>
      </c>
      <c r="F4812" s="114" t="s">
        <v>488</v>
      </c>
      <c r="G4812" s="114" t="b">
        <v>0</v>
      </c>
      <c r="H4812" s="114" t="b">
        <v>0</v>
      </c>
      <c r="I4812" s="114"/>
      <c r="J4812" s="114" t="s">
        <v>4815</v>
      </c>
      <c r="R4812" s="295"/>
      <c r="S4812" s="295"/>
      <c r="T4812" s="295"/>
    </row>
    <row r="4813" spans="2:20" hidden="1" outlineLevel="2">
      <c r="B4813" s="2" t="s">
        <v>833</v>
      </c>
      <c r="D4813" s="112" t="s">
        <v>142</v>
      </c>
      <c r="E4813" s="112" t="s">
        <v>493</v>
      </c>
      <c r="F4813" s="112" t="s">
        <v>488</v>
      </c>
      <c r="G4813" s="112" t="b">
        <v>1</v>
      </c>
      <c r="H4813" s="112" t="b">
        <v>1</v>
      </c>
      <c r="I4813" s="112"/>
      <c r="J4813" s="112" t="s">
        <v>4815</v>
      </c>
      <c r="R4813" s="295"/>
      <c r="S4813" s="295"/>
      <c r="T4813" s="295"/>
    </row>
    <row r="4814" spans="2:20" hidden="1" outlineLevel="2">
      <c r="B4814" s="2" t="s">
        <v>833</v>
      </c>
      <c r="D4814" s="114" t="s">
        <v>9040</v>
      </c>
      <c r="E4814" s="114" t="s">
        <v>493</v>
      </c>
      <c r="F4814" s="114" t="s">
        <v>486</v>
      </c>
      <c r="G4814" s="114" t="b">
        <v>1</v>
      </c>
      <c r="H4814" s="114" t="b">
        <v>1</v>
      </c>
      <c r="I4814" s="114"/>
      <c r="J4814" s="114" t="s">
        <v>4815</v>
      </c>
      <c r="R4814" s="295"/>
      <c r="S4814" s="295"/>
      <c r="T4814" s="295"/>
    </row>
    <row r="4815" spans="2:20" hidden="1" outlineLevel="2">
      <c r="B4815" s="2" t="s">
        <v>833</v>
      </c>
      <c r="D4815" s="1421" t="s">
        <v>161</v>
      </c>
      <c r="E4815" s="1421" t="s">
        <v>490</v>
      </c>
      <c r="F4815" s="1421"/>
      <c r="G4815" s="1421" t="b">
        <v>0</v>
      </c>
      <c r="H4815" s="1421" t="b">
        <v>0</v>
      </c>
      <c r="I4815" s="1421"/>
      <c r="J4815" s="1421" t="s">
        <v>4816</v>
      </c>
      <c r="R4815" s="295"/>
      <c r="S4815" s="295"/>
      <c r="T4815" s="295"/>
    </row>
    <row r="4816" spans="2:20" hidden="1" outlineLevel="2">
      <c r="B4816" s="2" t="s">
        <v>833</v>
      </c>
      <c r="R4816" s="295"/>
      <c r="S4816" s="295"/>
      <c r="T4816" s="295"/>
    </row>
    <row r="4817" spans="2:20" hidden="1" outlineLevel="1" collapsed="1">
      <c r="B4817" s="2" t="s">
        <v>833</v>
      </c>
      <c r="C4817" s="137" t="s">
        <v>4817</v>
      </c>
      <c r="D4817" s="298" t="s">
        <v>4818</v>
      </c>
    </row>
    <row r="4818" spans="2:20" hidden="1" outlineLevel="2">
      <c r="B4818" s="2" t="s">
        <v>833</v>
      </c>
      <c r="D4818" s="138"/>
    </row>
    <row r="4819" spans="2:20" hidden="1" outlineLevel="2">
      <c r="B4819" s="2" t="s">
        <v>833</v>
      </c>
      <c r="D4819" s="112" t="s">
        <v>4819</v>
      </c>
      <c r="R4819" s="295"/>
      <c r="S4819" s="295"/>
      <c r="T4819" s="295"/>
    </row>
    <row r="4820" spans="2:20" hidden="1" outlineLevel="2">
      <c r="B4820" s="2" t="s">
        <v>833</v>
      </c>
      <c r="D4820" s="114" t="s">
        <v>4820</v>
      </c>
      <c r="R4820" s="295"/>
      <c r="S4820" s="295"/>
      <c r="T4820" s="295"/>
    </row>
    <row r="4821" spans="2:20" hidden="1" outlineLevel="2">
      <c r="B4821" s="2" t="s">
        <v>833</v>
      </c>
      <c r="D4821" s="112" t="s">
        <v>4821</v>
      </c>
      <c r="R4821" s="295"/>
      <c r="S4821" s="295"/>
      <c r="T4821" s="295"/>
    </row>
    <row r="4822" spans="2:20" hidden="1" outlineLevel="2">
      <c r="B4822" s="2" t="s">
        <v>833</v>
      </c>
      <c r="D4822" s="114" t="s">
        <v>4822</v>
      </c>
      <c r="R4822" s="295"/>
      <c r="S4822" s="295"/>
      <c r="T4822" s="295"/>
    </row>
    <row r="4823" spans="2:20" hidden="1" outlineLevel="2">
      <c r="B4823" s="2" t="s">
        <v>833</v>
      </c>
      <c r="D4823" s="112" t="s">
        <v>4823</v>
      </c>
      <c r="R4823" s="295"/>
      <c r="S4823" s="295"/>
      <c r="T4823" s="295"/>
    </row>
    <row r="4824" spans="2:20" hidden="1" outlineLevel="2">
      <c r="B4824" s="2" t="s">
        <v>833</v>
      </c>
      <c r="D4824" s="114" t="s">
        <v>4824</v>
      </c>
      <c r="R4824" s="295"/>
      <c r="S4824" s="295"/>
      <c r="T4824" s="295"/>
    </row>
    <row r="4825" spans="2:20" hidden="1" outlineLevel="2">
      <c r="B4825" s="2" t="s">
        <v>833</v>
      </c>
      <c r="R4825" s="295"/>
      <c r="S4825" s="295"/>
      <c r="T4825" s="295"/>
    </row>
    <row r="4826" spans="2:20" hidden="1" outlineLevel="1" collapsed="1">
      <c r="B4826" s="2" t="s">
        <v>833</v>
      </c>
      <c r="C4826" s="137" t="s">
        <v>4825</v>
      </c>
      <c r="D4826" s="298" t="s">
        <v>4826</v>
      </c>
    </row>
    <row r="4827" spans="2:20" hidden="1" outlineLevel="2">
      <c r="B4827" s="2" t="s">
        <v>833</v>
      </c>
      <c r="D4827" s="138"/>
    </row>
    <row r="4828" spans="2:20" hidden="1" outlineLevel="2">
      <c r="B4828" s="2" t="s">
        <v>833</v>
      </c>
      <c r="D4828" s="112" t="s">
        <v>1440</v>
      </c>
      <c r="R4828" s="295"/>
      <c r="S4828" s="295"/>
      <c r="T4828" s="295"/>
    </row>
    <row r="4829" spans="2:20" hidden="1" outlineLevel="2">
      <c r="B4829" s="2" t="s">
        <v>833</v>
      </c>
      <c r="D4829" s="114" t="s">
        <v>4827</v>
      </c>
      <c r="R4829" s="295"/>
      <c r="S4829" s="295"/>
      <c r="T4829" s="295"/>
    </row>
    <row r="4830" spans="2:20" hidden="1" outlineLevel="2">
      <c r="B4830" s="2" t="s">
        <v>833</v>
      </c>
      <c r="D4830" s="112" t="s">
        <v>4828</v>
      </c>
      <c r="R4830" s="295"/>
      <c r="S4830" s="295"/>
      <c r="T4830" s="295"/>
    </row>
    <row r="4831" spans="2:20" hidden="1" outlineLevel="2">
      <c r="B4831" s="2" t="s">
        <v>833</v>
      </c>
      <c r="D4831" s="114" t="s">
        <v>4829</v>
      </c>
      <c r="R4831" s="295"/>
      <c r="S4831" s="295"/>
      <c r="T4831" s="295"/>
    </row>
    <row r="4832" spans="2:20" hidden="1" outlineLevel="2">
      <c r="B4832" s="2" t="s">
        <v>833</v>
      </c>
      <c r="D4832" s="112" t="s">
        <v>58</v>
      </c>
      <c r="R4832" s="295"/>
      <c r="S4832" s="295"/>
      <c r="T4832" s="295"/>
    </row>
    <row r="4833" spans="2:20" hidden="1" outlineLevel="2">
      <c r="B4833" s="2" t="s">
        <v>833</v>
      </c>
      <c r="R4833" s="295"/>
      <c r="S4833" s="295"/>
      <c r="T4833" s="295"/>
    </row>
    <row r="4834" spans="2:20" hidden="1" outlineLevel="1" collapsed="1">
      <c r="B4834" s="2" t="s">
        <v>833</v>
      </c>
      <c r="C4834" s="137" t="s">
        <v>4830</v>
      </c>
      <c r="D4834" s="298" t="s">
        <v>4830</v>
      </c>
    </row>
    <row r="4835" spans="2:20" hidden="1" outlineLevel="2">
      <c r="B4835" s="2" t="s">
        <v>833</v>
      </c>
      <c r="D4835" s="138"/>
    </row>
    <row r="4836" spans="2:20" hidden="1" outlineLevel="2">
      <c r="B4836" s="2" t="s">
        <v>833</v>
      </c>
      <c r="D4836" s="112" t="s">
        <v>4831</v>
      </c>
      <c r="R4836" s="295"/>
      <c r="S4836" s="295"/>
      <c r="T4836" s="295"/>
    </row>
    <row r="4837" spans="2:20" hidden="1" outlineLevel="2">
      <c r="B4837" s="2" t="s">
        <v>833</v>
      </c>
      <c r="D4837" s="114" t="s">
        <v>4832</v>
      </c>
      <c r="R4837" s="295"/>
      <c r="S4837" s="295"/>
      <c r="T4837" s="295"/>
    </row>
    <row r="4838" spans="2:20" hidden="1" outlineLevel="2">
      <c r="B4838" s="2" t="s">
        <v>833</v>
      </c>
      <c r="D4838" s="112" t="s">
        <v>4833</v>
      </c>
      <c r="R4838" s="295"/>
      <c r="S4838" s="295"/>
      <c r="T4838" s="295"/>
    </row>
    <row r="4839" spans="2:20" hidden="1" outlineLevel="2">
      <c r="B4839" s="2" t="s">
        <v>833</v>
      </c>
      <c r="D4839" s="114" t="s">
        <v>4834</v>
      </c>
      <c r="R4839" s="295"/>
      <c r="S4839" s="295"/>
      <c r="T4839" s="295"/>
    </row>
    <row r="4840" spans="2:20" hidden="1" outlineLevel="2">
      <c r="B4840" s="2" t="s">
        <v>833</v>
      </c>
      <c r="R4840" s="295"/>
      <c r="S4840" s="295"/>
      <c r="T4840" s="295"/>
    </row>
    <row r="4841" spans="2:20" hidden="1" outlineLevel="1" collapsed="1">
      <c r="B4841" s="2" t="s">
        <v>833</v>
      </c>
      <c r="C4841" s="137" t="s">
        <v>4835</v>
      </c>
      <c r="D4841" s="298" t="s">
        <v>4835</v>
      </c>
    </row>
    <row r="4842" spans="2:20" hidden="1" outlineLevel="2">
      <c r="B4842" s="2" t="s">
        <v>833</v>
      </c>
      <c r="D4842" s="138"/>
    </row>
    <row r="4843" spans="2:20" hidden="1" outlineLevel="2">
      <c r="B4843" s="2" t="s">
        <v>833</v>
      </c>
      <c r="D4843" s="112" t="s">
        <v>4836</v>
      </c>
      <c r="R4843" s="295"/>
      <c r="S4843" s="295"/>
      <c r="T4843" s="295"/>
    </row>
    <row r="4844" spans="2:20" hidden="1" outlineLevel="2">
      <c r="B4844" s="2" t="s">
        <v>833</v>
      </c>
      <c r="D4844" s="114" t="s">
        <v>4837</v>
      </c>
      <c r="R4844" s="295"/>
      <c r="S4844" s="295"/>
      <c r="T4844" s="295"/>
    </row>
    <row r="4845" spans="2:20" hidden="1" outlineLevel="2">
      <c r="B4845" s="2" t="s">
        <v>833</v>
      </c>
      <c r="D4845" s="112" t="s">
        <v>4838</v>
      </c>
      <c r="R4845" s="295"/>
      <c r="S4845" s="295"/>
      <c r="T4845" s="295"/>
    </row>
    <row r="4846" spans="2:20" hidden="1" outlineLevel="2">
      <c r="B4846" s="2" t="s">
        <v>833</v>
      </c>
      <c r="D4846" s="114" t="s">
        <v>4839</v>
      </c>
      <c r="R4846" s="295"/>
      <c r="S4846" s="295"/>
      <c r="T4846" s="295"/>
    </row>
    <row r="4847" spans="2:20" hidden="1" outlineLevel="2">
      <c r="B4847" s="2" t="s">
        <v>833</v>
      </c>
      <c r="D4847" s="112" t="s">
        <v>4840</v>
      </c>
      <c r="R4847" s="295"/>
      <c r="S4847" s="295"/>
      <c r="T4847" s="295"/>
    </row>
    <row r="4848" spans="2:20" hidden="1" outlineLevel="2">
      <c r="B4848" s="2" t="s">
        <v>833</v>
      </c>
      <c r="D4848" s="114" t="s">
        <v>4841</v>
      </c>
      <c r="R4848" s="295"/>
      <c r="S4848" s="295"/>
      <c r="T4848" s="295"/>
    </row>
    <row r="4849" spans="2:20" hidden="1" outlineLevel="2">
      <c r="B4849" s="2" t="s">
        <v>833</v>
      </c>
      <c r="D4849" s="112" t="s">
        <v>4842</v>
      </c>
      <c r="R4849" s="295"/>
      <c r="S4849" s="295"/>
      <c r="T4849" s="295"/>
    </row>
    <row r="4850" spans="2:20" hidden="1" outlineLevel="2">
      <c r="B4850" s="2" t="s">
        <v>833</v>
      </c>
      <c r="D4850" s="114" t="s">
        <v>4843</v>
      </c>
      <c r="R4850" s="295"/>
      <c r="S4850" s="295"/>
      <c r="T4850" s="295"/>
    </row>
    <row r="4851" spans="2:20" hidden="1" outlineLevel="2">
      <c r="B4851" s="2" t="s">
        <v>833</v>
      </c>
      <c r="D4851" s="112" t="s">
        <v>4844</v>
      </c>
      <c r="R4851" s="295"/>
      <c r="S4851" s="295"/>
      <c r="T4851" s="295"/>
    </row>
    <row r="4852" spans="2:20" hidden="1" outlineLevel="2">
      <c r="B4852" s="2" t="s">
        <v>833</v>
      </c>
      <c r="D4852" s="114" t="s">
        <v>4845</v>
      </c>
      <c r="R4852" s="295"/>
      <c r="S4852" s="295"/>
      <c r="T4852" s="295"/>
    </row>
    <row r="4853" spans="2:20" hidden="1" outlineLevel="2">
      <c r="B4853" s="2" t="s">
        <v>833</v>
      </c>
      <c r="D4853" s="112" t="s">
        <v>4846</v>
      </c>
      <c r="R4853" s="295"/>
      <c r="S4853" s="295"/>
      <c r="T4853" s="295"/>
    </row>
    <row r="4854" spans="2:20" hidden="1" outlineLevel="2">
      <c r="B4854" s="2" t="s">
        <v>833</v>
      </c>
      <c r="D4854" s="114" t="s">
        <v>4847</v>
      </c>
      <c r="R4854" s="295"/>
      <c r="S4854" s="295"/>
      <c r="T4854" s="295"/>
    </row>
    <row r="4855" spans="2:20" hidden="1" outlineLevel="2">
      <c r="B4855" s="2" t="s">
        <v>833</v>
      </c>
      <c r="D4855" s="112" t="s">
        <v>4848</v>
      </c>
      <c r="R4855" s="295"/>
      <c r="S4855" s="295"/>
      <c r="T4855" s="295"/>
    </row>
    <row r="4856" spans="2:20" hidden="1" outlineLevel="2">
      <c r="B4856" s="2" t="s">
        <v>833</v>
      </c>
      <c r="D4856" s="114" t="s">
        <v>4849</v>
      </c>
      <c r="R4856" s="295"/>
      <c r="S4856" s="295"/>
      <c r="T4856" s="295"/>
    </row>
    <row r="4857" spans="2:20" hidden="1" outlineLevel="2">
      <c r="B4857" s="2" t="s">
        <v>833</v>
      </c>
      <c r="D4857" s="112" t="s">
        <v>4850</v>
      </c>
      <c r="R4857" s="295"/>
      <c r="S4857" s="295"/>
      <c r="T4857" s="295"/>
    </row>
    <row r="4858" spans="2:20" hidden="1" outlineLevel="2">
      <c r="B4858" s="2" t="s">
        <v>833</v>
      </c>
      <c r="D4858" s="114" t="s">
        <v>4851</v>
      </c>
      <c r="R4858" s="295"/>
      <c r="S4858" s="295"/>
      <c r="T4858" s="295"/>
    </row>
    <row r="4859" spans="2:20" hidden="1" outlineLevel="2">
      <c r="B4859" s="2" t="s">
        <v>833</v>
      </c>
      <c r="D4859" s="112" t="s">
        <v>58</v>
      </c>
      <c r="R4859" s="295"/>
      <c r="S4859" s="295"/>
      <c r="T4859" s="295"/>
    </row>
    <row r="4860" spans="2:20" hidden="1" outlineLevel="2">
      <c r="B4860" s="2" t="s">
        <v>833</v>
      </c>
      <c r="R4860" s="295"/>
      <c r="S4860" s="295"/>
      <c r="T4860" s="295"/>
    </row>
    <row r="4861" spans="2:20" hidden="1" outlineLevel="1" collapsed="1">
      <c r="B4861" s="2" t="s">
        <v>833</v>
      </c>
      <c r="C4861" s="137" t="s">
        <v>4852</v>
      </c>
      <c r="D4861" s="298" t="s">
        <v>254</v>
      </c>
      <c r="E4861" s="298" t="s">
        <v>4853</v>
      </c>
    </row>
    <row r="4862" spans="2:20" hidden="1" outlineLevel="2">
      <c r="B4862" s="2" t="s">
        <v>833</v>
      </c>
      <c r="D4862" s="138"/>
      <c r="E4862" s="138"/>
    </row>
    <row r="4863" spans="2:20" hidden="1" outlineLevel="2">
      <c r="B4863" s="2" t="s">
        <v>833</v>
      </c>
      <c r="D4863" s="111" t="s">
        <v>205</v>
      </c>
      <c r="E4863" s="112">
        <v>2600</v>
      </c>
      <c r="R4863" s="295"/>
      <c r="S4863" s="295"/>
      <c r="T4863" s="295"/>
    </row>
    <row r="4864" spans="2:20" hidden="1" outlineLevel="2">
      <c r="B4864" s="2" t="s">
        <v>833</v>
      </c>
      <c r="D4864" s="113" t="s">
        <v>208</v>
      </c>
      <c r="E4864" s="114">
        <v>2000</v>
      </c>
      <c r="R4864" s="295"/>
      <c r="S4864" s="295"/>
      <c r="T4864" s="295"/>
    </row>
    <row r="4865" spans="2:20" hidden="1" outlineLevel="2">
      <c r="B4865" s="2" t="s">
        <v>833</v>
      </c>
      <c r="D4865" s="111" t="s">
        <v>210</v>
      </c>
      <c r="E4865" s="112">
        <v>832</v>
      </c>
      <c r="R4865" s="295"/>
      <c r="S4865" s="295"/>
      <c r="T4865" s="295"/>
    </row>
    <row r="4866" spans="2:20" hidden="1" outlineLevel="2">
      <c r="B4866" s="2" t="s">
        <v>833</v>
      </c>
      <c r="D4866" s="113" t="s">
        <v>212</v>
      </c>
      <c r="E4866" s="114">
        <v>4000</v>
      </c>
      <c r="R4866" s="295"/>
      <c r="S4866" s="295"/>
      <c r="T4866" s="295"/>
    </row>
    <row r="4867" spans="2:20" hidden="1" outlineLevel="2">
      <c r="B4867" s="2" t="s">
        <v>833</v>
      </c>
      <c r="D4867" s="111" t="s">
        <v>214</v>
      </c>
      <c r="E4867" s="112">
        <v>5000</v>
      </c>
      <c r="R4867" s="295"/>
      <c r="S4867" s="295"/>
      <c r="T4867" s="295"/>
    </row>
    <row r="4868" spans="2:20" hidden="1" outlineLevel="2">
      <c r="B4868" s="2" t="s">
        <v>833</v>
      </c>
      <c r="D4868" s="113" t="s">
        <v>217</v>
      </c>
      <c r="E4868" s="114">
        <v>6000</v>
      </c>
      <c r="R4868" s="295"/>
      <c r="S4868" s="295"/>
      <c r="T4868" s="295"/>
    </row>
    <row r="4869" spans="2:20" hidden="1" outlineLevel="2">
      <c r="B4869" s="2" t="s">
        <v>833</v>
      </c>
      <c r="D4869" s="111" t="s">
        <v>4854</v>
      </c>
      <c r="E4869" s="112">
        <v>3000</v>
      </c>
      <c r="R4869" s="295"/>
      <c r="S4869" s="295"/>
      <c r="T4869" s="295"/>
    </row>
    <row r="4870" spans="2:20" hidden="1" outlineLevel="2">
      <c r="B4870" s="2" t="s">
        <v>833</v>
      </c>
      <c r="D4870" s="113" t="s">
        <v>4855</v>
      </c>
      <c r="E4870" s="114">
        <v>3377</v>
      </c>
      <c r="R4870" s="295"/>
      <c r="S4870" s="295"/>
      <c r="T4870" s="295"/>
    </row>
    <row r="4871" spans="2:20" hidden="1" outlineLevel="2">
      <c r="B4871" s="2" t="s">
        <v>833</v>
      </c>
      <c r="D4871" s="112" t="s">
        <v>223</v>
      </c>
      <c r="E4871" s="112">
        <v>7000</v>
      </c>
      <c r="R4871" s="295"/>
      <c r="S4871" s="295"/>
      <c r="T4871" s="295"/>
    </row>
    <row r="4872" spans="2:20" hidden="1" outlineLevel="2">
      <c r="B4872" s="2" t="s">
        <v>833</v>
      </c>
      <c r="R4872" s="295"/>
      <c r="S4872" s="295"/>
      <c r="T4872" s="295"/>
    </row>
    <row r="4873" spans="2:20" hidden="1" outlineLevel="1" collapsed="1">
      <c r="B4873" s="2" t="s">
        <v>833</v>
      </c>
      <c r="C4873" s="137" t="s">
        <v>4856</v>
      </c>
      <c r="D4873" s="298" t="s">
        <v>254</v>
      </c>
      <c r="E4873" s="298" t="s">
        <v>4853</v>
      </c>
    </row>
    <row r="4874" spans="2:20" hidden="1" outlineLevel="2">
      <c r="B4874" s="2" t="s">
        <v>833</v>
      </c>
      <c r="D4874" s="138"/>
      <c r="E4874" s="138"/>
    </row>
    <row r="4875" spans="2:20" hidden="1" outlineLevel="2">
      <c r="B4875" s="2" t="s">
        <v>833</v>
      </c>
      <c r="D4875" s="111" t="s">
        <v>205</v>
      </c>
      <c r="E4875" s="112">
        <v>2600</v>
      </c>
      <c r="R4875" s="295"/>
      <c r="S4875" s="295"/>
      <c r="T4875" s="295"/>
    </row>
    <row r="4876" spans="2:20" hidden="1" outlineLevel="2">
      <c r="B4876" s="2" t="s">
        <v>833</v>
      </c>
      <c r="D4876" s="113" t="s">
        <v>208</v>
      </c>
      <c r="E4876" s="114">
        <v>2000</v>
      </c>
      <c r="R4876" s="295"/>
      <c r="S4876" s="295"/>
      <c r="T4876" s="295"/>
    </row>
    <row r="4877" spans="2:20" hidden="1" outlineLevel="2">
      <c r="B4877" s="2" t="s">
        <v>833</v>
      </c>
      <c r="D4877" s="111" t="s">
        <v>210</v>
      </c>
      <c r="E4877" s="112">
        <v>832</v>
      </c>
      <c r="R4877" s="295"/>
      <c r="S4877" s="295"/>
      <c r="T4877" s="295"/>
    </row>
    <row r="4878" spans="2:20" hidden="1" outlineLevel="2">
      <c r="B4878" s="2" t="s">
        <v>833</v>
      </c>
      <c r="D4878" s="113" t="s">
        <v>212</v>
      </c>
      <c r="E4878" s="114">
        <v>4000</v>
      </c>
      <c r="R4878" s="295"/>
      <c r="S4878" s="295"/>
      <c r="T4878" s="295"/>
    </row>
    <row r="4879" spans="2:20" hidden="1" outlineLevel="2">
      <c r="B4879" s="2" t="s">
        <v>833</v>
      </c>
      <c r="D4879" s="111" t="s">
        <v>214</v>
      </c>
      <c r="E4879" s="112">
        <v>5000</v>
      </c>
      <c r="R4879" s="295"/>
      <c r="S4879" s="295"/>
      <c r="T4879" s="295"/>
    </row>
    <row r="4880" spans="2:20" hidden="1" outlineLevel="2">
      <c r="B4880" s="2" t="s">
        <v>833</v>
      </c>
      <c r="D4880" s="113" t="s">
        <v>217</v>
      </c>
      <c r="E4880" s="114">
        <v>6000</v>
      </c>
      <c r="R4880" s="295"/>
      <c r="S4880" s="295"/>
      <c r="T4880" s="295"/>
    </row>
    <row r="4881" spans="2:20" hidden="1" outlineLevel="2">
      <c r="B4881" s="2" t="s">
        <v>833</v>
      </c>
      <c r="D4881" s="111" t="s">
        <v>220</v>
      </c>
      <c r="E4881" s="112">
        <v>3000</v>
      </c>
      <c r="R4881" s="295"/>
      <c r="S4881" s="295"/>
      <c r="T4881" s="295"/>
    </row>
    <row r="4882" spans="2:20" hidden="1" outlineLevel="2">
      <c r="B4882" s="2" t="s">
        <v>833</v>
      </c>
      <c r="D4882" s="113" t="s">
        <v>223</v>
      </c>
      <c r="E4882" s="114">
        <v>7000</v>
      </c>
      <c r="R4882" s="295"/>
      <c r="S4882" s="295"/>
      <c r="T4882" s="295"/>
    </row>
    <row r="4883" spans="2:20" hidden="1" outlineLevel="2">
      <c r="B4883" s="2" t="s">
        <v>833</v>
      </c>
      <c r="R4883" s="295"/>
      <c r="S4883" s="295"/>
      <c r="T4883" s="295"/>
    </row>
    <row r="4884" spans="2:20" hidden="1" outlineLevel="1" collapsed="1">
      <c r="B4884" s="2" t="s">
        <v>833</v>
      </c>
      <c r="C4884" s="137" t="s">
        <v>4857</v>
      </c>
      <c r="D4884" s="298" t="s">
        <v>254</v>
      </c>
      <c r="E4884" s="298" t="s">
        <v>4853</v>
      </c>
    </row>
    <row r="4885" spans="2:20" hidden="1" outlineLevel="2">
      <c r="B4885" s="2" t="s">
        <v>833</v>
      </c>
      <c r="D4885" s="138"/>
      <c r="E4885" s="138"/>
    </row>
    <row r="4886" spans="2:20" hidden="1" outlineLevel="2">
      <c r="B4886" s="2" t="s">
        <v>833</v>
      </c>
      <c r="D4886" s="111" t="s">
        <v>3</v>
      </c>
      <c r="E4886" s="112">
        <v>2600</v>
      </c>
      <c r="R4886" s="295"/>
      <c r="S4886" s="295"/>
      <c r="T4886" s="295"/>
    </row>
    <row r="4887" spans="2:20" hidden="1" outlineLevel="2">
      <c r="B4887" s="2" t="s">
        <v>833</v>
      </c>
      <c r="D4887" s="113" t="s">
        <v>2</v>
      </c>
      <c r="E4887" s="114">
        <v>2000</v>
      </c>
      <c r="R4887" s="295"/>
      <c r="S4887" s="295"/>
      <c r="T4887" s="295"/>
    </row>
    <row r="4888" spans="2:20" hidden="1" outlineLevel="2">
      <c r="B4888" s="2" t="s">
        <v>833</v>
      </c>
      <c r="D4888" s="111" t="s">
        <v>210</v>
      </c>
      <c r="E4888" s="112">
        <v>832</v>
      </c>
      <c r="R4888" s="295"/>
      <c r="S4888" s="295"/>
      <c r="T4888" s="295"/>
    </row>
    <row r="4889" spans="2:20" hidden="1" outlineLevel="2">
      <c r="B4889" s="2" t="s">
        <v>833</v>
      </c>
      <c r="D4889" s="113" t="s">
        <v>212</v>
      </c>
      <c r="E4889" s="114">
        <v>4000</v>
      </c>
      <c r="R4889" s="295"/>
      <c r="S4889" s="295"/>
      <c r="T4889" s="295"/>
    </row>
    <row r="4890" spans="2:20" hidden="1" outlineLevel="2">
      <c r="B4890" s="2" t="s">
        <v>833</v>
      </c>
      <c r="D4890" s="111" t="s">
        <v>214</v>
      </c>
      <c r="E4890" s="112">
        <v>5000</v>
      </c>
      <c r="R4890" s="295"/>
      <c r="S4890" s="295"/>
      <c r="T4890" s="295"/>
    </row>
    <row r="4891" spans="2:20" hidden="1" outlineLevel="2">
      <c r="B4891" s="2" t="s">
        <v>833</v>
      </c>
      <c r="D4891" s="113" t="s">
        <v>217</v>
      </c>
      <c r="E4891" s="114">
        <v>6000</v>
      </c>
      <c r="R4891" s="295"/>
      <c r="S4891" s="295"/>
      <c r="T4891" s="295"/>
    </row>
    <row r="4892" spans="2:20" hidden="1" outlineLevel="2">
      <c r="B4892" s="2" t="s">
        <v>833</v>
      </c>
      <c r="D4892" s="111" t="s">
        <v>220</v>
      </c>
      <c r="E4892" s="112">
        <v>3000</v>
      </c>
      <c r="R4892" s="295"/>
      <c r="S4892" s="295"/>
      <c r="T4892" s="295"/>
    </row>
    <row r="4893" spans="2:20" hidden="1" outlineLevel="2">
      <c r="B4893" s="2" t="s">
        <v>833</v>
      </c>
      <c r="D4893" s="113" t="s">
        <v>223</v>
      </c>
      <c r="E4893" s="114">
        <v>7000</v>
      </c>
      <c r="R4893" s="295"/>
      <c r="S4893" s="295"/>
      <c r="T4893" s="295"/>
    </row>
    <row r="4894" spans="2:20" hidden="1" outlineLevel="2">
      <c r="B4894" s="2" t="s">
        <v>833</v>
      </c>
      <c r="R4894" s="295"/>
      <c r="S4894" s="295"/>
      <c r="T4894" s="295"/>
    </row>
    <row r="4895" spans="2:20" collapsed="1">
      <c r="B4895" s="2" t="s">
        <v>833</v>
      </c>
      <c r="C4895" s="246" t="s">
        <v>8755</v>
      </c>
      <c r="D4895" s="210" t="s">
        <v>843</v>
      </c>
      <c r="E4895" s="210" t="s">
        <v>844</v>
      </c>
      <c r="F4895" s="210" t="s">
        <v>845</v>
      </c>
      <c r="G4895" s="210" t="s">
        <v>846</v>
      </c>
      <c r="H4895" s="210" t="s">
        <v>847</v>
      </c>
      <c r="I4895" s="210" t="s">
        <v>848</v>
      </c>
      <c r="J4895" s="209" t="s">
        <v>849</v>
      </c>
      <c r="K4895" s="210" t="s">
        <v>850</v>
      </c>
      <c r="L4895" s="210" t="s">
        <v>8055</v>
      </c>
      <c r="M4895" s="210" t="s">
        <v>8168</v>
      </c>
      <c r="N4895" s="210" t="s">
        <v>8571</v>
      </c>
      <c r="O4895" s="209" t="s">
        <v>8755</v>
      </c>
      <c r="P4895" s="210" t="s">
        <v>8892</v>
      </c>
    </row>
    <row r="4896" spans="2:20" hidden="1" outlineLevel="1">
      <c r="B4896" s="2" t="s">
        <v>833</v>
      </c>
      <c r="C4896" s="145" t="s">
        <v>834</v>
      </c>
      <c r="D4896" s="145" t="s">
        <v>835</v>
      </c>
      <c r="E4896" s="207" t="s">
        <v>836</v>
      </c>
    </row>
    <row r="4897" spans="2:54" hidden="1" outlineLevel="1">
      <c r="B4897" s="2" t="s">
        <v>833</v>
      </c>
      <c r="C4897" s="138" t="s">
        <v>8756</v>
      </c>
      <c r="D4897" s="114"/>
      <c r="E4897" s="114" t="b">
        <v>0</v>
      </c>
      <c r="H4897" s="223"/>
      <c r="BB4897" s="2" t="e">
        <f>#REF!+10000</f>
        <v>#REF!</v>
      </c>
    </row>
    <row r="4898" spans="2:54" hidden="1" outlineLevel="1">
      <c r="B4898" s="2" t="s">
        <v>833</v>
      </c>
      <c r="C4898" s="138" t="s">
        <v>8797</v>
      </c>
      <c r="D4898" s="114"/>
      <c r="E4898" s="114">
        <v>0.37</v>
      </c>
      <c r="H4898" s="223"/>
      <c r="BB4898" s="2" t="e">
        <f>#REF!+10000</f>
        <v>#REF!</v>
      </c>
    </row>
    <row r="4899" spans="2:54" hidden="1" outlineLevel="1">
      <c r="B4899" s="2" t="s">
        <v>833</v>
      </c>
      <c r="BB4899" s="2" t="e">
        <f>BB4897+10000</f>
        <v>#REF!</v>
      </c>
    </row>
    <row r="4900" spans="2:54" hidden="1" outlineLevel="1">
      <c r="B4900" s="2" t="s">
        <v>833</v>
      </c>
      <c r="C4900" s="206"/>
    </row>
    <row r="4901" spans="2:54" hidden="1" outlineLevel="1" collapsed="1">
      <c r="B4901" s="2" t="s">
        <v>833</v>
      </c>
      <c r="C4901" s="137" t="s">
        <v>4777</v>
      </c>
      <c r="D4901" s="298" t="s">
        <v>4765</v>
      </c>
      <c r="E4901" s="239" t="s">
        <v>4778</v>
      </c>
      <c r="F4901" s="239" t="s">
        <v>4779</v>
      </c>
      <c r="G4901" s="239" t="s">
        <v>4663</v>
      </c>
      <c r="H4901" s="239" t="s">
        <v>8664</v>
      </c>
    </row>
    <row r="4902" spans="2:54" hidden="1" outlineLevel="2">
      <c r="B4902" s="2" t="s">
        <v>833</v>
      </c>
      <c r="D4902" s="138"/>
      <c r="E4902" s="138"/>
      <c r="F4902" s="138"/>
      <c r="G4902" s="138"/>
      <c r="H4902" s="138"/>
    </row>
    <row r="4903" spans="2:54" hidden="1" outlineLevel="2">
      <c r="B4903" s="2" t="s">
        <v>833</v>
      </c>
      <c r="D4903" s="232" t="s">
        <v>75</v>
      </c>
      <c r="E4903" s="232" t="b">
        <v>0</v>
      </c>
      <c r="F4903" s="232" t="b">
        <v>1</v>
      </c>
      <c r="G4903" s="232" t="b">
        <v>1</v>
      </c>
      <c r="H4903" s="232" t="b">
        <v>1</v>
      </c>
      <c r="R4903" s="295"/>
      <c r="S4903" s="295"/>
      <c r="T4903" s="295"/>
    </row>
    <row r="4904" spans="2:54" hidden="1" outlineLevel="2">
      <c r="B4904" s="2" t="s">
        <v>833</v>
      </c>
      <c r="D4904" s="232" t="s">
        <v>4780</v>
      </c>
      <c r="E4904" s="232" t="b">
        <v>0</v>
      </c>
      <c r="F4904" s="232" t="b">
        <v>1</v>
      </c>
      <c r="G4904" s="232" t="b">
        <v>1</v>
      </c>
      <c r="H4904" s="232" t="b">
        <v>1</v>
      </c>
      <c r="R4904" s="295"/>
      <c r="S4904" s="295"/>
      <c r="T4904" s="295"/>
    </row>
    <row r="4905" spans="2:54" hidden="1" outlineLevel="2">
      <c r="B4905" s="2" t="s">
        <v>833</v>
      </c>
      <c r="D4905" s="114" t="s">
        <v>76</v>
      </c>
      <c r="E4905" s="114" t="b">
        <v>0</v>
      </c>
      <c r="F4905" s="114" t="b">
        <v>0</v>
      </c>
      <c r="G4905" s="114" t="b">
        <v>1</v>
      </c>
      <c r="H4905" s="114" t="b">
        <v>0</v>
      </c>
      <c r="R4905" s="295"/>
      <c r="S4905" s="295"/>
      <c r="T4905" s="295"/>
    </row>
    <row r="4906" spans="2:54" hidden="1" outlineLevel="2">
      <c r="B4906" s="2" t="s">
        <v>833</v>
      </c>
      <c r="D4906" s="232" t="s">
        <v>77</v>
      </c>
      <c r="E4906" s="232" t="b">
        <v>0</v>
      </c>
      <c r="F4906" s="232" t="b">
        <v>1</v>
      </c>
      <c r="G4906" s="232" t="b">
        <v>1</v>
      </c>
      <c r="H4906" s="232" t="b">
        <v>0</v>
      </c>
      <c r="R4906" s="295"/>
      <c r="S4906" s="295"/>
      <c r="T4906" s="295"/>
    </row>
    <row r="4907" spans="2:54" hidden="1" outlineLevel="2">
      <c r="B4907" s="2" t="s">
        <v>833</v>
      </c>
      <c r="D4907" s="114" t="s">
        <v>78</v>
      </c>
      <c r="E4907" s="114" t="b">
        <v>0</v>
      </c>
      <c r="F4907" s="114" t="b">
        <v>1</v>
      </c>
      <c r="G4907" s="114" t="b">
        <v>1</v>
      </c>
      <c r="H4907" s="114" t="b">
        <v>0</v>
      </c>
      <c r="R4907" s="295"/>
      <c r="S4907" s="295"/>
      <c r="T4907" s="295"/>
    </row>
    <row r="4908" spans="2:54" hidden="1" outlineLevel="2">
      <c r="B4908" s="2" t="s">
        <v>833</v>
      </c>
      <c r="D4908" s="232" t="s">
        <v>79</v>
      </c>
      <c r="E4908" s="232" t="b">
        <v>1</v>
      </c>
      <c r="F4908" s="232" t="b">
        <v>0</v>
      </c>
      <c r="G4908" s="232"/>
      <c r="H4908" s="232" t="b">
        <v>0</v>
      </c>
      <c r="R4908" s="295"/>
      <c r="S4908" s="295"/>
      <c r="T4908" s="295"/>
    </row>
    <row r="4909" spans="2:54" hidden="1" outlineLevel="2">
      <c r="B4909" s="2" t="s">
        <v>833</v>
      </c>
      <c r="D4909" s="114" t="s">
        <v>80</v>
      </c>
      <c r="E4909" s="114" t="b">
        <v>1</v>
      </c>
      <c r="F4909" s="114" t="b">
        <v>0</v>
      </c>
      <c r="G4909" s="114"/>
      <c r="H4909" s="114" t="b">
        <v>0</v>
      </c>
      <c r="R4909" s="295"/>
      <c r="S4909" s="295"/>
      <c r="T4909" s="295"/>
    </row>
    <row r="4910" spans="2:54" hidden="1" outlineLevel="2">
      <c r="B4910" s="2" t="s">
        <v>833</v>
      </c>
      <c r="D4910" s="232" t="s">
        <v>81</v>
      </c>
      <c r="E4910" s="232" t="b">
        <v>1</v>
      </c>
      <c r="F4910" s="232" t="b">
        <v>0</v>
      </c>
      <c r="G4910" s="232" t="b">
        <v>1</v>
      </c>
      <c r="H4910" s="232" t="b">
        <v>0</v>
      </c>
      <c r="R4910" s="295"/>
      <c r="S4910" s="295"/>
      <c r="T4910" s="295"/>
    </row>
    <row r="4911" spans="2:54" hidden="1" outlineLevel="2">
      <c r="B4911" s="2" t="s">
        <v>833</v>
      </c>
      <c r="D4911" s="114" t="s">
        <v>58</v>
      </c>
      <c r="E4911" s="114" t="b">
        <v>1</v>
      </c>
      <c r="F4911" s="114" t="b">
        <v>0</v>
      </c>
      <c r="G4911" s="114"/>
      <c r="H4911" s="114" t="b">
        <v>0</v>
      </c>
      <c r="R4911" s="295"/>
      <c r="S4911" s="295"/>
      <c r="T4911" s="295"/>
    </row>
    <row r="4912" spans="2:54" hidden="1" outlineLevel="2">
      <c r="B4912" s="2" t="s">
        <v>833</v>
      </c>
      <c r="R4912" s="295"/>
      <c r="S4912" s="295"/>
      <c r="T4912" s="295"/>
    </row>
    <row r="4913" spans="2:20" hidden="1" outlineLevel="2">
      <c r="B4913" s="2" t="s">
        <v>833</v>
      </c>
      <c r="C4913" s="132"/>
    </row>
    <row r="4914" spans="2:20" hidden="1" outlineLevel="1" collapsed="1">
      <c r="B4914" s="2" t="s">
        <v>833</v>
      </c>
      <c r="C4914" s="137" t="s">
        <v>4810</v>
      </c>
      <c r="D4914" s="298" t="s">
        <v>4811</v>
      </c>
      <c r="E4914" s="298" t="s">
        <v>4222</v>
      </c>
      <c r="F4914" s="298" t="s">
        <v>4221</v>
      </c>
      <c r="G4914" s="298" t="s">
        <v>4812</v>
      </c>
      <c r="H4914" s="298" t="s">
        <v>4813</v>
      </c>
      <c r="I4914" s="239" t="s">
        <v>4814</v>
      </c>
    </row>
    <row r="4915" spans="2:20" hidden="1" outlineLevel="2">
      <c r="B4915" s="2" t="s">
        <v>833</v>
      </c>
      <c r="C4915" s="105" t="s">
        <v>246</v>
      </c>
      <c r="D4915" s="138"/>
      <c r="E4915" s="138"/>
      <c r="F4915" s="138"/>
      <c r="G4915" s="138"/>
      <c r="H4915" s="138"/>
      <c r="I4915" s="138"/>
    </row>
    <row r="4916" spans="2:20" hidden="1" outlineLevel="2">
      <c r="B4916" s="2" t="s">
        <v>833</v>
      </c>
      <c r="D4916" s="112" t="s">
        <v>8776</v>
      </c>
      <c r="E4916" s="112" t="s">
        <v>497</v>
      </c>
      <c r="F4916" s="112" t="s">
        <v>484</v>
      </c>
      <c r="G4916" s="112" t="b">
        <v>1</v>
      </c>
      <c r="H4916" s="112" t="b">
        <v>0</v>
      </c>
      <c r="I4916" s="112" t="s">
        <v>4815</v>
      </c>
      <c r="R4916" s="295"/>
      <c r="S4916" s="295"/>
      <c r="T4916" s="295"/>
    </row>
    <row r="4917" spans="2:20" hidden="1" outlineLevel="2">
      <c r="B4917" s="2" t="s">
        <v>833</v>
      </c>
      <c r="D4917" s="114" t="s">
        <v>8777</v>
      </c>
      <c r="E4917" s="114" t="s">
        <v>497</v>
      </c>
      <c r="F4917" s="114" t="s">
        <v>486</v>
      </c>
      <c r="G4917" s="114" t="b">
        <v>0</v>
      </c>
      <c r="H4917" s="114" t="b">
        <v>0</v>
      </c>
      <c r="I4917" s="114" t="s">
        <v>4815</v>
      </c>
      <c r="R4917" s="295"/>
      <c r="S4917" s="295"/>
      <c r="T4917" s="295"/>
    </row>
    <row r="4918" spans="2:20" hidden="1" outlineLevel="2">
      <c r="B4918" s="2" t="s">
        <v>833</v>
      </c>
      <c r="D4918" s="112" t="s">
        <v>99</v>
      </c>
      <c r="E4918" s="232" t="s">
        <v>490</v>
      </c>
      <c r="F4918" s="112"/>
      <c r="G4918" s="112" t="b">
        <v>0</v>
      </c>
      <c r="H4918" s="112" t="b">
        <v>0</v>
      </c>
      <c r="I4918" s="232" t="s">
        <v>4816</v>
      </c>
      <c r="R4918" s="295"/>
      <c r="S4918" s="295"/>
      <c r="T4918" s="295"/>
    </row>
    <row r="4919" spans="2:20" hidden="1" outlineLevel="2">
      <c r="B4919" s="2" t="s">
        <v>833</v>
      </c>
      <c r="R4919" s="295"/>
      <c r="S4919" s="295"/>
      <c r="T4919" s="295"/>
    </row>
    <row r="4920" spans="2:20" hidden="1" outlineLevel="1" collapsed="1">
      <c r="B4920" s="2" t="s">
        <v>833</v>
      </c>
      <c r="C4920" s="137" t="s">
        <v>4798</v>
      </c>
      <c r="D4920" s="298" t="s">
        <v>4768</v>
      </c>
      <c r="E4920" s="239" t="s">
        <v>4799</v>
      </c>
      <c r="F4920" s="239" t="s">
        <v>4800</v>
      </c>
      <c r="G4920" s="239" t="s">
        <v>1290</v>
      </c>
      <c r="H4920" s="239" t="s">
        <v>4801</v>
      </c>
      <c r="R4920" s="295"/>
      <c r="S4920" s="295"/>
      <c r="T4920" s="295"/>
    </row>
    <row r="4921" spans="2:20" hidden="1" outlineLevel="2">
      <c r="B4921" s="2" t="s">
        <v>833</v>
      </c>
      <c r="D4921" s="138"/>
      <c r="E4921" s="138"/>
      <c r="F4921" s="138"/>
      <c r="G4921" s="138"/>
      <c r="H4921" s="138"/>
      <c r="R4921" s="295"/>
      <c r="S4921" s="295"/>
      <c r="T4921" s="295"/>
    </row>
    <row r="4922" spans="2:20" hidden="1" outlineLevel="2">
      <c r="B4922" s="2" t="s">
        <v>833</v>
      </c>
      <c r="D4922" s="112" t="s">
        <v>96</v>
      </c>
      <c r="E4922" s="112" t="b">
        <v>1</v>
      </c>
      <c r="F4922" s="112" t="b">
        <v>0</v>
      </c>
      <c r="G4922" s="112" t="b">
        <v>0</v>
      </c>
      <c r="H4922" s="112" t="b">
        <v>0</v>
      </c>
      <c r="R4922" s="295"/>
      <c r="S4922" s="295"/>
      <c r="T4922" s="295"/>
    </row>
    <row r="4923" spans="2:20" hidden="1" outlineLevel="2">
      <c r="B4923" s="2" t="s">
        <v>833</v>
      </c>
      <c r="D4923" s="112" t="s">
        <v>99</v>
      </c>
      <c r="E4923" s="112" t="b">
        <v>0</v>
      </c>
      <c r="F4923" s="112" t="b">
        <v>0</v>
      </c>
      <c r="G4923" s="112" t="b">
        <v>0</v>
      </c>
      <c r="H4923" s="112" t="b">
        <v>0</v>
      </c>
      <c r="R4923" s="295"/>
      <c r="S4923" s="295"/>
      <c r="T4923" s="295"/>
    </row>
    <row r="4924" spans="2:20" hidden="1" outlineLevel="2">
      <c r="B4924" s="2" t="s">
        <v>833</v>
      </c>
      <c r="D4924" s="114" t="s">
        <v>8775</v>
      </c>
      <c r="E4924" s="114" t="b">
        <v>1</v>
      </c>
      <c r="F4924" s="112" t="b">
        <v>0</v>
      </c>
      <c r="G4924" s="112" t="b">
        <v>0</v>
      </c>
      <c r="H4924" s="112" t="b">
        <v>0</v>
      </c>
      <c r="R4924" s="295"/>
      <c r="S4924" s="295"/>
      <c r="T4924" s="295"/>
    </row>
    <row r="4925" spans="2:20" hidden="1" outlineLevel="2">
      <c r="B4925" s="2" t="s">
        <v>833</v>
      </c>
      <c r="R4925" s="295"/>
      <c r="S4925" s="295"/>
      <c r="T4925" s="295"/>
    </row>
    <row r="4926" spans="2:20" hidden="1" outlineLevel="1" collapsed="1">
      <c r="B4926" s="2" t="s">
        <v>833</v>
      </c>
      <c r="C4926" s="137" t="s">
        <v>4794</v>
      </c>
      <c r="D4926" s="298" t="s">
        <v>526</v>
      </c>
      <c r="E4926" s="298" t="s">
        <v>4795</v>
      </c>
    </row>
    <row r="4927" spans="2:20" hidden="1" outlineLevel="2">
      <c r="B4927" s="2" t="s">
        <v>833</v>
      </c>
      <c r="D4927" s="138"/>
      <c r="E4927" s="138"/>
    </row>
    <row r="4928" spans="2:20" hidden="1" outlineLevel="2">
      <c r="B4928" s="2" t="s">
        <v>833</v>
      </c>
      <c r="D4928" s="2">
        <v>1</v>
      </c>
      <c r="E4928" s="112" t="s">
        <v>8810</v>
      </c>
      <c r="R4928" s="295"/>
      <c r="S4928" s="295"/>
      <c r="T4928" s="295"/>
    </row>
    <row r="4929" spans="2:20" hidden="1" outlineLevel="2">
      <c r="B4929" s="2" t="s">
        <v>833</v>
      </c>
      <c r="D4929" s="2">
        <v>2</v>
      </c>
      <c r="E4929" s="114" t="s">
        <v>1442</v>
      </c>
      <c r="R4929" s="295"/>
      <c r="S4929" s="295"/>
      <c r="T4929" s="295"/>
    </row>
    <row r="4930" spans="2:20" hidden="1" outlineLevel="2">
      <c r="B4930" s="2" t="s">
        <v>833</v>
      </c>
      <c r="D4930" s="2">
        <v>3</v>
      </c>
      <c r="E4930" s="112" t="s">
        <v>1443</v>
      </c>
      <c r="R4930" s="295"/>
      <c r="S4930" s="295"/>
      <c r="T4930" s="295"/>
    </row>
    <row r="4931" spans="2:20" hidden="1" outlineLevel="2">
      <c r="B4931" s="2" t="s">
        <v>833</v>
      </c>
      <c r="D4931" s="2">
        <v>4</v>
      </c>
      <c r="E4931" s="114" t="s">
        <v>8979</v>
      </c>
      <c r="R4931" s="295"/>
      <c r="S4931" s="295"/>
      <c r="T4931" s="295"/>
    </row>
    <row r="4932" spans="2:20" hidden="1" outlineLevel="2">
      <c r="D4932" s="2">
        <v>5</v>
      </c>
      <c r="E4932" s="114" t="s">
        <v>8980</v>
      </c>
      <c r="R4932" s="295"/>
      <c r="S4932" s="295"/>
      <c r="T4932" s="295"/>
    </row>
    <row r="4933" spans="2:20" hidden="1" outlineLevel="2">
      <c r="B4933" s="2" t="s">
        <v>833</v>
      </c>
      <c r="D4933" s="2">
        <v>6</v>
      </c>
      <c r="E4933" s="112" t="s">
        <v>1445</v>
      </c>
      <c r="R4933" s="295"/>
      <c r="S4933" s="295"/>
      <c r="T4933" s="295"/>
    </row>
    <row r="4934" spans="2:20" hidden="1" outlineLevel="2">
      <c r="B4934" s="2" t="s">
        <v>833</v>
      </c>
      <c r="D4934" s="2">
        <v>7</v>
      </c>
      <c r="E4934" s="114" t="s">
        <v>7871</v>
      </c>
      <c r="R4934" s="295"/>
      <c r="S4934" s="295"/>
      <c r="T4934" s="295"/>
    </row>
    <row r="4935" spans="2:20" hidden="1" outlineLevel="2">
      <c r="B4935" s="2" t="s">
        <v>833</v>
      </c>
      <c r="R4935" s="295"/>
      <c r="S4935" s="295"/>
      <c r="T4935" s="295"/>
    </row>
    <row r="4936" spans="2:20" hidden="1" outlineLevel="1" collapsed="1">
      <c r="B4936" s="2" t="s">
        <v>833</v>
      </c>
      <c r="C4936" s="137" t="s">
        <v>8817</v>
      </c>
      <c r="D4936" s="298" t="s">
        <v>526</v>
      </c>
      <c r="E4936" s="298" t="s">
        <v>4795</v>
      </c>
      <c r="F4936" s="298" t="s">
        <v>8818</v>
      </c>
    </row>
    <row r="4937" spans="2:20" hidden="1" outlineLevel="2">
      <c r="B4937" s="2" t="s">
        <v>833</v>
      </c>
      <c r="D4937" s="138"/>
      <c r="E4937" s="138"/>
      <c r="F4937" s="138"/>
    </row>
    <row r="4938" spans="2:20" hidden="1" outlineLevel="2">
      <c r="B4938" s="2" t="s">
        <v>833</v>
      </c>
      <c r="D4938" s="112">
        <v>1</v>
      </c>
      <c r="E4938" s="112" t="s">
        <v>16</v>
      </c>
      <c r="F4938" s="112">
        <v>13</v>
      </c>
      <c r="R4938" s="295"/>
      <c r="S4938" s="295"/>
      <c r="T4938" s="295"/>
    </row>
    <row r="4939" spans="2:20" hidden="1" outlineLevel="2">
      <c r="B4939" s="2" t="s">
        <v>833</v>
      </c>
      <c r="D4939" s="114">
        <v>2</v>
      </c>
      <c r="E4939" s="114" t="s">
        <v>17</v>
      </c>
      <c r="F4939" s="114">
        <v>7</v>
      </c>
      <c r="R4939" s="295"/>
      <c r="S4939" s="295"/>
      <c r="T4939" s="295"/>
    </row>
    <row r="4940" spans="2:20" hidden="1" outlineLevel="2">
      <c r="B4940" s="2" t="s">
        <v>833</v>
      </c>
      <c r="D4940" s="112">
        <v>3</v>
      </c>
      <c r="E4940" s="112" t="s">
        <v>18</v>
      </c>
      <c r="F4940" s="112">
        <v>3</v>
      </c>
      <c r="R4940" s="295"/>
      <c r="S4940" s="295"/>
      <c r="T4940" s="295"/>
    </row>
    <row r="4941" spans="2:20" hidden="1" outlineLevel="2">
      <c r="B4941" s="2" t="s">
        <v>833</v>
      </c>
      <c r="D4941" s="114">
        <v>4</v>
      </c>
      <c r="E4941" s="114" t="s">
        <v>3</v>
      </c>
      <c r="F4941" s="114">
        <v>3</v>
      </c>
      <c r="R4941" s="295"/>
      <c r="S4941" s="295"/>
      <c r="T4941" s="295"/>
    </row>
    <row r="4942" spans="2:20" hidden="1" outlineLevel="2">
      <c r="B4942" s="2" t="s">
        <v>833</v>
      </c>
      <c r="R4942" s="295"/>
      <c r="S4942" s="295"/>
      <c r="T4942" s="295"/>
    </row>
    <row r="4943" spans="2:20" hidden="1" outlineLevel="1" collapsed="1">
      <c r="B4943" s="2" t="s">
        <v>833</v>
      </c>
      <c r="C4943" s="137" t="s">
        <v>8820</v>
      </c>
      <c r="D4943" s="298" t="s">
        <v>526</v>
      </c>
      <c r="E4943" s="298" t="s">
        <v>4795</v>
      </c>
    </row>
    <row r="4944" spans="2:20" hidden="1" outlineLevel="2">
      <c r="B4944" s="2" t="s">
        <v>833</v>
      </c>
      <c r="D4944" s="138"/>
      <c r="E4944" s="138"/>
    </row>
    <row r="4945" spans="2:20" hidden="1" outlineLevel="2">
      <c r="B4945" s="2" t="s">
        <v>833</v>
      </c>
      <c r="D4945" s="112">
        <v>1</v>
      </c>
      <c r="E4945" s="112" t="s">
        <v>35</v>
      </c>
      <c r="R4945" s="295"/>
      <c r="S4945" s="295"/>
      <c r="T4945" s="295"/>
    </row>
    <row r="4946" spans="2:20" hidden="1" outlineLevel="2">
      <c r="B4946" s="2" t="s">
        <v>833</v>
      </c>
      <c r="D4946" s="114">
        <v>2</v>
      </c>
      <c r="E4946" s="114" t="s">
        <v>34</v>
      </c>
      <c r="R4946" s="295"/>
      <c r="S4946" s="295"/>
      <c r="T4946" s="295"/>
    </row>
    <row r="4947" spans="2:20" hidden="1" outlineLevel="2">
      <c r="B4947" s="2" t="s">
        <v>833</v>
      </c>
      <c r="R4947" s="295"/>
      <c r="S4947" s="295"/>
      <c r="T4947" s="295"/>
    </row>
    <row r="4948" spans="2:20" hidden="1" outlineLevel="1" collapsed="1">
      <c r="B4948" s="2" t="s">
        <v>833</v>
      </c>
      <c r="C4948" s="137" t="s">
        <v>8960</v>
      </c>
      <c r="D4948" s="298" t="s">
        <v>526</v>
      </c>
      <c r="E4948" s="298" t="s">
        <v>4795</v>
      </c>
    </row>
    <row r="4949" spans="2:20" hidden="1" outlineLevel="2">
      <c r="B4949" s="2" t="s">
        <v>833</v>
      </c>
      <c r="D4949" s="138"/>
      <c r="E4949" s="138"/>
    </row>
    <row r="4950" spans="2:20" hidden="1" outlineLevel="2">
      <c r="B4950" s="2" t="s">
        <v>833</v>
      </c>
      <c r="D4950" s="112">
        <v>1</v>
      </c>
      <c r="E4950" s="112" t="s">
        <v>812</v>
      </c>
      <c r="R4950" s="295"/>
      <c r="S4950" s="295"/>
      <c r="T4950" s="295"/>
    </row>
    <row r="4951" spans="2:20" hidden="1" outlineLevel="2">
      <c r="B4951" s="2" t="s">
        <v>833</v>
      </c>
      <c r="D4951" s="114">
        <v>2</v>
      </c>
      <c r="E4951" s="114" t="s">
        <v>813</v>
      </c>
      <c r="R4951" s="295"/>
      <c r="S4951" s="295"/>
      <c r="T4951" s="295"/>
    </row>
    <row r="4952" spans="2:20" hidden="1" outlineLevel="2">
      <c r="B4952" s="2" t="s">
        <v>833</v>
      </c>
      <c r="D4952" s="112">
        <v>3</v>
      </c>
      <c r="E4952" s="112" t="s">
        <v>814</v>
      </c>
      <c r="R4952" s="295"/>
      <c r="S4952" s="295"/>
      <c r="T4952" s="295"/>
    </row>
    <row r="4953" spans="2:20" hidden="1" outlineLevel="2">
      <c r="B4953" s="2" t="s">
        <v>833</v>
      </c>
      <c r="R4953" s="295"/>
      <c r="S4953" s="295"/>
      <c r="T4953" s="295"/>
    </row>
    <row r="4954" spans="2:20" collapsed="1">
      <c r="B4954" s="2" t="s">
        <v>833</v>
      </c>
      <c r="C4954" s="246" t="s">
        <v>4858</v>
      </c>
      <c r="D4954" s="210" t="s">
        <v>843</v>
      </c>
      <c r="E4954" s="210" t="s">
        <v>844</v>
      </c>
      <c r="F4954" s="210" t="s">
        <v>845</v>
      </c>
      <c r="G4954" s="210" t="s">
        <v>846</v>
      </c>
      <c r="H4954" s="210" t="s">
        <v>847</v>
      </c>
      <c r="I4954" s="210" t="s">
        <v>848</v>
      </c>
      <c r="J4954" s="209" t="s">
        <v>849</v>
      </c>
      <c r="K4954" s="209" t="s">
        <v>850</v>
      </c>
      <c r="L4954" s="210" t="s">
        <v>8055</v>
      </c>
      <c r="M4954" s="210" t="s">
        <v>8168</v>
      </c>
      <c r="N4954" s="210" t="s">
        <v>8571</v>
      </c>
      <c r="O4954" s="210" t="s">
        <v>8755</v>
      </c>
      <c r="P4954" s="210" t="s">
        <v>8892</v>
      </c>
      <c r="Q4954" s="295"/>
    </row>
    <row r="4955" spans="2:20" hidden="1" outlineLevel="1">
      <c r="B4955" s="2" t="s">
        <v>833</v>
      </c>
    </row>
    <row r="4956" spans="2:20" hidden="1" outlineLevel="1">
      <c r="B4956" s="2" t="s">
        <v>833</v>
      </c>
      <c r="C4956" s="137" t="s">
        <v>850</v>
      </c>
      <c r="D4956" s="145" t="s">
        <v>804</v>
      </c>
      <c r="E4956" s="145" t="s">
        <v>13</v>
      </c>
      <c r="F4956" s="145" t="s">
        <v>4859</v>
      </c>
      <c r="G4956" s="145" t="s">
        <v>4860</v>
      </c>
      <c r="H4956" s="145" t="s">
        <v>788</v>
      </c>
      <c r="I4956" s="145" t="s">
        <v>4861</v>
      </c>
      <c r="J4956" s="145" t="s">
        <v>4862</v>
      </c>
      <c r="K4956" s="145" t="s">
        <v>789</v>
      </c>
      <c r="L4956" s="145" t="s">
        <v>4863</v>
      </c>
    </row>
    <row r="4957" spans="2:20" hidden="1" outlineLevel="1">
      <c r="B4957" s="2" t="s">
        <v>833</v>
      </c>
      <c r="D4957" s="111" t="s">
        <v>770</v>
      </c>
      <c r="E4957" s="111" t="s">
        <v>207</v>
      </c>
      <c r="F4957" s="111" t="s">
        <v>761</v>
      </c>
      <c r="G4957" s="111" t="s">
        <v>1102</v>
      </c>
      <c r="H4957" s="112">
        <v>80</v>
      </c>
      <c r="I4957" s="312" t="s">
        <v>775</v>
      </c>
      <c r="J4957" s="112" t="s">
        <v>770</v>
      </c>
      <c r="K4957" s="112" t="s">
        <v>770</v>
      </c>
      <c r="L4957" s="112" t="s">
        <v>770</v>
      </c>
    </row>
    <row r="4958" spans="2:20" hidden="1" outlineLevel="1">
      <c r="B4958" s="2" t="s">
        <v>833</v>
      </c>
      <c r="D4958" s="113">
        <v>1</v>
      </c>
      <c r="E4958" s="113" t="s">
        <v>209</v>
      </c>
      <c r="F4958" s="113" t="s">
        <v>4864</v>
      </c>
      <c r="G4958" s="113" t="s">
        <v>1102</v>
      </c>
      <c r="H4958" s="114">
        <v>75</v>
      </c>
      <c r="I4958" s="313" t="s">
        <v>4865</v>
      </c>
      <c r="J4958" s="114" t="s">
        <v>4866</v>
      </c>
      <c r="K4958" s="114" t="s">
        <v>4867</v>
      </c>
      <c r="L4958" s="314">
        <v>0.8</v>
      </c>
    </row>
    <row r="4959" spans="2:20" hidden="1" outlineLevel="1">
      <c r="B4959" s="2" t="s">
        <v>833</v>
      </c>
      <c r="D4959" s="111">
        <v>2</v>
      </c>
      <c r="E4959" s="111" t="s">
        <v>213</v>
      </c>
      <c r="F4959" s="111" t="s">
        <v>4868</v>
      </c>
      <c r="G4959" s="111" t="s">
        <v>1104</v>
      </c>
      <c r="H4959" s="112">
        <v>70</v>
      </c>
      <c r="I4959" s="312" t="s">
        <v>4869</v>
      </c>
      <c r="J4959" s="112" t="s">
        <v>4870</v>
      </c>
      <c r="K4959" s="112" t="s">
        <v>4871</v>
      </c>
      <c r="L4959" s="315">
        <v>0.75</v>
      </c>
    </row>
    <row r="4960" spans="2:20" hidden="1" outlineLevel="1">
      <c r="B4960" s="2" t="s">
        <v>833</v>
      </c>
      <c r="D4960" s="113">
        <v>3</v>
      </c>
      <c r="E4960" s="113" t="s">
        <v>216</v>
      </c>
      <c r="F4960" s="113" t="s">
        <v>4872</v>
      </c>
      <c r="G4960" s="113" t="s">
        <v>1109</v>
      </c>
      <c r="H4960" s="114">
        <v>80</v>
      </c>
      <c r="J4960" s="112" t="s">
        <v>4873</v>
      </c>
      <c r="L4960" s="314">
        <v>0.7</v>
      </c>
    </row>
    <row r="4961" spans="2:54" hidden="1" outlineLevel="1">
      <c r="B4961" s="2" t="s">
        <v>833</v>
      </c>
      <c r="D4961" s="112">
        <v>4</v>
      </c>
      <c r="F4961" s="111" t="s">
        <v>4874</v>
      </c>
      <c r="G4961" s="111" t="s">
        <v>1111</v>
      </c>
      <c r="H4961" s="112">
        <v>60</v>
      </c>
      <c r="L4961" s="315">
        <v>0.6</v>
      </c>
    </row>
    <row r="4962" spans="2:54" hidden="1" outlineLevel="1">
      <c r="B4962" s="2" t="s">
        <v>833</v>
      </c>
      <c r="D4962" s="114">
        <v>5</v>
      </c>
      <c r="F4962" s="113" t="s">
        <v>4875</v>
      </c>
      <c r="G4962" s="113" t="s">
        <v>1129</v>
      </c>
      <c r="H4962" s="114">
        <v>50</v>
      </c>
    </row>
    <row r="4963" spans="2:54" hidden="1" outlineLevel="1">
      <c r="B4963" s="2" t="s">
        <v>833</v>
      </c>
      <c r="D4963" s="112">
        <v>6</v>
      </c>
      <c r="E4963" s="191"/>
      <c r="F4963" s="111" t="s">
        <v>4876</v>
      </c>
      <c r="G4963" s="111" t="s">
        <v>1136</v>
      </c>
      <c r="H4963" s="112">
        <v>70</v>
      </c>
    </row>
    <row r="4964" spans="2:54" hidden="1" outlineLevel="1">
      <c r="B4964" s="2" t="s">
        <v>833</v>
      </c>
      <c r="D4964" s="114">
        <v>7</v>
      </c>
      <c r="E4964" s="191"/>
      <c r="F4964" s="113" t="s">
        <v>4877</v>
      </c>
      <c r="G4964" s="113" t="s">
        <v>1139</v>
      </c>
      <c r="H4964" s="114">
        <v>70</v>
      </c>
    </row>
    <row r="4965" spans="2:54" hidden="1" outlineLevel="1">
      <c r="B4965" s="2" t="s">
        <v>833</v>
      </c>
      <c r="D4965" s="112">
        <v>8</v>
      </c>
      <c r="E4965" s="191"/>
    </row>
    <row r="4966" spans="2:54" hidden="1" outlineLevel="1">
      <c r="B4966" s="2" t="s">
        <v>833</v>
      </c>
      <c r="D4966" s="114">
        <v>9</v>
      </c>
      <c r="E4966" s="191"/>
    </row>
    <row r="4967" spans="2:54" hidden="1" outlineLevel="1">
      <c r="B4967" s="2" t="s">
        <v>833</v>
      </c>
      <c r="D4967" s="112">
        <v>10</v>
      </c>
      <c r="E4967" s="191"/>
    </row>
    <row r="4968" spans="2:54" hidden="1" outlineLevel="1">
      <c r="B4968" s="2" t="s">
        <v>833</v>
      </c>
      <c r="D4968" s="114">
        <v>11</v>
      </c>
      <c r="E4968" s="191"/>
      <c r="F4968" s="316"/>
    </row>
    <row r="4969" spans="2:54" hidden="1" outlineLevel="1">
      <c r="B4969" s="2" t="s">
        <v>833</v>
      </c>
      <c r="D4969" s="112">
        <v>12</v>
      </c>
      <c r="E4969" s="191"/>
      <c r="F4969" s="316"/>
    </row>
    <row r="4970" spans="2:54" hidden="1" outlineLevel="1">
      <c r="B4970" s="2" t="s">
        <v>833</v>
      </c>
    </row>
    <row r="4971" spans="2:54" collapsed="1">
      <c r="B4971" s="2" t="s">
        <v>833</v>
      </c>
      <c r="C4971" s="246" t="s">
        <v>8056</v>
      </c>
      <c r="D4971" s="210" t="s">
        <v>843</v>
      </c>
      <c r="E4971" s="210" t="s">
        <v>844</v>
      </c>
      <c r="F4971" s="210" t="s">
        <v>845</v>
      </c>
      <c r="G4971" s="210" t="s">
        <v>846</v>
      </c>
      <c r="H4971" s="210" t="s">
        <v>847</v>
      </c>
      <c r="I4971" s="210" t="s">
        <v>848</v>
      </c>
      <c r="J4971" s="210" t="s">
        <v>849</v>
      </c>
      <c r="K4971" s="210" t="s">
        <v>850</v>
      </c>
      <c r="L4971" s="209" t="s">
        <v>8055</v>
      </c>
      <c r="M4971" s="210" t="s">
        <v>8168</v>
      </c>
      <c r="N4971" s="210" t="s">
        <v>8571</v>
      </c>
      <c r="O4971" s="210" t="s">
        <v>8755</v>
      </c>
      <c r="P4971" s="210" t="s">
        <v>8892</v>
      </c>
      <c r="Q4971" s="295"/>
    </row>
    <row r="4972" spans="2:54" hidden="1" outlineLevel="1">
      <c r="B4972" s="2" t="s">
        <v>833</v>
      </c>
    </row>
    <row r="4973" spans="2:54" hidden="1" outlineLevel="1">
      <c r="B4973" s="2" t="s">
        <v>833</v>
      </c>
      <c r="C4973" s="137" t="s">
        <v>4776</v>
      </c>
      <c r="D4973" s="351" t="s">
        <v>8057</v>
      </c>
    </row>
    <row r="4974" spans="2:54" hidden="1" outlineLevel="1">
      <c r="B4974" s="2" t="s">
        <v>833</v>
      </c>
      <c r="D4974" s="112" t="s">
        <v>8058</v>
      </c>
    </row>
    <row r="4975" spans="2:54" hidden="1" outlineLevel="1">
      <c r="B4975" s="2" t="s">
        <v>833</v>
      </c>
    </row>
    <row r="4976" spans="2:54" customFormat="1" hidden="1" outlineLevel="1">
      <c r="B4976" s="2" t="s">
        <v>833</v>
      </c>
      <c r="C4976" s="137" t="s">
        <v>8066</v>
      </c>
      <c r="D4976" s="102" t="s">
        <v>4220</v>
      </c>
      <c r="E4976" s="103"/>
      <c r="F4976" s="103"/>
      <c r="G4976" s="103"/>
      <c r="H4976" s="103"/>
      <c r="I4976" s="103"/>
      <c r="J4976" s="103"/>
      <c r="K4976" s="2"/>
      <c r="L4976" s="2"/>
      <c r="O4976" s="2"/>
      <c r="BB4976" s="2"/>
    </row>
    <row r="4977" spans="2:54" customFormat="1" hidden="1" outlineLevel="1">
      <c r="B4977" s="2" t="s">
        <v>833</v>
      </c>
      <c r="C4977" s="2"/>
      <c r="D4977" s="352" t="s">
        <v>4224</v>
      </c>
      <c r="E4977" s="353" t="s">
        <v>4800</v>
      </c>
      <c r="F4977" s="353" t="s">
        <v>4799</v>
      </c>
      <c r="G4977" s="353" t="s">
        <v>8059</v>
      </c>
      <c r="H4977" s="353" t="s">
        <v>788</v>
      </c>
      <c r="I4977" s="353" t="s">
        <v>826</v>
      </c>
      <c r="J4977" s="250" t="s">
        <v>1290</v>
      </c>
      <c r="K4977" s="2"/>
      <c r="L4977" s="2"/>
      <c r="N4977" s="351" t="s">
        <v>788</v>
      </c>
      <c r="O4977" s="2"/>
      <c r="P4977" s="351" t="s">
        <v>8057</v>
      </c>
      <c r="BB4977" s="2"/>
    </row>
    <row r="4978" spans="2:54" customFormat="1" hidden="1" outlineLevel="1">
      <c r="B4978" s="2" t="s">
        <v>833</v>
      </c>
      <c r="C4978" s="2"/>
      <c r="D4978" s="258" t="s">
        <v>6444</v>
      </c>
      <c r="E4978" s="258">
        <v>1</v>
      </c>
      <c r="F4978" s="258" t="s">
        <v>497</v>
      </c>
      <c r="G4978" s="258" t="s">
        <v>8060</v>
      </c>
      <c r="H4978" s="258" t="s">
        <v>8061</v>
      </c>
      <c r="I4978" s="258" t="s">
        <v>8062</v>
      </c>
      <c r="J4978" s="354">
        <f>VLOOKUP(D4978,'eAdmin File'!U:Z,6,FALSE)/100</f>
        <v>6.3399999999999998E-2</v>
      </c>
      <c r="K4978" s="2"/>
      <c r="L4978" s="2"/>
      <c r="N4978" s="112" t="s">
        <v>8063</v>
      </c>
      <c r="O4978" s="2"/>
      <c r="P4978" s="112" t="s">
        <v>8058</v>
      </c>
      <c r="BB4978" s="2"/>
    </row>
    <row r="4979" spans="2:54" customFormat="1" hidden="1" outlineLevel="1">
      <c r="B4979" s="2" t="s">
        <v>833</v>
      </c>
      <c r="C4979" s="2"/>
      <c r="D4979" s="258" t="s">
        <v>6448</v>
      </c>
      <c r="E4979" s="258">
        <v>2</v>
      </c>
      <c r="F4979" s="258" t="s">
        <v>497</v>
      </c>
      <c r="G4979" s="258" t="s">
        <v>8060</v>
      </c>
      <c r="H4979" s="258" t="s">
        <v>8061</v>
      </c>
      <c r="I4979" s="258" t="s">
        <v>8062</v>
      </c>
      <c r="J4979" s="354">
        <f>VLOOKUP(D4979,'eAdmin File'!U:Z,6,FALSE)/100</f>
        <v>6.1900000000000004E-2</v>
      </c>
      <c r="K4979" s="2"/>
      <c r="L4979" s="2"/>
      <c r="N4979" s="112" t="s">
        <v>8064</v>
      </c>
      <c r="O4979" s="2"/>
      <c r="P4979" s="351" t="s">
        <v>8065</v>
      </c>
      <c r="BB4979" s="2"/>
    </row>
    <row r="4980" spans="2:54" customFormat="1" hidden="1" outlineLevel="1">
      <c r="B4980" s="2" t="s">
        <v>833</v>
      </c>
      <c r="C4980" s="2"/>
      <c r="D4980" s="258" t="s">
        <v>6452</v>
      </c>
      <c r="E4980" s="258">
        <v>3</v>
      </c>
      <c r="F4980" s="258" t="s">
        <v>497</v>
      </c>
      <c r="G4980" s="258" t="s">
        <v>8060</v>
      </c>
      <c r="H4980" s="258" t="s">
        <v>8061</v>
      </c>
      <c r="I4980" s="258" t="s">
        <v>8062</v>
      </c>
      <c r="J4980" s="354">
        <f>VLOOKUP(D4980,'eAdmin File'!U:Z,6,FALSE)/100</f>
        <v>6.1900000000000004E-2</v>
      </c>
      <c r="K4980" s="2"/>
      <c r="L4980" s="2"/>
      <c r="N4980" s="112" t="s">
        <v>8061</v>
      </c>
      <c r="O4980" s="2"/>
      <c r="P4980" s="355">
        <f ca="1">TODAY()</f>
        <v>45811</v>
      </c>
      <c r="BB4980" s="2"/>
    </row>
    <row r="4981" spans="2:54" customFormat="1" hidden="1" outlineLevel="1">
      <c r="B4981" s="2" t="s">
        <v>833</v>
      </c>
      <c r="C4981" s="2"/>
      <c r="D4981" s="258" t="s">
        <v>6456</v>
      </c>
      <c r="E4981" s="258">
        <v>4</v>
      </c>
      <c r="F4981" s="258" t="s">
        <v>497</v>
      </c>
      <c r="G4981" s="258" t="s">
        <v>8060</v>
      </c>
      <c r="H4981" s="258" t="s">
        <v>8061</v>
      </c>
      <c r="I4981" s="258" t="s">
        <v>8062</v>
      </c>
      <c r="J4981" s="354">
        <f>VLOOKUP(D4981,'eAdmin File'!U:Z,6,FALSE)/100</f>
        <v>6.3399999999999998E-2</v>
      </c>
      <c r="K4981" s="2"/>
      <c r="L4981" s="2"/>
      <c r="N4981" s="112"/>
      <c r="O4981" s="2"/>
      <c r="BB4981" s="2"/>
    </row>
    <row r="4982" spans="2:54" customFormat="1" hidden="1" outlineLevel="1">
      <c r="B4982" s="2" t="s">
        <v>833</v>
      </c>
      <c r="C4982" s="2"/>
      <c r="D4982" s="258" t="s">
        <v>6460</v>
      </c>
      <c r="E4982" s="258">
        <v>5</v>
      </c>
      <c r="F4982" s="258" t="s">
        <v>497</v>
      </c>
      <c r="G4982" s="258" t="s">
        <v>8060</v>
      </c>
      <c r="H4982" s="258" t="s">
        <v>8061</v>
      </c>
      <c r="I4982" s="258" t="s">
        <v>8062</v>
      </c>
      <c r="J4982" s="354">
        <f>VLOOKUP(D4982,'eAdmin File'!U:Z,6,FALSE)/100</f>
        <v>6.4399999999999999E-2</v>
      </c>
      <c r="K4982" s="2"/>
      <c r="L4982" s="2"/>
      <c r="N4982" s="112"/>
      <c r="O4982" s="2"/>
      <c r="BB4982" s="2"/>
    </row>
    <row r="4983" spans="2:54" customFormat="1" hidden="1" outlineLevel="1">
      <c r="B4983" s="2" t="s">
        <v>833</v>
      </c>
      <c r="C4983" s="2"/>
      <c r="D4983" s="258" t="s">
        <v>6407</v>
      </c>
      <c r="E4983" s="258">
        <v>1</v>
      </c>
      <c r="F4983" s="258" t="s">
        <v>497</v>
      </c>
      <c r="G4983" s="258" t="s">
        <v>8060</v>
      </c>
      <c r="H4983" s="258" t="s">
        <v>8064</v>
      </c>
      <c r="I4983" s="258" t="s">
        <v>8062</v>
      </c>
      <c r="J4983" s="354">
        <f>VLOOKUP(D4983,'eAdmin File'!U:Z,6,FALSE)/100</f>
        <v>5.8899999999999994E-2</v>
      </c>
      <c r="K4983" s="2"/>
      <c r="L4983" s="2"/>
      <c r="O4983" s="2"/>
      <c r="BB4983" s="2"/>
    </row>
    <row r="4984" spans="2:54" customFormat="1" hidden="1" outlineLevel="1">
      <c r="B4984" s="2" t="s">
        <v>833</v>
      </c>
      <c r="C4984" s="2"/>
      <c r="D4984" s="258" t="s">
        <v>6412</v>
      </c>
      <c r="E4984" s="258">
        <v>2</v>
      </c>
      <c r="F4984" s="258" t="s">
        <v>497</v>
      </c>
      <c r="G4984" s="258" t="s">
        <v>8060</v>
      </c>
      <c r="H4984" s="258" t="s">
        <v>8064</v>
      </c>
      <c r="I4984" s="258" t="s">
        <v>8062</v>
      </c>
      <c r="J4984" s="354">
        <f>VLOOKUP(D4984,'eAdmin File'!U:Z,6,FALSE)/100</f>
        <v>5.74E-2</v>
      </c>
      <c r="K4984" s="2"/>
      <c r="L4984" s="2"/>
      <c r="O4984" s="2"/>
      <c r="BB4984" s="2"/>
    </row>
    <row r="4985" spans="2:54" customFormat="1" hidden="1" outlineLevel="1">
      <c r="B4985" s="2" t="s">
        <v>833</v>
      </c>
      <c r="C4985" s="2"/>
      <c r="D4985" s="258" t="s">
        <v>6417</v>
      </c>
      <c r="E4985" s="258">
        <v>3</v>
      </c>
      <c r="F4985" s="258" t="s">
        <v>497</v>
      </c>
      <c r="G4985" s="258" t="s">
        <v>8060</v>
      </c>
      <c r="H4985" s="258" t="s">
        <v>8064</v>
      </c>
      <c r="I4985" s="258" t="s">
        <v>8062</v>
      </c>
      <c r="J4985" s="354">
        <f>VLOOKUP(D4985,'eAdmin File'!U:Z,6,FALSE)/100</f>
        <v>5.74E-2</v>
      </c>
      <c r="O4985" s="2"/>
      <c r="BB4985" s="2"/>
    </row>
    <row r="4986" spans="2:54" customFormat="1" hidden="1" outlineLevel="1">
      <c r="B4986" s="2" t="s">
        <v>833</v>
      </c>
      <c r="C4986" s="2"/>
      <c r="D4986" s="258" t="s">
        <v>6422</v>
      </c>
      <c r="E4986" s="258">
        <v>4</v>
      </c>
      <c r="F4986" s="258" t="s">
        <v>497</v>
      </c>
      <c r="G4986" s="258" t="s">
        <v>8060</v>
      </c>
      <c r="H4986" s="258" t="s">
        <v>8064</v>
      </c>
      <c r="I4986" s="258" t="s">
        <v>8062</v>
      </c>
      <c r="J4986" s="354">
        <f>VLOOKUP(D4986,'eAdmin File'!U:Z,6,FALSE)/100</f>
        <v>5.8899999999999994E-2</v>
      </c>
      <c r="O4986" s="2"/>
      <c r="BB4986" s="2"/>
    </row>
    <row r="4987" spans="2:54" customFormat="1" hidden="1" outlineLevel="1">
      <c r="B4987" s="2" t="s">
        <v>833</v>
      </c>
      <c r="C4987" s="2"/>
      <c r="D4987" s="258" t="s">
        <v>6427</v>
      </c>
      <c r="E4987" s="258">
        <v>5</v>
      </c>
      <c r="F4987" s="258" t="s">
        <v>497</v>
      </c>
      <c r="G4987" s="258" t="s">
        <v>8060</v>
      </c>
      <c r="H4987" s="258" t="s">
        <v>8064</v>
      </c>
      <c r="I4987" s="258" t="s">
        <v>8062</v>
      </c>
      <c r="J4987" s="354">
        <f>VLOOKUP(D4987,'eAdmin File'!U:Z,6,FALSE)/100</f>
        <v>5.9900000000000002E-2</v>
      </c>
      <c r="O4987" s="2"/>
      <c r="BB4987" s="2"/>
    </row>
    <row r="4988" spans="2:54" customFormat="1" hidden="1" outlineLevel="1">
      <c r="B4988" s="2" t="s">
        <v>833</v>
      </c>
      <c r="C4988" s="2"/>
      <c r="D4988" s="258" t="s">
        <v>6446</v>
      </c>
      <c r="E4988" s="258">
        <v>1</v>
      </c>
      <c r="F4988" s="258" t="s">
        <v>493</v>
      </c>
      <c r="G4988" s="258" t="s">
        <v>8060</v>
      </c>
      <c r="H4988" s="258" t="s">
        <v>8061</v>
      </c>
      <c r="I4988" s="258" t="s">
        <v>8062</v>
      </c>
      <c r="J4988" s="354">
        <f>VLOOKUP(D4988,'eAdmin File'!U:Z,6,FALSE)/100</f>
        <v>6.7900000000000002E-2</v>
      </c>
      <c r="O4988" s="2"/>
      <c r="BB4988" s="2"/>
    </row>
    <row r="4989" spans="2:54" customFormat="1" hidden="1" outlineLevel="1">
      <c r="B4989" s="2" t="s">
        <v>833</v>
      </c>
      <c r="C4989" s="2"/>
      <c r="D4989" s="258" t="s">
        <v>6450</v>
      </c>
      <c r="E4989" s="258">
        <v>2</v>
      </c>
      <c r="F4989" s="258" t="s">
        <v>493</v>
      </c>
      <c r="G4989" s="258" t="s">
        <v>8060</v>
      </c>
      <c r="H4989" s="258" t="s">
        <v>8061</v>
      </c>
      <c r="I4989" s="258" t="s">
        <v>8062</v>
      </c>
      <c r="J4989" s="354">
        <f>VLOOKUP(D4989,'eAdmin File'!U:Z,6,FALSE)/100</f>
        <v>6.4899999999999999E-2</v>
      </c>
      <c r="O4989" s="2"/>
      <c r="BB4989" s="2"/>
    </row>
    <row r="4990" spans="2:54" customFormat="1" hidden="1" outlineLevel="1">
      <c r="B4990" s="2" t="s">
        <v>833</v>
      </c>
      <c r="C4990" s="2"/>
      <c r="D4990" s="258" t="s">
        <v>6454</v>
      </c>
      <c r="E4990" s="258">
        <v>3</v>
      </c>
      <c r="F4990" s="258" t="s">
        <v>493</v>
      </c>
      <c r="G4990" s="258" t="s">
        <v>8060</v>
      </c>
      <c r="H4990" s="258" t="s">
        <v>8061</v>
      </c>
      <c r="I4990" s="258" t="s">
        <v>8062</v>
      </c>
      <c r="J4990" s="354">
        <f>VLOOKUP(D4990,'eAdmin File'!U:Z,6,FALSE)/100</f>
        <v>6.4899999999999999E-2</v>
      </c>
      <c r="O4990" s="2"/>
      <c r="BB4990" s="2"/>
    </row>
    <row r="4991" spans="2:54" customFormat="1" hidden="1" outlineLevel="1">
      <c r="B4991" s="2" t="s">
        <v>833</v>
      </c>
      <c r="C4991" s="2"/>
      <c r="D4991" s="258" t="s">
        <v>6458</v>
      </c>
      <c r="E4991" s="258">
        <v>4</v>
      </c>
      <c r="F4991" s="258" t="s">
        <v>493</v>
      </c>
      <c r="G4991" s="258" t="s">
        <v>8060</v>
      </c>
      <c r="H4991" s="258" t="s">
        <v>8061</v>
      </c>
      <c r="I4991" s="258" t="s">
        <v>8062</v>
      </c>
      <c r="J4991" s="354">
        <f>VLOOKUP(D4991,'eAdmin File'!U:Z,6,FALSE)/100</f>
        <v>6.54E-2</v>
      </c>
      <c r="O4991" s="2"/>
      <c r="BB4991" s="2"/>
    </row>
    <row r="4992" spans="2:54" customFormat="1" hidden="1" outlineLevel="1">
      <c r="B4992" s="2" t="s">
        <v>833</v>
      </c>
      <c r="C4992" s="2"/>
      <c r="D4992" s="258" t="s">
        <v>6462</v>
      </c>
      <c r="E4992" s="258">
        <v>5</v>
      </c>
      <c r="F4992" s="258" t="s">
        <v>493</v>
      </c>
      <c r="G4992" s="258" t="s">
        <v>8060</v>
      </c>
      <c r="H4992" s="258" t="s">
        <v>8061</v>
      </c>
      <c r="I4992" s="258" t="s">
        <v>8062</v>
      </c>
      <c r="J4992" s="354">
        <f>VLOOKUP(D4992,'eAdmin File'!U:Z,6,FALSE)/100</f>
        <v>6.6400000000000001E-2</v>
      </c>
      <c r="O4992" s="2"/>
      <c r="BB4992" s="2"/>
    </row>
    <row r="4993" spans="2:54" customFormat="1" hidden="1" outlineLevel="1">
      <c r="B4993" s="2" t="s">
        <v>833</v>
      </c>
      <c r="C4993" s="2"/>
      <c r="D4993" s="258" t="s">
        <v>6410</v>
      </c>
      <c r="E4993" s="258">
        <v>1</v>
      </c>
      <c r="F4993" s="258" t="s">
        <v>493</v>
      </c>
      <c r="G4993" s="258" t="s">
        <v>8060</v>
      </c>
      <c r="H4993" s="258" t="s">
        <v>8064</v>
      </c>
      <c r="I4993" s="258" t="s">
        <v>8062</v>
      </c>
      <c r="J4993" s="354">
        <f>VLOOKUP(D4993,'eAdmin File'!U:Z,6,FALSE)/100</f>
        <v>6.3399999999999998E-2</v>
      </c>
      <c r="O4993" s="2"/>
      <c r="BB4993" s="2"/>
    </row>
    <row r="4994" spans="2:54" customFormat="1" hidden="1" outlineLevel="1">
      <c r="B4994" s="2" t="s">
        <v>833</v>
      </c>
      <c r="C4994" s="2"/>
      <c r="D4994" s="258" t="s">
        <v>6415</v>
      </c>
      <c r="E4994" s="258">
        <v>2</v>
      </c>
      <c r="F4994" s="258" t="s">
        <v>493</v>
      </c>
      <c r="G4994" s="258" t="s">
        <v>8060</v>
      </c>
      <c r="H4994" s="258" t="s">
        <v>8064</v>
      </c>
      <c r="I4994" s="258" t="s">
        <v>8062</v>
      </c>
      <c r="J4994" s="354">
        <f>VLOOKUP(D4994,'eAdmin File'!U:Z,6,FALSE)/100</f>
        <v>6.0400000000000002E-2</v>
      </c>
      <c r="O4994" s="2"/>
      <c r="BB4994" s="2"/>
    </row>
    <row r="4995" spans="2:54" customFormat="1" hidden="1" outlineLevel="1">
      <c r="B4995" s="2" t="s">
        <v>833</v>
      </c>
      <c r="C4995" s="2"/>
      <c r="D4995" s="258" t="s">
        <v>6420</v>
      </c>
      <c r="E4995" s="258">
        <v>3</v>
      </c>
      <c r="F4995" s="258" t="s">
        <v>493</v>
      </c>
      <c r="G4995" s="258" t="s">
        <v>8060</v>
      </c>
      <c r="H4995" s="258" t="s">
        <v>8064</v>
      </c>
      <c r="I4995" s="258" t="s">
        <v>8062</v>
      </c>
      <c r="J4995" s="354">
        <f>VLOOKUP(D4995,'eAdmin File'!U:Z,6,FALSE)/100</f>
        <v>6.0400000000000002E-2</v>
      </c>
      <c r="O4995" s="2"/>
      <c r="BB4995" s="2"/>
    </row>
    <row r="4996" spans="2:54" customFormat="1" hidden="1" outlineLevel="1">
      <c r="B4996" s="2" t="s">
        <v>833</v>
      </c>
      <c r="C4996" s="2"/>
      <c r="D4996" s="258" t="s">
        <v>6425</v>
      </c>
      <c r="E4996" s="258">
        <v>4</v>
      </c>
      <c r="F4996" s="258" t="s">
        <v>493</v>
      </c>
      <c r="G4996" s="258" t="s">
        <v>8060</v>
      </c>
      <c r="H4996" s="258" t="s">
        <v>8064</v>
      </c>
      <c r="I4996" s="258" t="s">
        <v>8062</v>
      </c>
      <c r="J4996" s="354">
        <f>VLOOKUP(D4996,'eAdmin File'!U:Z,6,FALSE)/100</f>
        <v>6.0899999999999996E-2</v>
      </c>
      <c r="O4996" s="2"/>
      <c r="BB4996" s="2"/>
    </row>
    <row r="4997" spans="2:54" customFormat="1" hidden="1" outlineLevel="1">
      <c r="B4997" s="2" t="s">
        <v>833</v>
      </c>
      <c r="C4997" s="2"/>
      <c r="D4997" s="258" t="s">
        <v>6430</v>
      </c>
      <c r="E4997" s="258">
        <v>5</v>
      </c>
      <c r="F4997" s="258" t="s">
        <v>493</v>
      </c>
      <c r="G4997" s="258" t="s">
        <v>8060</v>
      </c>
      <c r="H4997" s="258" t="s">
        <v>8064</v>
      </c>
      <c r="I4997" s="258" t="s">
        <v>8062</v>
      </c>
      <c r="J4997" s="354">
        <f>VLOOKUP(D4997,'eAdmin File'!U:Z,6,FALSE)/100</f>
        <v>6.1900000000000004E-2</v>
      </c>
      <c r="O4997" s="2"/>
      <c r="BB4997" s="2"/>
    </row>
    <row r="4998" spans="2:54" customFormat="1" hidden="1" outlineLevel="1">
      <c r="B4998" s="2" t="s">
        <v>833</v>
      </c>
      <c r="C4998" s="2"/>
      <c r="D4998" s="258" t="s">
        <v>6833</v>
      </c>
      <c r="E4998" s="258">
        <v>1</v>
      </c>
      <c r="F4998" s="258" t="s">
        <v>497</v>
      </c>
      <c r="G4998" s="258" t="s">
        <v>184</v>
      </c>
      <c r="H4998" s="258" t="s">
        <v>8061</v>
      </c>
      <c r="I4998" s="258" t="s">
        <v>8062</v>
      </c>
      <c r="J4998" s="354">
        <f>VLOOKUP(D4998,'eAdmin File'!U:Z,6,FALSE)/100</f>
        <v>6.54E-2</v>
      </c>
      <c r="O4998" s="2"/>
      <c r="BB4998" s="2"/>
    </row>
    <row r="4999" spans="2:54" customFormat="1" hidden="1" outlineLevel="1">
      <c r="B4999" s="2" t="s">
        <v>833</v>
      </c>
      <c r="C4999" s="2"/>
      <c r="D4999" s="258" t="s">
        <v>6837</v>
      </c>
      <c r="E4999" s="258">
        <v>2</v>
      </c>
      <c r="F4999" s="258" t="s">
        <v>497</v>
      </c>
      <c r="G4999" s="258" t="s">
        <v>184</v>
      </c>
      <c r="H4999" s="258" t="s">
        <v>8061</v>
      </c>
      <c r="I4999" s="258" t="s">
        <v>8062</v>
      </c>
      <c r="J4999" s="354">
        <f>VLOOKUP(D4999,'eAdmin File'!U:Z,6,FALSE)/100</f>
        <v>6.3899999999999998E-2</v>
      </c>
      <c r="O4999" s="2"/>
      <c r="BB4999" s="2"/>
    </row>
    <row r="5000" spans="2:54" customFormat="1" hidden="1" outlineLevel="1">
      <c r="B5000" s="2" t="s">
        <v>833</v>
      </c>
      <c r="C5000" s="2"/>
      <c r="D5000" s="258" t="s">
        <v>6841</v>
      </c>
      <c r="E5000" s="258">
        <v>3</v>
      </c>
      <c r="F5000" s="258" t="s">
        <v>497</v>
      </c>
      <c r="G5000" s="258" t="s">
        <v>184</v>
      </c>
      <c r="H5000" s="258" t="s">
        <v>8061</v>
      </c>
      <c r="I5000" s="258" t="s">
        <v>8062</v>
      </c>
      <c r="J5000" s="354">
        <f>VLOOKUP(D5000,'eAdmin File'!U:Z,6,FALSE)/100</f>
        <v>6.3899999999999998E-2</v>
      </c>
      <c r="O5000" s="2"/>
      <c r="BB5000" s="2"/>
    </row>
    <row r="5001" spans="2:54" customFormat="1" hidden="1" outlineLevel="1">
      <c r="B5001" s="2" t="s">
        <v>833</v>
      </c>
      <c r="C5001" s="2"/>
      <c r="D5001" s="258" t="s">
        <v>6845</v>
      </c>
      <c r="E5001" s="258">
        <v>4</v>
      </c>
      <c r="F5001" s="258" t="s">
        <v>497</v>
      </c>
      <c r="G5001" s="258" t="s">
        <v>184</v>
      </c>
      <c r="H5001" s="258" t="s">
        <v>8061</v>
      </c>
      <c r="I5001" s="258" t="s">
        <v>8062</v>
      </c>
      <c r="J5001" s="354">
        <f>VLOOKUP(D5001,'eAdmin File'!U:Z,6,FALSE)/100</f>
        <v>6.4399999999999999E-2</v>
      </c>
      <c r="O5001" s="2"/>
      <c r="BB5001" s="2"/>
    </row>
    <row r="5002" spans="2:54" customFormat="1" hidden="1" outlineLevel="1">
      <c r="B5002" s="2" t="s">
        <v>833</v>
      </c>
      <c r="C5002" s="2"/>
      <c r="D5002" s="258" t="s">
        <v>6849</v>
      </c>
      <c r="E5002" s="258">
        <v>5</v>
      </c>
      <c r="F5002" s="258" t="s">
        <v>497</v>
      </c>
      <c r="G5002" s="258" t="s">
        <v>184</v>
      </c>
      <c r="H5002" s="258" t="s">
        <v>8061</v>
      </c>
      <c r="I5002" s="258" t="s">
        <v>8062</v>
      </c>
      <c r="J5002" s="354">
        <f>VLOOKUP(D5002,'eAdmin File'!U:Z,6,FALSE)/100</f>
        <v>6.54E-2</v>
      </c>
      <c r="O5002" s="2"/>
      <c r="BB5002" s="2"/>
    </row>
    <row r="5003" spans="2:54" customFormat="1" hidden="1" outlineLevel="1">
      <c r="B5003" s="2" t="s">
        <v>833</v>
      </c>
      <c r="C5003" s="2"/>
      <c r="D5003" s="258" t="s">
        <v>6862</v>
      </c>
      <c r="E5003" s="258">
        <v>1</v>
      </c>
      <c r="F5003" s="258" t="s">
        <v>497</v>
      </c>
      <c r="G5003" s="258" t="s">
        <v>184</v>
      </c>
      <c r="H5003" s="258" t="s">
        <v>8064</v>
      </c>
      <c r="I5003" s="258" t="s">
        <v>8062</v>
      </c>
      <c r="J5003" s="354">
        <f>VLOOKUP(D5003,'eAdmin File'!U:Z,6,FALSE)/100</f>
        <v>6.0899999999999996E-2</v>
      </c>
      <c r="O5003" s="2"/>
      <c r="BB5003" s="2"/>
    </row>
    <row r="5004" spans="2:54" customFormat="1" hidden="1" outlineLevel="1">
      <c r="B5004" s="2" t="s">
        <v>833</v>
      </c>
      <c r="C5004" s="2"/>
      <c r="D5004" s="258" t="s">
        <v>6866</v>
      </c>
      <c r="E5004" s="258">
        <v>2</v>
      </c>
      <c r="F5004" s="258" t="s">
        <v>497</v>
      </c>
      <c r="G5004" s="258" t="s">
        <v>184</v>
      </c>
      <c r="H5004" s="258" t="s">
        <v>8064</v>
      </c>
      <c r="I5004" s="258" t="s">
        <v>8062</v>
      </c>
      <c r="J5004" s="354">
        <f>VLOOKUP(D5004,'eAdmin File'!U:Z,6,FALSE)/100</f>
        <v>5.9400000000000001E-2</v>
      </c>
      <c r="O5004" s="2"/>
      <c r="BB5004" s="2"/>
    </row>
    <row r="5005" spans="2:54" customFormat="1" hidden="1" outlineLevel="1">
      <c r="B5005" s="2" t="s">
        <v>833</v>
      </c>
      <c r="C5005" s="2"/>
      <c r="D5005" s="258" t="s">
        <v>6870</v>
      </c>
      <c r="E5005" s="258">
        <v>3</v>
      </c>
      <c r="F5005" s="258" t="s">
        <v>497</v>
      </c>
      <c r="G5005" s="258" t="s">
        <v>184</v>
      </c>
      <c r="H5005" s="258" t="s">
        <v>8064</v>
      </c>
      <c r="I5005" s="258" t="s">
        <v>8062</v>
      </c>
      <c r="J5005" s="354">
        <f>VLOOKUP(D5005,'eAdmin File'!U:Z,6,FALSE)/100</f>
        <v>5.9400000000000001E-2</v>
      </c>
      <c r="O5005" s="2"/>
      <c r="BB5005" s="2"/>
    </row>
    <row r="5006" spans="2:54" customFormat="1" hidden="1" outlineLevel="1">
      <c r="B5006" s="2" t="s">
        <v>833</v>
      </c>
      <c r="C5006" s="2"/>
      <c r="D5006" s="258" t="s">
        <v>6874</v>
      </c>
      <c r="E5006" s="258">
        <v>4</v>
      </c>
      <c r="F5006" s="258" t="s">
        <v>497</v>
      </c>
      <c r="G5006" s="258" t="s">
        <v>184</v>
      </c>
      <c r="H5006" s="258" t="s">
        <v>8064</v>
      </c>
      <c r="I5006" s="258" t="s">
        <v>8062</v>
      </c>
      <c r="J5006" s="354">
        <f>VLOOKUP(D5006,'eAdmin File'!U:Z,6,FALSE)/100</f>
        <v>5.9900000000000002E-2</v>
      </c>
      <c r="O5006" s="2"/>
      <c r="BB5006" s="2"/>
    </row>
    <row r="5007" spans="2:54" customFormat="1" hidden="1" outlineLevel="1">
      <c r="B5007" s="2" t="s">
        <v>833</v>
      </c>
      <c r="C5007" s="2"/>
      <c r="D5007" s="258" t="s">
        <v>6878</v>
      </c>
      <c r="E5007" s="258">
        <v>5</v>
      </c>
      <c r="F5007" s="258" t="s">
        <v>497</v>
      </c>
      <c r="G5007" s="258" t="s">
        <v>184</v>
      </c>
      <c r="H5007" s="258" t="s">
        <v>8064</v>
      </c>
      <c r="I5007" s="258" t="s">
        <v>8062</v>
      </c>
      <c r="J5007" s="354">
        <f>VLOOKUP(D5007,'eAdmin File'!U:Z,6,FALSE)/100</f>
        <v>6.0899999999999996E-2</v>
      </c>
      <c r="O5007" s="2"/>
      <c r="BB5007" s="2"/>
    </row>
    <row r="5008" spans="2:54" customFormat="1" hidden="1" outlineLevel="1">
      <c r="B5008" s="2" t="s">
        <v>833</v>
      </c>
      <c r="C5008" s="2"/>
      <c r="D5008" s="258" t="s">
        <v>6835</v>
      </c>
      <c r="E5008" s="258">
        <v>1</v>
      </c>
      <c r="F5008" s="258" t="s">
        <v>493</v>
      </c>
      <c r="G5008" s="258" t="s">
        <v>184</v>
      </c>
      <c r="H5008" s="258" t="s">
        <v>8061</v>
      </c>
      <c r="I5008" s="258" t="s">
        <v>8062</v>
      </c>
      <c r="J5008" s="354">
        <f>VLOOKUP(D5008,'eAdmin File'!U:Z,6,FALSE)/100</f>
        <v>6.6900000000000001E-2</v>
      </c>
      <c r="O5008" s="2"/>
      <c r="BB5008" s="2"/>
    </row>
    <row r="5009" spans="2:54" customFormat="1" hidden="1" outlineLevel="1">
      <c r="B5009" s="2" t="s">
        <v>833</v>
      </c>
      <c r="C5009" s="2"/>
      <c r="D5009" s="258" t="s">
        <v>6839</v>
      </c>
      <c r="E5009" s="258">
        <v>2</v>
      </c>
      <c r="F5009" s="258" t="s">
        <v>493</v>
      </c>
      <c r="G5009" s="258" t="s">
        <v>184</v>
      </c>
      <c r="H5009" s="258" t="s">
        <v>8061</v>
      </c>
      <c r="I5009" s="258" t="s">
        <v>8062</v>
      </c>
      <c r="J5009" s="354">
        <f>VLOOKUP(D5009,'eAdmin File'!U:Z,6,FALSE)/100</f>
        <v>6.4899999999999999E-2</v>
      </c>
      <c r="O5009" s="2"/>
      <c r="BB5009" s="2"/>
    </row>
    <row r="5010" spans="2:54" customFormat="1" hidden="1" outlineLevel="1">
      <c r="B5010" s="2" t="s">
        <v>833</v>
      </c>
      <c r="C5010" s="2"/>
      <c r="D5010" s="258" t="s">
        <v>6843</v>
      </c>
      <c r="E5010" s="258">
        <v>3</v>
      </c>
      <c r="F5010" s="258" t="s">
        <v>493</v>
      </c>
      <c r="G5010" s="258" t="s">
        <v>184</v>
      </c>
      <c r="H5010" s="258" t="s">
        <v>8061</v>
      </c>
      <c r="I5010" s="258" t="s">
        <v>8062</v>
      </c>
      <c r="J5010" s="354">
        <f>VLOOKUP(D5010,'eAdmin File'!U:Z,6,FALSE)/100</f>
        <v>6.4899999999999999E-2</v>
      </c>
      <c r="O5010" s="2"/>
      <c r="BB5010" s="2"/>
    </row>
    <row r="5011" spans="2:54" customFormat="1" hidden="1" outlineLevel="1">
      <c r="B5011" s="2" t="s">
        <v>833</v>
      </c>
      <c r="C5011" s="2"/>
      <c r="D5011" s="258" t="s">
        <v>6847</v>
      </c>
      <c r="E5011" s="258">
        <v>4</v>
      </c>
      <c r="F5011" s="258" t="s">
        <v>493</v>
      </c>
      <c r="G5011" s="258" t="s">
        <v>184</v>
      </c>
      <c r="H5011" s="258" t="s">
        <v>8061</v>
      </c>
      <c r="I5011" s="258" t="s">
        <v>8062</v>
      </c>
      <c r="J5011" s="354">
        <f>VLOOKUP(D5011,'eAdmin File'!U:Z,6,FALSE)/100</f>
        <v>6.54E-2</v>
      </c>
      <c r="O5011" s="2"/>
      <c r="BB5011" s="2"/>
    </row>
    <row r="5012" spans="2:54" customFormat="1" hidden="1" outlineLevel="1">
      <c r="B5012" s="2" t="s">
        <v>833</v>
      </c>
      <c r="C5012" s="2"/>
      <c r="D5012" s="258" t="s">
        <v>6851</v>
      </c>
      <c r="E5012" s="258">
        <v>5</v>
      </c>
      <c r="F5012" s="258" t="s">
        <v>493</v>
      </c>
      <c r="G5012" s="258" t="s">
        <v>184</v>
      </c>
      <c r="H5012" s="258" t="s">
        <v>8061</v>
      </c>
      <c r="I5012" s="258" t="s">
        <v>8062</v>
      </c>
      <c r="J5012" s="354">
        <f>VLOOKUP(D5012,'eAdmin File'!U:Z,6,FALSE)/100</f>
        <v>6.6400000000000001E-2</v>
      </c>
      <c r="O5012" s="2"/>
      <c r="BB5012" s="2"/>
    </row>
    <row r="5013" spans="2:54" customFormat="1" hidden="1" outlineLevel="1">
      <c r="B5013" s="2" t="s">
        <v>833</v>
      </c>
      <c r="C5013" s="2"/>
      <c r="D5013" s="258" t="s">
        <v>6864</v>
      </c>
      <c r="E5013" s="258">
        <v>1</v>
      </c>
      <c r="F5013" s="258" t="s">
        <v>493</v>
      </c>
      <c r="G5013" s="258" t="s">
        <v>184</v>
      </c>
      <c r="H5013" s="258" t="s">
        <v>8064</v>
      </c>
      <c r="I5013" s="258" t="s">
        <v>8062</v>
      </c>
      <c r="J5013" s="354">
        <f>VLOOKUP(D5013,'eAdmin File'!U:Z,6,FALSE)/100</f>
        <v>6.2400000000000004E-2</v>
      </c>
      <c r="O5013" s="2"/>
      <c r="BB5013" s="2"/>
    </row>
    <row r="5014" spans="2:54" customFormat="1" hidden="1" outlineLevel="1">
      <c r="B5014" s="2" t="s">
        <v>833</v>
      </c>
      <c r="C5014" s="2"/>
      <c r="D5014" s="258" t="s">
        <v>6868</v>
      </c>
      <c r="E5014" s="258">
        <v>2</v>
      </c>
      <c r="F5014" s="258" t="s">
        <v>493</v>
      </c>
      <c r="G5014" s="258" t="s">
        <v>184</v>
      </c>
      <c r="H5014" s="258" t="s">
        <v>8064</v>
      </c>
      <c r="I5014" s="258" t="s">
        <v>8062</v>
      </c>
      <c r="J5014" s="354">
        <f>VLOOKUP(D5014,'eAdmin File'!U:Z,6,FALSE)/100</f>
        <v>6.0400000000000002E-2</v>
      </c>
      <c r="O5014" s="2"/>
      <c r="BB5014" s="2"/>
    </row>
    <row r="5015" spans="2:54" customFormat="1" hidden="1" outlineLevel="1">
      <c r="B5015" s="2" t="s">
        <v>833</v>
      </c>
      <c r="C5015" s="2"/>
      <c r="D5015" s="258" t="s">
        <v>6872</v>
      </c>
      <c r="E5015" s="258">
        <v>3</v>
      </c>
      <c r="F5015" s="258" t="s">
        <v>493</v>
      </c>
      <c r="G5015" s="258" t="s">
        <v>184</v>
      </c>
      <c r="H5015" s="258" t="s">
        <v>8064</v>
      </c>
      <c r="I5015" s="258" t="s">
        <v>8062</v>
      </c>
      <c r="J5015" s="354">
        <f>VLOOKUP(D5015,'eAdmin File'!U:Z,6,FALSE)/100</f>
        <v>6.0400000000000002E-2</v>
      </c>
      <c r="O5015" s="2"/>
      <c r="BB5015" s="2"/>
    </row>
    <row r="5016" spans="2:54" customFormat="1" hidden="1" outlineLevel="1">
      <c r="B5016" s="2" t="s">
        <v>833</v>
      </c>
      <c r="C5016" s="2"/>
      <c r="D5016" s="258" t="s">
        <v>6876</v>
      </c>
      <c r="E5016" s="258">
        <v>4</v>
      </c>
      <c r="F5016" s="258" t="s">
        <v>493</v>
      </c>
      <c r="G5016" s="258" t="s">
        <v>184</v>
      </c>
      <c r="H5016" s="258" t="s">
        <v>8064</v>
      </c>
      <c r="I5016" s="258" t="s">
        <v>8062</v>
      </c>
      <c r="J5016" s="354">
        <f>VLOOKUP(D5016,'eAdmin File'!U:Z,6,FALSE)/100</f>
        <v>6.0899999999999996E-2</v>
      </c>
      <c r="O5016" s="2"/>
      <c r="BB5016" s="2"/>
    </row>
    <row r="5017" spans="2:54" customFormat="1" hidden="1" outlineLevel="1">
      <c r="B5017" s="2" t="s">
        <v>833</v>
      </c>
      <c r="C5017" s="2"/>
      <c r="D5017" s="258" t="s">
        <v>6880</v>
      </c>
      <c r="E5017" s="258">
        <v>5</v>
      </c>
      <c r="F5017" s="258" t="s">
        <v>493</v>
      </c>
      <c r="G5017" s="258" t="s">
        <v>184</v>
      </c>
      <c r="H5017" s="258" t="s">
        <v>8064</v>
      </c>
      <c r="I5017" s="258" t="s">
        <v>8062</v>
      </c>
      <c r="J5017" s="354">
        <f>VLOOKUP(D5017,'eAdmin File'!U:Z,6,FALSE)/100</f>
        <v>6.1900000000000004E-2</v>
      </c>
      <c r="O5017" s="2"/>
      <c r="BB5017" s="2"/>
    </row>
    <row r="5018" spans="2:54" customFormat="1" hidden="1" outlineLevel="1">
      <c r="B5018" s="2" t="s">
        <v>833</v>
      </c>
      <c r="C5018" s="2"/>
      <c r="D5018" s="258" t="s">
        <v>6892</v>
      </c>
      <c r="E5018" s="258">
        <v>1</v>
      </c>
      <c r="F5018" s="258" t="s">
        <v>495</v>
      </c>
      <c r="G5018" s="258" t="s">
        <v>184</v>
      </c>
      <c r="H5018" s="258" t="s">
        <v>8061</v>
      </c>
      <c r="I5018" s="258" t="s">
        <v>8062</v>
      </c>
      <c r="J5018" s="354">
        <f>VLOOKUP(D5018,'eAdmin File'!U:Z,6,FALSE)/100</f>
        <v>6.4899999999999999E-2</v>
      </c>
      <c r="O5018" s="2"/>
      <c r="BB5018" s="2"/>
    </row>
    <row r="5019" spans="2:54" customFormat="1" hidden="1" outlineLevel="1">
      <c r="B5019" s="2" t="s">
        <v>833</v>
      </c>
      <c r="C5019" s="2"/>
      <c r="D5019" s="258" t="s">
        <v>6894</v>
      </c>
      <c r="E5019" s="258">
        <v>2</v>
      </c>
      <c r="F5019" s="258" t="s">
        <v>495</v>
      </c>
      <c r="G5019" s="258" t="s">
        <v>184</v>
      </c>
      <c r="H5019" s="258" t="s">
        <v>8061</v>
      </c>
      <c r="I5019" s="258" t="s">
        <v>8062</v>
      </c>
      <c r="J5019" s="354">
        <f>VLOOKUP(D5019,'eAdmin File'!U:Z,6,FALSE)/100</f>
        <v>6.2899999999999998E-2</v>
      </c>
      <c r="O5019" s="2"/>
      <c r="BB5019" s="2"/>
    </row>
    <row r="5020" spans="2:54" customFormat="1" hidden="1" outlineLevel="1">
      <c r="B5020" s="2" t="s">
        <v>833</v>
      </c>
      <c r="C5020" s="2"/>
      <c r="D5020" s="258" t="s">
        <v>6896</v>
      </c>
      <c r="E5020" s="258">
        <v>3</v>
      </c>
      <c r="F5020" s="258" t="s">
        <v>495</v>
      </c>
      <c r="G5020" s="258" t="s">
        <v>184</v>
      </c>
      <c r="H5020" s="258" t="s">
        <v>8061</v>
      </c>
      <c r="I5020" s="258" t="s">
        <v>8062</v>
      </c>
      <c r="J5020" s="354">
        <f>VLOOKUP(D5020,'eAdmin File'!U:Z,6,FALSE)/100</f>
        <v>6.2899999999999998E-2</v>
      </c>
      <c r="O5020" s="2"/>
      <c r="BB5020" s="2"/>
    </row>
    <row r="5021" spans="2:54" customFormat="1" hidden="1" outlineLevel="1">
      <c r="B5021" s="2" t="s">
        <v>833</v>
      </c>
      <c r="C5021" s="2"/>
      <c r="D5021" s="258" t="s">
        <v>6898</v>
      </c>
      <c r="E5021" s="258">
        <v>4</v>
      </c>
      <c r="F5021" s="258" t="s">
        <v>495</v>
      </c>
      <c r="G5021" s="258" t="s">
        <v>184</v>
      </c>
      <c r="H5021" s="258" t="s">
        <v>8061</v>
      </c>
      <c r="I5021" s="258" t="s">
        <v>8062</v>
      </c>
      <c r="J5021" s="354">
        <f>VLOOKUP(D5021,'eAdmin File'!U:Z,6,FALSE)/100</f>
        <v>6.3399999999999998E-2</v>
      </c>
      <c r="O5021" s="2"/>
      <c r="BB5021" s="2"/>
    </row>
    <row r="5022" spans="2:54" customFormat="1" hidden="1" outlineLevel="1">
      <c r="B5022" s="2" t="s">
        <v>833</v>
      </c>
      <c r="C5022" s="2"/>
      <c r="D5022" s="258" t="s">
        <v>6900</v>
      </c>
      <c r="E5022" s="258">
        <v>5</v>
      </c>
      <c r="F5022" s="258" t="s">
        <v>495</v>
      </c>
      <c r="G5022" s="258" t="s">
        <v>184</v>
      </c>
      <c r="H5022" s="258" t="s">
        <v>8061</v>
      </c>
      <c r="I5022" s="258" t="s">
        <v>8062</v>
      </c>
      <c r="J5022" s="354">
        <f>VLOOKUP(D5022,'eAdmin File'!U:Z,6,FALSE)/100</f>
        <v>6.4399999999999999E-2</v>
      </c>
      <c r="O5022" s="2"/>
      <c r="BB5022" s="2"/>
    </row>
    <row r="5023" spans="2:54" customFormat="1" hidden="1" outlineLevel="1">
      <c r="B5023" s="2" t="s">
        <v>833</v>
      </c>
      <c r="C5023" s="2"/>
      <c r="D5023" s="258" t="s">
        <v>6908</v>
      </c>
      <c r="E5023" s="258">
        <v>1</v>
      </c>
      <c r="F5023" s="258" t="s">
        <v>495</v>
      </c>
      <c r="G5023" s="258" t="s">
        <v>184</v>
      </c>
      <c r="H5023" s="258" t="s">
        <v>8064</v>
      </c>
      <c r="I5023" s="258" t="s">
        <v>8062</v>
      </c>
      <c r="J5023" s="354">
        <f>VLOOKUP(D5023,'eAdmin File'!U:Z,6,FALSE)/100</f>
        <v>6.0400000000000002E-2</v>
      </c>
      <c r="O5023" s="2"/>
      <c r="BB5023" s="2"/>
    </row>
    <row r="5024" spans="2:54" customFormat="1" hidden="1" outlineLevel="1">
      <c r="B5024" s="2" t="s">
        <v>833</v>
      </c>
      <c r="C5024" s="2"/>
      <c r="D5024" s="258" t="s">
        <v>6913</v>
      </c>
      <c r="E5024" s="258">
        <v>2</v>
      </c>
      <c r="F5024" s="258" t="s">
        <v>495</v>
      </c>
      <c r="G5024" s="258" t="s">
        <v>184</v>
      </c>
      <c r="H5024" s="258" t="s">
        <v>8064</v>
      </c>
      <c r="I5024" s="258" t="s">
        <v>8062</v>
      </c>
      <c r="J5024" s="354">
        <f>VLOOKUP(D5024,'eAdmin File'!U:Z,6,FALSE)/100</f>
        <v>5.8400000000000001E-2</v>
      </c>
      <c r="O5024" s="2"/>
      <c r="BB5024" s="2"/>
    </row>
    <row r="5025" spans="2:54" customFormat="1" hidden="1" outlineLevel="1">
      <c r="B5025" s="2" t="s">
        <v>833</v>
      </c>
      <c r="C5025" s="2"/>
      <c r="D5025" s="258" t="s">
        <v>6916</v>
      </c>
      <c r="E5025" s="258">
        <v>3</v>
      </c>
      <c r="F5025" s="258" t="s">
        <v>495</v>
      </c>
      <c r="G5025" s="258" t="s">
        <v>184</v>
      </c>
      <c r="H5025" s="258" t="s">
        <v>8064</v>
      </c>
      <c r="I5025" s="258" t="s">
        <v>8062</v>
      </c>
      <c r="J5025" s="354">
        <f>VLOOKUP(D5025,'eAdmin File'!U:Z,6,FALSE)/100</f>
        <v>5.8400000000000001E-2</v>
      </c>
      <c r="O5025" s="2"/>
      <c r="BB5025" s="2"/>
    </row>
    <row r="5026" spans="2:54" customFormat="1" hidden="1" outlineLevel="1">
      <c r="B5026" s="2" t="s">
        <v>833</v>
      </c>
      <c r="C5026" s="2"/>
      <c r="D5026" s="258" t="s">
        <v>6919</v>
      </c>
      <c r="E5026" s="258">
        <v>4</v>
      </c>
      <c r="F5026" s="258" t="s">
        <v>495</v>
      </c>
      <c r="G5026" s="258" t="s">
        <v>184</v>
      </c>
      <c r="H5026" s="258" t="s">
        <v>8064</v>
      </c>
      <c r="I5026" s="258" t="s">
        <v>8062</v>
      </c>
      <c r="J5026" s="354">
        <f>VLOOKUP(D5026,'eAdmin File'!U:Z,6,FALSE)/100</f>
        <v>5.8899999999999994E-2</v>
      </c>
      <c r="O5026" s="2"/>
      <c r="BB5026" s="2"/>
    </row>
    <row r="5027" spans="2:54" customFormat="1" hidden="1" outlineLevel="1">
      <c r="B5027" s="2" t="s">
        <v>833</v>
      </c>
      <c r="C5027" s="2"/>
      <c r="D5027" s="258" t="s">
        <v>6922</v>
      </c>
      <c r="E5027" s="258">
        <v>5</v>
      </c>
      <c r="F5027" s="258" t="s">
        <v>495</v>
      </c>
      <c r="G5027" s="258" t="s">
        <v>184</v>
      </c>
      <c r="H5027" s="258" t="s">
        <v>8064</v>
      </c>
      <c r="I5027" s="258" t="s">
        <v>8062</v>
      </c>
      <c r="J5027" s="354">
        <f>VLOOKUP(D5027,'eAdmin File'!U:Z,6,FALSE)/100</f>
        <v>5.9900000000000002E-2</v>
      </c>
      <c r="O5027" s="2"/>
      <c r="BB5027" s="2"/>
    </row>
    <row r="5028" spans="2:54" customFormat="1" hidden="1" outlineLevel="1">
      <c r="B5028" s="2" t="s">
        <v>833</v>
      </c>
      <c r="C5028" s="2"/>
      <c r="D5028" s="258" t="s">
        <v>6804</v>
      </c>
      <c r="E5028" s="258">
        <v>1</v>
      </c>
      <c r="F5028" s="258" t="s">
        <v>495</v>
      </c>
      <c r="G5028" s="258" t="s">
        <v>184</v>
      </c>
      <c r="H5028" s="258" t="s">
        <v>8063</v>
      </c>
      <c r="I5028" s="258" t="s">
        <v>8062</v>
      </c>
      <c r="J5028" s="354">
        <f>VLOOKUP(D5028,'eAdmin File'!U:Z,6,FALSE)/100</f>
        <v>5.2400000000000002E-2</v>
      </c>
      <c r="O5028" s="2"/>
      <c r="BB5028" s="2"/>
    </row>
    <row r="5029" spans="2:54" customFormat="1" hidden="1" outlineLevel="1">
      <c r="B5029" s="2" t="s">
        <v>833</v>
      </c>
      <c r="C5029" s="2"/>
      <c r="D5029" s="258" t="s">
        <v>6808</v>
      </c>
      <c r="E5029" s="258">
        <v>2</v>
      </c>
      <c r="F5029" s="258" t="s">
        <v>495</v>
      </c>
      <c r="G5029" s="258" t="s">
        <v>184</v>
      </c>
      <c r="H5029" s="258" t="s">
        <v>8063</v>
      </c>
      <c r="I5029" s="258" t="s">
        <v>8062</v>
      </c>
      <c r="J5029" s="354">
        <f>VLOOKUP(D5029,'eAdmin File'!U:Z,6,FALSE)/100</f>
        <v>5.74E-2</v>
      </c>
      <c r="O5029" s="2"/>
      <c r="BB5029" s="2"/>
    </row>
    <row r="5030" spans="2:54" customFormat="1" hidden="1" outlineLevel="1">
      <c r="B5030" s="2" t="s">
        <v>833</v>
      </c>
      <c r="C5030" s="2"/>
      <c r="D5030" s="258" t="s">
        <v>6812</v>
      </c>
      <c r="E5030" s="258">
        <v>3</v>
      </c>
      <c r="F5030" s="258" t="s">
        <v>495</v>
      </c>
      <c r="G5030" s="258" t="s">
        <v>184</v>
      </c>
      <c r="H5030" s="258" t="s">
        <v>8063</v>
      </c>
      <c r="I5030" s="258" t="s">
        <v>8062</v>
      </c>
      <c r="J5030" s="354">
        <f>VLOOKUP(D5030,'eAdmin File'!U:Z,6,FALSE)/100</f>
        <v>6.1399999999999996E-2</v>
      </c>
      <c r="O5030" s="2"/>
      <c r="BB5030" s="2"/>
    </row>
    <row r="5031" spans="2:54" customFormat="1" hidden="1" outlineLevel="1">
      <c r="B5031" s="2" t="s">
        <v>833</v>
      </c>
      <c r="C5031" s="2"/>
      <c r="D5031" s="258" t="s">
        <v>6816</v>
      </c>
      <c r="E5031" s="258">
        <v>4</v>
      </c>
      <c r="F5031" s="258" t="s">
        <v>495</v>
      </c>
      <c r="G5031" s="258" t="s">
        <v>184</v>
      </c>
      <c r="H5031" s="258" t="s">
        <v>8063</v>
      </c>
      <c r="I5031" s="258" t="s">
        <v>8062</v>
      </c>
      <c r="J5031" s="354">
        <f>VLOOKUP(D5031,'eAdmin File'!U:Z,6,FALSE)/100</f>
        <v>6.3399999999999998E-2</v>
      </c>
      <c r="O5031" s="2"/>
      <c r="BB5031" s="2"/>
    </row>
    <row r="5032" spans="2:54" customFormat="1" hidden="1" outlineLevel="1">
      <c r="B5032" s="2" t="s">
        <v>833</v>
      </c>
      <c r="C5032" s="2"/>
      <c r="D5032" s="258" t="s">
        <v>6820</v>
      </c>
      <c r="E5032" s="258">
        <v>5</v>
      </c>
      <c r="F5032" s="258" t="s">
        <v>495</v>
      </c>
      <c r="G5032" s="258" t="s">
        <v>184</v>
      </c>
      <c r="H5032" s="258" t="s">
        <v>8063</v>
      </c>
      <c r="I5032" s="258" t="s">
        <v>8062</v>
      </c>
      <c r="J5032" s="354">
        <f>VLOOKUP(D5032,'eAdmin File'!U:Z,6,FALSE)/100</f>
        <v>6.4399999999999999E-2</v>
      </c>
      <c r="O5032" s="2"/>
      <c r="BB5032" s="2"/>
    </row>
    <row r="5033" spans="2:54" customFormat="1" hidden="1" outlineLevel="1">
      <c r="B5033" s="2" t="s">
        <v>833</v>
      </c>
      <c r="C5033" s="2"/>
      <c r="D5033" s="258"/>
      <c r="E5033" s="258"/>
      <c r="F5033" s="258"/>
      <c r="G5033" s="258"/>
      <c r="H5033" s="258"/>
      <c r="I5033" s="258"/>
      <c r="J5033" s="354"/>
      <c r="O5033" s="2"/>
      <c r="BB5033" s="2"/>
    </row>
    <row r="5034" spans="2:54" collapsed="1">
      <c r="B5034" s="2" t="s">
        <v>833</v>
      </c>
      <c r="C5034" s="246" t="s">
        <v>4878</v>
      </c>
      <c r="D5034" s="210" t="s">
        <v>843</v>
      </c>
      <c r="E5034" s="210" t="s">
        <v>844</v>
      </c>
      <c r="F5034" s="210" t="s">
        <v>845</v>
      </c>
      <c r="G5034" s="210" t="s">
        <v>846</v>
      </c>
      <c r="H5034" s="210" t="s">
        <v>847</v>
      </c>
      <c r="I5034" s="210" t="s">
        <v>848</v>
      </c>
      <c r="J5034" s="209" t="s">
        <v>849</v>
      </c>
      <c r="K5034" s="210" t="s">
        <v>850</v>
      </c>
      <c r="L5034" s="210" t="s">
        <v>8055</v>
      </c>
      <c r="M5034" s="210" t="s">
        <v>8168</v>
      </c>
      <c r="N5034" s="210" t="s">
        <v>8571</v>
      </c>
      <c r="O5034" s="210" t="s">
        <v>8755</v>
      </c>
      <c r="P5034" s="210" t="s">
        <v>8892</v>
      </c>
      <c r="Q5034" s="295"/>
    </row>
    <row r="5035" spans="2:54" hidden="1" outlineLevel="1">
      <c r="B5035" s="2" t="s">
        <v>833</v>
      </c>
    </row>
    <row r="5036" spans="2:54" hidden="1" outlineLevel="1">
      <c r="B5036" s="2" t="s">
        <v>833</v>
      </c>
      <c r="C5036" s="137" t="s">
        <v>4878</v>
      </c>
      <c r="D5036" s="145" t="s">
        <v>4879</v>
      </c>
      <c r="E5036" s="145" t="s">
        <v>4880</v>
      </c>
      <c r="F5036" s="145" t="s">
        <v>4881</v>
      </c>
    </row>
    <row r="5037" spans="2:54" hidden="1" outlineLevel="1">
      <c r="B5037" s="2" t="s">
        <v>833</v>
      </c>
      <c r="D5037" s="112" t="s">
        <v>430</v>
      </c>
      <c r="E5037" s="112" t="s">
        <v>4882</v>
      </c>
      <c r="F5037" s="112" t="s">
        <v>207</v>
      </c>
    </row>
    <row r="5038" spans="2:54" hidden="1" outlineLevel="1">
      <c r="B5038" s="2" t="s">
        <v>833</v>
      </c>
      <c r="D5038" s="114" t="s">
        <v>432</v>
      </c>
      <c r="E5038" s="114" t="s">
        <v>235</v>
      </c>
      <c r="F5038" s="114" t="s">
        <v>209</v>
      </c>
    </row>
    <row r="5039" spans="2:54" hidden="1" outlineLevel="1">
      <c r="B5039" s="2" t="s">
        <v>833</v>
      </c>
      <c r="D5039" s="112" t="s">
        <v>429</v>
      </c>
      <c r="E5039" s="112" t="s">
        <v>4883</v>
      </c>
      <c r="F5039" s="112" t="s">
        <v>211</v>
      </c>
    </row>
    <row r="5040" spans="2:54" hidden="1" outlineLevel="1">
      <c r="B5040" s="2" t="s">
        <v>833</v>
      </c>
      <c r="D5040" s="114" t="s">
        <v>420</v>
      </c>
      <c r="E5040" s="114" t="s">
        <v>4884</v>
      </c>
      <c r="F5040" s="114" t="s">
        <v>213</v>
      </c>
    </row>
    <row r="5041" spans="2:17" hidden="1" outlineLevel="1">
      <c r="B5041" s="2" t="s">
        <v>833</v>
      </c>
      <c r="D5041" s="112" t="s">
        <v>422</v>
      </c>
      <c r="E5041" s="112" t="s">
        <v>4885</v>
      </c>
      <c r="F5041" s="112" t="s">
        <v>216</v>
      </c>
    </row>
    <row r="5042" spans="2:17" hidden="1" outlineLevel="1">
      <c r="B5042" s="2" t="s">
        <v>833</v>
      </c>
      <c r="D5042" s="114" t="s">
        <v>431</v>
      </c>
      <c r="E5042" s="114" t="s">
        <v>821</v>
      </c>
      <c r="F5042" s="114" t="s">
        <v>219</v>
      </c>
    </row>
    <row r="5043" spans="2:17" hidden="1" outlineLevel="1">
      <c r="B5043" s="2" t="s">
        <v>833</v>
      </c>
      <c r="D5043" s="112" t="s">
        <v>1416</v>
      </c>
      <c r="F5043" s="112" t="s">
        <v>222</v>
      </c>
    </row>
    <row r="5044" spans="2:17" hidden="1" outlineLevel="1">
      <c r="B5044" s="2" t="s">
        <v>833</v>
      </c>
      <c r="D5044" s="114" t="s">
        <v>433</v>
      </c>
      <c r="F5044" s="114" t="s">
        <v>4886</v>
      </c>
    </row>
    <row r="5045" spans="2:17" hidden="1" outlineLevel="1">
      <c r="B5045" s="2" t="s">
        <v>833</v>
      </c>
      <c r="D5045" s="112" t="s">
        <v>4887</v>
      </c>
    </row>
    <row r="5046" spans="2:17" hidden="1" outlineLevel="1">
      <c r="B5046" s="2" t="s">
        <v>833</v>
      </c>
      <c r="D5046" s="114" t="s">
        <v>4888</v>
      </c>
    </row>
    <row r="5047" spans="2:17" hidden="1" outlineLevel="1">
      <c r="B5047" s="2" t="s">
        <v>833</v>
      </c>
      <c r="D5047" s="112" t="s">
        <v>231</v>
      </c>
      <c r="E5047" s="191"/>
    </row>
    <row r="5048" spans="2:17" hidden="1" outlineLevel="1">
      <c r="B5048" s="2" t="s">
        <v>833</v>
      </c>
      <c r="D5048" s="114" t="s">
        <v>4889</v>
      </c>
      <c r="E5048" s="191"/>
      <c r="F5048" s="258"/>
    </row>
    <row r="5049" spans="2:17" hidden="1" outlineLevel="1">
      <c r="B5049" s="2" t="s">
        <v>833</v>
      </c>
      <c r="D5049" s="191"/>
      <c r="E5049" s="191"/>
      <c r="F5049" s="258"/>
    </row>
    <row r="5050" spans="2:17" hidden="1" outlineLevel="1">
      <c r="B5050" s="2" t="s">
        <v>833</v>
      </c>
    </row>
    <row r="5051" spans="2:17" collapsed="1">
      <c r="B5051" s="2" t="s">
        <v>833</v>
      </c>
      <c r="C5051" s="246" t="s">
        <v>4890</v>
      </c>
      <c r="D5051" s="210" t="s">
        <v>843</v>
      </c>
      <c r="E5051" s="210" t="s">
        <v>844</v>
      </c>
      <c r="F5051" s="210" t="s">
        <v>845</v>
      </c>
      <c r="G5051" s="210" t="s">
        <v>846</v>
      </c>
      <c r="H5051" s="210" t="s">
        <v>847</v>
      </c>
      <c r="I5051" s="210" t="s">
        <v>848</v>
      </c>
      <c r="J5051" s="209" t="s">
        <v>849</v>
      </c>
      <c r="K5051" s="210" t="s">
        <v>850</v>
      </c>
      <c r="L5051" s="210" t="s">
        <v>8055</v>
      </c>
      <c r="M5051" s="210" t="s">
        <v>8168</v>
      </c>
      <c r="N5051" s="210" t="s">
        <v>8571</v>
      </c>
      <c r="O5051" s="210" t="s">
        <v>8755</v>
      </c>
      <c r="P5051" s="210" t="s">
        <v>8892</v>
      </c>
      <c r="Q5051" s="295"/>
    </row>
    <row r="5052" spans="2:17" hidden="1" outlineLevel="1">
      <c r="B5052" s="2" t="s">
        <v>833</v>
      </c>
    </row>
    <row r="5053" spans="2:17" hidden="1" outlineLevel="1">
      <c r="B5053" s="2" t="s">
        <v>833</v>
      </c>
      <c r="C5053" s="114" t="s">
        <v>506</v>
      </c>
      <c r="D5053" s="114" t="s">
        <v>4891</v>
      </c>
      <c r="E5053" s="114">
        <f>VLOOKUP(D5053,'eAdmin File'!U:Z,6,FALSE)/100</f>
        <v>0.10009999999999999</v>
      </c>
      <c r="G5053" s="2" t="s">
        <v>6479</v>
      </c>
    </row>
    <row r="5054" spans="2:17" hidden="1" outlineLevel="1">
      <c r="B5054" s="2" t="s">
        <v>833</v>
      </c>
      <c r="C5054" s="112" t="s">
        <v>4248</v>
      </c>
      <c r="D5054" s="112" t="s">
        <v>4892</v>
      </c>
      <c r="E5054" s="112">
        <f>VLOOKUP(D5054,'eAdmin File'!U:Z,6,FALSE)/100</f>
        <v>6.3399999999999998E-2</v>
      </c>
    </row>
    <row r="5055" spans="2:17" hidden="1" outlineLevel="1">
      <c r="B5055" s="2" t="s">
        <v>833</v>
      </c>
      <c r="C5055" s="112" t="s">
        <v>4250</v>
      </c>
      <c r="D5055" s="112" t="s">
        <v>4893</v>
      </c>
      <c r="E5055" s="112">
        <f>VLOOKUP(D5055,'eAdmin File'!U:Z,6,FALSE)/100</f>
        <v>6.1900000000000004E-2</v>
      </c>
    </row>
    <row r="5056" spans="2:17" hidden="1" outlineLevel="1">
      <c r="B5056" s="2" t="s">
        <v>833</v>
      </c>
      <c r="C5056" s="112" t="s">
        <v>4252</v>
      </c>
      <c r="D5056" s="112" t="s">
        <v>4894</v>
      </c>
      <c r="E5056" s="112">
        <f>VLOOKUP(D5056,'eAdmin File'!U:Z,6,FALSE)/100</f>
        <v>6.1900000000000004E-2</v>
      </c>
    </row>
    <row r="5057" spans="2:6" hidden="1" outlineLevel="1">
      <c r="B5057" s="2" t="s">
        <v>833</v>
      </c>
      <c r="C5057" s="112" t="s">
        <v>4254</v>
      </c>
      <c r="D5057" s="112" t="s">
        <v>4895</v>
      </c>
      <c r="E5057" s="112">
        <f>VLOOKUP(D5057,'eAdmin File'!U:Z,6,FALSE)/100</f>
        <v>6.3399999999999998E-2</v>
      </c>
    </row>
    <row r="5058" spans="2:6" hidden="1" outlineLevel="1">
      <c r="B5058" s="2" t="s">
        <v>833</v>
      </c>
      <c r="C5058" s="112" t="s">
        <v>4256</v>
      </c>
      <c r="D5058" s="112" t="s">
        <v>4896</v>
      </c>
      <c r="E5058" s="112">
        <f>VLOOKUP(D5058,'eAdmin File'!U:Z,6,FALSE)/100</f>
        <v>6.4399999999999999E-2</v>
      </c>
    </row>
    <row r="5059" spans="2:6" hidden="1" outlineLevel="1">
      <c r="B5059" s="2" t="s">
        <v>833</v>
      </c>
      <c r="C5059" s="112" t="s">
        <v>4258</v>
      </c>
      <c r="D5059" s="112" t="s">
        <v>4897</v>
      </c>
      <c r="E5059" s="112">
        <f>VLOOKUP(D5059,'eAdmin File'!U:Z,6,FALSE)/100</f>
        <v>7.690000000000001E-2</v>
      </c>
    </row>
    <row r="5060" spans="2:6" hidden="1" outlineLevel="1">
      <c r="B5060" s="2" t="s">
        <v>833</v>
      </c>
      <c r="C5060" s="112" t="s">
        <v>4263</v>
      </c>
      <c r="D5060" s="112" t="s">
        <v>4898</v>
      </c>
      <c r="E5060" s="112">
        <f>VLOOKUP(D5060,'eAdmin File'!U:Z,6,FALSE)/100</f>
        <v>7.690000000000001E-2</v>
      </c>
    </row>
    <row r="5061" spans="2:6" hidden="1" outlineLevel="1">
      <c r="B5061" s="2" t="s">
        <v>833</v>
      </c>
      <c r="C5061" s="114" t="s">
        <v>4318</v>
      </c>
      <c r="D5061" s="114" t="s">
        <v>4759</v>
      </c>
      <c r="E5061" s="114">
        <f>VLOOKUP(D5061,'eAdmin File'!U:Z,6,FALSE)/100</f>
        <v>7.7399999999999997E-2</v>
      </c>
    </row>
    <row r="5062" spans="2:6" hidden="1" outlineLevel="1">
      <c r="B5062" s="2" t="s">
        <v>833</v>
      </c>
      <c r="C5062" s="114" t="s">
        <v>8647</v>
      </c>
      <c r="D5062" s="114" t="s">
        <v>6157</v>
      </c>
      <c r="E5062" s="114">
        <f>VLOOKUP(D5062,'eAdmin File'!U:Z,6,FALSE)/100</f>
        <v>6.2899999999999998E-2</v>
      </c>
      <c r="F5062" s="2" t="s">
        <v>8644</v>
      </c>
    </row>
    <row r="5063" spans="2:6" hidden="1" outlineLevel="1">
      <c r="B5063" s="2" t="s">
        <v>833</v>
      </c>
      <c r="C5063" s="112" t="s">
        <v>409</v>
      </c>
      <c r="D5063" s="112" t="s">
        <v>4748</v>
      </c>
      <c r="E5063" s="112">
        <f>VLOOKUP(D5063,'eAdmin File'!U:Z,6,FALSE)/100</f>
        <v>8.3900000000000002E-2</v>
      </c>
      <c r="F5063" s="112" t="s">
        <v>4899</v>
      </c>
    </row>
    <row r="5064" spans="2:6" hidden="1" outlineLevel="1">
      <c r="B5064" s="2" t="s">
        <v>833</v>
      </c>
      <c r="C5064" s="345" t="s">
        <v>7920</v>
      </c>
      <c r="D5064" s="345" t="s">
        <v>6397</v>
      </c>
      <c r="E5064" s="345">
        <f>VLOOKUP(D5064,'eAdmin File'!U:Z,6,FALSE)/100</f>
        <v>6.9900000000000004E-2</v>
      </c>
      <c r="F5064" s="258"/>
    </row>
    <row r="5065" spans="2:6" hidden="1" outlineLevel="1">
      <c r="B5065" s="2" t="s">
        <v>833</v>
      </c>
      <c r="C5065" s="345" t="str">
        <f>"PHL.PHLHD."&amp;D5065</f>
        <v>PHL.PHLHD.HOO81PIR</v>
      </c>
      <c r="D5065" s="345" t="s">
        <v>6401</v>
      </c>
      <c r="E5065" s="345">
        <f>VLOOKUP(D5065,'eAdmin File'!U:Z,6,FALSE)/100</f>
        <v>7.1900000000000006E-2</v>
      </c>
      <c r="F5065" s="112" t="s">
        <v>7921</v>
      </c>
    </row>
    <row r="5066" spans="2:6" hidden="1" outlineLevel="1">
      <c r="B5066" s="2" t="s">
        <v>833</v>
      </c>
      <c r="C5066" s="345" t="str">
        <f>"PHL.PHLHD."&amp;D5066</f>
        <v>PHL.PHLHD.HOO80IOR</v>
      </c>
      <c r="D5066" s="345" t="s">
        <v>6399</v>
      </c>
      <c r="E5066" s="345">
        <f>VLOOKUP(D5066,'eAdmin File'!U:Z,6,FALSE)/100</f>
        <v>7.5399999999999995E-2</v>
      </c>
      <c r="F5066" s="258"/>
    </row>
    <row r="5067" spans="2:6" hidden="1" outlineLevel="1">
      <c r="B5067" s="2" t="s">
        <v>833</v>
      </c>
      <c r="C5067" s="345" t="str">
        <f>"PHL.PHLHD."&amp;D5067</f>
        <v>PHL.PHLHD.HOO81IOR</v>
      </c>
      <c r="D5067" s="345" t="s">
        <v>6403</v>
      </c>
      <c r="E5067" s="345">
        <f>VLOOKUP(D5067,'eAdmin File'!U:Z,6,FALSE)/100</f>
        <v>7.7399999999999997E-2</v>
      </c>
      <c r="F5067" s="258"/>
    </row>
    <row r="5068" spans="2:6" hidden="1" outlineLevel="1">
      <c r="B5068" s="2" t="s">
        <v>833</v>
      </c>
      <c r="C5068" s="114" t="s">
        <v>4276</v>
      </c>
      <c r="D5068" s="114" t="s">
        <v>4900</v>
      </c>
      <c r="E5068" s="114">
        <f>VLOOKUP(D5068,'eAdmin File'!U:Z,6,FALSE)/100</f>
        <v>6.54E-2</v>
      </c>
    </row>
    <row r="5069" spans="2:6" hidden="1" outlineLevel="1">
      <c r="B5069" s="2" t="s">
        <v>833</v>
      </c>
      <c r="C5069" s="114" t="s">
        <v>4278</v>
      </c>
      <c r="D5069" s="114" t="s">
        <v>4901</v>
      </c>
      <c r="E5069" s="114">
        <f>VLOOKUP(D5069,'eAdmin File'!U:Z,6,FALSE)/100</f>
        <v>6.3899999999999998E-2</v>
      </c>
    </row>
    <row r="5070" spans="2:6" hidden="1" outlineLevel="1">
      <c r="B5070" s="2" t="s">
        <v>833</v>
      </c>
      <c r="C5070" s="114" t="s">
        <v>4280</v>
      </c>
      <c r="D5070" s="114" t="s">
        <v>4902</v>
      </c>
      <c r="E5070" s="114">
        <f>VLOOKUP(D5070,'eAdmin File'!U:Z,6,FALSE)/100</f>
        <v>6.3899999999999998E-2</v>
      </c>
    </row>
    <row r="5071" spans="2:6" hidden="1" outlineLevel="1">
      <c r="B5071" s="2" t="s">
        <v>833</v>
      </c>
      <c r="C5071" s="114" t="s">
        <v>4282</v>
      </c>
      <c r="D5071" s="114" t="s">
        <v>4903</v>
      </c>
      <c r="E5071" s="114">
        <f>VLOOKUP(D5071,'eAdmin File'!U:Z,6,FALSE)/100</f>
        <v>6.4399999999999999E-2</v>
      </c>
    </row>
    <row r="5072" spans="2:6" hidden="1" outlineLevel="1">
      <c r="B5072" s="2" t="s">
        <v>833</v>
      </c>
      <c r="C5072" s="114" t="s">
        <v>4284</v>
      </c>
      <c r="D5072" s="114" t="s">
        <v>4904</v>
      </c>
      <c r="E5072" s="114">
        <f>VLOOKUP(D5072,'eAdmin File'!U:Z,6,FALSE)/100</f>
        <v>6.54E-2</v>
      </c>
    </row>
    <row r="5073" spans="2:6" hidden="1" outlineLevel="1">
      <c r="B5073" s="2" t="s">
        <v>833</v>
      </c>
      <c r="C5073" s="114" t="s">
        <v>4286</v>
      </c>
      <c r="D5073" s="114" t="s">
        <v>4905</v>
      </c>
      <c r="E5073" s="114">
        <f>VLOOKUP(D5073,'eAdmin File'!U:Z,6,FALSE)/100</f>
        <v>7.690000000000001E-2</v>
      </c>
    </row>
    <row r="5074" spans="2:6" hidden="1" outlineLevel="1">
      <c r="B5074" s="2" t="s">
        <v>833</v>
      </c>
      <c r="C5074" s="114" t="s">
        <v>4289</v>
      </c>
      <c r="D5074" s="114" t="s">
        <v>4906</v>
      </c>
      <c r="E5074" s="114">
        <f>VLOOKUP(D5074,'eAdmin File'!U:Z,6,FALSE)/100</f>
        <v>7.690000000000001E-2</v>
      </c>
    </row>
    <row r="5075" spans="2:6" hidden="1" outlineLevel="1">
      <c r="B5075" s="2" t="s">
        <v>833</v>
      </c>
      <c r="C5075" s="112" t="s">
        <v>8572</v>
      </c>
      <c r="D5075" s="112" t="s">
        <v>8322</v>
      </c>
      <c r="E5075" s="112">
        <f>VLOOKUP(D5075,'eAdmin File'!U:Z,6,FALSE)/100</f>
        <v>6.4899999999999999E-2</v>
      </c>
    </row>
    <row r="5076" spans="2:6" hidden="1" outlineLevel="1">
      <c r="B5076" s="2" t="s">
        <v>833</v>
      </c>
      <c r="C5076" s="112" t="s">
        <v>8573</v>
      </c>
      <c r="D5076" s="112" t="s">
        <v>8324</v>
      </c>
      <c r="E5076" s="112">
        <f>VLOOKUP(D5076,'eAdmin File'!U:Z,6,FALSE)/100</f>
        <v>6.2899999999999998E-2</v>
      </c>
    </row>
    <row r="5077" spans="2:6" hidden="1" outlineLevel="1">
      <c r="B5077" s="2" t="s">
        <v>833</v>
      </c>
      <c r="C5077" s="112" t="s">
        <v>8574</v>
      </c>
      <c r="D5077" s="112" t="s">
        <v>8326</v>
      </c>
      <c r="E5077" s="112">
        <f>VLOOKUP(D5077,'eAdmin File'!U:Z,6,FALSE)/100</f>
        <v>6.2899999999999998E-2</v>
      </c>
    </row>
    <row r="5078" spans="2:6" hidden="1" outlineLevel="1">
      <c r="B5078" s="2" t="s">
        <v>833</v>
      </c>
      <c r="C5078" s="112" t="s">
        <v>8575</v>
      </c>
      <c r="D5078" s="112" t="s">
        <v>8328</v>
      </c>
      <c r="E5078" s="112">
        <f>VLOOKUP(D5078,'eAdmin File'!U:Z,6,FALSE)/100</f>
        <v>6.3399999999999998E-2</v>
      </c>
    </row>
    <row r="5079" spans="2:6" hidden="1" outlineLevel="1">
      <c r="B5079" s="2" t="s">
        <v>833</v>
      </c>
      <c r="C5079" s="112" t="s">
        <v>8576</v>
      </c>
      <c r="D5079" s="112" t="s">
        <v>8330</v>
      </c>
      <c r="E5079" s="112">
        <f>VLOOKUP(D5079,'eAdmin File'!U:Z,6,FALSE)/100</f>
        <v>6.4399999999999999E-2</v>
      </c>
    </row>
    <row r="5080" spans="2:6" hidden="1" outlineLevel="1">
      <c r="B5080" s="2" t="s">
        <v>833</v>
      </c>
      <c r="C5080" s="112" t="s">
        <v>8577</v>
      </c>
      <c r="D5080" s="112" t="s">
        <v>8332</v>
      </c>
      <c r="E5080" s="112">
        <f>VLOOKUP(D5080,'eAdmin File'!U:Z,6,FALSE)/100</f>
        <v>7.4900000000000008E-2</v>
      </c>
    </row>
    <row r="5081" spans="2:6" hidden="1" outlineLevel="1">
      <c r="B5081" s="2" t="s">
        <v>833</v>
      </c>
      <c r="C5081" s="112" t="s">
        <v>8578</v>
      </c>
      <c r="D5081" s="112" t="s">
        <v>8334</v>
      </c>
      <c r="E5081" s="112">
        <f>VLOOKUP(D5081,'eAdmin File'!U:Z,6,FALSE)/100</f>
        <v>7.4900000000000008E-2</v>
      </c>
    </row>
    <row r="5082" spans="2:6" hidden="1" outlineLevel="1">
      <c r="B5082" s="2" t="s">
        <v>833</v>
      </c>
      <c r="C5082" s="114" t="s">
        <v>4320</v>
      </c>
      <c r="D5082" s="114" t="s">
        <v>4762</v>
      </c>
      <c r="E5082" s="114">
        <f>VLOOKUP(D5082,'eAdmin File'!U:Z,6,FALSE)/100</f>
        <v>7.7399999999999997E-2</v>
      </c>
    </row>
    <row r="5083" spans="2:6" hidden="1" outlineLevel="1">
      <c r="B5083" s="2" t="s">
        <v>833</v>
      </c>
      <c r="C5083" s="114" t="s">
        <v>8646</v>
      </c>
      <c r="D5083" s="114" t="s">
        <v>6705</v>
      </c>
      <c r="E5083" s="114">
        <f>VLOOKUP(D5083,'eAdmin File'!U:Z,6,FALSE)/100</f>
        <v>6.54E-2</v>
      </c>
      <c r="F5083" s="112" t="s">
        <v>8645</v>
      </c>
    </row>
    <row r="5084" spans="2:6" hidden="1" outlineLevel="1">
      <c r="B5084" s="2" t="s">
        <v>833</v>
      </c>
      <c r="C5084" s="112" t="s">
        <v>481</v>
      </c>
      <c r="D5084" s="112" t="s">
        <v>4754</v>
      </c>
      <c r="E5084" s="112">
        <f>VLOOKUP(D5084,'eAdmin File'!U:Z,6,FALSE)/100</f>
        <v>8.9900000000000008E-2</v>
      </c>
      <c r="F5084" s="114" t="s">
        <v>4914</v>
      </c>
    </row>
    <row r="5085" spans="2:6" hidden="1" outlineLevel="1">
      <c r="B5085" s="2" t="s">
        <v>833</v>
      </c>
      <c r="C5085" s="345" t="str">
        <f>"PRL.PRLHD."&amp;D5085</f>
        <v>PRL.PRLHD.HINV80PIR</v>
      </c>
      <c r="D5085" s="345" t="s">
        <v>6941</v>
      </c>
      <c r="E5085" s="345">
        <f>VLOOKUP(D5085,'eAdmin File'!U:Z,6,FALSE)/100</f>
        <v>7.5899999999999995E-2</v>
      </c>
    </row>
    <row r="5086" spans="2:6" hidden="1" outlineLevel="1">
      <c r="B5086" s="2" t="s">
        <v>833</v>
      </c>
      <c r="C5086" s="345" t="str">
        <f>"PRL.PRLHD."&amp;D5086</f>
        <v>PRL.PRLHD.HINV81PIR</v>
      </c>
      <c r="D5086" s="345" t="s">
        <v>6945</v>
      </c>
      <c r="E5086" s="345">
        <f>VLOOKUP(D5086,'eAdmin File'!U:Z,6,FALSE)/100</f>
        <v>7.7899999999999997E-2</v>
      </c>
      <c r="F5086" s="112" t="s">
        <v>7922</v>
      </c>
    </row>
    <row r="5087" spans="2:6" hidden="1" outlineLevel="1">
      <c r="B5087" s="2" t="s">
        <v>833</v>
      </c>
      <c r="C5087" s="345" t="str">
        <f>"PRL.PRLHD."&amp;D5087</f>
        <v>PRL.PRLHD.HINV80IOR</v>
      </c>
      <c r="D5087" s="345" t="s">
        <v>6943</v>
      </c>
      <c r="E5087" s="345">
        <f>VLOOKUP(D5087,'eAdmin File'!U:Z,6,FALSE)/100</f>
        <v>7.8399999999999997E-2</v>
      </c>
    </row>
    <row r="5088" spans="2:6" ht="16" hidden="1" outlineLevel="1" thickBot="1">
      <c r="B5088" s="2" t="s">
        <v>833</v>
      </c>
      <c r="C5088" s="346" t="str">
        <f>"PRL.PRLHD."&amp;D5088</f>
        <v>PRL.PRLHD.HINV81IOR</v>
      </c>
      <c r="D5088" s="346" t="s">
        <v>6947</v>
      </c>
      <c r="E5088" s="346">
        <f>VLOOKUP(D5088,'eAdmin File'!U:Z,6,FALSE)/100</f>
        <v>8.0399999999999985E-2</v>
      </c>
    </row>
    <row r="5089" spans="2:5" hidden="1" outlineLevel="1">
      <c r="B5089" s="2" t="s">
        <v>833</v>
      </c>
      <c r="C5089" s="114" t="s">
        <v>4268</v>
      </c>
      <c r="D5089" s="114" t="s">
        <v>4915</v>
      </c>
      <c r="E5089" s="114">
        <f>VLOOKUP(D5089,'eAdmin File'!U:Z,6,FALSE)/100</f>
        <v>6.7900000000000002E-2</v>
      </c>
    </row>
    <row r="5090" spans="2:5" hidden="1" outlineLevel="1">
      <c r="B5090" s="2" t="s">
        <v>833</v>
      </c>
      <c r="C5090" s="114" t="s">
        <v>4269</v>
      </c>
      <c r="D5090" s="114" t="s">
        <v>4916</v>
      </c>
      <c r="E5090" s="114">
        <f>VLOOKUP(D5090,'eAdmin File'!U:Z,6,FALSE)/100</f>
        <v>6.4899999999999999E-2</v>
      </c>
    </row>
    <row r="5091" spans="2:5" hidden="1" outlineLevel="1">
      <c r="B5091" s="2" t="s">
        <v>833</v>
      </c>
      <c r="C5091" s="114" t="s">
        <v>4270</v>
      </c>
      <c r="D5091" s="114" t="s">
        <v>4917</v>
      </c>
      <c r="E5091" s="114">
        <f>VLOOKUP(D5091,'eAdmin File'!U:Z,6,FALSE)/100</f>
        <v>6.4899999999999999E-2</v>
      </c>
    </row>
    <row r="5092" spans="2:5" hidden="1" outlineLevel="1">
      <c r="B5092" s="2" t="s">
        <v>833</v>
      </c>
      <c r="C5092" s="114" t="s">
        <v>4271</v>
      </c>
      <c r="D5092" s="114" t="s">
        <v>4918</v>
      </c>
      <c r="E5092" s="114">
        <f>VLOOKUP(D5092,'eAdmin File'!U:Z,6,FALSE)/100</f>
        <v>6.54E-2</v>
      </c>
    </row>
    <row r="5093" spans="2:5" hidden="1" outlineLevel="1">
      <c r="B5093" s="2" t="s">
        <v>833</v>
      </c>
      <c r="C5093" s="114" t="s">
        <v>4272</v>
      </c>
      <c r="D5093" s="114" t="s">
        <v>4919</v>
      </c>
      <c r="E5093" s="114">
        <f>VLOOKUP(D5093,'eAdmin File'!U:Z,6,FALSE)/100</f>
        <v>6.6400000000000001E-2</v>
      </c>
    </row>
    <row r="5094" spans="2:5" hidden="1" outlineLevel="1">
      <c r="B5094" s="2" t="s">
        <v>833</v>
      </c>
      <c r="C5094" s="114" t="s">
        <v>4273</v>
      </c>
      <c r="D5094" s="114" t="s">
        <v>4920</v>
      </c>
      <c r="E5094" s="114">
        <f>VLOOKUP(D5094,'eAdmin File'!U:Z,6,FALSE)/100</f>
        <v>7.690000000000001E-2</v>
      </c>
    </row>
    <row r="5095" spans="2:5" hidden="1" outlineLevel="1">
      <c r="B5095" s="2" t="s">
        <v>833</v>
      </c>
      <c r="C5095" s="114" t="s">
        <v>4275</v>
      </c>
      <c r="D5095" s="114" t="s">
        <v>4921</v>
      </c>
      <c r="E5095" s="114">
        <f>VLOOKUP(D5095,'eAdmin File'!U:Z,6,FALSE)/100</f>
        <v>7.690000000000001E-2</v>
      </c>
    </row>
    <row r="5096" spans="2:5" hidden="1" outlineLevel="1">
      <c r="B5096" s="2" t="s">
        <v>833</v>
      </c>
      <c r="C5096" s="112" t="s">
        <v>4293</v>
      </c>
      <c r="D5096" s="112" t="s">
        <v>4922</v>
      </c>
      <c r="E5096" s="112">
        <f>VLOOKUP(D5096,'eAdmin File'!U:Z,6,FALSE)/100</f>
        <v>6.6900000000000001E-2</v>
      </c>
    </row>
    <row r="5097" spans="2:5" hidden="1" outlineLevel="1">
      <c r="B5097" s="2" t="s">
        <v>833</v>
      </c>
      <c r="C5097" s="112" t="s">
        <v>4294</v>
      </c>
      <c r="D5097" s="112" t="s">
        <v>4923</v>
      </c>
      <c r="E5097" s="112">
        <f>VLOOKUP(D5097,'eAdmin File'!U:Z,6,FALSE)/100</f>
        <v>6.4899999999999999E-2</v>
      </c>
    </row>
    <row r="5098" spans="2:5" hidden="1" outlineLevel="1">
      <c r="B5098" s="2" t="s">
        <v>833</v>
      </c>
      <c r="C5098" s="112" t="s">
        <v>4295</v>
      </c>
      <c r="D5098" s="112" t="s">
        <v>4924</v>
      </c>
      <c r="E5098" s="112">
        <f>VLOOKUP(D5098,'eAdmin File'!U:Z,6,FALSE)/100</f>
        <v>6.4899999999999999E-2</v>
      </c>
    </row>
    <row r="5099" spans="2:5" hidden="1" outlineLevel="1">
      <c r="B5099" s="2" t="s">
        <v>833</v>
      </c>
      <c r="C5099" s="112" t="s">
        <v>4296</v>
      </c>
      <c r="D5099" s="112" t="s">
        <v>4925</v>
      </c>
      <c r="E5099" s="112">
        <f>VLOOKUP(D5099,'eAdmin File'!U:Z,6,FALSE)/100</f>
        <v>6.54E-2</v>
      </c>
    </row>
    <row r="5100" spans="2:5" hidden="1" outlineLevel="1">
      <c r="B5100" s="2" t="s">
        <v>833</v>
      </c>
      <c r="C5100" s="112" t="s">
        <v>4297</v>
      </c>
      <c r="D5100" s="112" t="s">
        <v>4926</v>
      </c>
      <c r="E5100" s="112">
        <f>VLOOKUP(D5100,'eAdmin File'!U:Z,6,FALSE)/100</f>
        <v>6.6400000000000001E-2</v>
      </c>
    </row>
    <row r="5101" spans="2:5" hidden="1" outlineLevel="1">
      <c r="B5101" s="2" t="s">
        <v>833</v>
      </c>
      <c r="C5101" s="112" t="s">
        <v>4298</v>
      </c>
      <c r="D5101" s="112" t="s">
        <v>4927</v>
      </c>
      <c r="E5101" s="112">
        <f>VLOOKUP(D5101,'eAdmin File'!U:Z,6,FALSE)/100</f>
        <v>7.690000000000001E-2</v>
      </c>
    </row>
    <row r="5102" spans="2:5" hidden="1" outlineLevel="1">
      <c r="B5102" s="2" t="s">
        <v>833</v>
      </c>
      <c r="C5102" s="112" t="s">
        <v>4299</v>
      </c>
      <c r="D5102" s="112" t="s">
        <v>4928</v>
      </c>
      <c r="E5102" s="112">
        <f>VLOOKUP(D5102,'eAdmin File'!U:Z,6,FALSE)/100</f>
        <v>7.690000000000001E-2</v>
      </c>
    </row>
    <row r="5103" spans="2:5" hidden="1" outlineLevel="1">
      <c r="B5103" s="2" t="s">
        <v>833</v>
      </c>
      <c r="C5103" s="114" t="s">
        <v>4315</v>
      </c>
      <c r="D5103" s="114" t="s">
        <v>4929</v>
      </c>
      <c r="E5103" s="114">
        <f>VLOOKUP(D5103,'eAdmin File'!U:Z,6,FALSE)/100</f>
        <v>8.9399999999999993E-2</v>
      </c>
    </row>
    <row r="5104" spans="2:5" hidden="1" outlineLevel="1">
      <c r="B5104" s="2" t="s">
        <v>833</v>
      </c>
      <c r="C5104" s="112" t="s">
        <v>4316</v>
      </c>
      <c r="D5104" s="112" t="s">
        <v>4930</v>
      </c>
      <c r="E5104" s="112">
        <f>VLOOKUP(D5104,'eAdmin File'!U:Z,6,FALSE)/100</f>
        <v>9.2399999999999996E-2</v>
      </c>
    </row>
    <row r="5105" spans="2:20" hidden="1" outlineLevel="1">
      <c r="B5105" s="2" t="s">
        <v>833</v>
      </c>
      <c r="C5105" s="114" t="s">
        <v>4323</v>
      </c>
      <c r="D5105" s="114" t="s">
        <v>4931</v>
      </c>
      <c r="E5105" s="114">
        <f>VLOOKUP(D5105,'eAdmin File'!U:Z,6,FALSE)/100</f>
        <v>7.9399999999999998E-2</v>
      </c>
    </row>
    <row r="5106" spans="2:20" hidden="1" outlineLevel="1">
      <c r="B5106" s="2" t="s">
        <v>833</v>
      </c>
      <c r="C5106" s="112" t="s">
        <v>4324</v>
      </c>
      <c r="D5106" s="112" t="s">
        <v>4932</v>
      </c>
      <c r="E5106" s="112">
        <f>VLOOKUP(D5106,'eAdmin File'!U:Z,6,FALSE)/100</f>
        <v>7.7300000000000008E-2</v>
      </c>
      <c r="G5106" s="2" t="s">
        <v>5983</v>
      </c>
      <c r="I5106" s="2" t="s">
        <v>8539</v>
      </c>
    </row>
    <row r="5107" spans="2:20" hidden="1" outlineLevel="1">
      <c r="B5107" s="2" t="s">
        <v>833</v>
      </c>
      <c r="C5107" s="358">
        <v>1200</v>
      </c>
      <c r="D5107" s="110" t="s">
        <v>7980</v>
      </c>
      <c r="E5107" s="110">
        <f>VLOOKUP(D5107,'eAdmin File'!U:Z,6,FALSE)/100</f>
        <v>7.4900000000000008E-2</v>
      </c>
      <c r="F5107" s="112" t="s">
        <v>8540</v>
      </c>
      <c r="G5107" s="2">
        <v>1</v>
      </c>
      <c r="H5107" s="110">
        <f>E5107</f>
        <v>7.4900000000000008E-2</v>
      </c>
      <c r="I5107" s="110" t="s">
        <v>7981</v>
      </c>
      <c r="J5107" s="110">
        <f>VLOOKUP(I5107,'eAdmin File'!U:Z,6,FALSE)/100</f>
        <v>8.1799999999999998E-2</v>
      </c>
    </row>
    <row r="5108" spans="2:20" hidden="1" outlineLevel="1">
      <c r="B5108" s="2" t="s">
        <v>833</v>
      </c>
      <c r="C5108" s="358">
        <v>969</v>
      </c>
      <c r="D5108" s="110" t="s">
        <v>7982</v>
      </c>
      <c r="E5108" s="110">
        <f>VLOOKUP(D5108,'eAdmin File'!U:Z,6,FALSE)/100</f>
        <v>0.1099</v>
      </c>
      <c r="F5108" s="112" t="s">
        <v>8541</v>
      </c>
      <c r="G5108" s="2">
        <v>2</v>
      </c>
      <c r="H5108" s="110">
        <f>E5108</f>
        <v>0.1099</v>
      </c>
      <c r="I5108" s="110" t="s">
        <v>7983</v>
      </c>
      <c r="J5108" s="110">
        <f>VLOOKUP(I5108,'eAdmin File'!U:Z,6,FALSE)/100</f>
        <v>0.11650000000000001</v>
      </c>
    </row>
    <row r="5109" spans="2:20" hidden="1" outlineLevel="1">
      <c r="B5109" s="2" t="s">
        <v>833</v>
      </c>
      <c r="C5109" s="358">
        <v>879</v>
      </c>
      <c r="D5109" s="110" t="s">
        <v>7978</v>
      </c>
      <c r="E5109" s="110">
        <f>VLOOKUP(D5109,'eAdmin File'!U:Z,6,FALSE)/100</f>
        <v>0.1399</v>
      </c>
      <c r="F5109" s="112" t="s">
        <v>8542</v>
      </c>
      <c r="G5109" s="2">
        <v>3</v>
      </c>
      <c r="H5109" s="110">
        <f>E5109</f>
        <v>0.1399</v>
      </c>
      <c r="I5109" s="110" t="s">
        <v>7979</v>
      </c>
      <c r="J5109" s="110">
        <f>VLOOKUP(I5109,'eAdmin File'!U:Z,6,FALSE)/100</f>
        <v>0.1462</v>
      </c>
    </row>
    <row r="5110" spans="2:20" hidden="1" outlineLevel="1">
      <c r="B5110" s="2" t="s">
        <v>833</v>
      </c>
      <c r="C5110" s="358">
        <v>704</v>
      </c>
      <c r="D5110" s="110" t="s">
        <v>7984</v>
      </c>
      <c r="E5110" s="110">
        <f>VLOOKUP(D5110,'eAdmin File'!U:Z,6,FALSE)/100</f>
        <v>0.17989999999999998</v>
      </c>
      <c r="F5110" s="112" t="s">
        <v>8543</v>
      </c>
      <c r="G5110" s="2">
        <v>4</v>
      </c>
      <c r="H5110" s="110">
        <f>E5110</f>
        <v>0.17989999999999998</v>
      </c>
      <c r="I5110" s="110" t="s">
        <v>7985</v>
      </c>
      <c r="J5110" s="110">
        <f>VLOOKUP(I5110,'eAdmin File'!U:Z,6,FALSE)/100</f>
        <v>0.18590000000000001</v>
      </c>
    </row>
    <row r="5111" spans="2:20" hidden="1" outlineLevel="1">
      <c r="B5111" s="2" t="s">
        <v>833</v>
      </c>
      <c r="C5111" s="358">
        <v>494</v>
      </c>
      <c r="D5111" s="110" t="s">
        <v>7986</v>
      </c>
      <c r="E5111" s="110">
        <f>VLOOKUP(D5111,'eAdmin File'!U:Z,6,FALSE)/100</f>
        <v>0.19989999999999999</v>
      </c>
      <c r="F5111" s="112" t="s">
        <v>8544</v>
      </c>
      <c r="G5111" s="2">
        <v>5</v>
      </c>
      <c r="H5111" s="110">
        <f>E5111</f>
        <v>0.19989999999999999</v>
      </c>
      <c r="I5111" s="110" t="s">
        <v>7987</v>
      </c>
      <c r="J5111" s="110">
        <f>VLOOKUP(I5111,'eAdmin File'!U:Z,6,FALSE)/100</f>
        <v>0.20579999999999998</v>
      </c>
    </row>
    <row r="5112" spans="2:20" hidden="1" outlineLevel="1">
      <c r="B5112" s="2" t="s">
        <v>833</v>
      </c>
      <c r="C5112" s="114" t="s">
        <v>478</v>
      </c>
      <c r="D5112" s="114" t="s">
        <v>4933</v>
      </c>
      <c r="E5112" s="114">
        <f>VLOOKUP(D5112,'eAdmin File'!U:Z,6,FALSE)/100</f>
        <v>0.1195</v>
      </c>
      <c r="F5112" s="114" t="s">
        <v>4934</v>
      </c>
    </row>
    <row r="5113" spans="2:20" hidden="1" outlineLevel="1">
      <c r="B5113" s="2" t="s">
        <v>833</v>
      </c>
      <c r="C5113" s="112" t="s">
        <v>523</v>
      </c>
      <c r="D5113" s="112" t="s">
        <v>4935</v>
      </c>
      <c r="E5113" s="112">
        <f>VLOOKUP(D5113,'eAdmin File'!U:Z,6,FALSE)/100</f>
        <v>0.10349999999999999</v>
      </c>
      <c r="F5113" s="112" t="s">
        <v>4936</v>
      </c>
    </row>
    <row r="5114" spans="2:20" hidden="1" outlineLevel="1">
      <c r="B5114" s="2" t="s">
        <v>833</v>
      </c>
    </row>
    <row r="5115" spans="2:20" collapsed="1">
      <c r="B5115" s="2" t="s">
        <v>833</v>
      </c>
      <c r="C5115" s="246" t="s">
        <v>4817</v>
      </c>
      <c r="D5115" s="210" t="s">
        <v>843</v>
      </c>
      <c r="E5115" s="210" t="s">
        <v>844</v>
      </c>
      <c r="F5115" s="210" t="s">
        <v>845</v>
      </c>
      <c r="G5115" s="210" t="s">
        <v>846</v>
      </c>
      <c r="H5115" s="210" t="s">
        <v>847</v>
      </c>
      <c r="I5115" s="210" t="s">
        <v>848</v>
      </c>
      <c r="J5115" s="209" t="s">
        <v>849</v>
      </c>
      <c r="K5115" s="210" t="s">
        <v>850</v>
      </c>
      <c r="L5115" s="210" t="s">
        <v>8055</v>
      </c>
      <c r="M5115" s="210" t="s">
        <v>8168</v>
      </c>
      <c r="N5115" s="210" t="s">
        <v>8571</v>
      </c>
      <c r="O5115" s="210" t="s">
        <v>8755</v>
      </c>
      <c r="P5115" s="210" t="s">
        <v>8892</v>
      </c>
    </row>
    <row r="5116" spans="2:20" hidden="1" outlineLevel="1">
      <c r="B5116" s="2" t="s">
        <v>833</v>
      </c>
      <c r="C5116" s="137"/>
    </row>
    <row r="5117" spans="2:20" hidden="1" outlineLevel="1" collapsed="1">
      <c r="B5117" s="2" t="s">
        <v>833</v>
      </c>
      <c r="C5117" s="137" t="s">
        <v>4937</v>
      </c>
      <c r="D5117" s="298" t="s">
        <v>4938</v>
      </c>
      <c r="E5117" s="239" t="s">
        <v>4939</v>
      </c>
    </row>
    <row r="5118" spans="2:20" hidden="1" outlineLevel="2">
      <c r="B5118" s="2" t="s">
        <v>833</v>
      </c>
      <c r="D5118" s="138"/>
      <c r="E5118" s="138"/>
    </row>
    <row r="5119" spans="2:20" hidden="1" outlineLevel="2">
      <c r="B5119" s="2" t="s">
        <v>833</v>
      </c>
      <c r="D5119" s="112" t="s">
        <v>4940</v>
      </c>
      <c r="E5119" s="112" t="s">
        <v>4941</v>
      </c>
      <c r="R5119" s="295"/>
      <c r="S5119" s="295"/>
      <c r="T5119" s="295"/>
    </row>
    <row r="5120" spans="2:20" hidden="1" outlineLevel="2">
      <c r="B5120" s="2" t="s">
        <v>833</v>
      </c>
      <c r="D5120" s="114" t="s">
        <v>4942</v>
      </c>
      <c r="E5120" s="114" t="s">
        <v>4943</v>
      </c>
      <c r="R5120" s="295"/>
      <c r="S5120" s="295"/>
      <c r="T5120" s="295"/>
    </row>
    <row r="5121" spans="2:20" hidden="1" outlineLevel="2">
      <c r="B5121" s="2" t="s">
        <v>833</v>
      </c>
      <c r="D5121" s="112" t="s">
        <v>4944</v>
      </c>
      <c r="E5121" s="112" t="s">
        <v>4945</v>
      </c>
      <c r="R5121" s="295"/>
      <c r="S5121" s="295"/>
      <c r="T5121" s="295"/>
    </row>
    <row r="5122" spans="2:20" hidden="1" outlineLevel="2">
      <c r="B5122" s="2" t="s">
        <v>833</v>
      </c>
      <c r="D5122" s="114" t="s">
        <v>4946</v>
      </c>
      <c r="E5122" s="114" t="s">
        <v>4947</v>
      </c>
      <c r="R5122" s="295"/>
      <c r="S5122" s="295"/>
      <c r="T5122" s="295"/>
    </row>
    <row r="5123" spans="2:20" hidden="1" outlineLevel="2">
      <c r="B5123" s="2" t="s">
        <v>833</v>
      </c>
      <c r="D5123" s="112" t="s">
        <v>4948</v>
      </c>
      <c r="E5123" s="112" t="s">
        <v>4949</v>
      </c>
      <c r="R5123" s="295"/>
      <c r="S5123" s="295"/>
      <c r="T5123" s="295"/>
    </row>
    <row r="5124" spans="2:20" hidden="1" outlineLevel="2">
      <c r="B5124" s="2" t="s">
        <v>833</v>
      </c>
      <c r="D5124" s="114" t="s">
        <v>565</v>
      </c>
      <c r="E5124" s="114" t="s">
        <v>4950</v>
      </c>
      <c r="R5124" s="295"/>
      <c r="S5124" s="295"/>
      <c r="T5124" s="295"/>
    </row>
    <row r="5125" spans="2:20" hidden="1" outlineLevel="2">
      <c r="B5125" s="2" t="s">
        <v>833</v>
      </c>
      <c r="D5125" s="112" t="s">
        <v>4951</v>
      </c>
      <c r="E5125" s="112" t="s">
        <v>4952</v>
      </c>
      <c r="R5125" s="295"/>
      <c r="S5125" s="295"/>
      <c r="T5125" s="295"/>
    </row>
    <row r="5126" spans="2:20" hidden="1" outlineLevel="2">
      <c r="B5126" s="2" t="s">
        <v>833</v>
      </c>
      <c r="D5126" s="114" t="s">
        <v>4953</v>
      </c>
      <c r="E5126" s="114" t="s">
        <v>4954</v>
      </c>
      <c r="R5126" s="295"/>
      <c r="S5126" s="295"/>
      <c r="T5126" s="295"/>
    </row>
    <row r="5127" spans="2:20" s="317" customFormat="1" hidden="1" outlineLevel="2">
      <c r="B5127" s="2" t="s">
        <v>833</v>
      </c>
      <c r="D5127" s="112" t="s">
        <v>4955</v>
      </c>
      <c r="E5127" s="112" t="s">
        <v>4956</v>
      </c>
      <c r="G5127" s="2"/>
      <c r="H5127" s="2"/>
      <c r="K5127" s="2"/>
      <c r="L5127" s="2"/>
      <c r="M5127" s="2"/>
    </row>
    <row r="5128" spans="2:20" s="317" customFormat="1" hidden="1" outlineLevel="2">
      <c r="B5128" s="2" t="s">
        <v>833</v>
      </c>
      <c r="D5128" s="114" t="s">
        <v>4957</v>
      </c>
      <c r="E5128" s="114" t="s">
        <v>4958</v>
      </c>
      <c r="G5128" s="2"/>
      <c r="H5128" s="2"/>
      <c r="K5128" s="45"/>
      <c r="L5128" s="2"/>
      <c r="M5128" s="2"/>
    </row>
    <row r="5129" spans="2:20" s="317" customFormat="1" hidden="1" outlineLevel="2">
      <c r="B5129" s="2" t="s">
        <v>833</v>
      </c>
      <c r="D5129" s="112" t="s">
        <v>4959</v>
      </c>
      <c r="E5129" s="112" t="s">
        <v>4960</v>
      </c>
      <c r="G5129" s="2"/>
      <c r="H5129" s="2"/>
      <c r="K5129" s="45"/>
      <c r="L5129" s="2"/>
      <c r="M5129" s="2"/>
    </row>
    <row r="5130" spans="2:20" s="317" customFormat="1" hidden="1" outlineLevel="2">
      <c r="B5130" s="2" t="s">
        <v>833</v>
      </c>
      <c r="D5130" s="114" t="s">
        <v>4961</v>
      </c>
      <c r="E5130" s="114" t="s">
        <v>4962</v>
      </c>
      <c r="G5130" s="2"/>
      <c r="H5130" s="2"/>
      <c r="K5130" s="45"/>
      <c r="L5130" s="2"/>
      <c r="M5130" s="2"/>
    </row>
    <row r="5131" spans="2:20" s="317" customFormat="1" hidden="1" outlineLevel="2">
      <c r="B5131" s="2" t="s">
        <v>833</v>
      </c>
      <c r="D5131" s="112" t="s">
        <v>4963</v>
      </c>
      <c r="E5131" s="112" t="s">
        <v>4964</v>
      </c>
      <c r="G5131" s="2"/>
      <c r="H5131" s="2"/>
      <c r="K5131" s="45"/>
      <c r="L5131" s="2"/>
      <c r="M5131" s="2"/>
    </row>
    <row r="5132" spans="2:20" s="317" customFormat="1" hidden="1" outlineLevel="2">
      <c r="B5132" s="2" t="s">
        <v>833</v>
      </c>
      <c r="D5132" s="114" t="s">
        <v>4965</v>
      </c>
      <c r="E5132" s="114" t="s">
        <v>4966</v>
      </c>
      <c r="G5132" s="2"/>
      <c r="H5132" s="2"/>
      <c r="K5132" s="45"/>
      <c r="L5132" s="2"/>
      <c r="M5132" s="2"/>
    </row>
    <row r="5133" spans="2:20" s="317" customFormat="1" hidden="1" outlineLevel="2">
      <c r="B5133" s="2" t="s">
        <v>833</v>
      </c>
      <c r="D5133" s="112" t="s">
        <v>4967</v>
      </c>
      <c r="E5133" s="112" t="s">
        <v>4968</v>
      </c>
      <c r="G5133" s="2"/>
      <c r="H5133" s="2"/>
      <c r="K5133" s="45"/>
      <c r="L5133" s="2"/>
      <c r="M5133" s="2"/>
    </row>
    <row r="5134" spans="2:20" s="317" customFormat="1" hidden="1" outlineLevel="2">
      <c r="B5134" s="2" t="s">
        <v>833</v>
      </c>
      <c r="D5134" s="114" t="s">
        <v>4969</v>
      </c>
      <c r="E5134" s="114" t="s">
        <v>4970</v>
      </c>
      <c r="G5134" s="2"/>
      <c r="H5134" s="2"/>
      <c r="K5134" s="45"/>
      <c r="L5134" s="2"/>
      <c r="M5134" s="2"/>
    </row>
    <row r="5135" spans="2:20" s="317" customFormat="1" hidden="1" outlineLevel="2">
      <c r="B5135" s="2" t="s">
        <v>833</v>
      </c>
      <c r="D5135" s="112" t="s">
        <v>4971</v>
      </c>
      <c r="E5135" s="112" t="s">
        <v>4972</v>
      </c>
      <c r="G5135" s="2"/>
      <c r="H5135" s="2"/>
      <c r="K5135" s="45"/>
      <c r="L5135" s="2"/>
      <c r="M5135" s="2"/>
    </row>
    <row r="5136" spans="2:20" s="317" customFormat="1" hidden="1" outlineLevel="2">
      <c r="B5136" s="2" t="s">
        <v>833</v>
      </c>
      <c r="D5136" s="114" t="s">
        <v>4973</v>
      </c>
      <c r="E5136" s="114" t="s">
        <v>4974</v>
      </c>
      <c r="G5136" s="2"/>
      <c r="H5136" s="2"/>
      <c r="K5136" s="45"/>
      <c r="L5136" s="2"/>
      <c r="M5136" s="2"/>
    </row>
    <row r="5137" spans="2:20" s="317" customFormat="1" hidden="1" outlineLevel="2">
      <c r="B5137" s="2" t="s">
        <v>833</v>
      </c>
      <c r="D5137" s="112" t="s">
        <v>4975</v>
      </c>
      <c r="E5137" s="112" t="s">
        <v>4976</v>
      </c>
      <c r="G5137" s="2"/>
      <c r="H5137" s="2"/>
      <c r="K5137" s="45"/>
      <c r="L5137" s="2"/>
      <c r="M5137" s="2"/>
    </row>
    <row r="5138" spans="2:20" s="317" customFormat="1" hidden="1" outlineLevel="2">
      <c r="B5138" s="2" t="s">
        <v>833</v>
      </c>
      <c r="D5138" s="114" t="s">
        <v>4977</v>
      </c>
      <c r="E5138" s="114" t="s">
        <v>4978</v>
      </c>
      <c r="G5138" s="2"/>
      <c r="H5138" s="2"/>
      <c r="K5138" s="45"/>
      <c r="L5138" s="2"/>
      <c r="M5138" s="2"/>
    </row>
    <row r="5139" spans="2:20" s="317" customFormat="1" hidden="1" outlineLevel="2">
      <c r="B5139" s="2" t="s">
        <v>833</v>
      </c>
      <c r="D5139" s="112" t="s">
        <v>4979</v>
      </c>
      <c r="E5139" s="112" t="s">
        <v>4980</v>
      </c>
      <c r="G5139" s="2"/>
      <c r="H5139" s="2"/>
      <c r="K5139" s="45"/>
      <c r="L5139" s="2"/>
      <c r="M5139" s="2"/>
    </row>
    <row r="5140" spans="2:20" s="317" customFormat="1" hidden="1" outlineLevel="2">
      <c r="B5140" s="2" t="s">
        <v>833</v>
      </c>
      <c r="D5140" s="114" t="s">
        <v>4981</v>
      </c>
      <c r="E5140" s="114" t="s">
        <v>4982</v>
      </c>
      <c r="G5140" s="2"/>
      <c r="H5140" s="2"/>
      <c r="K5140" s="45"/>
      <c r="L5140" s="2"/>
      <c r="M5140" s="2"/>
    </row>
    <row r="5141" spans="2:20" s="317" customFormat="1" hidden="1" outlineLevel="2">
      <c r="B5141" s="2" t="s">
        <v>833</v>
      </c>
      <c r="D5141" s="112" t="s">
        <v>4983</v>
      </c>
      <c r="E5141" s="112" t="s">
        <v>4984</v>
      </c>
      <c r="G5141" s="2"/>
      <c r="H5141" s="2"/>
      <c r="K5141" s="45"/>
      <c r="L5141" s="2"/>
      <c r="M5141" s="2"/>
    </row>
    <row r="5142" spans="2:20" s="317" customFormat="1" hidden="1" outlineLevel="2">
      <c r="B5142" s="2" t="s">
        <v>833</v>
      </c>
      <c r="D5142" s="114" t="s">
        <v>4985</v>
      </c>
      <c r="E5142" s="114" t="s">
        <v>4986</v>
      </c>
      <c r="G5142" s="2"/>
      <c r="H5142" s="2"/>
      <c r="K5142" s="45"/>
      <c r="L5142" s="2"/>
      <c r="M5142" s="2"/>
    </row>
    <row r="5143" spans="2:20" s="317" customFormat="1" hidden="1" outlineLevel="2">
      <c r="B5143" s="2" t="s">
        <v>833</v>
      </c>
      <c r="D5143" s="112" t="s">
        <v>4987</v>
      </c>
      <c r="E5143" s="112" t="s">
        <v>4988</v>
      </c>
      <c r="G5143" s="2"/>
      <c r="H5143" s="2"/>
      <c r="K5143" s="45"/>
      <c r="L5143" s="2"/>
      <c r="M5143" s="2"/>
    </row>
    <row r="5144" spans="2:20" s="317" customFormat="1" hidden="1" outlineLevel="2">
      <c r="B5144" s="2" t="s">
        <v>833</v>
      </c>
      <c r="D5144" s="114" t="s">
        <v>4989</v>
      </c>
      <c r="E5144" s="114" t="s">
        <v>4990</v>
      </c>
      <c r="G5144" s="2"/>
      <c r="H5144" s="2"/>
      <c r="K5144" s="45"/>
      <c r="L5144" s="2"/>
      <c r="M5144" s="2"/>
    </row>
    <row r="5145" spans="2:20" s="317" customFormat="1" hidden="1" outlineLevel="2">
      <c r="B5145" s="2" t="s">
        <v>833</v>
      </c>
      <c r="K5145" s="45"/>
    </row>
    <row r="5146" spans="2:20" hidden="1" outlineLevel="1" collapsed="1">
      <c r="B5146" s="2" t="s">
        <v>833</v>
      </c>
      <c r="C5146" s="137" t="s">
        <v>4991</v>
      </c>
      <c r="D5146" s="298" t="s">
        <v>4860</v>
      </c>
      <c r="E5146" s="239" t="s">
        <v>4938</v>
      </c>
      <c r="F5146" s="239" t="s">
        <v>4992</v>
      </c>
      <c r="G5146" s="239" t="s">
        <v>4993</v>
      </c>
      <c r="H5146" s="239" t="s">
        <v>4994</v>
      </c>
      <c r="K5146" s="45"/>
    </row>
    <row r="5147" spans="2:20" hidden="1" outlineLevel="2">
      <c r="B5147" s="2" t="s">
        <v>833</v>
      </c>
      <c r="D5147" s="138"/>
      <c r="E5147" s="138"/>
      <c r="F5147" s="138"/>
      <c r="G5147" s="138"/>
      <c r="H5147" s="138"/>
      <c r="K5147" s="45"/>
    </row>
    <row r="5148" spans="2:20" hidden="1" outlineLevel="2">
      <c r="B5148" s="2" t="s">
        <v>833</v>
      </c>
      <c r="D5148" s="112">
        <v>5719</v>
      </c>
      <c r="E5148" s="112" t="s">
        <v>4940</v>
      </c>
      <c r="F5148" s="112" t="s">
        <v>4995</v>
      </c>
      <c r="G5148" s="112" t="s">
        <v>4996</v>
      </c>
      <c r="H5148" s="276">
        <v>0.33410000000000001</v>
      </c>
      <c r="K5148" s="45"/>
      <c r="R5148" s="295"/>
      <c r="S5148" s="295"/>
      <c r="T5148" s="295"/>
    </row>
    <row r="5149" spans="2:20" hidden="1" outlineLevel="2">
      <c r="B5149" s="2" t="s">
        <v>833</v>
      </c>
      <c r="D5149" s="114">
        <v>5730</v>
      </c>
      <c r="E5149" s="114" t="s">
        <v>4940</v>
      </c>
      <c r="F5149" s="114" t="s">
        <v>4997</v>
      </c>
      <c r="G5149" s="114" t="s">
        <v>4998</v>
      </c>
      <c r="H5149" s="279">
        <v>0.33410000000000001</v>
      </c>
      <c r="K5149" s="45"/>
      <c r="R5149" s="295"/>
      <c r="S5149" s="295"/>
      <c r="T5149" s="295"/>
    </row>
    <row r="5150" spans="2:20" hidden="1" outlineLevel="2">
      <c r="B5150" s="2" t="s">
        <v>833</v>
      </c>
      <c r="D5150" s="112">
        <v>5729</v>
      </c>
      <c r="E5150" s="112" t="s">
        <v>4940</v>
      </c>
      <c r="F5150" s="112" t="s">
        <v>4999</v>
      </c>
      <c r="G5150" s="112" t="s">
        <v>5000</v>
      </c>
      <c r="H5150" s="276">
        <v>0.33410000000000001</v>
      </c>
      <c r="K5150" s="45"/>
      <c r="R5150" s="295"/>
      <c r="S5150" s="295"/>
      <c r="T5150" s="295"/>
    </row>
    <row r="5151" spans="2:20" hidden="1" outlineLevel="2">
      <c r="B5151" s="2" t="s">
        <v>833</v>
      </c>
      <c r="D5151" s="114">
        <v>5749</v>
      </c>
      <c r="E5151" s="114" t="s">
        <v>4940</v>
      </c>
      <c r="F5151" s="114" t="s">
        <v>5001</v>
      </c>
      <c r="G5151" s="114" t="s">
        <v>5002</v>
      </c>
      <c r="H5151" s="279">
        <v>0.33410000000000001</v>
      </c>
      <c r="K5151" s="45"/>
      <c r="R5151" s="295"/>
      <c r="S5151" s="295"/>
      <c r="T5151" s="295"/>
    </row>
    <row r="5152" spans="2:20" hidden="1" outlineLevel="2">
      <c r="B5152" s="2" t="s">
        <v>833</v>
      </c>
      <c r="D5152" s="112">
        <v>5712</v>
      </c>
      <c r="E5152" s="112" t="s">
        <v>4940</v>
      </c>
      <c r="F5152" s="112" t="s">
        <v>5003</v>
      </c>
      <c r="G5152" s="112" t="s">
        <v>4996</v>
      </c>
      <c r="H5152" s="276">
        <v>0.33410000000000001</v>
      </c>
      <c r="K5152" s="45"/>
      <c r="R5152" s="295"/>
      <c r="S5152" s="295"/>
      <c r="T5152" s="295"/>
    </row>
    <row r="5153" spans="2:20" hidden="1" outlineLevel="2">
      <c r="B5153" s="2" t="s">
        <v>833</v>
      </c>
      <c r="D5153" s="114">
        <v>5711</v>
      </c>
      <c r="E5153" s="114" t="s">
        <v>4940</v>
      </c>
      <c r="F5153" s="114" t="s">
        <v>5004</v>
      </c>
      <c r="G5153" s="114" t="s">
        <v>4996</v>
      </c>
      <c r="H5153" s="279">
        <v>0.33410000000000001</v>
      </c>
      <c r="K5153" s="45"/>
      <c r="R5153" s="295"/>
      <c r="S5153" s="295"/>
      <c r="T5153" s="295"/>
    </row>
    <row r="5154" spans="2:20" hidden="1" outlineLevel="2">
      <c r="B5154" s="2" t="s">
        <v>833</v>
      </c>
      <c r="D5154" s="112">
        <v>5741</v>
      </c>
      <c r="E5154" s="112" t="s">
        <v>4940</v>
      </c>
      <c r="F5154" s="112" t="s">
        <v>5005</v>
      </c>
      <c r="G5154" s="112" t="s">
        <v>5002</v>
      </c>
      <c r="H5154" s="276">
        <v>0.33410000000000001</v>
      </c>
      <c r="K5154" s="45"/>
      <c r="R5154" s="295"/>
      <c r="S5154" s="295"/>
      <c r="T5154" s="295"/>
    </row>
    <row r="5155" spans="2:20" hidden="1" outlineLevel="2">
      <c r="B5155" s="2" t="s">
        <v>833</v>
      </c>
      <c r="D5155" s="114">
        <v>5742</v>
      </c>
      <c r="E5155" s="114" t="s">
        <v>4940</v>
      </c>
      <c r="F5155" s="114" t="s">
        <v>5006</v>
      </c>
      <c r="G5155" s="114" t="s">
        <v>5002</v>
      </c>
      <c r="H5155" s="279">
        <v>0.33410000000000001</v>
      </c>
      <c r="K5155" s="45"/>
      <c r="R5155" s="295"/>
      <c r="S5155" s="295"/>
      <c r="T5155" s="295"/>
    </row>
    <row r="5156" spans="2:20" s="317" customFormat="1" hidden="1" outlineLevel="2">
      <c r="B5156" s="2" t="s">
        <v>833</v>
      </c>
      <c r="D5156" s="112">
        <v>5713</v>
      </c>
      <c r="E5156" s="112" t="s">
        <v>4940</v>
      </c>
      <c r="F5156" s="112" t="s">
        <v>5007</v>
      </c>
      <c r="G5156" s="112" t="s">
        <v>4996</v>
      </c>
      <c r="H5156" s="276">
        <v>0.33410000000000001</v>
      </c>
      <c r="J5156" s="2"/>
    </row>
    <row r="5157" spans="2:20" s="317" customFormat="1" hidden="1" outlineLevel="2">
      <c r="B5157" s="2" t="s">
        <v>833</v>
      </c>
      <c r="D5157" s="114">
        <v>5710</v>
      </c>
      <c r="E5157" s="114" t="s">
        <v>4940</v>
      </c>
      <c r="F5157" s="114" t="s">
        <v>5008</v>
      </c>
      <c r="G5157" s="114" t="s">
        <v>4996</v>
      </c>
      <c r="H5157" s="279">
        <v>0.33410000000000001</v>
      </c>
      <c r="J5157" s="2"/>
    </row>
    <row r="5158" spans="2:20" s="317" customFormat="1" hidden="1" outlineLevel="2">
      <c r="B5158" s="2" t="s">
        <v>833</v>
      </c>
      <c r="D5158" s="112">
        <v>5723</v>
      </c>
      <c r="E5158" s="112" t="s">
        <v>4940</v>
      </c>
      <c r="F5158" s="112" t="s">
        <v>5009</v>
      </c>
      <c r="G5158" s="112" t="s">
        <v>5000</v>
      </c>
      <c r="H5158" s="276">
        <v>0.33410000000000001</v>
      </c>
      <c r="J5158" s="2"/>
    </row>
    <row r="5159" spans="2:20" s="317" customFormat="1" hidden="1" outlineLevel="2">
      <c r="B5159" s="2" t="s">
        <v>833</v>
      </c>
      <c r="D5159" s="114">
        <v>5721</v>
      </c>
      <c r="E5159" s="114" t="s">
        <v>4940</v>
      </c>
      <c r="F5159" s="114" t="s">
        <v>5010</v>
      </c>
      <c r="G5159" s="114" t="s">
        <v>5000</v>
      </c>
      <c r="H5159" s="279">
        <v>0.33410000000000001</v>
      </c>
      <c r="J5159" s="2"/>
    </row>
    <row r="5160" spans="2:20" s="317" customFormat="1" hidden="1" outlineLevel="2">
      <c r="B5160" s="2" t="s">
        <v>833</v>
      </c>
      <c r="D5160" s="112">
        <v>5722</v>
      </c>
      <c r="E5160" s="112" t="s">
        <v>4940</v>
      </c>
      <c r="F5160" s="112" t="s">
        <v>5011</v>
      </c>
      <c r="G5160" s="112" t="s">
        <v>5000</v>
      </c>
      <c r="H5160" s="276">
        <v>0.33410000000000001</v>
      </c>
      <c r="J5160" s="2"/>
    </row>
    <row r="5161" spans="2:20" s="317" customFormat="1" hidden="1" outlineLevel="2">
      <c r="B5161" s="2" t="s">
        <v>833</v>
      </c>
      <c r="D5161" s="114">
        <v>5714</v>
      </c>
      <c r="E5161" s="114" t="s">
        <v>4940</v>
      </c>
      <c r="F5161" s="114" t="s">
        <v>5012</v>
      </c>
      <c r="G5161" s="114" t="s">
        <v>4996</v>
      </c>
      <c r="H5161" s="279">
        <v>0.33410000000000001</v>
      </c>
      <c r="J5161" s="2"/>
    </row>
    <row r="5162" spans="2:20" s="317" customFormat="1" hidden="1" outlineLevel="2">
      <c r="B5162" s="2" t="s">
        <v>833</v>
      </c>
      <c r="D5162" s="112">
        <v>213</v>
      </c>
      <c r="E5162" s="112" t="s">
        <v>4942</v>
      </c>
      <c r="F5162" s="112" t="s">
        <v>5013</v>
      </c>
      <c r="G5162" s="112" t="s">
        <v>5014</v>
      </c>
      <c r="H5162" s="276">
        <v>0.41849999999999998</v>
      </c>
      <c r="J5162" s="2"/>
    </row>
    <row r="5163" spans="2:20" s="317" customFormat="1" hidden="1" outlineLevel="2">
      <c r="B5163" s="2" t="s">
        <v>833</v>
      </c>
      <c r="D5163" s="114">
        <v>115</v>
      </c>
      <c r="E5163" s="114" t="s">
        <v>4942</v>
      </c>
      <c r="F5163" s="114" t="s">
        <v>5015</v>
      </c>
      <c r="G5163" s="114" t="s">
        <v>5016</v>
      </c>
      <c r="H5163" s="279">
        <v>0.41849999999999998</v>
      </c>
      <c r="J5163" s="2"/>
    </row>
    <row r="5164" spans="2:20" s="317" customFormat="1" hidden="1" outlineLevel="2">
      <c r="B5164" s="2" t="s">
        <v>833</v>
      </c>
      <c r="D5164" s="112">
        <v>420</v>
      </c>
      <c r="E5164" s="112" t="s">
        <v>4942</v>
      </c>
      <c r="F5164" s="112" t="s">
        <v>5017</v>
      </c>
      <c r="G5164" s="112" t="s">
        <v>5018</v>
      </c>
      <c r="H5164" s="276">
        <v>0.41849999999999998</v>
      </c>
      <c r="J5164" s="2"/>
    </row>
    <row r="5165" spans="2:20" s="317" customFormat="1" hidden="1" outlineLevel="2">
      <c r="B5165" s="2" t="s">
        <v>833</v>
      </c>
      <c r="D5165" s="114">
        <v>178</v>
      </c>
      <c r="E5165" s="114" t="s">
        <v>4942</v>
      </c>
      <c r="F5165" s="114" t="s">
        <v>5019</v>
      </c>
      <c r="G5165" s="114" t="s">
        <v>5020</v>
      </c>
      <c r="H5165" s="279">
        <v>0.41849999999999998</v>
      </c>
      <c r="J5165" s="2"/>
    </row>
    <row r="5166" spans="2:20" s="317" customFormat="1" hidden="1" outlineLevel="2">
      <c r="B5166" s="2" t="s">
        <v>833</v>
      </c>
      <c r="D5166" s="112">
        <v>118</v>
      </c>
      <c r="E5166" s="112" t="s">
        <v>4942</v>
      </c>
      <c r="F5166" s="112" t="s">
        <v>5021</v>
      </c>
      <c r="G5166" s="112" t="s">
        <v>5016</v>
      </c>
      <c r="H5166" s="276">
        <v>0.41849999999999998</v>
      </c>
      <c r="J5166" s="2"/>
    </row>
    <row r="5167" spans="2:20" s="317" customFormat="1" hidden="1" outlineLevel="2">
      <c r="B5167" s="2" t="s">
        <v>833</v>
      </c>
      <c r="D5167" s="114">
        <v>211</v>
      </c>
      <c r="E5167" s="114" t="s">
        <v>4942</v>
      </c>
      <c r="F5167" s="114" t="s">
        <v>5022</v>
      </c>
      <c r="G5167" s="114" t="s">
        <v>5014</v>
      </c>
      <c r="H5167" s="279">
        <v>0.41849999999999998</v>
      </c>
      <c r="J5167" s="2"/>
    </row>
    <row r="5168" spans="2:20" s="317" customFormat="1" hidden="1" outlineLevel="2">
      <c r="B5168" s="2" t="s">
        <v>833</v>
      </c>
      <c r="D5168" s="112">
        <v>165</v>
      </c>
      <c r="E5168" s="112" t="s">
        <v>4942</v>
      </c>
      <c r="F5168" s="112" t="s">
        <v>5023</v>
      </c>
      <c r="G5168" s="112" t="s">
        <v>5024</v>
      </c>
      <c r="H5168" s="276">
        <v>0.41849999999999998</v>
      </c>
      <c r="J5168" s="2"/>
    </row>
    <row r="5169" spans="2:10" s="317" customFormat="1" hidden="1" outlineLevel="2">
      <c r="B5169" s="2" t="s">
        <v>833</v>
      </c>
      <c r="D5169" s="114">
        <v>169</v>
      </c>
      <c r="E5169" s="114" t="s">
        <v>4942</v>
      </c>
      <c r="F5169" s="114" t="s">
        <v>5025</v>
      </c>
      <c r="G5169" s="114" t="s">
        <v>5024</v>
      </c>
      <c r="H5169" s="279">
        <v>0.41849999999999998</v>
      </c>
      <c r="J5169" s="2"/>
    </row>
    <row r="5170" spans="2:10" s="317" customFormat="1" hidden="1" outlineLevel="2">
      <c r="B5170" s="2" t="s">
        <v>833</v>
      </c>
      <c r="D5170" s="112">
        <v>112</v>
      </c>
      <c r="E5170" s="112" t="s">
        <v>4942</v>
      </c>
      <c r="F5170" s="112" t="s">
        <v>5026</v>
      </c>
      <c r="G5170" s="112" t="s">
        <v>5027</v>
      </c>
      <c r="H5170" s="276">
        <v>0.41849999999999998</v>
      </c>
      <c r="J5170" s="2"/>
    </row>
    <row r="5171" spans="2:10" s="317" customFormat="1" hidden="1" outlineLevel="2">
      <c r="B5171" s="2" t="s">
        <v>833</v>
      </c>
      <c r="D5171" s="114">
        <v>130</v>
      </c>
      <c r="E5171" s="114" t="s">
        <v>4942</v>
      </c>
      <c r="F5171" s="114" t="s">
        <v>5028</v>
      </c>
      <c r="G5171" s="114" t="s">
        <v>5029</v>
      </c>
      <c r="H5171" s="279">
        <v>0.41849999999999998</v>
      </c>
      <c r="J5171" s="2"/>
    </row>
    <row r="5172" spans="2:10" s="317" customFormat="1" hidden="1" outlineLevel="2">
      <c r="B5172" s="2" t="s">
        <v>833</v>
      </c>
      <c r="D5172" s="112">
        <v>153</v>
      </c>
      <c r="E5172" s="112" t="s">
        <v>4942</v>
      </c>
      <c r="F5172" s="112" t="s">
        <v>5030</v>
      </c>
      <c r="G5172" s="112" t="s">
        <v>5029</v>
      </c>
      <c r="H5172" s="276">
        <v>0.41849999999999998</v>
      </c>
      <c r="J5172" s="2"/>
    </row>
    <row r="5173" spans="2:10" s="317" customFormat="1" hidden="1" outlineLevel="2">
      <c r="B5173" s="2" t="s">
        <v>833</v>
      </c>
      <c r="D5173" s="114">
        <v>163</v>
      </c>
      <c r="E5173" s="114" t="s">
        <v>4942</v>
      </c>
      <c r="F5173" s="114" t="s">
        <v>5031</v>
      </c>
      <c r="G5173" s="114" t="s">
        <v>5024</v>
      </c>
      <c r="H5173" s="279">
        <v>0.41849999999999998</v>
      </c>
      <c r="J5173" s="2"/>
    </row>
    <row r="5174" spans="2:10" s="317" customFormat="1" hidden="1" outlineLevel="2">
      <c r="B5174" s="2" t="s">
        <v>833</v>
      </c>
      <c r="D5174" s="112">
        <v>417</v>
      </c>
      <c r="E5174" s="112" t="s">
        <v>4942</v>
      </c>
      <c r="F5174" s="112" t="s">
        <v>5032</v>
      </c>
      <c r="G5174" s="112" t="s">
        <v>5018</v>
      </c>
      <c r="H5174" s="276">
        <v>0.41849999999999998</v>
      </c>
      <c r="J5174" s="2"/>
    </row>
    <row r="5175" spans="2:10" s="317" customFormat="1" hidden="1" outlineLevel="2">
      <c r="B5175" s="2" t="s">
        <v>833</v>
      </c>
      <c r="D5175" s="114">
        <v>301</v>
      </c>
      <c r="E5175" s="114" t="s">
        <v>4942</v>
      </c>
      <c r="F5175" s="114" t="s">
        <v>5033</v>
      </c>
      <c r="G5175" s="114" t="s">
        <v>5034</v>
      </c>
      <c r="H5175" s="279">
        <v>0.41849999999999998</v>
      </c>
      <c r="J5175" s="2"/>
    </row>
    <row r="5176" spans="2:10" s="317" customFormat="1" hidden="1" outlineLevel="2">
      <c r="B5176" s="2" t="s">
        <v>833</v>
      </c>
      <c r="D5176" s="112">
        <v>119</v>
      </c>
      <c r="E5176" s="112" t="s">
        <v>4942</v>
      </c>
      <c r="F5176" s="112" t="s">
        <v>5035</v>
      </c>
      <c r="G5176" s="112" t="s">
        <v>5016</v>
      </c>
      <c r="H5176" s="276">
        <v>0.41849999999999998</v>
      </c>
      <c r="J5176" s="2"/>
    </row>
    <row r="5177" spans="2:10" s="317" customFormat="1" hidden="1" outlineLevel="2">
      <c r="B5177" s="2" t="s">
        <v>833</v>
      </c>
      <c r="D5177" s="114">
        <v>171</v>
      </c>
      <c r="E5177" s="114" t="s">
        <v>4942</v>
      </c>
      <c r="F5177" s="114" t="s">
        <v>5036</v>
      </c>
      <c r="G5177" s="114" t="s">
        <v>5024</v>
      </c>
      <c r="H5177" s="279">
        <v>0.41849999999999998</v>
      </c>
      <c r="J5177" s="2"/>
    </row>
    <row r="5178" spans="2:10" s="317" customFormat="1" hidden="1" outlineLevel="2">
      <c r="B5178" s="2" t="s">
        <v>833</v>
      </c>
      <c r="D5178" s="112">
        <v>173</v>
      </c>
      <c r="E5178" s="112" t="s">
        <v>4942</v>
      </c>
      <c r="F5178" s="112" t="s">
        <v>5037</v>
      </c>
      <c r="G5178" s="112" t="s">
        <v>5020</v>
      </c>
      <c r="H5178" s="276">
        <v>0.41849999999999998</v>
      </c>
      <c r="J5178" s="2"/>
    </row>
    <row r="5179" spans="2:10" s="317" customFormat="1" hidden="1" outlineLevel="2">
      <c r="B5179" s="2" t="s">
        <v>833</v>
      </c>
      <c r="D5179" s="114">
        <v>114</v>
      </c>
      <c r="E5179" s="114" t="s">
        <v>4942</v>
      </c>
      <c r="F5179" s="114" t="s">
        <v>5038</v>
      </c>
      <c r="G5179" s="114" t="s">
        <v>5016</v>
      </c>
      <c r="H5179" s="279">
        <v>0.41849999999999998</v>
      </c>
      <c r="J5179" s="2"/>
    </row>
    <row r="5180" spans="2:10" s="317" customFormat="1" hidden="1" outlineLevel="2">
      <c r="B5180" s="2" t="s">
        <v>833</v>
      </c>
      <c r="D5180" s="112">
        <v>152</v>
      </c>
      <c r="E5180" s="112" t="s">
        <v>4942</v>
      </c>
      <c r="F5180" s="112" t="s">
        <v>5039</v>
      </c>
      <c r="G5180" s="112" t="s">
        <v>5029</v>
      </c>
      <c r="H5180" s="276">
        <v>0.41849999999999998</v>
      </c>
      <c r="J5180" s="2"/>
    </row>
    <row r="5181" spans="2:10" s="317" customFormat="1" hidden="1" outlineLevel="2">
      <c r="B5181" s="2" t="s">
        <v>833</v>
      </c>
      <c r="D5181" s="114">
        <v>220</v>
      </c>
      <c r="E5181" s="114" t="s">
        <v>4942</v>
      </c>
      <c r="F5181" s="114" t="s">
        <v>5040</v>
      </c>
      <c r="G5181" s="114" t="s">
        <v>5034</v>
      </c>
      <c r="H5181" s="279">
        <v>0.41849999999999998</v>
      </c>
      <c r="J5181" s="2"/>
    </row>
    <row r="5182" spans="2:10" s="317" customFormat="1" hidden="1" outlineLevel="2">
      <c r="B5182" s="2" t="s">
        <v>833</v>
      </c>
      <c r="D5182" s="112">
        <v>164</v>
      </c>
      <c r="E5182" s="112" t="s">
        <v>4942</v>
      </c>
      <c r="F5182" s="112" t="s">
        <v>5041</v>
      </c>
      <c r="G5182" s="112" t="s">
        <v>5024</v>
      </c>
      <c r="H5182" s="276">
        <v>0.41849999999999998</v>
      </c>
      <c r="J5182" s="2"/>
    </row>
    <row r="5183" spans="2:10" s="317" customFormat="1" hidden="1" outlineLevel="2">
      <c r="B5183" s="2" t="s">
        <v>833</v>
      </c>
      <c r="D5183" s="114">
        <v>117</v>
      </c>
      <c r="E5183" s="114" t="s">
        <v>4942</v>
      </c>
      <c r="F5183" s="114" t="s">
        <v>5042</v>
      </c>
      <c r="G5183" s="114" t="s">
        <v>5016</v>
      </c>
      <c r="H5183" s="279">
        <v>0.41849999999999998</v>
      </c>
      <c r="J5183" s="2"/>
    </row>
    <row r="5184" spans="2:10" s="317" customFormat="1" hidden="1" outlineLevel="2">
      <c r="B5184" s="2" t="s">
        <v>833</v>
      </c>
      <c r="D5184" s="112">
        <v>415</v>
      </c>
      <c r="E5184" s="112" t="s">
        <v>4942</v>
      </c>
      <c r="F5184" s="112" t="s">
        <v>5043</v>
      </c>
      <c r="G5184" s="112" t="s">
        <v>5018</v>
      </c>
      <c r="H5184" s="276">
        <v>0.41849999999999998</v>
      </c>
      <c r="J5184" s="2"/>
    </row>
    <row r="5185" spans="2:10" s="317" customFormat="1" hidden="1" outlineLevel="2">
      <c r="B5185" s="2" t="s">
        <v>833</v>
      </c>
      <c r="D5185" s="114">
        <v>159</v>
      </c>
      <c r="E5185" s="114" t="s">
        <v>4942</v>
      </c>
      <c r="F5185" s="114" t="s">
        <v>5044</v>
      </c>
      <c r="G5185" s="114" t="s">
        <v>5029</v>
      </c>
      <c r="H5185" s="279">
        <v>0.41849999999999998</v>
      </c>
      <c r="J5185" s="2"/>
    </row>
    <row r="5186" spans="2:10" s="317" customFormat="1" hidden="1" outlineLevel="2">
      <c r="B5186" s="2" t="s">
        <v>833</v>
      </c>
      <c r="D5186" s="112">
        <v>302</v>
      </c>
      <c r="E5186" s="112" t="s">
        <v>4942</v>
      </c>
      <c r="F5186" s="112" t="s">
        <v>5045</v>
      </c>
      <c r="G5186" s="112" t="s">
        <v>5034</v>
      </c>
      <c r="H5186" s="276">
        <v>0.41849999999999998</v>
      </c>
      <c r="J5186" s="2"/>
    </row>
    <row r="5187" spans="2:10" s="317" customFormat="1" hidden="1" outlineLevel="2">
      <c r="B5187" s="2" t="s">
        <v>833</v>
      </c>
      <c r="D5187" s="114">
        <v>419</v>
      </c>
      <c r="E5187" s="114" t="s">
        <v>4942</v>
      </c>
      <c r="F5187" s="114" t="s">
        <v>5046</v>
      </c>
      <c r="G5187" s="114" t="s">
        <v>5018</v>
      </c>
      <c r="H5187" s="279">
        <v>0.41849999999999998</v>
      </c>
      <c r="J5187" s="2"/>
    </row>
    <row r="5188" spans="2:10" s="317" customFormat="1" hidden="1" outlineLevel="2">
      <c r="B5188" s="2" t="s">
        <v>833</v>
      </c>
      <c r="D5188" s="112">
        <v>151</v>
      </c>
      <c r="E5188" s="112" t="s">
        <v>4942</v>
      </c>
      <c r="F5188" s="112" t="s">
        <v>5047</v>
      </c>
      <c r="G5188" s="112" t="s">
        <v>5029</v>
      </c>
      <c r="H5188" s="276">
        <v>0.41849999999999998</v>
      </c>
      <c r="J5188" s="2"/>
    </row>
    <row r="5189" spans="2:10" s="317" customFormat="1" hidden="1" outlineLevel="2">
      <c r="B5189" s="2" t="s">
        <v>833</v>
      </c>
      <c r="D5189" s="114">
        <v>111</v>
      </c>
      <c r="E5189" s="114" t="s">
        <v>4942</v>
      </c>
      <c r="F5189" s="114" t="s">
        <v>5048</v>
      </c>
      <c r="G5189" s="114" t="s">
        <v>5027</v>
      </c>
      <c r="H5189" s="279">
        <v>0.41849999999999998</v>
      </c>
      <c r="J5189" s="2"/>
    </row>
    <row r="5190" spans="2:10" s="317" customFormat="1" hidden="1" outlineLevel="2">
      <c r="B5190" s="2" t="s">
        <v>833</v>
      </c>
      <c r="D5190" s="112">
        <v>142</v>
      </c>
      <c r="E5190" s="112" t="s">
        <v>4942</v>
      </c>
      <c r="F5190" s="112" t="s">
        <v>5049</v>
      </c>
      <c r="G5190" s="112" t="s">
        <v>5029</v>
      </c>
      <c r="H5190" s="276">
        <v>0.41849999999999998</v>
      </c>
      <c r="J5190" s="2"/>
    </row>
    <row r="5191" spans="2:10" s="317" customFormat="1" hidden="1" outlineLevel="2">
      <c r="B5191" s="2" t="s">
        <v>833</v>
      </c>
      <c r="D5191" s="114">
        <v>141</v>
      </c>
      <c r="E5191" s="114" t="s">
        <v>4942</v>
      </c>
      <c r="F5191" s="114" t="s">
        <v>5050</v>
      </c>
      <c r="G5191" s="114" t="s">
        <v>5029</v>
      </c>
      <c r="H5191" s="279">
        <v>0.41849999999999998</v>
      </c>
      <c r="J5191" s="2"/>
    </row>
    <row r="5192" spans="2:10" s="317" customFormat="1" hidden="1" outlineLevel="2">
      <c r="B5192" s="2" t="s">
        <v>833</v>
      </c>
      <c r="D5192" s="112">
        <v>412</v>
      </c>
      <c r="E5192" s="112" t="s">
        <v>4942</v>
      </c>
      <c r="F5192" s="112" t="s">
        <v>5051</v>
      </c>
      <c r="G5192" s="112" t="s">
        <v>5018</v>
      </c>
      <c r="H5192" s="276">
        <v>0.41849999999999998</v>
      </c>
      <c r="J5192" s="2"/>
    </row>
    <row r="5193" spans="2:10" s="317" customFormat="1" hidden="1" outlineLevel="2">
      <c r="B5193" s="2" t="s">
        <v>833</v>
      </c>
      <c r="D5193" s="114">
        <v>411</v>
      </c>
      <c r="E5193" s="114" t="s">
        <v>4942</v>
      </c>
      <c r="F5193" s="114" t="s">
        <v>5052</v>
      </c>
      <c r="G5193" s="114" t="s">
        <v>5018</v>
      </c>
      <c r="H5193" s="279">
        <v>0.41849999999999998</v>
      </c>
      <c r="J5193" s="2"/>
    </row>
    <row r="5194" spans="2:10" s="317" customFormat="1" hidden="1" outlineLevel="2">
      <c r="B5194" s="2" t="s">
        <v>833</v>
      </c>
      <c r="D5194" s="112">
        <v>219</v>
      </c>
      <c r="E5194" s="112" t="s">
        <v>4942</v>
      </c>
      <c r="F5194" s="112" t="s">
        <v>5053</v>
      </c>
      <c r="G5194" s="112" t="s">
        <v>5014</v>
      </c>
      <c r="H5194" s="276">
        <v>0.41849999999999998</v>
      </c>
      <c r="J5194" s="2"/>
    </row>
    <row r="5195" spans="2:10" s="317" customFormat="1" hidden="1" outlineLevel="2">
      <c r="B5195" s="2" t="s">
        <v>833</v>
      </c>
      <c r="D5195" s="114">
        <v>303</v>
      </c>
      <c r="E5195" s="114" t="s">
        <v>4942</v>
      </c>
      <c r="F5195" s="114" t="s">
        <v>5054</v>
      </c>
      <c r="G5195" s="114" t="s">
        <v>5034</v>
      </c>
      <c r="H5195" s="279">
        <v>0.41849999999999998</v>
      </c>
      <c r="J5195" s="2"/>
    </row>
    <row r="5196" spans="2:10" s="317" customFormat="1" hidden="1" outlineLevel="2">
      <c r="B5196" s="2" t="s">
        <v>833</v>
      </c>
      <c r="D5196" s="112">
        <v>212</v>
      </c>
      <c r="E5196" s="112" t="s">
        <v>4942</v>
      </c>
      <c r="F5196" s="112" t="s">
        <v>5055</v>
      </c>
      <c r="G5196" s="112" t="s">
        <v>5014</v>
      </c>
      <c r="H5196" s="276">
        <v>0.41849999999999998</v>
      </c>
      <c r="J5196" s="2"/>
    </row>
    <row r="5197" spans="2:10" s="317" customFormat="1" hidden="1" outlineLevel="2">
      <c r="B5197" s="2" t="s">
        <v>833</v>
      </c>
      <c r="D5197" s="114">
        <v>174</v>
      </c>
      <c r="E5197" s="114" t="s">
        <v>4942</v>
      </c>
      <c r="F5197" s="114" t="s">
        <v>5056</v>
      </c>
      <c r="G5197" s="114" t="s">
        <v>5020</v>
      </c>
      <c r="H5197" s="279">
        <v>0.41849999999999998</v>
      </c>
      <c r="J5197" s="2"/>
    </row>
    <row r="5198" spans="2:10" s="317" customFormat="1" hidden="1" outlineLevel="2">
      <c r="B5198" s="2" t="s">
        <v>833</v>
      </c>
      <c r="D5198" s="112">
        <v>177</v>
      </c>
      <c r="E5198" s="112" t="s">
        <v>4942</v>
      </c>
      <c r="F5198" s="112" t="s">
        <v>5057</v>
      </c>
      <c r="G5198" s="112" t="s">
        <v>5020</v>
      </c>
      <c r="H5198" s="276">
        <v>0.41849999999999998</v>
      </c>
      <c r="J5198" s="2"/>
    </row>
    <row r="5199" spans="2:10" s="317" customFormat="1" hidden="1" outlineLevel="2">
      <c r="B5199" s="2" t="s">
        <v>833</v>
      </c>
      <c r="D5199" s="114">
        <v>176</v>
      </c>
      <c r="E5199" s="114" t="s">
        <v>4942</v>
      </c>
      <c r="F5199" s="114" t="s">
        <v>5058</v>
      </c>
      <c r="G5199" s="114" t="s">
        <v>5020</v>
      </c>
      <c r="H5199" s="279">
        <v>0.41849999999999998</v>
      </c>
      <c r="J5199" s="2"/>
    </row>
    <row r="5200" spans="2:10" s="317" customFormat="1" hidden="1" outlineLevel="2">
      <c r="B5200" s="2" t="s">
        <v>833</v>
      </c>
      <c r="D5200" s="112">
        <v>175</v>
      </c>
      <c r="E5200" s="112" t="s">
        <v>4942</v>
      </c>
      <c r="F5200" s="112" t="s">
        <v>5059</v>
      </c>
      <c r="G5200" s="112" t="s">
        <v>5020</v>
      </c>
      <c r="H5200" s="276">
        <v>0.41849999999999998</v>
      </c>
      <c r="J5200" s="2"/>
    </row>
    <row r="5201" spans="2:10" s="317" customFormat="1" hidden="1" outlineLevel="2">
      <c r="B5201" s="2" t="s">
        <v>833</v>
      </c>
      <c r="D5201" s="114">
        <v>414</v>
      </c>
      <c r="E5201" s="114" t="s">
        <v>4942</v>
      </c>
      <c r="F5201" s="114" t="s">
        <v>5060</v>
      </c>
      <c r="G5201" s="114" t="s">
        <v>5018</v>
      </c>
      <c r="H5201" s="279">
        <v>0.41849999999999998</v>
      </c>
      <c r="J5201" s="2"/>
    </row>
    <row r="5202" spans="2:10" s="317" customFormat="1" hidden="1" outlineLevel="2">
      <c r="B5202" s="2" t="s">
        <v>833</v>
      </c>
      <c r="D5202" s="112">
        <v>116</v>
      </c>
      <c r="E5202" s="112" t="s">
        <v>4942</v>
      </c>
      <c r="F5202" s="112" t="s">
        <v>5061</v>
      </c>
      <c r="G5202" s="112" t="s">
        <v>5016</v>
      </c>
      <c r="H5202" s="276">
        <v>0.41849999999999998</v>
      </c>
      <c r="J5202" s="2"/>
    </row>
    <row r="5203" spans="2:10" s="317" customFormat="1" hidden="1" outlineLevel="2">
      <c r="B5203" s="2" t="s">
        <v>833</v>
      </c>
      <c r="D5203" s="114">
        <v>161</v>
      </c>
      <c r="E5203" s="114" t="s">
        <v>4942</v>
      </c>
      <c r="F5203" s="114" t="s">
        <v>5062</v>
      </c>
      <c r="G5203" s="114" t="s">
        <v>5024</v>
      </c>
      <c r="H5203" s="279">
        <v>0.41849999999999998</v>
      </c>
      <c r="J5203" s="2"/>
    </row>
    <row r="5204" spans="2:10" s="317" customFormat="1" hidden="1" outlineLevel="2">
      <c r="B5204" s="2" t="s">
        <v>833</v>
      </c>
      <c r="D5204" s="112">
        <v>166</v>
      </c>
      <c r="E5204" s="112" t="s">
        <v>4942</v>
      </c>
      <c r="F5204" s="112" t="s">
        <v>5063</v>
      </c>
      <c r="G5204" s="112" t="s">
        <v>5024</v>
      </c>
      <c r="H5204" s="276">
        <v>0.41849999999999998</v>
      </c>
      <c r="J5204" s="2"/>
    </row>
    <row r="5205" spans="2:10" s="317" customFormat="1" hidden="1" outlineLevel="2">
      <c r="B5205" s="2" t="s">
        <v>833</v>
      </c>
      <c r="D5205" s="114">
        <v>416</v>
      </c>
      <c r="E5205" s="114" t="s">
        <v>4942</v>
      </c>
      <c r="F5205" s="114" t="s">
        <v>5064</v>
      </c>
      <c r="G5205" s="114" t="s">
        <v>5018</v>
      </c>
      <c r="H5205" s="279">
        <v>0.41849999999999998</v>
      </c>
      <c r="J5205" s="2"/>
    </row>
    <row r="5206" spans="2:10" s="317" customFormat="1" hidden="1" outlineLevel="2">
      <c r="B5206" s="2" t="s">
        <v>833</v>
      </c>
      <c r="D5206" s="112">
        <v>113</v>
      </c>
      <c r="E5206" s="112" t="s">
        <v>4942</v>
      </c>
      <c r="F5206" s="112" t="s">
        <v>5065</v>
      </c>
      <c r="G5206" s="112" t="s">
        <v>5016</v>
      </c>
      <c r="H5206" s="276">
        <v>0.41849999999999998</v>
      </c>
      <c r="J5206" s="2"/>
    </row>
    <row r="5207" spans="2:10" s="317" customFormat="1" hidden="1" outlineLevel="2">
      <c r="B5207" s="2" t="s">
        <v>833</v>
      </c>
      <c r="D5207" s="114">
        <v>172</v>
      </c>
      <c r="E5207" s="114" t="s">
        <v>4942</v>
      </c>
      <c r="F5207" s="114" t="s">
        <v>5066</v>
      </c>
      <c r="G5207" s="114" t="s">
        <v>5024</v>
      </c>
      <c r="H5207" s="279">
        <v>0.41849999999999998</v>
      </c>
      <c r="J5207" s="2"/>
    </row>
    <row r="5208" spans="2:10" s="317" customFormat="1" hidden="1" outlineLevel="2">
      <c r="B5208" s="2" t="s">
        <v>833</v>
      </c>
      <c r="D5208" s="112">
        <v>7112</v>
      </c>
      <c r="E5208" s="112" t="s">
        <v>4944</v>
      </c>
      <c r="F5208" s="112" t="s">
        <v>5067</v>
      </c>
      <c r="G5208" s="112" t="s">
        <v>5068</v>
      </c>
      <c r="H5208" s="276">
        <v>0.2515</v>
      </c>
      <c r="J5208" s="2"/>
    </row>
    <row r="5209" spans="2:10" s="317" customFormat="1" hidden="1" outlineLevel="2">
      <c r="B5209" s="2" t="s">
        <v>833</v>
      </c>
      <c r="D5209" s="114">
        <v>7111</v>
      </c>
      <c r="E5209" s="114" t="s">
        <v>4944</v>
      </c>
      <c r="F5209" s="114" t="s">
        <v>5069</v>
      </c>
      <c r="G5209" s="114" t="s">
        <v>5070</v>
      </c>
      <c r="H5209" s="279">
        <v>0.2515</v>
      </c>
      <c r="J5209" s="2"/>
    </row>
    <row r="5210" spans="2:10" s="317" customFormat="1" hidden="1" outlineLevel="2">
      <c r="B5210" s="2" t="s">
        <v>833</v>
      </c>
      <c r="D5210" s="112">
        <v>7120</v>
      </c>
      <c r="E5210" s="112" t="s">
        <v>4944</v>
      </c>
      <c r="F5210" s="112" t="s">
        <v>5071</v>
      </c>
      <c r="G5210" s="112" t="s">
        <v>5072</v>
      </c>
      <c r="H5210" s="276">
        <v>0.2515</v>
      </c>
      <c r="J5210" s="2"/>
    </row>
    <row r="5211" spans="2:10" s="317" customFormat="1" hidden="1" outlineLevel="2">
      <c r="B5211" s="2" t="s">
        <v>833</v>
      </c>
      <c r="D5211" s="114">
        <v>4233</v>
      </c>
      <c r="E5211" s="114" t="s">
        <v>4946</v>
      </c>
      <c r="F5211" s="114" t="s">
        <v>5073</v>
      </c>
      <c r="G5211" s="114" t="s">
        <v>5074</v>
      </c>
      <c r="H5211" s="279">
        <v>0.50870000000000004</v>
      </c>
      <c r="J5211" s="2"/>
    </row>
    <row r="5212" spans="2:10" s="317" customFormat="1" hidden="1" outlineLevel="2">
      <c r="B5212" s="2" t="s">
        <v>833</v>
      </c>
      <c r="D5212" s="112">
        <v>4222</v>
      </c>
      <c r="E5212" s="112" t="s">
        <v>4946</v>
      </c>
      <c r="F5212" s="112" t="s">
        <v>5075</v>
      </c>
      <c r="G5212" s="112" t="s">
        <v>5074</v>
      </c>
      <c r="H5212" s="276">
        <v>0.50870000000000004</v>
      </c>
      <c r="J5212" s="2"/>
    </row>
    <row r="5213" spans="2:10" s="317" customFormat="1" hidden="1" outlineLevel="2">
      <c r="B5213" s="2" t="s">
        <v>833</v>
      </c>
      <c r="D5213" s="114">
        <v>4242</v>
      </c>
      <c r="E5213" s="114" t="s">
        <v>4946</v>
      </c>
      <c r="F5213" s="114" t="s">
        <v>5076</v>
      </c>
      <c r="G5213" s="114" t="s">
        <v>5074</v>
      </c>
      <c r="H5213" s="279">
        <v>0.50870000000000004</v>
      </c>
      <c r="J5213" s="2"/>
    </row>
    <row r="5214" spans="2:10" s="317" customFormat="1" hidden="1" outlineLevel="2">
      <c r="B5214" s="2" t="s">
        <v>833</v>
      </c>
      <c r="D5214" s="112">
        <v>4221</v>
      </c>
      <c r="E5214" s="112" t="s">
        <v>4946</v>
      </c>
      <c r="F5214" s="112" t="s">
        <v>5077</v>
      </c>
      <c r="G5214" s="112" t="s">
        <v>5074</v>
      </c>
      <c r="H5214" s="276">
        <v>0.50870000000000004</v>
      </c>
      <c r="J5214" s="2"/>
    </row>
    <row r="5215" spans="2:10" s="317" customFormat="1" hidden="1" outlineLevel="2">
      <c r="B5215" s="2" t="s">
        <v>833</v>
      </c>
      <c r="D5215" s="114">
        <v>4259</v>
      </c>
      <c r="E5215" s="114" t="s">
        <v>4946</v>
      </c>
      <c r="F5215" s="114" t="s">
        <v>5078</v>
      </c>
      <c r="G5215" s="114" t="s">
        <v>5074</v>
      </c>
      <c r="H5215" s="279">
        <v>0.50870000000000004</v>
      </c>
      <c r="J5215" s="2"/>
    </row>
    <row r="5216" spans="2:10" s="317" customFormat="1" hidden="1" outlineLevel="2">
      <c r="B5216" s="2" t="s">
        <v>833</v>
      </c>
      <c r="D5216" s="112">
        <v>4232</v>
      </c>
      <c r="E5216" s="112" t="s">
        <v>4946</v>
      </c>
      <c r="F5216" s="112" t="s">
        <v>5079</v>
      </c>
      <c r="G5216" s="112" t="s">
        <v>5074</v>
      </c>
      <c r="H5216" s="276">
        <v>0.50870000000000004</v>
      </c>
      <c r="J5216" s="2"/>
    </row>
    <row r="5217" spans="2:10" s="317" customFormat="1" hidden="1" outlineLevel="2">
      <c r="B5217" s="2" t="s">
        <v>833</v>
      </c>
      <c r="D5217" s="114">
        <v>4234</v>
      </c>
      <c r="E5217" s="114" t="s">
        <v>4946</v>
      </c>
      <c r="F5217" s="114" t="s">
        <v>5080</v>
      </c>
      <c r="G5217" s="114" t="s">
        <v>5074</v>
      </c>
      <c r="H5217" s="279">
        <v>0.50870000000000004</v>
      </c>
      <c r="J5217" s="2"/>
    </row>
    <row r="5218" spans="2:10" s="317" customFormat="1" hidden="1" outlineLevel="2">
      <c r="B5218" s="2" t="s">
        <v>833</v>
      </c>
      <c r="D5218" s="112">
        <v>4245</v>
      </c>
      <c r="E5218" s="112" t="s">
        <v>4946</v>
      </c>
      <c r="F5218" s="112" t="s">
        <v>5081</v>
      </c>
      <c r="G5218" s="112" t="s">
        <v>5074</v>
      </c>
      <c r="H5218" s="276">
        <v>0.50870000000000004</v>
      </c>
      <c r="J5218" s="2"/>
    </row>
    <row r="5219" spans="2:10" s="317" customFormat="1" hidden="1" outlineLevel="2">
      <c r="B5219" s="2" t="s">
        <v>833</v>
      </c>
      <c r="D5219" s="114">
        <v>4111</v>
      </c>
      <c r="E5219" s="114" t="s">
        <v>4946</v>
      </c>
      <c r="F5219" s="114" t="s">
        <v>5082</v>
      </c>
      <c r="G5219" s="114" t="s">
        <v>5074</v>
      </c>
      <c r="H5219" s="279">
        <v>0.50870000000000004</v>
      </c>
      <c r="J5219" s="2"/>
    </row>
    <row r="5220" spans="2:10" s="317" customFormat="1" hidden="1" outlineLevel="2">
      <c r="B5220" s="2" t="s">
        <v>833</v>
      </c>
      <c r="D5220" s="112">
        <v>4251</v>
      </c>
      <c r="E5220" s="112" t="s">
        <v>4946</v>
      </c>
      <c r="F5220" s="112" t="s">
        <v>5083</v>
      </c>
      <c r="G5220" s="112" t="s">
        <v>5074</v>
      </c>
      <c r="H5220" s="276">
        <v>0.50870000000000004</v>
      </c>
      <c r="J5220" s="2"/>
    </row>
    <row r="5221" spans="2:10" s="317" customFormat="1" hidden="1" outlineLevel="2">
      <c r="B5221" s="2" t="s">
        <v>833</v>
      </c>
      <c r="D5221" s="114">
        <v>4122</v>
      </c>
      <c r="E5221" s="114" t="s">
        <v>4946</v>
      </c>
      <c r="F5221" s="114" t="s">
        <v>5084</v>
      </c>
      <c r="G5221" s="114" t="s">
        <v>5074</v>
      </c>
      <c r="H5221" s="279">
        <v>0.50870000000000004</v>
      </c>
      <c r="J5221" s="2"/>
    </row>
    <row r="5222" spans="2:10" s="317" customFormat="1" hidden="1" outlineLevel="2">
      <c r="B5222" s="2" t="s">
        <v>833</v>
      </c>
      <c r="D5222" s="112">
        <v>4113</v>
      </c>
      <c r="E5222" s="112" t="s">
        <v>4946</v>
      </c>
      <c r="F5222" s="112" t="s">
        <v>5085</v>
      </c>
      <c r="G5222" s="112" t="s">
        <v>5074</v>
      </c>
      <c r="H5222" s="276">
        <v>0.50870000000000004</v>
      </c>
      <c r="J5222" s="2"/>
    </row>
    <row r="5223" spans="2:10" s="317" customFormat="1" hidden="1" outlineLevel="2">
      <c r="B5223" s="2" t="s">
        <v>833</v>
      </c>
      <c r="D5223" s="114">
        <v>4244</v>
      </c>
      <c r="E5223" s="114" t="s">
        <v>4946</v>
      </c>
      <c r="F5223" s="114" t="s">
        <v>5086</v>
      </c>
      <c r="G5223" s="114" t="s">
        <v>5074</v>
      </c>
      <c r="H5223" s="279">
        <v>0.50870000000000004</v>
      </c>
      <c r="J5223" s="2"/>
    </row>
    <row r="5224" spans="2:10" s="317" customFormat="1" hidden="1" outlineLevel="2">
      <c r="B5224" s="2" t="s">
        <v>833</v>
      </c>
      <c r="D5224" s="112">
        <v>4241</v>
      </c>
      <c r="E5224" s="112" t="s">
        <v>4946</v>
      </c>
      <c r="F5224" s="112" t="s">
        <v>5087</v>
      </c>
      <c r="G5224" s="112" t="s">
        <v>5074</v>
      </c>
      <c r="H5224" s="276">
        <v>0.50870000000000004</v>
      </c>
      <c r="J5224" s="2"/>
    </row>
    <row r="5225" spans="2:10" s="317" customFormat="1" hidden="1" outlineLevel="2">
      <c r="B5225" s="2" t="s">
        <v>833</v>
      </c>
      <c r="D5225" s="114">
        <v>4231</v>
      </c>
      <c r="E5225" s="114" t="s">
        <v>4946</v>
      </c>
      <c r="F5225" s="114" t="s">
        <v>5088</v>
      </c>
      <c r="G5225" s="114" t="s">
        <v>5074</v>
      </c>
      <c r="H5225" s="279">
        <v>0.50870000000000004</v>
      </c>
      <c r="J5225" s="2"/>
    </row>
    <row r="5226" spans="2:10" s="317" customFormat="1" hidden="1" outlineLevel="2">
      <c r="B5226" s="2" t="s">
        <v>833</v>
      </c>
      <c r="D5226" s="112">
        <v>4112</v>
      </c>
      <c r="E5226" s="112" t="s">
        <v>4946</v>
      </c>
      <c r="F5226" s="112" t="s">
        <v>5089</v>
      </c>
      <c r="G5226" s="112" t="s">
        <v>5074</v>
      </c>
      <c r="H5226" s="276">
        <v>0.50870000000000004</v>
      </c>
      <c r="J5226" s="2"/>
    </row>
    <row r="5227" spans="2:10" s="317" customFormat="1" hidden="1" outlineLevel="2">
      <c r="B5227" s="2" t="s">
        <v>833</v>
      </c>
      <c r="D5227" s="114">
        <v>4121</v>
      </c>
      <c r="E5227" s="114" t="s">
        <v>4946</v>
      </c>
      <c r="F5227" s="114" t="s">
        <v>5090</v>
      </c>
      <c r="G5227" s="114" t="s">
        <v>5074</v>
      </c>
      <c r="H5227" s="279">
        <v>0.50870000000000004</v>
      </c>
      <c r="J5227" s="2"/>
    </row>
    <row r="5228" spans="2:10" s="317" customFormat="1" hidden="1" outlineLevel="2">
      <c r="B5228" s="2" t="s">
        <v>833</v>
      </c>
      <c r="D5228" s="112">
        <v>4223</v>
      </c>
      <c r="E5228" s="112" t="s">
        <v>4946</v>
      </c>
      <c r="F5228" s="112" t="s">
        <v>5091</v>
      </c>
      <c r="G5228" s="112" t="s">
        <v>5074</v>
      </c>
      <c r="H5228" s="276">
        <v>0.50870000000000004</v>
      </c>
      <c r="J5228" s="2"/>
    </row>
    <row r="5229" spans="2:10" s="317" customFormat="1" hidden="1" outlineLevel="2">
      <c r="B5229" s="2" t="s">
        <v>833</v>
      </c>
      <c r="D5229" s="114">
        <v>4210</v>
      </c>
      <c r="E5229" s="114" t="s">
        <v>4946</v>
      </c>
      <c r="F5229" s="114" t="s">
        <v>5092</v>
      </c>
      <c r="G5229" s="114" t="s">
        <v>5074</v>
      </c>
      <c r="H5229" s="279">
        <v>0.50870000000000004</v>
      </c>
      <c r="J5229" s="2"/>
    </row>
    <row r="5230" spans="2:10" s="317" customFormat="1" hidden="1" outlineLevel="2">
      <c r="B5230" s="2" t="s">
        <v>833</v>
      </c>
      <c r="D5230" s="112">
        <v>4224</v>
      </c>
      <c r="E5230" s="112" t="s">
        <v>4946</v>
      </c>
      <c r="F5230" s="112" t="s">
        <v>5093</v>
      </c>
      <c r="G5230" s="112" t="s">
        <v>5074</v>
      </c>
      <c r="H5230" s="276">
        <v>0.50870000000000004</v>
      </c>
      <c r="J5230" s="2"/>
    </row>
    <row r="5231" spans="2:10" s="317" customFormat="1" hidden="1" outlineLevel="2">
      <c r="B5231" s="2" t="s">
        <v>833</v>
      </c>
      <c r="D5231" s="114">
        <v>4243</v>
      </c>
      <c r="E5231" s="114" t="s">
        <v>4946</v>
      </c>
      <c r="F5231" s="114" t="s">
        <v>5094</v>
      </c>
      <c r="G5231" s="114" t="s">
        <v>5074</v>
      </c>
      <c r="H5231" s="279">
        <v>0.50870000000000004</v>
      </c>
      <c r="J5231" s="2"/>
    </row>
    <row r="5232" spans="2:10" s="317" customFormat="1" hidden="1" outlineLevel="2">
      <c r="B5232" s="2" t="s">
        <v>833</v>
      </c>
      <c r="D5232" s="112">
        <v>9322</v>
      </c>
      <c r="E5232" s="112" t="s">
        <v>4948</v>
      </c>
      <c r="F5232" s="112" t="s">
        <v>5095</v>
      </c>
      <c r="G5232" s="112" t="s">
        <v>5096</v>
      </c>
      <c r="H5232" s="276">
        <v>0.51700000000000002</v>
      </c>
      <c r="J5232" s="2"/>
    </row>
    <row r="5233" spans="2:10" s="317" customFormat="1" hidden="1" outlineLevel="2">
      <c r="B5233" s="2" t="s">
        <v>833</v>
      </c>
      <c r="D5233" s="114">
        <v>9242</v>
      </c>
      <c r="E5233" s="114" t="s">
        <v>4948</v>
      </c>
      <c r="F5233" s="114" t="s">
        <v>5097</v>
      </c>
      <c r="G5233" s="114" t="s">
        <v>5098</v>
      </c>
      <c r="H5233" s="279">
        <v>0.51700000000000002</v>
      </c>
      <c r="J5233" s="2"/>
    </row>
    <row r="5234" spans="2:10" s="317" customFormat="1" hidden="1" outlineLevel="2">
      <c r="B5234" s="2" t="s">
        <v>833</v>
      </c>
      <c r="D5234" s="112">
        <v>9112</v>
      </c>
      <c r="E5234" s="112" t="s">
        <v>4948</v>
      </c>
      <c r="F5234" s="112" t="s">
        <v>5099</v>
      </c>
      <c r="G5234" s="112" t="s">
        <v>5100</v>
      </c>
      <c r="H5234" s="276">
        <v>0.51700000000000002</v>
      </c>
      <c r="J5234" s="2"/>
    </row>
    <row r="5235" spans="2:10" s="317" customFormat="1" hidden="1" outlineLevel="2">
      <c r="B5235" s="2" t="s">
        <v>833</v>
      </c>
      <c r="D5235" s="114">
        <v>9111</v>
      </c>
      <c r="E5235" s="114" t="s">
        <v>4948</v>
      </c>
      <c r="F5235" s="114" t="s">
        <v>5101</v>
      </c>
      <c r="G5235" s="114" t="s">
        <v>5100</v>
      </c>
      <c r="H5235" s="279">
        <v>0.51700000000000002</v>
      </c>
      <c r="J5235" s="2"/>
    </row>
    <row r="5236" spans="2:10" s="317" customFormat="1" hidden="1" outlineLevel="2">
      <c r="B5236" s="2" t="s">
        <v>833</v>
      </c>
      <c r="D5236" s="112">
        <v>9329</v>
      </c>
      <c r="E5236" s="112" t="s">
        <v>4948</v>
      </c>
      <c r="F5236" s="112" t="s">
        <v>5102</v>
      </c>
      <c r="G5236" s="112" t="s">
        <v>5096</v>
      </c>
      <c r="H5236" s="276">
        <v>0.51700000000000002</v>
      </c>
      <c r="J5236" s="2"/>
    </row>
    <row r="5237" spans="2:10" s="317" customFormat="1" hidden="1" outlineLevel="2">
      <c r="B5237" s="2" t="s">
        <v>833</v>
      </c>
      <c r="D5237" s="114">
        <v>9313</v>
      </c>
      <c r="E5237" s="114" t="s">
        <v>4948</v>
      </c>
      <c r="F5237" s="114" t="s">
        <v>5103</v>
      </c>
      <c r="G5237" s="114" t="s">
        <v>5104</v>
      </c>
      <c r="H5237" s="279">
        <v>0.51700000000000002</v>
      </c>
      <c r="J5237" s="2"/>
    </row>
    <row r="5238" spans="2:10" s="317" customFormat="1" hidden="1" outlineLevel="2">
      <c r="B5238" s="2" t="s">
        <v>833</v>
      </c>
      <c r="D5238" s="112">
        <v>9314</v>
      </c>
      <c r="E5238" s="112" t="s">
        <v>4948</v>
      </c>
      <c r="F5238" s="112" t="s">
        <v>5105</v>
      </c>
      <c r="G5238" s="112" t="s">
        <v>5104</v>
      </c>
      <c r="H5238" s="276">
        <v>0.51700000000000002</v>
      </c>
      <c r="J5238" s="2"/>
    </row>
    <row r="5239" spans="2:10" s="317" customFormat="1" hidden="1" outlineLevel="2">
      <c r="B5239" s="2" t="s">
        <v>833</v>
      </c>
      <c r="D5239" s="114">
        <v>9311</v>
      </c>
      <c r="E5239" s="114" t="s">
        <v>4948</v>
      </c>
      <c r="F5239" s="114" t="s">
        <v>5106</v>
      </c>
      <c r="G5239" s="114" t="s">
        <v>5104</v>
      </c>
      <c r="H5239" s="279">
        <v>0.51700000000000002</v>
      </c>
      <c r="J5239" s="2"/>
    </row>
    <row r="5240" spans="2:10" s="317" customFormat="1" hidden="1" outlineLevel="2">
      <c r="B5240" s="2" t="s">
        <v>833</v>
      </c>
      <c r="D5240" s="112">
        <v>9210</v>
      </c>
      <c r="E5240" s="112" t="s">
        <v>4948</v>
      </c>
      <c r="F5240" s="112" t="s">
        <v>5107</v>
      </c>
      <c r="G5240" s="112" t="s">
        <v>5098</v>
      </c>
      <c r="H5240" s="276">
        <v>0.51700000000000002</v>
      </c>
      <c r="J5240" s="2"/>
    </row>
    <row r="5241" spans="2:10" s="317" customFormat="1" hidden="1" outlineLevel="2">
      <c r="B5241" s="2" t="s">
        <v>833</v>
      </c>
      <c r="D5241" s="114">
        <v>9321</v>
      </c>
      <c r="E5241" s="114" t="s">
        <v>4948</v>
      </c>
      <c r="F5241" s="114" t="s">
        <v>5108</v>
      </c>
      <c r="G5241" s="114" t="s">
        <v>5096</v>
      </c>
      <c r="H5241" s="279">
        <v>0.51700000000000002</v>
      </c>
      <c r="J5241" s="2"/>
    </row>
    <row r="5242" spans="2:10" s="317" customFormat="1" hidden="1" outlineLevel="2">
      <c r="B5242" s="2" t="s">
        <v>833</v>
      </c>
      <c r="D5242" s="112">
        <v>9332</v>
      </c>
      <c r="E5242" s="112" t="s">
        <v>4948</v>
      </c>
      <c r="F5242" s="112" t="s">
        <v>5109</v>
      </c>
      <c r="G5242" s="112" t="s">
        <v>5096</v>
      </c>
      <c r="H5242" s="276">
        <v>0.51700000000000002</v>
      </c>
      <c r="J5242" s="2"/>
    </row>
    <row r="5243" spans="2:10" s="317" customFormat="1" hidden="1" outlineLevel="2">
      <c r="B5243" s="2" t="s">
        <v>833</v>
      </c>
      <c r="D5243" s="114">
        <v>9113</v>
      </c>
      <c r="E5243" s="114" t="s">
        <v>4948</v>
      </c>
      <c r="F5243" s="114" t="s">
        <v>5110</v>
      </c>
      <c r="G5243" s="114" t="s">
        <v>5100</v>
      </c>
      <c r="H5243" s="279">
        <v>0.51700000000000002</v>
      </c>
      <c r="J5243" s="2"/>
    </row>
    <row r="5244" spans="2:10" s="317" customFormat="1" hidden="1" outlineLevel="2">
      <c r="B5244" s="2" t="s">
        <v>833</v>
      </c>
      <c r="D5244" s="112">
        <v>9220</v>
      </c>
      <c r="E5244" s="112" t="s">
        <v>4948</v>
      </c>
      <c r="F5244" s="112" t="s">
        <v>5111</v>
      </c>
      <c r="G5244" s="112" t="s">
        <v>5098</v>
      </c>
      <c r="H5244" s="276">
        <v>0.51700000000000002</v>
      </c>
      <c r="J5244" s="2"/>
    </row>
    <row r="5245" spans="2:10" s="317" customFormat="1" hidden="1" outlineLevel="2">
      <c r="B5245" s="2" t="s">
        <v>833</v>
      </c>
      <c r="D5245" s="114">
        <v>9241</v>
      </c>
      <c r="E5245" s="114" t="s">
        <v>4948</v>
      </c>
      <c r="F5245" s="114" t="s">
        <v>5112</v>
      </c>
      <c r="G5245" s="114" t="s">
        <v>5098</v>
      </c>
      <c r="H5245" s="279">
        <v>0.51700000000000002</v>
      </c>
      <c r="J5245" s="2"/>
    </row>
    <row r="5246" spans="2:10" s="317" customFormat="1" hidden="1" outlineLevel="2">
      <c r="B5246" s="2" t="s">
        <v>833</v>
      </c>
      <c r="D5246" s="112">
        <v>9252</v>
      </c>
      <c r="E5246" s="112" t="s">
        <v>4948</v>
      </c>
      <c r="F5246" s="112" t="s">
        <v>5113</v>
      </c>
      <c r="G5246" s="112" t="s">
        <v>5098</v>
      </c>
      <c r="H5246" s="276">
        <v>0.51700000000000002</v>
      </c>
      <c r="J5246" s="2"/>
    </row>
    <row r="5247" spans="2:10" s="317" customFormat="1" hidden="1" outlineLevel="2">
      <c r="B5247" s="2" t="s">
        <v>833</v>
      </c>
      <c r="D5247" s="114">
        <v>9121</v>
      </c>
      <c r="E5247" s="114" t="s">
        <v>4948</v>
      </c>
      <c r="F5247" s="114" t="s">
        <v>5114</v>
      </c>
      <c r="G5247" s="114" t="s">
        <v>5100</v>
      </c>
      <c r="H5247" s="279">
        <v>0.51700000000000002</v>
      </c>
      <c r="J5247" s="2"/>
    </row>
    <row r="5248" spans="2:10" s="317" customFormat="1" hidden="1" outlineLevel="2">
      <c r="B5248" s="2" t="s">
        <v>833</v>
      </c>
      <c r="D5248" s="112">
        <v>9339</v>
      </c>
      <c r="E5248" s="112" t="s">
        <v>4948</v>
      </c>
      <c r="F5248" s="112" t="s">
        <v>5115</v>
      </c>
      <c r="G5248" s="112" t="s">
        <v>5096</v>
      </c>
      <c r="H5248" s="276">
        <v>0.51700000000000002</v>
      </c>
      <c r="J5248" s="2"/>
    </row>
    <row r="5249" spans="2:10" s="317" customFormat="1" hidden="1" outlineLevel="2">
      <c r="B5249" s="2" t="s">
        <v>833</v>
      </c>
      <c r="D5249" s="114">
        <v>9239</v>
      </c>
      <c r="E5249" s="114" t="s">
        <v>4948</v>
      </c>
      <c r="F5249" s="114" t="s">
        <v>5116</v>
      </c>
      <c r="G5249" s="114" t="s">
        <v>5098</v>
      </c>
      <c r="H5249" s="279">
        <v>0.51700000000000002</v>
      </c>
      <c r="J5249" s="2"/>
    </row>
    <row r="5250" spans="2:10" s="317" customFormat="1" hidden="1" outlineLevel="2">
      <c r="B5250" s="2" t="s">
        <v>833</v>
      </c>
      <c r="D5250" s="112">
        <v>9259</v>
      </c>
      <c r="E5250" s="112" t="s">
        <v>4948</v>
      </c>
      <c r="F5250" s="112" t="s">
        <v>5117</v>
      </c>
      <c r="G5250" s="112" t="s">
        <v>5098</v>
      </c>
      <c r="H5250" s="276">
        <v>0.51700000000000002</v>
      </c>
      <c r="J5250" s="2"/>
    </row>
    <row r="5251" spans="2:10" s="317" customFormat="1" hidden="1" outlineLevel="2">
      <c r="B5251" s="2" t="s">
        <v>833</v>
      </c>
      <c r="D5251" s="114">
        <v>9251</v>
      </c>
      <c r="E5251" s="114" t="s">
        <v>4948</v>
      </c>
      <c r="F5251" s="114" t="s">
        <v>5118</v>
      </c>
      <c r="G5251" s="114" t="s">
        <v>5098</v>
      </c>
      <c r="H5251" s="279">
        <v>0.51700000000000002</v>
      </c>
      <c r="J5251" s="2"/>
    </row>
    <row r="5252" spans="2:10" s="317" customFormat="1" hidden="1" outlineLevel="2">
      <c r="B5252" s="2" t="s">
        <v>833</v>
      </c>
      <c r="D5252" s="112">
        <v>9319</v>
      </c>
      <c r="E5252" s="112" t="s">
        <v>4948</v>
      </c>
      <c r="F5252" s="112" t="s">
        <v>5119</v>
      </c>
      <c r="G5252" s="112" t="s">
        <v>5104</v>
      </c>
      <c r="H5252" s="276">
        <v>0.51700000000000002</v>
      </c>
      <c r="J5252" s="2"/>
    </row>
    <row r="5253" spans="2:10" s="317" customFormat="1" hidden="1" outlineLevel="2">
      <c r="B5253" s="2" t="s">
        <v>833</v>
      </c>
      <c r="D5253" s="114">
        <v>9312</v>
      </c>
      <c r="E5253" s="114" t="s">
        <v>4948</v>
      </c>
      <c r="F5253" s="114" t="s">
        <v>5120</v>
      </c>
      <c r="G5253" s="114" t="s">
        <v>5104</v>
      </c>
      <c r="H5253" s="279">
        <v>0.51700000000000002</v>
      </c>
      <c r="J5253" s="2"/>
    </row>
    <row r="5254" spans="2:10" s="317" customFormat="1" hidden="1" outlineLevel="2">
      <c r="B5254" s="2" t="s">
        <v>833</v>
      </c>
      <c r="D5254" s="112">
        <v>9122</v>
      </c>
      <c r="E5254" s="112" t="s">
        <v>4948</v>
      </c>
      <c r="F5254" s="112" t="s">
        <v>5121</v>
      </c>
      <c r="G5254" s="112" t="s">
        <v>5100</v>
      </c>
      <c r="H5254" s="276">
        <v>0.51700000000000002</v>
      </c>
      <c r="J5254" s="2"/>
    </row>
    <row r="5255" spans="2:10" s="317" customFormat="1" hidden="1" outlineLevel="2">
      <c r="B5255" s="2" t="s">
        <v>833</v>
      </c>
      <c r="D5255" s="114">
        <v>9331</v>
      </c>
      <c r="E5255" s="114" t="s">
        <v>4948</v>
      </c>
      <c r="F5255" s="114" t="s">
        <v>5122</v>
      </c>
      <c r="G5255" s="114" t="s">
        <v>5096</v>
      </c>
      <c r="H5255" s="279">
        <v>0.51700000000000002</v>
      </c>
      <c r="J5255" s="2"/>
    </row>
    <row r="5256" spans="2:10" s="317" customFormat="1" hidden="1" outlineLevel="2">
      <c r="B5256" s="2" t="s">
        <v>833</v>
      </c>
      <c r="D5256" s="112">
        <v>9330</v>
      </c>
      <c r="E5256" s="112" t="s">
        <v>4948</v>
      </c>
      <c r="F5256" s="112" t="s">
        <v>5123</v>
      </c>
      <c r="G5256" s="112" t="s">
        <v>5096</v>
      </c>
      <c r="H5256" s="276">
        <v>0.51700000000000002</v>
      </c>
      <c r="J5256" s="2"/>
    </row>
    <row r="5257" spans="2:10" s="317" customFormat="1" hidden="1" outlineLevel="2">
      <c r="B5257" s="2" t="s">
        <v>833</v>
      </c>
      <c r="D5257" s="114">
        <v>9231</v>
      </c>
      <c r="E5257" s="114" t="s">
        <v>4948</v>
      </c>
      <c r="F5257" s="114" t="s">
        <v>5124</v>
      </c>
      <c r="G5257" s="114" t="s">
        <v>5098</v>
      </c>
      <c r="H5257" s="279">
        <v>0.51700000000000002</v>
      </c>
      <c r="J5257" s="2"/>
    </row>
    <row r="5258" spans="2:10" s="317" customFormat="1" hidden="1" outlineLevel="2">
      <c r="B5258" s="2" t="s">
        <v>833</v>
      </c>
      <c r="D5258" s="112">
        <v>8431</v>
      </c>
      <c r="E5258" s="112" t="s">
        <v>565</v>
      </c>
      <c r="F5258" s="112" t="s">
        <v>5125</v>
      </c>
      <c r="G5258" s="112" t="s">
        <v>5126</v>
      </c>
      <c r="H5258" s="276">
        <v>0.34189999999999998</v>
      </c>
      <c r="J5258" s="2"/>
    </row>
    <row r="5259" spans="2:10" s="317" customFormat="1" hidden="1" outlineLevel="2">
      <c r="B5259" s="2" t="s">
        <v>833</v>
      </c>
      <c r="D5259" s="114">
        <v>8440</v>
      </c>
      <c r="E5259" s="114" t="s">
        <v>565</v>
      </c>
      <c r="F5259" s="114" t="s">
        <v>5127</v>
      </c>
      <c r="G5259" s="114" t="s">
        <v>5126</v>
      </c>
      <c r="H5259" s="279">
        <v>0.34189999999999998</v>
      </c>
      <c r="J5259" s="2"/>
    </row>
    <row r="5260" spans="2:10" s="317" customFormat="1" hidden="1" outlineLevel="2">
      <c r="B5260" s="2" t="s">
        <v>833</v>
      </c>
      <c r="D5260" s="112">
        <v>8459</v>
      </c>
      <c r="E5260" s="112" t="s">
        <v>565</v>
      </c>
      <c r="F5260" s="112" t="s">
        <v>5128</v>
      </c>
      <c r="G5260" s="112" t="s">
        <v>5126</v>
      </c>
      <c r="H5260" s="276">
        <v>0.34189999999999998</v>
      </c>
      <c r="J5260" s="2"/>
    </row>
    <row r="5261" spans="2:10" s="317" customFormat="1" hidden="1" outlineLevel="2">
      <c r="B5261" s="2" t="s">
        <v>833</v>
      </c>
      <c r="D5261" s="114">
        <v>8410</v>
      </c>
      <c r="E5261" s="114" t="s">
        <v>565</v>
      </c>
      <c r="F5261" s="114" t="s">
        <v>5129</v>
      </c>
      <c r="G5261" s="114" t="s">
        <v>5126</v>
      </c>
      <c r="H5261" s="279">
        <v>0.34189999999999998</v>
      </c>
      <c r="J5261" s="2"/>
    </row>
    <row r="5262" spans="2:10" s="317" customFormat="1" hidden="1" outlineLevel="2">
      <c r="B5262" s="2" t="s">
        <v>833</v>
      </c>
      <c r="D5262" s="112">
        <v>8455</v>
      </c>
      <c r="E5262" s="112" t="s">
        <v>565</v>
      </c>
      <c r="F5262" s="112" t="s">
        <v>5130</v>
      </c>
      <c r="G5262" s="112" t="s">
        <v>5126</v>
      </c>
      <c r="H5262" s="276">
        <v>0.34189999999999998</v>
      </c>
      <c r="J5262" s="2"/>
    </row>
    <row r="5263" spans="2:10" s="317" customFormat="1" hidden="1" outlineLevel="2">
      <c r="B5263" s="2" t="s">
        <v>833</v>
      </c>
      <c r="D5263" s="114">
        <v>8451</v>
      </c>
      <c r="E5263" s="114" t="s">
        <v>565</v>
      </c>
      <c r="F5263" s="114" t="s">
        <v>5131</v>
      </c>
      <c r="G5263" s="114" t="s">
        <v>5126</v>
      </c>
      <c r="H5263" s="279">
        <v>0.34189999999999998</v>
      </c>
      <c r="J5263" s="2"/>
    </row>
    <row r="5264" spans="2:10" s="317" customFormat="1" hidden="1" outlineLevel="2">
      <c r="B5264" s="2" t="s">
        <v>833</v>
      </c>
      <c r="D5264" s="112">
        <v>8453</v>
      </c>
      <c r="E5264" s="112" t="s">
        <v>565</v>
      </c>
      <c r="F5264" s="112" t="s">
        <v>5132</v>
      </c>
      <c r="G5264" s="112" t="s">
        <v>5126</v>
      </c>
      <c r="H5264" s="276">
        <v>0.34189999999999998</v>
      </c>
      <c r="J5264" s="2"/>
    </row>
    <row r="5265" spans="2:10" s="317" customFormat="1" hidden="1" outlineLevel="2">
      <c r="B5265" s="2" t="s">
        <v>833</v>
      </c>
      <c r="D5265" s="114">
        <v>8456</v>
      </c>
      <c r="E5265" s="114" t="s">
        <v>565</v>
      </c>
      <c r="F5265" s="114" t="s">
        <v>5133</v>
      </c>
      <c r="G5265" s="114" t="s">
        <v>5126</v>
      </c>
      <c r="H5265" s="279">
        <v>0.34189999999999998</v>
      </c>
      <c r="J5265" s="2"/>
    </row>
    <row r="5266" spans="2:10" s="317" customFormat="1" hidden="1" outlineLevel="2">
      <c r="B5266" s="2" t="s">
        <v>833</v>
      </c>
      <c r="D5266" s="112">
        <v>8452</v>
      </c>
      <c r="E5266" s="112" t="s">
        <v>565</v>
      </c>
      <c r="F5266" s="112" t="s">
        <v>5134</v>
      </c>
      <c r="G5266" s="112" t="s">
        <v>5126</v>
      </c>
      <c r="H5266" s="276">
        <v>0.34189999999999998</v>
      </c>
      <c r="J5266" s="2"/>
    </row>
    <row r="5267" spans="2:10" s="317" customFormat="1" hidden="1" outlineLevel="2">
      <c r="B5267" s="2" t="s">
        <v>833</v>
      </c>
      <c r="D5267" s="114">
        <v>8454</v>
      </c>
      <c r="E5267" s="114" t="s">
        <v>565</v>
      </c>
      <c r="F5267" s="114" t="s">
        <v>5135</v>
      </c>
      <c r="G5267" s="114" t="s">
        <v>5126</v>
      </c>
      <c r="H5267" s="279">
        <v>0.34189999999999998</v>
      </c>
      <c r="J5267" s="2"/>
    </row>
    <row r="5268" spans="2:10" s="317" customFormat="1" hidden="1" outlineLevel="2">
      <c r="B5268" s="2" t="s">
        <v>833</v>
      </c>
      <c r="D5268" s="112">
        <v>8432</v>
      </c>
      <c r="E5268" s="112" t="s">
        <v>565</v>
      </c>
      <c r="F5268" s="112" t="s">
        <v>5136</v>
      </c>
      <c r="G5268" s="112" t="s">
        <v>5126</v>
      </c>
      <c r="H5268" s="276">
        <v>0.34189999999999998</v>
      </c>
      <c r="J5268" s="2"/>
    </row>
    <row r="5269" spans="2:10" s="317" customFormat="1" hidden="1" outlineLevel="2">
      <c r="B5269" s="2" t="s">
        <v>833</v>
      </c>
      <c r="D5269" s="114">
        <v>3613</v>
      </c>
      <c r="E5269" s="114" t="s">
        <v>4951</v>
      </c>
      <c r="F5269" s="114" t="s">
        <v>5137</v>
      </c>
      <c r="G5269" s="114" t="s">
        <v>5138</v>
      </c>
      <c r="H5269" s="279">
        <v>0.18970000000000001</v>
      </c>
      <c r="J5269" s="2"/>
    </row>
    <row r="5270" spans="2:10" s="317" customFormat="1" hidden="1" outlineLevel="2">
      <c r="B5270" s="2" t="s">
        <v>833</v>
      </c>
      <c r="D5270" s="112">
        <v>3611</v>
      </c>
      <c r="E5270" s="112" t="s">
        <v>4951</v>
      </c>
      <c r="F5270" s="112" t="s">
        <v>5139</v>
      </c>
      <c r="G5270" s="112" t="s">
        <v>5138</v>
      </c>
      <c r="H5270" s="276">
        <v>0.18970000000000001</v>
      </c>
      <c r="J5270" s="2"/>
    </row>
    <row r="5271" spans="2:10" s="317" customFormat="1" hidden="1" outlineLevel="2">
      <c r="B5271" s="2" t="s">
        <v>833</v>
      </c>
      <c r="D5271" s="114">
        <v>3612</v>
      </c>
      <c r="E5271" s="114" t="s">
        <v>4951</v>
      </c>
      <c r="F5271" s="114" t="s">
        <v>5140</v>
      </c>
      <c r="G5271" s="114" t="s">
        <v>5138</v>
      </c>
      <c r="H5271" s="279">
        <v>0.18970000000000001</v>
      </c>
      <c r="J5271" s="2"/>
    </row>
    <row r="5272" spans="2:10" s="317" customFormat="1" hidden="1" outlineLevel="2">
      <c r="B5272" s="2" t="s">
        <v>833</v>
      </c>
      <c r="D5272" s="112">
        <v>3620</v>
      </c>
      <c r="E5272" s="112" t="s">
        <v>4951</v>
      </c>
      <c r="F5272" s="112" t="s">
        <v>5141</v>
      </c>
      <c r="G5272" s="112" t="s">
        <v>5138</v>
      </c>
      <c r="H5272" s="276">
        <v>0.18970000000000001</v>
      </c>
      <c r="J5272" s="2"/>
    </row>
    <row r="5273" spans="2:10" s="317" customFormat="1" hidden="1" outlineLevel="2">
      <c r="B5273" s="2" t="s">
        <v>833</v>
      </c>
      <c r="D5273" s="114">
        <v>3702</v>
      </c>
      <c r="E5273" s="114" t="s">
        <v>4951</v>
      </c>
      <c r="F5273" s="114" t="s">
        <v>5142</v>
      </c>
      <c r="G5273" s="114" t="s">
        <v>5138</v>
      </c>
      <c r="H5273" s="279">
        <v>0.18970000000000001</v>
      </c>
      <c r="J5273" s="2"/>
    </row>
    <row r="5274" spans="2:10" s="317" customFormat="1" hidden="1" outlineLevel="2">
      <c r="B5274" s="2" t="s">
        <v>833</v>
      </c>
      <c r="D5274" s="112">
        <v>3701</v>
      </c>
      <c r="E5274" s="112" t="s">
        <v>4951</v>
      </c>
      <c r="F5274" s="112" t="s">
        <v>5143</v>
      </c>
      <c r="G5274" s="112" t="s">
        <v>5138</v>
      </c>
      <c r="H5274" s="276">
        <v>0.18970000000000001</v>
      </c>
      <c r="J5274" s="2"/>
    </row>
    <row r="5275" spans="2:10" s="317" customFormat="1" hidden="1" outlineLevel="2">
      <c r="B5275" s="2" t="s">
        <v>833</v>
      </c>
      <c r="D5275" s="114">
        <v>7355</v>
      </c>
      <c r="E5275" s="114" t="s">
        <v>4953</v>
      </c>
      <c r="F5275" s="114" t="s">
        <v>5144</v>
      </c>
      <c r="G5275" s="114" t="s">
        <v>5145</v>
      </c>
      <c r="H5275" s="279">
        <v>0.74390000000000001</v>
      </c>
      <c r="J5275" s="2"/>
    </row>
    <row r="5276" spans="2:10" s="317" customFormat="1" hidden="1" outlineLevel="2">
      <c r="B5276" s="2" t="s">
        <v>833</v>
      </c>
      <c r="D5276" s="112">
        <v>7352</v>
      </c>
      <c r="E5276" s="112" t="s">
        <v>4953</v>
      </c>
      <c r="F5276" s="112" t="s">
        <v>5146</v>
      </c>
      <c r="G5276" s="112" t="s">
        <v>5145</v>
      </c>
      <c r="H5276" s="276">
        <v>0.74390000000000001</v>
      </c>
      <c r="J5276" s="2"/>
    </row>
    <row r="5277" spans="2:10" s="317" customFormat="1" hidden="1" outlineLevel="2">
      <c r="B5277" s="2" t="s">
        <v>833</v>
      </c>
      <c r="D5277" s="114">
        <v>7353</v>
      </c>
      <c r="E5277" s="114" t="s">
        <v>4953</v>
      </c>
      <c r="F5277" s="114" t="s">
        <v>5147</v>
      </c>
      <c r="G5277" s="114" t="s">
        <v>5145</v>
      </c>
      <c r="H5277" s="279">
        <v>0.74390000000000001</v>
      </c>
      <c r="J5277" s="2"/>
    </row>
    <row r="5278" spans="2:10" s="317" customFormat="1" hidden="1" outlineLevel="2">
      <c r="B5278" s="2" t="s">
        <v>833</v>
      </c>
      <c r="D5278" s="112">
        <v>7354</v>
      </c>
      <c r="E5278" s="112" t="s">
        <v>4953</v>
      </c>
      <c r="F5278" s="112" t="s">
        <v>5148</v>
      </c>
      <c r="G5278" s="112" t="s">
        <v>5145</v>
      </c>
      <c r="H5278" s="276">
        <v>0.74390000000000001</v>
      </c>
      <c r="J5278" s="2"/>
    </row>
    <row r="5279" spans="2:10" s="317" customFormat="1" hidden="1" outlineLevel="2">
      <c r="B5279" s="2" t="s">
        <v>833</v>
      </c>
      <c r="D5279" s="114">
        <v>7357</v>
      </c>
      <c r="E5279" s="114" t="s">
        <v>4953</v>
      </c>
      <c r="F5279" s="114" t="s">
        <v>5149</v>
      </c>
      <c r="G5279" s="114" t="s">
        <v>5145</v>
      </c>
      <c r="H5279" s="279">
        <v>0.74390000000000001</v>
      </c>
      <c r="J5279" s="2"/>
    </row>
    <row r="5280" spans="2:10" s="317" customFormat="1" hidden="1" outlineLevel="2">
      <c r="B5280" s="2" t="s">
        <v>833</v>
      </c>
      <c r="D5280" s="112">
        <v>7310</v>
      </c>
      <c r="E5280" s="112" t="s">
        <v>4953</v>
      </c>
      <c r="F5280" s="112" t="s">
        <v>5150</v>
      </c>
      <c r="G5280" s="112" t="s">
        <v>5145</v>
      </c>
      <c r="H5280" s="276">
        <v>0.74390000000000001</v>
      </c>
      <c r="J5280" s="2"/>
    </row>
    <row r="5281" spans="2:10" s="317" customFormat="1" hidden="1" outlineLevel="2">
      <c r="B5281" s="2" t="s">
        <v>833</v>
      </c>
      <c r="D5281" s="114">
        <v>7332</v>
      </c>
      <c r="E5281" s="114" t="s">
        <v>4953</v>
      </c>
      <c r="F5281" s="114" t="s">
        <v>5151</v>
      </c>
      <c r="G5281" s="114" t="s">
        <v>5145</v>
      </c>
      <c r="H5281" s="279">
        <v>0.74390000000000001</v>
      </c>
      <c r="J5281" s="2"/>
    </row>
    <row r="5282" spans="2:10" s="317" customFormat="1" hidden="1" outlineLevel="2">
      <c r="B5282" s="2" t="s">
        <v>833</v>
      </c>
      <c r="D5282" s="112">
        <v>7358</v>
      </c>
      <c r="E5282" s="112" t="s">
        <v>4953</v>
      </c>
      <c r="F5282" s="112" t="s">
        <v>5152</v>
      </c>
      <c r="G5282" s="112" t="s">
        <v>5145</v>
      </c>
      <c r="H5282" s="276">
        <v>0.74390000000000001</v>
      </c>
      <c r="J5282" s="2"/>
    </row>
    <row r="5283" spans="2:10" s="317" customFormat="1" hidden="1" outlineLevel="2">
      <c r="B5283" s="2" t="s">
        <v>833</v>
      </c>
      <c r="D5283" s="114">
        <v>7359</v>
      </c>
      <c r="E5283" s="114" t="s">
        <v>4953</v>
      </c>
      <c r="F5283" s="114" t="s">
        <v>5153</v>
      </c>
      <c r="G5283" s="114" t="s">
        <v>5145</v>
      </c>
      <c r="H5283" s="279">
        <v>0.74390000000000001</v>
      </c>
      <c r="J5283" s="2"/>
    </row>
    <row r="5284" spans="2:10" s="317" customFormat="1" hidden="1" outlineLevel="2">
      <c r="B5284" s="2" t="s">
        <v>833</v>
      </c>
      <c r="D5284" s="112">
        <v>7511</v>
      </c>
      <c r="E5284" s="112" t="s">
        <v>4953</v>
      </c>
      <c r="F5284" s="112" t="s">
        <v>5154</v>
      </c>
      <c r="G5284" s="112" t="s">
        <v>5155</v>
      </c>
      <c r="H5284" s="276">
        <v>0.74390000000000001</v>
      </c>
      <c r="J5284" s="2"/>
    </row>
    <row r="5285" spans="2:10" s="317" customFormat="1" hidden="1" outlineLevel="2">
      <c r="B5285" s="2" t="s">
        <v>833</v>
      </c>
      <c r="D5285" s="114">
        <v>7349</v>
      </c>
      <c r="E5285" s="114" t="s">
        <v>4953</v>
      </c>
      <c r="F5285" s="114" t="s">
        <v>5156</v>
      </c>
      <c r="G5285" s="114" t="s">
        <v>5145</v>
      </c>
      <c r="H5285" s="279">
        <v>0.74390000000000001</v>
      </c>
      <c r="J5285" s="2"/>
    </row>
    <row r="5286" spans="2:10" s="317" customFormat="1" hidden="1" outlineLevel="2">
      <c r="B5286" s="2" t="s">
        <v>833</v>
      </c>
      <c r="D5286" s="112">
        <v>7339</v>
      </c>
      <c r="E5286" s="112" t="s">
        <v>4953</v>
      </c>
      <c r="F5286" s="112" t="s">
        <v>5157</v>
      </c>
      <c r="G5286" s="112" t="s">
        <v>5145</v>
      </c>
      <c r="H5286" s="276">
        <v>0.74390000000000001</v>
      </c>
      <c r="J5286" s="2"/>
    </row>
    <row r="5287" spans="2:10" s="317" customFormat="1" hidden="1" outlineLevel="2">
      <c r="B5287" s="2" t="s">
        <v>833</v>
      </c>
      <c r="D5287" s="114">
        <v>7342</v>
      </c>
      <c r="E5287" s="114" t="s">
        <v>4953</v>
      </c>
      <c r="F5287" s="114" t="s">
        <v>5158</v>
      </c>
      <c r="G5287" s="114" t="s">
        <v>5145</v>
      </c>
      <c r="H5287" s="279">
        <v>0.74390000000000001</v>
      </c>
      <c r="J5287" s="2"/>
    </row>
    <row r="5288" spans="2:10" s="317" customFormat="1" hidden="1" outlineLevel="2">
      <c r="B5288" s="2" t="s">
        <v>833</v>
      </c>
      <c r="D5288" s="112">
        <v>7512</v>
      </c>
      <c r="E5288" s="112" t="s">
        <v>4953</v>
      </c>
      <c r="F5288" s="112" t="s">
        <v>5159</v>
      </c>
      <c r="G5288" s="112" t="s">
        <v>5160</v>
      </c>
      <c r="H5288" s="276">
        <v>0.74390000000000001</v>
      </c>
      <c r="J5288" s="2"/>
    </row>
    <row r="5289" spans="2:10" s="317" customFormat="1" hidden="1" outlineLevel="2">
      <c r="B5289" s="2" t="s">
        <v>833</v>
      </c>
      <c r="D5289" s="114">
        <v>7422</v>
      </c>
      <c r="E5289" s="114" t="s">
        <v>4953</v>
      </c>
      <c r="F5289" s="114" t="s">
        <v>5161</v>
      </c>
      <c r="G5289" s="114" t="s">
        <v>5145</v>
      </c>
      <c r="H5289" s="279">
        <v>0.74390000000000001</v>
      </c>
      <c r="J5289" s="2"/>
    </row>
    <row r="5290" spans="2:10" s="317" customFormat="1" hidden="1" outlineLevel="2">
      <c r="B5290" s="2" t="s">
        <v>833</v>
      </c>
      <c r="D5290" s="112">
        <v>7421</v>
      </c>
      <c r="E5290" s="112" t="s">
        <v>4953</v>
      </c>
      <c r="F5290" s="112" t="s">
        <v>5162</v>
      </c>
      <c r="G5290" s="112" t="s">
        <v>5145</v>
      </c>
      <c r="H5290" s="276">
        <v>0.74390000000000001</v>
      </c>
      <c r="J5290" s="2"/>
    </row>
    <row r="5291" spans="2:10" s="317" customFormat="1" hidden="1" outlineLevel="2">
      <c r="B5291" s="2" t="s">
        <v>833</v>
      </c>
      <c r="D5291" s="114">
        <v>7341</v>
      </c>
      <c r="E5291" s="114" t="s">
        <v>4953</v>
      </c>
      <c r="F5291" s="114" t="s">
        <v>5163</v>
      </c>
      <c r="G5291" s="114" t="s">
        <v>5145</v>
      </c>
      <c r="H5291" s="279">
        <v>0.74390000000000001</v>
      </c>
      <c r="J5291" s="2"/>
    </row>
    <row r="5292" spans="2:10" s="317" customFormat="1" hidden="1" outlineLevel="2">
      <c r="B5292" s="2" t="s">
        <v>833</v>
      </c>
      <c r="D5292" s="112">
        <v>7411</v>
      </c>
      <c r="E5292" s="112" t="s">
        <v>4953</v>
      </c>
      <c r="F5292" s="112" t="s">
        <v>5164</v>
      </c>
      <c r="G5292" s="112" t="s">
        <v>5145</v>
      </c>
      <c r="H5292" s="276">
        <v>0.74390000000000001</v>
      </c>
      <c r="J5292" s="2"/>
    </row>
    <row r="5293" spans="2:10" s="317" customFormat="1" hidden="1" outlineLevel="2">
      <c r="B5293" s="2" t="s">
        <v>833</v>
      </c>
      <c r="D5293" s="114">
        <v>7351</v>
      </c>
      <c r="E5293" s="114" t="s">
        <v>4953</v>
      </c>
      <c r="F5293" s="114" t="s">
        <v>5165</v>
      </c>
      <c r="G5293" s="114" t="s">
        <v>5145</v>
      </c>
      <c r="H5293" s="279">
        <v>0.74390000000000001</v>
      </c>
      <c r="J5293" s="2"/>
    </row>
    <row r="5294" spans="2:10" s="317" customFormat="1" hidden="1" outlineLevel="2">
      <c r="B5294" s="2" t="s">
        <v>833</v>
      </c>
      <c r="D5294" s="112">
        <v>7356</v>
      </c>
      <c r="E5294" s="112" t="s">
        <v>4953</v>
      </c>
      <c r="F5294" s="112" t="s">
        <v>5166</v>
      </c>
      <c r="G5294" s="112" t="s">
        <v>5145</v>
      </c>
      <c r="H5294" s="276">
        <v>0.74390000000000001</v>
      </c>
      <c r="J5294" s="2"/>
    </row>
    <row r="5295" spans="2:10" s="317" customFormat="1" hidden="1" outlineLevel="2">
      <c r="B5295" s="2" t="s">
        <v>833</v>
      </c>
      <c r="D5295" s="114">
        <v>7513</v>
      </c>
      <c r="E5295" s="114" t="s">
        <v>4953</v>
      </c>
      <c r="F5295" s="114" t="s">
        <v>5167</v>
      </c>
      <c r="G5295" s="114" t="s">
        <v>5160</v>
      </c>
      <c r="H5295" s="279">
        <v>0.74390000000000001</v>
      </c>
      <c r="J5295" s="2"/>
    </row>
    <row r="5296" spans="2:10" s="317" customFormat="1" hidden="1" outlineLevel="2">
      <c r="B5296" s="2" t="s">
        <v>833</v>
      </c>
      <c r="D5296" s="112">
        <v>7519</v>
      </c>
      <c r="E5296" s="112" t="s">
        <v>4953</v>
      </c>
      <c r="F5296" s="112" t="s">
        <v>5168</v>
      </c>
      <c r="G5296" s="112" t="s">
        <v>5160</v>
      </c>
      <c r="H5296" s="276">
        <v>0.74390000000000001</v>
      </c>
      <c r="J5296" s="2"/>
    </row>
    <row r="5297" spans="2:10" s="317" customFormat="1" hidden="1" outlineLevel="2">
      <c r="B5297" s="2" t="s">
        <v>833</v>
      </c>
      <c r="D5297" s="114">
        <v>7520</v>
      </c>
      <c r="E5297" s="114" t="s">
        <v>4953</v>
      </c>
      <c r="F5297" s="114" t="s">
        <v>5169</v>
      </c>
      <c r="G5297" s="114" t="s">
        <v>5160</v>
      </c>
      <c r="H5297" s="279">
        <v>0.74390000000000001</v>
      </c>
      <c r="J5297" s="2"/>
    </row>
    <row r="5298" spans="2:10" s="317" customFormat="1" hidden="1" outlineLevel="2">
      <c r="B5298" s="2" t="s">
        <v>833</v>
      </c>
      <c r="D5298" s="112">
        <v>7412</v>
      </c>
      <c r="E5298" s="112" t="s">
        <v>4953</v>
      </c>
      <c r="F5298" s="112" t="s">
        <v>5170</v>
      </c>
      <c r="G5298" s="112" t="s">
        <v>5145</v>
      </c>
      <c r="H5298" s="276">
        <v>0.74390000000000001</v>
      </c>
      <c r="J5298" s="2"/>
    </row>
    <row r="5299" spans="2:10" s="317" customFormat="1" hidden="1" outlineLevel="2">
      <c r="B5299" s="2" t="s">
        <v>833</v>
      </c>
      <c r="D5299" s="114">
        <v>7331</v>
      </c>
      <c r="E5299" s="114" t="s">
        <v>4953</v>
      </c>
      <c r="F5299" s="114" t="s">
        <v>5171</v>
      </c>
      <c r="G5299" s="114" t="s">
        <v>5145</v>
      </c>
      <c r="H5299" s="279">
        <v>0.74390000000000001</v>
      </c>
      <c r="J5299" s="2"/>
    </row>
    <row r="5300" spans="2:10" s="317" customFormat="1" hidden="1" outlineLevel="2">
      <c r="B5300" s="2" t="s">
        <v>833</v>
      </c>
      <c r="D5300" s="112">
        <v>8111</v>
      </c>
      <c r="E5300" s="112" t="s">
        <v>4955</v>
      </c>
      <c r="F5300" s="112" t="s">
        <v>5172</v>
      </c>
      <c r="G5300" s="112" t="s">
        <v>5173</v>
      </c>
      <c r="H5300" s="276">
        <v>0</v>
      </c>
      <c r="J5300" s="2"/>
    </row>
    <row r="5301" spans="2:10" s="317" customFormat="1" hidden="1" outlineLevel="2">
      <c r="B5301" s="2" t="s">
        <v>833</v>
      </c>
      <c r="D5301" s="114">
        <v>8200</v>
      </c>
      <c r="E5301" s="114" t="s">
        <v>4955</v>
      </c>
      <c r="F5301" s="114" t="s">
        <v>5174</v>
      </c>
      <c r="G5301" s="114" t="s">
        <v>5173</v>
      </c>
      <c r="H5301" s="279">
        <v>0</v>
      </c>
      <c r="J5301" s="2"/>
    </row>
    <row r="5302" spans="2:10" s="317" customFormat="1" hidden="1" outlineLevel="2">
      <c r="B5302" s="2" t="s">
        <v>833</v>
      </c>
      <c r="D5302" s="112">
        <v>8130</v>
      </c>
      <c r="E5302" s="112" t="s">
        <v>4955</v>
      </c>
      <c r="F5302" s="112" t="s">
        <v>5175</v>
      </c>
      <c r="G5302" s="112" t="s">
        <v>5173</v>
      </c>
      <c r="H5302" s="276">
        <v>0</v>
      </c>
      <c r="J5302" s="2"/>
    </row>
    <row r="5303" spans="2:10" s="317" customFormat="1" hidden="1" outlineLevel="2">
      <c r="B5303" s="2" t="s">
        <v>833</v>
      </c>
      <c r="D5303" s="114">
        <v>8120</v>
      </c>
      <c r="E5303" s="114" t="s">
        <v>4955</v>
      </c>
      <c r="F5303" s="114" t="s">
        <v>5176</v>
      </c>
      <c r="G5303" s="114" t="s">
        <v>5173</v>
      </c>
      <c r="H5303" s="279">
        <v>0</v>
      </c>
      <c r="J5303" s="2"/>
    </row>
    <row r="5304" spans="2:10" s="317" customFormat="1" hidden="1" outlineLevel="2">
      <c r="B5304" s="2" t="s">
        <v>833</v>
      </c>
      <c r="D5304" s="112">
        <v>8113</v>
      </c>
      <c r="E5304" s="112" t="s">
        <v>4955</v>
      </c>
      <c r="F5304" s="112" t="s">
        <v>5177</v>
      </c>
      <c r="G5304" s="112" t="s">
        <v>5173</v>
      </c>
      <c r="H5304" s="276">
        <v>0</v>
      </c>
      <c r="J5304" s="2"/>
    </row>
    <row r="5305" spans="2:10" s="317" customFormat="1" hidden="1" outlineLevel="2">
      <c r="B5305" s="2" t="s">
        <v>833</v>
      </c>
      <c r="D5305" s="114">
        <v>8112</v>
      </c>
      <c r="E5305" s="114" t="s">
        <v>4955</v>
      </c>
      <c r="F5305" s="114" t="s">
        <v>5178</v>
      </c>
      <c r="G5305" s="114" t="s">
        <v>5173</v>
      </c>
      <c r="H5305" s="279">
        <v>0</v>
      </c>
      <c r="J5305" s="2"/>
    </row>
    <row r="5306" spans="2:10" s="317" customFormat="1" hidden="1" outlineLevel="2">
      <c r="B5306" s="2" t="s">
        <v>833</v>
      </c>
      <c r="D5306" s="112">
        <v>8621</v>
      </c>
      <c r="E5306" s="112" t="s">
        <v>4957</v>
      </c>
      <c r="F5306" s="112" t="s">
        <v>5179</v>
      </c>
      <c r="G5306" s="112" t="s">
        <v>5180</v>
      </c>
      <c r="H5306" s="276">
        <v>0.63419999999999999</v>
      </c>
      <c r="J5306" s="2"/>
    </row>
    <row r="5307" spans="2:10" s="317" customFormat="1" hidden="1" outlineLevel="2">
      <c r="B5307" s="2" t="s">
        <v>833</v>
      </c>
      <c r="D5307" s="114">
        <v>8622</v>
      </c>
      <c r="E5307" s="114" t="s">
        <v>4957</v>
      </c>
      <c r="F5307" s="114" t="s">
        <v>5181</v>
      </c>
      <c r="G5307" s="114" t="s">
        <v>5182</v>
      </c>
      <c r="H5307" s="279">
        <v>0.63419999999999999</v>
      </c>
      <c r="J5307" s="2"/>
    </row>
    <row r="5308" spans="2:10" s="317" customFormat="1" hidden="1" outlineLevel="2">
      <c r="B5308" s="2" t="s">
        <v>833</v>
      </c>
      <c r="D5308" s="112">
        <v>8623</v>
      </c>
      <c r="E5308" s="112" t="s">
        <v>4957</v>
      </c>
      <c r="F5308" s="112" t="s">
        <v>5183</v>
      </c>
      <c r="G5308" s="112" t="s">
        <v>5184</v>
      </c>
      <c r="H5308" s="276">
        <v>0.63419999999999999</v>
      </c>
      <c r="J5308" s="2"/>
    </row>
    <row r="5309" spans="2:10" s="317" customFormat="1" hidden="1" outlineLevel="2">
      <c r="B5309" s="2" t="s">
        <v>833</v>
      </c>
      <c r="D5309" s="114">
        <v>8631</v>
      </c>
      <c r="E5309" s="114" t="s">
        <v>4957</v>
      </c>
      <c r="F5309" s="114" t="s">
        <v>5185</v>
      </c>
      <c r="G5309" s="114" t="s">
        <v>5186</v>
      </c>
      <c r="H5309" s="279">
        <v>0.63419999999999999</v>
      </c>
      <c r="J5309" s="2"/>
    </row>
    <row r="5310" spans="2:10" s="317" customFormat="1" hidden="1" outlineLevel="2">
      <c r="B5310" s="2" t="s">
        <v>833</v>
      </c>
      <c r="D5310" s="112">
        <v>8632</v>
      </c>
      <c r="E5310" s="112" t="s">
        <v>4957</v>
      </c>
      <c r="F5310" s="112" t="s">
        <v>5187</v>
      </c>
      <c r="G5310" s="112" t="s">
        <v>5186</v>
      </c>
      <c r="H5310" s="276">
        <v>0.63419999999999999</v>
      </c>
      <c r="J5310" s="2"/>
    </row>
    <row r="5311" spans="2:10" s="317" customFormat="1" hidden="1" outlineLevel="2">
      <c r="B5311" s="2" t="s">
        <v>833</v>
      </c>
      <c r="D5311" s="114">
        <v>8633</v>
      </c>
      <c r="E5311" s="114" t="s">
        <v>4957</v>
      </c>
      <c r="F5311" s="114" t="s">
        <v>5188</v>
      </c>
      <c r="G5311" s="114" t="s">
        <v>5186</v>
      </c>
      <c r="H5311" s="279">
        <v>0.63419999999999999</v>
      </c>
      <c r="J5311" s="2"/>
    </row>
    <row r="5312" spans="2:10" s="317" customFormat="1" hidden="1" outlineLevel="2">
      <c r="B5312" s="2" t="s">
        <v>833</v>
      </c>
      <c r="D5312" s="112">
        <v>8634</v>
      </c>
      <c r="E5312" s="112" t="s">
        <v>4957</v>
      </c>
      <c r="F5312" s="112" t="s">
        <v>5189</v>
      </c>
      <c r="G5312" s="112" t="s">
        <v>5186</v>
      </c>
      <c r="H5312" s="276">
        <v>0.63419999999999999</v>
      </c>
      <c r="J5312" s="2"/>
    </row>
    <row r="5313" spans="2:10" s="317" customFormat="1" hidden="1" outlineLevel="2">
      <c r="B5313" s="2" t="s">
        <v>833</v>
      </c>
      <c r="D5313" s="114">
        <v>8635</v>
      </c>
      <c r="E5313" s="114" t="s">
        <v>4957</v>
      </c>
      <c r="F5313" s="114" t="s">
        <v>5190</v>
      </c>
      <c r="G5313" s="114" t="s">
        <v>5191</v>
      </c>
      <c r="H5313" s="279">
        <v>0.63419999999999999</v>
      </c>
      <c r="J5313" s="2"/>
    </row>
    <row r="5314" spans="2:10" s="317" customFormat="1" hidden="1" outlineLevel="2">
      <c r="B5314" s="2" t="s">
        <v>833</v>
      </c>
      <c r="D5314" s="112">
        <v>8636</v>
      </c>
      <c r="E5314" s="112" t="s">
        <v>4957</v>
      </c>
      <c r="F5314" s="112" t="s">
        <v>5192</v>
      </c>
      <c r="G5314" s="112" t="s">
        <v>5191</v>
      </c>
      <c r="H5314" s="276">
        <v>0.63419999999999999</v>
      </c>
      <c r="J5314" s="2"/>
    </row>
    <row r="5315" spans="2:10" s="317" customFormat="1" hidden="1" outlineLevel="2">
      <c r="B5315" s="2" t="s">
        <v>833</v>
      </c>
      <c r="D5315" s="114">
        <v>8639</v>
      </c>
      <c r="E5315" s="114" t="s">
        <v>4957</v>
      </c>
      <c r="F5315" s="114" t="s">
        <v>5193</v>
      </c>
      <c r="G5315" s="114" t="s">
        <v>5194</v>
      </c>
      <c r="H5315" s="279">
        <v>0.63419999999999999</v>
      </c>
      <c r="J5315" s="2"/>
    </row>
    <row r="5316" spans="2:10" s="317" customFormat="1" hidden="1" outlineLevel="2">
      <c r="B5316" s="2" t="s">
        <v>833</v>
      </c>
      <c r="D5316" s="112">
        <v>8640</v>
      </c>
      <c r="E5316" s="112" t="s">
        <v>4957</v>
      </c>
      <c r="F5316" s="112" t="s">
        <v>5195</v>
      </c>
      <c r="G5316" s="112" t="s">
        <v>5196</v>
      </c>
      <c r="H5316" s="276">
        <v>0.63419999999999999</v>
      </c>
      <c r="J5316" s="2"/>
    </row>
    <row r="5317" spans="2:10" s="317" customFormat="1" hidden="1" outlineLevel="2">
      <c r="B5317" s="2" t="s">
        <v>833</v>
      </c>
      <c r="D5317" s="114">
        <v>8651</v>
      </c>
      <c r="E5317" s="114" t="s">
        <v>4957</v>
      </c>
      <c r="F5317" s="114" t="s">
        <v>5197</v>
      </c>
      <c r="G5317" s="114" t="s">
        <v>5198</v>
      </c>
      <c r="H5317" s="279">
        <v>0.63419999999999999</v>
      </c>
      <c r="J5317" s="2"/>
    </row>
    <row r="5318" spans="2:10" s="317" customFormat="1" hidden="1" outlineLevel="2">
      <c r="B5318" s="2" t="s">
        <v>833</v>
      </c>
      <c r="D5318" s="112">
        <v>8652</v>
      </c>
      <c r="E5318" s="112" t="s">
        <v>4957</v>
      </c>
      <c r="F5318" s="112" t="s">
        <v>5199</v>
      </c>
      <c r="G5318" s="112" t="s">
        <v>5198</v>
      </c>
      <c r="H5318" s="276">
        <v>0.63419999999999999</v>
      </c>
      <c r="J5318" s="2"/>
    </row>
    <row r="5319" spans="2:10" s="317" customFormat="1" hidden="1" outlineLevel="2">
      <c r="B5319" s="2" t="s">
        <v>833</v>
      </c>
      <c r="D5319" s="114">
        <v>8653</v>
      </c>
      <c r="E5319" s="114" t="s">
        <v>4957</v>
      </c>
      <c r="F5319" s="114" t="s">
        <v>5200</v>
      </c>
      <c r="G5319" s="114" t="s">
        <v>5198</v>
      </c>
      <c r="H5319" s="279">
        <v>0.63419999999999999</v>
      </c>
      <c r="J5319" s="2"/>
    </row>
    <row r="5320" spans="2:10" s="317" customFormat="1" hidden="1" outlineLevel="2">
      <c r="B5320" s="2" t="s">
        <v>833</v>
      </c>
      <c r="D5320" s="112">
        <v>8654</v>
      </c>
      <c r="E5320" s="112" t="s">
        <v>4957</v>
      </c>
      <c r="F5320" s="112" t="s">
        <v>5201</v>
      </c>
      <c r="G5320" s="112" t="s">
        <v>5198</v>
      </c>
      <c r="H5320" s="276">
        <v>0.63419999999999999</v>
      </c>
      <c r="J5320" s="2"/>
    </row>
    <row r="5321" spans="2:10" s="317" customFormat="1" hidden="1" outlineLevel="2">
      <c r="B5321" s="2" t="s">
        <v>833</v>
      </c>
      <c r="D5321" s="114">
        <v>8655</v>
      </c>
      <c r="E5321" s="114" t="s">
        <v>4957</v>
      </c>
      <c r="F5321" s="114" t="s">
        <v>5202</v>
      </c>
      <c r="G5321" s="114" t="s">
        <v>5198</v>
      </c>
      <c r="H5321" s="279">
        <v>0.63419999999999999</v>
      </c>
      <c r="J5321" s="2"/>
    </row>
    <row r="5322" spans="2:10" s="317" customFormat="1" hidden="1" outlineLevel="2">
      <c r="B5322" s="2" t="s">
        <v>833</v>
      </c>
      <c r="D5322" s="112">
        <v>8656</v>
      </c>
      <c r="E5322" s="112" t="s">
        <v>4957</v>
      </c>
      <c r="F5322" s="112" t="s">
        <v>5203</v>
      </c>
      <c r="G5322" s="112" t="s">
        <v>5198</v>
      </c>
      <c r="H5322" s="276">
        <v>0.63419999999999999</v>
      </c>
      <c r="J5322" s="2"/>
    </row>
    <row r="5323" spans="2:10" s="317" customFormat="1" hidden="1" outlineLevel="2">
      <c r="B5323" s="2" t="s">
        <v>833</v>
      </c>
      <c r="D5323" s="114">
        <v>8661</v>
      </c>
      <c r="E5323" s="114" t="s">
        <v>4957</v>
      </c>
      <c r="F5323" s="114" t="s">
        <v>5204</v>
      </c>
      <c r="G5323" s="114" t="s">
        <v>5198</v>
      </c>
      <c r="H5323" s="279">
        <v>0.63419999999999999</v>
      </c>
      <c r="J5323" s="2"/>
    </row>
    <row r="5324" spans="2:10" s="317" customFormat="1" hidden="1" outlineLevel="2">
      <c r="B5324" s="2" t="s">
        <v>833</v>
      </c>
      <c r="D5324" s="112">
        <v>8662</v>
      </c>
      <c r="E5324" s="112" t="s">
        <v>4957</v>
      </c>
      <c r="F5324" s="112" t="s">
        <v>5205</v>
      </c>
      <c r="G5324" s="112" t="s">
        <v>5198</v>
      </c>
      <c r="H5324" s="276">
        <v>0.63419999999999999</v>
      </c>
      <c r="J5324" s="2"/>
    </row>
    <row r="5325" spans="2:10" s="317" customFormat="1" hidden="1" outlineLevel="2">
      <c r="B5325" s="2" t="s">
        <v>833</v>
      </c>
      <c r="D5325" s="114">
        <v>8663</v>
      </c>
      <c r="E5325" s="114" t="s">
        <v>4957</v>
      </c>
      <c r="F5325" s="114" t="s">
        <v>5206</v>
      </c>
      <c r="G5325" s="114" t="s">
        <v>5198</v>
      </c>
      <c r="H5325" s="279">
        <v>0.63419999999999999</v>
      </c>
      <c r="J5325" s="2"/>
    </row>
    <row r="5326" spans="2:10" s="317" customFormat="1" hidden="1" outlineLevel="2">
      <c r="B5326" s="2" t="s">
        <v>833</v>
      </c>
      <c r="D5326" s="112">
        <v>8710</v>
      </c>
      <c r="E5326" s="112" t="s">
        <v>4957</v>
      </c>
      <c r="F5326" s="112" t="s">
        <v>5207</v>
      </c>
      <c r="G5326" s="112" t="s">
        <v>5208</v>
      </c>
      <c r="H5326" s="276">
        <v>0.63419999999999999</v>
      </c>
      <c r="J5326" s="2"/>
    </row>
    <row r="5327" spans="2:10" s="317" customFormat="1" hidden="1" outlineLevel="2">
      <c r="B5327" s="2" t="s">
        <v>833</v>
      </c>
      <c r="D5327" s="114">
        <v>8722</v>
      </c>
      <c r="E5327" s="114" t="s">
        <v>4957</v>
      </c>
      <c r="F5327" s="114" t="s">
        <v>5209</v>
      </c>
      <c r="G5327" s="114" t="s">
        <v>5208</v>
      </c>
      <c r="H5327" s="279">
        <v>0.63419999999999999</v>
      </c>
      <c r="J5327" s="2"/>
    </row>
    <row r="5328" spans="2:10" s="317" customFormat="1" hidden="1" outlineLevel="2">
      <c r="B5328" s="2" t="s">
        <v>833</v>
      </c>
      <c r="D5328" s="112">
        <v>8723</v>
      </c>
      <c r="E5328" s="112" t="s">
        <v>4957</v>
      </c>
      <c r="F5328" s="112" t="s">
        <v>5210</v>
      </c>
      <c r="G5328" s="112" t="s">
        <v>5208</v>
      </c>
      <c r="H5328" s="276">
        <v>0.63419999999999999</v>
      </c>
      <c r="J5328" s="2"/>
    </row>
    <row r="5329" spans="2:10" s="317" customFormat="1" hidden="1" outlineLevel="2">
      <c r="B5329" s="2" t="s">
        <v>833</v>
      </c>
      <c r="D5329" s="114">
        <v>8724</v>
      </c>
      <c r="E5329" s="114" t="s">
        <v>4957</v>
      </c>
      <c r="F5329" s="114" t="s">
        <v>5211</v>
      </c>
      <c r="G5329" s="114" t="s">
        <v>5208</v>
      </c>
      <c r="H5329" s="279">
        <v>0.63419999999999999</v>
      </c>
      <c r="J5329" s="2"/>
    </row>
    <row r="5330" spans="2:10" s="317" customFormat="1" hidden="1" outlineLevel="2">
      <c r="B5330" s="2" t="s">
        <v>833</v>
      </c>
      <c r="D5330" s="112">
        <v>8725</v>
      </c>
      <c r="E5330" s="112" t="s">
        <v>4957</v>
      </c>
      <c r="F5330" s="112" t="s">
        <v>5212</v>
      </c>
      <c r="G5330" s="112" t="s">
        <v>5208</v>
      </c>
      <c r="H5330" s="276">
        <v>0.63419999999999999</v>
      </c>
      <c r="J5330" s="2"/>
    </row>
    <row r="5331" spans="2:10" s="317" customFormat="1" hidden="1" outlineLevel="2">
      <c r="B5331" s="2" t="s">
        <v>833</v>
      </c>
      <c r="D5331" s="114">
        <v>8726</v>
      </c>
      <c r="E5331" s="114" t="s">
        <v>4957</v>
      </c>
      <c r="F5331" s="114" t="s">
        <v>5213</v>
      </c>
      <c r="G5331" s="114" t="s">
        <v>5208</v>
      </c>
      <c r="H5331" s="279">
        <v>0.63419999999999999</v>
      </c>
      <c r="J5331" s="2"/>
    </row>
    <row r="5332" spans="2:10" s="317" customFormat="1" hidden="1" outlineLevel="2">
      <c r="B5332" s="2" t="s">
        <v>833</v>
      </c>
      <c r="D5332" s="112">
        <v>8729</v>
      </c>
      <c r="E5332" s="112" t="s">
        <v>4957</v>
      </c>
      <c r="F5332" s="112" t="s">
        <v>5214</v>
      </c>
      <c r="G5332" s="112" t="s">
        <v>5208</v>
      </c>
      <c r="H5332" s="276">
        <v>0.63419999999999999</v>
      </c>
      <c r="J5332" s="2"/>
    </row>
    <row r="5333" spans="2:10" s="317" customFormat="1" hidden="1" outlineLevel="2">
      <c r="B5333" s="2" t="s">
        <v>833</v>
      </c>
      <c r="D5333" s="114">
        <v>2113</v>
      </c>
      <c r="E5333" s="114" t="s">
        <v>4959</v>
      </c>
      <c r="F5333" s="114" t="s">
        <v>5215</v>
      </c>
      <c r="G5333" s="114" t="s">
        <v>5216</v>
      </c>
      <c r="H5333" s="279">
        <v>0.251</v>
      </c>
      <c r="J5333" s="2"/>
    </row>
    <row r="5334" spans="2:10" s="317" customFormat="1" hidden="1" outlineLevel="2">
      <c r="B5334" s="2" t="s">
        <v>833</v>
      </c>
      <c r="D5334" s="112">
        <v>2182</v>
      </c>
      <c r="E5334" s="112" t="s">
        <v>4959</v>
      </c>
      <c r="F5334" s="112" t="s">
        <v>5217</v>
      </c>
      <c r="G5334" s="112" t="s">
        <v>5216</v>
      </c>
      <c r="H5334" s="276">
        <v>0.251</v>
      </c>
      <c r="J5334" s="2"/>
    </row>
    <row r="5335" spans="2:10" s="317" customFormat="1" hidden="1" outlineLevel="2">
      <c r="B5335" s="2" t="s">
        <v>833</v>
      </c>
      <c r="D5335" s="114">
        <v>2163</v>
      </c>
      <c r="E5335" s="114" t="s">
        <v>4959</v>
      </c>
      <c r="F5335" s="114" t="s">
        <v>5218</v>
      </c>
      <c r="G5335" s="114" t="s">
        <v>5216</v>
      </c>
      <c r="H5335" s="279">
        <v>0.251</v>
      </c>
      <c r="J5335" s="2"/>
    </row>
    <row r="5336" spans="2:10" s="317" customFormat="1" hidden="1" outlineLevel="2">
      <c r="B5336" s="2" t="s">
        <v>833</v>
      </c>
      <c r="D5336" s="112">
        <v>2161</v>
      </c>
      <c r="E5336" s="112" t="s">
        <v>4959</v>
      </c>
      <c r="F5336" s="112" t="s">
        <v>5219</v>
      </c>
      <c r="G5336" s="112" t="s">
        <v>5216</v>
      </c>
      <c r="H5336" s="276">
        <v>0.251</v>
      </c>
      <c r="J5336" s="2"/>
    </row>
    <row r="5337" spans="2:10" s="317" customFormat="1" hidden="1" outlineLevel="2">
      <c r="B5337" s="2" t="s">
        <v>833</v>
      </c>
      <c r="D5337" s="114">
        <v>2162</v>
      </c>
      <c r="E5337" s="114" t="s">
        <v>4959</v>
      </c>
      <c r="F5337" s="114" t="s">
        <v>5220</v>
      </c>
      <c r="G5337" s="114" t="s">
        <v>5216</v>
      </c>
      <c r="H5337" s="279">
        <v>0.251</v>
      </c>
      <c r="J5337" s="2"/>
    </row>
    <row r="5338" spans="2:10" s="317" customFormat="1" hidden="1" outlineLevel="2">
      <c r="B5338" s="2" t="s">
        <v>833</v>
      </c>
      <c r="D5338" s="112">
        <v>2152</v>
      </c>
      <c r="E5338" s="112" t="s">
        <v>4959</v>
      </c>
      <c r="F5338" s="112" t="s">
        <v>5221</v>
      </c>
      <c r="G5338" s="112" t="s">
        <v>5216</v>
      </c>
      <c r="H5338" s="276">
        <v>0.251</v>
      </c>
      <c r="J5338" s="2"/>
    </row>
    <row r="5339" spans="2:10" s="317" customFormat="1" hidden="1" outlineLevel="2">
      <c r="B5339" s="2" t="s">
        <v>833</v>
      </c>
      <c r="D5339" s="114">
        <v>2172</v>
      </c>
      <c r="E5339" s="114" t="s">
        <v>4959</v>
      </c>
      <c r="F5339" s="114" t="s">
        <v>5222</v>
      </c>
      <c r="G5339" s="114" t="s">
        <v>5216</v>
      </c>
      <c r="H5339" s="279">
        <v>0.251</v>
      </c>
      <c r="J5339" s="2"/>
    </row>
    <row r="5340" spans="2:10" s="317" customFormat="1" hidden="1" outlineLevel="2">
      <c r="B5340" s="2" t="s">
        <v>833</v>
      </c>
      <c r="D5340" s="112">
        <v>2129</v>
      </c>
      <c r="E5340" s="112" t="s">
        <v>4959</v>
      </c>
      <c r="F5340" s="112" t="s">
        <v>5223</v>
      </c>
      <c r="G5340" s="112" t="s">
        <v>5216</v>
      </c>
      <c r="H5340" s="276">
        <v>0.251</v>
      </c>
      <c r="J5340" s="2"/>
    </row>
    <row r="5341" spans="2:10" s="317" customFormat="1" hidden="1" outlineLevel="2">
      <c r="B5341" s="2" t="s">
        <v>833</v>
      </c>
      <c r="D5341" s="114">
        <v>2151</v>
      </c>
      <c r="E5341" s="114" t="s">
        <v>4959</v>
      </c>
      <c r="F5341" s="114" t="s">
        <v>5224</v>
      </c>
      <c r="G5341" s="114" t="s">
        <v>5216</v>
      </c>
      <c r="H5341" s="279">
        <v>0.251</v>
      </c>
      <c r="J5341" s="2"/>
    </row>
    <row r="5342" spans="2:10" s="317" customFormat="1" hidden="1" outlineLevel="2">
      <c r="B5342" s="2" t="s">
        <v>833</v>
      </c>
      <c r="D5342" s="112">
        <v>2179</v>
      </c>
      <c r="E5342" s="112" t="s">
        <v>4959</v>
      </c>
      <c r="F5342" s="112" t="s">
        <v>5225</v>
      </c>
      <c r="G5342" s="112" t="s">
        <v>5216</v>
      </c>
      <c r="H5342" s="276">
        <v>0.251</v>
      </c>
      <c r="J5342" s="2"/>
    </row>
    <row r="5343" spans="2:10" s="317" customFormat="1" hidden="1" outlineLevel="2">
      <c r="B5343" s="2" t="s">
        <v>833</v>
      </c>
      <c r="D5343" s="114">
        <v>2130</v>
      </c>
      <c r="E5343" s="114" t="s">
        <v>4959</v>
      </c>
      <c r="F5343" s="114" t="s">
        <v>5226</v>
      </c>
      <c r="G5343" s="114" t="s">
        <v>5216</v>
      </c>
      <c r="H5343" s="279">
        <v>0.251</v>
      </c>
      <c r="J5343" s="2"/>
    </row>
    <row r="5344" spans="2:10" s="317" customFormat="1" hidden="1" outlineLevel="2">
      <c r="B5344" s="2" t="s">
        <v>833</v>
      </c>
      <c r="D5344" s="112">
        <v>2122</v>
      </c>
      <c r="E5344" s="112" t="s">
        <v>4959</v>
      </c>
      <c r="F5344" s="112" t="s">
        <v>5227</v>
      </c>
      <c r="G5344" s="112" t="s">
        <v>5216</v>
      </c>
      <c r="H5344" s="276">
        <v>0.251</v>
      </c>
      <c r="J5344" s="2"/>
    </row>
    <row r="5345" spans="2:10" s="317" customFormat="1" hidden="1" outlineLevel="2">
      <c r="B5345" s="2" t="s">
        <v>833</v>
      </c>
      <c r="D5345" s="114">
        <v>2111</v>
      </c>
      <c r="E5345" s="114" t="s">
        <v>4959</v>
      </c>
      <c r="F5345" s="114" t="s">
        <v>5228</v>
      </c>
      <c r="G5345" s="114" t="s">
        <v>5216</v>
      </c>
      <c r="H5345" s="279">
        <v>0.251</v>
      </c>
      <c r="J5345" s="2"/>
    </row>
    <row r="5346" spans="2:10" s="317" customFormat="1" hidden="1" outlineLevel="2">
      <c r="B5346" s="2" t="s">
        <v>833</v>
      </c>
      <c r="D5346" s="112">
        <v>2121</v>
      </c>
      <c r="E5346" s="112" t="s">
        <v>4959</v>
      </c>
      <c r="F5346" s="112" t="s">
        <v>5229</v>
      </c>
      <c r="G5346" s="112" t="s">
        <v>5216</v>
      </c>
      <c r="H5346" s="276">
        <v>0.251</v>
      </c>
      <c r="J5346" s="2"/>
    </row>
    <row r="5347" spans="2:10" s="317" customFormat="1" hidden="1" outlineLevel="2">
      <c r="B5347" s="2" t="s">
        <v>833</v>
      </c>
      <c r="D5347" s="114">
        <v>2140</v>
      </c>
      <c r="E5347" s="114" t="s">
        <v>4959</v>
      </c>
      <c r="F5347" s="114" t="s">
        <v>5230</v>
      </c>
      <c r="G5347" s="114" t="s">
        <v>5216</v>
      </c>
      <c r="H5347" s="279">
        <v>0.251</v>
      </c>
      <c r="J5347" s="2"/>
    </row>
    <row r="5348" spans="2:10" s="317" customFormat="1" hidden="1" outlineLevel="2">
      <c r="B5348" s="2" t="s">
        <v>833</v>
      </c>
      <c r="D5348" s="112">
        <v>2112</v>
      </c>
      <c r="E5348" s="112" t="s">
        <v>4959</v>
      </c>
      <c r="F5348" s="112" t="s">
        <v>5231</v>
      </c>
      <c r="G5348" s="112" t="s">
        <v>5216</v>
      </c>
      <c r="H5348" s="276">
        <v>0.251</v>
      </c>
      <c r="J5348" s="2"/>
    </row>
    <row r="5349" spans="2:10" s="317" customFormat="1" hidden="1" outlineLevel="2">
      <c r="B5349" s="2" t="s">
        <v>833</v>
      </c>
      <c r="D5349" s="114">
        <v>2174</v>
      </c>
      <c r="E5349" s="114" t="s">
        <v>4959</v>
      </c>
      <c r="F5349" s="114" t="s">
        <v>5232</v>
      </c>
      <c r="G5349" s="114" t="s">
        <v>5216</v>
      </c>
      <c r="H5349" s="279">
        <v>0.251</v>
      </c>
      <c r="J5349" s="2"/>
    </row>
    <row r="5350" spans="2:10" s="317" customFormat="1" hidden="1" outlineLevel="2">
      <c r="B5350" s="2" t="s">
        <v>833</v>
      </c>
      <c r="D5350" s="112">
        <v>2173</v>
      </c>
      <c r="E5350" s="112" t="s">
        <v>4959</v>
      </c>
      <c r="F5350" s="112" t="s">
        <v>5233</v>
      </c>
      <c r="G5350" s="112" t="s">
        <v>5216</v>
      </c>
      <c r="H5350" s="276">
        <v>0.251</v>
      </c>
      <c r="J5350" s="2"/>
    </row>
    <row r="5351" spans="2:10" s="317" customFormat="1" hidden="1" outlineLevel="2">
      <c r="B5351" s="2" t="s">
        <v>833</v>
      </c>
      <c r="D5351" s="114">
        <v>2181</v>
      </c>
      <c r="E5351" s="114" t="s">
        <v>4959</v>
      </c>
      <c r="F5351" s="114" t="s">
        <v>5234</v>
      </c>
      <c r="G5351" s="114" t="s">
        <v>5216</v>
      </c>
      <c r="H5351" s="279">
        <v>0.251</v>
      </c>
      <c r="J5351" s="2"/>
    </row>
    <row r="5352" spans="2:10" s="317" customFormat="1" hidden="1" outlineLevel="2">
      <c r="B5352" s="2" t="s">
        <v>833</v>
      </c>
      <c r="D5352" s="112">
        <v>2184</v>
      </c>
      <c r="E5352" s="112" t="s">
        <v>4959</v>
      </c>
      <c r="F5352" s="112" t="s">
        <v>5235</v>
      </c>
      <c r="G5352" s="112" t="s">
        <v>5216</v>
      </c>
      <c r="H5352" s="276">
        <v>0.251</v>
      </c>
      <c r="J5352" s="2"/>
    </row>
    <row r="5353" spans="2:10" s="317" customFormat="1" hidden="1" outlineLevel="2">
      <c r="B5353" s="2" t="s">
        <v>833</v>
      </c>
      <c r="D5353" s="114">
        <v>2171</v>
      </c>
      <c r="E5353" s="114" t="s">
        <v>4959</v>
      </c>
      <c r="F5353" s="114" t="s">
        <v>5236</v>
      </c>
      <c r="G5353" s="114" t="s">
        <v>5216</v>
      </c>
      <c r="H5353" s="279">
        <v>0.251</v>
      </c>
      <c r="J5353" s="2"/>
    </row>
    <row r="5354" spans="2:10" s="317" customFormat="1" hidden="1" outlineLevel="2">
      <c r="B5354" s="2" t="s">
        <v>833</v>
      </c>
      <c r="D5354" s="112">
        <v>2190</v>
      </c>
      <c r="E5354" s="112" t="s">
        <v>4959</v>
      </c>
      <c r="F5354" s="112" t="s">
        <v>5237</v>
      </c>
      <c r="G5354" s="112" t="s">
        <v>5216</v>
      </c>
      <c r="H5354" s="276">
        <v>0.251</v>
      </c>
      <c r="J5354" s="2"/>
    </row>
    <row r="5355" spans="2:10" s="317" customFormat="1" hidden="1" outlineLevel="2">
      <c r="B5355" s="2" t="s">
        <v>833</v>
      </c>
      <c r="D5355" s="114">
        <v>2183</v>
      </c>
      <c r="E5355" s="114" t="s">
        <v>4959</v>
      </c>
      <c r="F5355" s="114" t="s">
        <v>5238</v>
      </c>
      <c r="G5355" s="114" t="s">
        <v>5216</v>
      </c>
      <c r="H5355" s="279">
        <v>0.251</v>
      </c>
      <c r="J5355" s="2"/>
    </row>
    <row r="5356" spans="2:10" s="317" customFormat="1" hidden="1" outlineLevel="2">
      <c r="B5356" s="2" t="s">
        <v>833</v>
      </c>
      <c r="D5356" s="112">
        <v>2811</v>
      </c>
      <c r="E5356" s="112" t="s">
        <v>4961</v>
      </c>
      <c r="F5356" s="112" t="s">
        <v>5239</v>
      </c>
      <c r="G5356" s="112" t="s">
        <v>5240</v>
      </c>
      <c r="H5356" s="276">
        <v>0.40350000000000003</v>
      </c>
      <c r="J5356" s="2"/>
    </row>
    <row r="5357" spans="2:10" s="317" customFormat="1" hidden="1" outlineLevel="2">
      <c r="B5357" s="2" t="s">
        <v>833</v>
      </c>
      <c r="D5357" s="114">
        <v>2812</v>
      </c>
      <c r="E5357" s="114" t="s">
        <v>4961</v>
      </c>
      <c r="F5357" s="114" t="s">
        <v>5241</v>
      </c>
      <c r="G5357" s="114" t="s">
        <v>5240</v>
      </c>
      <c r="H5357" s="279">
        <v>0.40350000000000003</v>
      </c>
      <c r="J5357" s="2"/>
    </row>
    <row r="5358" spans="2:10" s="317" customFormat="1" hidden="1" outlineLevel="2">
      <c r="B5358" s="2" t="s">
        <v>833</v>
      </c>
      <c r="D5358" s="112">
        <v>2813</v>
      </c>
      <c r="E5358" s="112" t="s">
        <v>4961</v>
      </c>
      <c r="F5358" s="112" t="s">
        <v>5242</v>
      </c>
      <c r="G5358" s="112" t="s">
        <v>5240</v>
      </c>
      <c r="H5358" s="276">
        <v>0.40350000000000003</v>
      </c>
      <c r="J5358" s="2"/>
    </row>
    <row r="5359" spans="2:10" s="317" customFormat="1" hidden="1" outlineLevel="2">
      <c r="B5359" s="2" t="s">
        <v>833</v>
      </c>
      <c r="D5359" s="114">
        <v>2819</v>
      </c>
      <c r="E5359" s="114" t="s">
        <v>4961</v>
      </c>
      <c r="F5359" s="114" t="s">
        <v>5243</v>
      </c>
      <c r="G5359" s="114" t="s">
        <v>5240</v>
      </c>
      <c r="H5359" s="279">
        <v>0.40350000000000003</v>
      </c>
      <c r="J5359" s="2"/>
    </row>
    <row r="5360" spans="2:10" s="317" customFormat="1" hidden="1" outlineLevel="2">
      <c r="B5360" s="2" t="s">
        <v>833</v>
      </c>
      <c r="D5360" s="112">
        <v>2821</v>
      </c>
      <c r="E5360" s="112" t="s">
        <v>4961</v>
      </c>
      <c r="F5360" s="112" t="s">
        <v>5244</v>
      </c>
      <c r="G5360" s="112" t="s">
        <v>5240</v>
      </c>
      <c r="H5360" s="276">
        <v>0.40350000000000003</v>
      </c>
      <c r="J5360" s="2"/>
    </row>
    <row r="5361" spans="2:10" s="317" customFormat="1" hidden="1" outlineLevel="2">
      <c r="B5361" s="2" t="s">
        <v>833</v>
      </c>
      <c r="D5361" s="114">
        <v>2822</v>
      </c>
      <c r="E5361" s="114" t="s">
        <v>4961</v>
      </c>
      <c r="F5361" s="114" t="s">
        <v>5245</v>
      </c>
      <c r="G5361" s="114" t="s">
        <v>5240</v>
      </c>
      <c r="H5361" s="279">
        <v>0.40350000000000003</v>
      </c>
      <c r="J5361" s="2"/>
    </row>
    <row r="5362" spans="2:10" s="317" customFormat="1" hidden="1" outlineLevel="2">
      <c r="B5362" s="2" t="s">
        <v>833</v>
      </c>
      <c r="D5362" s="112">
        <v>2823</v>
      </c>
      <c r="E5362" s="112" t="s">
        <v>4961</v>
      </c>
      <c r="F5362" s="112" t="s">
        <v>5246</v>
      </c>
      <c r="G5362" s="112" t="s">
        <v>5240</v>
      </c>
      <c r="H5362" s="276">
        <v>0.40350000000000003</v>
      </c>
      <c r="J5362" s="2"/>
    </row>
    <row r="5363" spans="2:10" s="317" customFormat="1" hidden="1" outlineLevel="2">
      <c r="B5363" s="2" t="s">
        <v>833</v>
      </c>
      <c r="D5363" s="114">
        <v>2824</v>
      </c>
      <c r="E5363" s="114" t="s">
        <v>4961</v>
      </c>
      <c r="F5363" s="114" t="s">
        <v>5247</v>
      </c>
      <c r="G5363" s="114" t="s">
        <v>5240</v>
      </c>
      <c r="H5363" s="279">
        <v>0.40350000000000003</v>
      </c>
      <c r="J5363" s="2"/>
    </row>
    <row r="5364" spans="2:10" s="317" customFormat="1" hidden="1" outlineLevel="2">
      <c r="B5364" s="2" t="s">
        <v>833</v>
      </c>
      <c r="D5364" s="112">
        <v>2829</v>
      </c>
      <c r="E5364" s="112" t="s">
        <v>4961</v>
      </c>
      <c r="F5364" s="112" t="s">
        <v>5248</v>
      </c>
      <c r="G5364" s="112" t="s">
        <v>5240</v>
      </c>
      <c r="H5364" s="276">
        <v>0.40350000000000003</v>
      </c>
      <c r="J5364" s="2"/>
    </row>
    <row r="5365" spans="2:10" s="317" customFormat="1" hidden="1" outlineLevel="2">
      <c r="B5365" s="2" t="s">
        <v>833</v>
      </c>
      <c r="D5365" s="114">
        <v>2831</v>
      </c>
      <c r="E5365" s="114" t="s">
        <v>4961</v>
      </c>
      <c r="F5365" s="114" t="s">
        <v>5249</v>
      </c>
      <c r="G5365" s="114" t="s">
        <v>5250</v>
      </c>
      <c r="H5365" s="279">
        <v>0.40350000000000003</v>
      </c>
      <c r="J5365" s="2"/>
    </row>
    <row r="5366" spans="2:10" s="317" customFormat="1" hidden="1" outlineLevel="2">
      <c r="B5366" s="2" t="s">
        <v>833</v>
      </c>
      <c r="D5366" s="112">
        <v>2832</v>
      </c>
      <c r="E5366" s="112" t="s">
        <v>4961</v>
      </c>
      <c r="F5366" s="112" t="s">
        <v>5251</v>
      </c>
      <c r="G5366" s="112" t="s">
        <v>5250</v>
      </c>
      <c r="H5366" s="276">
        <v>0.40350000000000003</v>
      </c>
      <c r="J5366" s="2"/>
    </row>
    <row r="5367" spans="2:10" s="317" customFormat="1" hidden="1" outlineLevel="2">
      <c r="B5367" s="2" t="s">
        <v>833</v>
      </c>
      <c r="D5367" s="114">
        <v>2839</v>
      </c>
      <c r="E5367" s="114" t="s">
        <v>4961</v>
      </c>
      <c r="F5367" s="114" t="s">
        <v>5252</v>
      </c>
      <c r="G5367" s="114" t="s">
        <v>5250</v>
      </c>
      <c r="H5367" s="279">
        <v>0.40350000000000003</v>
      </c>
      <c r="J5367" s="2"/>
    </row>
    <row r="5368" spans="2:10" s="317" customFormat="1" hidden="1" outlineLevel="2">
      <c r="B5368" s="2" t="s">
        <v>833</v>
      </c>
      <c r="D5368" s="112">
        <v>2841</v>
      </c>
      <c r="E5368" s="112" t="s">
        <v>4961</v>
      </c>
      <c r="F5368" s="112" t="s">
        <v>5253</v>
      </c>
      <c r="G5368" s="112" t="s">
        <v>5250</v>
      </c>
      <c r="H5368" s="276">
        <v>0.40350000000000003</v>
      </c>
      <c r="J5368" s="2"/>
    </row>
    <row r="5369" spans="2:10" s="317" customFormat="1" hidden="1" outlineLevel="2">
      <c r="B5369" s="2" t="s">
        <v>833</v>
      </c>
      <c r="D5369" s="114">
        <v>2842</v>
      </c>
      <c r="E5369" s="114" t="s">
        <v>4961</v>
      </c>
      <c r="F5369" s="114" t="s">
        <v>5254</v>
      </c>
      <c r="G5369" s="114" t="s">
        <v>5250</v>
      </c>
      <c r="H5369" s="279">
        <v>0.40350000000000003</v>
      </c>
      <c r="J5369" s="2"/>
    </row>
    <row r="5370" spans="2:10" s="317" customFormat="1" hidden="1" outlineLevel="2">
      <c r="B5370" s="2" t="s">
        <v>833</v>
      </c>
      <c r="D5370" s="112">
        <v>2849</v>
      </c>
      <c r="E5370" s="112" t="s">
        <v>4961</v>
      </c>
      <c r="F5370" s="112" t="s">
        <v>5255</v>
      </c>
      <c r="G5370" s="112" t="s">
        <v>5250</v>
      </c>
      <c r="H5370" s="276">
        <v>0.40350000000000003</v>
      </c>
      <c r="J5370" s="2"/>
    </row>
    <row r="5371" spans="2:10" s="317" customFormat="1" hidden="1" outlineLevel="2">
      <c r="B5371" s="2" t="s">
        <v>833</v>
      </c>
      <c r="D5371" s="114">
        <v>2851</v>
      </c>
      <c r="E5371" s="114" t="s">
        <v>4961</v>
      </c>
      <c r="F5371" s="114" t="s">
        <v>5256</v>
      </c>
      <c r="G5371" s="114" t="s">
        <v>5250</v>
      </c>
      <c r="H5371" s="279">
        <v>0.40350000000000003</v>
      </c>
      <c r="J5371" s="2"/>
    </row>
    <row r="5372" spans="2:10" s="317" customFormat="1" hidden="1" outlineLevel="2">
      <c r="B5372" s="2" t="s">
        <v>833</v>
      </c>
      <c r="D5372" s="112">
        <v>2852</v>
      </c>
      <c r="E5372" s="112" t="s">
        <v>4961</v>
      </c>
      <c r="F5372" s="112" t="s">
        <v>5257</v>
      </c>
      <c r="G5372" s="112" t="s">
        <v>5250</v>
      </c>
      <c r="H5372" s="276">
        <v>0.40350000000000003</v>
      </c>
      <c r="J5372" s="2"/>
    </row>
    <row r="5373" spans="2:10" s="317" customFormat="1" hidden="1" outlineLevel="2">
      <c r="B5373" s="2" t="s">
        <v>833</v>
      </c>
      <c r="D5373" s="114">
        <v>2853</v>
      </c>
      <c r="E5373" s="114" t="s">
        <v>4961</v>
      </c>
      <c r="F5373" s="114" t="s">
        <v>5258</v>
      </c>
      <c r="G5373" s="114" t="s">
        <v>5250</v>
      </c>
      <c r="H5373" s="279">
        <v>0.40350000000000003</v>
      </c>
      <c r="J5373" s="2"/>
    </row>
    <row r="5374" spans="2:10" s="317" customFormat="1" hidden="1" outlineLevel="2">
      <c r="B5374" s="2" t="s">
        <v>833</v>
      </c>
      <c r="D5374" s="112">
        <v>2854</v>
      </c>
      <c r="E5374" s="112" t="s">
        <v>4961</v>
      </c>
      <c r="F5374" s="112" t="s">
        <v>5259</v>
      </c>
      <c r="G5374" s="112" t="s">
        <v>5250</v>
      </c>
      <c r="H5374" s="276">
        <v>0.40350000000000003</v>
      </c>
      <c r="J5374" s="2"/>
    </row>
    <row r="5375" spans="2:10" s="317" customFormat="1" hidden="1" outlineLevel="2">
      <c r="B5375" s="2" t="s">
        <v>833</v>
      </c>
      <c r="D5375" s="114">
        <v>2859</v>
      </c>
      <c r="E5375" s="114" t="s">
        <v>4961</v>
      </c>
      <c r="F5375" s="114" t="s">
        <v>5260</v>
      </c>
      <c r="G5375" s="114" t="s">
        <v>5250</v>
      </c>
      <c r="H5375" s="279">
        <v>0.40350000000000003</v>
      </c>
      <c r="J5375" s="2"/>
    </row>
    <row r="5376" spans="2:10" s="317" customFormat="1" hidden="1" outlineLevel="2">
      <c r="B5376" s="2" t="s">
        <v>833</v>
      </c>
      <c r="D5376" s="112">
        <v>2861</v>
      </c>
      <c r="E5376" s="112" t="s">
        <v>4961</v>
      </c>
      <c r="F5376" s="112" t="s">
        <v>5261</v>
      </c>
      <c r="G5376" s="112" t="s">
        <v>5262</v>
      </c>
      <c r="H5376" s="276">
        <v>0.40350000000000003</v>
      </c>
      <c r="J5376" s="2"/>
    </row>
    <row r="5377" spans="2:10" s="317" customFormat="1" hidden="1" outlineLevel="2">
      <c r="B5377" s="2" t="s">
        <v>833</v>
      </c>
      <c r="D5377" s="114">
        <v>2862</v>
      </c>
      <c r="E5377" s="114" t="s">
        <v>4961</v>
      </c>
      <c r="F5377" s="114" t="s">
        <v>5263</v>
      </c>
      <c r="G5377" s="114" t="s">
        <v>5262</v>
      </c>
      <c r="H5377" s="279">
        <v>0.40350000000000003</v>
      </c>
      <c r="J5377" s="2"/>
    </row>
    <row r="5378" spans="2:10" s="317" customFormat="1" hidden="1" outlineLevel="2">
      <c r="B5378" s="2" t="s">
        <v>833</v>
      </c>
      <c r="D5378" s="112">
        <v>2863</v>
      </c>
      <c r="E5378" s="112" t="s">
        <v>4961</v>
      </c>
      <c r="F5378" s="112" t="s">
        <v>5264</v>
      </c>
      <c r="G5378" s="112" t="s">
        <v>5262</v>
      </c>
      <c r="H5378" s="276">
        <v>0.40350000000000003</v>
      </c>
      <c r="J5378" s="2"/>
    </row>
    <row r="5379" spans="2:10" s="317" customFormat="1" hidden="1" outlineLevel="2">
      <c r="B5379" s="2" t="s">
        <v>833</v>
      </c>
      <c r="D5379" s="114">
        <v>2864</v>
      </c>
      <c r="E5379" s="114" t="s">
        <v>4961</v>
      </c>
      <c r="F5379" s="114" t="s">
        <v>5265</v>
      </c>
      <c r="G5379" s="114" t="s">
        <v>5262</v>
      </c>
      <c r="H5379" s="279">
        <v>0.40350000000000003</v>
      </c>
      <c r="J5379" s="2"/>
    </row>
    <row r="5380" spans="2:10" s="317" customFormat="1" hidden="1" outlineLevel="2">
      <c r="B5380" s="2" t="s">
        <v>833</v>
      </c>
      <c r="D5380" s="112">
        <v>2865</v>
      </c>
      <c r="E5380" s="112" t="s">
        <v>4961</v>
      </c>
      <c r="F5380" s="112" t="s">
        <v>5266</v>
      </c>
      <c r="G5380" s="112" t="s">
        <v>5262</v>
      </c>
      <c r="H5380" s="276">
        <v>0.40350000000000003</v>
      </c>
      <c r="J5380" s="2"/>
    </row>
    <row r="5381" spans="2:10" s="317" customFormat="1" hidden="1" outlineLevel="2">
      <c r="B5381" s="2" t="s">
        <v>833</v>
      </c>
      <c r="D5381" s="114">
        <v>2866</v>
      </c>
      <c r="E5381" s="114" t="s">
        <v>4961</v>
      </c>
      <c r="F5381" s="114" t="s">
        <v>5267</v>
      </c>
      <c r="G5381" s="114" t="s">
        <v>5262</v>
      </c>
      <c r="H5381" s="279">
        <v>0.40350000000000003</v>
      </c>
      <c r="J5381" s="2"/>
    </row>
    <row r="5382" spans="2:10" s="317" customFormat="1" hidden="1" outlineLevel="2">
      <c r="B5382" s="2" t="s">
        <v>833</v>
      </c>
      <c r="D5382" s="112">
        <v>2867</v>
      </c>
      <c r="E5382" s="112" t="s">
        <v>4961</v>
      </c>
      <c r="F5382" s="112" t="s">
        <v>5268</v>
      </c>
      <c r="G5382" s="112" t="s">
        <v>5262</v>
      </c>
      <c r="H5382" s="276">
        <v>0.40350000000000003</v>
      </c>
      <c r="J5382" s="2"/>
    </row>
    <row r="5383" spans="2:10" s="317" customFormat="1" hidden="1" outlineLevel="2">
      <c r="B5383" s="2" t="s">
        <v>833</v>
      </c>
      <c r="D5383" s="114">
        <v>2869</v>
      </c>
      <c r="E5383" s="114" t="s">
        <v>4961</v>
      </c>
      <c r="F5383" s="114" t="s">
        <v>5269</v>
      </c>
      <c r="G5383" s="114" t="s">
        <v>5262</v>
      </c>
      <c r="H5383" s="279">
        <v>0.40350000000000003</v>
      </c>
      <c r="J5383" s="2"/>
    </row>
    <row r="5384" spans="2:10" s="317" customFormat="1" hidden="1" outlineLevel="2">
      <c r="B5384" s="2" t="s">
        <v>833</v>
      </c>
      <c r="D5384" s="112">
        <v>2721</v>
      </c>
      <c r="E5384" s="112" t="s">
        <v>4963</v>
      </c>
      <c r="F5384" s="112" t="s">
        <v>5270</v>
      </c>
      <c r="G5384" s="112" t="s">
        <v>5271</v>
      </c>
      <c r="H5384" s="276">
        <v>0.34060000000000001</v>
      </c>
      <c r="J5384" s="2"/>
    </row>
    <row r="5385" spans="2:10" s="317" customFormat="1" hidden="1" outlineLevel="2">
      <c r="B5385" s="2" t="s">
        <v>833</v>
      </c>
      <c r="D5385" s="114">
        <v>2731</v>
      </c>
      <c r="E5385" s="114" t="s">
        <v>4963</v>
      </c>
      <c r="F5385" s="114" t="s">
        <v>5272</v>
      </c>
      <c r="G5385" s="114" t="s">
        <v>5271</v>
      </c>
      <c r="H5385" s="279">
        <v>0.34060000000000001</v>
      </c>
      <c r="J5385" s="2"/>
    </row>
    <row r="5386" spans="2:10" s="317" customFormat="1" hidden="1" outlineLevel="2">
      <c r="B5386" s="2" t="s">
        <v>833</v>
      </c>
      <c r="D5386" s="112">
        <v>2722</v>
      </c>
      <c r="E5386" s="112" t="s">
        <v>4963</v>
      </c>
      <c r="F5386" s="112" t="s">
        <v>5273</v>
      </c>
      <c r="G5386" s="112" t="s">
        <v>5271</v>
      </c>
      <c r="H5386" s="276">
        <v>0.34060000000000001</v>
      </c>
      <c r="J5386" s="2"/>
    </row>
    <row r="5387" spans="2:10" s="317" customFormat="1" hidden="1" outlineLevel="2">
      <c r="B5387" s="2" t="s">
        <v>833</v>
      </c>
      <c r="D5387" s="114">
        <v>2742</v>
      </c>
      <c r="E5387" s="114" t="s">
        <v>4963</v>
      </c>
      <c r="F5387" s="114" t="s">
        <v>5274</v>
      </c>
      <c r="G5387" s="114" t="s">
        <v>5271</v>
      </c>
      <c r="H5387" s="279">
        <v>0.34060000000000001</v>
      </c>
      <c r="J5387" s="2"/>
    </row>
    <row r="5388" spans="2:10" s="317" customFormat="1" hidden="1" outlineLevel="2">
      <c r="B5388" s="2" t="s">
        <v>833</v>
      </c>
      <c r="D5388" s="112">
        <v>2711</v>
      </c>
      <c r="E5388" s="112" t="s">
        <v>4963</v>
      </c>
      <c r="F5388" s="112" t="s">
        <v>5275</v>
      </c>
      <c r="G5388" s="112" t="s">
        <v>5271</v>
      </c>
      <c r="H5388" s="276">
        <v>0.34060000000000001</v>
      </c>
      <c r="J5388" s="2"/>
    </row>
    <row r="5389" spans="2:10" s="317" customFormat="1" hidden="1" outlineLevel="2">
      <c r="B5389" s="2" t="s">
        <v>833</v>
      </c>
      <c r="D5389" s="114">
        <v>2729</v>
      </c>
      <c r="E5389" s="114" t="s">
        <v>4963</v>
      </c>
      <c r="F5389" s="114" t="s">
        <v>5276</v>
      </c>
      <c r="G5389" s="114" t="s">
        <v>5271</v>
      </c>
      <c r="H5389" s="279">
        <v>0.34060000000000001</v>
      </c>
      <c r="J5389" s="2"/>
    </row>
    <row r="5390" spans="2:10" s="317" customFormat="1" hidden="1" outlineLevel="2">
      <c r="B5390" s="2" t="s">
        <v>833</v>
      </c>
      <c r="D5390" s="112">
        <v>2723</v>
      </c>
      <c r="E5390" s="112" t="s">
        <v>4963</v>
      </c>
      <c r="F5390" s="112" t="s">
        <v>5277</v>
      </c>
      <c r="G5390" s="112" t="s">
        <v>5271</v>
      </c>
      <c r="H5390" s="276">
        <v>0.34060000000000001</v>
      </c>
      <c r="J5390" s="2"/>
    </row>
    <row r="5391" spans="2:10" s="317" customFormat="1" hidden="1" outlineLevel="2">
      <c r="B5391" s="2" t="s">
        <v>833</v>
      </c>
      <c r="D5391" s="114">
        <v>2769</v>
      </c>
      <c r="E5391" s="114" t="s">
        <v>4963</v>
      </c>
      <c r="F5391" s="114" t="s">
        <v>5278</v>
      </c>
      <c r="G5391" s="114" t="s">
        <v>5271</v>
      </c>
      <c r="H5391" s="279">
        <v>0.34060000000000001</v>
      </c>
      <c r="J5391" s="2"/>
    </row>
    <row r="5392" spans="2:10" s="317" customFormat="1" hidden="1" outlineLevel="2">
      <c r="B5392" s="2" t="s">
        <v>833</v>
      </c>
      <c r="D5392" s="112">
        <v>2761</v>
      </c>
      <c r="E5392" s="112" t="s">
        <v>4963</v>
      </c>
      <c r="F5392" s="112" t="s">
        <v>5279</v>
      </c>
      <c r="G5392" s="112" t="s">
        <v>5271</v>
      </c>
      <c r="H5392" s="276">
        <v>0.34060000000000001</v>
      </c>
      <c r="J5392" s="2"/>
    </row>
    <row r="5393" spans="2:10" s="317" customFormat="1" hidden="1" outlineLevel="2">
      <c r="B5393" s="2" t="s">
        <v>833</v>
      </c>
      <c r="D5393" s="114">
        <v>2712</v>
      </c>
      <c r="E5393" s="114" t="s">
        <v>4963</v>
      </c>
      <c r="F5393" s="114" t="s">
        <v>5280</v>
      </c>
      <c r="G5393" s="114" t="s">
        <v>5271</v>
      </c>
      <c r="H5393" s="279">
        <v>0.34060000000000001</v>
      </c>
      <c r="J5393" s="2"/>
    </row>
    <row r="5394" spans="2:10" s="317" customFormat="1" hidden="1" outlineLevel="2">
      <c r="B5394" s="2" t="s">
        <v>833</v>
      </c>
      <c r="D5394" s="112">
        <v>2764</v>
      </c>
      <c r="E5394" s="112" t="s">
        <v>4963</v>
      </c>
      <c r="F5394" s="112" t="s">
        <v>5281</v>
      </c>
      <c r="G5394" s="112" t="s">
        <v>5271</v>
      </c>
      <c r="H5394" s="276">
        <v>0.34060000000000001</v>
      </c>
      <c r="J5394" s="2"/>
    </row>
    <row r="5395" spans="2:10" s="317" customFormat="1" hidden="1" outlineLevel="2">
      <c r="B5395" s="2" t="s">
        <v>833</v>
      </c>
      <c r="D5395" s="114">
        <v>2751</v>
      </c>
      <c r="E5395" s="114" t="s">
        <v>4963</v>
      </c>
      <c r="F5395" s="114" t="s">
        <v>5282</v>
      </c>
      <c r="G5395" s="114" t="s">
        <v>5271</v>
      </c>
      <c r="H5395" s="279">
        <v>0.34060000000000001</v>
      </c>
      <c r="J5395" s="2"/>
    </row>
    <row r="5396" spans="2:10" s="317" customFormat="1" hidden="1" outlineLevel="2">
      <c r="B5396" s="2" t="s">
        <v>833</v>
      </c>
      <c r="D5396" s="112">
        <v>2733</v>
      </c>
      <c r="E5396" s="112" t="s">
        <v>4963</v>
      </c>
      <c r="F5396" s="112" t="s">
        <v>5283</v>
      </c>
      <c r="G5396" s="112" t="s">
        <v>5271</v>
      </c>
      <c r="H5396" s="276">
        <v>0.34060000000000001</v>
      </c>
      <c r="J5396" s="2"/>
    </row>
    <row r="5397" spans="2:10" s="317" customFormat="1" hidden="1" outlineLevel="2">
      <c r="B5397" s="2" t="s">
        <v>833</v>
      </c>
      <c r="D5397" s="114">
        <v>2732</v>
      </c>
      <c r="E5397" s="114" t="s">
        <v>4963</v>
      </c>
      <c r="F5397" s="114" t="s">
        <v>5284</v>
      </c>
      <c r="G5397" s="114" t="s">
        <v>5271</v>
      </c>
      <c r="H5397" s="279">
        <v>0.34060000000000001</v>
      </c>
      <c r="J5397" s="2"/>
    </row>
    <row r="5398" spans="2:10" s="317" customFormat="1" hidden="1" outlineLevel="2">
      <c r="B5398" s="2" t="s">
        <v>833</v>
      </c>
      <c r="D5398" s="112">
        <v>2765</v>
      </c>
      <c r="E5398" s="112" t="s">
        <v>4963</v>
      </c>
      <c r="F5398" s="112" t="s">
        <v>5285</v>
      </c>
      <c r="G5398" s="112" t="s">
        <v>5271</v>
      </c>
      <c r="H5398" s="276">
        <v>0.34060000000000001</v>
      </c>
      <c r="J5398" s="2"/>
    </row>
    <row r="5399" spans="2:10" s="317" customFormat="1" hidden="1" outlineLevel="2">
      <c r="B5399" s="2" t="s">
        <v>833</v>
      </c>
      <c r="D5399" s="114">
        <v>2763</v>
      </c>
      <c r="E5399" s="114" t="s">
        <v>4963</v>
      </c>
      <c r="F5399" s="114" t="s">
        <v>5286</v>
      </c>
      <c r="G5399" s="114" t="s">
        <v>5271</v>
      </c>
      <c r="H5399" s="279">
        <v>0.34060000000000001</v>
      </c>
      <c r="J5399" s="2"/>
    </row>
    <row r="5400" spans="2:10" s="317" customFormat="1" hidden="1" outlineLevel="2">
      <c r="B5400" s="2" t="s">
        <v>833</v>
      </c>
      <c r="D5400" s="112">
        <v>2759</v>
      </c>
      <c r="E5400" s="112" t="s">
        <v>4963</v>
      </c>
      <c r="F5400" s="112" t="s">
        <v>5287</v>
      </c>
      <c r="G5400" s="112" t="s">
        <v>5271</v>
      </c>
      <c r="H5400" s="276">
        <v>0.34060000000000001</v>
      </c>
      <c r="J5400" s="2"/>
    </row>
    <row r="5401" spans="2:10" s="317" customFormat="1" hidden="1" outlineLevel="2">
      <c r="B5401" s="2" t="s">
        <v>833</v>
      </c>
      <c r="D5401" s="114">
        <v>2762</v>
      </c>
      <c r="E5401" s="114" t="s">
        <v>4963</v>
      </c>
      <c r="F5401" s="114" t="s">
        <v>5288</v>
      </c>
      <c r="G5401" s="114" t="s">
        <v>5271</v>
      </c>
      <c r="H5401" s="279">
        <v>0.34060000000000001</v>
      </c>
      <c r="J5401" s="2"/>
    </row>
    <row r="5402" spans="2:10" s="317" customFormat="1" hidden="1" outlineLevel="2">
      <c r="B5402" s="2" t="s">
        <v>833</v>
      </c>
      <c r="D5402" s="112">
        <v>2713</v>
      </c>
      <c r="E5402" s="112" t="s">
        <v>4963</v>
      </c>
      <c r="F5402" s="112" t="s">
        <v>5289</v>
      </c>
      <c r="G5402" s="112" t="s">
        <v>5271</v>
      </c>
      <c r="H5402" s="276">
        <v>0.34060000000000001</v>
      </c>
      <c r="J5402" s="2"/>
    </row>
    <row r="5403" spans="2:10" s="317" customFormat="1" hidden="1" outlineLevel="2">
      <c r="B5403" s="2" t="s">
        <v>833</v>
      </c>
      <c r="D5403" s="114">
        <v>2749</v>
      </c>
      <c r="E5403" s="114" t="s">
        <v>4963</v>
      </c>
      <c r="F5403" s="114" t="s">
        <v>5290</v>
      </c>
      <c r="G5403" s="114" t="s">
        <v>5271</v>
      </c>
      <c r="H5403" s="279">
        <v>0.34060000000000001</v>
      </c>
      <c r="J5403" s="2"/>
    </row>
    <row r="5404" spans="2:10" s="317" customFormat="1" hidden="1" outlineLevel="2">
      <c r="B5404" s="2" t="s">
        <v>833</v>
      </c>
      <c r="D5404" s="112">
        <v>2741</v>
      </c>
      <c r="E5404" s="112" t="s">
        <v>4963</v>
      </c>
      <c r="F5404" s="112" t="s">
        <v>5291</v>
      </c>
      <c r="G5404" s="112" t="s">
        <v>5271</v>
      </c>
      <c r="H5404" s="276">
        <v>0.34060000000000001</v>
      </c>
      <c r="J5404" s="2"/>
    </row>
    <row r="5405" spans="2:10" s="317" customFormat="1" hidden="1" outlineLevel="2">
      <c r="B5405" s="2" t="s">
        <v>833</v>
      </c>
      <c r="D5405" s="114">
        <v>2631</v>
      </c>
      <c r="E5405" s="114" t="s">
        <v>4965</v>
      </c>
      <c r="F5405" s="114" t="s">
        <v>5292</v>
      </c>
      <c r="G5405" s="114" t="s">
        <v>5293</v>
      </c>
      <c r="H5405" s="279">
        <v>0.32269999999999999</v>
      </c>
      <c r="J5405" s="2"/>
    </row>
    <row r="5406" spans="2:10" s="317" customFormat="1" hidden="1" outlineLevel="2">
      <c r="B5406" s="2" t="s">
        <v>833</v>
      </c>
      <c r="D5406" s="112">
        <v>2622</v>
      </c>
      <c r="E5406" s="112" t="s">
        <v>4965</v>
      </c>
      <c r="F5406" s="112" t="s">
        <v>5294</v>
      </c>
      <c r="G5406" s="112" t="s">
        <v>5293</v>
      </c>
      <c r="H5406" s="276">
        <v>0.32269999999999999</v>
      </c>
      <c r="J5406" s="2"/>
    </row>
    <row r="5407" spans="2:10" s="317" customFormat="1" hidden="1" outlineLevel="2">
      <c r="B5407" s="2" t="s">
        <v>833</v>
      </c>
      <c r="D5407" s="114">
        <v>2629</v>
      </c>
      <c r="E5407" s="114" t="s">
        <v>4965</v>
      </c>
      <c r="F5407" s="114" t="s">
        <v>5295</v>
      </c>
      <c r="G5407" s="114" t="s">
        <v>5293</v>
      </c>
      <c r="H5407" s="279">
        <v>0.32269999999999999</v>
      </c>
      <c r="J5407" s="2"/>
    </row>
    <row r="5408" spans="2:10" s="317" customFormat="1" hidden="1" outlineLevel="2">
      <c r="B5408" s="2" t="s">
        <v>833</v>
      </c>
      <c r="D5408" s="112">
        <v>2623</v>
      </c>
      <c r="E5408" s="112" t="s">
        <v>4965</v>
      </c>
      <c r="F5408" s="112" t="s">
        <v>5296</v>
      </c>
      <c r="G5408" s="112" t="s">
        <v>5293</v>
      </c>
      <c r="H5408" s="276">
        <v>0.32269999999999999</v>
      </c>
      <c r="J5408" s="2"/>
    </row>
    <row r="5409" spans="2:10" s="317" customFormat="1" hidden="1" outlineLevel="2">
      <c r="B5409" s="2" t="s">
        <v>833</v>
      </c>
      <c r="D5409" s="114">
        <v>2621</v>
      </c>
      <c r="E5409" s="114" t="s">
        <v>4965</v>
      </c>
      <c r="F5409" s="114" t="s">
        <v>5297</v>
      </c>
      <c r="G5409" s="114" t="s">
        <v>5293</v>
      </c>
      <c r="H5409" s="279">
        <v>0.32269999999999999</v>
      </c>
      <c r="J5409" s="2"/>
    </row>
    <row r="5410" spans="2:10" s="317" customFormat="1" hidden="1" outlineLevel="2">
      <c r="B5410" s="2" t="s">
        <v>833</v>
      </c>
      <c r="D5410" s="112">
        <v>2634</v>
      </c>
      <c r="E5410" s="112" t="s">
        <v>4965</v>
      </c>
      <c r="F5410" s="112" t="s">
        <v>5298</v>
      </c>
      <c r="G5410" s="112" t="s">
        <v>5293</v>
      </c>
      <c r="H5410" s="276">
        <v>0.32269999999999999</v>
      </c>
      <c r="J5410" s="2"/>
    </row>
    <row r="5411" spans="2:10" s="317" customFormat="1" hidden="1" outlineLevel="2">
      <c r="B5411" s="2" t="s">
        <v>833</v>
      </c>
      <c r="D5411" s="114">
        <v>2635</v>
      </c>
      <c r="E5411" s="114" t="s">
        <v>4965</v>
      </c>
      <c r="F5411" s="114" t="s">
        <v>5299</v>
      </c>
      <c r="G5411" s="114" t="s">
        <v>5293</v>
      </c>
      <c r="H5411" s="279">
        <v>0.32269999999999999</v>
      </c>
      <c r="J5411" s="2"/>
    </row>
    <row r="5412" spans="2:10" s="317" customFormat="1" hidden="1" outlineLevel="2">
      <c r="B5412" s="2" t="s">
        <v>833</v>
      </c>
      <c r="D5412" s="112">
        <v>2633</v>
      </c>
      <c r="E5412" s="112" t="s">
        <v>4965</v>
      </c>
      <c r="F5412" s="112" t="s">
        <v>5300</v>
      </c>
      <c r="G5412" s="112" t="s">
        <v>5293</v>
      </c>
      <c r="H5412" s="276">
        <v>0.32269999999999999</v>
      </c>
      <c r="J5412" s="2"/>
    </row>
    <row r="5413" spans="2:10" s="317" customFormat="1" hidden="1" outlineLevel="2">
      <c r="B5413" s="2" t="s">
        <v>833</v>
      </c>
      <c r="D5413" s="114">
        <v>2610</v>
      </c>
      <c r="E5413" s="114" t="s">
        <v>4965</v>
      </c>
      <c r="F5413" s="114" t="s">
        <v>5301</v>
      </c>
      <c r="G5413" s="114" t="s">
        <v>5293</v>
      </c>
      <c r="H5413" s="279">
        <v>0.32269999999999999</v>
      </c>
      <c r="J5413" s="2"/>
    </row>
    <row r="5414" spans="2:10" s="317" customFormat="1" hidden="1" outlineLevel="2">
      <c r="B5414" s="2" t="s">
        <v>833</v>
      </c>
      <c r="D5414" s="112">
        <v>2640</v>
      </c>
      <c r="E5414" s="112" t="s">
        <v>4965</v>
      </c>
      <c r="F5414" s="112" t="s">
        <v>5302</v>
      </c>
      <c r="G5414" s="112" t="s">
        <v>5293</v>
      </c>
      <c r="H5414" s="276">
        <v>0.32269999999999999</v>
      </c>
      <c r="J5414" s="2"/>
    </row>
    <row r="5415" spans="2:10" s="317" customFormat="1" hidden="1" outlineLevel="2">
      <c r="B5415" s="2" t="s">
        <v>833</v>
      </c>
      <c r="D5415" s="114">
        <v>2632</v>
      </c>
      <c r="E5415" s="114" t="s">
        <v>4965</v>
      </c>
      <c r="F5415" s="114" t="s">
        <v>5303</v>
      </c>
      <c r="G5415" s="114" t="s">
        <v>5293</v>
      </c>
      <c r="H5415" s="279">
        <v>0.32269999999999999</v>
      </c>
      <c r="J5415" s="2"/>
    </row>
    <row r="5416" spans="2:10" s="317" customFormat="1" hidden="1" outlineLevel="2">
      <c r="B5416" s="2" t="s">
        <v>833</v>
      </c>
      <c r="D5416" s="112">
        <v>2911</v>
      </c>
      <c r="E5416" s="112" t="s">
        <v>4967</v>
      </c>
      <c r="F5416" s="112" t="s">
        <v>5304</v>
      </c>
      <c r="G5416" s="112" t="s">
        <v>5305</v>
      </c>
      <c r="H5416" s="276">
        <v>0.27900000000000003</v>
      </c>
      <c r="J5416" s="2"/>
    </row>
    <row r="5417" spans="2:10" s="317" customFormat="1" hidden="1" outlineLevel="2">
      <c r="B5417" s="2" t="s">
        <v>833</v>
      </c>
      <c r="D5417" s="114">
        <v>2919</v>
      </c>
      <c r="E5417" s="114" t="s">
        <v>4967</v>
      </c>
      <c r="F5417" s="114" t="s">
        <v>5306</v>
      </c>
      <c r="G5417" s="114" t="s">
        <v>5305</v>
      </c>
      <c r="H5417" s="279">
        <v>0.27900000000000003</v>
      </c>
      <c r="J5417" s="2"/>
    </row>
    <row r="5418" spans="2:10" s="317" customFormat="1" hidden="1" outlineLevel="2">
      <c r="B5418" s="2" t="s">
        <v>833</v>
      </c>
      <c r="D5418" s="112">
        <v>2921</v>
      </c>
      <c r="E5418" s="112" t="s">
        <v>4967</v>
      </c>
      <c r="F5418" s="112" t="s">
        <v>5307</v>
      </c>
      <c r="G5418" s="112" t="s">
        <v>5305</v>
      </c>
      <c r="H5418" s="276">
        <v>0.27900000000000003</v>
      </c>
      <c r="J5418" s="2"/>
    </row>
    <row r="5419" spans="2:10" s="317" customFormat="1" hidden="1" outlineLevel="2">
      <c r="B5419" s="2" t="s">
        <v>833</v>
      </c>
      <c r="D5419" s="114">
        <v>2922</v>
      </c>
      <c r="E5419" s="114" t="s">
        <v>4967</v>
      </c>
      <c r="F5419" s="114" t="s">
        <v>5308</v>
      </c>
      <c r="G5419" s="114" t="s">
        <v>5305</v>
      </c>
      <c r="H5419" s="279">
        <v>0.27900000000000003</v>
      </c>
      <c r="J5419" s="2"/>
    </row>
    <row r="5420" spans="2:10" s="317" customFormat="1" hidden="1" outlineLevel="2">
      <c r="B5420" s="2" t="s">
        <v>833</v>
      </c>
      <c r="D5420" s="112">
        <v>2923</v>
      </c>
      <c r="E5420" s="112" t="s">
        <v>4967</v>
      </c>
      <c r="F5420" s="112" t="s">
        <v>5309</v>
      </c>
      <c r="G5420" s="112" t="s">
        <v>5305</v>
      </c>
      <c r="H5420" s="276">
        <v>0.27900000000000003</v>
      </c>
      <c r="J5420" s="2"/>
    </row>
    <row r="5421" spans="2:10" s="317" customFormat="1" hidden="1" outlineLevel="2">
      <c r="B5421" s="2" t="s">
        <v>833</v>
      </c>
      <c r="D5421" s="114">
        <v>2929</v>
      </c>
      <c r="E5421" s="114" t="s">
        <v>4967</v>
      </c>
      <c r="F5421" s="114" t="s">
        <v>5310</v>
      </c>
      <c r="G5421" s="114" t="s">
        <v>5305</v>
      </c>
      <c r="H5421" s="279">
        <v>0.27900000000000003</v>
      </c>
      <c r="J5421" s="2"/>
    </row>
    <row r="5422" spans="2:10" s="317" customFormat="1" hidden="1" outlineLevel="2">
      <c r="B5422" s="2" t="s">
        <v>833</v>
      </c>
      <c r="D5422" s="112">
        <v>2941</v>
      </c>
      <c r="E5422" s="112" t="s">
        <v>4967</v>
      </c>
      <c r="F5422" s="112" t="s">
        <v>5311</v>
      </c>
      <c r="G5422" s="112" t="s">
        <v>5305</v>
      </c>
      <c r="H5422" s="276">
        <v>0.27900000000000003</v>
      </c>
      <c r="J5422" s="2"/>
    </row>
    <row r="5423" spans="2:10" s="317" customFormat="1" hidden="1" outlineLevel="2">
      <c r="B5423" s="2" t="s">
        <v>833</v>
      </c>
      <c r="D5423" s="114">
        <v>2942</v>
      </c>
      <c r="E5423" s="114" t="s">
        <v>4967</v>
      </c>
      <c r="F5423" s="114" t="s">
        <v>5312</v>
      </c>
      <c r="G5423" s="114" t="s">
        <v>5305</v>
      </c>
      <c r="H5423" s="279">
        <v>0.27900000000000003</v>
      </c>
      <c r="J5423" s="2"/>
    </row>
    <row r="5424" spans="2:10" s="317" customFormat="1" hidden="1" outlineLevel="2">
      <c r="B5424" s="2" t="s">
        <v>833</v>
      </c>
      <c r="D5424" s="112">
        <v>2949</v>
      </c>
      <c r="E5424" s="112" t="s">
        <v>4967</v>
      </c>
      <c r="F5424" s="112" t="s">
        <v>5313</v>
      </c>
      <c r="G5424" s="112" t="s">
        <v>5305</v>
      </c>
      <c r="H5424" s="276">
        <v>0.27900000000000003</v>
      </c>
      <c r="J5424" s="2"/>
    </row>
    <row r="5425" spans="2:10" s="317" customFormat="1" hidden="1" outlineLevel="2">
      <c r="B5425" s="2" t="s">
        <v>833</v>
      </c>
      <c r="D5425" s="114">
        <v>2510</v>
      </c>
      <c r="E5425" s="114" t="s">
        <v>4969</v>
      </c>
      <c r="F5425" s="114" t="s">
        <v>5314</v>
      </c>
      <c r="G5425" s="114" t="s">
        <v>5315</v>
      </c>
      <c r="H5425" s="279">
        <v>0.32919999999999999</v>
      </c>
      <c r="J5425" s="2"/>
    </row>
    <row r="5426" spans="2:10" s="317" customFormat="1" hidden="1" outlineLevel="2">
      <c r="B5426" s="2" t="s">
        <v>833</v>
      </c>
      <c r="D5426" s="112">
        <v>2520</v>
      </c>
      <c r="E5426" s="112" t="s">
        <v>4969</v>
      </c>
      <c r="F5426" s="112" t="s">
        <v>5316</v>
      </c>
      <c r="G5426" s="112" t="s">
        <v>5315</v>
      </c>
      <c r="H5426" s="276">
        <v>0.32919999999999999</v>
      </c>
      <c r="J5426" s="2"/>
    </row>
    <row r="5427" spans="2:10" s="317" customFormat="1" hidden="1" outlineLevel="2">
      <c r="B5427" s="2" t="s">
        <v>833</v>
      </c>
      <c r="D5427" s="114">
        <v>2531</v>
      </c>
      <c r="E5427" s="114" t="s">
        <v>4969</v>
      </c>
      <c r="F5427" s="114" t="s">
        <v>5317</v>
      </c>
      <c r="G5427" s="114" t="s">
        <v>5315</v>
      </c>
      <c r="H5427" s="279">
        <v>0.32919999999999999</v>
      </c>
      <c r="J5427" s="2"/>
    </row>
    <row r="5428" spans="2:10" s="317" customFormat="1" hidden="1" outlineLevel="2">
      <c r="B5428" s="2" t="s">
        <v>833</v>
      </c>
      <c r="D5428" s="112">
        <v>2532</v>
      </c>
      <c r="E5428" s="112" t="s">
        <v>4969</v>
      </c>
      <c r="F5428" s="112" t="s">
        <v>5318</v>
      </c>
      <c r="G5428" s="112" t="s">
        <v>5315</v>
      </c>
      <c r="H5428" s="276">
        <v>0.32919999999999999</v>
      </c>
      <c r="J5428" s="2"/>
    </row>
    <row r="5429" spans="2:10" s="317" customFormat="1" hidden="1" outlineLevel="2">
      <c r="B5429" s="2" t="s">
        <v>833</v>
      </c>
      <c r="D5429" s="114">
        <v>2533</v>
      </c>
      <c r="E5429" s="114" t="s">
        <v>4969</v>
      </c>
      <c r="F5429" s="114" t="s">
        <v>5319</v>
      </c>
      <c r="G5429" s="114" t="s">
        <v>5315</v>
      </c>
      <c r="H5429" s="279">
        <v>0.32919999999999999</v>
      </c>
      <c r="J5429" s="2"/>
    </row>
    <row r="5430" spans="2:10" s="317" customFormat="1" hidden="1" outlineLevel="2">
      <c r="B5430" s="2" t="s">
        <v>833</v>
      </c>
      <c r="D5430" s="112">
        <v>2534</v>
      </c>
      <c r="E5430" s="112" t="s">
        <v>4969</v>
      </c>
      <c r="F5430" s="112" t="s">
        <v>5320</v>
      </c>
      <c r="G5430" s="112" t="s">
        <v>5315</v>
      </c>
      <c r="H5430" s="276">
        <v>0.32919999999999999</v>
      </c>
      <c r="J5430" s="2"/>
    </row>
    <row r="5431" spans="2:10" s="317" customFormat="1" hidden="1" outlineLevel="2">
      <c r="B5431" s="2" t="s">
        <v>833</v>
      </c>
      <c r="D5431" s="114">
        <v>2535</v>
      </c>
      <c r="E5431" s="114" t="s">
        <v>4969</v>
      </c>
      <c r="F5431" s="114" t="s">
        <v>5321</v>
      </c>
      <c r="G5431" s="114" t="s">
        <v>5315</v>
      </c>
      <c r="H5431" s="279">
        <v>0.32919999999999999</v>
      </c>
      <c r="J5431" s="2"/>
    </row>
    <row r="5432" spans="2:10" s="317" customFormat="1" hidden="1" outlineLevel="2">
      <c r="B5432" s="2" t="s">
        <v>833</v>
      </c>
      <c r="D5432" s="112">
        <v>2541</v>
      </c>
      <c r="E5432" s="112" t="s">
        <v>4969</v>
      </c>
      <c r="F5432" s="112" t="s">
        <v>5322</v>
      </c>
      <c r="G5432" s="112" t="s">
        <v>5315</v>
      </c>
      <c r="H5432" s="276">
        <v>0.32919999999999999</v>
      </c>
      <c r="J5432" s="2"/>
    </row>
    <row r="5433" spans="2:10" s="317" customFormat="1" hidden="1" outlineLevel="2">
      <c r="B5433" s="2" t="s">
        <v>833</v>
      </c>
      <c r="D5433" s="114">
        <v>2542</v>
      </c>
      <c r="E5433" s="114" t="s">
        <v>4969</v>
      </c>
      <c r="F5433" s="114" t="s">
        <v>5323</v>
      </c>
      <c r="G5433" s="114" t="s">
        <v>5315</v>
      </c>
      <c r="H5433" s="279">
        <v>0.32919999999999999</v>
      </c>
      <c r="J5433" s="2"/>
    </row>
    <row r="5434" spans="2:10" s="317" customFormat="1" hidden="1" outlineLevel="2">
      <c r="B5434" s="2" t="s">
        <v>833</v>
      </c>
      <c r="D5434" s="112">
        <v>2543</v>
      </c>
      <c r="E5434" s="112" t="s">
        <v>4969</v>
      </c>
      <c r="F5434" s="112" t="s">
        <v>5324</v>
      </c>
      <c r="G5434" s="112" t="s">
        <v>5315</v>
      </c>
      <c r="H5434" s="276">
        <v>0.32919999999999999</v>
      </c>
      <c r="J5434" s="2"/>
    </row>
    <row r="5435" spans="2:10" s="317" customFormat="1" hidden="1" outlineLevel="2">
      <c r="B5435" s="2" t="s">
        <v>833</v>
      </c>
      <c r="D5435" s="114">
        <v>2544</v>
      </c>
      <c r="E5435" s="114" t="s">
        <v>4969</v>
      </c>
      <c r="F5435" s="114" t="s">
        <v>5325</v>
      </c>
      <c r="G5435" s="114" t="s">
        <v>5315</v>
      </c>
      <c r="H5435" s="279">
        <v>0.32919999999999999</v>
      </c>
      <c r="J5435" s="2"/>
    </row>
    <row r="5436" spans="2:10" s="317" customFormat="1" hidden="1" outlineLevel="2">
      <c r="B5436" s="2" t="s">
        <v>833</v>
      </c>
      <c r="D5436" s="112">
        <v>2545</v>
      </c>
      <c r="E5436" s="112" t="s">
        <v>4969</v>
      </c>
      <c r="F5436" s="112" t="s">
        <v>5326</v>
      </c>
      <c r="G5436" s="112" t="s">
        <v>5315</v>
      </c>
      <c r="H5436" s="276">
        <v>0.32919999999999999</v>
      </c>
      <c r="J5436" s="2"/>
    </row>
    <row r="5437" spans="2:10" s="317" customFormat="1" hidden="1" outlineLevel="2">
      <c r="B5437" s="2" t="s">
        <v>833</v>
      </c>
      <c r="D5437" s="114">
        <v>2546</v>
      </c>
      <c r="E5437" s="114" t="s">
        <v>4969</v>
      </c>
      <c r="F5437" s="114" t="s">
        <v>5327</v>
      </c>
      <c r="G5437" s="114" t="s">
        <v>5315</v>
      </c>
      <c r="H5437" s="279">
        <v>0.32919999999999999</v>
      </c>
      <c r="J5437" s="2"/>
    </row>
    <row r="5438" spans="2:10" s="317" customFormat="1" hidden="1" outlineLevel="2">
      <c r="B5438" s="2" t="s">
        <v>833</v>
      </c>
      <c r="D5438" s="112">
        <v>2547</v>
      </c>
      <c r="E5438" s="112" t="s">
        <v>4969</v>
      </c>
      <c r="F5438" s="112" t="s">
        <v>5328</v>
      </c>
      <c r="G5438" s="112" t="s">
        <v>5315</v>
      </c>
      <c r="H5438" s="276">
        <v>0.32919999999999999</v>
      </c>
      <c r="J5438" s="2"/>
    </row>
    <row r="5439" spans="2:10" s="317" customFormat="1" hidden="1" outlineLevel="2">
      <c r="B5439" s="2" t="s">
        <v>833</v>
      </c>
      <c r="D5439" s="114">
        <v>2549</v>
      </c>
      <c r="E5439" s="114" t="s">
        <v>4969</v>
      </c>
      <c r="F5439" s="114" t="s">
        <v>5329</v>
      </c>
      <c r="G5439" s="114" t="s">
        <v>5315</v>
      </c>
      <c r="H5439" s="279">
        <v>0.32919999999999999</v>
      </c>
      <c r="J5439" s="2"/>
    </row>
    <row r="5440" spans="2:10" s="317" customFormat="1" hidden="1" outlineLevel="2">
      <c r="B5440" s="2" t="s">
        <v>833</v>
      </c>
      <c r="D5440" s="112">
        <v>2551</v>
      </c>
      <c r="E5440" s="112" t="s">
        <v>4969</v>
      </c>
      <c r="F5440" s="112" t="s">
        <v>5330</v>
      </c>
      <c r="G5440" s="112" t="s">
        <v>5315</v>
      </c>
      <c r="H5440" s="276">
        <v>0.32919999999999999</v>
      </c>
      <c r="J5440" s="2"/>
    </row>
    <row r="5441" spans="2:10" s="317" customFormat="1" hidden="1" outlineLevel="2">
      <c r="B5441" s="2" t="s">
        <v>833</v>
      </c>
      <c r="D5441" s="114">
        <v>2559</v>
      </c>
      <c r="E5441" s="114" t="s">
        <v>4969</v>
      </c>
      <c r="F5441" s="114" t="s">
        <v>5331</v>
      </c>
      <c r="G5441" s="114" t="s">
        <v>5315</v>
      </c>
      <c r="H5441" s="279">
        <v>0.32919999999999999</v>
      </c>
      <c r="J5441" s="2"/>
    </row>
    <row r="5442" spans="2:10" s="317" customFormat="1" hidden="1" outlineLevel="2">
      <c r="B5442" s="2" t="s">
        <v>833</v>
      </c>
      <c r="D5442" s="112">
        <v>2561</v>
      </c>
      <c r="E5442" s="112" t="s">
        <v>4969</v>
      </c>
      <c r="F5442" s="112" t="s">
        <v>5332</v>
      </c>
      <c r="G5442" s="112" t="s">
        <v>5315</v>
      </c>
      <c r="H5442" s="276">
        <v>0.32919999999999999</v>
      </c>
      <c r="J5442" s="2"/>
    </row>
    <row r="5443" spans="2:10" s="317" customFormat="1" hidden="1" outlineLevel="2">
      <c r="B5443" s="2" t="s">
        <v>833</v>
      </c>
      <c r="D5443" s="114">
        <v>2562</v>
      </c>
      <c r="E5443" s="114" t="s">
        <v>4969</v>
      </c>
      <c r="F5443" s="114" t="s">
        <v>5333</v>
      </c>
      <c r="G5443" s="114" t="s">
        <v>5315</v>
      </c>
      <c r="H5443" s="279">
        <v>0.32919999999999999</v>
      </c>
      <c r="J5443" s="2"/>
    </row>
    <row r="5444" spans="2:10" s="317" customFormat="1" hidden="1" outlineLevel="2">
      <c r="B5444" s="2" t="s">
        <v>833</v>
      </c>
      <c r="D5444" s="112">
        <v>2563</v>
      </c>
      <c r="E5444" s="112" t="s">
        <v>4969</v>
      </c>
      <c r="F5444" s="112" t="s">
        <v>5334</v>
      </c>
      <c r="G5444" s="112" t="s">
        <v>5315</v>
      </c>
      <c r="H5444" s="276">
        <v>0.32919999999999999</v>
      </c>
      <c r="J5444" s="2"/>
    </row>
    <row r="5445" spans="2:10" s="317" customFormat="1" hidden="1" outlineLevel="2">
      <c r="B5445" s="2" t="s">
        <v>833</v>
      </c>
      <c r="D5445" s="114">
        <v>2564</v>
      </c>
      <c r="E5445" s="114" t="s">
        <v>4969</v>
      </c>
      <c r="F5445" s="114" t="s">
        <v>5335</v>
      </c>
      <c r="G5445" s="114" t="s">
        <v>5315</v>
      </c>
      <c r="H5445" s="279">
        <v>0.32919999999999999</v>
      </c>
      <c r="J5445" s="2"/>
    </row>
    <row r="5446" spans="2:10" s="317" customFormat="1" hidden="1" outlineLevel="2">
      <c r="B5446" s="2" t="s">
        <v>833</v>
      </c>
      <c r="D5446" s="112">
        <v>2565</v>
      </c>
      <c r="E5446" s="112" t="s">
        <v>4969</v>
      </c>
      <c r="F5446" s="112" t="s">
        <v>5336</v>
      </c>
      <c r="G5446" s="112" t="s">
        <v>5315</v>
      </c>
      <c r="H5446" s="276">
        <v>0.32919999999999999</v>
      </c>
      <c r="J5446" s="2"/>
    </row>
    <row r="5447" spans="2:10" s="317" customFormat="1" hidden="1" outlineLevel="2">
      <c r="B5447" s="2" t="s">
        <v>833</v>
      </c>
      <c r="D5447" s="114">
        <v>2566</v>
      </c>
      <c r="E5447" s="114" t="s">
        <v>4969</v>
      </c>
      <c r="F5447" s="114" t="s">
        <v>5337</v>
      </c>
      <c r="G5447" s="114" t="s">
        <v>5315</v>
      </c>
      <c r="H5447" s="279">
        <v>0.32919999999999999</v>
      </c>
      <c r="J5447" s="2"/>
    </row>
    <row r="5448" spans="2:10" s="317" customFormat="1" hidden="1" outlineLevel="2">
      <c r="B5448" s="2" t="s">
        <v>833</v>
      </c>
      <c r="D5448" s="112">
        <v>2411</v>
      </c>
      <c r="E5448" s="112" t="s">
        <v>4971</v>
      </c>
      <c r="F5448" s="112" t="s">
        <v>5338</v>
      </c>
      <c r="G5448" s="112" t="s">
        <v>5339</v>
      </c>
      <c r="H5448" s="276">
        <v>0.2039</v>
      </c>
      <c r="J5448" s="2"/>
    </row>
    <row r="5449" spans="2:10" s="317" customFormat="1" hidden="1" outlineLevel="2">
      <c r="B5449" s="2" t="s">
        <v>833</v>
      </c>
      <c r="D5449" s="114">
        <v>2412</v>
      </c>
      <c r="E5449" s="114" t="s">
        <v>4971</v>
      </c>
      <c r="F5449" s="114" t="s">
        <v>5340</v>
      </c>
      <c r="G5449" s="114" t="s">
        <v>5339</v>
      </c>
      <c r="H5449" s="279">
        <v>0.2039</v>
      </c>
      <c r="J5449" s="2"/>
    </row>
    <row r="5450" spans="2:10" s="317" customFormat="1" hidden="1" outlineLevel="2">
      <c r="B5450" s="2" t="s">
        <v>833</v>
      </c>
      <c r="D5450" s="112">
        <v>2413</v>
      </c>
      <c r="E5450" s="112" t="s">
        <v>4971</v>
      </c>
      <c r="F5450" s="112" t="s">
        <v>5341</v>
      </c>
      <c r="G5450" s="112" t="s">
        <v>5339</v>
      </c>
      <c r="H5450" s="276">
        <v>0.2039</v>
      </c>
      <c r="J5450" s="2"/>
    </row>
    <row r="5451" spans="2:10" s="317" customFormat="1" hidden="1" outlineLevel="2">
      <c r="B5451" s="2" t="s">
        <v>833</v>
      </c>
      <c r="D5451" s="114">
        <v>2421</v>
      </c>
      <c r="E5451" s="114" t="s">
        <v>4971</v>
      </c>
      <c r="F5451" s="114" t="s">
        <v>5342</v>
      </c>
      <c r="G5451" s="114" t="s">
        <v>5339</v>
      </c>
      <c r="H5451" s="279">
        <v>0.2039</v>
      </c>
      <c r="J5451" s="2"/>
    </row>
    <row r="5452" spans="2:10" s="317" customFormat="1" hidden="1" outlineLevel="2">
      <c r="B5452" s="2" t="s">
        <v>833</v>
      </c>
      <c r="D5452" s="112">
        <v>2422</v>
      </c>
      <c r="E5452" s="112" t="s">
        <v>4971</v>
      </c>
      <c r="F5452" s="112" t="s">
        <v>5343</v>
      </c>
      <c r="G5452" s="112" t="s">
        <v>5339</v>
      </c>
      <c r="H5452" s="276">
        <v>0.2039</v>
      </c>
      <c r="J5452" s="2"/>
    </row>
    <row r="5453" spans="2:10" s="317" customFormat="1" hidden="1" outlineLevel="2">
      <c r="B5453" s="2" t="s">
        <v>833</v>
      </c>
      <c r="D5453" s="114">
        <v>2423</v>
      </c>
      <c r="E5453" s="114" t="s">
        <v>4971</v>
      </c>
      <c r="F5453" s="114" t="s">
        <v>5344</v>
      </c>
      <c r="G5453" s="114" t="s">
        <v>5339</v>
      </c>
      <c r="H5453" s="279">
        <v>0.2039</v>
      </c>
      <c r="J5453" s="2"/>
    </row>
    <row r="5454" spans="2:10" s="317" customFormat="1" hidden="1" outlineLevel="2">
      <c r="B5454" s="2" t="s">
        <v>833</v>
      </c>
      <c r="D5454" s="112">
        <v>2430</v>
      </c>
      <c r="E5454" s="112" t="s">
        <v>4971</v>
      </c>
      <c r="F5454" s="112" t="s">
        <v>5345</v>
      </c>
      <c r="G5454" s="112" t="s">
        <v>5339</v>
      </c>
      <c r="H5454" s="276">
        <v>0.2039</v>
      </c>
      <c r="J5454" s="2"/>
    </row>
    <row r="5455" spans="2:10" s="317" customFormat="1" hidden="1" outlineLevel="2">
      <c r="B5455" s="2" t="s">
        <v>833</v>
      </c>
      <c r="D5455" s="114">
        <v>2232</v>
      </c>
      <c r="E5455" s="114" t="s">
        <v>4973</v>
      </c>
      <c r="F5455" s="114" t="s">
        <v>5346</v>
      </c>
      <c r="G5455" s="114" t="s">
        <v>5347</v>
      </c>
      <c r="H5455" s="279">
        <v>0.21279999999999999</v>
      </c>
      <c r="J5455" s="2"/>
    </row>
    <row r="5456" spans="2:10" s="317" customFormat="1" hidden="1" outlineLevel="2">
      <c r="B5456" s="2" t="s">
        <v>833</v>
      </c>
      <c r="D5456" s="112">
        <v>2249</v>
      </c>
      <c r="E5456" s="112" t="s">
        <v>4973</v>
      </c>
      <c r="F5456" s="112" t="s">
        <v>5348</v>
      </c>
      <c r="G5456" s="112" t="s">
        <v>5347</v>
      </c>
      <c r="H5456" s="276">
        <v>0.21279999999999999</v>
      </c>
      <c r="J5456" s="2"/>
    </row>
    <row r="5457" spans="2:10" s="317" customFormat="1" hidden="1" outlineLevel="2">
      <c r="B5457" s="2" t="s">
        <v>833</v>
      </c>
      <c r="D5457" s="114">
        <v>2213</v>
      </c>
      <c r="E5457" s="114" t="s">
        <v>4973</v>
      </c>
      <c r="F5457" s="114" t="s">
        <v>5349</v>
      </c>
      <c r="G5457" s="114" t="s">
        <v>5347</v>
      </c>
      <c r="H5457" s="279">
        <v>0.21279999999999999</v>
      </c>
      <c r="J5457" s="2"/>
    </row>
    <row r="5458" spans="2:10" s="317" customFormat="1" hidden="1" outlineLevel="2">
      <c r="B5458" s="2" t="s">
        <v>833</v>
      </c>
      <c r="D5458" s="112">
        <v>2250</v>
      </c>
      <c r="E5458" s="112" t="s">
        <v>4973</v>
      </c>
      <c r="F5458" s="112" t="s">
        <v>5350</v>
      </c>
      <c r="G5458" s="112" t="s">
        <v>5347</v>
      </c>
      <c r="H5458" s="276">
        <v>0.21279999999999999</v>
      </c>
      <c r="J5458" s="2"/>
    </row>
    <row r="5459" spans="2:10" s="317" customFormat="1" hidden="1" outlineLevel="2">
      <c r="B5459" s="2" t="s">
        <v>833</v>
      </c>
      <c r="D5459" s="114">
        <v>2231</v>
      </c>
      <c r="E5459" s="114" t="s">
        <v>4973</v>
      </c>
      <c r="F5459" s="114" t="s">
        <v>5351</v>
      </c>
      <c r="G5459" s="114" t="s">
        <v>5347</v>
      </c>
      <c r="H5459" s="279">
        <v>0.21279999999999999</v>
      </c>
      <c r="J5459" s="2"/>
    </row>
    <row r="5460" spans="2:10" s="317" customFormat="1" hidden="1" outlineLevel="2">
      <c r="B5460" s="2" t="s">
        <v>833</v>
      </c>
      <c r="D5460" s="112">
        <v>2239</v>
      </c>
      <c r="E5460" s="112" t="s">
        <v>4973</v>
      </c>
      <c r="F5460" s="112" t="s">
        <v>5352</v>
      </c>
      <c r="G5460" s="112" t="s">
        <v>5347</v>
      </c>
      <c r="H5460" s="276">
        <v>0.21279999999999999</v>
      </c>
      <c r="J5460" s="2"/>
    </row>
    <row r="5461" spans="2:10" s="317" customFormat="1" hidden="1" outlineLevel="2">
      <c r="B5461" s="2" t="s">
        <v>833</v>
      </c>
      <c r="D5461" s="114">
        <v>2262</v>
      </c>
      <c r="E5461" s="114" t="s">
        <v>4973</v>
      </c>
      <c r="F5461" s="114" t="s">
        <v>5353</v>
      </c>
      <c r="G5461" s="114" t="s">
        <v>5347</v>
      </c>
      <c r="H5461" s="279">
        <v>0.21279999999999999</v>
      </c>
      <c r="J5461" s="2"/>
    </row>
    <row r="5462" spans="2:10" s="317" customFormat="1" hidden="1" outlineLevel="2">
      <c r="B5462" s="2" t="s">
        <v>833</v>
      </c>
      <c r="D5462" s="112">
        <v>2261</v>
      </c>
      <c r="E5462" s="112" t="s">
        <v>4973</v>
      </c>
      <c r="F5462" s="112" t="s">
        <v>5354</v>
      </c>
      <c r="G5462" s="112" t="s">
        <v>5347</v>
      </c>
      <c r="H5462" s="276">
        <v>0.21279999999999999</v>
      </c>
      <c r="J5462" s="2"/>
    </row>
    <row r="5463" spans="2:10" s="317" customFormat="1" hidden="1" outlineLevel="2">
      <c r="B5463" s="2" t="s">
        <v>833</v>
      </c>
      <c r="D5463" s="114">
        <v>2221</v>
      </c>
      <c r="E5463" s="114" t="s">
        <v>4973</v>
      </c>
      <c r="F5463" s="114" t="s">
        <v>5355</v>
      </c>
      <c r="G5463" s="114" t="s">
        <v>5347</v>
      </c>
      <c r="H5463" s="279">
        <v>0.21279999999999999</v>
      </c>
      <c r="J5463" s="2"/>
    </row>
    <row r="5464" spans="2:10" s="317" customFormat="1" hidden="1" outlineLevel="2">
      <c r="B5464" s="2" t="s">
        <v>833</v>
      </c>
      <c r="D5464" s="112">
        <v>2241</v>
      </c>
      <c r="E5464" s="112" t="s">
        <v>4973</v>
      </c>
      <c r="F5464" s="112" t="s">
        <v>5356</v>
      </c>
      <c r="G5464" s="112" t="s">
        <v>5347</v>
      </c>
      <c r="H5464" s="276">
        <v>0.21279999999999999</v>
      </c>
      <c r="J5464" s="2"/>
    </row>
    <row r="5465" spans="2:10" s="317" customFormat="1" hidden="1" outlineLevel="2">
      <c r="B5465" s="2" t="s">
        <v>833</v>
      </c>
      <c r="D5465" s="114">
        <v>2223</v>
      </c>
      <c r="E5465" s="114" t="s">
        <v>4973</v>
      </c>
      <c r="F5465" s="114" t="s">
        <v>5357</v>
      </c>
      <c r="G5465" s="114" t="s">
        <v>5347</v>
      </c>
      <c r="H5465" s="279">
        <v>0.21279999999999999</v>
      </c>
      <c r="J5465" s="2"/>
    </row>
    <row r="5466" spans="2:10" s="317" customFormat="1" hidden="1" outlineLevel="2">
      <c r="B5466" s="2" t="s">
        <v>833</v>
      </c>
      <c r="D5466" s="112">
        <v>2243</v>
      </c>
      <c r="E5466" s="112" t="s">
        <v>4973</v>
      </c>
      <c r="F5466" s="112" t="s">
        <v>5358</v>
      </c>
      <c r="G5466" s="112" t="s">
        <v>5347</v>
      </c>
      <c r="H5466" s="276">
        <v>0.21279999999999999</v>
      </c>
      <c r="J5466" s="2"/>
    </row>
    <row r="5467" spans="2:10" s="317" customFormat="1" hidden="1" outlineLevel="2">
      <c r="B5467" s="2" t="s">
        <v>833</v>
      </c>
      <c r="D5467" s="114">
        <v>2212</v>
      </c>
      <c r="E5467" s="114" t="s">
        <v>4973</v>
      </c>
      <c r="F5467" s="114" t="s">
        <v>5359</v>
      </c>
      <c r="G5467" s="114" t="s">
        <v>5347</v>
      </c>
      <c r="H5467" s="279">
        <v>0.21279999999999999</v>
      </c>
      <c r="J5467" s="2"/>
    </row>
    <row r="5468" spans="2:10" s="317" customFormat="1" hidden="1" outlineLevel="2">
      <c r="B5468" s="2" t="s">
        <v>833</v>
      </c>
      <c r="D5468" s="112">
        <v>2215</v>
      </c>
      <c r="E5468" s="112" t="s">
        <v>4973</v>
      </c>
      <c r="F5468" s="112" t="s">
        <v>5360</v>
      </c>
      <c r="G5468" s="112" t="s">
        <v>5347</v>
      </c>
      <c r="H5468" s="276">
        <v>0.21279999999999999</v>
      </c>
      <c r="J5468" s="2"/>
    </row>
    <row r="5469" spans="2:10" s="317" customFormat="1" hidden="1" outlineLevel="2">
      <c r="B5469" s="2" t="s">
        <v>833</v>
      </c>
      <c r="D5469" s="114">
        <v>2222</v>
      </c>
      <c r="E5469" s="114" t="s">
        <v>4973</v>
      </c>
      <c r="F5469" s="114" t="s">
        <v>5361</v>
      </c>
      <c r="G5469" s="114" t="s">
        <v>5347</v>
      </c>
      <c r="H5469" s="279">
        <v>0.21279999999999999</v>
      </c>
      <c r="J5469" s="2"/>
    </row>
    <row r="5470" spans="2:10" s="317" customFormat="1" hidden="1" outlineLevel="2">
      <c r="B5470" s="2" t="s">
        <v>833</v>
      </c>
      <c r="D5470" s="112">
        <v>2229</v>
      </c>
      <c r="E5470" s="112" t="s">
        <v>4973</v>
      </c>
      <c r="F5470" s="112" t="s">
        <v>5362</v>
      </c>
      <c r="G5470" s="112" t="s">
        <v>5347</v>
      </c>
      <c r="H5470" s="276">
        <v>0.21279999999999999</v>
      </c>
      <c r="J5470" s="2"/>
    </row>
    <row r="5471" spans="2:10" s="317" customFormat="1" hidden="1" outlineLevel="2">
      <c r="B5471" s="2" t="s">
        <v>833</v>
      </c>
      <c r="D5471" s="114">
        <v>2242</v>
      </c>
      <c r="E5471" s="114" t="s">
        <v>4973</v>
      </c>
      <c r="F5471" s="114" t="s">
        <v>5363</v>
      </c>
      <c r="G5471" s="114" t="s">
        <v>5347</v>
      </c>
      <c r="H5471" s="279">
        <v>0.21279999999999999</v>
      </c>
      <c r="J5471" s="2"/>
    </row>
    <row r="5472" spans="2:10" s="317" customFormat="1" hidden="1" outlineLevel="2">
      <c r="B5472" s="2" t="s">
        <v>833</v>
      </c>
      <c r="D5472" s="112">
        <v>2211</v>
      </c>
      <c r="E5472" s="112" t="s">
        <v>4973</v>
      </c>
      <c r="F5472" s="112" t="s">
        <v>5364</v>
      </c>
      <c r="G5472" s="112" t="s">
        <v>5347</v>
      </c>
      <c r="H5472" s="276">
        <v>0.21279999999999999</v>
      </c>
      <c r="J5472" s="2"/>
    </row>
    <row r="5473" spans="2:10" s="317" customFormat="1" hidden="1" outlineLevel="2">
      <c r="B5473" s="2" t="s">
        <v>833</v>
      </c>
      <c r="D5473" s="114">
        <v>2214</v>
      </c>
      <c r="E5473" s="114" t="s">
        <v>4973</v>
      </c>
      <c r="F5473" s="114" t="s">
        <v>5365</v>
      </c>
      <c r="G5473" s="114" t="s">
        <v>5347</v>
      </c>
      <c r="H5473" s="279">
        <v>0.21279999999999999</v>
      </c>
      <c r="J5473" s="2"/>
    </row>
    <row r="5474" spans="2:10" s="317" customFormat="1" hidden="1" outlineLevel="2">
      <c r="B5474" s="2" t="s">
        <v>833</v>
      </c>
      <c r="D5474" s="112">
        <v>2333</v>
      </c>
      <c r="E5474" s="112" t="s">
        <v>4975</v>
      </c>
      <c r="F5474" s="112" t="s">
        <v>5366</v>
      </c>
      <c r="G5474" s="112" t="s">
        <v>5367</v>
      </c>
      <c r="H5474" s="276">
        <v>0.23519999999999999</v>
      </c>
      <c r="J5474" s="2"/>
    </row>
    <row r="5475" spans="2:10" s="317" customFormat="1" hidden="1" outlineLevel="2">
      <c r="B5475" s="2" t="s">
        <v>833</v>
      </c>
      <c r="D5475" s="114">
        <v>2322</v>
      </c>
      <c r="E5475" s="114" t="s">
        <v>4975</v>
      </c>
      <c r="F5475" s="114" t="s">
        <v>5368</v>
      </c>
      <c r="G5475" s="114" t="s">
        <v>5367</v>
      </c>
      <c r="H5475" s="279">
        <v>0.23519999999999999</v>
      </c>
      <c r="J5475" s="2"/>
    </row>
    <row r="5476" spans="2:10" s="317" customFormat="1" hidden="1" outlineLevel="2">
      <c r="B5476" s="2" t="s">
        <v>833</v>
      </c>
      <c r="D5476" s="112">
        <v>2311</v>
      </c>
      <c r="E5476" s="112" t="s">
        <v>4975</v>
      </c>
      <c r="F5476" s="112" t="s">
        <v>5369</v>
      </c>
      <c r="G5476" s="112" t="s">
        <v>5367</v>
      </c>
      <c r="H5476" s="276">
        <v>0.23519999999999999</v>
      </c>
      <c r="J5476" s="2"/>
    </row>
    <row r="5477" spans="2:10" s="317" customFormat="1" hidden="1" outlineLevel="2">
      <c r="B5477" s="2" t="s">
        <v>833</v>
      </c>
      <c r="D5477" s="114">
        <v>2334</v>
      </c>
      <c r="E5477" s="114" t="s">
        <v>4975</v>
      </c>
      <c r="F5477" s="114" t="s">
        <v>5370</v>
      </c>
      <c r="G5477" s="114" t="s">
        <v>5367</v>
      </c>
      <c r="H5477" s="279">
        <v>0.23519999999999999</v>
      </c>
      <c r="J5477" s="2"/>
    </row>
    <row r="5478" spans="2:10" s="317" customFormat="1" hidden="1" outlineLevel="2">
      <c r="B5478" s="2" t="s">
        <v>833</v>
      </c>
      <c r="D5478" s="112">
        <v>2339</v>
      </c>
      <c r="E5478" s="112" t="s">
        <v>4975</v>
      </c>
      <c r="F5478" s="112" t="s">
        <v>5371</v>
      </c>
      <c r="G5478" s="112" t="s">
        <v>5367</v>
      </c>
      <c r="H5478" s="276">
        <v>0.23519999999999999</v>
      </c>
      <c r="J5478" s="2"/>
    </row>
    <row r="5479" spans="2:10" s="317" customFormat="1" hidden="1" outlineLevel="2">
      <c r="B5479" s="2" t="s">
        <v>833</v>
      </c>
      <c r="D5479" s="114">
        <v>2321</v>
      </c>
      <c r="E5479" s="114" t="s">
        <v>4975</v>
      </c>
      <c r="F5479" s="114" t="s">
        <v>5372</v>
      </c>
      <c r="G5479" s="114" t="s">
        <v>5367</v>
      </c>
      <c r="H5479" s="279">
        <v>0.23519999999999999</v>
      </c>
      <c r="J5479" s="2"/>
    </row>
    <row r="5480" spans="2:10" s="317" customFormat="1" hidden="1" outlineLevel="2">
      <c r="B5480" s="2" t="s">
        <v>833</v>
      </c>
      <c r="D5480" s="112">
        <v>2331</v>
      </c>
      <c r="E5480" s="112" t="s">
        <v>4975</v>
      </c>
      <c r="F5480" s="112" t="s">
        <v>5373</v>
      </c>
      <c r="G5480" s="112" t="s">
        <v>5367</v>
      </c>
      <c r="H5480" s="276">
        <v>0.23519999999999999</v>
      </c>
      <c r="J5480" s="2"/>
    </row>
    <row r="5481" spans="2:10" s="317" customFormat="1" hidden="1" outlineLevel="2">
      <c r="B5481" s="2" t="s">
        <v>833</v>
      </c>
      <c r="D5481" s="114">
        <v>2332</v>
      </c>
      <c r="E5481" s="114" t="s">
        <v>4975</v>
      </c>
      <c r="F5481" s="114" t="s">
        <v>5374</v>
      </c>
      <c r="G5481" s="114" t="s">
        <v>5367</v>
      </c>
      <c r="H5481" s="279">
        <v>0.23519999999999999</v>
      </c>
      <c r="J5481" s="2"/>
    </row>
    <row r="5482" spans="2:10" s="317" customFormat="1" hidden="1" outlineLevel="2">
      <c r="B5482" s="2" t="s">
        <v>833</v>
      </c>
      <c r="D5482" s="112">
        <v>2313</v>
      </c>
      <c r="E5482" s="112" t="s">
        <v>4975</v>
      </c>
      <c r="F5482" s="112" t="s">
        <v>5375</v>
      </c>
      <c r="G5482" s="112" t="s">
        <v>5367</v>
      </c>
      <c r="H5482" s="276">
        <v>0.23519999999999999</v>
      </c>
      <c r="J5482" s="2"/>
    </row>
    <row r="5483" spans="2:10" s="317" customFormat="1" hidden="1" outlineLevel="2">
      <c r="B5483" s="2" t="s">
        <v>833</v>
      </c>
      <c r="D5483" s="114">
        <v>2312</v>
      </c>
      <c r="E5483" s="114" t="s">
        <v>4975</v>
      </c>
      <c r="F5483" s="114" t="s">
        <v>5376</v>
      </c>
      <c r="G5483" s="114" t="s">
        <v>5367</v>
      </c>
      <c r="H5483" s="279">
        <v>0.23519999999999999</v>
      </c>
      <c r="J5483" s="2"/>
    </row>
    <row r="5484" spans="2:10" s="317" customFormat="1" hidden="1" outlineLevel="2">
      <c r="B5484" s="2" t="s">
        <v>833</v>
      </c>
      <c r="D5484" s="112">
        <v>2329</v>
      </c>
      <c r="E5484" s="112" t="s">
        <v>4975</v>
      </c>
      <c r="F5484" s="112" t="s">
        <v>5377</v>
      </c>
      <c r="G5484" s="112" t="s">
        <v>5367</v>
      </c>
      <c r="H5484" s="276">
        <v>0.23519999999999999</v>
      </c>
      <c r="J5484" s="2"/>
    </row>
    <row r="5485" spans="2:10" s="317" customFormat="1" hidden="1" outlineLevel="2">
      <c r="B5485" s="2" t="s">
        <v>833</v>
      </c>
      <c r="D5485" s="114">
        <v>2323</v>
      </c>
      <c r="E5485" s="114" t="s">
        <v>4975</v>
      </c>
      <c r="F5485" s="114" t="s">
        <v>5378</v>
      </c>
      <c r="G5485" s="114" t="s">
        <v>5367</v>
      </c>
      <c r="H5485" s="279">
        <v>0.23519999999999999</v>
      </c>
      <c r="J5485" s="2"/>
    </row>
    <row r="5486" spans="2:10" s="317" customFormat="1" hidden="1" outlineLevel="2">
      <c r="B5486" s="2" t="s">
        <v>833</v>
      </c>
      <c r="D5486" s="112">
        <v>1312</v>
      </c>
      <c r="E5486" s="112" t="s">
        <v>4977</v>
      </c>
      <c r="F5486" s="112" t="s">
        <v>5379</v>
      </c>
      <c r="G5486" s="112" t="s">
        <v>5380</v>
      </c>
      <c r="H5486" s="276">
        <v>0.46050000000000002</v>
      </c>
      <c r="J5486" s="2"/>
    </row>
    <row r="5487" spans="2:10" s="317" customFormat="1" hidden="1" outlineLevel="2">
      <c r="B5487" s="2" t="s">
        <v>833</v>
      </c>
      <c r="D5487" s="114">
        <v>1101</v>
      </c>
      <c r="E5487" s="114" t="s">
        <v>4977</v>
      </c>
      <c r="F5487" s="114" t="s">
        <v>5381</v>
      </c>
      <c r="G5487" s="114" t="s">
        <v>5380</v>
      </c>
      <c r="H5487" s="279">
        <v>0.46050000000000002</v>
      </c>
      <c r="J5487" s="2"/>
    </row>
    <row r="5488" spans="2:10" s="317" customFormat="1" hidden="1" outlineLevel="2">
      <c r="B5488" s="2" t="s">
        <v>833</v>
      </c>
      <c r="D5488" s="112">
        <v>1102</v>
      </c>
      <c r="E5488" s="112" t="s">
        <v>4977</v>
      </c>
      <c r="F5488" s="112" t="s">
        <v>5382</v>
      </c>
      <c r="G5488" s="112" t="s">
        <v>5380</v>
      </c>
      <c r="H5488" s="276">
        <v>0.46050000000000002</v>
      </c>
      <c r="J5488" s="2"/>
    </row>
    <row r="5489" spans="2:10" s="317" customFormat="1" hidden="1" outlineLevel="2">
      <c r="B5489" s="2" t="s">
        <v>833</v>
      </c>
      <c r="D5489" s="114">
        <v>1419</v>
      </c>
      <c r="E5489" s="114" t="s">
        <v>4977</v>
      </c>
      <c r="F5489" s="114" t="s">
        <v>5383</v>
      </c>
      <c r="G5489" s="114" t="s">
        <v>5380</v>
      </c>
      <c r="H5489" s="279">
        <v>0.46050000000000002</v>
      </c>
      <c r="J5489" s="2"/>
    </row>
    <row r="5490" spans="2:10" s="317" customFormat="1" hidden="1" outlineLevel="2">
      <c r="B5490" s="2" t="s">
        <v>833</v>
      </c>
      <c r="D5490" s="112">
        <v>1313</v>
      </c>
      <c r="E5490" s="112" t="s">
        <v>4977</v>
      </c>
      <c r="F5490" s="112" t="s">
        <v>5384</v>
      </c>
      <c r="G5490" s="112" t="s">
        <v>5380</v>
      </c>
      <c r="H5490" s="276">
        <v>0.46050000000000002</v>
      </c>
      <c r="J5490" s="2"/>
    </row>
    <row r="5491" spans="2:10" s="317" customFormat="1" hidden="1" outlineLevel="2">
      <c r="B5491" s="2" t="s">
        <v>833</v>
      </c>
      <c r="D5491" s="114">
        <v>1314</v>
      </c>
      <c r="E5491" s="114" t="s">
        <v>4977</v>
      </c>
      <c r="F5491" s="114" t="s">
        <v>5385</v>
      </c>
      <c r="G5491" s="114" t="s">
        <v>5380</v>
      </c>
      <c r="H5491" s="279">
        <v>0.46050000000000002</v>
      </c>
      <c r="J5491" s="2"/>
    </row>
    <row r="5492" spans="2:10" s="317" customFormat="1" hidden="1" outlineLevel="2">
      <c r="B5492" s="2" t="s">
        <v>833</v>
      </c>
      <c r="D5492" s="112">
        <v>1411</v>
      </c>
      <c r="E5492" s="112" t="s">
        <v>4977</v>
      </c>
      <c r="F5492" s="112" t="s">
        <v>5386</v>
      </c>
      <c r="G5492" s="112" t="s">
        <v>5380</v>
      </c>
      <c r="H5492" s="276">
        <v>0.46050000000000002</v>
      </c>
      <c r="J5492" s="2"/>
    </row>
    <row r="5493" spans="2:10" s="317" customFormat="1" hidden="1" outlineLevel="2">
      <c r="B5493" s="2" t="s">
        <v>833</v>
      </c>
      <c r="D5493" s="114">
        <v>1311</v>
      </c>
      <c r="E5493" s="114" t="s">
        <v>4977</v>
      </c>
      <c r="F5493" s="114" t="s">
        <v>5387</v>
      </c>
      <c r="G5493" s="114" t="s">
        <v>5380</v>
      </c>
      <c r="H5493" s="279">
        <v>0.46050000000000002</v>
      </c>
      <c r="J5493" s="2"/>
    </row>
    <row r="5494" spans="2:10" s="317" customFormat="1" hidden="1" outlineLevel="2">
      <c r="B5494" s="2" t="s">
        <v>833</v>
      </c>
      <c r="D5494" s="112">
        <v>1319</v>
      </c>
      <c r="E5494" s="112" t="s">
        <v>4977</v>
      </c>
      <c r="F5494" s="112" t="s">
        <v>5388</v>
      </c>
      <c r="G5494" s="112" t="s">
        <v>5380</v>
      </c>
      <c r="H5494" s="276">
        <v>0.46050000000000002</v>
      </c>
      <c r="J5494" s="2"/>
    </row>
    <row r="5495" spans="2:10" s="317" customFormat="1" hidden="1" outlineLevel="2">
      <c r="B5495" s="2" t="s">
        <v>833</v>
      </c>
      <c r="D5495" s="114">
        <v>1513</v>
      </c>
      <c r="E5495" s="114" t="s">
        <v>4977</v>
      </c>
      <c r="F5495" s="114" t="s">
        <v>5389</v>
      </c>
      <c r="G5495" s="114" t="s">
        <v>5380</v>
      </c>
      <c r="H5495" s="279">
        <v>0.46050000000000002</v>
      </c>
      <c r="J5495" s="2"/>
    </row>
    <row r="5496" spans="2:10" s="317" customFormat="1" hidden="1" outlineLevel="2">
      <c r="B5496" s="2" t="s">
        <v>833</v>
      </c>
      <c r="D5496" s="112">
        <v>1514</v>
      </c>
      <c r="E5496" s="112" t="s">
        <v>4977</v>
      </c>
      <c r="F5496" s="112" t="s">
        <v>5390</v>
      </c>
      <c r="G5496" s="112" t="s">
        <v>5380</v>
      </c>
      <c r="H5496" s="276">
        <v>0.46050000000000002</v>
      </c>
      <c r="J5496" s="2"/>
    </row>
    <row r="5497" spans="2:10" s="317" customFormat="1" hidden="1" outlineLevel="2">
      <c r="B5497" s="2" t="s">
        <v>833</v>
      </c>
      <c r="D5497" s="114">
        <v>1315</v>
      </c>
      <c r="E5497" s="114" t="s">
        <v>4977</v>
      </c>
      <c r="F5497" s="114" t="s">
        <v>5391</v>
      </c>
      <c r="G5497" s="114" t="s">
        <v>5380</v>
      </c>
      <c r="H5497" s="279">
        <v>0.46050000000000002</v>
      </c>
      <c r="J5497" s="2"/>
    </row>
    <row r="5498" spans="2:10" s="317" customFormat="1" hidden="1" outlineLevel="2">
      <c r="B5498" s="2" t="s">
        <v>833</v>
      </c>
      <c r="D5498" s="112">
        <v>1316</v>
      </c>
      <c r="E5498" s="112" t="s">
        <v>4977</v>
      </c>
      <c r="F5498" s="112" t="s">
        <v>5392</v>
      </c>
      <c r="G5498" s="112" t="s">
        <v>5380</v>
      </c>
      <c r="H5498" s="276">
        <v>0.46050000000000002</v>
      </c>
      <c r="J5498" s="2"/>
    </row>
    <row r="5499" spans="2:10" s="317" customFormat="1" hidden="1" outlineLevel="2">
      <c r="B5499" s="2" t="s">
        <v>833</v>
      </c>
      <c r="D5499" s="114">
        <v>1200</v>
      </c>
      <c r="E5499" s="114" t="s">
        <v>4977</v>
      </c>
      <c r="F5499" s="114" t="s">
        <v>5393</v>
      </c>
      <c r="G5499" s="114" t="s">
        <v>5380</v>
      </c>
      <c r="H5499" s="279">
        <v>0.46050000000000002</v>
      </c>
      <c r="J5499" s="2"/>
    </row>
    <row r="5500" spans="2:10" s="317" customFormat="1" hidden="1" outlineLevel="2">
      <c r="B5500" s="2" t="s">
        <v>833</v>
      </c>
      <c r="D5500" s="112">
        <v>1420</v>
      </c>
      <c r="E5500" s="112" t="s">
        <v>4977</v>
      </c>
      <c r="F5500" s="112" t="s">
        <v>5394</v>
      </c>
      <c r="G5500" s="112" t="s">
        <v>5380</v>
      </c>
      <c r="H5500" s="276">
        <v>0.46050000000000002</v>
      </c>
      <c r="J5500" s="2"/>
    </row>
    <row r="5501" spans="2:10" s="317" customFormat="1" hidden="1" outlineLevel="2">
      <c r="B5501" s="2" t="s">
        <v>833</v>
      </c>
      <c r="D5501" s="114">
        <v>1520</v>
      </c>
      <c r="E5501" s="114" t="s">
        <v>4977</v>
      </c>
      <c r="F5501" s="114" t="s">
        <v>5395</v>
      </c>
      <c r="G5501" s="114" t="s">
        <v>5380</v>
      </c>
      <c r="H5501" s="279">
        <v>0.46050000000000002</v>
      </c>
      <c r="J5501" s="2"/>
    </row>
    <row r="5502" spans="2:10" s="317" customFormat="1" hidden="1" outlineLevel="2">
      <c r="B5502" s="2" t="s">
        <v>833</v>
      </c>
      <c r="D5502" s="112">
        <v>1511</v>
      </c>
      <c r="E5502" s="112" t="s">
        <v>4977</v>
      </c>
      <c r="F5502" s="112" t="s">
        <v>5396</v>
      </c>
      <c r="G5502" s="112" t="s">
        <v>5380</v>
      </c>
      <c r="H5502" s="276">
        <v>0.46050000000000002</v>
      </c>
      <c r="J5502" s="2"/>
    </row>
    <row r="5503" spans="2:10" s="317" customFormat="1" hidden="1" outlineLevel="2">
      <c r="B5503" s="2" t="s">
        <v>833</v>
      </c>
      <c r="D5503" s="114">
        <v>1512</v>
      </c>
      <c r="E5503" s="114" t="s">
        <v>4977</v>
      </c>
      <c r="F5503" s="114" t="s">
        <v>5397</v>
      </c>
      <c r="G5503" s="114" t="s">
        <v>5380</v>
      </c>
      <c r="H5503" s="279">
        <v>0.46050000000000002</v>
      </c>
      <c r="J5503" s="2"/>
    </row>
    <row r="5504" spans="2:10" s="317" customFormat="1" hidden="1" outlineLevel="2">
      <c r="B5504" s="2" t="s">
        <v>833</v>
      </c>
      <c r="D5504" s="112">
        <v>1317</v>
      </c>
      <c r="E5504" s="112" t="s">
        <v>4977</v>
      </c>
      <c r="F5504" s="112" t="s">
        <v>5398</v>
      </c>
      <c r="G5504" s="112" t="s">
        <v>5380</v>
      </c>
      <c r="H5504" s="276">
        <v>0.46050000000000002</v>
      </c>
      <c r="J5504" s="2"/>
    </row>
    <row r="5505" spans="2:10" s="317" customFormat="1" hidden="1" outlineLevel="2">
      <c r="B5505" s="2" t="s">
        <v>833</v>
      </c>
      <c r="D5505" s="114" t="s">
        <v>5399</v>
      </c>
      <c r="E5505" s="114" t="s">
        <v>4979</v>
      </c>
      <c r="F5505" s="114" t="s">
        <v>5400</v>
      </c>
      <c r="G5505" s="114" t="s">
        <v>2045</v>
      </c>
      <c r="H5505" s="279">
        <v>0</v>
      </c>
      <c r="J5505" s="2"/>
    </row>
    <row r="5506" spans="2:10" s="317" customFormat="1" hidden="1" outlineLevel="2">
      <c r="B5506" s="2" t="s">
        <v>833</v>
      </c>
      <c r="D5506" s="112">
        <v>9890</v>
      </c>
      <c r="E5506" s="112" t="s">
        <v>4979</v>
      </c>
      <c r="F5506" s="112" t="s">
        <v>5401</v>
      </c>
      <c r="G5506" s="112" t="s">
        <v>2045</v>
      </c>
      <c r="H5506" s="276">
        <v>0</v>
      </c>
      <c r="J5506" s="2"/>
    </row>
    <row r="5507" spans="2:10" s="317" customFormat="1" hidden="1" outlineLevel="2">
      <c r="B5507" s="2" t="s">
        <v>833</v>
      </c>
      <c r="D5507" s="114">
        <v>9900</v>
      </c>
      <c r="E5507" s="114" t="s">
        <v>4979</v>
      </c>
      <c r="F5507" s="114" t="s">
        <v>5402</v>
      </c>
      <c r="G5507" s="114" t="s">
        <v>2045</v>
      </c>
      <c r="H5507" s="279">
        <v>0</v>
      </c>
      <c r="J5507" s="2"/>
    </row>
    <row r="5508" spans="2:10" s="317" customFormat="1" hidden="1" outlineLevel="2">
      <c r="B5508" s="2" t="s">
        <v>833</v>
      </c>
      <c r="D5508" s="112">
        <v>9960</v>
      </c>
      <c r="E5508" s="112" t="s">
        <v>4979</v>
      </c>
      <c r="F5508" s="112" t="s">
        <v>5403</v>
      </c>
      <c r="G5508" s="112" t="s">
        <v>2045</v>
      </c>
      <c r="H5508" s="276">
        <v>0</v>
      </c>
      <c r="J5508" s="2"/>
    </row>
    <row r="5509" spans="2:10" s="317" customFormat="1" hidden="1" outlineLevel="2">
      <c r="B5509" s="2" t="s">
        <v>833</v>
      </c>
      <c r="D5509" s="114">
        <v>9621</v>
      </c>
      <c r="E5509" s="114" t="s">
        <v>4981</v>
      </c>
      <c r="F5509" s="114" t="s">
        <v>5404</v>
      </c>
      <c r="G5509" s="114" t="s">
        <v>5405</v>
      </c>
      <c r="H5509" s="279">
        <v>0.52259999999999995</v>
      </c>
      <c r="J5509" s="2"/>
    </row>
    <row r="5510" spans="2:10" s="317" customFormat="1" hidden="1" outlineLevel="2">
      <c r="B5510" s="2" t="s">
        <v>833</v>
      </c>
      <c r="D5510" s="112">
        <v>9611</v>
      </c>
      <c r="E5510" s="112" t="s">
        <v>4981</v>
      </c>
      <c r="F5510" s="112" t="s">
        <v>5406</v>
      </c>
      <c r="G5510" s="112" t="s">
        <v>5405</v>
      </c>
      <c r="H5510" s="276">
        <v>0.52259999999999995</v>
      </c>
      <c r="J5510" s="2"/>
    </row>
    <row r="5511" spans="2:10" s="317" customFormat="1" hidden="1" outlineLevel="2">
      <c r="B5511" s="2" t="s">
        <v>833</v>
      </c>
      <c r="D5511" s="114">
        <v>9632</v>
      </c>
      <c r="E5511" s="114" t="s">
        <v>4981</v>
      </c>
      <c r="F5511" s="114" t="s">
        <v>5407</v>
      </c>
      <c r="G5511" s="114" t="s">
        <v>5405</v>
      </c>
      <c r="H5511" s="279">
        <v>0.52259999999999995</v>
      </c>
      <c r="J5511" s="2"/>
    </row>
    <row r="5512" spans="2:10" s="317" customFormat="1" hidden="1" outlineLevel="2">
      <c r="B5512" s="2" t="s">
        <v>833</v>
      </c>
      <c r="D5512" s="112">
        <v>9633</v>
      </c>
      <c r="E5512" s="112" t="s">
        <v>4981</v>
      </c>
      <c r="F5512" s="112" t="s">
        <v>5408</v>
      </c>
      <c r="G5512" s="112" t="s">
        <v>5405</v>
      </c>
      <c r="H5512" s="276">
        <v>0.52259999999999995</v>
      </c>
      <c r="J5512" s="2"/>
    </row>
    <row r="5513" spans="2:10" s="317" customFormat="1" hidden="1" outlineLevel="2">
      <c r="B5513" s="2" t="s">
        <v>833</v>
      </c>
      <c r="D5513" s="114">
        <v>9524</v>
      </c>
      <c r="E5513" s="114" t="s">
        <v>4981</v>
      </c>
      <c r="F5513" s="114" t="s">
        <v>5409</v>
      </c>
      <c r="G5513" s="114" t="s">
        <v>5410</v>
      </c>
      <c r="H5513" s="279">
        <v>0.52259999999999995</v>
      </c>
      <c r="J5513" s="2"/>
    </row>
    <row r="5514" spans="2:10" s="317" customFormat="1" hidden="1" outlineLevel="2">
      <c r="B5514" s="2" t="s">
        <v>833</v>
      </c>
      <c r="D5514" s="112">
        <v>9525</v>
      </c>
      <c r="E5514" s="112" t="s">
        <v>4981</v>
      </c>
      <c r="F5514" s="112" t="s">
        <v>5411</v>
      </c>
      <c r="G5514" s="112" t="s">
        <v>5412</v>
      </c>
      <c r="H5514" s="276">
        <v>0.52259999999999995</v>
      </c>
      <c r="J5514" s="2"/>
    </row>
    <row r="5515" spans="2:10" s="317" customFormat="1" hidden="1" outlineLevel="2">
      <c r="B5515" s="2" t="s">
        <v>833</v>
      </c>
      <c r="D5515" s="114">
        <v>9526</v>
      </c>
      <c r="E5515" s="114" t="s">
        <v>4981</v>
      </c>
      <c r="F5515" s="114" t="s">
        <v>5413</v>
      </c>
      <c r="G5515" s="114" t="s">
        <v>5414</v>
      </c>
      <c r="H5515" s="279">
        <v>0.52259999999999995</v>
      </c>
      <c r="J5515" s="2"/>
    </row>
    <row r="5516" spans="2:10" s="317" customFormat="1" hidden="1" outlineLevel="2">
      <c r="B5516" s="2" t="s">
        <v>833</v>
      </c>
      <c r="D5516" s="112">
        <v>9629</v>
      </c>
      <c r="E5516" s="112" t="s">
        <v>4981</v>
      </c>
      <c r="F5516" s="112" t="s">
        <v>5415</v>
      </c>
      <c r="G5516" s="112" t="s">
        <v>5405</v>
      </c>
      <c r="H5516" s="276">
        <v>0.52259999999999995</v>
      </c>
      <c r="J5516" s="2"/>
    </row>
    <row r="5517" spans="2:10" s="317" customFormat="1" hidden="1" outlineLevel="2">
      <c r="B5517" s="2" t="s">
        <v>833</v>
      </c>
      <c r="D5517" s="114">
        <v>9622</v>
      </c>
      <c r="E5517" s="114" t="s">
        <v>4981</v>
      </c>
      <c r="F5517" s="114" t="s">
        <v>5416</v>
      </c>
      <c r="G5517" s="114" t="s">
        <v>5405</v>
      </c>
      <c r="H5517" s="279">
        <v>0.52259999999999995</v>
      </c>
      <c r="J5517" s="2"/>
    </row>
    <row r="5518" spans="2:10" s="317" customFormat="1" hidden="1" outlineLevel="2">
      <c r="B5518" s="2" t="s">
        <v>833</v>
      </c>
      <c r="D5518" s="112">
        <v>9521</v>
      </c>
      <c r="E5518" s="112" t="s">
        <v>4981</v>
      </c>
      <c r="F5518" s="112" t="s">
        <v>5417</v>
      </c>
      <c r="G5518" s="112" t="s">
        <v>5410</v>
      </c>
      <c r="H5518" s="276">
        <v>0.52259999999999995</v>
      </c>
      <c r="J5518" s="2"/>
    </row>
    <row r="5519" spans="2:10" s="317" customFormat="1" hidden="1" outlineLevel="2">
      <c r="B5519" s="2" t="s">
        <v>833</v>
      </c>
      <c r="D5519" s="114">
        <v>9519</v>
      </c>
      <c r="E5519" s="114" t="s">
        <v>4981</v>
      </c>
      <c r="F5519" s="114" t="s">
        <v>5418</v>
      </c>
      <c r="G5519" s="114" t="s">
        <v>5419</v>
      </c>
      <c r="H5519" s="279">
        <v>0.52259999999999995</v>
      </c>
      <c r="J5519" s="2"/>
    </row>
    <row r="5520" spans="2:10" s="317" customFormat="1" hidden="1" outlineLevel="2">
      <c r="B5520" s="2" t="s">
        <v>833</v>
      </c>
      <c r="D5520" s="112">
        <v>9529</v>
      </c>
      <c r="E5520" s="112" t="s">
        <v>4981</v>
      </c>
      <c r="F5520" s="112" t="s">
        <v>5420</v>
      </c>
      <c r="G5520" s="112" t="s">
        <v>5405</v>
      </c>
      <c r="H5520" s="276">
        <v>0.52259999999999995</v>
      </c>
      <c r="J5520" s="2"/>
    </row>
    <row r="5521" spans="2:10" s="317" customFormat="1" hidden="1" outlineLevel="2">
      <c r="B5521" s="2" t="s">
        <v>833</v>
      </c>
      <c r="D5521" s="114">
        <v>9522</v>
      </c>
      <c r="E5521" s="114" t="s">
        <v>4981</v>
      </c>
      <c r="F5521" s="114" t="s">
        <v>5421</v>
      </c>
      <c r="G5521" s="114" t="s">
        <v>5410</v>
      </c>
      <c r="H5521" s="279">
        <v>0.52259999999999995</v>
      </c>
      <c r="J5521" s="2"/>
    </row>
    <row r="5522" spans="2:10" s="317" customFormat="1" hidden="1" outlineLevel="2">
      <c r="B5522" s="2" t="s">
        <v>833</v>
      </c>
      <c r="D5522" s="112">
        <v>9523</v>
      </c>
      <c r="E5522" s="112" t="s">
        <v>4981</v>
      </c>
      <c r="F5522" s="112" t="s">
        <v>5422</v>
      </c>
      <c r="G5522" s="112" t="s">
        <v>5410</v>
      </c>
      <c r="H5522" s="276">
        <v>0.52259999999999995</v>
      </c>
      <c r="J5522" s="2"/>
    </row>
    <row r="5523" spans="2:10" s="317" customFormat="1" hidden="1" outlineLevel="2">
      <c r="B5523" s="2" t="s">
        <v>833</v>
      </c>
      <c r="D5523" s="114">
        <v>9631</v>
      </c>
      <c r="E5523" s="114" t="s">
        <v>4981</v>
      </c>
      <c r="F5523" s="114" t="s">
        <v>5423</v>
      </c>
      <c r="G5523" s="114" t="s">
        <v>5405</v>
      </c>
      <c r="H5523" s="279">
        <v>0.52259999999999995</v>
      </c>
      <c r="J5523" s="2"/>
    </row>
    <row r="5524" spans="2:10" s="317" customFormat="1" hidden="1" outlineLevel="2">
      <c r="B5524" s="2" t="s">
        <v>833</v>
      </c>
      <c r="D5524" s="112">
        <v>9700</v>
      </c>
      <c r="E5524" s="112" t="s">
        <v>4981</v>
      </c>
      <c r="F5524" s="112" t="s">
        <v>5424</v>
      </c>
      <c r="G5524" s="112" t="s">
        <v>5405</v>
      </c>
      <c r="H5524" s="276">
        <v>0.52259999999999995</v>
      </c>
      <c r="J5524" s="2"/>
    </row>
    <row r="5525" spans="2:10" s="317" customFormat="1" hidden="1" outlineLevel="2">
      <c r="B5525" s="2" t="s">
        <v>833</v>
      </c>
      <c r="D5525" s="114">
        <v>9619</v>
      </c>
      <c r="E5525" s="114" t="s">
        <v>4981</v>
      </c>
      <c r="F5525" s="114" t="s">
        <v>5425</v>
      </c>
      <c r="G5525" s="114" t="s">
        <v>5405</v>
      </c>
      <c r="H5525" s="279">
        <v>0.52259999999999995</v>
      </c>
      <c r="J5525" s="2"/>
    </row>
    <row r="5526" spans="2:10" s="317" customFormat="1" hidden="1" outlineLevel="2">
      <c r="B5526" s="2" t="s">
        <v>833</v>
      </c>
      <c r="D5526" s="112">
        <v>9610</v>
      </c>
      <c r="E5526" s="112" t="s">
        <v>4981</v>
      </c>
      <c r="F5526" s="112" t="s">
        <v>5426</v>
      </c>
      <c r="G5526" s="112" t="s">
        <v>5405</v>
      </c>
      <c r="H5526" s="276">
        <v>0.52259999999999995</v>
      </c>
      <c r="J5526" s="2"/>
    </row>
    <row r="5527" spans="2:10" s="317" customFormat="1" hidden="1" outlineLevel="2">
      <c r="B5527" s="2" t="s">
        <v>833</v>
      </c>
      <c r="D5527" s="114">
        <v>9511</v>
      </c>
      <c r="E5527" s="114" t="s">
        <v>4981</v>
      </c>
      <c r="F5527" s="114" t="s">
        <v>5427</v>
      </c>
      <c r="G5527" s="114" t="s">
        <v>5419</v>
      </c>
      <c r="H5527" s="279">
        <v>0.52259999999999995</v>
      </c>
      <c r="J5527" s="2"/>
    </row>
    <row r="5528" spans="2:10" s="317" customFormat="1" hidden="1" outlineLevel="2">
      <c r="B5528" s="2" t="s">
        <v>833</v>
      </c>
      <c r="D5528" s="112">
        <v>9634</v>
      </c>
      <c r="E5528" s="112" t="s">
        <v>4981</v>
      </c>
      <c r="F5528" s="112" t="s">
        <v>5428</v>
      </c>
      <c r="G5528" s="112" t="s">
        <v>5405</v>
      </c>
      <c r="H5528" s="276">
        <v>0.52259999999999995</v>
      </c>
      <c r="J5528" s="2"/>
    </row>
    <row r="5529" spans="2:10" s="317" customFormat="1" hidden="1" outlineLevel="2">
      <c r="B5529" s="2" t="s">
        <v>833</v>
      </c>
      <c r="D5529" s="114">
        <v>7713</v>
      </c>
      <c r="E5529" s="114" t="s">
        <v>4983</v>
      </c>
      <c r="F5529" s="114" t="s">
        <v>5429</v>
      </c>
      <c r="G5529" s="114" t="s">
        <v>5430</v>
      </c>
      <c r="H5529" s="279">
        <v>0.63300000000000001</v>
      </c>
      <c r="J5529" s="2"/>
    </row>
    <row r="5530" spans="2:10" s="317" customFormat="1" hidden="1" outlineLevel="2">
      <c r="B5530" s="2" t="s">
        <v>833</v>
      </c>
      <c r="D5530" s="112">
        <v>7714</v>
      </c>
      <c r="E5530" s="112" t="s">
        <v>4983</v>
      </c>
      <c r="F5530" s="112" t="s">
        <v>5431</v>
      </c>
      <c r="G5530" s="112" t="s">
        <v>5430</v>
      </c>
      <c r="H5530" s="276">
        <v>0.63300000000000001</v>
      </c>
      <c r="J5530" s="2"/>
    </row>
    <row r="5531" spans="2:10" s="317" customFormat="1" hidden="1" outlineLevel="2">
      <c r="B5531" s="2" t="s">
        <v>833</v>
      </c>
      <c r="D5531" s="114">
        <v>7715</v>
      </c>
      <c r="E5531" s="114" t="s">
        <v>4983</v>
      </c>
      <c r="F5531" s="114" t="s">
        <v>5432</v>
      </c>
      <c r="G5531" s="114" t="s">
        <v>5430</v>
      </c>
      <c r="H5531" s="279">
        <v>0.63300000000000001</v>
      </c>
      <c r="J5531" s="2"/>
    </row>
    <row r="5532" spans="2:10" s="317" customFormat="1" hidden="1" outlineLevel="2">
      <c r="B5532" s="2" t="s">
        <v>833</v>
      </c>
      <c r="D5532" s="112">
        <v>7716</v>
      </c>
      <c r="E5532" s="112" t="s">
        <v>4983</v>
      </c>
      <c r="F5532" s="112" t="s">
        <v>5433</v>
      </c>
      <c r="G5532" s="112" t="s">
        <v>5430</v>
      </c>
      <c r="H5532" s="276">
        <v>0.63300000000000001</v>
      </c>
      <c r="J5532" s="2"/>
    </row>
    <row r="5533" spans="2:10" s="317" customFormat="1" hidden="1" outlineLevel="2">
      <c r="B5533" s="2" t="s">
        <v>833</v>
      </c>
      <c r="D5533" s="114">
        <v>7720</v>
      </c>
      <c r="E5533" s="114" t="s">
        <v>4983</v>
      </c>
      <c r="F5533" s="114" t="s">
        <v>5434</v>
      </c>
      <c r="G5533" s="114" t="s">
        <v>5435</v>
      </c>
      <c r="H5533" s="279">
        <v>0.63300000000000001</v>
      </c>
      <c r="J5533" s="2"/>
    </row>
    <row r="5534" spans="2:10" s="317" customFormat="1" hidden="1" outlineLevel="2">
      <c r="B5534" s="2" t="s">
        <v>833</v>
      </c>
      <c r="D5534" s="112">
        <v>7730</v>
      </c>
      <c r="E5534" s="112" t="s">
        <v>4983</v>
      </c>
      <c r="F5534" s="112" t="s">
        <v>5436</v>
      </c>
      <c r="G5534" s="112" t="s">
        <v>5435</v>
      </c>
      <c r="H5534" s="276">
        <v>0.63300000000000001</v>
      </c>
      <c r="J5534" s="2"/>
    </row>
    <row r="5535" spans="2:10" s="317" customFormat="1" hidden="1" outlineLevel="2">
      <c r="B5535" s="2" t="s">
        <v>833</v>
      </c>
      <c r="D5535" s="114">
        <v>7741</v>
      </c>
      <c r="E5535" s="114" t="s">
        <v>4983</v>
      </c>
      <c r="F5535" s="114" t="s">
        <v>5437</v>
      </c>
      <c r="G5535" s="114" t="s">
        <v>5438</v>
      </c>
      <c r="H5535" s="279">
        <v>0.63300000000000001</v>
      </c>
      <c r="J5535" s="2"/>
    </row>
    <row r="5536" spans="2:10" s="317" customFormat="1" hidden="1" outlineLevel="2">
      <c r="B5536" s="2" t="s">
        <v>833</v>
      </c>
      <c r="D5536" s="112">
        <v>7742</v>
      </c>
      <c r="E5536" s="112" t="s">
        <v>4983</v>
      </c>
      <c r="F5536" s="112" t="s">
        <v>5439</v>
      </c>
      <c r="G5536" s="112" t="s">
        <v>5438</v>
      </c>
      <c r="H5536" s="276">
        <v>0.63300000000000001</v>
      </c>
      <c r="J5536" s="2"/>
    </row>
    <row r="5537" spans="2:10" s="317" customFormat="1" hidden="1" outlineLevel="2">
      <c r="B5537" s="2" t="s">
        <v>833</v>
      </c>
      <c r="D5537" s="114">
        <v>7743</v>
      </c>
      <c r="E5537" s="114" t="s">
        <v>4983</v>
      </c>
      <c r="F5537" s="114" t="s">
        <v>5440</v>
      </c>
      <c r="G5537" s="114" t="s">
        <v>5438</v>
      </c>
      <c r="H5537" s="279">
        <v>0.63300000000000001</v>
      </c>
      <c r="J5537" s="2"/>
    </row>
    <row r="5538" spans="2:10" s="317" customFormat="1" hidden="1" outlineLevel="2">
      <c r="B5538" s="2" t="s">
        <v>833</v>
      </c>
      <c r="D5538" s="112">
        <v>7810</v>
      </c>
      <c r="E5538" s="112" t="s">
        <v>4983</v>
      </c>
      <c r="F5538" s="112" t="s">
        <v>5441</v>
      </c>
      <c r="G5538" s="112" t="s">
        <v>5442</v>
      </c>
      <c r="H5538" s="276">
        <v>0.63300000000000001</v>
      </c>
      <c r="J5538" s="2"/>
    </row>
    <row r="5539" spans="2:10" s="317" customFormat="1" hidden="1" outlineLevel="2">
      <c r="B5539" s="2" t="s">
        <v>833</v>
      </c>
      <c r="D5539" s="114">
        <v>7821</v>
      </c>
      <c r="E5539" s="114" t="s">
        <v>4983</v>
      </c>
      <c r="F5539" s="114" t="s">
        <v>5443</v>
      </c>
      <c r="G5539" s="114" t="s">
        <v>5442</v>
      </c>
      <c r="H5539" s="279">
        <v>0.63300000000000001</v>
      </c>
      <c r="J5539" s="2"/>
    </row>
    <row r="5540" spans="2:10" s="317" customFormat="1" hidden="1" outlineLevel="2">
      <c r="B5540" s="2" t="s">
        <v>833</v>
      </c>
      <c r="D5540" s="112">
        <v>7822</v>
      </c>
      <c r="E5540" s="112" t="s">
        <v>4983</v>
      </c>
      <c r="F5540" s="112" t="s">
        <v>5444</v>
      </c>
      <c r="G5540" s="112" t="s">
        <v>5442</v>
      </c>
      <c r="H5540" s="276">
        <v>0.63300000000000001</v>
      </c>
      <c r="J5540" s="2"/>
    </row>
    <row r="5541" spans="2:10" s="317" customFormat="1" hidden="1" outlineLevel="2">
      <c r="B5541" s="2" t="s">
        <v>833</v>
      </c>
      <c r="D5541" s="114">
        <v>7823</v>
      </c>
      <c r="E5541" s="114" t="s">
        <v>4983</v>
      </c>
      <c r="F5541" s="114" t="s">
        <v>5445</v>
      </c>
      <c r="G5541" s="114" t="s">
        <v>5442</v>
      </c>
      <c r="H5541" s="279">
        <v>0.63300000000000001</v>
      </c>
      <c r="J5541" s="2"/>
    </row>
    <row r="5542" spans="2:10" s="317" customFormat="1" hidden="1" outlineLevel="2">
      <c r="B5542" s="2" t="s">
        <v>833</v>
      </c>
      <c r="D5542" s="112">
        <v>7829</v>
      </c>
      <c r="E5542" s="112" t="s">
        <v>4983</v>
      </c>
      <c r="F5542" s="112" t="s">
        <v>5446</v>
      </c>
      <c r="G5542" s="112" t="s">
        <v>5442</v>
      </c>
      <c r="H5542" s="276">
        <v>0.63300000000000001</v>
      </c>
      <c r="J5542" s="2"/>
    </row>
    <row r="5543" spans="2:10" s="317" customFormat="1" hidden="1" outlineLevel="2">
      <c r="B5543" s="2" t="s">
        <v>833</v>
      </c>
      <c r="D5543" s="114">
        <v>7831</v>
      </c>
      <c r="E5543" s="114" t="s">
        <v>4983</v>
      </c>
      <c r="F5543" s="114" t="s">
        <v>5447</v>
      </c>
      <c r="G5543" s="114" t="s">
        <v>5448</v>
      </c>
      <c r="H5543" s="279">
        <v>0.63300000000000001</v>
      </c>
      <c r="J5543" s="2"/>
    </row>
    <row r="5544" spans="2:10" s="317" customFormat="1" hidden="1" outlineLevel="2">
      <c r="B5544" s="2" t="s">
        <v>833</v>
      </c>
      <c r="D5544" s="112">
        <v>7832</v>
      </c>
      <c r="E5544" s="112" t="s">
        <v>4983</v>
      </c>
      <c r="F5544" s="112" t="s">
        <v>5449</v>
      </c>
      <c r="G5544" s="112" t="s">
        <v>5448</v>
      </c>
      <c r="H5544" s="276">
        <v>0.63300000000000001</v>
      </c>
      <c r="J5544" s="2"/>
    </row>
    <row r="5545" spans="2:10" s="317" customFormat="1" hidden="1" outlineLevel="2">
      <c r="B5545" s="2" t="s">
        <v>833</v>
      </c>
      <c r="D5545" s="114">
        <v>7833</v>
      </c>
      <c r="E5545" s="114" t="s">
        <v>4983</v>
      </c>
      <c r="F5545" s="114" t="s">
        <v>5450</v>
      </c>
      <c r="G5545" s="114" t="s">
        <v>5448</v>
      </c>
      <c r="H5545" s="279">
        <v>0.63300000000000001</v>
      </c>
      <c r="J5545" s="2"/>
    </row>
    <row r="5546" spans="2:10" s="317" customFormat="1" hidden="1" outlineLevel="2">
      <c r="B5546" s="2" t="s">
        <v>833</v>
      </c>
      <c r="D5546" s="112">
        <v>7834</v>
      </c>
      <c r="E5546" s="112" t="s">
        <v>4983</v>
      </c>
      <c r="F5546" s="112" t="s">
        <v>5451</v>
      </c>
      <c r="G5546" s="112" t="s">
        <v>5448</v>
      </c>
      <c r="H5546" s="276">
        <v>0.63300000000000001</v>
      </c>
      <c r="J5546" s="2"/>
    </row>
    <row r="5547" spans="2:10" s="317" customFormat="1" hidden="1" outlineLevel="2">
      <c r="B5547" s="2" t="s">
        <v>833</v>
      </c>
      <c r="D5547" s="114">
        <v>7841</v>
      </c>
      <c r="E5547" s="114" t="s">
        <v>4983</v>
      </c>
      <c r="F5547" s="114" t="s">
        <v>5452</v>
      </c>
      <c r="G5547" s="114" t="s">
        <v>5453</v>
      </c>
      <c r="H5547" s="279">
        <v>0.63300000000000001</v>
      </c>
      <c r="J5547" s="2"/>
    </row>
    <row r="5548" spans="2:10" s="317" customFormat="1" hidden="1" outlineLevel="2">
      <c r="B5548" s="2" t="s">
        <v>833</v>
      </c>
      <c r="D5548" s="112">
        <v>7842</v>
      </c>
      <c r="E5548" s="112" t="s">
        <v>4983</v>
      </c>
      <c r="F5548" s="112" t="s">
        <v>5454</v>
      </c>
      <c r="G5548" s="112" t="s">
        <v>5455</v>
      </c>
      <c r="H5548" s="276">
        <v>0.63300000000000001</v>
      </c>
      <c r="J5548" s="2"/>
    </row>
    <row r="5549" spans="2:10" s="317" customFormat="1" hidden="1" outlineLevel="2">
      <c r="B5549" s="2" t="s">
        <v>833</v>
      </c>
      <c r="D5549" s="114">
        <v>7851</v>
      </c>
      <c r="E5549" s="114" t="s">
        <v>4983</v>
      </c>
      <c r="F5549" s="114" t="s">
        <v>5456</v>
      </c>
      <c r="G5549" s="114" t="s">
        <v>5457</v>
      </c>
      <c r="H5549" s="279">
        <v>0.63300000000000001</v>
      </c>
      <c r="J5549" s="2"/>
    </row>
    <row r="5550" spans="2:10" s="317" customFormat="1" hidden="1" outlineLevel="2">
      <c r="B5550" s="2" t="s">
        <v>833</v>
      </c>
      <c r="D5550" s="112">
        <v>7852</v>
      </c>
      <c r="E5550" s="112" t="s">
        <v>4983</v>
      </c>
      <c r="F5550" s="112" t="s">
        <v>5458</v>
      </c>
      <c r="G5550" s="112" t="s">
        <v>5457</v>
      </c>
      <c r="H5550" s="276">
        <v>0.63300000000000001</v>
      </c>
      <c r="J5550" s="2"/>
    </row>
    <row r="5551" spans="2:10" s="317" customFormat="1" hidden="1" outlineLevel="2">
      <c r="B5551" s="2" t="s">
        <v>833</v>
      </c>
      <c r="D5551" s="114">
        <v>7853</v>
      </c>
      <c r="E5551" s="114" t="s">
        <v>4983</v>
      </c>
      <c r="F5551" s="114" t="s">
        <v>5459</v>
      </c>
      <c r="G5551" s="114" t="s">
        <v>5457</v>
      </c>
      <c r="H5551" s="279">
        <v>0.63300000000000001</v>
      </c>
      <c r="J5551" s="2"/>
    </row>
    <row r="5552" spans="2:10" s="317" customFormat="1" hidden="1" outlineLevel="2">
      <c r="B5552" s="2" t="s">
        <v>833</v>
      </c>
      <c r="D5552" s="112">
        <v>7854</v>
      </c>
      <c r="E5552" s="112" t="s">
        <v>4983</v>
      </c>
      <c r="F5552" s="112" t="s">
        <v>5460</v>
      </c>
      <c r="G5552" s="112" t="s">
        <v>5457</v>
      </c>
      <c r="H5552" s="276">
        <v>0.63300000000000001</v>
      </c>
      <c r="J5552" s="2"/>
    </row>
    <row r="5553" spans="2:10" s="317" customFormat="1" hidden="1" outlineLevel="2">
      <c r="B5553" s="2" t="s">
        <v>833</v>
      </c>
      <c r="D5553" s="114">
        <v>7855</v>
      </c>
      <c r="E5553" s="114" t="s">
        <v>4983</v>
      </c>
      <c r="F5553" s="114" t="s">
        <v>5461</v>
      </c>
      <c r="G5553" s="114" t="s">
        <v>5457</v>
      </c>
      <c r="H5553" s="279">
        <v>0.63300000000000001</v>
      </c>
      <c r="J5553" s="2"/>
    </row>
    <row r="5554" spans="2:10" s="317" customFormat="1" hidden="1" outlineLevel="2">
      <c r="B5554" s="2" t="s">
        <v>833</v>
      </c>
      <c r="D5554" s="112">
        <v>7861</v>
      </c>
      <c r="E5554" s="112" t="s">
        <v>4983</v>
      </c>
      <c r="F5554" s="112" t="s">
        <v>5462</v>
      </c>
      <c r="G5554" s="112" t="s">
        <v>5463</v>
      </c>
      <c r="H5554" s="276">
        <v>0.63300000000000001</v>
      </c>
      <c r="J5554" s="2"/>
    </row>
    <row r="5555" spans="2:10" s="317" customFormat="1" hidden="1" outlineLevel="2">
      <c r="B5555" s="2" t="s">
        <v>833</v>
      </c>
      <c r="D5555" s="114">
        <v>7862</v>
      </c>
      <c r="E5555" s="114" t="s">
        <v>4983</v>
      </c>
      <c r="F5555" s="114" t="s">
        <v>5464</v>
      </c>
      <c r="G5555" s="114" t="s">
        <v>5463</v>
      </c>
      <c r="H5555" s="279">
        <v>0.63300000000000001</v>
      </c>
      <c r="J5555" s="2"/>
    </row>
    <row r="5556" spans="2:10" s="317" customFormat="1" hidden="1" outlineLevel="2">
      <c r="B5556" s="2" t="s">
        <v>833</v>
      </c>
      <c r="D5556" s="112">
        <v>7863</v>
      </c>
      <c r="E5556" s="112" t="s">
        <v>4983</v>
      </c>
      <c r="F5556" s="112" t="s">
        <v>5465</v>
      </c>
      <c r="G5556" s="112" t="s">
        <v>5463</v>
      </c>
      <c r="H5556" s="276">
        <v>0.63300000000000001</v>
      </c>
      <c r="J5556" s="2"/>
    </row>
    <row r="5557" spans="2:10" s="317" customFormat="1" hidden="1" outlineLevel="2">
      <c r="B5557" s="2" t="s">
        <v>833</v>
      </c>
      <c r="D5557" s="114">
        <v>7864</v>
      </c>
      <c r="E5557" s="114" t="s">
        <v>4983</v>
      </c>
      <c r="F5557" s="114" t="s">
        <v>5466</v>
      </c>
      <c r="G5557" s="114" t="s">
        <v>5467</v>
      </c>
      <c r="H5557" s="279">
        <v>0.63300000000000001</v>
      </c>
      <c r="J5557" s="2"/>
    </row>
    <row r="5558" spans="2:10" s="317" customFormat="1" hidden="1" outlineLevel="2">
      <c r="B5558" s="2" t="s">
        <v>833</v>
      </c>
      <c r="D5558" s="112">
        <v>7865</v>
      </c>
      <c r="E5558" s="112" t="s">
        <v>4983</v>
      </c>
      <c r="F5558" s="112" t="s">
        <v>5468</v>
      </c>
      <c r="G5558" s="112" t="s">
        <v>5467</v>
      </c>
      <c r="H5558" s="276">
        <v>0.63300000000000001</v>
      </c>
      <c r="J5558" s="2"/>
    </row>
    <row r="5559" spans="2:10" s="317" customFormat="1" hidden="1" outlineLevel="2">
      <c r="B5559" s="2" t="s">
        <v>833</v>
      </c>
      <c r="D5559" s="114">
        <v>7866</v>
      </c>
      <c r="E5559" s="114" t="s">
        <v>4983</v>
      </c>
      <c r="F5559" s="114" t="s">
        <v>5469</v>
      </c>
      <c r="G5559" s="114" t="s">
        <v>5467</v>
      </c>
      <c r="H5559" s="279">
        <v>0.63300000000000001</v>
      </c>
      <c r="J5559" s="2"/>
    </row>
    <row r="5560" spans="2:10" s="317" customFormat="1" hidden="1" outlineLevel="2">
      <c r="B5560" s="2" t="s">
        <v>833</v>
      </c>
      <c r="D5560" s="112">
        <v>7867</v>
      </c>
      <c r="E5560" s="112" t="s">
        <v>4983</v>
      </c>
      <c r="F5560" s="112" t="s">
        <v>5470</v>
      </c>
      <c r="G5560" s="112" t="s">
        <v>5467</v>
      </c>
      <c r="H5560" s="276">
        <v>0.63300000000000001</v>
      </c>
      <c r="J5560" s="2"/>
    </row>
    <row r="5561" spans="2:10" s="317" customFormat="1" hidden="1" outlineLevel="2">
      <c r="B5561" s="2" t="s">
        <v>833</v>
      </c>
      <c r="D5561" s="114">
        <v>7869</v>
      </c>
      <c r="E5561" s="114" t="s">
        <v>4983</v>
      </c>
      <c r="F5561" s="114" t="s">
        <v>5471</v>
      </c>
      <c r="G5561" s="114" t="s">
        <v>5467</v>
      </c>
      <c r="H5561" s="279">
        <v>0.63300000000000001</v>
      </c>
      <c r="J5561" s="2"/>
    </row>
    <row r="5562" spans="2:10" s="317" customFormat="1" hidden="1" outlineLevel="2">
      <c r="B5562" s="2" t="s">
        <v>833</v>
      </c>
      <c r="D5562" s="112">
        <v>5110</v>
      </c>
      <c r="E5562" s="112" t="s">
        <v>4985</v>
      </c>
      <c r="F5562" s="112" t="s">
        <v>5472</v>
      </c>
      <c r="G5562" s="112" t="s">
        <v>5473</v>
      </c>
      <c r="H5562" s="276">
        <v>0.32900000000000001</v>
      </c>
      <c r="J5562" s="2"/>
    </row>
    <row r="5563" spans="2:10" s="317" customFormat="1" hidden="1" outlineLevel="2">
      <c r="B5563" s="2" t="s">
        <v>833</v>
      </c>
      <c r="D5563" s="114">
        <v>5121</v>
      </c>
      <c r="E5563" s="114" t="s">
        <v>4985</v>
      </c>
      <c r="F5563" s="114" t="s">
        <v>5474</v>
      </c>
      <c r="G5563" s="114" t="s">
        <v>5475</v>
      </c>
      <c r="H5563" s="279">
        <v>0.32900000000000001</v>
      </c>
      <c r="J5563" s="2"/>
    </row>
    <row r="5564" spans="2:10" s="317" customFormat="1" hidden="1" outlineLevel="2">
      <c r="B5564" s="2" t="s">
        <v>833</v>
      </c>
      <c r="D5564" s="112">
        <v>5122</v>
      </c>
      <c r="E5564" s="112" t="s">
        <v>4985</v>
      </c>
      <c r="F5564" s="112" t="s">
        <v>5476</v>
      </c>
      <c r="G5564" s="112" t="s">
        <v>5475</v>
      </c>
      <c r="H5564" s="276">
        <v>0.32900000000000001</v>
      </c>
      <c r="J5564" s="2"/>
    </row>
    <row r="5565" spans="2:10" s="317" customFormat="1" hidden="1" outlineLevel="2">
      <c r="B5565" s="2" t="s">
        <v>833</v>
      </c>
      <c r="D5565" s="114">
        <v>5123</v>
      </c>
      <c r="E5565" s="114" t="s">
        <v>4985</v>
      </c>
      <c r="F5565" s="114" t="s">
        <v>5477</v>
      </c>
      <c r="G5565" s="114" t="s">
        <v>5478</v>
      </c>
      <c r="H5565" s="279">
        <v>0.32900000000000001</v>
      </c>
      <c r="J5565" s="2"/>
    </row>
    <row r="5566" spans="2:10" s="317" customFormat="1" hidden="1" outlineLevel="2">
      <c r="B5566" s="2" t="s">
        <v>833</v>
      </c>
      <c r="D5566" s="112">
        <v>5124</v>
      </c>
      <c r="E5566" s="112" t="s">
        <v>4985</v>
      </c>
      <c r="F5566" s="112" t="s">
        <v>5479</v>
      </c>
      <c r="G5566" s="112" t="s">
        <v>5480</v>
      </c>
      <c r="H5566" s="276">
        <v>0.32900000000000001</v>
      </c>
      <c r="J5566" s="2"/>
    </row>
    <row r="5567" spans="2:10" s="317" customFormat="1" hidden="1" outlineLevel="2">
      <c r="B5567" s="2" t="s">
        <v>833</v>
      </c>
      <c r="D5567" s="114">
        <v>5125</v>
      </c>
      <c r="E5567" s="114" t="s">
        <v>4985</v>
      </c>
      <c r="F5567" s="114" t="s">
        <v>5481</v>
      </c>
      <c r="G5567" s="114" t="s">
        <v>5482</v>
      </c>
      <c r="H5567" s="279">
        <v>0.32900000000000001</v>
      </c>
      <c r="J5567" s="2"/>
    </row>
    <row r="5568" spans="2:10" s="317" customFormat="1" hidden="1" outlineLevel="2">
      <c r="B5568" s="2" t="s">
        <v>833</v>
      </c>
      <c r="D5568" s="112">
        <v>5126</v>
      </c>
      <c r="E5568" s="112" t="s">
        <v>4985</v>
      </c>
      <c r="F5568" s="112" t="s">
        <v>5483</v>
      </c>
      <c r="G5568" s="112" t="s">
        <v>5484</v>
      </c>
      <c r="H5568" s="276">
        <v>0.32900000000000001</v>
      </c>
      <c r="J5568" s="2"/>
    </row>
    <row r="5569" spans="2:10" s="317" customFormat="1" hidden="1" outlineLevel="2">
      <c r="B5569" s="2" t="s">
        <v>833</v>
      </c>
      <c r="D5569" s="114">
        <v>5129</v>
      </c>
      <c r="E5569" s="114" t="s">
        <v>4985</v>
      </c>
      <c r="F5569" s="114" t="s">
        <v>5485</v>
      </c>
      <c r="G5569" s="114" t="s">
        <v>5484</v>
      </c>
      <c r="H5569" s="279">
        <v>0.32900000000000001</v>
      </c>
      <c r="J5569" s="2"/>
    </row>
    <row r="5570" spans="2:10" s="317" customFormat="1" hidden="1" outlineLevel="2">
      <c r="B5570" s="2" t="s">
        <v>833</v>
      </c>
      <c r="D5570" s="112">
        <v>5210</v>
      </c>
      <c r="E5570" s="112" t="s">
        <v>4985</v>
      </c>
      <c r="F5570" s="112" t="s">
        <v>5486</v>
      </c>
      <c r="G5570" s="112" t="s">
        <v>5487</v>
      </c>
      <c r="H5570" s="276">
        <v>0.32900000000000001</v>
      </c>
      <c r="J5570" s="2"/>
    </row>
    <row r="5571" spans="2:10" s="317" customFormat="1" hidden="1" outlineLevel="2">
      <c r="B5571" s="2" t="s">
        <v>833</v>
      </c>
      <c r="D5571" s="114">
        <v>5221</v>
      </c>
      <c r="E5571" s="114" t="s">
        <v>4985</v>
      </c>
      <c r="F5571" s="114" t="s">
        <v>5488</v>
      </c>
      <c r="G5571" s="114" t="s">
        <v>5487</v>
      </c>
      <c r="H5571" s="279">
        <v>0.32900000000000001</v>
      </c>
      <c r="J5571" s="2"/>
    </row>
    <row r="5572" spans="2:10" s="317" customFormat="1" hidden="1" outlineLevel="2">
      <c r="B5572" s="2" t="s">
        <v>833</v>
      </c>
      <c r="D5572" s="112">
        <v>5222</v>
      </c>
      <c r="E5572" s="112" t="s">
        <v>4985</v>
      </c>
      <c r="F5572" s="112" t="s">
        <v>5489</v>
      </c>
      <c r="G5572" s="112" t="s">
        <v>5487</v>
      </c>
      <c r="H5572" s="276">
        <v>0.32900000000000001</v>
      </c>
      <c r="J5572" s="2"/>
    </row>
    <row r="5573" spans="2:10" s="317" customFormat="1" hidden="1" outlineLevel="2">
      <c r="B5573" s="2" t="s">
        <v>833</v>
      </c>
      <c r="D5573" s="114">
        <v>5223</v>
      </c>
      <c r="E5573" s="114" t="s">
        <v>4985</v>
      </c>
      <c r="F5573" s="114" t="s">
        <v>5490</v>
      </c>
      <c r="G5573" s="114" t="s">
        <v>5491</v>
      </c>
      <c r="H5573" s="279">
        <v>0.32900000000000001</v>
      </c>
      <c r="J5573" s="2"/>
    </row>
    <row r="5574" spans="2:10" s="317" customFormat="1" hidden="1" outlineLevel="2">
      <c r="B5574" s="2" t="s">
        <v>833</v>
      </c>
      <c r="D5574" s="112">
        <v>5231</v>
      </c>
      <c r="E5574" s="112" t="s">
        <v>4985</v>
      </c>
      <c r="F5574" s="112" t="s">
        <v>5492</v>
      </c>
      <c r="G5574" s="112" t="s">
        <v>5491</v>
      </c>
      <c r="H5574" s="276">
        <v>0.32900000000000001</v>
      </c>
      <c r="J5574" s="2"/>
    </row>
    <row r="5575" spans="2:10" s="317" customFormat="1" hidden="1" outlineLevel="2">
      <c r="B5575" s="2" t="s">
        <v>833</v>
      </c>
      <c r="D5575" s="114">
        <v>5232</v>
      </c>
      <c r="E5575" s="114" t="s">
        <v>4985</v>
      </c>
      <c r="F5575" s="114" t="s">
        <v>5493</v>
      </c>
      <c r="G5575" s="114" t="s">
        <v>5491</v>
      </c>
      <c r="H5575" s="279">
        <v>0.32900000000000001</v>
      </c>
      <c r="J5575" s="2"/>
    </row>
    <row r="5576" spans="2:10" s="317" customFormat="1" hidden="1" outlineLevel="2">
      <c r="B5576" s="2" t="s">
        <v>833</v>
      </c>
      <c r="D5576" s="112">
        <v>5233</v>
      </c>
      <c r="E5576" s="112" t="s">
        <v>4985</v>
      </c>
      <c r="F5576" s="112" t="s">
        <v>5494</v>
      </c>
      <c r="G5576" s="112" t="s">
        <v>5491</v>
      </c>
      <c r="H5576" s="276">
        <v>0.32900000000000001</v>
      </c>
      <c r="J5576" s="2"/>
    </row>
    <row r="5577" spans="2:10" s="317" customFormat="1" hidden="1" outlineLevel="2">
      <c r="B5577" s="2" t="s">
        <v>833</v>
      </c>
      <c r="D5577" s="114">
        <v>5234</v>
      </c>
      <c r="E5577" s="114" t="s">
        <v>4985</v>
      </c>
      <c r="F5577" s="114" t="s">
        <v>5495</v>
      </c>
      <c r="G5577" s="114" t="s">
        <v>5491</v>
      </c>
      <c r="H5577" s="279">
        <v>0.32900000000000001</v>
      </c>
      <c r="J5577" s="2"/>
    </row>
    <row r="5578" spans="2:10" s="317" customFormat="1" hidden="1" outlineLevel="2">
      <c r="B5578" s="2" t="s">
        <v>833</v>
      </c>
      <c r="D5578" s="112">
        <v>5235</v>
      </c>
      <c r="E5578" s="112" t="s">
        <v>4985</v>
      </c>
      <c r="F5578" s="112" t="s">
        <v>5496</v>
      </c>
      <c r="G5578" s="112" t="s">
        <v>5497</v>
      </c>
      <c r="H5578" s="276">
        <v>0.32900000000000001</v>
      </c>
      <c r="J5578" s="2"/>
    </row>
    <row r="5579" spans="2:10" s="317" customFormat="1" hidden="1" outlineLevel="2">
      <c r="B5579" s="2" t="s">
        <v>833</v>
      </c>
      <c r="D5579" s="114">
        <v>5241</v>
      </c>
      <c r="E5579" s="114" t="s">
        <v>4985</v>
      </c>
      <c r="F5579" s="114" t="s">
        <v>5498</v>
      </c>
      <c r="G5579" s="114" t="s">
        <v>5497</v>
      </c>
      <c r="H5579" s="279">
        <v>0.32900000000000001</v>
      </c>
      <c r="J5579" s="2"/>
    </row>
    <row r="5580" spans="2:10" s="317" customFormat="1" hidden="1" outlineLevel="2">
      <c r="B5580" s="2" t="s">
        <v>833</v>
      </c>
      <c r="D5580" s="112">
        <v>5242</v>
      </c>
      <c r="E5580" s="112" t="s">
        <v>4985</v>
      </c>
      <c r="F5580" s="112" t="s">
        <v>5499</v>
      </c>
      <c r="G5580" s="112" t="s">
        <v>5497</v>
      </c>
      <c r="H5580" s="276">
        <v>0.32900000000000001</v>
      </c>
      <c r="J5580" s="2"/>
    </row>
    <row r="5581" spans="2:10" s="317" customFormat="1" hidden="1" outlineLevel="2">
      <c r="B5581" s="2" t="s">
        <v>833</v>
      </c>
      <c r="D5581" s="114">
        <v>5243</v>
      </c>
      <c r="E5581" s="114" t="s">
        <v>4985</v>
      </c>
      <c r="F5581" s="114" t="s">
        <v>5500</v>
      </c>
      <c r="G5581" s="114" t="s">
        <v>5501</v>
      </c>
      <c r="H5581" s="279">
        <v>0.32900000000000001</v>
      </c>
      <c r="J5581" s="2"/>
    </row>
    <row r="5582" spans="2:10" s="317" customFormat="1" hidden="1" outlineLevel="2">
      <c r="B5582" s="2" t="s">
        <v>833</v>
      </c>
      <c r="D5582" s="112">
        <v>5244</v>
      </c>
      <c r="E5582" s="112" t="s">
        <v>4985</v>
      </c>
      <c r="F5582" s="112" t="s">
        <v>5502</v>
      </c>
      <c r="G5582" s="112" t="s">
        <v>5503</v>
      </c>
      <c r="H5582" s="276">
        <v>0.32900000000000001</v>
      </c>
      <c r="J5582" s="2"/>
    </row>
    <row r="5583" spans="2:10" s="317" customFormat="1" hidden="1" outlineLevel="2">
      <c r="B5583" s="2" t="s">
        <v>833</v>
      </c>
      <c r="D5583" s="114">
        <v>5245</v>
      </c>
      <c r="E5583" s="114" t="s">
        <v>4985</v>
      </c>
      <c r="F5583" s="114" t="s">
        <v>5504</v>
      </c>
      <c r="G5583" s="114" t="s">
        <v>5503</v>
      </c>
      <c r="H5583" s="279">
        <v>0.32900000000000001</v>
      </c>
      <c r="J5583" s="2"/>
    </row>
    <row r="5584" spans="2:10" s="317" customFormat="1" hidden="1" outlineLevel="2">
      <c r="B5584" s="2" t="s">
        <v>833</v>
      </c>
      <c r="D5584" s="112">
        <v>5251</v>
      </c>
      <c r="E5584" s="112" t="s">
        <v>4985</v>
      </c>
      <c r="F5584" s="112" t="s">
        <v>5505</v>
      </c>
      <c r="G5584" s="112" t="s">
        <v>5506</v>
      </c>
      <c r="H5584" s="276">
        <v>0.32900000000000001</v>
      </c>
      <c r="J5584" s="2"/>
    </row>
    <row r="5585" spans="2:10" s="317" customFormat="1" hidden="1" outlineLevel="2">
      <c r="B5585" s="2" t="s">
        <v>833</v>
      </c>
      <c r="D5585" s="114">
        <v>5252</v>
      </c>
      <c r="E5585" s="114" t="s">
        <v>4985</v>
      </c>
      <c r="F5585" s="114" t="s">
        <v>5507</v>
      </c>
      <c r="G5585" s="114" t="s">
        <v>5508</v>
      </c>
      <c r="H5585" s="279">
        <v>0.32900000000000001</v>
      </c>
      <c r="J5585" s="2"/>
    </row>
    <row r="5586" spans="2:10" s="317" customFormat="1" hidden="1" outlineLevel="2">
      <c r="B5586" s="2" t="s">
        <v>833</v>
      </c>
      <c r="D5586" s="112">
        <v>5253</v>
      </c>
      <c r="E5586" s="112" t="s">
        <v>4985</v>
      </c>
      <c r="F5586" s="112" t="s">
        <v>5509</v>
      </c>
      <c r="G5586" s="112" t="s">
        <v>5510</v>
      </c>
      <c r="H5586" s="276">
        <v>0.32900000000000001</v>
      </c>
      <c r="J5586" s="2"/>
    </row>
    <row r="5587" spans="2:10" s="317" customFormat="1" hidden="1" outlineLevel="2">
      <c r="B5587" s="2" t="s">
        <v>833</v>
      </c>
      <c r="D5587" s="114">
        <v>5254</v>
      </c>
      <c r="E5587" s="114" t="s">
        <v>4985</v>
      </c>
      <c r="F5587" s="114" t="s">
        <v>5511</v>
      </c>
      <c r="G5587" s="114" t="s">
        <v>5510</v>
      </c>
      <c r="H5587" s="279">
        <v>0.32900000000000001</v>
      </c>
      <c r="J5587" s="2"/>
    </row>
    <row r="5588" spans="2:10" s="317" customFormat="1" hidden="1" outlineLevel="2">
      <c r="B5588" s="2" t="s">
        <v>833</v>
      </c>
      <c r="D5588" s="112">
        <v>5255</v>
      </c>
      <c r="E5588" s="112" t="s">
        <v>4985</v>
      </c>
      <c r="F5588" s="112" t="s">
        <v>5512</v>
      </c>
      <c r="G5588" s="112" t="s">
        <v>5513</v>
      </c>
      <c r="H5588" s="276">
        <v>0.32900000000000001</v>
      </c>
      <c r="J5588" s="2"/>
    </row>
    <row r="5589" spans="2:10" s="317" customFormat="1" hidden="1" outlineLevel="2">
      <c r="B5589" s="2" t="s">
        <v>833</v>
      </c>
      <c r="D5589" s="114">
        <v>5259</v>
      </c>
      <c r="E5589" s="114" t="s">
        <v>4985</v>
      </c>
      <c r="F5589" s="114" t="s">
        <v>5514</v>
      </c>
      <c r="G5589" s="114" t="s">
        <v>5515</v>
      </c>
      <c r="H5589" s="279">
        <v>0.32900000000000001</v>
      </c>
      <c r="J5589" s="2"/>
    </row>
    <row r="5590" spans="2:10" s="317" customFormat="1" hidden="1" outlineLevel="2">
      <c r="B5590" s="2" t="s">
        <v>833</v>
      </c>
      <c r="D5590" s="112">
        <v>5261</v>
      </c>
      <c r="E5590" s="112" t="s">
        <v>4985</v>
      </c>
      <c r="F5590" s="112" t="s">
        <v>5516</v>
      </c>
      <c r="G5590" s="112" t="s">
        <v>5517</v>
      </c>
      <c r="H5590" s="276">
        <v>0.32900000000000001</v>
      </c>
      <c r="J5590" s="2"/>
    </row>
    <row r="5591" spans="2:10" s="317" customFormat="1" hidden="1" outlineLevel="2">
      <c r="B5591" s="2" t="s">
        <v>833</v>
      </c>
      <c r="D5591" s="114">
        <v>5269</v>
      </c>
      <c r="E5591" s="114" t="s">
        <v>4985</v>
      </c>
      <c r="F5591" s="114" t="s">
        <v>5518</v>
      </c>
      <c r="G5591" s="114" t="s">
        <v>5517</v>
      </c>
      <c r="H5591" s="279">
        <v>0.32900000000000001</v>
      </c>
      <c r="J5591" s="2"/>
    </row>
    <row r="5592" spans="2:10" s="317" customFormat="1" hidden="1" outlineLevel="2">
      <c r="B5592" s="2" t="s">
        <v>833</v>
      </c>
      <c r="D5592" s="112">
        <v>5311</v>
      </c>
      <c r="E5592" s="112" t="s">
        <v>4985</v>
      </c>
      <c r="F5592" s="112" t="s">
        <v>5519</v>
      </c>
      <c r="G5592" s="112" t="s">
        <v>5520</v>
      </c>
      <c r="H5592" s="276">
        <v>0.32900000000000001</v>
      </c>
      <c r="J5592" s="2"/>
    </row>
    <row r="5593" spans="2:10" s="317" customFormat="1" hidden="1" outlineLevel="2">
      <c r="B5593" s="2" t="s">
        <v>833</v>
      </c>
      <c r="D5593" s="114">
        <v>5312</v>
      </c>
      <c r="E5593" s="114" t="s">
        <v>4985</v>
      </c>
      <c r="F5593" s="114" t="s">
        <v>5521</v>
      </c>
      <c r="G5593" s="114" t="s">
        <v>5520</v>
      </c>
      <c r="H5593" s="279">
        <v>0.32900000000000001</v>
      </c>
      <c r="J5593" s="2"/>
    </row>
    <row r="5594" spans="2:10" s="317" customFormat="1" hidden="1" outlineLevel="2">
      <c r="B5594" s="2" t="s">
        <v>833</v>
      </c>
      <c r="D5594" s="112">
        <v>5313</v>
      </c>
      <c r="E5594" s="112" t="s">
        <v>4985</v>
      </c>
      <c r="F5594" s="112" t="s">
        <v>5522</v>
      </c>
      <c r="G5594" s="112" t="s">
        <v>5520</v>
      </c>
      <c r="H5594" s="276">
        <v>0.32900000000000001</v>
      </c>
      <c r="J5594" s="2"/>
    </row>
    <row r="5595" spans="2:10" s="317" customFormat="1" hidden="1" outlineLevel="2">
      <c r="B5595" s="2" t="s">
        <v>833</v>
      </c>
      <c r="D5595" s="114">
        <v>5321</v>
      </c>
      <c r="E5595" s="114" t="s">
        <v>4985</v>
      </c>
      <c r="F5595" s="114" t="s">
        <v>5523</v>
      </c>
      <c r="G5595" s="114" t="s">
        <v>5520</v>
      </c>
      <c r="H5595" s="279">
        <v>0.32900000000000001</v>
      </c>
      <c r="J5595" s="2"/>
    </row>
    <row r="5596" spans="2:10" s="317" customFormat="1" hidden="1" outlineLevel="2">
      <c r="B5596" s="2" t="s">
        <v>833</v>
      </c>
      <c r="D5596" s="112">
        <v>5322</v>
      </c>
      <c r="E5596" s="112" t="s">
        <v>4985</v>
      </c>
      <c r="F5596" s="112" t="s">
        <v>5524</v>
      </c>
      <c r="G5596" s="112" t="s">
        <v>5520</v>
      </c>
      <c r="H5596" s="276">
        <v>0.32900000000000001</v>
      </c>
      <c r="J5596" s="2"/>
    </row>
    <row r="5597" spans="2:10" s="317" customFormat="1" hidden="1" outlineLevel="2">
      <c r="B5597" s="2" t="s">
        <v>833</v>
      </c>
      <c r="D5597" s="114">
        <v>5323</v>
      </c>
      <c r="E5597" s="114" t="s">
        <v>4985</v>
      </c>
      <c r="F5597" s="114" t="s">
        <v>5525</v>
      </c>
      <c r="G5597" s="114" t="s">
        <v>5520</v>
      </c>
      <c r="H5597" s="279">
        <v>0.32900000000000001</v>
      </c>
      <c r="J5597" s="2"/>
    </row>
    <row r="5598" spans="2:10" s="317" customFormat="1" hidden="1" outlineLevel="2">
      <c r="B5598" s="2" t="s">
        <v>833</v>
      </c>
      <c r="D5598" s="112">
        <v>5324</v>
      </c>
      <c r="E5598" s="112" t="s">
        <v>4985</v>
      </c>
      <c r="F5598" s="112" t="s">
        <v>5526</v>
      </c>
      <c r="G5598" s="112" t="s">
        <v>5520</v>
      </c>
      <c r="H5598" s="276">
        <v>0.32900000000000001</v>
      </c>
      <c r="J5598" s="2"/>
    </row>
    <row r="5599" spans="2:10" s="317" customFormat="1" hidden="1" outlineLevel="2">
      <c r="B5599" s="2" t="s">
        <v>833</v>
      </c>
      <c r="D5599" s="114">
        <v>5329</v>
      </c>
      <c r="E5599" s="114" t="s">
        <v>4985</v>
      </c>
      <c r="F5599" s="114" t="s">
        <v>5527</v>
      </c>
      <c r="G5599" s="114" t="s">
        <v>5520</v>
      </c>
      <c r="H5599" s="279">
        <v>0.32900000000000001</v>
      </c>
      <c r="J5599" s="2"/>
    </row>
    <row r="5600" spans="2:10" s="317" customFormat="1" hidden="1" outlineLevel="2">
      <c r="B5600" s="2" t="s">
        <v>833</v>
      </c>
      <c r="D5600" s="112">
        <v>6110</v>
      </c>
      <c r="E5600" s="112" t="s">
        <v>4987</v>
      </c>
      <c r="F5600" s="112" t="s">
        <v>5528</v>
      </c>
      <c r="G5600" s="112" t="s">
        <v>5529</v>
      </c>
      <c r="H5600" s="276">
        <v>0.36849999999999999</v>
      </c>
      <c r="J5600" s="2"/>
    </row>
    <row r="5601" spans="2:10" s="317" customFormat="1" hidden="1" outlineLevel="2">
      <c r="B5601" s="2" t="s">
        <v>833</v>
      </c>
      <c r="D5601" s="114">
        <v>6121</v>
      </c>
      <c r="E5601" s="114" t="s">
        <v>4987</v>
      </c>
      <c r="F5601" s="114" t="s">
        <v>5530</v>
      </c>
      <c r="G5601" s="114" t="s">
        <v>5531</v>
      </c>
      <c r="H5601" s="279">
        <v>0.36849999999999999</v>
      </c>
      <c r="J5601" s="2"/>
    </row>
    <row r="5602" spans="2:10" s="317" customFormat="1" hidden="1" outlineLevel="2">
      <c r="B5602" s="2" t="s">
        <v>833</v>
      </c>
      <c r="D5602" s="112">
        <v>6122</v>
      </c>
      <c r="E5602" s="112" t="s">
        <v>4987</v>
      </c>
      <c r="F5602" s="112" t="s">
        <v>5532</v>
      </c>
      <c r="G5602" s="112" t="s">
        <v>5531</v>
      </c>
      <c r="H5602" s="276">
        <v>0.36849999999999999</v>
      </c>
      <c r="J5602" s="2"/>
    </row>
    <row r="5603" spans="2:10" s="317" customFormat="1" hidden="1" outlineLevel="2">
      <c r="B5603" s="2" t="s">
        <v>833</v>
      </c>
      <c r="D5603" s="114">
        <v>6123</v>
      </c>
      <c r="E5603" s="114" t="s">
        <v>4987</v>
      </c>
      <c r="F5603" s="114" t="s">
        <v>5533</v>
      </c>
      <c r="G5603" s="114" t="s">
        <v>5531</v>
      </c>
      <c r="H5603" s="279">
        <v>0.36849999999999999</v>
      </c>
      <c r="J5603" s="2"/>
    </row>
    <row r="5604" spans="2:10" s="317" customFormat="1" hidden="1" outlineLevel="2">
      <c r="B5604" s="2" t="s">
        <v>833</v>
      </c>
      <c r="D5604" s="112">
        <v>6200</v>
      </c>
      <c r="E5604" s="112" t="s">
        <v>4987</v>
      </c>
      <c r="F5604" s="112" t="s">
        <v>5534</v>
      </c>
      <c r="G5604" s="112" t="s">
        <v>5535</v>
      </c>
      <c r="H5604" s="276">
        <v>0.36849999999999999</v>
      </c>
      <c r="J5604" s="2"/>
    </row>
    <row r="5605" spans="2:10" s="317" customFormat="1" hidden="1" outlineLevel="2">
      <c r="B5605" s="2" t="s">
        <v>833</v>
      </c>
      <c r="D5605" s="114">
        <v>6301</v>
      </c>
      <c r="E5605" s="114" t="s">
        <v>4987</v>
      </c>
      <c r="F5605" s="114" t="s">
        <v>5536</v>
      </c>
      <c r="G5605" s="114" t="s">
        <v>5535</v>
      </c>
      <c r="H5605" s="279">
        <v>0.36849999999999999</v>
      </c>
      <c r="J5605" s="2"/>
    </row>
    <row r="5606" spans="2:10" s="317" customFormat="1" hidden="1" outlineLevel="2">
      <c r="B5606" s="2" t="s">
        <v>833</v>
      </c>
      <c r="D5606" s="112">
        <v>6302</v>
      </c>
      <c r="E5606" s="112" t="s">
        <v>4987</v>
      </c>
      <c r="F5606" s="112" t="s">
        <v>5537</v>
      </c>
      <c r="G5606" s="112" t="s">
        <v>5535</v>
      </c>
      <c r="H5606" s="276">
        <v>0.36849999999999999</v>
      </c>
      <c r="J5606" s="2"/>
    </row>
    <row r="5607" spans="2:10" s="317" customFormat="1" hidden="1" outlineLevel="2">
      <c r="B5607" s="2" t="s">
        <v>833</v>
      </c>
      <c r="D5607" s="114">
        <v>6303</v>
      </c>
      <c r="E5607" s="114" t="s">
        <v>4987</v>
      </c>
      <c r="F5607" s="114" t="s">
        <v>5538</v>
      </c>
      <c r="G5607" s="114" t="s">
        <v>5535</v>
      </c>
      <c r="H5607" s="279">
        <v>0.36849999999999999</v>
      </c>
      <c r="J5607" s="2"/>
    </row>
    <row r="5608" spans="2:10" s="317" customFormat="1" hidden="1" outlineLevel="2">
      <c r="B5608" s="2" t="s">
        <v>833</v>
      </c>
      <c r="D5608" s="112">
        <v>6401</v>
      </c>
      <c r="E5608" s="112" t="s">
        <v>4987</v>
      </c>
      <c r="F5608" s="112" t="s">
        <v>5539</v>
      </c>
      <c r="G5608" s="112" t="s">
        <v>5535</v>
      </c>
      <c r="H5608" s="276">
        <v>0.36849999999999999</v>
      </c>
      <c r="J5608" s="2"/>
    </row>
    <row r="5609" spans="2:10" s="317" customFormat="1" hidden="1" outlineLevel="2">
      <c r="B5609" s="2" t="s">
        <v>833</v>
      </c>
      <c r="D5609" s="114">
        <v>6402</v>
      </c>
      <c r="E5609" s="114" t="s">
        <v>4987</v>
      </c>
      <c r="F5609" s="114" t="s">
        <v>5540</v>
      </c>
      <c r="G5609" s="114" t="s">
        <v>5535</v>
      </c>
      <c r="H5609" s="279">
        <v>0.36849999999999999</v>
      </c>
      <c r="J5609" s="2"/>
    </row>
    <row r="5610" spans="2:10" s="317" customFormat="1" hidden="1" outlineLevel="2">
      <c r="B5610" s="2" t="s">
        <v>833</v>
      </c>
      <c r="D5610" s="112">
        <v>6403</v>
      </c>
      <c r="E5610" s="112" t="s">
        <v>4987</v>
      </c>
      <c r="F5610" s="112" t="s">
        <v>5541</v>
      </c>
      <c r="G5610" s="112" t="s">
        <v>5535</v>
      </c>
      <c r="H5610" s="276">
        <v>0.36849999999999999</v>
      </c>
      <c r="J5610" s="2"/>
    </row>
    <row r="5611" spans="2:10" s="317" customFormat="1" hidden="1" outlineLevel="2">
      <c r="B5611" s="2" t="s">
        <v>833</v>
      </c>
      <c r="D5611" s="114">
        <v>6501</v>
      </c>
      <c r="E5611" s="114" t="s">
        <v>4987</v>
      </c>
      <c r="F5611" s="114" t="s">
        <v>5542</v>
      </c>
      <c r="G5611" s="114" t="s">
        <v>5535</v>
      </c>
      <c r="H5611" s="279">
        <v>0.36849999999999999</v>
      </c>
      <c r="J5611" s="2"/>
    </row>
    <row r="5612" spans="2:10" s="317" customFormat="1" hidden="1" outlineLevel="2">
      <c r="B5612" s="2" t="s">
        <v>833</v>
      </c>
      <c r="D5612" s="112">
        <v>6509</v>
      </c>
      <c r="E5612" s="112" t="s">
        <v>4987</v>
      </c>
      <c r="F5612" s="112" t="s">
        <v>5543</v>
      </c>
      <c r="G5612" s="112" t="s">
        <v>5535</v>
      </c>
      <c r="H5612" s="276">
        <v>0.36849999999999999</v>
      </c>
      <c r="J5612" s="2"/>
    </row>
    <row r="5613" spans="2:10" s="317" customFormat="1" hidden="1" outlineLevel="2">
      <c r="B5613" s="2" t="s">
        <v>833</v>
      </c>
      <c r="D5613" s="114">
        <v>6611</v>
      </c>
      <c r="E5613" s="114" t="s">
        <v>4987</v>
      </c>
      <c r="F5613" s="114" t="s">
        <v>5544</v>
      </c>
      <c r="G5613" s="114" t="s">
        <v>5535</v>
      </c>
      <c r="H5613" s="279">
        <v>0.36849999999999999</v>
      </c>
      <c r="J5613" s="2"/>
    </row>
    <row r="5614" spans="2:10" s="317" customFormat="1" hidden="1" outlineLevel="2">
      <c r="B5614" s="2" t="s">
        <v>833</v>
      </c>
      <c r="D5614" s="112">
        <v>6619</v>
      </c>
      <c r="E5614" s="112" t="s">
        <v>4987</v>
      </c>
      <c r="F5614" s="112" t="s">
        <v>5545</v>
      </c>
      <c r="G5614" s="112" t="s">
        <v>5535</v>
      </c>
      <c r="H5614" s="276">
        <v>0.36849999999999999</v>
      </c>
      <c r="J5614" s="2"/>
    </row>
    <row r="5615" spans="2:10" s="317" customFormat="1" hidden="1" outlineLevel="2">
      <c r="B5615" s="2" t="s">
        <v>833</v>
      </c>
      <c r="D5615" s="114">
        <v>6621</v>
      </c>
      <c r="E5615" s="114" t="s">
        <v>4987</v>
      </c>
      <c r="F5615" s="114" t="s">
        <v>5546</v>
      </c>
      <c r="G5615" s="114" t="s">
        <v>5535</v>
      </c>
      <c r="H5615" s="279">
        <v>0.36849999999999999</v>
      </c>
      <c r="J5615" s="2"/>
    </row>
    <row r="5616" spans="2:10" s="317" customFormat="1" hidden="1" outlineLevel="2">
      <c r="B5616" s="2" t="s">
        <v>833</v>
      </c>
      <c r="D5616" s="112">
        <v>6622</v>
      </c>
      <c r="E5616" s="112" t="s">
        <v>4987</v>
      </c>
      <c r="F5616" s="112" t="s">
        <v>5547</v>
      </c>
      <c r="G5616" s="112" t="s">
        <v>5535</v>
      </c>
      <c r="H5616" s="276">
        <v>0.36849999999999999</v>
      </c>
      <c r="J5616" s="2"/>
    </row>
    <row r="5617" spans="2:10" s="317" customFormat="1" hidden="1" outlineLevel="2">
      <c r="B5617" s="2" t="s">
        <v>833</v>
      </c>
      <c r="D5617" s="114">
        <v>6623</v>
      </c>
      <c r="E5617" s="114" t="s">
        <v>4987</v>
      </c>
      <c r="F5617" s="114" t="s">
        <v>5548</v>
      </c>
      <c r="G5617" s="114" t="s">
        <v>5535</v>
      </c>
      <c r="H5617" s="279">
        <v>0.36849999999999999</v>
      </c>
      <c r="J5617" s="2"/>
    </row>
    <row r="5618" spans="2:10" s="317" customFormat="1" hidden="1" outlineLevel="2">
      <c r="B5618" s="2" t="s">
        <v>833</v>
      </c>
      <c r="D5618" s="112">
        <v>6629</v>
      </c>
      <c r="E5618" s="112" t="s">
        <v>4987</v>
      </c>
      <c r="F5618" s="112" t="s">
        <v>5549</v>
      </c>
      <c r="G5618" s="112" t="s">
        <v>5535</v>
      </c>
      <c r="H5618" s="276">
        <v>0.36849999999999999</v>
      </c>
      <c r="J5618" s="2"/>
    </row>
    <row r="5619" spans="2:10" s="317" customFormat="1" hidden="1" outlineLevel="2">
      <c r="B5619" s="2" t="s">
        <v>833</v>
      </c>
      <c r="D5619" s="114">
        <v>6630</v>
      </c>
      <c r="E5619" s="114" t="s">
        <v>4987</v>
      </c>
      <c r="F5619" s="114" t="s">
        <v>5550</v>
      </c>
      <c r="G5619" s="114" t="s">
        <v>5551</v>
      </c>
      <c r="H5619" s="279">
        <v>0.36849999999999999</v>
      </c>
      <c r="J5619" s="2"/>
    </row>
    <row r="5620" spans="2:10" s="317" customFormat="1" hidden="1" outlineLevel="2">
      <c r="B5620" s="2" t="s">
        <v>833</v>
      </c>
      <c r="D5620" s="112">
        <v>6641</v>
      </c>
      <c r="E5620" s="112" t="s">
        <v>4987</v>
      </c>
      <c r="F5620" s="112" t="s">
        <v>5552</v>
      </c>
      <c r="G5620" s="112" t="s">
        <v>5553</v>
      </c>
      <c r="H5620" s="276">
        <v>0.36849999999999999</v>
      </c>
      <c r="J5620" s="2"/>
    </row>
    <row r="5621" spans="2:10" s="317" customFormat="1" hidden="1" outlineLevel="2">
      <c r="B5621" s="2" t="s">
        <v>833</v>
      </c>
      <c r="D5621" s="114">
        <v>6642</v>
      </c>
      <c r="E5621" s="114" t="s">
        <v>4987</v>
      </c>
      <c r="F5621" s="114" t="s">
        <v>5554</v>
      </c>
      <c r="G5621" s="114" t="s">
        <v>5555</v>
      </c>
      <c r="H5621" s="279">
        <v>0.36849999999999999</v>
      </c>
      <c r="J5621" s="2"/>
    </row>
    <row r="5622" spans="2:10" s="317" customFormat="1" hidden="1" outlineLevel="2">
      <c r="B5622" s="2" t="s">
        <v>833</v>
      </c>
      <c r="D5622" s="112">
        <v>6643</v>
      </c>
      <c r="E5622" s="112" t="s">
        <v>4987</v>
      </c>
      <c r="F5622" s="112" t="s">
        <v>5556</v>
      </c>
      <c r="G5622" s="112" t="s">
        <v>5555</v>
      </c>
      <c r="H5622" s="276">
        <v>0.36849999999999999</v>
      </c>
      <c r="J5622" s="2"/>
    </row>
    <row r="5623" spans="2:10" s="317" customFormat="1" hidden="1" outlineLevel="2">
      <c r="B5623" s="2" t="s">
        <v>833</v>
      </c>
      <c r="D5623" s="114">
        <v>6644</v>
      </c>
      <c r="E5623" s="114" t="s">
        <v>4987</v>
      </c>
      <c r="F5623" s="114" t="s">
        <v>5557</v>
      </c>
      <c r="G5623" s="114" t="s">
        <v>5555</v>
      </c>
      <c r="H5623" s="279">
        <v>0.36849999999999999</v>
      </c>
      <c r="J5623" s="2"/>
    </row>
    <row r="5624" spans="2:10" s="317" customFormat="1" hidden="1" outlineLevel="2">
      <c r="B5624" s="2" t="s">
        <v>833</v>
      </c>
      <c r="D5624" s="112">
        <v>6649</v>
      </c>
      <c r="E5624" s="112" t="s">
        <v>4987</v>
      </c>
      <c r="F5624" s="112" t="s">
        <v>5558</v>
      </c>
      <c r="G5624" s="112" t="s">
        <v>5555</v>
      </c>
      <c r="H5624" s="276">
        <v>0.36849999999999999</v>
      </c>
      <c r="J5624" s="2"/>
    </row>
    <row r="5625" spans="2:10" s="317" customFormat="1" hidden="1" outlineLevel="2">
      <c r="B5625" s="2" t="s">
        <v>833</v>
      </c>
      <c r="D5625" s="114">
        <v>6701</v>
      </c>
      <c r="E5625" s="114" t="s">
        <v>4987</v>
      </c>
      <c r="F5625" s="114" t="s">
        <v>5559</v>
      </c>
      <c r="G5625" s="114" t="s">
        <v>5555</v>
      </c>
      <c r="H5625" s="279">
        <v>0.36849999999999999</v>
      </c>
      <c r="J5625" s="2"/>
    </row>
    <row r="5626" spans="2:10" s="317" customFormat="1" hidden="1" outlineLevel="2">
      <c r="B5626" s="2" t="s">
        <v>833</v>
      </c>
      <c r="D5626" s="112">
        <v>6709</v>
      </c>
      <c r="E5626" s="112" t="s">
        <v>4987</v>
      </c>
      <c r="F5626" s="112" t="s">
        <v>5560</v>
      </c>
      <c r="G5626" s="112" t="s">
        <v>5555</v>
      </c>
      <c r="H5626" s="276">
        <v>0.36849999999999999</v>
      </c>
      <c r="J5626" s="2"/>
    </row>
    <row r="5627" spans="2:10" s="317" customFormat="1" hidden="1" outlineLevel="2">
      <c r="B5627" s="2" t="s">
        <v>833</v>
      </c>
      <c r="D5627" s="114">
        <v>4794</v>
      </c>
      <c r="E5627" s="114" t="s">
        <v>4989</v>
      </c>
      <c r="F5627" s="114" t="s">
        <v>5561</v>
      </c>
      <c r="G5627" s="114" t="s">
        <v>5562</v>
      </c>
      <c r="H5627" s="279">
        <v>0.34339999999999998</v>
      </c>
      <c r="J5627" s="2"/>
    </row>
    <row r="5628" spans="2:10" s="317" customFormat="1" hidden="1" outlineLevel="2">
      <c r="B5628" s="2" t="s">
        <v>833</v>
      </c>
      <c r="D5628" s="112">
        <v>4539</v>
      </c>
      <c r="E5628" s="112" t="s">
        <v>4989</v>
      </c>
      <c r="F5628" s="112" t="s">
        <v>5563</v>
      </c>
      <c r="G5628" s="112" t="s">
        <v>5564</v>
      </c>
      <c r="H5628" s="276">
        <v>0.34339999999999998</v>
      </c>
      <c r="J5628" s="2"/>
    </row>
    <row r="5629" spans="2:10" s="317" customFormat="1" hidden="1" outlineLevel="2">
      <c r="B5629" s="2" t="s">
        <v>833</v>
      </c>
      <c r="D5629" s="114">
        <v>4614</v>
      </c>
      <c r="E5629" s="114" t="s">
        <v>4989</v>
      </c>
      <c r="F5629" s="114" t="s">
        <v>5565</v>
      </c>
      <c r="G5629" s="114" t="s">
        <v>5564</v>
      </c>
      <c r="H5629" s="279">
        <v>0.34339999999999998</v>
      </c>
      <c r="J5629" s="2"/>
    </row>
    <row r="5630" spans="2:10" s="317" customFormat="1" hidden="1" outlineLevel="2">
      <c r="B5630" s="2" t="s">
        <v>833</v>
      </c>
      <c r="D5630" s="112">
        <v>4621</v>
      </c>
      <c r="E5630" s="112" t="s">
        <v>4989</v>
      </c>
      <c r="F5630" s="112" t="s">
        <v>5566</v>
      </c>
      <c r="G5630" s="112" t="s">
        <v>5567</v>
      </c>
      <c r="H5630" s="276">
        <v>0.34339999999999998</v>
      </c>
      <c r="J5630" s="2"/>
    </row>
    <row r="5631" spans="2:10" s="317" customFormat="1" hidden="1" outlineLevel="2">
      <c r="B5631" s="2" t="s">
        <v>833</v>
      </c>
      <c r="D5631" s="114">
        <v>4512</v>
      </c>
      <c r="E5631" s="114" t="s">
        <v>4989</v>
      </c>
      <c r="F5631" s="114" t="s">
        <v>5568</v>
      </c>
      <c r="G5631" s="114" t="s">
        <v>5569</v>
      </c>
      <c r="H5631" s="279">
        <v>0.34339999999999998</v>
      </c>
      <c r="J5631" s="2"/>
    </row>
    <row r="5632" spans="2:10" s="317" customFormat="1" hidden="1" outlineLevel="2">
      <c r="B5632" s="2" t="s">
        <v>833</v>
      </c>
      <c r="D5632" s="112">
        <v>4523</v>
      </c>
      <c r="E5632" s="112" t="s">
        <v>4989</v>
      </c>
      <c r="F5632" s="112" t="s">
        <v>5570</v>
      </c>
      <c r="G5632" s="112" t="s">
        <v>5564</v>
      </c>
      <c r="H5632" s="276">
        <v>0.34339999999999998</v>
      </c>
      <c r="J5632" s="2"/>
    </row>
    <row r="5633" spans="2:10" s="317" customFormat="1" hidden="1" outlineLevel="2">
      <c r="B5633" s="2" t="s">
        <v>833</v>
      </c>
      <c r="D5633" s="114">
        <v>4722</v>
      </c>
      <c r="E5633" s="114" t="s">
        <v>4989</v>
      </c>
      <c r="F5633" s="114" t="s">
        <v>5571</v>
      </c>
      <c r="G5633" s="114" t="s">
        <v>5572</v>
      </c>
      <c r="H5633" s="279">
        <v>0.34339999999999998</v>
      </c>
      <c r="J5633" s="2"/>
    </row>
    <row r="5634" spans="2:10" s="317" customFormat="1" hidden="1" outlineLevel="2">
      <c r="B5634" s="2" t="s">
        <v>833</v>
      </c>
      <c r="D5634" s="112">
        <v>4622</v>
      </c>
      <c r="E5634" s="112" t="s">
        <v>4989</v>
      </c>
      <c r="F5634" s="112" t="s">
        <v>5573</v>
      </c>
      <c r="G5634" s="112" t="s">
        <v>5567</v>
      </c>
      <c r="H5634" s="276">
        <v>0.34339999999999998</v>
      </c>
      <c r="J5634" s="2"/>
    </row>
    <row r="5635" spans="2:10" s="317" customFormat="1" hidden="1" outlineLevel="2">
      <c r="B5635" s="2" t="s">
        <v>833</v>
      </c>
      <c r="D5635" s="114">
        <v>4613</v>
      </c>
      <c r="E5635" s="114" t="s">
        <v>4989</v>
      </c>
      <c r="F5635" s="114" t="s">
        <v>5574</v>
      </c>
      <c r="G5635" s="114" t="s">
        <v>5564</v>
      </c>
      <c r="H5635" s="279">
        <v>0.34339999999999998</v>
      </c>
      <c r="J5635" s="2"/>
    </row>
    <row r="5636" spans="2:10" s="317" customFormat="1" hidden="1" outlineLevel="2">
      <c r="B5636" s="2" t="s">
        <v>833</v>
      </c>
      <c r="D5636" s="112">
        <v>4716</v>
      </c>
      <c r="E5636" s="112" t="s">
        <v>4989</v>
      </c>
      <c r="F5636" s="112" t="s">
        <v>5575</v>
      </c>
      <c r="G5636" s="112" t="s">
        <v>5576</v>
      </c>
      <c r="H5636" s="276">
        <v>0.34339999999999998</v>
      </c>
      <c r="J5636" s="2"/>
    </row>
    <row r="5637" spans="2:10" s="317" customFormat="1" hidden="1" outlineLevel="2">
      <c r="B5637" s="2" t="s">
        <v>833</v>
      </c>
      <c r="D5637" s="114">
        <v>4713</v>
      </c>
      <c r="E5637" s="114" t="s">
        <v>4989</v>
      </c>
      <c r="F5637" s="114" t="s">
        <v>5577</v>
      </c>
      <c r="G5637" s="114" t="s">
        <v>5576</v>
      </c>
      <c r="H5637" s="279">
        <v>0.34339999999999998</v>
      </c>
      <c r="J5637" s="2"/>
    </row>
    <row r="5638" spans="2:10" s="317" customFormat="1" hidden="1" outlineLevel="2">
      <c r="B5638" s="2" t="s">
        <v>833</v>
      </c>
      <c r="D5638" s="112">
        <v>4615</v>
      </c>
      <c r="E5638" s="112" t="s">
        <v>4989</v>
      </c>
      <c r="F5638" s="112" t="s">
        <v>5578</v>
      </c>
      <c r="G5638" s="112" t="s">
        <v>5564</v>
      </c>
      <c r="H5638" s="276">
        <v>0.34339999999999998</v>
      </c>
      <c r="J5638" s="2"/>
    </row>
    <row r="5639" spans="2:10" s="317" customFormat="1" hidden="1" outlineLevel="2">
      <c r="B5639" s="2" t="s">
        <v>833</v>
      </c>
      <c r="D5639" s="114">
        <v>4611</v>
      </c>
      <c r="E5639" s="114" t="s">
        <v>4989</v>
      </c>
      <c r="F5639" s="114" t="s">
        <v>5579</v>
      </c>
      <c r="G5639" s="114" t="s">
        <v>5564</v>
      </c>
      <c r="H5639" s="279">
        <v>0.34339999999999998</v>
      </c>
      <c r="J5639" s="2"/>
    </row>
    <row r="5640" spans="2:10" s="317" customFormat="1" hidden="1" outlineLevel="2">
      <c r="B5640" s="2" t="s">
        <v>833</v>
      </c>
      <c r="D5640" s="112">
        <v>4519</v>
      </c>
      <c r="E5640" s="112" t="s">
        <v>4989</v>
      </c>
      <c r="F5640" s="112" t="s">
        <v>5580</v>
      </c>
      <c r="G5640" s="112" t="s">
        <v>5569</v>
      </c>
      <c r="H5640" s="276">
        <v>0.34339999999999998</v>
      </c>
      <c r="J5640" s="2"/>
    </row>
    <row r="5641" spans="2:10" s="317" customFormat="1" hidden="1" outlineLevel="2">
      <c r="B5641" s="2" t="s">
        <v>833</v>
      </c>
      <c r="D5641" s="114">
        <v>4714</v>
      </c>
      <c r="E5641" s="114" t="s">
        <v>4989</v>
      </c>
      <c r="F5641" s="114" t="s">
        <v>5581</v>
      </c>
      <c r="G5641" s="114" t="s">
        <v>5576</v>
      </c>
      <c r="H5641" s="279">
        <v>0.34339999999999998</v>
      </c>
      <c r="J5641" s="2"/>
    </row>
    <row r="5642" spans="2:10" s="317" customFormat="1" hidden="1" outlineLevel="2">
      <c r="B5642" s="2" t="s">
        <v>833</v>
      </c>
      <c r="D5642" s="112">
        <v>4733</v>
      </c>
      <c r="E5642" s="112" t="s">
        <v>4989</v>
      </c>
      <c r="F5642" s="112" t="s">
        <v>5582</v>
      </c>
      <c r="G5642" s="112" t="s">
        <v>5572</v>
      </c>
      <c r="H5642" s="276">
        <v>0.34339999999999998</v>
      </c>
      <c r="J5642" s="2"/>
    </row>
    <row r="5643" spans="2:10" s="317" customFormat="1" hidden="1" outlineLevel="2">
      <c r="B5643" s="2" t="s">
        <v>833</v>
      </c>
      <c r="D5643" s="114">
        <v>4723</v>
      </c>
      <c r="E5643" s="114" t="s">
        <v>4989</v>
      </c>
      <c r="F5643" s="114" t="s">
        <v>5583</v>
      </c>
      <c r="G5643" s="114" t="s">
        <v>5572</v>
      </c>
      <c r="H5643" s="279">
        <v>0.34339999999999998</v>
      </c>
      <c r="J5643" s="2"/>
    </row>
    <row r="5644" spans="2:10" s="317" customFormat="1" hidden="1" outlineLevel="2">
      <c r="B5644" s="2" t="s">
        <v>833</v>
      </c>
      <c r="D5644" s="112">
        <v>4715</v>
      </c>
      <c r="E5644" s="112" t="s">
        <v>4989</v>
      </c>
      <c r="F5644" s="112" t="s">
        <v>5584</v>
      </c>
      <c r="G5644" s="112" t="s">
        <v>5576</v>
      </c>
      <c r="H5644" s="276">
        <v>0.34339999999999998</v>
      </c>
      <c r="J5644" s="2"/>
    </row>
    <row r="5645" spans="2:10" s="317" customFormat="1" hidden="1" outlineLevel="2">
      <c r="B5645" s="2" t="s">
        <v>833</v>
      </c>
      <c r="D5645" s="114">
        <v>4732</v>
      </c>
      <c r="E5645" s="114" t="s">
        <v>4989</v>
      </c>
      <c r="F5645" s="114" t="s">
        <v>5585</v>
      </c>
      <c r="G5645" s="114" t="s">
        <v>5572</v>
      </c>
      <c r="H5645" s="279">
        <v>0.34339999999999998</v>
      </c>
      <c r="J5645" s="2"/>
    </row>
    <row r="5646" spans="2:10" s="317" customFormat="1" hidden="1" outlineLevel="2">
      <c r="B5646" s="2" t="s">
        <v>833</v>
      </c>
      <c r="D5646" s="112">
        <v>4719</v>
      </c>
      <c r="E5646" s="112" t="s">
        <v>4989</v>
      </c>
      <c r="F5646" s="112" t="s">
        <v>5586</v>
      </c>
      <c r="G5646" s="112" t="s">
        <v>5576</v>
      </c>
      <c r="H5646" s="276">
        <v>0.34339999999999998</v>
      </c>
      <c r="J5646" s="2"/>
    </row>
    <row r="5647" spans="2:10" s="317" customFormat="1" hidden="1" outlineLevel="2">
      <c r="B5647" s="2" t="s">
        <v>833</v>
      </c>
      <c r="D5647" s="114">
        <v>4731</v>
      </c>
      <c r="E5647" s="114" t="s">
        <v>4989</v>
      </c>
      <c r="F5647" s="114" t="s">
        <v>5587</v>
      </c>
      <c r="G5647" s="114" t="s">
        <v>5572</v>
      </c>
      <c r="H5647" s="279">
        <v>0.34339999999999998</v>
      </c>
      <c r="J5647" s="2"/>
    </row>
    <row r="5648" spans="2:10" s="317" customFormat="1" hidden="1" outlineLevel="2">
      <c r="B5648" s="2" t="s">
        <v>833</v>
      </c>
      <c r="D5648" s="112">
        <v>4739</v>
      </c>
      <c r="E5648" s="112" t="s">
        <v>4989</v>
      </c>
      <c r="F5648" s="112" t="s">
        <v>5588</v>
      </c>
      <c r="G5648" s="112" t="s">
        <v>5572</v>
      </c>
      <c r="H5648" s="276">
        <v>0.34339999999999998</v>
      </c>
      <c r="J5648" s="2"/>
    </row>
    <row r="5649" spans="2:10" s="317" customFormat="1" hidden="1" outlineLevel="2">
      <c r="B5649" s="2" t="s">
        <v>833</v>
      </c>
      <c r="D5649" s="114">
        <v>4792</v>
      </c>
      <c r="E5649" s="114" t="s">
        <v>4989</v>
      </c>
      <c r="F5649" s="114" t="s">
        <v>5589</v>
      </c>
      <c r="G5649" s="114" t="s">
        <v>5562</v>
      </c>
      <c r="H5649" s="279">
        <v>0.34339999999999998</v>
      </c>
      <c r="J5649" s="2"/>
    </row>
    <row r="5650" spans="2:10" s="317" customFormat="1" hidden="1" outlineLevel="2">
      <c r="B5650" s="2" t="s">
        <v>833</v>
      </c>
      <c r="D5650" s="112">
        <v>4717</v>
      </c>
      <c r="E5650" s="112" t="s">
        <v>4989</v>
      </c>
      <c r="F5650" s="112" t="s">
        <v>5590</v>
      </c>
      <c r="G5650" s="112" t="s">
        <v>5576</v>
      </c>
      <c r="H5650" s="276">
        <v>0.34339999999999998</v>
      </c>
      <c r="J5650" s="2"/>
    </row>
    <row r="5651" spans="2:10" s="317" customFormat="1" hidden="1" outlineLevel="2">
      <c r="B5651" s="2" t="s">
        <v>833</v>
      </c>
      <c r="D5651" s="114">
        <v>4619</v>
      </c>
      <c r="E5651" s="114" t="s">
        <v>4989</v>
      </c>
      <c r="F5651" s="114" t="s">
        <v>5591</v>
      </c>
      <c r="G5651" s="114" t="s">
        <v>5564</v>
      </c>
      <c r="H5651" s="279">
        <v>0.34339999999999998</v>
      </c>
      <c r="J5651" s="2"/>
    </row>
    <row r="5652" spans="2:10" s="317" customFormat="1" hidden="1" outlineLevel="2">
      <c r="B5652" s="2" t="s">
        <v>833</v>
      </c>
      <c r="D5652" s="112">
        <v>4711</v>
      </c>
      <c r="E5652" s="112" t="s">
        <v>4989</v>
      </c>
      <c r="F5652" s="112" t="s">
        <v>5592</v>
      </c>
      <c r="G5652" s="112" t="s">
        <v>5576</v>
      </c>
      <c r="H5652" s="276">
        <v>0.34339999999999998</v>
      </c>
      <c r="J5652" s="2"/>
    </row>
    <row r="5653" spans="2:10" s="317" customFormat="1" hidden="1" outlineLevel="2">
      <c r="B5653" s="2" t="s">
        <v>833</v>
      </c>
      <c r="D5653" s="114">
        <v>4522</v>
      </c>
      <c r="E5653" s="114" t="s">
        <v>4989</v>
      </c>
      <c r="F5653" s="114" t="s">
        <v>5593</v>
      </c>
      <c r="G5653" s="114" t="s">
        <v>5564</v>
      </c>
      <c r="H5653" s="279">
        <v>0.34339999999999998</v>
      </c>
      <c r="J5653" s="2"/>
    </row>
    <row r="5654" spans="2:10" s="317" customFormat="1" hidden="1" outlineLevel="2">
      <c r="B5654" s="2" t="s">
        <v>833</v>
      </c>
      <c r="D5654" s="112">
        <v>4624</v>
      </c>
      <c r="E5654" s="112" t="s">
        <v>4989</v>
      </c>
      <c r="F5654" s="112" t="s">
        <v>5594</v>
      </c>
      <c r="G5654" s="112" t="s">
        <v>5567</v>
      </c>
      <c r="H5654" s="276">
        <v>0.34339999999999998</v>
      </c>
      <c r="J5654" s="2"/>
    </row>
    <row r="5655" spans="2:10" s="317" customFormat="1" hidden="1" outlineLevel="2">
      <c r="B5655" s="2" t="s">
        <v>833</v>
      </c>
      <c r="D5655" s="114">
        <v>4623</v>
      </c>
      <c r="E5655" s="114" t="s">
        <v>4989</v>
      </c>
      <c r="F5655" s="114" t="s">
        <v>5595</v>
      </c>
      <c r="G5655" s="114" t="s">
        <v>5567</v>
      </c>
      <c r="H5655" s="279">
        <v>0.34339999999999998</v>
      </c>
      <c r="J5655" s="2"/>
    </row>
    <row r="5656" spans="2:10" s="317" customFormat="1" hidden="1" outlineLevel="2">
      <c r="B5656" s="2" t="s">
        <v>833</v>
      </c>
      <c r="D5656" s="112">
        <v>4795</v>
      </c>
      <c r="E5656" s="112" t="s">
        <v>4989</v>
      </c>
      <c r="F5656" s="112" t="s">
        <v>5596</v>
      </c>
      <c r="G5656" s="112" t="s">
        <v>5562</v>
      </c>
      <c r="H5656" s="276">
        <v>0.34339999999999998</v>
      </c>
      <c r="J5656" s="2"/>
    </row>
    <row r="5657" spans="2:10" s="317" customFormat="1" hidden="1" outlineLevel="2">
      <c r="B5657" s="2" t="s">
        <v>833</v>
      </c>
      <c r="D5657" s="114">
        <v>4521</v>
      </c>
      <c r="E5657" s="114" t="s">
        <v>4989</v>
      </c>
      <c r="F5657" s="114" t="s">
        <v>5597</v>
      </c>
      <c r="G5657" s="114" t="s">
        <v>5564</v>
      </c>
      <c r="H5657" s="279">
        <v>0.34339999999999998</v>
      </c>
      <c r="J5657" s="2"/>
    </row>
    <row r="5658" spans="2:10" s="317" customFormat="1" hidden="1" outlineLevel="2">
      <c r="B5658" s="2" t="s">
        <v>833</v>
      </c>
      <c r="D5658" s="112">
        <v>4796</v>
      </c>
      <c r="E5658" s="112" t="s">
        <v>4989</v>
      </c>
      <c r="F5658" s="112" t="s">
        <v>5598</v>
      </c>
      <c r="G5658" s="112" t="s">
        <v>5562</v>
      </c>
      <c r="H5658" s="276">
        <v>0.34339999999999998</v>
      </c>
      <c r="J5658" s="2"/>
    </row>
    <row r="5659" spans="2:10" s="317" customFormat="1" hidden="1" outlineLevel="2">
      <c r="B5659" s="2" t="s">
        <v>833</v>
      </c>
      <c r="D5659" s="114">
        <v>4791</v>
      </c>
      <c r="E5659" s="114" t="s">
        <v>4989</v>
      </c>
      <c r="F5659" s="114" t="s">
        <v>5599</v>
      </c>
      <c r="G5659" s="114" t="s">
        <v>5562</v>
      </c>
      <c r="H5659" s="279">
        <v>0.34339999999999998</v>
      </c>
      <c r="J5659" s="2"/>
    </row>
    <row r="5660" spans="2:10" s="317" customFormat="1" hidden="1" outlineLevel="2">
      <c r="B5660" s="2" t="s">
        <v>833</v>
      </c>
      <c r="D5660" s="112">
        <v>4712</v>
      </c>
      <c r="E5660" s="112" t="s">
        <v>4989</v>
      </c>
      <c r="F5660" s="112" t="s">
        <v>5600</v>
      </c>
      <c r="G5660" s="112" t="s">
        <v>5576</v>
      </c>
      <c r="H5660" s="276">
        <v>0.34339999999999998</v>
      </c>
      <c r="J5660" s="2"/>
    </row>
    <row r="5661" spans="2:10" s="317" customFormat="1" hidden="1" outlineLevel="2">
      <c r="B5661" s="2" t="s">
        <v>833</v>
      </c>
      <c r="D5661" s="114">
        <v>4612</v>
      </c>
      <c r="E5661" s="114" t="s">
        <v>4989</v>
      </c>
      <c r="F5661" s="114" t="s">
        <v>5601</v>
      </c>
      <c r="G5661" s="114" t="s">
        <v>5564</v>
      </c>
      <c r="H5661" s="279">
        <v>0.34339999999999998</v>
      </c>
      <c r="J5661" s="2"/>
    </row>
    <row r="5662" spans="2:10" s="317" customFormat="1" hidden="1" outlineLevel="2">
      <c r="B5662" s="2" t="s">
        <v>833</v>
      </c>
      <c r="D5662" s="112">
        <v>4721</v>
      </c>
      <c r="E5662" s="112" t="s">
        <v>4989</v>
      </c>
      <c r="F5662" s="112" t="s">
        <v>5602</v>
      </c>
      <c r="G5662" s="112" t="s">
        <v>5572</v>
      </c>
      <c r="H5662" s="276">
        <v>0.34339999999999998</v>
      </c>
      <c r="J5662" s="2"/>
    </row>
    <row r="5663" spans="2:10" s="317" customFormat="1" hidden="1" outlineLevel="2">
      <c r="B5663" s="2" t="s">
        <v>833</v>
      </c>
      <c r="D5663" s="114">
        <v>4531</v>
      </c>
      <c r="E5663" s="114" t="s">
        <v>4989</v>
      </c>
      <c r="F5663" s="114" t="s">
        <v>5603</v>
      </c>
      <c r="G5663" s="114" t="s">
        <v>5564</v>
      </c>
      <c r="H5663" s="279">
        <v>0.34339999999999998</v>
      </c>
      <c r="J5663" s="2"/>
    </row>
    <row r="5664" spans="2:10" s="317" customFormat="1" hidden="1" outlineLevel="2">
      <c r="B5664" s="2" t="s">
        <v>833</v>
      </c>
      <c r="D5664" s="112">
        <v>4718</v>
      </c>
      <c r="E5664" s="112" t="s">
        <v>4989</v>
      </c>
      <c r="F5664" s="112" t="s">
        <v>5604</v>
      </c>
      <c r="G5664" s="112" t="s">
        <v>5576</v>
      </c>
      <c r="H5664" s="276">
        <v>0.34339999999999998</v>
      </c>
      <c r="J5664" s="2"/>
    </row>
    <row r="5665" spans="2:54" s="317" customFormat="1" hidden="1" outlineLevel="2">
      <c r="B5665" s="2" t="s">
        <v>833</v>
      </c>
      <c r="D5665" s="114">
        <v>4793</v>
      </c>
      <c r="E5665" s="114" t="s">
        <v>4989</v>
      </c>
      <c r="F5665" s="114" t="s">
        <v>5605</v>
      </c>
      <c r="G5665" s="114" t="s">
        <v>5562</v>
      </c>
      <c r="H5665" s="279">
        <v>0.34339999999999998</v>
      </c>
      <c r="J5665" s="2"/>
    </row>
    <row r="5666" spans="2:54" s="317" customFormat="1" hidden="1" outlineLevel="2">
      <c r="B5666" s="2" t="s">
        <v>833</v>
      </c>
      <c r="D5666" s="112">
        <v>4799</v>
      </c>
      <c r="E5666" s="112" t="s">
        <v>4989</v>
      </c>
      <c r="F5666" s="112" t="s">
        <v>5606</v>
      </c>
      <c r="G5666" s="112" t="s">
        <v>5562</v>
      </c>
      <c r="H5666" s="276">
        <v>0.34339999999999998</v>
      </c>
      <c r="J5666" s="2"/>
    </row>
    <row r="5667" spans="2:54" s="317" customFormat="1" hidden="1" outlineLevel="2">
      <c r="B5667" s="2" t="s">
        <v>833</v>
      </c>
      <c r="D5667" s="114">
        <v>4511</v>
      </c>
      <c r="E5667" s="114" t="s">
        <v>4989</v>
      </c>
      <c r="F5667" s="114" t="s">
        <v>5607</v>
      </c>
      <c r="G5667" s="114" t="s">
        <v>5569</v>
      </c>
      <c r="H5667" s="279">
        <v>0.34339999999999998</v>
      </c>
      <c r="J5667" s="2"/>
    </row>
    <row r="5668" spans="2:54" collapsed="1">
      <c r="B5668" s="2" t="s">
        <v>833</v>
      </c>
      <c r="C5668" s="246" t="s">
        <v>5608</v>
      </c>
      <c r="D5668" s="210" t="s">
        <v>843</v>
      </c>
      <c r="E5668" s="210" t="s">
        <v>844</v>
      </c>
      <c r="F5668" s="210" t="s">
        <v>845</v>
      </c>
      <c r="G5668" s="210" t="s">
        <v>846</v>
      </c>
      <c r="H5668" s="210" t="s">
        <v>847</v>
      </c>
      <c r="I5668" s="209" t="s">
        <v>848</v>
      </c>
      <c r="J5668" s="210" t="s">
        <v>849</v>
      </c>
      <c r="K5668" s="210" t="s">
        <v>850</v>
      </c>
      <c r="L5668" s="210" t="s">
        <v>8055</v>
      </c>
      <c r="M5668" s="210" t="s">
        <v>8168</v>
      </c>
      <c r="N5668" s="210" t="s">
        <v>8571</v>
      </c>
      <c r="O5668" s="210" t="s">
        <v>8755</v>
      </c>
      <c r="P5668" s="210" t="s">
        <v>8892</v>
      </c>
    </row>
    <row r="5669" spans="2:54" hidden="1" outlineLevel="1">
      <c r="B5669" s="2" t="s">
        <v>833</v>
      </c>
      <c r="C5669" s="137"/>
    </row>
    <row r="5670" spans="2:54" hidden="1" outlineLevel="1" collapsed="1">
      <c r="B5670" s="2" t="s">
        <v>833</v>
      </c>
      <c r="C5670" s="137" t="s">
        <v>520</v>
      </c>
      <c r="D5670" s="298" t="s">
        <v>5609</v>
      </c>
      <c r="E5670" s="298" t="s">
        <v>5610</v>
      </c>
      <c r="F5670" s="298" t="s">
        <v>5611</v>
      </c>
      <c r="G5670" s="298" t="s">
        <v>5612</v>
      </c>
      <c r="H5670" s="298" t="s">
        <v>5613</v>
      </c>
      <c r="I5670" s="298" t="s">
        <v>5614</v>
      </c>
      <c r="J5670" s="298" t="s">
        <v>5615</v>
      </c>
      <c r="K5670" s="239" t="s">
        <v>5616</v>
      </c>
      <c r="L5670" s="239" t="s">
        <v>5617</v>
      </c>
    </row>
    <row r="5671" spans="2:54" hidden="1" outlineLevel="2">
      <c r="B5671" s="2" t="s">
        <v>833</v>
      </c>
      <c r="D5671" s="138" t="s">
        <v>5618</v>
      </c>
      <c r="E5671" s="138" t="s">
        <v>5619</v>
      </c>
      <c r="F5671" s="138" t="s">
        <v>5620</v>
      </c>
      <c r="G5671" s="138" t="s">
        <v>5621</v>
      </c>
      <c r="H5671" s="138" t="s">
        <v>5622</v>
      </c>
      <c r="I5671" s="138" t="s">
        <v>5623</v>
      </c>
      <c r="J5671" s="138" t="s">
        <v>5624</v>
      </c>
      <c r="K5671" s="138" t="s">
        <v>5625</v>
      </c>
      <c r="L5671" s="138" t="s">
        <v>5626</v>
      </c>
    </row>
    <row r="5672" spans="2:54" hidden="1" outlineLevel="2">
      <c r="B5672" s="2" t="s">
        <v>833</v>
      </c>
      <c r="D5672" s="112" t="b">
        <v>1</v>
      </c>
      <c r="E5672" s="112"/>
      <c r="F5672" s="112"/>
      <c r="G5672" s="112"/>
      <c r="H5672" s="112"/>
      <c r="I5672" s="112"/>
      <c r="J5672" s="112"/>
      <c r="K5672" s="112" t="b">
        <v>0</v>
      </c>
      <c r="L5672" s="112" t="b">
        <v>0</v>
      </c>
      <c r="R5672" s="295"/>
      <c r="S5672" s="295"/>
      <c r="T5672" s="295"/>
    </row>
    <row r="5673" spans="2:54" hidden="1" outlineLevel="2">
      <c r="B5673" s="2" t="s">
        <v>833</v>
      </c>
      <c r="D5673" s="114" t="b">
        <v>0</v>
      </c>
      <c r="E5673" s="114"/>
      <c r="F5673" s="114" t="s">
        <v>5627</v>
      </c>
      <c r="G5673" s="114"/>
      <c r="H5673" s="114" t="s">
        <v>486</v>
      </c>
      <c r="I5673" s="114" t="s">
        <v>494</v>
      </c>
      <c r="J5673" s="114"/>
      <c r="K5673" s="114" t="b">
        <v>1</v>
      </c>
      <c r="L5673" s="114" t="b">
        <v>1</v>
      </c>
      <c r="R5673" s="295"/>
      <c r="S5673" s="295"/>
      <c r="T5673" s="295"/>
    </row>
    <row r="5674" spans="2:54" hidden="1" outlineLevel="2">
      <c r="B5674" s="2" t="s">
        <v>833</v>
      </c>
      <c r="D5674" s="112" t="b">
        <v>0</v>
      </c>
      <c r="E5674" s="112"/>
      <c r="F5674" s="112" t="s">
        <v>5627</v>
      </c>
      <c r="G5674" s="112"/>
      <c r="H5674" s="112" t="s">
        <v>484</v>
      </c>
      <c r="I5674" s="112" t="s">
        <v>5628</v>
      </c>
      <c r="J5674" s="112"/>
      <c r="K5674" s="112" t="b">
        <v>0</v>
      </c>
      <c r="L5674" s="112" t="b">
        <v>1</v>
      </c>
      <c r="R5674" s="295"/>
      <c r="S5674" s="295"/>
      <c r="T5674" s="295"/>
    </row>
    <row r="5675" spans="2:54" hidden="1" outlineLevel="2">
      <c r="B5675" s="2" t="s">
        <v>833</v>
      </c>
      <c r="D5675" s="114" t="b">
        <v>0</v>
      </c>
      <c r="E5675" s="114"/>
      <c r="F5675" s="114" t="s">
        <v>5627</v>
      </c>
      <c r="G5675" s="114"/>
      <c r="H5675" s="114" t="s">
        <v>486</v>
      </c>
      <c r="I5675" s="114" t="s">
        <v>498</v>
      </c>
      <c r="J5675" s="114"/>
      <c r="K5675" s="114" t="b">
        <v>1</v>
      </c>
      <c r="L5675" s="114"/>
      <c r="R5675" s="295"/>
      <c r="S5675" s="295"/>
      <c r="T5675" s="295"/>
    </row>
    <row r="5676" spans="2:54" hidden="1" outlineLevel="2">
      <c r="B5676" s="2" t="s">
        <v>833</v>
      </c>
      <c r="D5676" s="112" t="b">
        <v>0</v>
      </c>
      <c r="E5676" s="112"/>
      <c r="F5676" s="112" t="s">
        <v>488</v>
      </c>
      <c r="G5676" s="112"/>
      <c r="H5676" s="112" t="s">
        <v>488</v>
      </c>
      <c r="I5676" s="112" t="s">
        <v>5628</v>
      </c>
      <c r="J5676" s="112"/>
      <c r="K5676" s="112" t="b">
        <v>1</v>
      </c>
      <c r="L5676" s="112" t="b">
        <v>1</v>
      </c>
      <c r="R5676" s="295"/>
      <c r="S5676" s="295"/>
      <c r="T5676" s="295"/>
    </row>
    <row r="5677" spans="2:54" hidden="1" outlineLevel="2">
      <c r="B5677" s="2" t="s">
        <v>833</v>
      </c>
      <c r="D5677" s="114" t="b">
        <v>0</v>
      </c>
      <c r="E5677" s="114"/>
      <c r="F5677" s="114"/>
      <c r="G5677" s="114" t="s">
        <v>499</v>
      </c>
      <c r="H5677" s="114"/>
      <c r="I5677" s="114" t="s">
        <v>499</v>
      </c>
      <c r="J5677" s="114" t="b">
        <v>0</v>
      </c>
      <c r="K5677" s="114" t="b">
        <v>1</v>
      </c>
      <c r="L5677" s="114"/>
      <c r="R5677" s="295"/>
      <c r="S5677" s="295"/>
      <c r="T5677" s="295"/>
    </row>
    <row r="5678" spans="2:54" hidden="1" outlineLevel="2">
      <c r="B5678" s="2" t="s">
        <v>833</v>
      </c>
      <c r="D5678" s="112" t="b">
        <v>0</v>
      </c>
      <c r="E5678" s="112"/>
      <c r="F5678" s="112"/>
      <c r="G5678" s="112"/>
      <c r="H5678" s="112"/>
      <c r="I5678" s="112"/>
      <c r="J5678" s="112"/>
      <c r="K5678" s="112" t="b">
        <v>0</v>
      </c>
      <c r="L5678" s="112" t="b">
        <v>0</v>
      </c>
      <c r="R5678" s="295"/>
      <c r="S5678" s="295"/>
      <c r="T5678" s="295"/>
      <c r="AM5678" s="317"/>
    </row>
    <row r="5679" spans="2:54" s="317" customFormat="1" hidden="1" outlineLevel="2">
      <c r="B5679" s="2" t="s">
        <v>833</v>
      </c>
    </row>
    <row r="5680" spans="2:54" ht="15" hidden="1" customHeight="1" outlineLevel="1" collapsed="1">
      <c r="B5680" s="2" t="s">
        <v>833</v>
      </c>
      <c r="C5680" s="137" t="s">
        <v>521</v>
      </c>
      <c r="D5680" s="298" t="s">
        <v>5629</v>
      </c>
      <c r="E5680" s="298" t="s">
        <v>5630</v>
      </c>
      <c r="F5680" s="298" t="s">
        <v>5631</v>
      </c>
      <c r="G5680" s="298" t="s">
        <v>5632</v>
      </c>
      <c r="H5680" s="298" t="s">
        <v>5633</v>
      </c>
      <c r="I5680" s="298" t="s">
        <v>5634</v>
      </c>
      <c r="J5680" s="298" t="s">
        <v>5635</v>
      </c>
      <c r="K5680" s="298" t="s">
        <v>5636</v>
      </c>
      <c r="L5680" s="298" t="s">
        <v>5637</v>
      </c>
      <c r="M5680" s="298" t="s">
        <v>5638</v>
      </c>
      <c r="N5680" s="298" t="s">
        <v>5639</v>
      </c>
      <c r="O5680" s="298" t="s">
        <v>8823</v>
      </c>
      <c r="P5680" s="298" t="s">
        <v>5640</v>
      </c>
      <c r="Q5680" s="298" t="s">
        <v>5641</v>
      </c>
      <c r="R5680" s="298" t="s">
        <v>5642</v>
      </c>
      <c r="S5680" s="298" t="s">
        <v>5643</v>
      </c>
      <c r="T5680" s="298" t="s">
        <v>5644</v>
      </c>
      <c r="U5680" s="298" t="s">
        <v>5645</v>
      </c>
      <c r="V5680" s="298" t="s">
        <v>5646</v>
      </c>
      <c r="W5680" s="298" t="s">
        <v>5647</v>
      </c>
      <c r="X5680" s="298" t="s">
        <v>5648</v>
      </c>
      <c r="Y5680" s="298" t="s">
        <v>5649</v>
      </c>
      <c r="Z5680" s="298" t="s">
        <v>5650</v>
      </c>
      <c r="AA5680" s="298"/>
      <c r="AB5680" s="298" t="s">
        <v>5651</v>
      </c>
      <c r="AC5680" s="298" t="s">
        <v>5652</v>
      </c>
      <c r="AD5680" s="298" t="s">
        <v>5653</v>
      </c>
      <c r="AE5680" s="298" t="s">
        <v>5654</v>
      </c>
      <c r="AF5680" s="298" t="s">
        <v>5655</v>
      </c>
      <c r="AG5680" s="298" t="s">
        <v>5656</v>
      </c>
      <c r="AH5680" s="298" t="s">
        <v>5657</v>
      </c>
      <c r="AI5680" s="298" t="s">
        <v>5658</v>
      </c>
      <c r="AJ5680" s="298" t="s">
        <v>5659</v>
      </c>
      <c r="AK5680" s="298" t="s">
        <v>5660</v>
      </c>
      <c r="AL5680" s="298" t="s">
        <v>5661</v>
      </c>
      <c r="AM5680" s="239" t="s">
        <v>5662</v>
      </c>
      <c r="AN5680" s="239" t="s">
        <v>5663</v>
      </c>
      <c r="AO5680" s="239" t="s">
        <v>5664</v>
      </c>
      <c r="AP5680" s="239" t="s">
        <v>5665</v>
      </c>
      <c r="AQ5680" s="239" t="s">
        <v>5666</v>
      </c>
      <c r="AR5680" s="239" t="s">
        <v>5667</v>
      </c>
      <c r="AS5680" s="239" t="s">
        <v>5668</v>
      </c>
      <c r="AT5680" s="239" t="s">
        <v>5669</v>
      </c>
      <c r="AU5680" s="239" t="s">
        <v>5670</v>
      </c>
      <c r="AV5680" s="318" t="s">
        <v>5671</v>
      </c>
      <c r="AZ5680" s="317"/>
      <c r="BA5680" s="317"/>
      <c r="BB5680" s="317"/>
    </row>
    <row r="5681" spans="1:54" ht="15" hidden="1" customHeight="1" outlineLevel="2">
      <c r="B5681" s="2" t="s">
        <v>833</v>
      </c>
      <c r="D5681" s="138" t="s">
        <v>5672</v>
      </c>
      <c r="E5681" s="138" t="s">
        <v>5673</v>
      </c>
      <c r="F5681" s="138" t="s">
        <v>5674</v>
      </c>
      <c r="G5681" s="138" t="s">
        <v>5675</v>
      </c>
      <c r="H5681" s="138" t="s">
        <v>5676</v>
      </c>
      <c r="I5681" s="138" t="s">
        <v>5677</v>
      </c>
      <c r="J5681" s="138" t="s">
        <v>5678</v>
      </c>
      <c r="K5681" s="138" t="s">
        <v>5679</v>
      </c>
      <c r="L5681" s="138" t="s">
        <v>5680</v>
      </c>
      <c r="M5681" s="138" t="s">
        <v>5681</v>
      </c>
      <c r="N5681" s="138" t="s">
        <v>5682</v>
      </c>
      <c r="O5681" s="138" t="s">
        <v>8824</v>
      </c>
      <c r="P5681" s="138" t="s">
        <v>5683</v>
      </c>
      <c r="Q5681" s="138" t="s">
        <v>5684</v>
      </c>
      <c r="R5681" s="138" t="s">
        <v>5685</v>
      </c>
      <c r="S5681" s="138" t="s">
        <v>5686</v>
      </c>
      <c r="T5681" s="138" t="s">
        <v>5687</v>
      </c>
      <c r="U5681" s="138" t="s">
        <v>5688</v>
      </c>
      <c r="V5681" s="138" t="s">
        <v>5689</v>
      </c>
      <c r="W5681" s="138" t="s">
        <v>5690</v>
      </c>
      <c r="X5681" s="138" t="s">
        <v>5691</v>
      </c>
      <c r="Y5681" s="138" t="s">
        <v>5692</v>
      </c>
      <c r="Z5681" s="138" t="s">
        <v>5693</v>
      </c>
      <c r="AA5681" s="138"/>
      <c r="AB5681" s="138" t="s">
        <v>5694</v>
      </c>
      <c r="AC5681" s="138" t="s">
        <v>5695</v>
      </c>
      <c r="AD5681" s="138" t="s">
        <v>5696</v>
      </c>
      <c r="AE5681" s="138" t="s">
        <v>5697</v>
      </c>
      <c r="AF5681" s="138" t="s">
        <v>5698</v>
      </c>
      <c r="AG5681" s="138" t="s">
        <v>5699</v>
      </c>
      <c r="AH5681" s="138" t="s">
        <v>5700</v>
      </c>
      <c r="AI5681" s="138" t="s">
        <v>5701</v>
      </c>
      <c r="AJ5681" s="138" t="s">
        <v>5702</v>
      </c>
      <c r="AK5681" s="138" t="s">
        <v>5703</v>
      </c>
      <c r="AL5681" s="138" t="s">
        <v>5704</v>
      </c>
      <c r="AM5681" s="138" t="s">
        <v>5705</v>
      </c>
      <c r="AN5681" s="138" t="s">
        <v>5705</v>
      </c>
      <c r="AO5681" s="138" t="s">
        <v>5705</v>
      </c>
      <c r="AP5681" s="138" t="s">
        <v>5705</v>
      </c>
      <c r="AQ5681" s="138" t="s">
        <v>5705</v>
      </c>
      <c r="AR5681" s="138" t="s">
        <v>5705</v>
      </c>
      <c r="AS5681" s="138" t="s">
        <v>5705</v>
      </c>
      <c r="AT5681" s="138" t="s">
        <v>5705</v>
      </c>
      <c r="AU5681" s="138" t="s">
        <v>5705</v>
      </c>
      <c r="AV5681" s="138"/>
      <c r="AZ5681" s="317"/>
      <c r="BA5681" s="317"/>
      <c r="BB5681" s="317"/>
    </row>
    <row r="5682" spans="1:54" s="319" customFormat="1" ht="15" hidden="1" customHeight="1" outlineLevel="2">
      <c r="A5682" s="2"/>
      <c r="B5682" s="2" t="s">
        <v>833</v>
      </c>
      <c r="C5682" s="2"/>
      <c r="D5682" s="112" t="s">
        <v>5706</v>
      </c>
      <c r="E5682" s="112"/>
      <c r="F5682" s="112"/>
      <c r="G5682" s="112"/>
      <c r="H5682" s="112"/>
      <c r="I5682" s="112"/>
      <c r="J5682" s="112"/>
      <c r="K5682" s="112"/>
      <c r="L5682" s="112"/>
      <c r="M5682" s="112"/>
      <c r="N5682" s="112"/>
      <c r="O5682" s="112"/>
      <c r="P5682" s="112">
        <v>149999.99</v>
      </c>
      <c r="Q5682" s="112"/>
      <c r="R5682" s="112"/>
      <c r="S5682" s="112"/>
      <c r="T5682" s="112"/>
      <c r="U5682" s="112"/>
      <c r="V5682" s="112">
        <v>80</v>
      </c>
      <c r="W5682" s="112"/>
      <c r="X5682" s="112"/>
      <c r="Y5682" s="112" t="b">
        <v>0</v>
      </c>
      <c r="Z5682" s="112"/>
      <c r="AA5682" s="112"/>
      <c r="AB5682" s="112" t="s">
        <v>5707</v>
      </c>
      <c r="AC5682" s="112" t="s">
        <v>5708</v>
      </c>
      <c r="AD5682" s="112"/>
      <c r="AE5682" s="112"/>
      <c r="AF5682" s="112"/>
      <c r="AG5682" s="112"/>
      <c r="AH5682" s="112"/>
      <c r="AI5682" s="112"/>
      <c r="AJ5682" s="112"/>
      <c r="AK5682" s="112"/>
      <c r="AL5682" s="112"/>
      <c r="AM5682" s="112"/>
      <c r="AN5682" s="112">
        <v>0</v>
      </c>
      <c r="AO5682" s="112">
        <v>0</v>
      </c>
      <c r="AP5682" s="112"/>
      <c r="AQ5682" s="112"/>
      <c r="AR5682" s="112"/>
      <c r="AS5682" s="112"/>
      <c r="AT5682" s="112"/>
      <c r="AU5682" s="112" t="s">
        <v>5709</v>
      </c>
      <c r="AV5682" s="112" t="s">
        <v>5710</v>
      </c>
      <c r="AZ5682" s="317"/>
      <c r="BA5682" s="317"/>
      <c r="BB5682" s="317"/>
    </row>
    <row r="5683" spans="1:54" s="319" customFormat="1" ht="15" hidden="1" customHeight="1" outlineLevel="2">
      <c r="A5683" s="2"/>
      <c r="B5683" s="2" t="s">
        <v>833</v>
      </c>
      <c r="C5683" s="2"/>
      <c r="D5683" s="114" t="s">
        <v>5711</v>
      </c>
      <c r="E5683" s="114"/>
      <c r="F5683" s="114"/>
      <c r="G5683" s="114"/>
      <c r="H5683" s="114"/>
      <c r="I5683" s="114"/>
      <c r="J5683" s="114"/>
      <c r="K5683" s="114"/>
      <c r="L5683" s="114"/>
      <c r="M5683" s="114"/>
      <c r="N5683" s="114"/>
      <c r="O5683" s="114">
        <v>150000</v>
      </c>
      <c r="P5683" s="114">
        <v>249999.99</v>
      </c>
      <c r="Q5683" s="114"/>
      <c r="R5683" s="114"/>
      <c r="S5683" s="114"/>
      <c r="T5683" s="114"/>
      <c r="U5683" s="114"/>
      <c r="V5683" s="114">
        <v>80</v>
      </c>
      <c r="W5683" s="114"/>
      <c r="X5683" s="114"/>
      <c r="Y5683" s="114" t="b">
        <v>0</v>
      </c>
      <c r="Z5683" s="114"/>
      <c r="AA5683" s="114"/>
      <c r="AB5683" s="114" t="s">
        <v>5707</v>
      </c>
      <c r="AC5683" s="114" t="s">
        <v>5708</v>
      </c>
      <c r="AD5683" s="114"/>
      <c r="AE5683" s="114"/>
      <c r="AF5683" s="114"/>
      <c r="AG5683" s="114"/>
      <c r="AH5683" s="114"/>
      <c r="AI5683" s="114"/>
      <c r="AJ5683" s="114"/>
      <c r="AK5683" s="114"/>
      <c r="AL5683" s="114"/>
      <c r="AM5683" s="114"/>
      <c r="AN5683" s="114">
        <v>0</v>
      </c>
      <c r="AO5683" s="114">
        <v>0</v>
      </c>
      <c r="AP5683" s="114"/>
      <c r="AQ5683" s="114"/>
      <c r="AR5683" s="114"/>
      <c r="AS5683" s="114"/>
      <c r="AT5683" s="114"/>
      <c r="AU5683" s="114" t="s">
        <v>5709</v>
      </c>
      <c r="AV5683" s="114" t="s">
        <v>5710</v>
      </c>
      <c r="AZ5683" s="317"/>
      <c r="BA5683" s="317"/>
      <c r="BB5683" s="317"/>
    </row>
    <row r="5684" spans="1:54" s="319" customFormat="1" ht="15" hidden="1" customHeight="1" outlineLevel="2">
      <c r="A5684" s="2"/>
      <c r="B5684" s="2" t="s">
        <v>833</v>
      </c>
      <c r="C5684" s="2"/>
      <c r="D5684" s="112" t="s">
        <v>5712</v>
      </c>
      <c r="E5684" s="112"/>
      <c r="F5684" s="112"/>
      <c r="G5684" s="112"/>
      <c r="H5684" s="112"/>
      <c r="I5684" s="112"/>
      <c r="J5684" s="112"/>
      <c r="K5684" s="112"/>
      <c r="L5684" s="112"/>
      <c r="M5684" s="112"/>
      <c r="N5684" s="112"/>
      <c r="O5684" s="112">
        <v>250000</v>
      </c>
      <c r="P5684" s="112">
        <v>499999.99</v>
      </c>
      <c r="Q5684" s="112"/>
      <c r="R5684" s="112"/>
      <c r="S5684" s="112"/>
      <c r="T5684" s="112"/>
      <c r="U5684" s="112"/>
      <c r="V5684" s="112">
        <v>80</v>
      </c>
      <c r="W5684" s="112"/>
      <c r="X5684" s="112"/>
      <c r="Y5684" s="112" t="b">
        <v>0</v>
      </c>
      <c r="Z5684" s="112"/>
      <c r="AA5684" s="112"/>
      <c r="AB5684" s="112" t="s">
        <v>5707</v>
      </c>
      <c r="AC5684" s="112" t="s">
        <v>5708</v>
      </c>
      <c r="AD5684" s="112"/>
      <c r="AE5684" s="112"/>
      <c r="AF5684" s="112"/>
      <c r="AG5684" s="112"/>
      <c r="AH5684" s="112"/>
      <c r="AI5684" s="112"/>
      <c r="AJ5684" s="112"/>
      <c r="AK5684" s="112"/>
      <c r="AL5684" s="112"/>
      <c r="AM5684" s="112"/>
      <c r="AN5684" s="112">
        <v>-0.2</v>
      </c>
      <c r="AO5684" s="112">
        <v>-0.2</v>
      </c>
      <c r="AP5684" s="112"/>
      <c r="AQ5684" s="112"/>
      <c r="AR5684" s="112"/>
      <c r="AS5684" s="112"/>
      <c r="AT5684" s="112"/>
      <c r="AU5684" s="112" t="s">
        <v>5709</v>
      </c>
      <c r="AV5684" s="112" t="s">
        <v>5710</v>
      </c>
      <c r="AZ5684" s="317"/>
      <c r="BA5684" s="317"/>
      <c r="BB5684" s="317"/>
    </row>
    <row r="5685" spans="1:54" s="319" customFormat="1" ht="15" hidden="1" customHeight="1" outlineLevel="2">
      <c r="A5685" s="2"/>
      <c r="B5685" s="2" t="s">
        <v>833</v>
      </c>
      <c r="C5685" s="2"/>
      <c r="D5685" s="114" t="s">
        <v>5713</v>
      </c>
      <c r="E5685" s="114"/>
      <c r="F5685" s="114"/>
      <c r="G5685" s="114"/>
      <c r="H5685" s="114"/>
      <c r="I5685" s="114"/>
      <c r="J5685" s="114"/>
      <c r="K5685" s="114"/>
      <c r="L5685" s="114"/>
      <c r="M5685" s="114"/>
      <c r="N5685" s="114"/>
      <c r="O5685" s="114">
        <v>500000</v>
      </c>
      <c r="P5685" s="114">
        <v>699999.99</v>
      </c>
      <c r="Q5685" s="114"/>
      <c r="R5685" s="114"/>
      <c r="S5685" s="114"/>
      <c r="T5685" s="114"/>
      <c r="U5685" s="114"/>
      <c r="V5685" s="114">
        <v>80</v>
      </c>
      <c r="W5685" s="114"/>
      <c r="X5685" s="114"/>
      <c r="Y5685" s="114" t="b">
        <v>0</v>
      </c>
      <c r="Z5685" s="114"/>
      <c r="AA5685" s="114"/>
      <c r="AB5685" s="114" t="s">
        <v>5707</v>
      </c>
      <c r="AC5685" s="114" t="s">
        <v>5708</v>
      </c>
      <c r="AD5685" s="114"/>
      <c r="AE5685" s="114"/>
      <c r="AF5685" s="114"/>
      <c r="AG5685" s="114"/>
      <c r="AH5685" s="114"/>
      <c r="AI5685" s="114"/>
      <c r="AJ5685" s="114"/>
      <c r="AK5685" s="114"/>
      <c r="AL5685" s="114"/>
      <c r="AM5685" s="114"/>
      <c r="AN5685" s="114">
        <v>-0.3</v>
      </c>
      <c r="AO5685" s="114">
        <v>-0.3</v>
      </c>
      <c r="AP5685" s="114"/>
      <c r="AQ5685" s="114"/>
      <c r="AR5685" s="114"/>
      <c r="AS5685" s="114"/>
      <c r="AT5685" s="114"/>
      <c r="AU5685" s="114" t="s">
        <v>5709</v>
      </c>
      <c r="AV5685" s="114" t="s">
        <v>5710</v>
      </c>
      <c r="AZ5685" s="317"/>
      <c r="BA5685" s="317"/>
      <c r="BB5685" s="317"/>
    </row>
    <row r="5686" spans="1:54" s="319" customFormat="1" ht="15" hidden="1" customHeight="1" outlineLevel="2">
      <c r="A5686" s="2"/>
      <c r="B5686" s="2" t="s">
        <v>833</v>
      </c>
      <c r="C5686" s="2"/>
      <c r="D5686" s="112" t="s">
        <v>5714</v>
      </c>
      <c r="E5686" s="112"/>
      <c r="F5686" s="112"/>
      <c r="G5686" s="112"/>
      <c r="H5686" s="112"/>
      <c r="I5686" s="112"/>
      <c r="J5686" s="112"/>
      <c r="K5686" s="112"/>
      <c r="L5686" s="112"/>
      <c r="M5686" s="112"/>
      <c r="N5686" s="112"/>
      <c r="O5686" s="112">
        <v>700000</v>
      </c>
      <c r="P5686" s="112"/>
      <c r="Q5686" s="112"/>
      <c r="R5686" s="112"/>
      <c r="S5686" s="112"/>
      <c r="T5686" s="112"/>
      <c r="U5686" s="112"/>
      <c r="V5686" s="112">
        <v>80</v>
      </c>
      <c r="W5686" s="112"/>
      <c r="X5686" s="112"/>
      <c r="Y5686" s="112" t="b">
        <v>0</v>
      </c>
      <c r="Z5686" s="112"/>
      <c r="AA5686" s="112"/>
      <c r="AB5686" s="112" t="s">
        <v>5707</v>
      </c>
      <c r="AC5686" s="112" t="s">
        <v>5708</v>
      </c>
      <c r="AD5686" s="112"/>
      <c r="AE5686" s="112"/>
      <c r="AF5686" s="112"/>
      <c r="AG5686" s="112"/>
      <c r="AH5686" s="112"/>
      <c r="AI5686" s="112"/>
      <c r="AJ5686" s="112"/>
      <c r="AK5686" s="112"/>
      <c r="AL5686" s="112"/>
      <c r="AM5686" s="112"/>
      <c r="AN5686" s="112">
        <v>-0.2</v>
      </c>
      <c r="AO5686" s="112">
        <v>-0.2</v>
      </c>
      <c r="AP5686" s="112"/>
      <c r="AQ5686" s="112"/>
      <c r="AR5686" s="112"/>
      <c r="AS5686" s="112"/>
      <c r="AT5686" s="112"/>
      <c r="AU5686" s="112" t="s">
        <v>5709</v>
      </c>
      <c r="AV5686" s="112" t="s">
        <v>5710</v>
      </c>
      <c r="AZ5686" s="317"/>
      <c r="BA5686" s="317"/>
      <c r="BB5686" s="317"/>
    </row>
    <row r="5687" spans="1:54" s="319" customFormat="1" ht="15" hidden="1" customHeight="1" outlineLevel="2">
      <c r="A5687" s="2"/>
      <c r="B5687" s="2" t="s">
        <v>833</v>
      </c>
      <c r="C5687" s="2"/>
      <c r="D5687" s="114" t="s">
        <v>5715</v>
      </c>
      <c r="E5687" s="114"/>
      <c r="F5687" s="114"/>
      <c r="G5687" s="114"/>
      <c r="H5687" s="114"/>
      <c r="I5687" s="114"/>
      <c r="J5687" s="114"/>
      <c r="K5687" s="114"/>
      <c r="L5687" s="114"/>
      <c r="M5687" s="114"/>
      <c r="N5687" s="114"/>
      <c r="O5687" s="114"/>
      <c r="P5687" s="114">
        <v>149999.99</v>
      </c>
      <c r="Q5687" s="114"/>
      <c r="R5687" s="114"/>
      <c r="S5687" s="114"/>
      <c r="T5687" s="114"/>
      <c r="U5687" s="114">
        <v>80.010000000000005</v>
      </c>
      <c r="V5687" s="114"/>
      <c r="W5687" s="114"/>
      <c r="X5687" s="114"/>
      <c r="Y5687" s="114" t="b">
        <v>0</v>
      </c>
      <c r="Z5687" s="114"/>
      <c r="AA5687" s="114"/>
      <c r="AB5687" s="114" t="s">
        <v>5707</v>
      </c>
      <c r="AC5687" s="114" t="s">
        <v>5708</v>
      </c>
      <c r="AD5687" s="114"/>
      <c r="AE5687" s="114"/>
      <c r="AF5687" s="114"/>
      <c r="AG5687" s="114"/>
      <c r="AH5687" s="114"/>
      <c r="AI5687" s="114"/>
      <c r="AJ5687" s="114"/>
      <c r="AK5687" s="114"/>
      <c r="AL5687" s="114"/>
      <c r="AM5687" s="114"/>
      <c r="AN5687" s="114">
        <v>0</v>
      </c>
      <c r="AO5687" s="114">
        <v>0</v>
      </c>
      <c r="AP5687" s="114"/>
      <c r="AQ5687" s="114"/>
      <c r="AR5687" s="114"/>
      <c r="AS5687" s="114"/>
      <c r="AT5687" s="114"/>
      <c r="AU5687" s="114" t="s">
        <v>5709</v>
      </c>
      <c r="AV5687" s="114" t="s">
        <v>5710</v>
      </c>
      <c r="AZ5687" s="317"/>
      <c r="BA5687" s="317"/>
      <c r="BB5687" s="317"/>
    </row>
    <row r="5688" spans="1:54" s="319" customFormat="1" ht="15" hidden="1" customHeight="1" outlineLevel="2">
      <c r="A5688" s="2"/>
      <c r="B5688" s="2" t="s">
        <v>833</v>
      </c>
      <c r="C5688" s="2"/>
      <c r="D5688" s="112" t="s">
        <v>5716</v>
      </c>
      <c r="E5688" s="112"/>
      <c r="F5688" s="112"/>
      <c r="G5688" s="112"/>
      <c r="H5688" s="112"/>
      <c r="I5688" s="112"/>
      <c r="J5688" s="112"/>
      <c r="K5688" s="112"/>
      <c r="L5688" s="112"/>
      <c r="M5688" s="112"/>
      <c r="N5688" s="112"/>
      <c r="O5688" s="112">
        <v>150000</v>
      </c>
      <c r="P5688" s="112">
        <v>249999.99</v>
      </c>
      <c r="Q5688" s="112"/>
      <c r="R5688" s="112"/>
      <c r="S5688" s="112"/>
      <c r="T5688" s="112"/>
      <c r="U5688" s="112">
        <v>80.010000000000005</v>
      </c>
      <c r="V5688" s="112"/>
      <c r="W5688" s="112"/>
      <c r="X5688" s="112"/>
      <c r="Y5688" s="112" t="b">
        <v>0</v>
      </c>
      <c r="Z5688" s="112"/>
      <c r="AA5688" s="112"/>
      <c r="AB5688" s="112" t="s">
        <v>5707</v>
      </c>
      <c r="AC5688" s="112" t="s">
        <v>5708</v>
      </c>
      <c r="AD5688" s="112"/>
      <c r="AE5688" s="112"/>
      <c r="AF5688" s="112"/>
      <c r="AG5688" s="112"/>
      <c r="AH5688" s="112"/>
      <c r="AI5688" s="112"/>
      <c r="AJ5688" s="112"/>
      <c r="AK5688" s="112"/>
      <c r="AL5688" s="112"/>
      <c r="AM5688" s="112"/>
      <c r="AN5688" s="112">
        <v>0</v>
      </c>
      <c r="AO5688" s="112">
        <v>0</v>
      </c>
      <c r="AP5688" s="112"/>
      <c r="AQ5688" s="112"/>
      <c r="AR5688" s="112"/>
      <c r="AS5688" s="112"/>
      <c r="AT5688" s="112"/>
      <c r="AU5688" s="112" t="s">
        <v>5709</v>
      </c>
      <c r="AV5688" s="112" t="s">
        <v>5710</v>
      </c>
      <c r="AZ5688" s="317"/>
      <c r="BA5688" s="317"/>
      <c r="BB5688" s="317"/>
    </row>
    <row r="5689" spans="1:54" s="319" customFormat="1" ht="15" hidden="1" customHeight="1" outlineLevel="2">
      <c r="A5689" s="2"/>
      <c r="B5689" s="2" t="s">
        <v>833</v>
      </c>
      <c r="C5689" s="2"/>
      <c r="D5689" s="114" t="s">
        <v>5717</v>
      </c>
      <c r="E5689" s="114"/>
      <c r="F5689" s="114"/>
      <c r="G5689" s="114"/>
      <c r="H5689" s="114"/>
      <c r="I5689" s="114"/>
      <c r="J5689" s="114"/>
      <c r="K5689" s="114"/>
      <c r="L5689" s="114"/>
      <c r="M5689" s="114"/>
      <c r="N5689" s="114"/>
      <c r="O5689" s="114">
        <v>250000</v>
      </c>
      <c r="P5689" s="114">
        <v>499999.99</v>
      </c>
      <c r="Q5689" s="114"/>
      <c r="R5689" s="114"/>
      <c r="S5689" s="114"/>
      <c r="T5689" s="114"/>
      <c r="U5689" s="114">
        <v>80.010000000000005</v>
      </c>
      <c r="V5689" s="114"/>
      <c r="W5689" s="114"/>
      <c r="X5689" s="114"/>
      <c r="Y5689" s="114" t="b">
        <v>0</v>
      </c>
      <c r="Z5689" s="114"/>
      <c r="AA5689" s="114"/>
      <c r="AB5689" s="114" t="s">
        <v>5707</v>
      </c>
      <c r="AC5689" s="114" t="s">
        <v>5708</v>
      </c>
      <c r="AD5689" s="114"/>
      <c r="AE5689" s="114"/>
      <c r="AF5689" s="114"/>
      <c r="AG5689" s="114"/>
      <c r="AH5689" s="114"/>
      <c r="AI5689" s="114"/>
      <c r="AJ5689" s="114"/>
      <c r="AK5689" s="114"/>
      <c r="AL5689" s="114"/>
      <c r="AM5689" s="114"/>
      <c r="AN5689" s="114">
        <v>-0.15</v>
      </c>
      <c r="AO5689" s="114">
        <v>-0.15</v>
      </c>
      <c r="AP5689" s="114"/>
      <c r="AQ5689" s="114"/>
      <c r="AR5689" s="114"/>
      <c r="AS5689" s="114"/>
      <c r="AT5689" s="114"/>
      <c r="AU5689" s="114" t="s">
        <v>5709</v>
      </c>
      <c r="AV5689" s="114" t="s">
        <v>5710</v>
      </c>
      <c r="AZ5689" s="317"/>
      <c r="BA5689" s="317"/>
      <c r="BB5689" s="317"/>
    </row>
    <row r="5690" spans="1:54" s="319" customFormat="1" ht="15" hidden="1" customHeight="1" outlineLevel="2">
      <c r="A5690" s="2"/>
      <c r="B5690" s="2" t="s">
        <v>833</v>
      </c>
      <c r="C5690" s="2"/>
      <c r="D5690" s="112" t="s">
        <v>5718</v>
      </c>
      <c r="E5690" s="112"/>
      <c r="F5690" s="112"/>
      <c r="G5690" s="112"/>
      <c r="H5690" s="112"/>
      <c r="I5690" s="112"/>
      <c r="J5690" s="112"/>
      <c r="K5690" s="112"/>
      <c r="L5690" s="112"/>
      <c r="M5690" s="112"/>
      <c r="N5690" s="112"/>
      <c r="O5690" s="112">
        <v>500000</v>
      </c>
      <c r="P5690" s="112">
        <v>699999.99</v>
      </c>
      <c r="Q5690" s="112"/>
      <c r="R5690" s="112"/>
      <c r="S5690" s="112"/>
      <c r="T5690" s="112"/>
      <c r="U5690" s="112">
        <v>80.010000000000005</v>
      </c>
      <c r="V5690" s="112"/>
      <c r="W5690" s="112"/>
      <c r="X5690" s="112"/>
      <c r="Y5690" s="112" t="b">
        <v>0</v>
      </c>
      <c r="Z5690" s="112"/>
      <c r="AA5690" s="112"/>
      <c r="AB5690" s="112" t="s">
        <v>5707</v>
      </c>
      <c r="AC5690" s="112" t="s">
        <v>5708</v>
      </c>
      <c r="AD5690" s="112"/>
      <c r="AE5690" s="112"/>
      <c r="AF5690" s="112"/>
      <c r="AG5690" s="112"/>
      <c r="AH5690" s="112"/>
      <c r="AI5690" s="112"/>
      <c r="AJ5690" s="112"/>
      <c r="AK5690" s="112"/>
      <c r="AL5690" s="112"/>
      <c r="AM5690" s="112"/>
      <c r="AN5690" s="112">
        <v>-0.25</v>
      </c>
      <c r="AO5690" s="112">
        <v>-0.25</v>
      </c>
      <c r="AP5690" s="112"/>
      <c r="AQ5690" s="112"/>
      <c r="AR5690" s="112"/>
      <c r="AS5690" s="112"/>
      <c r="AT5690" s="112"/>
      <c r="AU5690" s="112" t="s">
        <v>5709</v>
      </c>
      <c r="AV5690" s="112" t="s">
        <v>5710</v>
      </c>
      <c r="AZ5690" s="317"/>
      <c r="BA5690" s="317"/>
      <c r="BB5690" s="317"/>
    </row>
    <row r="5691" spans="1:54" s="319" customFormat="1" ht="15" hidden="1" customHeight="1" outlineLevel="2">
      <c r="A5691" s="2"/>
      <c r="B5691" s="2" t="s">
        <v>833</v>
      </c>
      <c r="C5691" s="2"/>
      <c r="D5691" s="114" t="s">
        <v>5719</v>
      </c>
      <c r="E5691" s="114"/>
      <c r="F5691" s="114"/>
      <c r="G5691" s="114"/>
      <c r="H5691" s="114"/>
      <c r="I5691" s="114"/>
      <c r="J5691" s="114"/>
      <c r="K5691" s="114"/>
      <c r="L5691" s="114"/>
      <c r="M5691" s="114"/>
      <c r="N5691" s="114"/>
      <c r="O5691" s="114">
        <v>700000</v>
      </c>
      <c r="P5691" s="114"/>
      <c r="Q5691" s="114"/>
      <c r="R5691" s="114"/>
      <c r="S5691" s="114"/>
      <c r="T5691" s="114"/>
      <c r="U5691" s="114">
        <v>80.010000000000005</v>
      </c>
      <c r="V5691" s="114"/>
      <c r="W5691" s="114"/>
      <c r="X5691" s="114"/>
      <c r="Y5691" s="114" t="b">
        <v>0</v>
      </c>
      <c r="Z5691" s="114"/>
      <c r="AA5691" s="114"/>
      <c r="AB5691" s="114" t="s">
        <v>5707</v>
      </c>
      <c r="AC5691" s="114" t="s">
        <v>5708</v>
      </c>
      <c r="AD5691" s="114"/>
      <c r="AE5691" s="114"/>
      <c r="AF5691" s="114"/>
      <c r="AG5691" s="114"/>
      <c r="AH5691" s="114"/>
      <c r="AI5691" s="114"/>
      <c r="AJ5691" s="114"/>
      <c r="AK5691" s="114"/>
      <c r="AL5691" s="114"/>
      <c r="AM5691" s="114"/>
      <c r="AN5691" s="114">
        <v>-0.15</v>
      </c>
      <c r="AO5691" s="114">
        <v>-0.15</v>
      </c>
      <c r="AP5691" s="114"/>
      <c r="AQ5691" s="114"/>
      <c r="AR5691" s="114"/>
      <c r="AS5691" s="114"/>
      <c r="AT5691" s="114"/>
      <c r="AU5691" s="114" t="s">
        <v>5709</v>
      </c>
      <c r="AV5691" s="114" t="s">
        <v>5710</v>
      </c>
      <c r="AZ5691" s="317"/>
      <c r="BA5691" s="317"/>
      <c r="BB5691" s="317"/>
    </row>
    <row r="5692" spans="1:54" s="319" customFormat="1" ht="15" hidden="1" customHeight="1" outlineLevel="2">
      <c r="A5692" s="2"/>
      <c r="B5692" s="2" t="s">
        <v>833</v>
      </c>
      <c r="C5692" s="2"/>
      <c r="D5692" s="112" t="s">
        <v>5720</v>
      </c>
      <c r="E5692" s="112"/>
      <c r="F5692" s="112"/>
      <c r="G5692" s="112"/>
      <c r="H5692" s="112"/>
      <c r="I5692" s="112"/>
      <c r="J5692" s="112"/>
      <c r="K5692" s="112">
        <v>100000</v>
      </c>
      <c r="L5692" s="112"/>
      <c r="M5692" s="112"/>
      <c r="N5692" s="112"/>
      <c r="O5692" s="112"/>
      <c r="P5692" s="112">
        <v>149999.99</v>
      </c>
      <c r="Q5692" s="112"/>
      <c r="R5692" s="112"/>
      <c r="S5692" s="112"/>
      <c r="T5692" s="112"/>
      <c r="U5692" s="112"/>
      <c r="V5692" s="112">
        <v>80</v>
      </c>
      <c r="W5692" s="112"/>
      <c r="X5692" s="112"/>
      <c r="Y5692" s="112" t="b">
        <v>1</v>
      </c>
      <c r="Z5692" s="112"/>
      <c r="AA5692" s="112"/>
      <c r="AB5692" s="112" t="s">
        <v>5707</v>
      </c>
      <c r="AC5692" s="112" t="s">
        <v>5708</v>
      </c>
      <c r="AD5692" s="112"/>
      <c r="AE5692" s="112"/>
      <c r="AF5692" s="112"/>
      <c r="AG5692" s="112"/>
      <c r="AH5692" s="112"/>
      <c r="AI5692" s="112"/>
      <c r="AJ5692" s="112"/>
      <c r="AK5692" s="112"/>
      <c r="AL5692" s="112"/>
      <c r="AM5692" s="112"/>
      <c r="AN5692" s="112">
        <v>0</v>
      </c>
      <c r="AO5692" s="112">
        <v>0</v>
      </c>
      <c r="AP5692" s="112"/>
      <c r="AQ5692" s="112"/>
      <c r="AR5692" s="112"/>
      <c r="AS5692" s="112"/>
      <c r="AT5692" s="112"/>
      <c r="AU5692" s="112" t="s">
        <v>5709</v>
      </c>
      <c r="AV5692" s="112" t="s">
        <v>5710</v>
      </c>
      <c r="AZ5692" s="317"/>
      <c r="BA5692" s="317"/>
      <c r="BB5692" s="317"/>
    </row>
    <row r="5693" spans="1:54" s="319" customFormat="1" ht="15" hidden="1" customHeight="1" outlineLevel="2">
      <c r="A5693" s="2"/>
      <c r="B5693" s="2" t="s">
        <v>833</v>
      </c>
      <c r="C5693" s="2"/>
      <c r="D5693" s="114" t="s">
        <v>5721</v>
      </c>
      <c r="E5693" s="114"/>
      <c r="F5693" s="114"/>
      <c r="G5693" s="114"/>
      <c r="H5693" s="114"/>
      <c r="I5693" s="114"/>
      <c r="J5693" s="114"/>
      <c r="K5693" s="114">
        <v>100000</v>
      </c>
      <c r="L5693" s="114"/>
      <c r="M5693" s="114"/>
      <c r="N5693" s="114"/>
      <c r="O5693" s="114">
        <v>150000</v>
      </c>
      <c r="P5693" s="114">
        <v>249999.99</v>
      </c>
      <c r="Q5693" s="114"/>
      <c r="R5693" s="114"/>
      <c r="S5693" s="114"/>
      <c r="T5693" s="114"/>
      <c r="U5693" s="114"/>
      <c r="V5693" s="114">
        <v>80</v>
      </c>
      <c r="W5693" s="114"/>
      <c r="X5693" s="114"/>
      <c r="Y5693" s="114" t="b">
        <v>1</v>
      </c>
      <c r="Z5693" s="114"/>
      <c r="AA5693" s="114"/>
      <c r="AB5693" s="114" t="s">
        <v>5707</v>
      </c>
      <c r="AC5693" s="114" t="s">
        <v>5708</v>
      </c>
      <c r="AD5693" s="114"/>
      <c r="AE5693" s="114"/>
      <c r="AF5693" s="114"/>
      <c r="AG5693" s="114"/>
      <c r="AH5693" s="114"/>
      <c r="AI5693" s="114"/>
      <c r="AJ5693" s="114"/>
      <c r="AK5693" s="114"/>
      <c r="AL5693" s="114"/>
      <c r="AM5693" s="114"/>
      <c r="AN5693" s="114">
        <v>0</v>
      </c>
      <c r="AO5693" s="114">
        <v>0</v>
      </c>
      <c r="AP5693" s="114"/>
      <c r="AQ5693" s="114"/>
      <c r="AR5693" s="114"/>
      <c r="AS5693" s="114"/>
      <c r="AT5693" s="114"/>
      <c r="AU5693" s="114" t="s">
        <v>5709</v>
      </c>
      <c r="AV5693" s="114" t="s">
        <v>5710</v>
      </c>
      <c r="AZ5693" s="317"/>
      <c r="BA5693" s="317"/>
      <c r="BB5693" s="317"/>
    </row>
    <row r="5694" spans="1:54" s="319" customFormat="1" ht="15" hidden="1" customHeight="1" outlineLevel="2">
      <c r="A5694" s="2"/>
      <c r="B5694" s="2" t="s">
        <v>833</v>
      </c>
      <c r="C5694" s="2"/>
      <c r="D5694" s="112" t="s">
        <v>5722</v>
      </c>
      <c r="E5694" s="112"/>
      <c r="F5694" s="112"/>
      <c r="G5694" s="112"/>
      <c r="H5694" s="112"/>
      <c r="I5694" s="112"/>
      <c r="J5694" s="112"/>
      <c r="K5694" s="112">
        <v>100000</v>
      </c>
      <c r="L5694" s="112"/>
      <c r="M5694" s="112"/>
      <c r="N5694" s="112"/>
      <c r="O5694" s="112">
        <v>250000</v>
      </c>
      <c r="P5694" s="112">
        <v>499999.99</v>
      </c>
      <c r="Q5694" s="112"/>
      <c r="R5694" s="112"/>
      <c r="S5694" s="112"/>
      <c r="T5694" s="112"/>
      <c r="U5694" s="112"/>
      <c r="V5694" s="112">
        <v>80</v>
      </c>
      <c r="W5694" s="112"/>
      <c r="X5694" s="112"/>
      <c r="Y5694" s="112" t="b">
        <v>1</v>
      </c>
      <c r="Z5694" s="112"/>
      <c r="AA5694" s="112"/>
      <c r="AB5694" s="112" t="s">
        <v>5707</v>
      </c>
      <c r="AC5694" s="112" t="s">
        <v>5708</v>
      </c>
      <c r="AD5694" s="112"/>
      <c r="AE5694" s="112"/>
      <c r="AF5694" s="112"/>
      <c r="AG5694" s="112"/>
      <c r="AH5694" s="112"/>
      <c r="AI5694" s="112"/>
      <c r="AJ5694" s="112"/>
      <c r="AK5694" s="112"/>
      <c r="AL5694" s="112"/>
      <c r="AM5694" s="112"/>
      <c r="AN5694" s="112">
        <v>-0.2</v>
      </c>
      <c r="AO5694" s="112">
        <v>-0.2</v>
      </c>
      <c r="AP5694" s="112"/>
      <c r="AQ5694" s="112"/>
      <c r="AR5694" s="112"/>
      <c r="AS5694" s="112"/>
      <c r="AT5694" s="112"/>
      <c r="AU5694" s="112" t="s">
        <v>5709</v>
      </c>
      <c r="AV5694" s="112" t="s">
        <v>5710</v>
      </c>
      <c r="AZ5694" s="317"/>
      <c r="BA5694" s="317"/>
      <c r="BB5694" s="317"/>
    </row>
    <row r="5695" spans="1:54" s="319" customFormat="1" ht="15" hidden="1" customHeight="1" outlineLevel="2">
      <c r="A5695" s="2"/>
      <c r="B5695" s="2" t="s">
        <v>833</v>
      </c>
      <c r="C5695" s="2"/>
      <c r="D5695" s="114" t="s">
        <v>5723</v>
      </c>
      <c r="E5695" s="114"/>
      <c r="F5695" s="114"/>
      <c r="G5695" s="114"/>
      <c r="H5695" s="114"/>
      <c r="I5695" s="114"/>
      <c r="J5695" s="114"/>
      <c r="K5695" s="114">
        <v>100000</v>
      </c>
      <c r="L5695" s="114"/>
      <c r="M5695" s="114"/>
      <c r="N5695" s="114"/>
      <c r="O5695" s="114">
        <v>500000</v>
      </c>
      <c r="P5695" s="114">
        <v>699999.99</v>
      </c>
      <c r="Q5695" s="114"/>
      <c r="R5695" s="114"/>
      <c r="S5695" s="114"/>
      <c r="T5695" s="114"/>
      <c r="U5695" s="114"/>
      <c r="V5695" s="114">
        <v>80</v>
      </c>
      <c r="W5695" s="114"/>
      <c r="X5695" s="114"/>
      <c r="Y5695" s="114" t="b">
        <v>1</v>
      </c>
      <c r="Z5695" s="114"/>
      <c r="AA5695" s="114"/>
      <c r="AB5695" s="114" t="s">
        <v>5707</v>
      </c>
      <c r="AC5695" s="114" t="s">
        <v>5708</v>
      </c>
      <c r="AD5695" s="114"/>
      <c r="AE5695" s="114"/>
      <c r="AF5695" s="114"/>
      <c r="AG5695" s="114"/>
      <c r="AH5695" s="114"/>
      <c r="AI5695" s="114"/>
      <c r="AJ5695" s="114"/>
      <c r="AK5695" s="114"/>
      <c r="AL5695" s="114"/>
      <c r="AM5695" s="114"/>
      <c r="AN5695" s="114">
        <v>-0.3</v>
      </c>
      <c r="AO5695" s="114">
        <v>-0.3</v>
      </c>
      <c r="AP5695" s="114"/>
      <c r="AQ5695" s="114"/>
      <c r="AR5695" s="114"/>
      <c r="AS5695" s="114"/>
      <c r="AT5695" s="114"/>
      <c r="AU5695" s="114" t="s">
        <v>5709</v>
      </c>
      <c r="AV5695" s="114" t="s">
        <v>5710</v>
      </c>
      <c r="AZ5695" s="317"/>
      <c r="BA5695" s="317"/>
      <c r="BB5695" s="317"/>
    </row>
    <row r="5696" spans="1:54" s="319" customFormat="1" ht="15" hidden="1" customHeight="1" outlineLevel="2">
      <c r="A5696" s="2"/>
      <c r="B5696" s="2" t="s">
        <v>833</v>
      </c>
      <c r="C5696" s="2"/>
      <c r="D5696" s="112" t="s">
        <v>5724</v>
      </c>
      <c r="E5696" s="112"/>
      <c r="F5696" s="112"/>
      <c r="G5696" s="112"/>
      <c r="H5696" s="112"/>
      <c r="I5696" s="112"/>
      <c r="J5696" s="112"/>
      <c r="K5696" s="112">
        <v>100000</v>
      </c>
      <c r="L5696" s="112"/>
      <c r="M5696" s="112"/>
      <c r="N5696" s="112"/>
      <c r="O5696" s="112">
        <v>700000</v>
      </c>
      <c r="P5696" s="112"/>
      <c r="Q5696" s="112"/>
      <c r="R5696" s="112"/>
      <c r="S5696" s="112"/>
      <c r="T5696" s="112"/>
      <c r="U5696" s="112"/>
      <c r="V5696" s="112">
        <v>80</v>
      </c>
      <c r="W5696" s="112"/>
      <c r="X5696" s="112"/>
      <c r="Y5696" s="112" t="b">
        <v>1</v>
      </c>
      <c r="Z5696" s="112"/>
      <c r="AA5696" s="112"/>
      <c r="AB5696" s="112" t="s">
        <v>5707</v>
      </c>
      <c r="AC5696" s="112" t="s">
        <v>5708</v>
      </c>
      <c r="AD5696" s="112"/>
      <c r="AE5696" s="112"/>
      <c r="AF5696" s="112"/>
      <c r="AG5696" s="112"/>
      <c r="AH5696" s="112"/>
      <c r="AI5696" s="112"/>
      <c r="AJ5696" s="112"/>
      <c r="AK5696" s="112"/>
      <c r="AL5696" s="112"/>
      <c r="AM5696" s="112"/>
      <c r="AN5696" s="112">
        <v>-0.2</v>
      </c>
      <c r="AO5696" s="112">
        <v>-0.2</v>
      </c>
      <c r="AP5696" s="112"/>
      <c r="AQ5696" s="112"/>
      <c r="AR5696" s="112"/>
      <c r="AS5696" s="112"/>
      <c r="AT5696" s="112"/>
      <c r="AU5696" s="112" t="s">
        <v>5709</v>
      </c>
      <c r="AV5696" s="112" t="s">
        <v>5710</v>
      </c>
      <c r="AZ5696" s="317"/>
      <c r="BA5696" s="317"/>
      <c r="BB5696" s="317"/>
    </row>
    <row r="5697" spans="1:54" s="319" customFormat="1" ht="15" hidden="1" customHeight="1" outlineLevel="2">
      <c r="A5697" s="2"/>
      <c r="B5697" s="2" t="s">
        <v>833</v>
      </c>
      <c r="C5697" s="2"/>
      <c r="D5697" s="114" t="s">
        <v>5725</v>
      </c>
      <c r="E5697" s="114"/>
      <c r="F5697" s="114"/>
      <c r="G5697" s="114"/>
      <c r="H5697" s="114"/>
      <c r="I5697" s="114"/>
      <c r="J5697" s="114"/>
      <c r="K5697" s="114">
        <v>100000</v>
      </c>
      <c r="L5697" s="114"/>
      <c r="M5697" s="114"/>
      <c r="N5697" s="114"/>
      <c r="O5697" s="114"/>
      <c r="P5697" s="114">
        <v>149999.99</v>
      </c>
      <c r="Q5697" s="114"/>
      <c r="R5697" s="114"/>
      <c r="S5697" s="114"/>
      <c r="T5697" s="114"/>
      <c r="U5697" s="114">
        <v>80.010000000000005</v>
      </c>
      <c r="V5697" s="114"/>
      <c r="W5697" s="114"/>
      <c r="X5697" s="114"/>
      <c r="Y5697" s="114" t="b">
        <v>1</v>
      </c>
      <c r="Z5697" s="114"/>
      <c r="AA5697" s="114"/>
      <c r="AB5697" s="114" t="s">
        <v>5707</v>
      </c>
      <c r="AC5697" s="114" t="s">
        <v>5708</v>
      </c>
      <c r="AD5697" s="114"/>
      <c r="AE5697" s="114"/>
      <c r="AF5697" s="114"/>
      <c r="AG5697" s="114"/>
      <c r="AH5697" s="114"/>
      <c r="AI5697" s="114"/>
      <c r="AJ5697" s="114"/>
      <c r="AK5697" s="114"/>
      <c r="AL5697" s="114"/>
      <c r="AM5697" s="114"/>
      <c r="AN5697" s="114">
        <v>0</v>
      </c>
      <c r="AO5697" s="114">
        <v>0</v>
      </c>
      <c r="AP5697" s="114"/>
      <c r="AQ5697" s="114"/>
      <c r="AR5697" s="114"/>
      <c r="AS5697" s="114"/>
      <c r="AT5697" s="114"/>
      <c r="AU5697" s="114" t="s">
        <v>5709</v>
      </c>
      <c r="AV5697" s="114" t="s">
        <v>5710</v>
      </c>
      <c r="AZ5697" s="317"/>
      <c r="BA5697" s="317"/>
      <c r="BB5697" s="317"/>
    </row>
    <row r="5698" spans="1:54" s="319" customFormat="1" ht="15" hidden="1" customHeight="1" outlineLevel="2">
      <c r="A5698" s="2"/>
      <c r="B5698" s="2" t="s">
        <v>833</v>
      </c>
      <c r="C5698" s="2"/>
      <c r="D5698" s="112" t="s">
        <v>5726</v>
      </c>
      <c r="E5698" s="112"/>
      <c r="F5698" s="112"/>
      <c r="G5698" s="112"/>
      <c r="H5698" s="112"/>
      <c r="I5698" s="112"/>
      <c r="J5698" s="112"/>
      <c r="K5698" s="112">
        <v>100000</v>
      </c>
      <c r="L5698" s="112"/>
      <c r="M5698" s="112"/>
      <c r="N5698" s="112"/>
      <c r="O5698" s="112">
        <v>150000</v>
      </c>
      <c r="P5698" s="112">
        <v>249999.99</v>
      </c>
      <c r="Q5698" s="112"/>
      <c r="R5698" s="112"/>
      <c r="S5698" s="112"/>
      <c r="T5698" s="112"/>
      <c r="U5698" s="112">
        <v>80.010000000000005</v>
      </c>
      <c r="V5698" s="112"/>
      <c r="W5698" s="112"/>
      <c r="X5698" s="112"/>
      <c r="Y5698" s="112" t="b">
        <v>1</v>
      </c>
      <c r="Z5698" s="112"/>
      <c r="AA5698" s="112"/>
      <c r="AB5698" s="112" t="s">
        <v>5707</v>
      </c>
      <c r="AC5698" s="112" t="s">
        <v>5708</v>
      </c>
      <c r="AD5698" s="112"/>
      <c r="AE5698" s="112"/>
      <c r="AF5698" s="112"/>
      <c r="AG5698" s="112"/>
      <c r="AH5698" s="112"/>
      <c r="AI5698" s="112"/>
      <c r="AJ5698" s="112"/>
      <c r="AK5698" s="112"/>
      <c r="AL5698" s="112"/>
      <c r="AM5698" s="112"/>
      <c r="AN5698" s="112">
        <v>0</v>
      </c>
      <c r="AO5698" s="112">
        <v>0</v>
      </c>
      <c r="AP5698" s="112"/>
      <c r="AQ5698" s="112"/>
      <c r="AR5698" s="112"/>
      <c r="AS5698" s="112"/>
      <c r="AT5698" s="112"/>
      <c r="AU5698" s="112" t="s">
        <v>5709</v>
      </c>
      <c r="AV5698" s="112" t="s">
        <v>5710</v>
      </c>
      <c r="AZ5698" s="317"/>
      <c r="BA5698" s="317"/>
      <c r="BB5698" s="317"/>
    </row>
    <row r="5699" spans="1:54" s="319" customFormat="1" ht="15" hidden="1" customHeight="1" outlineLevel="2">
      <c r="A5699" s="2"/>
      <c r="B5699" s="2" t="s">
        <v>833</v>
      </c>
      <c r="C5699" s="2"/>
      <c r="D5699" s="114" t="s">
        <v>5727</v>
      </c>
      <c r="E5699" s="114"/>
      <c r="F5699" s="114"/>
      <c r="G5699" s="114"/>
      <c r="H5699" s="114"/>
      <c r="I5699" s="114"/>
      <c r="J5699" s="114"/>
      <c r="K5699" s="114">
        <v>100000</v>
      </c>
      <c r="L5699" s="114"/>
      <c r="M5699" s="114"/>
      <c r="N5699" s="114"/>
      <c r="O5699" s="114">
        <v>250000</v>
      </c>
      <c r="P5699" s="114">
        <v>499999.99</v>
      </c>
      <c r="Q5699" s="114"/>
      <c r="R5699" s="114"/>
      <c r="S5699" s="114"/>
      <c r="T5699" s="114"/>
      <c r="U5699" s="114">
        <v>80.010000000000005</v>
      </c>
      <c r="V5699" s="114"/>
      <c r="W5699" s="114"/>
      <c r="X5699" s="114"/>
      <c r="Y5699" s="114" t="b">
        <v>1</v>
      </c>
      <c r="Z5699" s="114"/>
      <c r="AA5699" s="114"/>
      <c r="AB5699" s="114" t="s">
        <v>5707</v>
      </c>
      <c r="AC5699" s="114" t="s">
        <v>5708</v>
      </c>
      <c r="AD5699" s="114"/>
      <c r="AE5699" s="114"/>
      <c r="AF5699" s="114"/>
      <c r="AG5699" s="114"/>
      <c r="AH5699" s="114"/>
      <c r="AI5699" s="114"/>
      <c r="AJ5699" s="114"/>
      <c r="AK5699" s="114"/>
      <c r="AL5699" s="114"/>
      <c r="AM5699" s="114"/>
      <c r="AN5699" s="114">
        <v>-0.15</v>
      </c>
      <c r="AO5699" s="114">
        <v>-0.15</v>
      </c>
      <c r="AP5699" s="114"/>
      <c r="AQ5699" s="114"/>
      <c r="AR5699" s="114"/>
      <c r="AS5699" s="114"/>
      <c r="AT5699" s="114"/>
      <c r="AU5699" s="114" t="s">
        <v>5709</v>
      </c>
      <c r="AV5699" s="114" t="s">
        <v>5710</v>
      </c>
      <c r="AZ5699" s="317"/>
      <c r="BA5699" s="317"/>
      <c r="BB5699" s="317"/>
    </row>
    <row r="5700" spans="1:54" s="319" customFormat="1" ht="15" hidden="1" customHeight="1" outlineLevel="2">
      <c r="A5700" s="2"/>
      <c r="B5700" s="2" t="s">
        <v>833</v>
      </c>
      <c r="C5700" s="2"/>
      <c r="D5700" s="112" t="s">
        <v>5728</v>
      </c>
      <c r="E5700" s="112"/>
      <c r="F5700" s="112"/>
      <c r="G5700" s="112"/>
      <c r="H5700" s="112"/>
      <c r="I5700" s="112"/>
      <c r="J5700" s="112"/>
      <c r="K5700" s="112">
        <v>100000</v>
      </c>
      <c r="L5700" s="112"/>
      <c r="M5700" s="112"/>
      <c r="N5700" s="112"/>
      <c r="O5700" s="112">
        <v>500000</v>
      </c>
      <c r="P5700" s="112">
        <v>699999.99</v>
      </c>
      <c r="Q5700" s="112"/>
      <c r="R5700" s="112"/>
      <c r="S5700" s="112"/>
      <c r="T5700" s="112"/>
      <c r="U5700" s="112">
        <v>80.010000000000005</v>
      </c>
      <c r="V5700" s="112"/>
      <c r="W5700" s="112"/>
      <c r="X5700" s="112"/>
      <c r="Y5700" s="112" t="b">
        <v>1</v>
      </c>
      <c r="Z5700" s="112"/>
      <c r="AA5700" s="112"/>
      <c r="AB5700" s="112" t="s">
        <v>5707</v>
      </c>
      <c r="AC5700" s="112" t="s">
        <v>5708</v>
      </c>
      <c r="AD5700" s="112"/>
      <c r="AE5700" s="112"/>
      <c r="AF5700" s="112"/>
      <c r="AG5700" s="112"/>
      <c r="AH5700" s="112"/>
      <c r="AI5700" s="112"/>
      <c r="AJ5700" s="112"/>
      <c r="AK5700" s="112"/>
      <c r="AL5700" s="112"/>
      <c r="AM5700" s="112"/>
      <c r="AN5700" s="112">
        <v>-0.25</v>
      </c>
      <c r="AO5700" s="112">
        <v>-0.25</v>
      </c>
      <c r="AP5700" s="112"/>
      <c r="AQ5700" s="112"/>
      <c r="AR5700" s="112"/>
      <c r="AS5700" s="112"/>
      <c r="AT5700" s="112"/>
      <c r="AU5700" s="112" t="s">
        <v>5709</v>
      </c>
      <c r="AV5700" s="112" t="s">
        <v>5710</v>
      </c>
      <c r="AZ5700" s="317"/>
      <c r="BA5700" s="317"/>
      <c r="BB5700" s="317"/>
    </row>
    <row r="5701" spans="1:54" s="319" customFormat="1" ht="15" hidden="1" customHeight="1" outlineLevel="2">
      <c r="A5701" s="2"/>
      <c r="B5701" s="2" t="s">
        <v>833</v>
      </c>
      <c r="C5701" s="2"/>
      <c r="D5701" s="114" t="s">
        <v>5729</v>
      </c>
      <c r="E5701" s="114"/>
      <c r="F5701" s="114"/>
      <c r="G5701" s="114"/>
      <c r="H5701" s="114"/>
      <c r="I5701" s="114"/>
      <c r="J5701" s="114"/>
      <c r="K5701" s="114">
        <v>100000</v>
      </c>
      <c r="L5701" s="114"/>
      <c r="M5701" s="114"/>
      <c r="N5701" s="114"/>
      <c r="O5701" s="114">
        <v>700000</v>
      </c>
      <c r="P5701" s="114"/>
      <c r="Q5701" s="114"/>
      <c r="R5701" s="114"/>
      <c r="S5701" s="114"/>
      <c r="T5701" s="114"/>
      <c r="U5701" s="114">
        <v>80.010000000000005</v>
      </c>
      <c r="V5701" s="114"/>
      <c r="W5701" s="114"/>
      <c r="X5701" s="114"/>
      <c r="Y5701" s="114" t="b">
        <v>1</v>
      </c>
      <c r="Z5701" s="114"/>
      <c r="AA5701" s="114"/>
      <c r="AB5701" s="114" t="s">
        <v>5707</v>
      </c>
      <c r="AC5701" s="114" t="s">
        <v>5708</v>
      </c>
      <c r="AD5701" s="114"/>
      <c r="AE5701" s="114"/>
      <c r="AF5701" s="114"/>
      <c r="AG5701" s="114"/>
      <c r="AH5701" s="114"/>
      <c r="AI5701" s="114"/>
      <c r="AJ5701" s="114"/>
      <c r="AK5701" s="114"/>
      <c r="AL5701" s="114"/>
      <c r="AM5701" s="114"/>
      <c r="AN5701" s="114">
        <v>-0.15</v>
      </c>
      <c r="AO5701" s="114">
        <v>-0.15</v>
      </c>
      <c r="AP5701" s="114"/>
      <c r="AQ5701" s="114"/>
      <c r="AR5701" s="114"/>
      <c r="AS5701" s="114"/>
      <c r="AT5701" s="114"/>
      <c r="AU5701" s="114" t="s">
        <v>5709</v>
      </c>
      <c r="AV5701" s="114" t="s">
        <v>5710</v>
      </c>
      <c r="AZ5701" s="317"/>
      <c r="BA5701" s="317"/>
      <c r="BB5701" s="317"/>
    </row>
    <row r="5702" spans="1:54" s="319" customFormat="1" ht="15" hidden="1" customHeight="1" outlineLevel="2">
      <c r="A5702" s="2"/>
      <c r="B5702" s="2" t="s">
        <v>833</v>
      </c>
      <c r="C5702" s="2"/>
      <c r="D5702" s="112" t="s">
        <v>5730</v>
      </c>
      <c r="E5702" s="112"/>
      <c r="F5702" s="112"/>
      <c r="G5702" s="112"/>
      <c r="H5702" s="112"/>
      <c r="I5702" s="112"/>
      <c r="J5702" s="112"/>
      <c r="K5702" s="112"/>
      <c r="L5702" s="112"/>
      <c r="M5702" s="112"/>
      <c r="N5702" s="112"/>
      <c r="O5702" s="112"/>
      <c r="P5702" s="112">
        <v>149999.99</v>
      </c>
      <c r="Q5702" s="112"/>
      <c r="R5702" s="112"/>
      <c r="S5702" s="112"/>
      <c r="T5702" s="112"/>
      <c r="U5702" s="112"/>
      <c r="V5702" s="112">
        <v>80</v>
      </c>
      <c r="W5702" s="112"/>
      <c r="X5702" s="112"/>
      <c r="Y5702" s="112" t="b">
        <v>0</v>
      </c>
      <c r="Z5702" s="112"/>
      <c r="AA5702" s="112"/>
      <c r="AB5702" s="112" t="s">
        <v>5707</v>
      </c>
      <c r="AC5702" s="112" t="s">
        <v>5731</v>
      </c>
      <c r="AD5702" s="112"/>
      <c r="AE5702" s="112"/>
      <c r="AF5702" s="112"/>
      <c r="AG5702" s="112"/>
      <c r="AH5702" s="112"/>
      <c r="AI5702" s="112"/>
      <c r="AJ5702" s="112"/>
      <c r="AK5702" s="112"/>
      <c r="AL5702" s="112"/>
      <c r="AM5702" s="112"/>
      <c r="AN5702" s="112">
        <v>-0.2</v>
      </c>
      <c r="AO5702" s="112">
        <v>0</v>
      </c>
      <c r="AP5702" s="112"/>
      <c r="AQ5702" s="112"/>
      <c r="AR5702" s="112"/>
      <c r="AS5702" s="112"/>
      <c r="AT5702" s="112"/>
      <c r="AU5702" s="112" t="s">
        <v>5709</v>
      </c>
      <c r="AV5702" s="112" t="s">
        <v>5710</v>
      </c>
      <c r="AZ5702" s="317"/>
      <c r="BA5702" s="317"/>
      <c r="BB5702" s="317"/>
    </row>
    <row r="5703" spans="1:54" s="319" customFormat="1" ht="15" hidden="1" customHeight="1" outlineLevel="2">
      <c r="A5703" s="2"/>
      <c r="B5703" s="2" t="s">
        <v>833</v>
      </c>
      <c r="C5703" s="2"/>
      <c r="D5703" s="114" t="s">
        <v>5732</v>
      </c>
      <c r="E5703" s="114"/>
      <c r="F5703" s="114"/>
      <c r="G5703" s="114"/>
      <c r="H5703" s="114"/>
      <c r="I5703" s="114"/>
      <c r="J5703" s="114"/>
      <c r="K5703" s="114"/>
      <c r="L5703" s="114"/>
      <c r="M5703" s="114"/>
      <c r="N5703" s="114"/>
      <c r="O5703" s="114">
        <v>150000</v>
      </c>
      <c r="P5703" s="114">
        <v>249999.99</v>
      </c>
      <c r="Q5703" s="114"/>
      <c r="R5703" s="114"/>
      <c r="S5703" s="114"/>
      <c r="T5703" s="114"/>
      <c r="U5703" s="114"/>
      <c r="V5703" s="114">
        <v>80</v>
      </c>
      <c r="W5703" s="114"/>
      <c r="X5703" s="114"/>
      <c r="Y5703" s="114" t="b">
        <v>0</v>
      </c>
      <c r="Z5703" s="114"/>
      <c r="AA5703" s="114"/>
      <c r="AB5703" s="114" t="s">
        <v>5707</v>
      </c>
      <c r="AC5703" s="114" t="s">
        <v>5731</v>
      </c>
      <c r="AD5703" s="114"/>
      <c r="AE5703" s="114"/>
      <c r="AF5703" s="114"/>
      <c r="AG5703" s="114"/>
      <c r="AH5703" s="114"/>
      <c r="AI5703" s="114"/>
      <c r="AJ5703" s="114"/>
      <c r="AK5703" s="114"/>
      <c r="AL5703" s="114"/>
      <c r="AM5703" s="114"/>
      <c r="AN5703" s="114">
        <v>-0.05</v>
      </c>
      <c r="AO5703" s="114">
        <v>0</v>
      </c>
      <c r="AP5703" s="114"/>
      <c r="AQ5703" s="114"/>
      <c r="AR5703" s="114"/>
      <c r="AS5703" s="114"/>
      <c r="AT5703" s="114"/>
      <c r="AU5703" s="114" t="s">
        <v>5709</v>
      </c>
      <c r="AV5703" s="114" t="s">
        <v>5710</v>
      </c>
      <c r="AZ5703" s="317"/>
      <c r="BA5703" s="317"/>
      <c r="BB5703" s="317"/>
    </row>
    <row r="5704" spans="1:54" s="319" customFormat="1" ht="15" hidden="1" customHeight="1" outlineLevel="2">
      <c r="A5704" s="2"/>
      <c r="B5704" s="2" t="s">
        <v>833</v>
      </c>
      <c r="C5704" s="2"/>
      <c r="D5704" s="112" t="s">
        <v>5733</v>
      </c>
      <c r="E5704" s="112"/>
      <c r="F5704" s="112"/>
      <c r="G5704" s="112"/>
      <c r="H5704" s="112"/>
      <c r="I5704" s="112"/>
      <c r="J5704" s="112"/>
      <c r="K5704" s="112"/>
      <c r="L5704" s="112"/>
      <c r="M5704" s="112"/>
      <c r="N5704" s="112"/>
      <c r="O5704" s="112">
        <v>250000</v>
      </c>
      <c r="P5704" s="112">
        <v>499999.99</v>
      </c>
      <c r="Q5704" s="112"/>
      <c r="R5704" s="112"/>
      <c r="S5704" s="112"/>
      <c r="T5704" s="112"/>
      <c r="U5704" s="112"/>
      <c r="V5704" s="112">
        <v>80</v>
      </c>
      <c r="W5704" s="112"/>
      <c r="X5704" s="112"/>
      <c r="Y5704" s="112" t="b">
        <v>0</v>
      </c>
      <c r="Z5704" s="112"/>
      <c r="AA5704" s="112"/>
      <c r="AB5704" s="112" t="s">
        <v>5707</v>
      </c>
      <c r="AC5704" s="112" t="s">
        <v>5731</v>
      </c>
      <c r="AD5704" s="112"/>
      <c r="AE5704" s="112"/>
      <c r="AF5704" s="112"/>
      <c r="AG5704" s="112"/>
      <c r="AH5704" s="112"/>
      <c r="AI5704" s="112"/>
      <c r="AJ5704" s="112"/>
      <c r="AK5704" s="112"/>
      <c r="AL5704" s="112"/>
      <c r="AM5704" s="112"/>
      <c r="AN5704" s="112">
        <v>-0.05</v>
      </c>
      <c r="AO5704" s="112">
        <v>-0.2</v>
      </c>
      <c r="AP5704" s="112"/>
      <c r="AQ5704" s="112"/>
      <c r="AR5704" s="112"/>
      <c r="AS5704" s="112"/>
      <c r="AT5704" s="112"/>
      <c r="AU5704" s="112" t="s">
        <v>5709</v>
      </c>
      <c r="AV5704" s="112" t="s">
        <v>5710</v>
      </c>
      <c r="AZ5704" s="317"/>
      <c r="BA5704" s="317"/>
      <c r="BB5704" s="317"/>
    </row>
    <row r="5705" spans="1:54" s="319" customFormat="1" ht="15" hidden="1" customHeight="1" outlineLevel="2">
      <c r="A5705" s="2"/>
      <c r="B5705" s="2" t="s">
        <v>833</v>
      </c>
      <c r="C5705" s="2"/>
      <c r="D5705" s="114" t="s">
        <v>5734</v>
      </c>
      <c r="E5705" s="114"/>
      <c r="F5705" s="114"/>
      <c r="G5705" s="114"/>
      <c r="H5705" s="114"/>
      <c r="I5705" s="114"/>
      <c r="J5705" s="114"/>
      <c r="K5705" s="114"/>
      <c r="L5705" s="114"/>
      <c r="M5705" s="114"/>
      <c r="N5705" s="114"/>
      <c r="O5705" s="114">
        <v>500000</v>
      </c>
      <c r="P5705" s="114">
        <v>699999.99</v>
      </c>
      <c r="Q5705" s="114"/>
      <c r="R5705" s="114"/>
      <c r="S5705" s="114"/>
      <c r="T5705" s="114"/>
      <c r="U5705" s="114"/>
      <c r="V5705" s="114">
        <v>80</v>
      </c>
      <c r="W5705" s="114"/>
      <c r="X5705" s="114"/>
      <c r="Y5705" s="114" t="b">
        <v>0</v>
      </c>
      <c r="Z5705" s="114"/>
      <c r="AA5705" s="114"/>
      <c r="AB5705" s="114" t="s">
        <v>5707</v>
      </c>
      <c r="AC5705" s="114" t="s">
        <v>5731</v>
      </c>
      <c r="AD5705" s="114"/>
      <c r="AE5705" s="114"/>
      <c r="AF5705" s="114"/>
      <c r="AG5705" s="114"/>
      <c r="AH5705" s="114"/>
      <c r="AI5705" s="114"/>
      <c r="AJ5705" s="114"/>
      <c r="AK5705" s="114"/>
      <c r="AL5705" s="114"/>
      <c r="AM5705" s="114"/>
      <c r="AN5705" s="114">
        <v>-0.05</v>
      </c>
      <c r="AO5705" s="114">
        <v>-0.3</v>
      </c>
      <c r="AP5705" s="114"/>
      <c r="AQ5705" s="114"/>
      <c r="AR5705" s="114"/>
      <c r="AS5705" s="114"/>
      <c r="AT5705" s="114"/>
      <c r="AU5705" s="114" t="s">
        <v>5709</v>
      </c>
      <c r="AV5705" s="114" t="s">
        <v>5710</v>
      </c>
      <c r="AZ5705" s="317"/>
      <c r="BA5705" s="317"/>
      <c r="BB5705" s="317"/>
    </row>
    <row r="5706" spans="1:54" s="319" customFormat="1" ht="15" hidden="1" customHeight="1" outlineLevel="2">
      <c r="A5706" s="2"/>
      <c r="B5706" s="2" t="s">
        <v>833</v>
      </c>
      <c r="C5706" s="2"/>
      <c r="D5706" s="112" t="s">
        <v>5735</v>
      </c>
      <c r="E5706" s="112"/>
      <c r="F5706" s="112"/>
      <c r="G5706" s="112"/>
      <c r="H5706" s="112"/>
      <c r="I5706" s="112"/>
      <c r="J5706" s="112"/>
      <c r="K5706" s="112"/>
      <c r="L5706" s="112"/>
      <c r="M5706" s="112"/>
      <c r="N5706" s="112"/>
      <c r="O5706" s="112">
        <v>700000</v>
      </c>
      <c r="P5706" s="112"/>
      <c r="Q5706" s="112"/>
      <c r="R5706" s="112"/>
      <c r="S5706" s="112"/>
      <c r="T5706" s="112"/>
      <c r="U5706" s="112"/>
      <c r="V5706" s="112">
        <v>80</v>
      </c>
      <c r="W5706" s="112"/>
      <c r="X5706" s="112"/>
      <c r="Y5706" s="112" t="b">
        <v>0</v>
      </c>
      <c r="Z5706" s="112"/>
      <c r="AA5706" s="112"/>
      <c r="AB5706" s="112" t="s">
        <v>5707</v>
      </c>
      <c r="AC5706" s="112" t="s">
        <v>5731</v>
      </c>
      <c r="AD5706" s="112"/>
      <c r="AE5706" s="112"/>
      <c r="AF5706" s="112"/>
      <c r="AG5706" s="112"/>
      <c r="AH5706" s="112"/>
      <c r="AI5706" s="112"/>
      <c r="AJ5706" s="112"/>
      <c r="AK5706" s="112"/>
      <c r="AL5706" s="112"/>
      <c r="AM5706" s="112"/>
      <c r="AN5706" s="112">
        <v>-0.05</v>
      </c>
      <c r="AO5706" s="112">
        <v>-0.2</v>
      </c>
      <c r="AP5706" s="112"/>
      <c r="AQ5706" s="112"/>
      <c r="AR5706" s="112"/>
      <c r="AS5706" s="112"/>
      <c r="AT5706" s="112"/>
      <c r="AU5706" s="112" t="s">
        <v>5709</v>
      </c>
      <c r="AV5706" s="112" t="s">
        <v>5710</v>
      </c>
      <c r="AZ5706" s="317"/>
      <c r="BA5706" s="317"/>
      <c r="BB5706" s="317"/>
    </row>
    <row r="5707" spans="1:54" s="319" customFormat="1" ht="15" hidden="1" customHeight="1" outlineLevel="2">
      <c r="A5707" s="2"/>
      <c r="B5707" s="2" t="s">
        <v>833</v>
      </c>
      <c r="C5707" s="2"/>
      <c r="D5707" s="114" t="s">
        <v>5736</v>
      </c>
      <c r="E5707" s="114"/>
      <c r="F5707" s="114"/>
      <c r="G5707" s="114"/>
      <c r="H5707" s="114"/>
      <c r="I5707" s="114"/>
      <c r="J5707" s="114"/>
      <c r="K5707" s="114"/>
      <c r="L5707" s="114"/>
      <c r="M5707" s="114"/>
      <c r="N5707" s="114"/>
      <c r="O5707" s="114"/>
      <c r="P5707" s="114">
        <v>149999.99</v>
      </c>
      <c r="Q5707" s="114"/>
      <c r="R5707" s="114"/>
      <c r="S5707" s="114"/>
      <c r="T5707" s="114"/>
      <c r="U5707" s="114">
        <v>80.010000000000005</v>
      </c>
      <c r="V5707" s="114"/>
      <c r="W5707" s="114"/>
      <c r="X5707" s="114"/>
      <c r="Y5707" s="114" t="b">
        <v>0</v>
      </c>
      <c r="Z5707" s="114"/>
      <c r="AA5707" s="114"/>
      <c r="AB5707" s="114" t="s">
        <v>5707</v>
      </c>
      <c r="AC5707" s="114" t="s">
        <v>5731</v>
      </c>
      <c r="AD5707" s="114"/>
      <c r="AE5707" s="114"/>
      <c r="AF5707" s="114"/>
      <c r="AG5707" s="114"/>
      <c r="AH5707" s="114"/>
      <c r="AI5707" s="114"/>
      <c r="AJ5707" s="114"/>
      <c r="AK5707" s="114"/>
      <c r="AL5707" s="114"/>
      <c r="AM5707" s="114"/>
      <c r="AN5707" s="114">
        <v>0</v>
      </c>
      <c r="AO5707" s="114">
        <v>0</v>
      </c>
      <c r="AP5707" s="114"/>
      <c r="AQ5707" s="114"/>
      <c r="AR5707" s="114"/>
      <c r="AS5707" s="114"/>
      <c r="AT5707" s="114"/>
      <c r="AU5707" s="114" t="s">
        <v>5709</v>
      </c>
      <c r="AV5707" s="114" t="s">
        <v>5710</v>
      </c>
      <c r="AZ5707" s="317"/>
      <c r="BA5707" s="317"/>
      <c r="BB5707" s="317"/>
    </row>
    <row r="5708" spans="1:54" s="319" customFormat="1" ht="15" hidden="1" customHeight="1" outlineLevel="2">
      <c r="A5708" s="2"/>
      <c r="B5708" s="2" t="s">
        <v>833</v>
      </c>
      <c r="C5708" s="2"/>
      <c r="D5708" s="112" t="s">
        <v>5737</v>
      </c>
      <c r="E5708" s="112"/>
      <c r="F5708" s="112"/>
      <c r="G5708" s="112"/>
      <c r="H5708" s="112"/>
      <c r="I5708" s="112"/>
      <c r="J5708" s="112"/>
      <c r="K5708" s="112"/>
      <c r="L5708" s="112"/>
      <c r="M5708" s="112"/>
      <c r="N5708" s="112"/>
      <c r="O5708" s="112">
        <v>150000</v>
      </c>
      <c r="P5708" s="112">
        <v>249999.99</v>
      </c>
      <c r="Q5708" s="112"/>
      <c r="R5708" s="112"/>
      <c r="S5708" s="112"/>
      <c r="T5708" s="112"/>
      <c r="U5708" s="112">
        <v>80.010000000000005</v>
      </c>
      <c r="V5708" s="112"/>
      <c r="W5708" s="112"/>
      <c r="X5708" s="112"/>
      <c r="Y5708" s="112" t="b">
        <v>0</v>
      </c>
      <c r="Z5708" s="112"/>
      <c r="AA5708" s="112"/>
      <c r="AB5708" s="112" t="s">
        <v>5707</v>
      </c>
      <c r="AC5708" s="112" t="s">
        <v>5731</v>
      </c>
      <c r="AD5708" s="112"/>
      <c r="AE5708" s="112"/>
      <c r="AF5708" s="112"/>
      <c r="AG5708" s="112"/>
      <c r="AH5708" s="112"/>
      <c r="AI5708" s="112"/>
      <c r="AJ5708" s="112"/>
      <c r="AK5708" s="112"/>
      <c r="AL5708" s="112"/>
      <c r="AM5708" s="112"/>
      <c r="AN5708" s="112">
        <v>0</v>
      </c>
      <c r="AO5708" s="112">
        <v>0</v>
      </c>
      <c r="AP5708" s="112"/>
      <c r="AQ5708" s="112"/>
      <c r="AR5708" s="112"/>
      <c r="AS5708" s="112"/>
      <c r="AT5708" s="112"/>
      <c r="AU5708" s="112" t="s">
        <v>5709</v>
      </c>
      <c r="AV5708" s="112" t="s">
        <v>5710</v>
      </c>
      <c r="AZ5708" s="317"/>
      <c r="BA5708" s="317"/>
      <c r="BB5708" s="317"/>
    </row>
    <row r="5709" spans="1:54" s="319" customFormat="1" ht="15" hidden="1" customHeight="1" outlineLevel="2">
      <c r="A5709" s="2"/>
      <c r="B5709" s="2" t="s">
        <v>833</v>
      </c>
      <c r="C5709" s="2"/>
      <c r="D5709" s="114" t="s">
        <v>5738</v>
      </c>
      <c r="E5709" s="114"/>
      <c r="F5709" s="114"/>
      <c r="G5709" s="114"/>
      <c r="H5709" s="114"/>
      <c r="I5709" s="114"/>
      <c r="J5709" s="114"/>
      <c r="K5709" s="114"/>
      <c r="L5709" s="114"/>
      <c r="M5709" s="114"/>
      <c r="N5709" s="114"/>
      <c r="O5709" s="114">
        <v>250000</v>
      </c>
      <c r="P5709" s="114">
        <v>499999.99</v>
      </c>
      <c r="Q5709" s="114"/>
      <c r="R5709" s="114"/>
      <c r="S5709" s="114"/>
      <c r="T5709" s="114"/>
      <c r="U5709" s="114">
        <v>80.010000000000005</v>
      </c>
      <c r="V5709" s="114"/>
      <c r="W5709" s="114"/>
      <c r="X5709" s="114"/>
      <c r="Y5709" s="114" t="b">
        <v>0</v>
      </c>
      <c r="Z5709" s="114"/>
      <c r="AA5709" s="114"/>
      <c r="AB5709" s="114" t="s">
        <v>5707</v>
      </c>
      <c r="AC5709" s="114" t="s">
        <v>5731</v>
      </c>
      <c r="AD5709" s="114"/>
      <c r="AE5709" s="114"/>
      <c r="AF5709" s="114"/>
      <c r="AG5709" s="114"/>
      <c r="AH5709" s="114"/>
      <c r="AI5709" s="114"/>
      <c r="AJ5709" s="114"/>
      <c r="AK5709" s="114"/>
      <c r="AL5709" s="114"/>
      <c r="AM5709" s="114"/>
      <c r="AN5709" s="114">
        <v>0</v>
      </c>
      <c r="AO5709" s="114">
        <v>-0.15</v>
      </c>
      <c r="AP5709" s="114"/>
      <c r="AQ5709" s="114"/>
      <c r="AR5709" s="114"/>
      <c r="AS5709" s="114"/>
      <c r="AT5709" s="114"/>
      <c r="AU5709" s="114" t="s">
        <v>5709</v>
      </c>
      <c r="AV5709" s="114" t="s">
        <v>5710</v>
      </c>
      <c r="AZ5709" s="317"/>
      <c r="BA5709" s="317"/>
      <c r="BB5709" s="317"/>
    </row>
    <row r="5710" spans="1:54" s="319" customFormat="1" ht="15" hidden="1" customHeight="1" outlineLevel="2">
      <c r="A5710" s="2"/>
      <c r="B5710" s="2" t="s">
        <v>833</v>
      </c>
      <c r="C5710" s="2"/>
      <c r="D5710" s="112" t="s">
        <v>5739</v>
      </c>
      <c r="E5710" s="112"/>
      <c r="F5710" s="112"/>
      <c r="G5710" s="112"/>
      <c r="H5710" s="112"/>
      <c r="I5710" s="112"/>
      <c r="J5710" s="112"/>
      <c r="K5710" s="112"/>
      <c r="L5710" s="112"/>
      <c r="M5710" s="112"/>
      <c r="N5710" s="112"/>
      <c r="O5710" s="112">
        <v>500000</v>
      </c>
      <c r="P5710" s="112">
        <v>699999.99</v>
      </c>
      <c r="Q5710" s="112"/>
      <c r="R5710" s="112"/>
      <c r="S5710" s="112"/>
      <c r="T5710" s="112"/>
      <c r="U5710" s="112">
        <v>80.010000000000005</v>
      </c>
      <c r="V5710" s="112"/>
      <c r="W5710" s="112"/>
      <c r="X5710" s="112"/>
      <c r="Y5710" s="112" t="b">
        <v>0</v>
      </c>
      <c r="Z5710" s="112"/>
      <c r="AA5710" s="112"/>
      <c r="AB5710" s="112" t="s">
        <v>5707</v>
      </c>
      <c r="AC5710" s="112" t="s">
        <v>5731</v>
      </c>
      <c r="AD5710" s="112"/>
      <c r="AE5710" s="112"/>
      <c r="AF5710" s="112"/>
      <c r="AG5710" s="112"/>
      <c r="AH5710" s="112"/>
      <c r="AI5710" s="112"/>
      <c r="AJ5710" s="112"/>
      <c r="AK5710" s="112"/>
      <c r="AL5710" s="112"/>
      <c r="AM5710" s="112"/>
      <c r="AN5710" s="112">
        <v>0</v>
      </c>
      <c r="AO5710" s="112">
        <v>-0.25</v>
      </c>
      <c r="AP5710" s="112"/>
      <c r="AQ5710" s="112"/>
      <c r="AR5710" s="112"/>
      <c r="AS5710" s="112"/>
      <c r="AT5710" s="112"/>
      <c r="AU5710" s="112" t="s">
        <v>5709</v>
      </c>
      <c r="AV5710" s="112" t="s">
        <v>5710</v>
      </c>
      <c r="AZ5710" s="317"/>
      <c r="BA5710" s="317"/>
      <c r="BB5710" s="317"/>
    </row>
    <row r="5711" spans="1:54" s="319" customFormat="1" ht="15" hidden="1" customHeight="1" outlineLevel="2">
      <c r="A5711" s="2"/>
      <c r="B5711" s="2" t="s">
        <v>833</v>
      </c>
      <c r="C5711" s="2"/>
      <c r="D5711" s="114" t="s">
        <v>5740</v>
      </c>
      <c r="E5711" s="114"/>
      <c r="F5711" s="114"/>
      <c r="G5711" s="114"/>
      <c r="H5711" s="114"/>
      <c r="I5711" s="114"/>
      <c r="J5711" s="114"/>
      <c r="K5711" s="114"/>
      <c r="L5711" s="114"/>
      <c r="M5711" s="114"/>
      <c r="N5711" s="114"/>
      <c r="O5711" s="114">
        <v>700000</v>
      </c>
      <c r="P5711" s="114"/>
      <c r="Q5711" s="114"/>
      <c r="R5711" s="114"/>
      <c r="S5711" s="114"/>
      <c r="T5711" s="114"/>
      <c r="U5711" s="114">
        <v>80.010000000000005</v>
      </c>
      <c r="V5711" s="114"/>
      <c r="W5711" s="114"/>
      <c r="X5711" s="114"/>
      <c r="Y5711" s="114" t="b">
        <v>0</v>
      </c>
      <c r="Z5711" s="114"/>
      <c r="AA5711" s="114"/>
      <c r="AB5711" s="114" t="s">
        <v>5707</v>
      </c>
      <c r="AC5711" s="114" t="s">
        <v>5731</v>
      </c>
      <c r="AD5711" s="114"/>
      <c r="AE5711" s="114"/>
      <c r="AF5711" s="114"/>
      <c r="AG5711" s="114"/>
      <c r="AH5711" s="114"/>
      <c r="AI5711" s="114"/>
      <c r="AJ5711" s="114"/>
      <c r="AK5711" s="114"/>
      <c r="AL5711" s="114"/>
      <c r="AM5711" s="114"/>
      <c r="AN5711" s="114">
        <v>0</v>
      </c>
      <c r="AO5711" s="114">
        <v>-0.15</v>
      </c>
      <c r="AP5711" s="114"/>
      <c r="AQ5711" s="114"/>
      <c r="AR5711" s="114"/>
      <c r="AS5711" s="114"/>
      <c r="AT5711" s="114"/>
      <c r="AU5711" s="114" t="s">
        <v>5709</v>
      </c>
      <c r="AV5711" s="114" t="s">
        <v>5710</v>
      </c>
      <c r="AZ5711" s="317"/>
      <c r="BA5711" s="317"/>
      <c r="BB5711" s="317"/>
    </row>
    <row r="5712" spans="1:54" s="319" customFormat="1" ht="15" hidden="1" customHeight="1" outlineLevel="2">
      <c r="A5712" s="2"/>
      <c r="B5712" s="2" t="s">
        <v>833</v>
      </c>
      <c r="C5712" s="2"/>
      <c r="D5712" s="112" t="s">
        <v>5741</v>
      </c>
      <c r="E5712" s="112"/>
      <c r="F5712" s="112"/>
      <c r="G5712" s="112"/>
      <c r="H5712" s="112"/>
      <c r="I5712" s="112"/>
      <c r="J5712" s="112"/>
      <c r="K5712" s="112"/>
      <c r="L5712" s="112"/>
      <c r="M5712" s="112"/>
      <c r="N5712" s="112"/>
      <c r="O5712" s="112"/>
      <c r="P5712" s="112">
        <v>149999.99</v>
      </c>
      <c r="Q5712" s="112"/>
      <c r="R5712" s="112"/>
      <c r="S5712" s="112"/>
      <c r="T5712" s="112"/>
      <c r="U5712" s="112"/>
      <c r="V5712" s="112">
        <v>80</v>
      </c>
      <c r="W5712" s="112"/>
      <c r="X5712" s="112"/>
      <c r="Y5712" s="112" t="b">
        <v>1</v>
      </c>
      <c r="Z5712" s="112"/>
      <c r="AA5712" s="112"/>
      <c r="AB5712" s="112" t="s">
        <v>5707</v>
      </c>
      <c r="AC5712" s="112" t="s">
        <v>5731</v>
      </c>
      <c r="AD5712" s="112"/>
      <c r="AE5712" s="112"/>
      <c r="AF5712" s="112"/>
      <c r="AG5712" s="112"/>
      <c r="AH5712" s="112"/>
      <c r="AI5712" s="112"/>
      <c r="AJ5712" s="112"/>
      <c r="AK5712" s="112"/>
      <c r="AL5712" s="112"/>
      <c r="AM5712" s="112"/>
      <c r="AN5712" s="112">
        <v>-0.2</v>
      </c>
      <c r="AO5712" s="112">
        <v>0</v>
      </c>
      <c r="AP5712" s="112"/>
      <c r="AQ5712" s="112"/>
      <c r="AR5712" s="112"/>
      <c r="AS5712" s="112"/>
      <c r="AT5712" s="112"/>
      <c r="AU5712" s="112" t="s">
        <v>5709</v>
      </c>
      <c r="AV5712" s="112" t="s">
        <v>5710</v>
      </c>
      <c r="AZ5712" s="317"/>
      <c r="BA5712" s="317"/>
      <c r="BB5712" s="317"/>
    </row>
    <row r="5713" spans="1:54" s="319" customFormat="1" ht="15" hidden="1" customHeight="1" outlineLevel="2">
      <c r="A5713" s="2"/>
      <c r="B5713" s="2" t="s">
        <v>833</v>
      </c>
      <c r="C5713" s="2"/>
      <c r="D5713" s="114" t="s">
        <v>5742</v>
      </c>
      <c r="E5713" s="114"/>
      <c r="F5713" s="114"/>
      <c r="G5713" s="114"/>
      <c r="H5713" s="114"/>
      <c r="I5713" s="114"/>
      <c r="J5713" s="114"/>
      <c r="K5713" s="114">
        <v>100000</v>
      </c>
      <c r="L5713" s="114"/>
      <c r="M5713" s="114"/>
      <c r="N5713" s="114"/>
      <c r="O5713" s="114">
        <v>150000</v>
      </c>
      <c r="P5713" s="114">
        <v>249999.99</v>
      </c>
      <c r="Q5713" s="114"/>
      <c r="R5713" s="114"/>
      <c r="S5713" s="114"/>
      <c r="T5713" s="114"/>
      <c r="U5713" s="114"/>
      <c r="V5713" s="114">
        <v>80</v>
      </c>
      <c r="W5713" s="114"/>
      <c r="X5713" s="114"/>
      <c r="Y5713" s="114" t="b">
        <v>1</v>
      </c>
      <c r="Z5713" s="114"/>
      <c r="AA5713" s="114"/>
      <c r="AB5713" s="114" t="s">
        <v>5707</v>
      </c>
      <c r="AC5713" s="114" t="s">
        <v>5731</v>
      </c>
      <c r="AD5713" s="114"/>
      <c r="AE5713" s="114"/>
      <c r="AF5713" s="114"/>
      <c r="AG5713" s="114"/>
      <c r="AH5713" s="114"/>
      <c r="AI5713" s="114"/>
      <c r="AJ5713" s="114"/>
      <c r="AK5713" s="114"/>
      <c r="AL5713" s="114"/>
      <c r="AM5713" s="114"/>
      <c r="AN5713" s="114">
        <v>-0.05</v>
      </c>
      <c r="AO5713" s="114">
        <v>0</v>
      </c>
      <c r="AP5713" s="114"/>
      <c r="AQ5713" s="114"/>
      <c r="AR5713" s="114"/>
      <c r="AS5713" s="114"/>
      <c r="AT5713" s="114"/>
      <c r="AU5713" s="114" t="s">
        <v>5709</v>
      </c>
      <c r="AV5713" s="114" t="s">
        <v>5710</v>
      </c>
      <c r="AZ5713" s="317"/>
      <c r="BA5713" s="317"/>
      <c r="BB5713" s="317"/>
    </row>
    <row r="5714" spans="1:54" s="319" customFormat="1" ht="15" hidden="1" customHeight="1" outlineLevel="2">
      <c r="A5714" s="2"/>
      <c r="B5714" s="2" t="s">
        <v>833</v>
      </c>
      <c r="C5714" s="2"/>
      <c r="D5714" s="112" t="s">
        <v>5743</v>
      </c>
      <c r="E5714" s="112"/>
      <c r="F5714" s="112"/>
      <c r="G5714" s="112"/>
      <c r="H5714" s="112"/>
      <c r="I5714" s="112"/>
      <c r="J5714" s="112"/>
      <c r="K5714" s="112">
        <v>100000</v>
      </c>
      <c r="L5714" s="112"/>
      <c r="M5714" s="112"/>
      <c r="N5714" s="112"/>
      <c r="O5714" s="112">
        <v>250000</v>
      </c>
      <c r="P5714" s="112">
        <v>499999.99</v>
      </c>
      <c r="Q5714" s="112"/>
      <c r="R5714" s="112"/>
      <c r="S5714" s="112"/>
      <c r="T5714" s="112"/>
      <c r="U5714" s="112"/>
      <c r="V5714" s="112">
        <v>80</v>
      </c>
      <c r="W5714" s="112"/>
      <c r="X5714" s="112"/>
      <c r="Y5714" s="112" t="b">
        <v>1</v>
      </c>
      <c r="Z5714" s="112"/>
      <c r="AA5714" s="112"/>
      <c r="AB5714" s="112" t="s">
        <v>5707</v>
      </c>
      <c r="AC5714" s="112" t="s">
        <v>5731</v>
      </c>
      <c r="AD5714" s="112"/>
      <c r="AE5714" s="112"/>
      <c r="AF5714" s="112"/>
      <c r="AG5714" s="112"/>
      <c r="AH5714" s="112"/>
      <c r="AI5714" s="112"/>
      <c r="AJ5714" s="112"/>
      <c r="AK5714" s="112"/>
      <c r="AL5714" s="112"/>
      <c r="AM5714" s="112"/>
      <c r="AN5714" s="112">
        <v>-0.05</v>
      </c>
      <c r="AO5714" s="112">
        <v>-0.2</v>
      </c>
      <c r="AP5714" s="112"/>
      <c r="AQ5714" s="112"/>
      <c r="AR5714" s="112"/>
      <c r="AS5714" s="112"/>
      <c r="AT5714" s="112"/>
      <c r="AU5714" s="112" t="s">
        <v>5709</v>
      </c>
      <c r="AV5714" s="112" t="s">
        <v>5710</v>
      </c>
      <c r="AZ5714" s="317"/>
      <c r="BA5714" s="317"/>
      <c r="BB5714" s="317"/>
    </row>
    <row r="5715" spans="1:54" s="319" customFormat="1" ht="15" hidden="1" customHeight="1" outlineLevel="2">
      <c r="A5715" s="2"/>
      <c r="B5715" s="2" t="s">
        <v>833</v>
      </c>
      <c r="C5715" s="2"/>
      <c r="D5715" s="114" t="s">
        <v>5744</v>
      </c>
      <c r="E5715" s="114"/>
      <c r="F5715" s="114"/>
      <c r="G5715" s="114"/>
      <c r="H5715" s="114"/>
      <c r="I5715" s="114"/>
      <c r="J5715" s="114"/>
      <c r="K5715" s="114">
        <v>100000</v>
      </c>
      <c r="L5715" s="114"/>
      <c r="M5715" s="114"/>
      <c r="N5715" s="114"/>
      <c r="O5715" s="114">
        <v>500000</v>
      </c>
      <c r="P5715" s="114">
        <v>699999.99</v>
      </c>
      <c r="Q5715" s="114"/>
      <c r="R5715" s="114"/>
      <c r="S5715" s="114"/>
      <c r="T5715" s="114"/>
      <c r="U5715" s="114"/>
      <c r="V5715" s="114">
        <v>80</v>
      </c>
      <c r="W5715" s="114"/>
      <c r="X5715" s="114"/>
      <c r="Y5715" s="114" t="b">
        <v>1</v>
      </c>
      <c r="Z5715" s="114"/>
      <c r="AA5715" s="114"/>
      <c r="AB5715" s="114" t="s">
        <v>5707</v>
      </c>
      <c r="AC5715" s="114" t="s">
        <v>5731</v>
      </c>
      <c r="AD5715" s="114"/>
      <c r="AE5715" s="114"/>
      <c r="AF5715" s="114"/>
      <c r="AG5715" s="114"/>
      <c r="AH5715" s="114"/>
      <c r="AI5715" s="114"/>
      <c r="AJ5715" s="114"/>
      <c r="AK5715" s="114"/>
      <c r="AL5715" s="114"/>
      <c r="AM5715" s="114"/>
      <c r="AN5715" s="114">
        <v>-0.05</v>
      </c>
      <c r="AO5715" s="114">
        <v>-0.3</v>
      </c>
      <c r="AP5715" s="114"/>
      <c r="AQ5715" s="114"/>
      <c r="AR5715" s="114"/>
      <c r="AS5715" s="114"/>
      <c r="AT5715" s="114"/>
      <c r="AU5715" s="114" t="s">
        <v>5709</v>
      </c>
      <c r="AV5715" s="114" t="s">
        <v>5710</v>
      </c>
      <c r="AZ5715" s="317"/>
      <c r="BA5715" s="317"/>
      <c r="BB5715" s="317"/>
    </row>
    <row r="5716" spans="1:54" s="319" customFormat="1" ht="15" hidden="1" customHeight="1" outlineLevel="2">
      <c r="A5716" s="2"/>
      <c r="B5716" s="2" t="s">
        <v>833</v>
      </c>
      <c r="C5716" s="2"/>
      <c r="D5716" s="112" t="s">
        <v>5745</v>
      </c>
      <c r="E5716" s="112"/>
      <c r="F5716" s="112"/>
      <c r="G5716" s="112"/>
      <c r="H5716" s="112"/>
      <c r="I5716" s="112"/>
      <c r="J5716" s="112"/>
      <c r="K5716" s="112">
        <v>100000</v>
      </c>
      <c r="L5716" s="112"/>
      <c r="M5716" s="112"/>
      <c r="N5716" s="112"/>
      <c r="O5716" s="112">
        <v>700000</v>
      </c>
      <c r="P5716" s="112"/>
      <c r="Q5716" s="112"/>
      <c r="R5716" s="112"/>
      <c r="S5716" s="112"/>
      <c r="T5716" s="112"/>
      <c r="U5716" s="112"/>
      <c r="V5716" s="112">
        <v>80</v>
      </c>
      <c r="W5716" s="112"/>
      <c r="X5716" s="112"/>
      <c r="Y5716" s="112" t="b">
        <v>1</v>
      </c>
      <c r="Z5716" s="112"/>
      <c r="AA5716" s="112"/>
      <c r="AB5716" s="112" t="s">
        <v>5707</v>
      </c>
      <c r="AC5716" s="112" t="s">
        <v>5731</v>
      </c>
      <c r="AD5716" s="112"/>
      <c r="AE5716" s="112"/>
      <c r="AF5716" s="112"/>
      <c r="AG5716" s="112"/>
      <c r="AH5716" s="112"/>
      <c r="AI5716" s="112"/>
      <c r="AJ5716" s="112"/>
      <c r="AK5716" s="112"/>
      <c r="AL5716" s="112"/>
      <c r="AM5716" s="112"/>
      <c r="AN5716" s="112">
        <v>-0.05</v>
      </c>
      <c r="AO5716" s="112">
        <v>-0.2</v>
      </c>
      <c r="AP5716" s="112"/>
      <c r="AQ5716" s="112"/>
      <c r="AR5716" s="112"/>
      <c r="AS5716" s="112"/>
      <c r="AT5716" s="112"/>
      <c r="AU5716" s="112" t="s">
        <v>5709</v>
      </c>
      <c r="AV5716" s="112" t="s">
        <v>5710</v>
      </c>
      <c r="AZ5716" s="317"/>
      <c r="BA5716" s="317"/>
      <c r="BB5716" s="317"/>
    </row>
    <row r="5717" spans="1:54" s="319" customFormat="1" ht="15" hidden="1" customHeight="1" outlineLevel="2">
      <c r="A5717" s="2"/>
      <c r="B5717" s="2" t="s">
        <v>833</v>
      </c>
      <c r="C5717" s="2"/>
      <c r="D5717" s="114" t="s">
        <v>5746</v>
      </c>
      <c r="E5717" s="114"/>
      <c r="F5717" s="114"/>
      <c r="G5717" s="114"/>
      <c r="H5717" s="114"/>
      <c r="I5717" s="114"/>
      <c r="J5717" s="114"/>
      <c r="K5717" s="114"/>
      <c r="L5717" s="114"/>
      <c r="M5717" s="114"/>
      <c r="N5717" s="114"/>
      <c r="O5717" s="114"/>
      <c r="P5717" s="114">
        <v>149999.99</v>
      </c>
      <c r="Q5717" s="114"/>
      <c r="R5717" s="114"/>
      <c r="S5717" s="114"/>
      <c r="T5717" s="114"/>
      <c r="U5717" s="114">
        <v>80.010000000000005</v>
      </c>
      <c r="V5717" s="114"/>
      <c r="W5717" s="114"/>
      <c r="X5717" s="114"/>
      <c r="Y5717" s="114" t="b">
        <v>1</v>
      </c>
      <c r="Z5717" s="114"/>
      <c r="AA5717" s="114"/>
      <c r="AB5717" s="114" t="s">
        <v>5707</v>
      </c>
      <c r="AC5717" s="114" t="s">
        <v>5731</v>
      </c>
      <c r="AD5717" s="114"/>
      <c r="AE5717" s="114"/>
      <c r="AF5717" s="114"/>
      <c r="AG5717" s="114"/>
      <c r="AH5717" s="114"/>
      <c r="AI5717" s="114"/>
      <c r="AJ5717" s="114"/>
      <c r="AK5717" s="114"/>
      <c r="AL5717" s="114"/>
      <c r="AM5717" s="114"/>
      <c r="AN5717" s="114">
        <v>-0.15</v>
      </c>
      <c r="AO5717" s="114">
        <v>0</v>
      </c>
      <c r="AP5717" s="114"/>
      <c r="AQ5717" s="114"/>
      <c r="AR5717" s="114"/>
      <c r="AS5717" s="114"/>
      <c r="AT5717" s="114"/>
      <c r="AU5717" s="114" t="s">
        <v>5709</v>
      </c>
      <c r="AV5717" s="114" t="s">
        <v>5710</v>
      </c>
      <c r="AZ5717" s="317"/>
      <c r="BA5717" s="317"/>
      <c r="BB5717" s="317"/>
    </row>
    <row r="5718" spans="1:54" s="319" customFormat="1" ht="15" hidden="1" customHeight="1" outlineLevel="2">
      <c r="A5718" s="2"/>
      <c r="B5718" s="2" t="s">
        <v>833</v>
      </c>
      <c r="C5718" s="2"/>
      <c r="D5718" s="112" t="s">
        <v>5747</v>
      </c>
      <c r="E5718" s="112"/>
      <c r="F5718" s="112"/>
      <c r="G5718" s="112"/>
      <c r="H5718" s="112"/>
      <c r="I5718" s="112"/>
      <c r="J5718" s="112"/>
      <c r="K5718" s="112">
        <v>100000</v>
      </c>
      <c r="L5718" s="112"/>
      <c r="M5718" s="112"/>
      <c r="N5718" s="112"/>
      <c r="O5718" s="112">
        <v>150000</v>
      </c>
      <c r="P5718" s="112">
        <v>249999.99</v>
      </c>
      <c r="Q5718" s="112"/>
      <c r="R5718" s="112"/>
      <c r="S5718" s="112"/>
      <c r="T5718" s="112"/>
      <c r="U5718" s="112">
        <v>80.010000000000005</v>
      </c>
      <c r="V5718" s="112"/>
      <c r="W5718" s="112"/>
      <c r="X5718" s="112"/>
      <c r="Y5718" s="112" t="b">
        <v>1</v>
      </c>
      <c r="Z5718" s="112"/>
      <c r="AA5718" s="112"/>
      <c r="AB5718" s="112" t="s">
        <v>5707</v>
      </c>
      <c r="AC5718" s="112" t="s">
        <v>5731</v>
      </c>
      <c r="AD5718" s="112"/>
      <c r="AE5718" s="112"/>
      <c r="AF5718" s="112"/>
      <c r="AG5718" s="112"/>
      <c r="AH5718" s="112"/>
      <c r="AI5718" s="112"/>
      <c r="AJ5718" s="112"/>
      <c r="AK5718" s="112"/>
      <c r="AL5718" s="112"/>
      <c r="AM5718" s="112"/>
      <c r="AN5718" s="112">
        <v>0</v>
      </c>
      <c r="AO5718" s="112">
        <v>0</v>
      </c>
      <c r="AP5718" s="112"/>
      <c r="AQ5718" s="112"/>
      <c r="AR5718" s="112"/>
      <c r="AS5718" s="112"/>
      <c r="AT5718" s="112"/>
      <c r="AU5718" s="112" t="s">
        <v>5709</v>
      </c>
      <c r="AV5718" s="112" t="s">
        <v>5710</v>
      </c>
      <c r="AZ5718" s="317"/>
      <c r="BA5718" s="317"/>
      <c r="BB5718" s="317"/>
    </row>
    <row r="5719" spans="1:54" s="319" customFormat="1" ht="15" hidden="1" customHeight="1" outlineLevel="2">
      <c r="A5719" s="2"/>
      <c r="B5719" s="2" t="s">
        <v>833</v>
      </c>
      <c r="C5719" s="2"/>
      <c r="D5719" s="114" t="s">
        <v>5748</v>
      </c>
      <c r="E5719" s="114"/>
      <c r="F5719" s="114"/>
      <c r="G5719" s="114"/>
      <c r="H5719" s="114"/>
      <c r="I5719" s="114"/>
      <c r="J5719" s="114"/>
      <c r="K5719" s="114">
        <v>100000</v>
      </c>
      <c r="L5719" s="114"/>
      <c r="M5719" s="114"/>
      <c r="N5719" s="114"/>
      <c r="O5719" s="114">
        <v>250000</v>
      </c>
      <c r="P5719" s="114">
        <v>499999.99</v>
      </c>
      <c r="Q5719" s="114"/>
      <c r="R5719" s="114"/>
      <c r="S5719" s="114"/>
      <c r="T5719" s="114"/>
      <c r="U5719" s="114">
        <v>80.010000000000005</v>
      </c>
      <c r="V5719" s="114"/>
      <c r="W5719" s="114"/>
      <c r="X5719" s="114"/>
      <c r="Y5719" s="114" t="b">
        <v>1</v>
      </c>
      <c r="Z5719" s="114"/>
      <c r="AA5719" s="114"/>
      <c r="AB5719" s="114" t="s">
        <v>5707</v>
      </c>
      <c r="AC5719" s="114" t="s">
        <v>5731</v>
      </c>
      <c r="AD5719" s="114"/>
      <c r="AE5719" s="114"/>
      <c r="AF5719" s="114"/>
      <c r="AG5719" s="114"/>
      <c r="AH5719" s="114"/>
      <c r="AI5719" s="114"/>
      <c r="AJ5719" s="114"/>
      <c r="AK5719" s="114"/>
      <c r="AL5719" s="114"/>
      <c r="AM5719" s="114"/>
      <c r="AN5719" s="114">
        <v>0</v>
      </c>
      <c r="AO5719" s="114">
        <v>-0.15</v>
      </c>
      <c r="AP5719" s="114"/>
      <c r="AQ5719" s="114"/>
      <c r="AR5719" s="114"/>
      <c r="AS5719" s="114"/>
      <c r="AT5719" s="114"/>
      <c r="AU5719" s="114" t="s">
        <v>5709</v>
      </c>
      <c r="AV5719" s="114" t="s">
        <v>5710</v>
      </c>
      <c r="AZ5719" s="317"/>
      <c r="BA5719" s="317"/>
      <c r="BB5719" s="317"/>
    </row>
    <row r="5720" spans="1:54" s="319" customFormat="1" ht="15" hidden="1" customHeight="1" outlineLevel="2">
      <c r="A5720" s="2"/>
      <c r="B5720" s="2" t="s">
        <v>833</v>
      </c>
      <c r="C5720" s="2"/>
      <c r="D5720" s="112" t="s">
        <v>5749</v>
      </c>
      <c r="E5720" s="112"/>
      <c r="F5720" s="112"/>
      <c r="G5720" s="112"/>
      <c r="H5720" s="112"/>
      <c r="I5720" s="112"/>
      <c r="J5720" s="112"/>
      <c r="K5720" s="112">
        <v>100000</v>
      </c>
      <c r="L5720" s="112"/>
      <c r="M5720" s="112"/>
      <c r="N5720" s="112"/>
      <c r="O5720" s="112">
        <v>500000</v>
      </c>
      <c r="P5720" s="112">
        <v>699999.99</v>
      </c>
      <c r="Q5720" s="112"/>
      <c r="R5720" s="112"/>
      <c r="S5720" s="112"/>
      <c r="T5720" s="112"/>
      <c r="U5720" s="112">
        <v>80.010000000000005</v>
      </c>
      <c r="V5720" s="112"/>
      <c r="W5720" s="112"/>
      <c r="X5720" s="112"/>
      <c r="Y5720" s="112" t="b">
        <v>1</v>
      </c>
      <c r="Z5720" s="112"/>
      <c r="AA5720" s="112"/>
      <c r="AB5720" s="112" t="s">
        <v>5707</v>
      </c>
      <c r="AC5720" s="112" t="s">
        <v>5731</v>
      </c>
      <c r="AD5720" s="112"/>
      <c r="AE5720" s="112"/>
      <c r="AF5720" s="112"/>
      <c r="AG5720" s="112"/>
      <c r="AH5720" s="112"/>
      <c r="AI5720" s="112"/>
      <c r="AJ5720" s="112"/>
      <c r="AK5720" s="112"/>
      <c r="AL5720" s="112"/>
      <c r="AM5720" s="112"/>
      <c r="AN5720" s="112">
        <v>0</v>
      </c>
      <c r="AO5720" s="112">
        <v>-0.25</v>
      </c>
      <c r="AP5720" s="112"/>
      <c r="AQ5720" s="112"/>
      <c r="AR5720" s="112"/>
      <c r="AS5720" s="112"/>
      <c r="AT5720" s="112"/>
      <c r="AU5720" s="112" t="s">
        <v>5709</v>
      </c>
      <c r="AV5720" s="112" t="s">
        <v>5710</v>
      </c>
      <c r="AZ5720" s="317"/>
      <c r="BA5720" s="317"/>
      <c r="BB5720" s="317"/>
    </row>
    <row r="5721" spans="1:54" s="319" customFormat="1" ht="15" hidden="1" customHeight="1" outlineLevel="2">
      <c r="A5721" s="2"/>
      <c r="B5721" s="2" t="s">
        <v>833</v>
      </c>
      <c r="C5721" s="2"/>
      <c r="D5721" s="114" t="s">
        <v>5750</v>
      </c>
      <c r="E5721" s="114"/>
      <c r="F5721" s="114"/>
      <c r="G5721" s="114"/>
      <c r="H5721" s="114"/>
      <c r="I5721" s="114"/>
      <c r="J5721" s="114"/>
      <c r="K5721" s="114">
        <v>100000</v>
      </c>
      <c r="L5721" s="114"/>
      <c r="M5721" s="114"/>
      <c r="N5721" s="114"/>
      <c r="O5721" s="114">
        <v>700000</v>
      </c>
      <c r="P5721" s="114"/>
      <c r="Q5721" s="114"/>
      <c r="R5721" s="114"/>
      <c r="S5721" s="114"/>
      <c r="T5721" s="114"/>
      <c r="U5721" s="114">
        <v>80.010000000000005</v>
      </c>
      <c r="V5721" s="114"/>
      <c r="W5721" s="114"/>
      <c r="X5721" s="114"/>
      <c r="Y5721" s="114" t="b">
        <v>1</v>
      </c>
      <c r="Z5721" s="114"/>
      <c r="AA5721" s="114"/>
      <c r="AB5721" s="114" t="s">
        <v>5707</v>
      </c>
      <c r="AC5721" s="114" t="s">
        <v>5731</v>
      </c>
      <c r="AD5721" s="114"/>
      <c r="AE5721" s="114"/>
      <c r="AF5721" s="114"/>
      <c r="AG5721" s="114"/>
      <c r="AH5721" s="114"/>
      <c r="AI5721" s="114"/>
      <c r="AJ5721" s="114"/>
      <c r="AK5721" s="114"/>
      <c r="AL5721" s="114"/>
      <c r="AM5721" s="114"/>
      <c r="AN5721" s="114">
        <v>0</v>
      </c>
      <c r="AO5721" s="114">
        <v>-0.15</v>
      </c>
      <c r="AP5721" s="114"/>
      <c r="AQ5721" s="114"/>
      <c r="AR5721" s="114"/>
      <c r="AS5721" s="114"/>
      <c r="AT5721" s="114"/>
      <c r="AU5721" s="114" t="s">
        <v>5709</v>
      </c>
      <c r="AV5721" s="114" t="s">
        <v>5710</v>
      </c>
      <c r="AZ5721" s="317"/>
      <c r="BA5721" s="317"/>
      <c r="BB5721" s="317"/>
    </row>
    <row r="5722" spans="1:54" s="319" customFormat="1" ht="15" hidden="1" customHeight="1" outlineLevel="2">
      <c r="A5722" s="2"/>
      <c r="B5722" s="2" t="s">
        <v>833</v>
      </c>
      <c r="C5722" s="2"/>
      <c r="D5722" s="112" t="s">
        <v>5751</v>
      </c>
      <c r="E5722" s="112"/>
      <c r="F5722" s="112"/>
      <c r="G5722" s="112"/>
      <c r="H5722" s="112"/>
      <c r="I5722" s="112"/>
      <c r="J5722" s="112"/>
      <c r="K5722" s="112"/>
      <c r="L5722" s="112"/>
      <c r="M5722" s="112"/>
      <c r="N5722" s="112"/>
      <c r="O5722" s="112">
        <v>0</v>
      </c>
      <c r="P5722" s="112">
        <v>149999.99</v>
      </c>
      <c r="Q5722" s="112"/>
      <c r="R5722" s="112"/>
      <c r="S5722" s="112"/>
      <c r="T5722" s="112"/>
      <c r="U5722" s="112"/>
      <c r="V5722" s="112">
        <v>80</v>
      </c>
      <c r="W5722" s="112"/>
      <c r="X5722" s="112"/>
      <c r="Y5722" s="112"/>
      <c r="Z5722" s="112"/>
      <c r="AA5722" s="112"/>
      <c r="AB5722" s="112" t="s">
        <v>5707</v>
      </c>
      <c r="AC5722" s="112" t="s">
        <v>5731</v>
      </c>
      <c r="AD5722" s="112"/>
      <c r="AE5722" s="112"/>
      <c r="AF5722" s="112"/>
      <c r="AG5722" s="112"/>
      <c r="AH5722" s="112"/>
      <c r="AI5722" s="112"/>
      <c r="AJ5722" s="112"/>
      <c r="AK5722" s="112"/>
      <c r="AL5722" s="112"/>
      <c r="AM5722" s="112"/>
      <c r="AN5722" s="112">
        <v>-0.2</v>
      </c>
      <c r="AO5722" s="112">
        <v>0</v>
      </c>
      <c r="AP5722" s="112"/>
      <c r="AQ5722" s="112"/>
      <c r="AR5722" s="112"/>
      <c r="AS5722" s="112"/>
      <c r="AT5722" s="112"/>
      <c r="AU5722" s="112" t="s">
        <v>5709</v>
      </c>
      <c r="AV5722" s="112" t="s">
        <v>5710</v>
      </c>
      <c r="AZ5722" s="317"/>
      <c r="BA5722" s="317"/>
      <c r="BB5722" s="317"/>
    </row>
    <row r="5723" spans="1:54" s="319" customFormat="1" ht="15" hidden="1" customHeight="1" outlineLevel="2">
      <c r="A5723" s="2"/>
      <c r="B5723" s="2" t="s">
        <v>833</v>
      </c>
      <c r="C5723" s="2"/>
      <c r="D5723" s="114" t="s">
        <v>5752</v>
      </c>
      <c r="E5723" s="114"/>
      <c r="F5723" s="114"/>
      <c r="G5723" s="114"/>
      <c r="H5723" s="114"/>
      <c r="I5723" s="114"/>
      <c r="J5723" s="114"/>
      <c r="K5723" s="114"/>
      <c r="L5723" s="114"/>
      <c r="M5723" s="114"/>
      <c r="N5723" s="114"/>
      <c r="O5723" s="114">
        <v>150000</v>
      </c>
      <c r="P5723" s="114"/>
      <c r="Q5723" s="114"/>
      <c r="R5723" s="114"/>
      <c r="S5723" s="114"/>
      <c r="T5723" s="114"/>
      <c r="U5723" s="114"/>
      <c r="V5723" s="114">
        <v>80</v>
      </c>
      <c r="W5723" s="114"/>
      <c r="X5723" s="114"/>
      <c r="Y5723" s="114"/>
      <c r="Z5723" s="114"/>
      <c r="AA5723" s="114"/>
      <c r="AB5723" s="114" t="s">
        <v>5707</v>
      </c>
      <c r="AC5723" s="114" t="s">
        <v>5731</v>
      </c>
      <c r="AD5723" s="114"/>
      <c r="AE5723" s="114"/>
      <c r="AF5723" s="114"/>
      <c r="AG5723" s="114"/>
      <c r="AH5723" s="114"/>
      <c r="AI5723" s="114"/>
      <c r="AJ5723" s="114"/>
      <c r="AK5723" s="114"/>
      <c r="AL5723" s="114"/>
      <c r="AM5723" s="114"/>
      <c r="AN5723" s="114">
        <v>-0.05</v>
      </c>
      <c r="AO5723" s="114">
        <v>0</v>
      </c>
      <c r="AP5723" s="114"/>
      <c r="AQ5723" s="114"/>
      <c r="AR5723" s="114"/>
      <c r="AS5723" s="114"/>
      <c r="AT5723" s="114"/>
      <c r="AU5723" s="114" t="s">
        <v>5709</v>
      </c>
      <c r="AV5723" s="114" t="s">
        <v>5710</v>
      </c>
      <c r="AZ5723" s="317"/>
      <c r="BA5723" s="317"/>
      <c r="BB5723" s="317"/>
    </row>
    <row r="5724" spans="1:54" s="319" customFormat="1" ht="15" hidden="1" customHeight="1" outlineLevel="2">
      <c r="A5724" s="2"/>
      <c r="B5724" s="2" t="s">
        <v>833</v>
      </c>
      <c r="C5724" s="2"/>
      <c r="D5724" s="112" t="s">
        <v>5753</v>
      </c>
      <c r="E5724" s="112"/>
      <c r="F5724" s="112"/>
      <c r="G5724" s="112"/>
      <c r="H5724" s="112"/>
      <c r="I5724" s="112"/>
      <c r="J5724" s="112"/>
      <c r="K5724" s="112"/>
      <c r="L5724" s="112"/>
      <c r="M5724" s="112"/>
      <c r="N5724" s="112"/>
      <c r="O5724" s="112"/>
      <c r="P5724" s="112"/>
      <c r="Q5724" s="112"/>
      <c r="R5724" s="112"/>
      <c r="S5724" s="112"/>
      <c r="T5724" s="112"/>
      <c r="U5724" s="112"/>
      <c r="V5724" s="112"/>
      <c r="W5724" s="112"/>
      <c r="X5724" s="112"/>
      <c r="Y5724" s="112" t="b">
        <v>1</v>
      </c>
      <c r="Z5724" s="112"/>
      <c r="AA5724" s="112"/>
      <c r="AB5724" s="112"/>
      <c r="AC5724" s="112" t="s">
        <v>5754</v>
      </c>
      <c r="AD5724" s="112"/>
      <c r="AE5724" s="112"/>
      <c r="AF5724" s="112"/>
      <c r="AG5724" s="112"/>
      <c r="AH5724" s="112"/>
      <c r="AI5724" s="112"/>
      <c r="AJ5724" s="112"/>
      <c r="AK5724" s="112"/>
      <c r="AL5724" s="112"/>
      <c r="AM5724" s="112"/>
      <c r="AN5724" s="112"/>
      <c r="AO5724" s="112"/>
      <c r="AP5724" s="112" t="s">
        <v>5755</v>
      </c>
      <c r="AQ5724" s="112" t="s">
        <v>5756</v>
      </c>
      <c r="AR5724" s="112" t="s">
        <v>5757</v>
      </c>
      <c r="AS5724" s="112"/>
      <c r="AT5724" s="112"/>
      <c r="AU5724" s="112" t="s">
        <v>5758</v>
      </c>
      <c r="AV5724" s="112" t="s">
        <v>5759</v>
      </c>
      <c r="AZ5724" s="317"/>
      <c r="BA5724" s="317"/>
      <c r="BB5724" s="317"/>
    </row>
    <row r="5725" spans="1:54" s="319" customFormat="1" ht="15" hidden="1" customHeight="1" outlineLevel="2">
      <c r="A5725" s="2"/>
      <c r="B5725" s="2" t="s">
        <v>833</v>
      </c>
      <c r="C5725" s="2"/>
      <c r="D5725" s="114" t="s">
        <v>5760</v>
      </c>
      <c r="E5725" s="114"/>
      <c r="F5725" s="114"/>
      <c r="G5725" s="114"/>
      <c r="H5725" s="114"/>
      <c r="I5725" s="114"/>
      <c r="J5725" s="114"/>
      <c r="K5725" s="114"/>
      <c r="L5725" s="114">
        <v>49999.99</v>
      </c>
      <c r="M5725" s="114"/>
      <c r="N5725" s="114"/>
      <c r="O5725" s="114"/>
      <c r="P5725" s="114"/>
      <c r="Q5725" s="114"/>
      <c r="R5725" s="114"/>
      <c r="S5725" s="114"/>
      <c r="T5725" s="114"/>
      <c r="U5725" s="114"/>
      <c r="V5725" s="114">
        <v>80</v>
      </c>
      <c r="W5725" s="114"/>
      <c r="X5725" s="114"/>
      <c r="Y5725" s="114"/>
      <c r="Z5725" s="114"/>
      <c r="AA5725" s="114"/>
      <c r="AB5725" s="114"/>
      <c r="AC5725" s="114" t="s">
        <v>5761</v>
      </c>
      <c r="AD5725" s="114"/>
      <c r="AE5725" s="114"/>
      <c r="AF5725" s="114"/>
      <c r="AG5725" s="114"/>
      <c r="AH5725" s="114"/>
      <c r="AI5725" s="114"/>
      <c r="AJ5725" s="114"/>
      <c r="AK5725" s="114"/>
      <c r="AL5725" s="114"/>
      <c r="AM5725" s="114"/>
      <c r="AN5725" s="114"/>
      <c r="AO5725" s="114"/>
      <c r="AP5725" s="114" t="s">
        <v>5755</v>
      </c>
      <c r="AQ5725" s="114" t="s">
        <v>5756</v>
      </c>
      <c r="AR5725" s="114" t="s">
        <v>5762</v>
      </c>
      <c r="AS5725" s="114"/>
      <c r="AT5725" s="114"/>
      <c r="AU5725" s="114" t="s">
        <v>5763</v>
      </c>
      <c r="AV5725" s="114" t="s">
        <v>5764</v>
      </c>
      <c r="AZ5725" s="317"/>
      <c r="BA5725" s="317"/>
      <c r="BB5725" s="317"/>
    </row>
    <row r="5726" spans="1:54" s="319" customFormat="1" ht="15" hidden="1" customHeight="1" outlineLevel="2">
      <c r="A5726" s="2"/>
      <c r="B5726" s="2" t="s">
        <v>833</v>
      </c>
      <c r="C5726" s="2"/>
      <c r="D5726" s="112" t="s">
        <v>5765</v>
      </c>
      <c r="E5726" s="112"/>
      <c r="F5726" s="112"/>
      <c r="G5726" s="112"/>
      <c r="H5726" s="112"/>
      <c r="I5726" s="112"/>
      <c r="J5726" s="112"/>
      <c r="K5726" s="112">
        <v>50000</v>
      </c>
      <c r="L5726" s="112"/>
      <c r="M5726" s="112"/>
      <c r="N5726" s="112"/>
      <c r="O5726" s="112"/>
      <c r="P5726" s="112"/>
      <c r="Q5726" s="112"/>
      <c r="R5726" s="112"/>
      <c r="S5726" s="112"/>
      <c r="T5726" s="112"/>
      <c r="U5726" s="112"/>
      <c r="V5726" s="112">
        <v>80</v>
      </c>
      <c r="W5726" s="112"/>
      <c r="X5726" s="112"/>
      <c r="Y5726" s="112"/>
      <c r="Z5726" s="112"/>
      <c r="AA5726" s="112"/>
      <c r="AB5726" s="112"/>
      <c r="AC5726" s="112" t="s">
        <v>5761</v>
      </c>
      <c r="AD5726" s="112"/>
      <c r="AE5726" s="112"/>
      <c r="AF5726" s="112"/>
      <c r="AG5726" s="112"/>
      <c r="AH5726" s="112"/>
      <c r="AI5726" s="112"/>
      <c r="AJ5726" s="112"/>
      <c r="AK5726" s="112"/>
      <c r="AL5726" s="112"/>
      <c r="AM5726" s="112"/>
      <c r="AN5726" s="112">
        <v>-1.02</v>
      </c>
      <c r="AO5726" s="112">
        <v>-1.02</v>
      </c>
      <c r="AP5726" s="112" t="s">
        <v>5755</v>
      </c>
      <c r="AQ5726" s="112" t="s">
        <v>5756</v>
      </c>
      <c r="AR5726" s="112" t="s">
        <v>5762</v>
      </c>
      <c r="AS5726" s="112"/>
      <c r="AT5726" s="112"/>
      <c r="AU5726" s="112" t="s">
        <v>5763</v>
      </c>
      <c r="AV5726" s="112" t="s">
        <v>5764</v>
      </c>
      <c r="AZ5726" s="317"/>
      <c r="BA5726" s="317"/>
      <c r="BB5726" s="317"/>
    </row>
    <row r="5727" spans="1:54" s="319" customFormat="1" ht="15" hidden="1" customHeight="1" outlineLevel="2">
      <c r="A5727" s="2"/>
      <c r="B5727" s="2" t="s">
        <v>833</v>
      </c>
      <c r="C5727" s="2"/>
      <c r="D5727" s="114" t="s">
        <v>5766</v>
      </c>
      <c r="E5727" s="114"/>
      <c r="F5727" s="114"/>
      <c r="G5727" s="114"/>
      <c r="H5727" s="114"/>
      <c r="I5727" s="114"/>
      <c r="J5727" s="114"/>
      <c r="K5727" s="114"/>
      <c r="L5727" s="114">
        <v>49999.99</v>
      </c>
      <c r="M5727" s="114"/>
      <c r="N5727" s="114"/>
      <c r="O5727" s="114"/>
      <c r="P5727" s="114"/>
      <c r="Q5727" s="114"/>
      <c r="R5727" s="114"/>
      <c r="S5727" s="114"/>
      <c r="T5727" s="114"/>
      <c r="U5727" s="114"/>
      <c r="V5727" s="114">
        <v>80</v>
      </c>
      <c r="W5727" s="114"/>
      <c r="X5727" s="114"/>
      <c r="Y5727" s="114"/>
      <c r="Z5727" s="114"/>
      <c r="AA5727" s="114"/>
      <c r="AB5727" s="114"/>
      <c r="AC5727" s="114" t="s">
        <v>5767</v>
      </c>
      <c r="AD5727" s="114"/>
      <c r="AE5727" s="114"/>
      <c r="AF5727" s="114"/>
      <c r="AG5727" s="114"/>
      <c r="AH5727" s="114"/>
      <c r="AI5727" s="114"/>
      <c r="AJ5727" s="114"/>
      <c r="AK5727" s="114"/>
      <c r="AL5727" s="114"/>
      <c r="AM5727" s="114"/>
      <c r="AN5727" s="114"/>
      <c r="AO5727" s="114"/>
      <c r="AP5727" s="114" t="s">
        <v>5755</v>
      </c>
      <c r="AQ5727" s="114" t="s">
        <v>5756</v>
      </c>
      <c r="AR5727" s="114" t="s">
        <v>5762</v>
      </c>
      <c r="AS5727" s="114"/>
      <c r="AT5727" s="114"/>
      <c r="AU5727" s="114" t="s">
        <v>5763</v>
      </c>
      <c r="AV5727" s="114" t="s">
        <v>5764</v>
      </c>
      <c r="AZ5727" s="317"/>
      <c r="BA5727" s="317"/>
      <c r="BB5727" s="317"/>
    </row>
    <row r="5728" spans="1:54" s="319" customFormat="1" ht="15" hidden="1" customHeight="1" outlineLevel="2">
      <c r="A5728" s="2"/>
      <c r="B5728" s="2" t="s">
        <v>833</v>
      </c>
      <c r="C5728" s="2"/>
      <c r="D5728" s="112" t="s">
        <v>5768</v>
      </c>
      <c r="E5728" s="112"/>
      <c r="F5728" s="112"/>
      <c r="G5728" s="112"/>
      <c r="H5728" s="112"/>
      <c r="I5728" s="112"/>
      <c r="J5728" s="112"/>
      <c r="K5728" s="112">
        <v>50000</v>
      </c>
      <c r="L5728" s="112"/>
      <c r="M5728" s="112"/>
      <c r="N5728" s="112"/>
      <c r="O5728" s="112"/>
      <c r="P5728" s="112"/>
      <c r="Q5728" s="112"/>
      <c r="R5728" s="112"/>
      <c r="S5728" s="112"/>
      <c r="T5728" s="112"/>
      <c r="U5728" s="112"/>
      <c r="V5728" s="112">
        <v>80</v>
      </c>
      <c r="W5728" s="112"/>
      <c r="X5728" s="112"/>
      <c r="Y5728" s="112"/>
      <c r="Z5728" s="112"/>
      <c r="AA5728" s="112"/>
      <c r="AB5728" s="112"/>
      <c r="AC5728" s="112" t="s">
        <v>5767</v>
      </c>
      <c r="AD5728" s="112"/>
      <c r="AE5728" s="112"/>
      <c r="AF5728" s="112"/>
      <c r="AG5728" s="112"/>
      <c r="AH5728" s="112"/>
      <c r="AI5728" s="112"/>
      <c r="AJ5728" s="112"/>
      <c r="AK5728" s="112"/>
      <c r="AL5728" s="112"/>
      <c r="AM5728" s="112"/>
      <c r="AN5728" s="112">
        <v>-0.62</v>
      </c>
      <c r="AO5728" s="112">
        <v>-0.62</v>
      </c>
      <c r="AP5728" s="112" t="s">
        <v>5755</v>
      </c>
      <c r="AQ5728" s="112" t="s">
        <v>5756</v>
      </c>
      <c r="AR5728" s="112" t="s">
        <v>5762</v>
      </c>
      <c r="AS5728" s="112"/>
      <c r="AT5728" s="112"/>
      <c r="AU5728" s="112" t="s">
        <v>5763</v>
      </c>
      <c r="AV5728" s="112" t="s">
        <v>5764</v>
      </c>
      <c r="AZ5728" s="317"/>
      <c r="BA5728" s="317"/>
      <c r="BB5728" s="317"/>
    </row>
    <row r="5729" spans="1:54" s="319" customFormat="1" ht="15" hidden="1" customHeight="1" outlineLevel="2">
      <c r="A5729" s="2"/>
      <c r="B5729" s="2" t="s">
        <v>833</v>
      </c>
      <c r="C5729" s="2"/>
      <c r="D5729" s="114" t="s">
        <v>5769</v>
      </c>
      <c r="E5729" s="114"/>
      <c r="F5729" s="114"/>
      <c r="G5729" s="114"/>
      <c r="H5729" s="114"/>
      <c r="I5729" s="114"/>
      <c r="J5729" s="114"/>
      <c r="K5729" s="114"/>
      <c r="L5729" s="114">
        <v>49999.99</v>
      </c>
      <c r="M5729" s="114"/>
      <c r="N5729" s="114"/>
      <c r="O5729" s="114"/>
      <c r="P5729" s="114"/>
      <c r="Q5729" s="114"/>
      <c r="R5729" s="114"/>
      <c r="S5729" s="114"/>
      <c r="T5729" s="114"/>
      <c r="U5729" s="114">
        <v>80.010000000000005</v>
      </c>
      <c r="V5729" s="114"/>
      <c r="W5729" s="114"/>
      <c r="X5729" s="114"/>
      <c r="Y5729" s="114"/>
      <c r="Z5729" s="114"/>
      <c r="AA5729" s="114"/>
      <c r="AB5729" s="114"/>
      <c r="AC5729" s="114" t="s">
        <v>5761</v>
      </c>
      <c r="AD5729" s="114"/>
      <c r="AE5729" s="114"/>
      <c r="AF5729" s="114"/>
      <c r="AG5729" s="114"/>
      <c r="AH5729" s="114"/>
      <c r="AI5729" s="114"/>
      <c r="AJ5729" s="114"/>
      <c r="AK5729" s="114"/>
      <c r="AL5729" s="114"/>
      <c r="AM5729" s="114"/>
      <c r="AN5729" s="114"/>
      <c r="AO5729" s="114"/>
      <c r="AP5729" s="114" t="s">
        <v>5755</v>
      </c>
      <c r="AQ5729" s="114" t="s">
        <v>5756</v>
      </c>
      <c r="AR5729" s="114" t="s">
        <v>5762</v>
      </c>
      <c r="AS5729" s="114"/>
      <c r="AT5729" s="114"/>
      <c r="AU5729" s="114" t="s">
        <v>5763</v>
      </c>
      <c r="AV5729" s="114" t="s">
        <v>5764</v>
      </c>
      <c r="AZ5729" s="317"/>
      <c r="BA5729" s="317"/>
      <c r="BB5729" s="317"/>
    </row>
    <row r="5730" spans="1:54" s="319" customFormat="1" ht="15" hidden="1" customHeight="1" outlineLevel="2">
      <c r="A5730" s="2"/>
      <c r="B5730" s="2" t="s">
        <v>833</v>
      </c>
      <c r="C5730" s="2"/>
      <c r="D5730" s="112" t="s">
        <v>5770</v>
      </c>
      <c r="E5730" s="112"/>
      <c r="F5730" s="112"/>
      <c r="G5730" s="112"/>
      <c r="H5730" s="112"/>
      <c r="I5730" s="112"/>
      <c r="J5730" s="112"/>
      <c r="K5730" s="112">
        <v>50000</v>
      </c>
      <c r="L5730" s="112"/>
      <c r="M5730" s="112"/>
      <c r="N5730" s="112"/>
      <c r="O5730" s="112"/>
      <c r="P5730" s="112"/>
      <c r="Q5730" s="112"/>
      <c r="R5730" s="112"/>
      <c r="S5730" s="112"/>
      <c r="T5730" s="112"/>
      <c r="U5730" s="112">
        <v>80.010000000000005</v>
      </c>
      <c r="V5730" s="112"/>
      <c r="W5730" s="112"/>
      <c r="X5730" s="112"/>
      <c r="Y5730" s="112"/>
      <c r="Z5730" s="112"/>
      <c r="AA5730" s="112"/>
      <c r="AB5730" s="112"/>
      <c r="AC5730" s="112" t="s">
        <v>5761</v>
      </c>
      <c r="AD5730" s="112"/>
      <c r="AE5730" s="112"/>
      <c r="AF5730" s="112"/>
      <c r="AG5730" s="112"/>
      <c r="AH5730" s="112"/>
      <c r="AI5730" s="112"/>
      <c r="AJ5730" s="112"/>
      <c r="AK5730" s="112"/>
      <c r="AL5730" s="112"/>
      <c r="AM5730" s="112"/>
      <c r="AN5730" s="112">
        <v>-0.76</v>
      </c>
      <c r="AO5730" s="112">
        <v>-0.76</v>
      </c>
      <c r="AP5730" s="112" t="s">
        <v>5755</v>
      </c>
      <c r="AQ5730" s="112" t="s">
        <v>5756</v>
      </c>
      <c r="AR5730" s="112" t="s">
        <v>5762</v>
      </c>
      <c r="AS5730" s="112"/>
      <c r="AT5730" s="112"/>
      <c r="AU5730" s="112" t="s">
        <v>5763</v>
      </c>
      <c r="AV5730" s="112" t="s">
        <v>5764</v>
      </c>
      <c r="AZ5730" s="317"/>
      <c r="BA5730" s="317"/>
      <c r="BB5730" s="317"/>
    </row>
    <row r="5731" spans="1:54" s="319" customFormat="1" ht="15" hidden="1" customHeight="1" outlineLevel="2">
      <c r="A5731" s="2"/>
      <c r="B5731" s="2" t="s">
        <v>833</v>
      </c>
      <c r="C5731" s="2"/>
      <c r="D5731" s="114" t="s">
        <v>5771</v>
      </c>
      <c r="E5731" s="114"/>
      <c r="F5731" s="114"/>
      <c r="G5731" s="114"/>
      <c r="H5731" s="114"/>
      <c r="I5731" s="114"/>
      <c r="J5731" s="114"/>
      <c r="K5731" s="114"/>
      <c r="L5731" s="114">
        <v>49999.99</v>
      </c>
      <c r="M5731" s="114"/>
      <c r="N5731" s="114"/>
      <c r="O5731" s="114"/>
      <c r="P5731" s="114"/>
      <c r="Q5731" s="114"/>
      <c r="R5731" s="114"/>
      <c r="S5731" s="114"/>
      <c r="T5731" s="114"/>
      <c r="U5731" s="114">
        <v>80.010000000000005</v>
      </c>
      <c r="V5731" s="114"/>
      <c r="W5731" s="114"/>
      <c r="X5731" s="114"/>
      <c r="Y5731" s="114"/>
      <c r="Z5731" s="114"/>
      <c r="AA5731" s="114"/>
      <c r="AB5731" s="114"/>
      <c r="AC5731" s="114" t="s">
        <v>5767</v>
      </c>
      <c r="AD5731" s="114"/>
      <c r="AE5731" s="114"/>
      <c r="AF5731" s="114"/>
      <c r="AG5731" s="114"/>
      <c r="AH5731" s="114"/>
      <c r="AI5731" s="114"/>
      <c r="AJ5731" s="114"/>
      <c r="AK5731" s="114"/>
      <c r="AL5731" s="114"/>
      <c r="AM5731" s="114"/>
      <c r="AN5731" s="114"/>
      <c r="AO5731" s="114"/>
      <c r="AP5731" s="114" t="s">
        <v>5755</v>
      </c>
      <c r="AQ5731" s="114" t="s">
        <v>5756</v>
      </c>
      <c r="AR5731" s="114" t="s">
        <v>5762</v>
      </c>
      <c r="AS5731" s="114"/>
      <c r="AT5731" s="114"/>
      <c r="AU5731" s="114" t="s">
        <v>5763</v>
      </c>
      <c r="AV5731" s="114" t="s">
        <v>5764</v>
      </c>
      <c r="AZ5731" s="317"/>
      <c r="BA5731" s="317"/>
      <c r="BB5731" s="317"/>
    </row>
    <row r="5732" spans="1:54" s="319" customFormat="1" ht="15" hidden="1" customHeight="1" outlineLevel="2">
      <c r="A5732" s="2"/>
      <c r="B5732" s="2" t="s">
        <v>833</v>
      </c>
      <c r="C5732" s="2"/>
      <c r="D5732" s="112" t="s">
        <v>5772</v>
      </c>
      <c r="E5732" s="112"/>
      <c r="F5732" s="112"/>
      <c r="G5732" s="112"/>
      <c r="H5732" s="112"/>
      <c r="I5732" s="112"/>
      <c r="J5732" s="112"/>
      <c r="K5732" s="112">
        <v>50000</v>
      </c>
      <c r="L5732" s="112"/>
      <c r="M5732" s="112"/>
      <c r="N5732" s="112"/>
      <c r="O5732" s="112"/>
      <c r="P5732" s="112"/>
      <c r="Q5732" s="112"/>
      <c r="R5732" s="112"/>
      <c r="S5732" s="112"/>
      <c r="T5732" s="112"/>
      <c r="U5732" s="112">
        <v>80.010000000000005</v>
      </c>
      <c r="V5732" s="112"/>
      <c r="W5732" s="112"/>
      <c r="X5732" s="112"/>
      <c r="Y5732" s="112"/>
      <c r="Z5732" s="112"/>
      <c r="AA5732" s="112"/>
      <c r="AB5732" s="112"/>
      <c r="AC5732" s="112" t="s">
        <v>5767</v>
      </c>
      <c r="AD5732" s="112"/>
      <c r="AE5732" s="112"/>
      <c r="AF5732" s="112"/>
      <c r="AG5732" s="112"/>
      <c r="AH5732" s="112"/>
      <c r="AI5732" s="112"/>
      <c r="AJ5732" s="112"/>
      <c r="AK5732" s="112"/>
      <c r="AL5732" s="112"/>
      <c r="AM5732" s="112"/>
      <c r="AN5732" s="112">
        <v>-0.52</v>
      </c>
      <c r="AO5732" s="112">
        <v>-0.52</v>
      </c>
      <c r="AP5732" s="112" t="s">
        <v>5755</v>
      </c>
      <c r="AQ5732" s="112" t="s">
        <v>5756</v>
      </c>
      <c r="AR5732" s="112" t="s">
        <v>5762</v>
      </c>
      <c r="AS5732" s="112"/>
      <c r="AT5732" s="112"/>
      <c r="AU5732" s="112" t="s">
        <v>5763</v>
      </c>
      <c r="AV5732" s="112" t="s">
        <v>5764</v>
      </c>
      <c r="AZ5732" s="317"/>
      <c r="BA5732" s="317"/>
      <c r="BB5732" s="317"/>
    </row>
    <row r="5733" spans="1:54" s="319" customFormat="1" ht="15" hidden="1" customHeight="1" outlineLevel="2">
      <c r="A5733" s="2"/>
      <c r="B5733" s="2" t="s">
        <v>833</v>
      </c>
      <c r="C5733" s="2"/>
      <c r="D5733" s="114" t="s">
        <v>5773</v>
      </c>
      <c r="E5733" s="114"/>
      <c r="F5733" s="114"/>
      <c r="G5733" s="114"/>
      <c r="H5733" s="114"/>
      <c r="I5733" s="114"/>
      <c r="J5733" s="114"/>
      <c r="K5733" s="114"/>
      <c r="L5733" s="114">
        <v>49999.99</v>
      </c>
      <c r="M5733" s="114"/>
      <c r="N5733" s="114"/>
      <c r="O5733" s="114"/>
      <c r="P5733" s="114"/>
      <c r="Q5733" s="114"/>
      <c r="R5733" s="114"/>
      <c r="S5733" s="114"/>
      <c r="T5733" s="114"/>
      <c r="U5733" s="114"/>
      <c r="V5733" s="114">
        <v>80</v>
      </c>
      <c r="W5733" s="114"/>
      <c r="X5733" s="114"/>
      <c r="Y5733" s="114"/>
      <c r="Z5733" s="114"/>
      <c r="AA5733" s="114"/>
      <c r="AB5733" s="114"/>
      <c r="AC5733" s="114" t="s">
        <v>5767</v>
      </c>
      <c r="AD5733" s="114"/>
      <c r="AE5733" s="114"/>
      <c r="AF5733" s="114"/>
      <c r="AG5733" s="114"/>
      <c r="AH5733" s="114"/>
      <c r="AI5733" s="114"/>
      <c r="AJ5733" s="114"/>
      <c r="AK5733" s="114"/>
      <c r="AL5733" s="114"/>
      <c r="AM5733" s="114"/>
      <c r="AN5733" s="114"/>
      <c r="AO5733" s="114"/>
      <c r="AP5733" s="114" t="s">
        <v>5755</v>
      </c>
      <c r="AQ5733" s="114" t="s">
        <v>5756</v>
      </c>
      <c r="AR5733" s="114" t="s">
        <v>5774</v>
      </c>
      <c r="AS5733" s="114"/>
      <c r="AT5733" s="114"/>
      <c r="AU5733" s="114" t="s">
        <v>5775</v>
      </c>
      <c r="AV5733" s="114" t="s">
        <v>5776</v>
      </c>
      <c r="AZ5733" s="317"/>
      <c r="BA5733" s="317"/>
      <c r="BB5733" s="317"/>
    </row>
    <row r="5734" spans="1:54" s="319" customFormat="1" ht="15" hidden="1" customHeight="1" outlineLevel="2">
      <c r="A5734" s="2"/>
      <c r="B5734" s="2" t="s">
        <v>833</v>
      </c>
      <c r="C5734" s="2"/>
      <c r="D5734" s="112" t="s">
        <v>5777</v>
      </c>
      <c r="E5734" s="112"/>
      <c r="F5734" s="112"/>
      <c r="G5734" s="112"/>
      <c r="H5734" s="112"/>
      <c r="I5734" s="112"/>
      <c r="J5734" s="112"/>
      <c r="K5734" s="112">
        <v>50000</v>
      </c>
      <c r="L5734" s="112"/>
      <c r="M5734" s="112"/>
      <c r="N5734" s="112"/>
      <c r="O5734" s="112"/>
      <c r="P5734" s="112"/>
      <c r="Q5734" s="112"/>
      <c r="R5734" s="112"/>
      <c r="S5734" s="112"/>
      <c r="T5734" s="112"/>
      <c r="U5734" s="112"/>
      <c r="V5734" s="112">
        <v>80</v>
      </c>
      <c r="W5734" s="112"/>
      <c r="X5734" s="112"/>
      <c r="Y5734" s="112"/>
      <c r="Z5734" s="112"/>
      <c r="AA5734" s="112"/>
      <c r="AB5734" s="112"/>
      <c r="AC5734" s="112" t="s">
        <v>5767</v>
      </c>
      <c r="AD5734" s="112"/>
      <c r="AE5734" s="112"/>
      <c r="AF5734" s="112"/>
      <c r="AG5734" s="112"/>
      <c r="AH5734" s="112"/>
      <c r="AI5734" s="112"/>
      <c r="AJ5734" s="112"/>
      <c r="AK5734" s="112"/>
      <c r="AL5734" s="112"/>
      <c r="AM5734" s="112"/>
      <c r="AN5734" s="112">
        <v>-0.41</v>
      </c>
      <c r="AO5734" s="112">
        <v>-0.62</v>
      </c>
      <c r="AP5734" s="112" t="s">
        <v>5755</v>
      </c>
      <c r="AQ5734" s="112" t="s">
        <v>5756</v>
      </c>
      <c r="AR5734" s="112" t="s">
        <v>5774</v>
      </c>
      <c r="AS5734" s="112"/>
      <c r="AT5734" s="112"/>
      <c r="AU5734" s="112" t="s">
        <v>5775</v>
      </c>
      <c r="AV5734" s="112" t="s">
        <v>5776</v>
      </c>
      <c r="AZ5734" s="317"/>
      <c r="BA5734" s="317"/>
      <c r="BB5734" s="317"/>
    </row>
    <row r="5735" spans="1:54" s="319" customFormat="1" ht="15" hidden="1" customHeight="1" outlineLevel="2">
      <c r="A5735" s="2"/>
      <c r="B5735" s="2" t="s">
        <v>833</v>
      </c>
      <c r="C5735" s="2"/>
      <c r="D5735" s="114" t="s">
        <v>5778</v>
      </c>
      <c r="E5735" s="114"/>
      <c r="F5735" s="114"/>
      <c r="G5735" s="114"/>
      <c r="H5735" s="114"/>
      <c r="I5735" s="114"/>
      <c r="J5735" s="114"/>
      <c r="K5735" s="114"/>
      <c r="L5735" s="114">
        <v>49999.99</v>
      </c>
      <c r="M5735" s="114"/>
      <c r="N5735" s="114"/>
      <c r="O5735" s="114"/>
      <c r="P5735" s="114"/>
      <c r="Q5735" s="114"/>
      <c r="R5735" s="114"/>
      <c r="S5735" s="114"/>
      <c r="T5735" s="114"/>
      <c r="U5735" s="114">
        <v>80.010000000000005</v>
      </c>
      <c r="V5735" s="114"/>
      <c r="W5735" s="114"/>
      <c r="X5735" s="114"/>
      <c r="Y5735" s="114"/>
      <c r="Z5735" s="114"/>
      <c r="AA5735" s="114"/>
      <c r="AB5735" s="114"/>
      <c r="AC5735" s="114" t="s">
        <v>5767</v>
      </c>
      <c r="AD5735" s="114"/>
      <c r="AE5735" s="114"/>
      <c r="AF5735" s="114"/>
      <c r="AG5735" s="114"/>
      <c r="AH5735" s="114"/>
      <c r="AI5735" s="114"/>
      <c r="AJ5735" s="114"/>
      <c r="AK5735" s="114"/>
      <c r="AL5735" s="114"/>
      <c r="AM5735" s="114"/>
      <c r="AN5735" s="114"/>
      <c r="AO5735" s="114"/>
      <c r="AP5735" s="114" t="s">
        <v>5755</v>
      </c>
      <c r="AQ5735" s="114" t="s">
        <v>5756</v>
      </c>
      <c r="AR5735" s="114" t="s">
        <v>5774</v>
      </c>
      <c r="AS5735" s="114"/>
      <c r="AT5735" s="114"/>
      <c r="AU5735" s="114" t="s">
        <v>5775</v>
      </c>
      <c r="AV5735" s="114" t="s">
        <v>5776</v>
      </c>
      <c r="AZ5735" s="317"/>
      <c r="BA5735" s="317"/>
      <c r="BB5735" s="317"/>
    </row>
    <row r="5736" spans="1:54" s="319" customFormat="1" ht="15" hidden="1" customHeight="1" outlineLevel="2">
      <c r="A5736" s="2"/>
      <c r="B5736" s="2" t="s">
        <v>833</v>
      </c>
      <c r="C5736" s="2"/>
      <c r="D5736" s="112" t="s">
        <v>5779</v>
      </c>
      <c r="E5736" s="112"/>
      <c r="F5736" s="112"/>
      <c r="G5736" s="112"/>
      <c r="H5736" s="112"/>
      <c r="I5736" s="112"/>
      <c r="J5736" s="112"/>
      <c r="K5736" s="112">
        <v>50000</v>
      </c>
      <c r="L5736" s="112"/>
      <c r="M5736" s="112"/>
      <c r="N5736" s="112"/>
      <c r="O5736" s="112"/>
      <c r="P5736" s="112"/>
      <c r="Q5736" s="112"/>
      <c r="R5736" s="112"/>
      <c r="S5736" s="112"/>
      <c r="T5736" s="112"/>
      <c r="U5736" s="112">
        <v>80.010000000000005</v>
      </c>
      <c r="V5736" s="112"/>
      <c r="W5736" s="112"/>
      <c r="X5736" s="112"/>
      <c r="Y5736" s="112"/>
      <c r="Z5736" s="112"/>
      <c r="AA5736" s="112"/>
      <c r="AB5736" s="112"/>
      <c r="AC5736" s="112" t="s">
        <v>5767</v>
      </c>
      <c r="AD5736" s="112"/>
      <c r="AE5736" s="112"/>
      <c r="AF5736" s="112"/>
      <c r="AG5736" s="112"/>
      <c r="AH5736" s="112"/>
      <c r="AI5736" s="112"/>
      <c r="AJ5736" s="112"/>
      <c r="AK5736" s="112"/>
      <c r="AL5736" s="112"/>
      <c r="AM5736" s="112"/>
      <c r="AN5736" s="112">
        <v>-0.41</v>
      </c>
      <c r="AO5736" s="112">
        <v>-0.52</v>
      </c>
      <c r="AP5736" s="112" t="s">
        <v>5755</v>
      </c>
      <c r="AQ5736" s="112" t="s">
        <v>5756</v>
      </c>
      <c r="AR5736" s="112" t="s">
        <v>5774</v>
      </c>
      <c r="AS5736" s="112"/>
      <c r="AT5736" s="112"/>
      <c r="AU5736" s="112" t="s">
        <v>5775</v>
      </c>
      <c r="AV5736" s="112" t="s">
        <v>5776</v>
      </c>
      <c r="AZ5736" s="317"/>
      <c r="BA5736" s="317"/>
      <c r="BB5736" s="317"/>
    </row>
    <row r="5737" spans="1:54" s="319" customFormat="1" ht="15" hidden="1" customHeight="1" outlineLevel="2">
      <c r="A5737" s="2"/>
      <c r="B5737" s="2" t="s">
        <v>833</v>
      </c>
      <c r="C5737" s="2"/>
      <c r="D5737" s="114" t="s">
        <v>5780</v>
      </c>
      <c r="E5737" s="114"/>
      <c r="F5737" s="114"/>
      <c r="G5737" s="114"/>
      <c r="H5737" s="114"/>
      <c r="I5737" s="114"/>
      <c r="J5737" s="114"/>
      <c r="K5737" s="114"/>
      <c r="L5737" s="114"/>
      <c r="M5737" s="114"/>
      <c r="N5737" s="114"/>
      <c r="O5737" s="114"/>
      <c r="P5737" s="114"/>
      <c r="Q5737" s="114"/>
      <c r="R5737" s="114"/>
      <c r="S5737" s="114"/>
      <c r="T5737" s="114"/>
      <c r="U5737" s="114">
        <v>80.010000000000005</v>
      </c>
      <c r="V5737" s="114"/>
      <c r="W5737" s="114"/>
      <c r="X5737" s="114"/>
      <c r="Y5737" s="114"/>
      <c r="Z5737" s="114"/>
      <c r="AA5737" s="114"/>
      <c r="AB5737" s="114"/>
      <c r="AC5737" s="114" t="s">
        <v>5781</v>
      </c>
      <c r="AD5737" s="114" t="s">
        <v>5707</v>
      </c>
      <c r="AE5737" s="114"/>
      <c r="AF5737" s="114"/>
      <c r="AG5737" s="114"/>
      <c r="AH5737" s="114"/>
      <c r="AI5737" s="114"/>
      <c r="AJ5737" s="114"/>
      <c r="AK5737" s="114"/>
      <c r="AL5737" s="114"/>
      <c r="AM5737" s="114"/>
      <c r="AN5737" s="114">
        <v>0</v>
      </c>
      <c r="AO5737" s="114">
        <v>0</v>
      </c>
      <c r="AP5737" s="114"/>
      <c r="AQ5737" s="114"/>
      <c r="AR5737" s="114"/>
      <c r="AS5737" s="114"/>
      <c r="AT5737" s="114"/>
      <c r="AU5737" s="114" t="s">
        <v>5782</v>
      </c>
      <c r="AV5737" s="114" t="s">
        <v>5783</v>
      </c>
      <c r="AZ5737" s="317"/>
      <c r="BA5737" s="317"/>
      <c r="BB5737" s="317"/>
    </row>
    <row r="5738" spans="1:54" s="319" customFormat="1" ht="15" hidden="1" customHeight="1" outlineLevel="2">
      <c r="A5738" s="2"/>
      <c r="B5738" s="2" t="s">
        <v>833</v>
      </c>
      <c r="C5738" s="2"/>
      <c r="D5738" s="112" t="s">
        <v>5784</v>
      </c>
      <c r="E5738" s="112"/>
      <c r="F5738" s="112"/>
      <c r="G5738" s="112"/>
      <c r="H5738" s="112"/>
      <c r="I5738" s="112"/>
      <c r="J5738" s="112"/>
      <c r="K5738" s="112"/>
      <c r="L5738" s="112"/>
      <c r="M5738" s="112"/>
      <c r="N5738" s="112"/>
      <c r="O5738" s="112"/>
      <c r="P5738" s="112"/>
      <c r="Q5738" s="112"/>
      <c r="R5738" s="112"/>
      <c r="S5738" s="112"/>
      <c r="T5738" s="112"/>
      <c r="U5738" s="112"/>
      <c r="V5738" s="112">
        <v>80</v>
      </c>
      <c r="W5738" s="112"/>
      <c r="X5738" s="112"/>
      <c r="Y5738" s="112"/>
      <c r="Z5738" s="112"/>
      <c r="AA5738" s="112"/>
      <c r="AB5738" s="112"/>
      <c r="AC5738" s="112" t="s">
        <v>5781</v>
      </c>
      <c r="AD5738" s="112" t="s">
        <v>5707</v>
      </c>
      <c r="AE5738" s="112"/>
      <c r="AF5738" s="112"/>
      <c r="AG5738" s="112"/>
      <c r="AH5738" s="112"/>
      <c r="AI5738" s="112"/>
      <c r="AJ5738" s="112"/>
      <c r="AK5738" s="112"/>
      <c r="AL5738" s="112"/>
      <c r="AM5738" s="112"/>
      <c r="AN5738" s="112">
        <v>-0.05</v>
      </c>
      <c r="AO5738" s="112">
        <v>0</v>
      </c>
      <c r="AP5738" s="112"/>
      <c r="AQ5738" s="112"/>
      <c r="AR5738" s="112"/>
      <c r="AS5738" s="112"/>
      <c r="AT5738" s="112"/>
      <c r="AU5738" s="112" t="s">
        <v>5782</v>
      </c>
      <c r="AV5738" s="112" t="s">
        <v>5783</v>
      </c>
      <c r="AZ5738" s="317"/>
      <c r="BA5738" s="317"/>
      <c r="BB5738" s="317"/>
    </row>
    <row r="5739" spans="1:54" s="319" customFormat="1" ht="15" hidden="1" customHeight="1" outlineLevel="2">
      <c r="A5739" s="2"/>
      <c r="B5739" s="2" t="s">
        <v>833</v>
      </c>
      <c r="C5739" s="2"/>
      <c r="D5739" s="114" t="s">
        <v>5785</v>
      </c>
      <c r="E5739" s="114"/>
      <c r="F5739" s="114"/>
      <c r="G5739" s="114"/>
      <c r="H5739" s="114"/>
      <c r="I5739" s="114"/>
      <c r="J5739" s="114"/>
      <c r="K5739" s="114"/>
      <c r="L5739" s="114"/>
      <c r="M5739" s="114"/>
      <c r="N5739" s="114"/>
      <c r="O5739" s="114"/>
      <c r="P5739" s="114">
        <v>149999.99</v>
      </c>
      <c r="Q5739" s="114"/>
      <c r="R5739" s="114"/>
      <c r="S5739" s="114"/>
      <c r="T5739" s="114"/>
      <c r="U5739" s="114"/>
      <c r="V5739" s="114">
        <v>80</v>
      </c>
      <c r="W5739" s="114"/>
      <c r="X5739" s="114"/>
      <c r="Y5739" s="114" t="b">
        <v>0</v>
      </c>
      <c r="Z5739" s="114"/>
      <c r="AA5739" s="114"/>
      <c r="AB5739" s="114" t="s">
        <v>5707</v>
      </c>
      <c r="AC5739" s="114" t="s">
        <v>5731</v>
      </c>
      <c r="AD5739" s="114"/>
      <c r="AE5739" s="114"/>
      <c r="AF5739" s="114"/>
      <c r="AG5739" s="114"/>
      <c r="AH5739" s="114"/>
      <c r="AI5739" s="114"/>
      <c r="AJ5739" s="114"/>
      <c r="AK5739" s="114"/>
      <c r="AL5739" s="114"/>
      <c r="AM5739" s="114"/>
      <c r="AN5739" s="114">
        <v>-0.2</v>
      </c>
      <c r="AO5739" s="114">
        <v>0</v>
      </c>
      <c r="AP5739" s="114"/>
      <c r="AQ5739" s="114"/>
      <c r="AR5739" s="114"/>
      <c r="AS5739" s="114"/>
      <c r="AT5739" s="114"/>
      <c r="AU5739" s="114" t="s">
        <v>5782</v>
      </c>
      <c r="AV5739" s="114" t="s">
        <v>5783</v>
      </c>
      <c r="AZ5739" s="317"/>
      <c r="BA5739" s="317"/>
      <c r="BB5739" s="317"/>
    </row>
    <row r="5740" spans="1:54" s="319" customFormat="1" ht="15" hidden="1" customHeight="1" outlineLevel="2">
      <c r="A5740" s="2"/>
      <c r="B5740" s="2" t="s">
        <v>833</v>
      </c>
      <c r="C5740" s="2"/>
      <c r="D5740" s="112" t="s">
        <v>5786</v>
      </c>
      <c r="E5740" s="112"/>
      <c r="F5740" s="112"/>
      <c r="G5740" s="112"/>
      <c r="H5740" s="112"/>
      <c r="I5740" s="112"/>
      <c r="J5740" s="112"/>
      <c r="K5740" s="112"/>
      <c r="L5740" s="112"/>
      <c r="M5740" s="112"/>
      <c r="N5740" s="112"/>
      <c r="O5740" s="112">
        <v>150000</v>
      </c>
      <c r="P5740" s="112">
        <v>249999.99</v>
      </c>
      <c r="Q5740" s="112"/>
      <c r="R5740" s="112"/>
      <c r="S5740" s="112"/>
      <c r="T5740" s="112"/>
      <c r="U5740" s="112"/>
      <c r="V5740" s="112">
        <v>80</v>
      </c>
      <c r="W5740" s="112"/>
      <c r="X5740" s="112"/>
      <c r="Y5740" s="112" t="b">
        <v>0</v>
      </c>
      <c r="Z5740" s="112"/>
      <c r="AA5740" s="112"/>
      <c r="AB5740" s="112" t="s">
        <v>5707</v>
      </c>
      <c r="AC5740" s="112" t="s">
        <v>5731</v>
      </c>
      <c r="AD5740" s="112"/>
      <c r="AE5740" s="112"/>
      <c r="AF5740" s="112"/>
      <c r="AG5740" s="112"/>
      <c r="AH5740" s="112"/>
      <c r="AI5740" s="112"/>
      <c r="AJ5740" s="112"/>
      <c r="AK5740" s="112"/>
      <c r="AL5740" s="112"/>
      <c r="AM5740" s="112"/>
      <c r="AN5740" s="112">
        <v>-0.05</v>
      </c>
      <c r="AO5740" s="112">
        <v>0</v>
      </c>
      <c r="AP5740" s="112"/>
      <c r="AQ5740" s="112"/>
      <c r="AR5740" s="112"/>
      <c r="AS5740" s="112"/>
      <c r="AT5740" s="112"/>
      <c r="AU5740" s="112" t="s">
        <v>5782</v>
      </c>
      <c r="AV5740" s="112" t="s">
        <v>5783</v>
      </c>
      <c r="AZ5740" s="317"/>
      <c r="BA5740" s="317"/>
      <c r="BB5740" s="317"/>
    </row>
    <row r="5741" spans="1:54" s="319" customFormat="1" ht="15" hidden="1" customHeight="1" outlineLevel="2">
      <c r="A5741" s="2"/>
      <c r="B5741" s="2" t="s">
        <v>833</v>
      </c>
      <c r="C5741" s="2"/>
      <c r="D5741" s="114" t="s">
        <v>5787</v>
      </c>
      <c r="E5741" s="114"/>
      <c r="F5741" s="114"/>
      <c r="G5741" s="114"/>
      <c r="H5741" s="114"/>
      <c r="I5741" s="114"/>
      <c r="J5741" s="114"/>
      <c r="K5741" s="114"/>
      <c r="L5741" s="114"/>
      <c r="M5741" s="114"/>
      <c r="N5741" s="114"/>
      <c r="O5741" s="114">
        <v>250000</v>
      </c>
      <c r="P5741" s="114">
        <v>499999.99</v>
      </c>
      <c r="Q5741" s="114"/>
      <c r="R5741" s="114"/>
      <c r="S5741" s="114"/>
      <c r="T5741" s="114"/>
      <c r="U5741" s="114"/>
      <c r="V5741" s="114">
        <v>80</v>
      </c>
      <c r="W5741" s="114"/>
      <c r="X5741" s="114"/>
      <c r="Y5741" s="114" t="b">
        <v>0</v>
      </c>
      <c r="Z5741" s="114"/>
      <c r="AA5741" s="114"/>
      <c r="AB5741" s="114" t="s">
        <v>5707</v>
      </c>
      <c r="AC5741" s="114" t="s">
        <v>5731</v>
      </c>
      <c r="AD5741" s="114"/>
      <c r="AE5741" s="114"/>
      <c r="AF5741" s="114"/>
      <c r="AG5741" s="114"/>
      <c r="AH5741" s="114"/>
      <c r="AI5741" s="114"/>
      <c r="AJ5741" s="114"/>
      <c r="AK5741" s="114"/>
      <c r="AL5741" s="114"/>
      <c r="AM5741" s="114"/>
      <c r="AN5741" s="114">
        <v>-0.05</v>
      </c>
      <c r="AO5741" s="114">
        <v>-0.2</v>
      </c>
      <c r="AP5741" s="114"/>
      <c r="AQ5741" s="114"/>
      <c r="AR5741" s="114"/>
      <c r="AS5741" s="114"/>
      <c r="AT5741" s="114"/>
      <c r="AU5741" s="114" t="s">
        <v>5782</v>
      </c>
      <c r="AV5741" s="114" t="s">
        <v>5783</v>
      </c>
      <c r="AZ5741" s="317"/>
      <c r="BA5741" s="317"/>
      <c r="BB5741" s="317"/>
    </row>
    <row r="5742" spans="1:54" s="319" customFormat="1" ht="15" hidden="1" customHeight="1" outlineLevel="2">
      <c r="A5742" s="2"/>
      <c r="B5742" s="2" t="s">
        <v>833</v>
      </c>
      <c r="C5742" s="2"/>
      <c r="D5742" s="112" t="s">
        <v>5788</v>
      </c>
      <c r="E5742" s="112"/>
      <c r="F5742" s="112"/>
      <c r="G5742" s="112"/>
      <c r="H5742" s="112"/>
      <c r="I5742" s="112"/>
      <c r="J5742" s="112"/>
      <c r="K5742" s="112"/>
      <c r="L5742" s="112"/>
      <c r="M5742" s="112"/>
      <c r="N5742" s="112"/>
      <c r="O5742" s="112">
        <v>500000</v>
      </c>
      <c r="P5742" s="112">
        <v>699999.99</v>
      </c>
      <c r="Q5742" s="112"/>
      <c r="R5742" s="112"/>
      <c r="S5742" s="112"/>
      <c r="T5742" s="112"/>
      <c r="U5742" s="112"/>
      <c r="V5742" s="112">
        <v>80</v>
      </c>
      <c r="W5742" s="112"/>
      <c r="X5742" s="112"/>
      <c r="Y5742" s="112" t="b">
        <v>0</v>
      </c>
      <c r="Z5742" s="112"/>
      <c r="AA5742" s="112"/>
      <c r="AB5742" s="112" t="s">
        <v>5707</v>
      </c>
      <c r="AC5742" s="112" t="s">
        <v>5731</v>
      </c>
      <c r="AD5742" s="112"/>
      <c r="AE5742" s="112"/>
      <c r="AF5742" s="112"/>
      <c r="AG5742" s="112"/>
      <c r="AH5742" s="112"/>
      <c r="AI5742" s="112"/>
      <c r="AJ5742" s="112"/>
      <c r="AK5742" s="112"/>
      <c r="AL5742" s="112"/>
      <c r="AM5742" s="112"/>
      <c r="AN5742" s="112">
        <v>-0.05</v>
      </c>
      <c r="AO5742" s="112">
        <v>-0.3</v>
      </c>
      <c r="AP5742" s="112"/>
      <c r="AQ5742" s="112"/>
      <c r="AR5742" s="112"/>
      <c r="AS5742" s="112"/>
      <c r="AT5742" s="112"/>
      <c r="AU5742" s="112" t="s">
        <v>5782</v>
      </c>
      <c r="AV5742" s="112" t="s">
        <v>5783</v>
      </c>
      <c r="AZ5742" s="317"/>
      <c r="BA5742" s="317"/>
      <c r="BB5742" s="317"/>
    </row>
    <row r="5743" spans="1:54" s="319" customFormat="1" ht="15" hidden="1" customHeight="1" outlineLevel="2">
      <c r="A5743" s="2"/>
      <c r="B5743" s="2" t="s">
        <v>833</v>
      </c>
      <c r="C5743" s="2"/>
      <c r="D5743" s="114" t="s">
        <v>5789</v>
      </c>
      <c r="E5743" s="114"/>
      <c r="F5743" s="114"/>
      <c r="G5743" s="114"/>
      <c r="H5743" s="114"/>
      <c r="I5743" s="114"/>
      <c r="J5743" s="114"/>
      <c r="K5743" s="114"/>
      <c r="L5743" s="114"/>
      <c r="M5743" s="114"/>
      <c r="N5743" s="114"/>
      <c r="O5743" s="114">
        <v>700000</v>
      </c>
      <c r="P5743" s="114"/>
      <c r="Q5743" s="114"/>
      <c r="R5743" s="114"/>
      <c r="S5743" s="114"/>
      <c r="T5743" s="114"/>
      <c r="U5743" s="114"/>
      <c r="V5743" s="114">
        <v>80</v>
      </c>
      <c r="W5743" s="114"/>
      <c r="X5743" s="114"/>
      <c r="Y5743" s="114" t="b">
        <v>0</v>
      </c>
      <c r="Z5743" s="114"/>
      <c r="AA5743" s="114"/>
      <c r="AB5743" s="114" t="s">
        <v>5707</v>
      </c>
      <c r="AC5743" s="114" t="s">
        <v>5731</v>
      </c>
      <c r="AD5743" s="114"/>
      <c r="AE5743" s="114"/>
      <c r="AF5743" s="114"/>
      <c r="AG5743" s="114"/>
      <c r="AH5743" s="114"/>
      <c r="AI5743" s="114"/>
      <c r="AJ5743" s="114"/>
      <c r="AK5743" s="114"/>
      <c r="AL5743" s="114"/>
      <c r="AM5743" s="114"/>
      <c r="AN5743" s="114">
        <v>-0.05</v>
      </c>
      <c r="AO5743" s="114">
        <v>-0.2</v>
      </c>
      <c r="AP5743" s="114"/>
      <c r="AQ5743" s="114"/>
      <c r="AR5743" s="114"/>
      <c r="AS5743" s="114"/>
      <c r="AT5743" s="114"/>
      <c r="AU5743" s="114" t="s">
        <v>5782</v>
      </c>
      <c r="AV5743" s="114" t="s">
        <v>5783</v>
      </c>
      <c r="AZ5743" s="317"/>
      <c r="BA5743" s="317"/>
      <c r="BB5743" s="317"/>
    </row>
    <row r="5744" spans="1:54" s="319" customFormat="1" ht="15" hidden="1" customHeight="1" outlineLevel="2">
      <c r="A5744" s="2"/>
      <c r="B5744" s="2" t="s">
        <v>833</v>
      </c>
      <c r="C5744" s="2"/>
      <c r="D5744" s="112" t="s">
        <v>5790</v>
      </c>
      <c r="E5744" s="112"/>
      <c r="F5744" s="112"/>
      <c r="G5744" s="112"/>
      <c r="H5744" s="112"/>
      <c r="I5744" s="112"/>
      <c r="J5744" s="112"/>
      <c r="K5744" s="112"/>
      <c r="L5744" s="112"/>
      <c r="M5744" s="112"/>
      <c r="N5744" s="112"/>
      <c r="O5744" s="112"/>
      <c r="P5744" s="112">
        <v>149999.99</v>
      </c>
      <c r="Q5744" s="112"/>
      <c r="R5744" s="112"/>
      <c r="S5744" s="112"/>
      <c r="T5744" s="112"/>
      <c r="U5744" s="112">
        <v>80.010000000000005</v>
      </c>
      <c r="V5744" s="112"/>
      <c r="W5744" s="112"/>
      <c r="X5744" s="112"/>
      <c r="Y5744" s="112" t="b">
        <v>0</v>
      </c>
      <c r="Z5744" s="112"/>
      <c r="AA5744" s="112"/>
      <c r="AB5744" s="112" t="s">
        <v>5707</v>
      </c>
      <c r="AC5744" s="112" t="s">
        <v>5731</v>
      </c>
      <c r="AD5744" s="112"/>
      <c r="AE5744" s="112"/>
      <c r="AF5744" s="112"/>
      <c r="AG5744" s="112"/>
      <c r="AH5744" s="112"/>
      <c r="AI5744" s="112"/>
      <c r="AJ5744" s="112"/>
      <c r="AK5744" s="112"/>
      <c r="AL5744" s="112"/>
      <c r="AM5744" s="112"/>
      <c r="AN5744" s="112">
        <v>0</v>
      </c>
      <c r="AO5744" s="112">
        <v>0</v>
      </c>
      <c r="AP5744" s="112"/>
      <c r="AQ5744" s="112"/>
      <c r="AR5744" s="112"/>
      <c r="AS5744" s="112"/>
      <c r="AT5744" s="112"/>
      <c r="AU5744" s="112" t="s">
        <v>5782</v>
      </c>
      <c r="AV5744" s="112" t="s">
        <v>5783</v>
      </c>
      <c r="AZ5744" s="317"/>
      <c r="BA5744" s="317"/>
      <c r="BB5744" s="317"/>
    </row>
    <row r="5745" spans="1:54" s="319" customFormat="1" ht="15" hidden="1" customHeight="1" outlineLevel="2">
      <c r="A5745" s="2"/>
      <c r="B5745" s="2" t="s">
        <v>833</v>
      </c>
      <c r="C5745" s="2"/>
      <c r="D5745" s="114" t="s">
        <v>5791</v>
      </c>
      <c r="E5745" s="114"/>
      <c r="F5745" s="114"/>
      <c r="G5745" s="114"/>
      <c r="H5745" s="114"/>
      <c r="I5745" s="114"/>
      <c r="J5745" s="114"/>
      <c r="K5745" s="114"/>
      <c r="L5745" s="114"/>
      <c r="M5745" s="114"/>
      <c r="N5745" s="114"/>
      <c r="O5745" s="114">
        <v>150000</v>
      </c>
      <c r="P5745" s="114">
        <v>249999.99</v>
      </c>
      <c r="Q5745" s="114"/>
      <c r="R5745" s="114"/>
      <c r="S5745" s="114"/>
      <c r="T5745" s="114"/>
      <c r="U5745" s="114">
        <v>80.010000000000005</v>
      </c>
      <c r="V5745" s="114"/>
      <c r="W5745" s="114"/>
      <c r="X5745" s="114"/>
      <c r="Y5745" s="114" t="b">
        <v>0</v>
      </c>
      <c r="Z5745" s="114"/>
      <c r="AA5745" s="114"/>
      <c r="AB5745" s="114" t="s">
        <v>5707</v>
      </c>
      <c r="AC5745" s="114" t="s">
        <v>5731</v>
      </c>
      <c r="AD5745" s="114"/>
      <c r="AE5745" s="114"/>
      <c r="AF5745" s="114"/>
      <c r="AG5745" s="114"/>
      <c r="AH5745" s="114"/>
      <c r="AI5745" s="114"/>
      <c r="AJ5745" s="114"/>
      <c r="AK5745" s="114"/>
      <c r="AL5745" s="114"/>
      <c r="AM5745" s="114"/>
      <c r="AN5745" s="114">
        <v>0</v>
      </c>
      <c r="AO5745" s="114">
        <v>0</v>
      </c>
      <c r="AP5745" s="114"/>
      <c r="AQ5745" s="114"/>
      <c r="AR5745" s="114"/>
      <c r="AS5745" s="114"/>
      <c r="AT5745" s="114"/>
      <c r="AU5745" s="114" t="s">
        <v>5782</v>
      </c>
      <c r="AV5745" s="114" t="s">
        <v>5783</v>
      </c>
      <c r="AZ5745" s="317"/>
      <c r="BA5745" s="317"/>
      <c r="BB5745" s="317"/>
    </row>
    <row r="5746" spans="1:54" s="319" customFormat="1" ht="15" hidden="1" customHeight="1" outlineLevel="2">
      <c r="A5746" s="2"/>
      <c r="B5746" s="2" t="s">
        <v>833</v>
      </c>
      <c r="C5746" s="2"/>
      <c r="D5746" s="112" t="s">
        <v>5792</v>
      </c>
      <c r="E5746" s="112"/>
      <c r="F5746" s="112"/>
      <c r="G5746" s="112"/>
      <c r="H5746" s="112"/>
      <c r="I5746" s="112"/>
      <c r="J5746" s="112"/>
      <c r="K5746" s="112"/>
      <c r="L5746" s="112"/>
      <c r="M5746" s="112"/>
      <c r="N5746" s="112"/>
      <c r="O5746" s="112">
        <v>250000</v>
      </c>
      <c r="P5746" s="112">
        <v>499999.99</v>
      </c>
      <c r="Q5746" s="112"/>
      <c r="R5746" s="112"/>
      <c r="S5746" s="112"/>
      <c r="T5746" s="112"/>
      <c r="U5746" s="112">
        <v>80.010000000000005</v>
      </c>
      <c r="V5746" s="112"/>
      <c r="W5746" s="112"/>
      <c r="X5746" s="112"/>
      <c r="Y5746" s="112" t="b">
        <v>0</v>
      </c>
      <c r="Z5746" s="112"/>
      <c r="AA5746" s="112"/>
      <c r="AB5746" s="112" t="s">
        <v>5707</v>
      </c>
      <c r="AC5746" s="112" t="s">
        <v>5731</v>
      </c>
      <c r="AD5746" s="112"/>
      <c r="AE5746" s="112"/>
      <c r="AF5746" s="112"/>
      <c r="AG5746" s="112"/>
      <c r="AH5746" s="112"/>
      <c r="AI5746" s="112"/>
      <c r="AJ5746" s="112"/>
      <c r="AK5746" s="112"/>
      <c r="AL5746" s="112"/>
      <c r="AM5746" s="112"/>
      <c r="AN5746" s="112">
        <v>0</v>
      </c>
      <c r="AO5746" s="112">
        <v>-0.15</v>
      </c>
      <c r="AP5746" s="112"/>
      <c r="AQ5746" s="112"/>
      <c r="AR5746" s="112"/>
      <c r="AS5746" s="112"/>
      <c r="AT5746" s="112"/>
      <c r="AU5746" s="112" t="s">
        <v>5782</v>
      </c>
      <c r="AV5746" s="112" t="s">
        <v>5783</v>
      </c>
      <c r="AZ5746" s="317"/>
      <c r="BA5746" s="317"/>
      <c r="BB5746" s="317"/>
    </row>
    <row r="5747" spans="1:54" s="319" customFormat="1" ht="15" hidden="1" customHeight="1" outlineLevel="2">
      <c r="A5747" s="2"/>
      <c r="B5747" s="2" t="s">
        <v>833</v>
      </c>
      <c r="C5747" s="2"/>
      <c r="D5747" s="114" t="s">
        <v>5793</v>
      </c>
      <c r="E5747" s="114"/>
      <c r="F5747" s="114"/>
      <c r="G5747" s="114"/>
      <c r="H5747" s="114"/>
      <c r="I5747" s="114"/>
      <c r="J5747" s="114"/>
      <c r="K5747" s="114"/>
      <c r="L5747" s="114"/>
      <c r="M5747" s="114"/>
      <c r="N5747" s="114"/>
      <c r="O5747" s="114">
        <v>500000</v>
      </c>
      <c r="P5747" s="114">
        <v>699999.99</v>
      </c>
      <c r="Q5747" s="114"/>
      <c r="R5747" s="114"/>
      <c r="S5747" s="114"/>
      <c r="T5747" s="114"/>
      <c r="U5747" s="114">
        <v>80.010000000000005</v>
      </c>
      <c r="V5747" s="114"/>
      <c r="W5747" s="114"/>
      <c r="X5747" s="114"/>
      <c r="Y5747" s="114" t="b">
        <v>0</v>
      </c>
      <c r="Z5747" s="114"/>
      <c r="AA5747" s="114"/>
      <c r="AB5747" s="114" t="s">
        <v>5707</v>
      </c>
      <c r="AC5747" s="114" t="s">
        <v>5731</v>
      </c>
      <c r="AD5747" s="114"/>
      <c r="AE5747" s="114"/>
      <c r="AF5747" s="114"/>
      <c r="AG5747" s="114"/>
      <c r="AH5747" s="114"/>
      <c r="AI5747" s="114"/>
      <c r="AJ5747" s="114"/>
      <c r="AK5747" s="114"/>
      <c r="AL5747" s="114"/>
      <c r="AM5747" s="114"/>
      <c r="AN5747" s="114">
        <v>0</v>
      </c>
      <c r="AO5747" s="114">
        <v>-0.25</v>
      </c>
      <c r="AP5747" s="114"/>
      <c r="AQ5747" s="114"/>
      <c r="AR5747" s="114"/>
      <c r="AS5747" s="114"/>
      <c r="AT5747" s="114"/>
      <c r="AU5747" s="114" t="s">
        <v>5782</v>
      </c>
      <c r="AV5747" s="114" t="s">
        <v>5783</v>
      </c>
      <c r="AZ5747" s="317"/>
      <c r="BA5747" s="317"/>
      <c r="BB5747" s="317"/>
    </row>
    <row r="5748" spans="1:54" s="319" customFormat="1" ht="15" hidden="1" customHeight="1" outlineLevel="2">
      <c r="A5748" s="2"/>
      <c r="B5748" s="2" t="s">
        <v>833</v>
      </c>
      <c r="C5748" s="2"/>
      <c r="D5748" s="112" t="s">
        <v>5794</v>
      </c>
      <c r="E5748" s="112"/>
      <c r="F5748" s="112"/>
      <c r="G5748" s="112"/>
      <c r="H5748" s="112"/>
      <c r="I5748" s="112"/>
      <c r="J5748" s="112"/>
      <c r="K5748" s="112"/>
      <c r="L5748" s="112"/>
      <c r="M5748" s="112"/>
      <c r="N5748" s="112"/>
      <c r="O5748" s="112">
        <v>700000</v>
      </c>
      <c r="P5748" s="112"/>
      <c r="Q5748" s="112"/>
      <c r="R5748" s="112"/>
      <c r="S5748" s="112"/>
      <c r="T5748" s="112"/>
      <c r="U5748" s="112">
        <v>80.010000000000005</v>
      </c>
      <c r="V5748" s="112"/>
      <c r="W5748" s="112"/>
      <c r="X5748" s="112"/>
      <c r="Y5748" s="112" t="b">
        <v>0</v>
      </c>
      <c r="Z5748" s="112"/>
      <c r="AA5748" s="112"/>
      <c r="AB5748" s="112" t="s">
        <v>5707</v>
      </c>
      <c r="AC5748" s="112" t="s">
        <v>5731</v>
      </c>
      <c r="AD5748" s="112"/>
      <c r="AE5748" s="112"/>
      <c r="AF5748" s="112"/>
      <c r="AG5748" s="112"/>
      <c r="AH5748" s="112"/>
      <c r="AI5748" s="112"/>
      <c r="AJ5748" s="112"/>
      <c r="AK5748" s="112"/>
      <c r="AL5748" s="112"/>
      <c r="AM5748" s="112"/>
      <c r="AN5748" s="112">
        <v>0</v>
      </c>
      <c r="AO5748" s="112">
        <v>-0.15</v>
      </c>
      <c r="AP5748" s="112"/>
      <c r="AQ5748" s="112"/>
      <c r="AR5748" s="112"/>
      <c r="AS5748" s="112"/>
      <c r="AT5748" s="112"/>
      <c r="AU5748" s="112" t="s">
        <v>5782</v>
      </c>
      <c r="AV5748" s="112" t="s">
        <v>5783</v>
      </c>
      <c r="AZ5748" s="317"/>
      <c r="BA5748" s="317"/>
      <c r="BB5748" s="317"/>
    </row>
    <row r="5749" spans="1:54" s="319" customFormat="1" ht="15" hidden="1" customHeight="1" outlineLevel="2">
      <c r="A5749" s="2"/>
      <c r="B5749" s="2" t="s">
        <v>833</v>
      </c>
      <c r="C5749" s="2"/>
      <c r="D5749" s="114" t="s">
        <v>5795</v>
      </c>
      <c r="E5749" s="114"/>
      <c r="F5749" s="114"/>
      <c r="G5749" s="114"/>
      <c r="H5749" s="114"/>
      <c r="I5749" s="114"/>
      <c r="J5749" s="114"/>
      <c r="K5749" s="114"/>
      <c r="L5749" s="114"/>
      <c r="M5749" s="114"/>
      <c r="N5749" s="114"/>
      <c r="O5749" s="114"/>
      <c r="P5749" s="114">
        <v>149999.99</v>
      </c>
      <c r="Q5749" s="114"/>
      <c r="R5749" s="114"/>
      <c r="S5749" s="114"/>
      <c r="T5749" s="114"/>
      <c r="U5749" s="114"/>
      <c r="V5749" s="114">
        <v>80</v>
      </c>
      <c r="W5749" s="114"/>
      <c r="X5749" s="114"/>
      <c r="Y5749" s="114" t="b">
        <v>1</v>
      </c>
      <c r="Z5749" s="114"/>
      <c r="AA5749" s="114"/>
      <c r="AB5749" s="114" t="s">
        <v>5707</v>
      </c>
      <c r="AC5749" s="114" t="s">
        <v>5731</v>
      </c>
      <c r="AD5749" s="114"/>
      <c r="AE5749" s="114"/>
      <c r="AF5749" s="114"/>
      <c r="AG5749" s="114"/>
      <c r="AH5749" s="114"/>
      <c r="AI5749" s="114"/>
      <c r="AJ5749" s="114"/>
      <c r="AK5749" s="114"/>
      <c r="AL5749" s="114"/>
      <c r="AM5749" s="114"/>
      <c r="AN5749" s="114">
        <v>-0.2</v>
      </c>
      <c r="AO5749" s="114">
        <v>0</v>
      </c>
      <c r="AP5749" s="114"/>
      <c r="AQ5749" s="114"/>
      <c r="AR5749" s="114"/>
      <c r="AS5749" s="114"/>
      <c r="AT5749" s="114"/>
      <c r="AU5749" s="114" t="s">
        <v>5782</v>
      </c>
      <c r="AV5749" s="114" t="s">
        <v>5783</v>
      </c>
      <c r="AZ5749" s="317"/>
      <c r="BA5749" s="317"/>
      <c r="BB5749" s="317"/>
    </row>
    <row r="5750" spans="1:54" s="319" customFormat="1" ht="15" hidden="1" customHeight="1" outlineLevel="2">
      <c r="A5750" s="2"/>
      <c r="B5750" s="2" t="s">
        <v>833</v>
      </c>
      <c r="C5750" s="2"/>
      <c r="D5750" s="112" t="s">
        <v>5796</v>
      </c>
      <c r="E5750" s="112"/>
      <c r="F5750" s="112"/>
      <c r="G5750" s="112"/>
      <c r="H5750" s="112"/>
      <c r="I5750" s="112"/>
      <c r="J5750" s="112"/>
      <c r="K5750" s="112">
        <v>100000</v>
      </c>
      <c r="L5750" s="112"/>
      <c r="M5750" s="112"/>
      <c r="N5750" s="112"/>
      <c r="O5750" s="112">
        <v>150000</v>
      </c>
      <c r="P5750" s="112">
        <v>249999.99</v>
      </c>
      <c r="Q5750" s="112"/>
      <c r="R5750" s="112"/>
      <c r="S5750" s="112"/>
      <c r="T5750" s="112"/>
      <c r="U5750" s="112"/>
      <c r="V5750" s="112">
        <v>80</v>
      </c>
      <c r="W5750" s="112"/>
      <c r="X5750" s="112"/>
      <c r="Y5750" s="112" t="b">
        <v>1</v>
      </c>
      <c r="Z5750" s="112"/>
      <c r="AA5750" s="112"/>
      <c r="AB5750" s="112" t="s">
        <v>5707</v>
      </c>
      <c r="AC5750" s="112" t="s">
        <v>5731</v>
      </c>
      <c r="AD5750" s="112"/>
      <c r="AE5750" s="112"/>
      <c r="AF5750" s="112"/>
      <c r="AG5750" s="112"/>
      <c r="AH5750" s="112"/>
      <c r="AI5750" s="112"/>
      <c r="AJ5750" s="112"/>
      <c r="AK5750" s="112"/>
      <c r="AL5750" s="112"/>
      <c r="AM5750" s="112"/>
      <c r="AN5750" s="112">
        <v>-0.05</v>
      </c>
      <c r="AO5750" s="112">
        <v>0</v>
      </c>
      <c r="AP5750" s="112"/>
      <c r="AQ5750" s="112"/>
      <c r="AR5750" s="112"/>
      <c r="AS5750" s="112"/>
      <c r="AT5750" s="112"/>
      <c r="AU5750" s="112" t="s">
        <v>5782</v>
      </c>
      <c r="AV5750" s="112" t="s">
        <v>5783</v>
      </c>
      <c r="AZ5750" s="317"/>
      <c r="BA5750" s="317"/>
      <c r="BB5750" s="317"/>
    </row>
    <row r="5751" spans="1:54" s="319" customFormat="1" ht="15" hidden="1" customHeight="1" outlineLevel="2">
      <c r="A5751" s="2"/>
      <c r="B5751" s="2" t="s">
        <v>833</v>
      </c>
      <c r="C5751" s="2"/>
      <c r="D5751" s="114" t="s">
        <v>5797</v>
      </c>
      <c r="E5751" s="114"/>
      <c r="F5751" s="114"/>
      <c r="G5751" s="114"/>
      <c r="H5751" s="114"/>
      <c r="I5751" s="114"/>
      <c r="J5751" s="114"/>
      <c r="K5751" s="114">
        <v>100000</v>
      </c>
      <c r="L5751" s="114"/>
      <c r="M5751" s="114"/>
      <c r="N5751" s="114"/>
      <c r="O5751" s="114">
        <v>250000</v>
      </c>
      <c r="P5751" s="114">
        <v>499999.99</v>
      </c>
      <c r="Q5751" s="114"/>
      <c r="R5751" s="114"/>
      <c r="S5751" s="114"/>
      <c r="T5751" s="114"/>
      <c r="U5751" s="114"/>
      <c r="V5751" s="114">
        <v>80</v>
      </c>
      <c r="W5751" s="114"/>
      <c r="X5751" s="114"/>
      <c r="Y5751" s="114" t="b">
        <v>1</v>
      </c>
      <c r="Z5751" s="114"/>
      <c r="AA5751" s="114"/>
      <c r="AB5751" s="114" t="s">
        <v>5707</v>
      </c>
      <c r="AC5751" s="114" t="s">
        <v>5731</v>
      </c>
      <c r="AD5751" s="114"/>
      <c r="AE5751" s="114"/>
      <c r="AF5751" s="114"/>
      <c r="AG5751" s="114"/>
      <c r="AH5751" s="114"/>
      <c r="AI5751" s="114"/>
      <c r="AJ5751" s="114"/>
      <c r="AK5751" s="114"/>
      <c r="AL5751" s="114"/>
      <c r="AM5751" s="114"/>
      <c r="AN5751" s="114">
        <v>-0.05</v>
      </c>
      <c r="AO5751" s="114">
        <v>-0.2</v>
      </c>
      <c r="AP5751" s="114"/>
      <c r="AQ5751" s="114"/>
      <c r="AR5751" s="114"/>
      <c r="AS5751" s="114"/>
      <c r="AT5751" s="114"/>
      <c r="AU5751" s="114" t="s">
        <v>5782</v>
      </c>
      <c r="AV5751" s="114" t="s">
        <v>5783</v>
      </c>
      <c r="AZ5751" s="317"/>
      <c r="BA5751" s="317"/>
      <c r="BB5751" s="317"/>
    </row>
    <row r="5752" spans="1:54" s="319" customFormat="1" ht="15" hidden="1" customHeight="1" outlineLevel="2">
      <c r="A5752" s="2"/>
      <c r="B5752" s="2" t="s">
        <v>833</v>
      </c>
      <c r="C5752" s="2"/>
      <c r="D5752" s="112" t="s">
        <v>5798</v>
      </c>
      <c r="E5752" s="112"/>
      <c r="F5752" s="112"/>
      <c r="G5752" s="112"/>
      <c r="H5752" s="112"/>
      <c r="I5752" s="112"/>
      <c r="J5752" s="112"/>
      <c r="K5752" s="112">
        <v>100000</v>
      </c>
      <c r="L5752" s="112"/>
      <c r="M5752" s="112"/>
      <c r="N5752" s="112"/>
      <c r="O5752" s="112">
        <v>500000</v>
      </c>
      <c r="P5752" s="112">
        <v>699999.99</v>
      </c>
      <c r="Q5752" s="112"/>
      <c r="R5752" s="112"/>
      <c r="S5752" s="112"/>
      <c r="T5752" s="112"/>
      <c r="U5752" s="112"/>
      <c r="V5752" s="112">
        <v>80</v>
      </c>
      <c r="W5752" s="112"/>
      <c r="X5752" s="112"/>
      <c r="Y5752" s="112" t="b">
        <v>1</v>
      </c>
      <c r="Z5752" s="112"/>
      <c r="AA5752" s="112"/>
      <c r="AB5752" s="112" t="s">
        <v>5707</v>
      </c>
      <c r="AC5752" s="112" t="s">
        <v>5731</v>
      </c>
      <c r="AD5752" s="112"/>
      <c r="AE5752" s="112"/>
      <c r="AF5752" s="112"/>
      <c r="AG5752" s="112"/>
      <c r="AH5752" s="112"/>
      <c r="AI5752" s="112"/>
      <c r="AJ5752" s="112"/>
      <c r="AK5752" s="112"/>
      <c r="AL5752" s="112"/>
      <c r="AM5752" s="112"/>
      <c r="AN5752" s="112">
        <v>-0.05</v>
      </c>
      <c r="AO5752" s="112">
        <v>-0.3</v>
      </c>
      <c r="AP5752" s="112"/>
      <c r="AQ5752" s="112"/>
      <c r="AR5752" s="112"/>
      <c r="AS5752" s="112"/>
      <c r="AT5752" s="112"/>
      <c r="AU5752" s="112" t="s">
        <v>5782</v>
      </c>
      <c r="AV5752" s="112" t="s">
        <v>5783</v>
      </c>
      <c r="AZ5752" s="317"/>
      <c r="BA5752" s="317"/>
      <c r="BB5752" s="317"/>
    </row>
    <row r="5753" spans="1:54" s="319" customFormat="1" ht="15" hidden="1" customHeight="1" outlineLevel="2">
      <c r="A5753" s="2"/>
      <c r="B5753" s="2" t="s">
        <v>833</v>
      </c>
      <c r="C5753" s="2"/>
      <c r="D5753" s="114" t="s">
        <v>5799</v>
      </c>
      <c r="E5753" s="114"/>
      <c r="F5753" s="114"/>
      <c r="G5753" s="114"/>
      <c r="H5753" s="114"/>
      <c r="I5753" s="114"/>
      <c r="J5753" s="114"/>
      <c r="K5753" s="114">
        <v>100000</v>
      </c>
      <c r="L5753" s="114"/>
      <c r="M5753" s="114"/>
      <c r="N5753" s="114"/>
      <c r="O5753" s="114">
        <v>700000</v>
      </c>
      <c r="P5753" s="114"/>
      <c r="Q5753" s="114"/>
      <c r="R5753" s="114"/>
      <c r="S5753" s="114"/>
      <c r="T5753" s="114"/>
      <c r="U5753" s="114"/>
      <c r="V5753" s="114">
        <v>80</v>
      </c>
      <c r="W5753" s="114"/>
      <c r="X5753" s="114"/>
      <c r="Y5753" s="114" t="b">
        <v>1</v>
      </c>
      <c r="Z5753" s="114"/>
      <c r="AA5753" s="114"/>
      <c r="AB5753" s="114" t="s">
        <v>5707</v>
      </c>
      <c r="AC5753" s="114" t="s">
        <v>5731</v>
      </c>
      <c r="AD5753" s="114"/>
      <c r="AE5753" s="114"/>
      <c r="AF5753" s="114"/>
      <c r="AG5753" s="114"/>
      <c r="AH5753" s="114"/>
      <c r="AI5753" s="114"/>
      <c r="AJ5753" s="114"/>
      <c r="AK5753" s="114"/>
      <c r="AL5753" s="114"/>
      <c r="AM5753" s="114"/>
      <c r="AN5753" s="114">
        <v>-0.05</v>
      </c>
      <c r="AO5753" s="114">
        <v>-0.2</v>
      </c>
      <c r="AP5753" s="114"/>
      <c r="AQ5753" s="114"/>
      <c r="AR5753" s="114"/>
      <c r="AS5753" s="114"/>
      <c r="AT5753" s="114"/>
      <c r="AU5753" s="114" t="s">
        <v>5782</v>
      </c>
      <c r="AV5753" s="114" t="s">
        <v>5783</v>
      </c>
      <c r="AZ5753" s="317"/>
      <c r="BA5753" s="317"/>
      <c r="BB5753" s="317"/>
    </row>
    <row r="5754" spans="1:54" s="319" customFormat="1" ht="15" hidden="1" customHeight="1" outlineLevel="2">
      <c r="A5754" s="2"/>
      <c r="B5754" s="2" t="s">
        <v>833</v>
      </c>
      <c r="C5754" s="2"/>
      <c r="D5754" s="112" t="s">
        <v>5800</v>
      </c>
      <c r="E5754" s="112"/>
      <c r="F5754" s="112"/>
      <c r="G5754" s="112"/>
      <c r="H5754" s="112"/>
      <c r="I5754" s="112"/>
      <c r="J5754" s="112"/>
      <c r="K5754" s="112"/>
      <c r="L5754" s="112"/>
      <c r="M5754" s="112"/>
      <c r="N5754" s="112"/>
      <c r="O5754" s="112"/>
      <c r="P5754" s="112">
        <v>149999.99</v>
      </c>
      <c r="Q5754" s="112"/>
      <c r="R5754" s="112"/>
      <c r="S5754" s="112"/>
      <c r="T5754" s="112"/>
      <c r="U5754" s="112">
        <v>80.010000000000005</v>
      </c>
      <c r="V5754" s="112"/>
      <c r="W5754" s="112"/>
      <c r="X5754" s="112"/>
      <c r="Y5754" s="112" t="b">
        <v>1</v>
      </c>
      <c r="Z5754" s="112"/>
      <c r="AA5754" s="112"/>
      <c r="AB5754" s="112" t="s">
        <v>5707</v>
      </c>
      <c r="AC5754" s="112" t="s">
        <v>5731</v>
      </c>
      <c r="AD5754" s="112"/>
      <c r="AE5754" s="112"/>
      <c r="AF5754" s="112"/>
      <c r="AG5754" s="112"/>
      <c r="AH5754" s="112"/>
      <c r="AI5754" s="112"/>
      <c r="AJ5754" s="112"/>
      <c r="AK5754" s="112"/>
      <c r="AL5754" s="112"/>
      <c r="AM5754" s="112"/>
      <c r="AN5754" s="112">
        <v>-0.15</v>
      </c>
      <c r="AO5754" s="112">
        <v>0</v>
      </c>
      <c r="AP5754" s="112"/>
      <c r="AQ5754" s="112"/>
      <c r="AR5754" s="112"/>
      <c r="AS5754" s="112"/>
      <c r="AT5754" s="112"/>
      <c r="AU5754" s="112" t="s">
        <v>5782</v>
      </c>
      <c r="AV5754" s="112" t="s">
        <v>5783</v>
      </c>
      <c r="AZ5754" s="317"/>
      <c r="BA5754" s="317"/>
      <c r="BB5754" s="317"/>
    </row>
    <row r="5755" spans="1:54" s="319" customFormat="1" ht="15" hidden="1" customHeight="1" outlineLevel="2">
      <c r="A5755" s="2"/>
      <c r="B5755" s="2" t="s">
        <v>833</v>
      </c>
      <c r="C5755" s="2"/>
      <c r="D5755" s="114" t="s">
        <v>5801</v>
      </c>
      <c r="E5755" s="114"/>
      <c r="F5755" s="114"/>
      <c r="G5755" s="114"/>
      <c r="H5755" s="114"/>
      <c r="I5755" s="114"/>
      <c r="J5755" s="114"/>
      <c r="K5755" s="114">
        <v>100000</v>
      </c>
      <c r="L5755" s="114"/>
      <c r="M5755" s="114"/>
      <c r="N5755" s="114"/>
      <c r="O5755" s="114">
        <v>150000</v>
      </c>
      <c r="P5755" s="114">
        <v>249999.99</v>
      </c>
      <c r="Q5755" s="114"/>
      <c r="R5755" s="114"/>
      <c r="S5755" s="114"/>
      <c r="T5755" s="114"/>
      <c r="U5755" s="114">
        <v>80.010000000000005</v>
      </c>
      <c r="V5755" s="114"/>
      <c r="W5755" s="114"/>
      <c r="X5755" s="114"/>
      <c r="Y5755" s="114" t="b">
        <v>1</v>
      </c>
      <c r="Z5755" s="114"/>
      <c r="AA5755" s="114"/>
      <c r="AB5755" s="114" t="s">
        <v>5707</v>
      </c>
      <c r="AC5755" s="114" t="s">
        <v>5731</v>
      </c>
      <c r="AD5755" s="114"/>
      <c r="AE5755" s="114"/>
      <c r="AF5755" s="114"/>
      <c r="AG5755" s="114"/>
      <c r="AH5755" s="114"/>
      <c r="AI5755" s="114"/>
      <c r="AJ5755" s="114"/>
      <c r="AK5755" s="114"/>
      <c r="AL5755" s="114"/>
      <c r="AM5755" s="114"/>
      <c r="AN5755" s="114">
        <v>0</v>
      </c>
      <c r="AO5755" s="114">
        <v>0</v>
      </c>
      <c r="AP5755" s="114"/>
      <c r="AQ5755" s="114"/>
      <c r="AR5755" s="114"/>
      <c r="AS5755" s="114"/>
      <c r="AT5755" s="114"/>
      <c r="AU5755" s="114" t="s">
        <v>5782</v>
      </c>
      <c r="AV5755" s="114" t="s">
        <v>5783</v>
      </c>
      <c r="AZ5755" s="317"/>
      <c r="BA5755" s="317"/>
      <c r="BB5755" s="317"/>
    </row>
    <row r="5756" spans="1:54" s="319" customFormat="1" ht="15" hidden="1" customHeight="1" outlineLevel="2">
      <c r="A5756" s="2"/>
      <c r="B5756" s="2" t="s">
        <v>833</v>
      </c>
      <c r="C5756" s="2"/>
      <c r="D5756" s="112" t="s">
        <v>5802</v>
      </c>
      <c r="E5756" s="112"/>
      <c r="F5756" s="112"/>
      <c r="G5756" s="112"/>
      <c r="H5756" s="112"/>
      <c r="I5756" s="112"/>
      <c r="J5756" s="112"/>
      <c r="K5756" s="112">
        <v>100000</v>
      </c>
      <c r="L5756" s="112"/>
      <c r="M5756" s="112"/>
      <c r="N5756" s="112"/>
      <c r="O5756" s="112">
        <v>250000</v>
      </c>
      <c r="P5756" s="112">
        <v>499999.99</v>
      </c>
      <c r="Q5756" s="112"/>
      <c r="R5756" s="112"/>
      <c r="S5756" s="112"/>
      <c r="T5756" s="112"/>
      <c r="U5756" s="112">
        <v>80.010000000000005</v>
      </c>
      <c r="V5756" s="112"/>
      <c r="W5756" s="112"/>
      <c r="X5756" s="112"/>
      <c r="Y5756" s="112" t="b">
        <v>1</v>
      </c>
      <c r="Z5756" s="112"/>
      <c r="AA5756" s="112"/>
      <c r="AB5756" s="112" t="s">
        <v>5707</v>
      </c>
      <c r="AC5756" s="112" t="s">
        <v>5731</v>
      </c>
      <c r="AD5756" s="112"/>
      <c r="AE5756" s="112"/>
      <c r="AF5756" s="112"/>
      <c r="AG5756" s="112"/>
      <c r="AH5756" s="112"/>
      <c r="AI5756" s="112"/>
      <c r="AJ5756" s="112"/>
      <c r="AK5756" s="112"/>
      <c r="AL5756" s="112"/>
      <c r="AM5756" s="112"/>
      <c r="AN5756" s="112">
        <v>0</v>
      </c>
      <c r="AO5756" s="112">
        <v>-0.15</v>
      </c>
      <c r="AP5756" s="112"/>
      <c r="AQ5756" s="112"/>
      <c r="AR5756" s="112"/>
      <c r="AS5756" s="112"/>
      <c r="AT5756" s="112"/>
      <c r="AU5756" s="112" t="s">
        <v>5782</v>
      </c>
      <c r="AV5756" s="112" t="s">
        <v>5783</v>
      </c>
      <c r="AZ5756" s="317"/>
      <c r="BA5756" s="317"/>
      <c r="BB5756" s="317"/>
    </row>
    <row r="5757" spans="1:54" s="319" customFormat="1" ht="15" hidden="1" customHeight="1" outlineLevel="2">
      <c r="A5757" s="2"/>
      <c r="B5757" s="2" t="s">
        <v>833</v>
      </c>
      <c r="C5757" s="2"/>
      <c r="D5757" s="114" t="s">
        <v>5803</v>
      </c>
      <c r="E5757" s="114"/>
      <c r="F5757" s="114"/>
      <c r="G5757" s="114"/>
      <c r="H5757" s="114"/>
      <c r="I5757" s="114"/>
      <c r="J5757" s="114"/>
      <c r="K5757" s="114">
        <v>100000</v>
      </c>
      <c r="L5757" s="114"/>
      <c r="M5757" s="114"/>
      <c r="N5757" s="114"/>
      <c r="O5757" s="114">
        <v>500000</v>
      </c>
      <c r="P5757" s="114">
        <v>699999.99</v>
      </c>
      <c r="Q5757" s="114"/>
      <c r="R5757" s="114"/>
      <c r="S5757" s="114"/>
      <c r="T5757" s="114"/>
      <c r="U5757" s="114">
        <v>80.010000000000005</v>
      </c>
      <c r="V5757" s="114"/>
      <c r="W5757" s="114"/>
      <c r="X5757" s="114"/>
      <c r="Y5757" s="114" t="b">
        <v>1</v>
      </c>
      <c r="Z5757" s="114"/>
      <c r="AA5757" s="114"/>
      <c r="AB5757" s="114" t="s">
        <v>5707</v>
      </c>
      <c r="AC5757" s="114" t="s">
        <v>5731</v>
      </c>
      <c r="AD5757" s="114"/>
      <c r="AE5757" s="114"/>
      <c r="AF5757" s="114"/>
      <c r="AG5757" s="114"/>
      <c r="AH5757" s="114"/>
      <c r="AI5757" s="114"/>
      <c r="AJ5757" s="114"/>
      <c r="AK5757" s="114"/>
      <c r="AL5757" s="114"/>
      <c r="AM5757" s="114"/>
      <c r="AN5757" s="114">
        <v>0</v>
      </c>
      <c r="AO5757" s="114">
        <v>-0.25</v>
      </c>
      <c r="AP5757" s="114"/>
      <c r="AQ5757" s="114"/>
      <c r="AR5757" s="114"/>
      <c r="AS5757" s="114"/>
      <c r="AT5757" s="114"/>
      <c r="AU5757" s="114" t="s">
        <v>5782</v>
      </c>
      <c r="AV5757" s="114" t="s">
        <v>5783</v>
      </c>
      <c r="AZ5757" s="317"/>
      <c r="BA5757" s="317"/>
      <c r="BB5757" s="317"/>
    </row>
    <row r="5758" spans="1:54" s="319" customFormat="1" ht="15" hidden="1" customHeight="1" outlineLevel="2">
      <c r="A5758" s="2"/>
      <c r="B5758" s="2" t="s">
        <v>833</v>
      </c>
      <c r="C5758" s="2"/>
      <c r="D5758" s="112" t="s">
        <v>5804</v>
      </c>
      <c r="E5758" s="112"/>
      <c r="F5758" s="112"/>
      <c r="G5758" s="112"/>
      <c r="H5758" s="112"/>
      <c r="I5758" s="112"/>
      <c r="J5758" s="112"/>
      <c r="K5758" s="112">
        <v>100000</v>
      </c>
      <c r="L5758" s="112"/>
      <c r="M5758" s="112"/>
      <c r="N5758" s="112"/>
      <c r="O5758" s="112">
        <v>700000</v>
      </c>
      <c r="P5758" s="112"/>
      <c r="Q5758" s="112"/>
      <c r="R5758" s="112"/>
      <c r="S5758" s="112"/>
      <c r="T5758" s="112"/>
      <c r="U5758" s="112">
        <v>80.010000000000005</v>
      </c>
      <c r="V5758" s="112"/>
      <c r="W5758" s="112"/>
      <c r="X5758" s="112"/>
      <c r="Y5758" s="112" t="b">
        <v>1</v>
      </c>
      <c r="Z5758" s="112"/>
      <c r="AA5758" s="112"/>
      <c r="AB5758" s="112" t="s">
        <v>5707</v>
      </c>
      <c r="AC5758" s="112" t="s">
        <v>5731</v>
      </c>
      <c r="AD5758" s="112"/>
      <c r="AE5758" s="112"/>
      <c r="AF5758" s="112"/>
      <c r="AG5758" s="112"/>
      <c r="AH5758" s="112"/>
      <c r="AI5758" s="112"/>
      <c r="AJ5758" s="112"/>
      <c r="AK5758" s="112"/>
      <c r="AL5758" s="112"/>
      <c r="AM5758" s="112"/>
      <c r="AN5758" s="112">
        <v>0</v>
      </c>
      <c r="AO5758" s="112">
        <v>-0.15</v>
      </c>
      <c r="AP5758" s="112"/>
      <c r="AQ5758" s="112"/>
      <c r="AR5758" s="112"/>
      <c r="AS5758" s="112"/>
      <c r="AT5758" s="112"/>
      <c r="AU5758" s="112" t="s">
        <v>5782</v>
      </c>
      <c r="AV5758" s="112" t="s">
        <v>5783</v>
      </c>
      <c r="AZ5758" s="317"/>
      <c r="BA5758" s="317"/>
      <c r="BB5758" s="317"/>
    </row>
    <row r="5759" spans="1:54" s="319" customFormat="1" ht="15" hidden="1" customHeight="1" outlineLevel="2">
      <c r="A5759" s="2"/>
      <c r="B5759" s="2" t="s">
        <v>833</v>
      </c>
      <c r="C5759" s="2"/>
      <c r="D5759" s="114" t="s">
        <v>5805</v>
      </c>
      <c r="E5759" s="114"/>
      <c r="F5759" s="114"/>
      <c r="G5759" s="114"/>
      <c r="H5759" s="114"/>
      <c r="I5759" s="114"/>
      <c r="J5759" s="114"/>
      <c r="K5759" s="114"/>
      <c r="L5759" s="114"/>
      <c r="M5759" s="114"/>
      <c r="N5759" s="114"/>
      <c r="O5759" s="114">
        <v>0</v>
      </c>
      <c r="P5759" s="114">
        <v>149999.99</v>
      </c>
      <c r="Q5759" s="114"/>
      <c r="R5759" s="114"/>
      <c r="S5759" s="114"/>
      <c r="T5759" s="114"/>
      <c r="U5759" s="114"/>
      <c r="V5759" s="114">
        <v>80</v>
      </c>
      <c r="W5759" s="114"/>
      <c r="X5759" s="114"/>
      <c r="Y5759" s="114"/>
      <c r="Z5759" s="114"/>
      <c r="AA5759" s="114"/>
      <c r="AB5759" s="114" t="s">
        <v>5707</v>
      </c>
      <c r="AC5759" s="114" t="s">
        <v>5731</v>
      </c>
      <c r="AD5759" s="114"/>
      <c r="AE5759" s="114"/>
      <c r="AF5759" s="114"/>
      <c r="AG5759" s="114"/>
      <c r="AH5759" s="114"/>
      <c r="AI5759" s="114"/>
      <c r="AJ5759" s="114"/>
      <c r="AK5759" s="114"/>
      <c r="AL5759" s="114"/>
      <c r="AM5759" s="114"/>
      <c r="AN5759" s="114">
        <v>-0.2</v>
      </c>
      <c r="AO5759" s="114">
        <v>0</v>
      </c>
      <c r="AP5759" s="114"/>
      <c r="AQ5759" s="114"/>
      <c r="AR5759" s="114"/>
      <c r="AS5759" s="114"/>
      <c r="AT5759" s="114"/>
      <c r="AU5759" s="114" t="s">
        <v>5782</v>
      </c>
      <c r="AV5759" s="114" t="s">
        <v>5783</v>
      </c>
      <c r="AZ5759" s="317"/>
      <c r="BA5759" s="317"/>
      <c r="BB5759" s="317"/>
    </row>
    <row r="5760" spans="1:54" s="319" customFormat="1" ht="15" hidden="1" customHeight="1" outlineLevel="2">
      <c r="A5760" s="2"/>
      <c r="B5760" s="2" t="s">
        <v>833</v>
      </c>
      <c r="C5760" s="2"/>
      <c r="D5760" s="112" t="s">
        <v>5806</v>
      </c>
      <c r="E5760" s="112"/>
      <c r="F5760" s="112"/>
      <c r="G5760" s="112"/>
      <c r="H5760" s="112"/>
      <c r="I5760" s="112"/>
      <c r="J5760" s="112"/>
      <c r="K5760" s="112"/>
      <c r="L5760" s="112"/>
      <c r="M5760" s="112"/>
      <c r="N5760" s="112"/>
      <c r="O5760" s="112">
        <v>150000</v>
      </c>
      <c r="P5760" s="112"/>
      <c r="Q5760" s="112"/>
      <c r="R5760" s="112"/>
      <c r="S5760" s="112"/>
      <c r="T5760" s="112"/>
      <c r="U5760" s="112"/>
      <c r="V5760" s="112">
        <v>80</v>
      </c>
      <c r="W5760" s="112"/>
      <c r="X5760" s="112"/>
      <c r="Y5760" s="112"/>
      <c r="Z5760" s="112"/>
      <c r="AA5760" s="112"/>
      <c r="AB5760" s="112" t="s">
        <v>5707</v>
      </c>
      <c r="AC5760" s="112" t="s">
        <v>5731</v>
      </c>
      <c r="AD5760" s="112"/>
      <c r="AE5760" s="112"/>
      <c r="AF5760" s="112"/>
      <c r="AG5760" s="112"/>
      <c r="AH5760" s="112"/>
      <c r="AI5760" s="112"/>
      <c r="AJ5760" s="112"/>
      <c r="AK5760" s="112"/>
      <c r="AL5760" s="112"/>
      <c r="AM5760" s="112"/>
      <c r="AN5760" s="112">
        <v>-0.05</v>
      </c>
      <c r="AO5760" s="112">
        <v>0</v>
      </c>
      <c r="AP5760" s="112"/>
      <c r="AQ5760" s="112"/>
      <c r="AR5760" s="112"/>
      <c r="AS5760" s="112"/>
      <c r="AT5760" s="112"/>
      <c r="AU5760" s="112" t="s">
        <v>5782</v>
      </c>
      <c r="AV5760" s="112" t="s">
        <v>5783</v>
      </c>
      <c r="AZ5760" s="317"/>
      <c r="BA5760" s="317"/>
      <c r="BB5760" s="317"/>
    </row>
    <row r="5761" spans="1:41" s="317" customFormat="1" hidden="1" outlineLevel="2">
      <c r="A5761" s="2"/>
      <c r="B5761" s="2" t="s">
        <v>833</v>
      </c>
    </row>
    <row r="5762" spans="1:41" hidden="1" outlineLevel="1" collapsed="1">
      <c r="B5762" s="2" t="s">
        <v>833</v>
      </c>
      <c r="C5762" s="137" t="s">
        <v>5807</v>
      </c>
      <c r="D5762" s="298" t="s">
        <v>5808</v>
      </c>
      <c r="E5762" s="298" t="s">
        <v>5809</v>
      </c>
      <c r="F5762" s="298" t="s">
        <v>5810</v>
      </c>
      <c r="G5762" s="239" t="s">
        <v>5811</v>
      </c>
      <c r="H5762" s="239" t="s">
        <v>5812</v>
      </c>
      <c r="I5762" s="317"/>
      <c r="J5762" s="317"/>
      <c r="K5762" s="317"/>
      <c r="L5762" s="317"/>
      <c r="M5762" s="317"/>
      <c r="N5762" s="317"/>
      <c r="O5762" s="317"/>
      <c r="P5762" s="317"/>
      <c r="Q5762" s="317"/>
      <c r="R5762" s="317"/>
      <c r="S5762" s="317"/>
      <c r="T5762" s="317"/>
      <c r="U5762" s="317"/>
      <c r="V5762" s="317"/>
      <c r="W5762" s="317"/>
      <c r="X5762" s="317"/>
      <c r="Y5762" s="317"/>
      <c r="Z5762" s="317"/>
      <c r="AA5762" s="317"/>
      <c r="AB5762" s="317"/>
      <c r="AC5762" s="317"/>
      <c r="AD5762" s="317"/>
      <c r="AE5762" s="317"/>
      <c r="AF5762" s="317"/>
      <c r="AG5762" s="317"/>
      <c r="AH5762" s="317"/>
      <c r="AI5762" s="317"/>
      <c r="AJ5762" s="317"/>
      <c r="AK5762" s="317"/>
      <c r="AL5762" s="317"/>
      <c r="AM5762" s="317"/>
      <c r="AN5762" s="317"/>
      <c r="AO5762" s="317"/>
    </row>
    <row r="5763" spans="1:41" hidden="1" outlineLevel="2">
      <c r="B5763" s="2" t="s">
        <v>833</v>
      </c>
      <c r="D5763" s="138" t="s">
        <v>5813</v>
      </c>
      <c r="E5763" s="138" t="s">
        <v>5814</v>
      </c>
      <c r="F5763" s="138" t="s">
        <v>5815</v>
      </c>
      <c r="G5763" s="138" t="s">
        <v>5816</v>
      </c>
      <c r="H5763" s="138"/>
      <c r="I5763" s="317"/>
      <c r="J5763" s="317"/>
      <c r="K5763" s="317"/>
      <c r="L5763" s="317"/>
      <c r="M5763" s="317"/>
      <c r="N5763" s="317"/>
      <c r="O5763" s="317"/>
      <c r="P5763" s="317"/>
      <c r="Q5763" s="317"/>
      <c r="R5763" s="317"/>
      <c r="S5763" s="317"/>
      <c r="T5763" s="317"/>
      <c r="U5763" s="317"/>
      <c r="V5763" s="317"/>
      <c r="W5763" s="317"/>
      <c r="X5763" s="317"/>
      <c r="Y5763" s="317"/>
      <c r="Z5763" s="317"/>
      <c r="AA5763" s="317"/>
      <c r="AB5763" s="317"/>
      <c r="AC5763" s="317"/>
      <c r="AD5763" s="317"/>
      <c r="AE5763" s="317"/>
      <c r="AF5763" s="317"/>
      <c r="AG5763" s="317"/>
      <c r="AH5763" s="317"/>
      <c r="AI5763" s="317"/>
      <c r="AJ5763" s="317"/>
      <c r="AK5763" s="317"/>
      <c r="AL5763" s="317"/>
      <c r="AM5763" s="317"/>
      <c r="AN5763" s="317"/>
      <c r="AO5763" s="317"/>
    </row>
    <row r="5764" spans="1:41" hidden="1" outlineLevel="2">
      <c r="B5764" s="2" t="s">
        <v>833</v>
      </c>
      <c r="D5764" s="112" t="s">
        <v>5817</v>
      </c>
      <c r="E5764" s="112" t="s">
        <v>5818</v>
      </c>
      <c r="F5764" s="112" t="b">
        <v>1</v>
      </c>
      <c r="G5764" s="112" t="s">
        <v>5819</v>
      </c>
      <c r="H5764" s="112" t="s">
        <v>5820</v>
      </c>
      <c r="I5764" s="317"/>
      <c r="J5764" s="317"/>
      <c r="K5764" s="317"/>
      <c r="L5764" s="317"/>
      <c r="M5764" s="317"/>
      <c r="N5764" s="317"/>
      <c r="O5764" s="317"/>
      <c r="P5764" s="317"/>
      <c r="Q5764" s="317"/>
      <c r="R5764" s="317"/>
      <c r="S5764" s="317"/>
      <c r="T5764" s="317"/>
      <c r="U5764" s="317"/>
      <c r="V5764" s="317"/>
      <c r="W5764" s="317"/>
      <c r="X5764" s="317"/>
      <c r="Y5764" s="317"/>
      <c r="Z5764" s="317"/>
      <c r="AA5764" s="317"/>
      <c r="AB5764" s="317"/>
      <c r="AC5764" s="317"/>
      <c r="AD5764" s="317"/>
      <c r="AE5764" s="317"/>
      <c r="AF5764" s="317"/>
      <c r="AG5764" s="317"/>
      <c r="AH5764" s="317"/>
      <c r="AI5764" s="317"/>
      <c r="AJ5764" s="317"/>
      <c r="AK5764" s="317"/>
      <c r="AL5764" s="317"/>
      <c r="AM5764" s="317"/>
      <c r="AN5764" s="317"/>
      <c r="AO5764" s="317"/>
    </row>
    <row r="5765" spans="1:41" hidden="1" outlineLevel="2">
      <c r="B5765" s="2" t="s">
        <v>833</v>
      </c>
      <c r="D5765" s="114" t="s">
        <v>5817</v>
      </c>
      <c r="E5765" s="114" t="s">
        <v>5821</v>
      </c>
      <c r="F5765" s="114" t="b">
        <v>1</v>
      </c>
      <c r="G5765" s="114" t="s">
        <v>5822</v>
      </c>
      <c r="H5765" s="114" t="s">
        <v>5820</v>
      </c>
      <c r="I5765" s="317"/>
      <c r="J5765" s="317"/>
      <c r="K5765" s="317"/>
      <c r="L5765" s="317"/>
      <c r="M5765" s="317"/>
      <c r="N5765" s="317"/>
      <c r="O5765" s="317"/>
      <c r="P5765" s="317"/>
      <c r="Q5765" s="317"/>
      <c r="R5765" s="317"/>
      <c r="S5765" s="317"/>
      <c r="T5765" s="317"/>
      <c r="U5765" s="317"/>
      <c r="V5765" s="317"/>
      <c r="W5765" s="317"/>
      <c r="X5765" s="317"/>
      <c r="Y5765" s="317"/>
      <c r="Z5765" s="317"/>
      <c r="AA5765" s="317"/>
      <c r="AB5765" s="317"/>
      <c r="AC5765" s="317"/>
      <c r="AD5765" s="317"/>
      <c r="AE5765" s="317"/>
      <c r="AF5765" s="317"/>
      <c r="AG5765" s="317"/>
      <c r="AH5765" s="317"/>
      <c r="AI5765" s="317"/>
      <c r="AJ5765" s="317"/>
      <c r="AK5765" s="317"/>
      <c r="AL5765" s="317"/>
      <c r="AM5765" s="317"/>
      <c r="AN5765" s="317"/>
      <c r="AO5765" s="317"/>
    </row>
    <row r="5766" spans="1:41" hidden="1" outlineLevel="2">
      <c r="B5766" s="2" t="s">
        <v>833</v>
      </c>
      <c r="D5766" s="112" t="s">
        <v>5823</v>
      </c>
      <c r="E5766" s="112" t="s">
        <v>5818</v>
      </c>
      <c r="F5766" s="112" t="b">
        <v>1</v>
      </c>
      <c r="G5766" s="112" t="s">
        <v>5822</v>
      </c>
      <c r="H5766" s="112" t="s">
        <v>5820</v>
      </c>
      <c r="I5766" s="317"/>
      <c r="J5766" s="317"/>
      <c r="K5766" s="317"/>
      <c r="L5766" s="317"/>
      <c r="M5766" s="317"/>
      <c r="N5766" s="317"/>
      <c r="O5766" s="317"/>
      <c r="P5766" s="317"/>
      <c r="Q5766" s="317"/>
      <c r="R5766" s="317"/>
      <c r="S5766" s="317"/>
      <c r="T5766" s="317"/>
      <c r="U5766" s="317"/>
      <c r="V5766" s="317"/>
      <c r="W5766" s="317"/>
      <c r="X5766" s="317"/>
      <c r="Y5766" s="317"/>
      <c r="Z5766" s="317"/>
      <c r="AA5766" s="317"/>
      <c r="AB5766" s="317"/>
      <c r="AC5766" s="317"/>
      <c r="AD5766" s="317"/>
      <c r="AE5766" s="317"/>
      <c r="AF5766" s="317"/>
      <c r="AG5766" s="317"/>
      <c r="AH5766" s="317"/>
      <c r="AI5766" s="317"/>
      <c r="AJ5766" s="317"/>
      <c r="AK5766" s="317"/>
      <c r="AL5766" s="317"/>
      <c r="AM5766" s="317"/>
      <c r="AN5766" s="317"/>
      <c r="AO5766" s="317"/>
    </row>
    <row r="5767" spans="1:41" hidden="1" outlineLevel="2">
      <c r="B5767" s="2" t="s">
        <v>833</v>
      </c>
      <c r="D5767" s="114" t="s">
        <v>5823</v>
      </c>
      <c r="E5767" s="114" t="s">
        <v>5818</v>
      </c>
      <c r="F5767" s="114" t="b">
        <v>0</v>
      </c>
      <c r="G5767" s="114" t="s">
        <v>5819</v>
      </c>
      <c r="H5767" s="114" t="s">
        <v>5820</v>
      </c>
      <c r="I5767" s="317"/>
      <c r="J5767" s="317"/>
      <c r="K5767" s="317"/>
      <c r="L5767" s="317"/>
      <c r="M5767" s="317"/>
      <c r="N5767" s="317"/>
      <c r="O5767" s="317"/>
      <c r="P5767" s="317"/>
      <c r="Q5767" s="317"/>
      <c r="R5767" s="317"/>
      <c r="S5767" s="317"/>
      <c r="T5767" s="317"/>
      <c r="U5767" s="317"/>
      <c r="V5767" s="317"/>
      <c r="W5767" s="317"/>
      <c r="X5767" s="317"/>
      <c r="Y5767" s="317"/>
      <c r="Z5767" s="317"/>
      <c r="AA5767" s="317"/>
      <c r="AB5767" s="317"/>
      <c r="AC5767" s="317"/>
      <c r="AD5767" s="317"/>
      <c r="AE5767" s="317"/>
      <c r="AF5767" s="317"/>
      <c r="AG5767" s="317"/>
      <c r="AH5767" s="317"/>
      <c r="AI5767" s="317"/>
      <c r="AJ5767" s="317"/>
      <c r="AK5767" s="317"/>
      <c r="AL5767" s="317"/>
      <c r="AM5767" s="317"/>
      <c r="AN5767" s="317"/>
      <c r="AO5767" s="317"/>
    </row>
    <row r="5768" spans="1:41" hidden="1" outlineLevel="2">
      <c r="B5768" s="2" t="s">
        <v>833</v>
      </c>
      <c r="D5768" s="112" t="s">
        <v>5823</v>
      </c>
      <c r="E5768" s="112" t="s">
        <v>5821</v>
      </c>
      <c r="F5768" s="112" t="b">
        <v>1</v>
      </c>
      <c r="G5768" s="112" t="s">
        <v>5824</v>
      </c>
      <c r="H5768" s="112" t="s">
        <v>5820</v>
      </c>
      <c r="I5768" s="317"/>
      <c r="J5768" s="317"/>
      <c r="K5768" s="317"/>
      <c r="L5768" s="317"/>
      <c r="M5768" s="317"/>
      <c r="N5768" s="317"/>
      <c r="O5768" s="317"/>
      <c r="P5768" s="317"/>
      <c r="Q5768" s="317"/>
      <c r="R5768" s="317"/>
      <c r="S5768" s="317"/>
      <c r="T5768" s="317"/>
      <c r="U5768" s="317"/>
      <c r="V5768" s="317"/>
      <c r="W5768" s="317"/>
      <c r="X5768" s="317"/>
      <c r="Y5768" s="317"/>
      <c r="Z5768" s="317"/>
      <c r="AA5768" s="317"/>
      <c r="AB5768" s="317"/>
      <c r="AC5768" s="317"/>
      <c r="AD5768" s="317"/>
      <c r="AE5768" s="317"/>
      <c r="AF5768" s="317"/>
      <c r="AG5768" s="317"/>
      <c r="AH5768" s="317"/>
      <c r="AI5768" s="317"/>
      <c r="AJ5768" s="317"/>
      <c r="AK5768" s="317"/>
      <c r="AL5768" s="317"/>
      <c r="AM5768" s="317"/>
      <c r="AN5768" s="317"/>
      <c r="AO5768" s="317"/>
    </row>
    <row r="5769" spans="1:41" hidden="1" outlineLevel="2">
      <c r="B5769" s="2" t="s">
        <v>833</v>
      </c>
      <c r="D5769" s="114" t="s">
        <v>5823</v>
      </c>
      <c r="E5769" s="114" t="s">
        <v>5821</v>
      </c>
      <c r="F5769" s="114" t="b">
        <v>0</v>
      </c>
      <c r="G5769" s="114" t="s">
        <v>5825</v>
      </c>
      <c r="H5769" s="114" t="s">
        <v>5820</v>
      </c>
      <c r="I5769" s="317"/>
      <c r="J5769" s="317"/>
      <c r="K5769" s="317"/>
      <c r="L5769" s="317"/>
      <c r="M5769" s="317"/>
      <c r="N5769" s="317"/>
      <c r="O5769" s="317"/>
      <c r="P5769" s="317"/>
      <c r="Q5769" s="317"/>
      <c r="R5769" s="317"/>
      <c r="S5769" s="317"/>
      <c r="T5769" s="317"/>
      <c r="U5769" s="317"/>
      <c r="V5769" s="317"/>
      <c r="W5769" s="317"/>
      <c r="X5769" s="317"/>
      <c r="Y5769" s="317"/>
      <c r="Z5769" s="317"/>
      <c r="AA5769" s="317"/>
      <c r="AB5769" s="317"/>
      <c r="AC5769" s="317"/>
      <c r="AD5769" s="317"/>
      <c r="AE5769" s="317"/>
      <c r="AF5769" s="317"/>
      <c r="AG5769" s="317"/>
      <c r="AH5769" s="317"/>
      <c r="AI5769" s="317"/>
      <c r="AJ5769" s="317"/>
      <c r="AK5769" s="317"/>
      <c r="AL5769" s="317"/>
      <c r="AM5769" s="317"/>
      <c r="AN5769" s="317"/>
      <c r="AO5769" s="317"/>
    </row>
    <row r="5770" spans="1:41" hidden="1" outlineLevel="2">
      <c r="B5770" s="2" t="s">
        <v>833</v>
      </c>
      <c r="D5770" s="112" t="s">
        <v>5826</v>
      </c>
      <c r="E5770" s="112" t="s">
        <v>5818</v>
      </c>
      <c r="F5770" s="112" t="b">
        <v>1</v>
      </c>
      <c r="G5770" s="112" t="s">
        <v>5819</v>
      </c>
      <c r="H5770" s="112" t="s">
        <v>5820</v>
      </c>
      <c r="I5770" s="317"/>
      <c r="J5770" s="317"/>
      <c r="K5770" s="317"/>
      <c r="L5770" s="317"/>
      <c r="M5770" s="317"/>
      <c r="N5770" s="317"/>
      <c r="O5770" s="317"/>
      <c r="P5770" s="317"/>
      <c r="Q5770" s="317"/>
      <c r="R5770" s="317"/>
      <c r="S5770" s="317"/>
      <c r="T5770" s="317"/>
      <c r="U5770" s="317"/>
      <c r="V5770" s="317"/>
      <c r="W5770" s="317"/>
      <c r="X5770" s="317"/>
      <c r="Y5770" s="317"/>
      <c r="Z5770" s="317"/>
      <c r="AA5770" s="317"/>
      <c r="AB5770" s="317"/>
      <c r="AC5770" s="317"/>
      <c r="AD5770" s="317"/>
      <c r="AE5770" s="317"/>
      <c r="AF5770" s="317"/>
      <c r="AG5770" s="317"/>
      <c r="AH5770" s="317"/>
      <c r="AI5770" s="317"/>
      <c r="AJ5770" s="317"/>
      <c r="AK5770" s="317"/>
      <c r="AL5770" s="317"/>
      <c r="AM5770" s="317"/>
      <c r="AN5770" s="317"/>
      <c r="AO5770" s="317"/>
    </row>
    <row r="5771" spans="1:41" hidden="1" outlineLevel="2">
      <c r="B5771" s="2" t="s">
        <v>833</v>
      </c>
      <c r="D5771" s="114" t="s">
        <v>5827</v>
      </c>
      <c r="E5771" s="114" t="s">
        <v>5818</v>
      </c>
      <c r="F5771" s="114" t="b">
        <v>1</v>
      </c>
      <c r="G5771" s="114" t="s">
        <v>5819</v>
      </c>
      <c r="H5771" s="114" t="s">
        <v>5820</v>
      </c>
      <c r="I5771" s="317"/>
      <c r="J5771" s="317"/>
      <c r="K5771" s="317"/>
      <c r="L5771" s="317"/>
      <c r="M5771" s="317"/>
      <c r="N5771" s="317"/>
      <c r="O5771" s="317"/>
      <c r="P5771" s="317"/>
      <c r="Q5771" s="317"/>
      <c r="R5771" s="317"/>
      <c r="S5771" s="317"/>
      <c r="T5771" s="317"/>
      <c r="U5771" s="317"/>
      <c r="V5771" s="317"/>
      <c r="W5771" s="317"/>
      <c r="X5771" s="317"/>
      <c r="Y5771" s="317"/>
      <c r="Z5771" s="317"/>
      <c r="AA5771" s="317"/>
      <c r="AB5771" s="317"/>
      <c r="AC5771" s="317"/>
      <c r="AD5771" s="317"/>
      <c r="AE5771" s="317"/>
      <c r="AF5771" s="317"/>
      <c r="AG5771" s="317"/>
      <c r="AH5771" s="317"/>
      <c r="AI5771" s="317"/>
      <c r="AJ5771" s="317"/>
      <c r="AK5771" s="317"/>
      <c r="AL5771" s="317"/>
      <c r="AM5771" s="317"/>
      <c r="AN5771" s="317"/>
      <c r="AO5771" s="317"/>
    </row>
    <row r="5772" spans="1:41" s="317" customFormat="1" hidden="1" outlineLevel="2">
      <c r="A5772" s="2"/>
      <c r="B5772" s="2" t="s">
        <v>833</v>
      </c>
      <c r="D5772" s="112" t="s">
        <v>5827</v>
      </c>
      <c r="E5772" s="112" t="s">
        <v>5821</v>
      </c>
      <c r="F5772" s="112" t="b">
        <v>1</v>
      </c>
      <c r="G5772" s="112" t="s">
        <v>5819</v>
      </c>
      <c r="H5772" s="112" t="s">
        <v>5820</v>
      </c>
    </row>
    <row r="5773" spans="1:41" s="317" customFormat="1" hidden="1" outlineLevel="2">
      <c r="A5773" s="2"/>
      <c r="B5773" s="2" t="s">
        <v>833</v>
      </c>
      <c r="D5773" s="114" t="s">
        <v>5828</v>
      </c>
      <c r="E5773" s="114" t="s">
        <v>5818</v>
      </c>
      <c r="F5773" s="114" t="b">
        <v>1</v>
      </c>
      <c r="G5773" s="114" t="s">
        <v>5819</v>
      </c>
      <c r="H5773" s="114" t="s">
        <v>5820</v>
      </c>
    </row>
    <row r="5774" spans="1:41" s="317" customFormat="1" hidden="1" outlineLevel="2">
      <c r="A5774" s="2"/>
      <c r="B5774" s="2" t="s">
        <v>833</v>
      </c>
      <c r="D5774" s="112" t="s">
        <v>5829</v>
      </c>
      <c r="E5774" s="112" t="s">
        <v>5818</v>
      </c>
      <c r="F5774" s="112" t="b">
        <v>1</v>
      </c>
      <c r="G5774" s="112" t="s">
        <v>5819</v>
      </c>
      <c r="H5774" s="276" t="s">
        <v>5820</v>
      </c>
      <c r="J5774" s="2"/>
    </row>
    <row r="5775" spans="1:41" s="317" customFormat="1" hidden="1" outlineLevel="2">
      <c r="A5775" s="2"/>
      <c r="B5775" s="2" t="s">
        <v>833</v>
      </c>
    </row>
    <row r="5776" spans="1:41" hidden="1" outlineLevel="1" collapsed="1">
      <c r="B5776" s="2" t="s">
        <v>833</v>
      </c>
      <c r="C5776" s="137" t="s">
        <v>5830</v>
      </c>
      <c r="D5776" s="298" t="s">
        <v>5831</v>
      </c>
      <c r="E5776" s="298" t="s">
        <v>5832</v>
      </c>
      <c r="F5776" s="298" t="s">
        <v>5833</v>
      </c>
      <c r="G5776" s="298" t="s">
        <v>5834</v>
      </c>
      <c r="H5776" s="298" t="s">
        <v>5835</v>
      </c>
      <c r="I5776" s="239" t="s">
        <v>5662</v>
      </c>
      <c r="J5776" s="239" t="s">
        <v>5812</v>
      </c>
      <c r="K5776" s="317"/>
      <c r="L5776" s="317"/>
      <c r="M5776" s="317"/>
      <c r="N5776" s="317"/>
      <c r="O5776" s="317"/>
      <c r="P5776" s="317"/>
      <c r="Q5776" s="317"/>
      <c r="R5776" s="317"/>
      <c r="S5776" s="317"/>
      <c r="T5776" s="317"/>
      <c r="U5776" s="317"/>
      <c r="V5776" s="317"/>
      <c r="W5776" s="317"/>
      <c r="X5776" s="317"/>
      <c r="Y5776" s="317"/>
      <c r="Z5776" s="317"/>
      <c r="AA5776" s="317"/>
      <c r="AB5776" s="317"/>
      <c r="AC5776" s="317"/>
      <c r="AD5776" s="317"/>
      <c r="AE5776" s="317"/>
      <c r="AF5776" s="317"/>
      <c r="AG5776" s="317"/>
      <c r="AH5776" s="317"/>
      <c r="AI5776" s="317"/>
      <c r="AJ5776" s="317"/>
      <c r="AK5776" s="317"/>
      <c r="AL5776" s="317"/>
      <c r="AM5776" s="317"/>
      <c r="AN5776" s="317"/>
      <c r="AO5776" s="317"/>
    </row>
    <row r="5777" spans="1:41" hidden="1" outlineLevel="2">
      <c r="B5777" s="2" t="s">
        <v>833</v>
      </c>
      <c r="D5777" s="138" t="s">
        <v>5836</v>
      </c>
      <c r="E5777" s="138" t="s">
        <v>5837</v>
      </c>
      <c r="F5777" s="138" t="s">
        <v>5838</v>
      </c>
      <c r="G5777" s="138" t="s">
        <v>5839</v>
      </c>
      <c r="H5777" s="138" t="s">
        <v>5840</v>
      </c>
      <c r="I5777" s="138" t="s">
        <v>5841</v>
      </c>
      <c r="J5777" s="138"/>
      <c r="K5777" s="317"/>
      <c r="L5777" s="317"/>
      <c r="M5777" s="317"/>
      <c r="N5777" s="317"/>
      <c r="O5777" s="317"/>
      <c r="P5777" s="317"/>
      <c r="Q5777" s="317"/>
      <c r="R5777" s="317"/>
      <c r="S5777" s="317"/>
      <c r="T5777" s="317"/>
      <c r="U5777" s="317"/>
      <c r="V5777" s="317"/>
      <c r="W5777" s="317"/>
      <c r="X5777" s="317"/>
      <c r="Y5777" s="317"/>
      <c r="Z5777" s="317"/>
      <c r="AA5777" s="317"/>
      <c r="AB5777" s="317"/>
      <c r="AC5777" s="317"/>
      <c r="AD5777" s="317"/>
      <c r="AE5777" s="317"/>
      <c r="AF5777" s="317"/>
      <c r="AG5777" s="317"/>
      <c r="AH5777" s="317"/>
      <c r="AI5777" s="317"/>
      <c r="AJ5777" s="317"/>
      <c r="AK5777" s="317"/>
      <c r="AL5777" s="317"/>
      <c r="AM5777" s="317"/>
      <c r="AN5777" s="317"/>
      <c r="AO5777" s="317"/>
    </row>
    <row r="5778" spans="1:41" hidden="1" outlineLevel="2">
      <c r="B5778" s="2" t="s">
        <v>833</v>
      </c>
      <c r="D5778" s="112" t="b">
        <v>1</v>
      </c>
      <c r="E5778" s="112"/>
      <c r="F5778" s="112"/>
      <c r="G5778" s="112" t="b">
        <v>1</v>
      </c>
      <c r="H5778" s="112"/>
      <c r="I5778" s="112" t="b">
        <v>1</v>
      </c>
      <c r="J5778" s="112" t="s">
        <v>5842</v>
      </c>
      <c r="K5778" s="317"/>
      <c r="L5778" s="317"/>
      <c r="M5778" s="317"/>
      <c r="N5778" s="317"/>
      <c r="O5778" s="317"/>
      <c r="P5778" s="317"/>
      <c r="Q5778" s="317"/>
      <c r="R5778" s="317"/>
      <c r="S5778" s="317"/>
      <c r="T5778" s="317"/>
      <c r="U5778" s="317"/>
      <c r="V5778" s="317"/>
      <c r="W5778" s="317"/>
      <c r="X5778" s="317"/>
      <c r="Y5778" s="317"/>
      <c r="Z5778" s="317"/>
      <c r="AA5778" s="317"/>
      <c r="AB5778" s="317"/>
      <c r="AC5778" s="317"/>
      <c r="AD5778" s="317"/>
      <c r="AE5778" s="317"/>
      <c r="AF5778" s="317"/>
      <c r="AG5778" s="317"/>
      <c r="AH5778" s="317"/>
      <c r="AI5778" s="317"/>
      <c r="AJ5778" s="317"/>
      <c r="AK5778" s="317"/>
      <c r="AL5778" s="317"/>
      <c r="AM5778" s="317"/>
      <c r="AN5778" s="317"/>
      <c r="AO5778" s="317"/>
    </row>
    <row r="5779" spans="1:41" hidden="1" outlineLevel="2">
      <c r="B5779" s="2" t="s">
        <v>833</v>
      </c>
      <c r="D5779" s="114" t="b">
        <v>1</v>
      </c>
      <c r="E5779" s="114"/>
      <c r="F5779" s="114"/>
      <c r="G5779" s="114"/>
      <c r="H5779" s="114" t="b">
        <v>1</v>
      </c>
      <c r="I5779" s="114" t="b">
        <v>1</v>
      </c>
      <c r="J5779" s="114" t="s">
        <v>5842</v>
      </c>
      <c r="K5779" s="317"/>
      <c r="L5779" s="317"/>
      <c r="M5779" s="317"/>
      <c r="N5779" s="317"/>
      <c r="O5779" s="317"/>
      <c r="P5779" s="317"/>
      <c r="Q5779" s="317"/>
      <c r="R5779" s="317"/>
      <c r="S5779" s="317"/>
      <c r="T5779" s="317"/>
      <c r="U5779" s="317"/>
      <c r="V5779" s="317"/>
      <c r="W5779" s="317"/>
      <c r="X5779" s="317"/>
      <c r="Y5779" s="317"/>
      <c r="Z5779" s="317"/>
      <c r="AA5779" s="317"/>
      <c r="AB5779" s="317"/>
      <c r="AC5779" s="317"/>
      <c r="AD5779" s="317"/>
      <c r="AE5779" s="317"/>
      <c r="AF5779" s="317"/>
      <c r="AG5779" s="317"/>
      <c r="AH5779" s="317"/>
      <c r="AI5779" s="317"/>
      <c r="AJ5779" s="317"/>
      <c r="AK5779" s="317"/>
      <c r="AL5779" s="317"/>
      <c r="AM5779" s="317"/>
      <c r="AN5779" s="317"/>
      <c r="AO5779" s="317"/>
    </row>
    <row r="5780" spans="1:41" hidden="1" outlineLevel="2">
      <c r="B5780" s="2" t="s">
        <v>833</v>
      </c>
      <c r="D5780" s="112" t="b">
        <v>1</v>
      </c>
      <c r="E5780" s="112"/>
      <c r="F5780" s="112"/>
      <c r="G5780" s="112" t="b">
        <v>0</v>
      </c>
      <c r="H5780" s="112"/>
      <c r="I5780" s="112" t="b">
        <v>0</v>
      </c>
      <c r="J5780" s="112" t="s">
        <v>5842</v>
      </c>
      <c r="K5780" s="317"/>
      <c r="L5780" s="317"/>
      <c r="M5780" s="317"/>
      <c r="N5780" s="317"/>
      <c r="O5780" s="317"/>
      <c r="P5780" s="317"/>
      <c r="Q5780" s="317"/>
      <c r="R5780" s="317"/>
      <c r="S5780" s="317"/>
      <c r="T5780" s="317"/>
      <c r="U5780" s="317"/>
      <c r="V5780" s="317"/>
      <c r="W5780" s="317"/>
      <c r="X5780" s="317"/>
      <c r="Y5780" s="317"/>
      <c r="Z5780" s="317"/>
      <c r="AA5780" s="317"/>
      <c r="AB5780" s="317"/>
      <c r="AC5780" s="317"/>
      <c r="AD5780" s="317"/>
      <c r="AE5780" s="317"/>
      <c r="AF5780" s="317"/>
      <c r="AG5780" s="317"/>
      <c r="AH5780" s="317"/>
      <c r="AI5780" s="317"/>
      <c r="AJ5780" s="317"/>
      <c r="AK5780" s="317"/>
      <c r="AL5780" s="317"/>
      <c r="AM5780" s="317"/>
      <c r="AN5780" s="317"/>
      <c r="AO5780" s="317"/>
    </row>
    <row r="5781" spans="1:41" hidden="1" outlineLevel="2">
      <c r="B5781" s="2" t="s">
        <v>833</v>
      </c>
      <c r="D5781" s="114"/>
      <c r="E5781" s="114" t="b">
        <v>1</v>
      </c>
      <c r="F5781" s="114"/>
      <c r="G5781" s="114" t="b">
        <v>1</v>
      </c>
      <c r="H5781" s="114"/>
      <c r="I5781" s="114" t="b">
        <v>0</v>
      </c>
      <c r="J5781" s="114" t="s">
        <v>5842</v>
      </c>
      <c r="K5781" s="317"/>
      <c r="L5781" s="317"/>
      <c r="M5781" s="317"/>
      <c r="N5781" s="317"/>
      <c r="O5781" s="317"/>
      <c r="P5781" s="317"/>
      <c r="Q5781" s="317"/>
      <c r="R5781" s="317"/>
      <c r="S5781" s="317"/>
      <c r="T5781" s="317"/>
      <c r="U5781" s="317"/>
      <c r="V5781" s="317"/>
      <c r="W5781" s="317"/>
      <c r="X5781" s="317"/>
      <c r="Y5781" s="317"/>
      <c r="Z5781" s="317"/>
      <c r="AA5781" s="317"/>
      <c r="AB5781" s="317"/>
      <c r="AC5781" s="317"/>
      <c r="AD5781" s="317"/>
      <c r="AE5781" s="317"/>
      <c r="AF5781" s="317"/>
      <c r="AG5781" s="317"/>
      <c r="AH5781" s="317"/>
      <c r="AI5781" s="317"/>
      <c r="AJ5781" s="317"/>
      <c r="AK5781" s="317"/>
      <c r="AL5781" s="317"/>
      <c r="AM5781" s="317"/>
      <c r="AN5781" s="317"/>
      <c r="AO5781" s="317"/>
    </row>
    <row r="5782" spans="1:41" hidden="1" outlineLevel="2">
      <c r="B5782" s="2" t="s">
        <v>833</v>
      </c>
      <c r="D5782" s="112"/>
      <c r="E5782" s="112" t="b">
        <v>1</v>
      </c>
      <c r="F5782" s="112"/>
      <c r="G5782" s="112"/>
      <c r="H5782" s="112" t="b">
        <v>1</v>
      </c>
      <c r="I5782" s="112" t="b">
        <v>0</v>
      </c>
      <c r="J5782" s="112" t="s">
        <v>5842</v>
      </c>
      <c r="K5782" s="317"/>
      <c r="L5782" s="317"/>
      <c r="M5782" s="317"/>
      <c r="N5782" s="317"/>
      <c r="O5782" s="317"/>
      <c r="P5782" s="317"/>
      <c r="Q5782" s="317"/>
      <c r="R5782" s="317"/>
      <c r="S5782" s="317"/>
      <c r="T5782" s="317"/>
      <c r="U5782" s="317"/>
      <c r="V5782" s="317"/>
      <c r="W5782" s="317"/>
      <c r="X5782" s="317"/>
      <c r="Y5782" s="317"/>
      <c r="Z5782" s="317"/>
      <c r="AA5782" s="317"/>
      <c r="AB5782" s="317"/>
      <c r="AC5782" s="317"/>
      <c r="AD5782" s="317"/>
      <c r="AE5782" s="317"/>
      <c r="AF5782" s="317"/>
      <c r="AG5782" s="317"/>
      <c r="AH5782" s="317"/>
      <c r="AI5782" s="317"/>
      <c r="AJ5782" s="317"/>
      <c r="AK5782" s="317"/>
      <c r="AL5782" s="317"/>
      <c r="AM5782" s="317"/>
      <c r="AN5782" s="317"/>
      <c r="AO5782" s="317"/>
    </row>
    <row r="5783" spans="1:41" hidden="1" outlineLevel="2">
      <c r="B5783" s="2" t="s">
        <v>833</v>
      </c>
      <c r="D5783" s="114"/>
      <c r="E5783" s="114" t="b">
        <v>1</v>
      </c>
      <c r="F5783" s="114"/>
      <c r="G5783" s="114" t="b">
        <v>0</v>
      </c>
      <c r="H5783" s="114"/>
      <c r="I5783" s="114" t="b">
        <v>0</v>
      </c>
      <c r="J5783" s="114" t="s">
        <v>5842</v>
      </c>
      <c r="K5783" s="317"/>
      <c r="L5783" s="317"/>
      <c r="M5783" s="317"/>
      <c r="N5783" s="317"/>
      <c r="O5783" s="317"/>
      <c r="P5783" s="317"/>
      <c r="Q5783" s="317"/>
      <c r="R5783" s="317"/>
      <c r="S5783" s="317"/>
      <c r="T5783" s="317"/>
      <c r="U5783" s="317"/>
      <c r="V5783" s="317"/>
      <c r="W5783" s="317"/>
      <c r="X5783" s="317"/>
      <c r="Y5783" s="317"/>
      <c r="Z5783" s="317"/>
      <c r="AA5783" s="317"/>
      <c r="AB5783" s="317"/>
      <c r="AC5783" s="317"/>
      <c r="AD5783" s="317"/>
      <c r="AE5783" s="317"/>
      <c r="AF5783" s="317"/>
      <c r="AG5783" s="317"/>
      <c r="AH5783" s="317"/>
      <c r="AI5783" s="317"/>
      <c r="AJ5783" s="317"/>
      <c r="AK5783" s="317"/>
      <c r="AL5783" s="317"/>
      <c r="AM5783" s="317"/>
      <c r="AN5783" s="317"/>
      <c r="AO5783" s="317"/>
    </row>
    <row r="5784" spans="1:41" hidden="1" outlineLevel="2">
      <c r="B5784" s="2" t="s">
        <v>833</v>
      </c>
      <c r="D5784" s="112"/>
      <c r="E5784" s="112"/>
      <c r="F5784" s="112" t="b">
        <v>1</v>
      </c>
      <c r="G5784" s="112" t="b">
        <v>1</v>
      </c>
      <c r="H5784" s="112"/>
      <c r="I5784" s="112" t="b">
        <v>1</v>
      </c>
      <c r="J5784" s="112" t="s">
        <v>5842</v>
      </c>
      <c r="K5784" s="317"/>
      <c r="L5784" s="317"/>
      <c r="M5784" s="317"/>
      <c r="N5784" s="317"/>
      <c r="O5784" s="317"/>
      <c r="P5784" s="317"/>
      <c r="Q5784" s="317"/>
      <c r="R5784" s="317"/>
      <c r="S5784" s="317"/>
      <c r="T5784" s="317"/>
      <c r="U5784" s="317"/>
      <c r="V5784" s="317"/>
      <c r="W5784" s="317"/>
      <c r="X5784" s="317"/>
      <c r="Y5784" s="317"/>
      <c r="Z5784" s="317"/>
      <c r="AA5784" s="317"/>
      <c r="AB5784" s="317"/>
      <c r="AC5784" s="317"/>
      <c r="AD5784" s="317"/>
      <c r="AE5784" s="317"/>
      <c r="AF5784" s="317"/>
      <c r="AG5784" s="317"/>
      <c r="AH5784" s="317"/>
      <c r="AI5784" s="317"/>
      <c r="AJ5784" s="317"/>
      <c r="AK5784" s="317"/>
      <c r="AL5784" s="317"/>
      <c r="AM5784" s="317"/>
      <c r="AN5784" s="317"/>
      <c r="AO5784" s="317"/>
    </row>
    <row r="5785" spans="1:41" hidden="1" outlineLevel="2">
      <c r="B5785" s="2" t="s">
        <v>833</v>
      </c>
      <c r="D5785" s="114"/>
      <c r="E5785" s="114"/>
      <c r="F5785" s="114" t="b">
        <v>1</v>
      </c>
      <c r="G5785" s="114"/>
      <c r="H5785" s="114" t="b">
        <v>1</v>
      </c>
      <c r="I5785" s="114" t="b">
        <v>1</v>
      </c>
      <c r="J5785" s="114" t="s">
        <v>5842</v>
      </c>
      <c r="K5785" s="317"/>
      <c r="L5785" s="317"/>
      <c r="M5785" s="317"/>
      <c r="N5785" s="317"/>
      <c r="O5785" s="317"/>
      <c r="P5785" s="317"/>
      <c r="Q5785" s="317"/>
      <c r="R5785" s="317"/>
      <c r="S5785" s="317"/>
      <c r="T5785" s="317"/>
      <c r="U5785" s="317"/>
      <c r="V5785" s="317"/>
      <c r="W5785" s="317"/>
      <c r="X5785" s="317"/>
      <c r="Y5785" s="317"/>
      <c r="Z5785" s="317"/>
      <c r="AA5785" s="317"/>
      <c r="AB5785" s="317"/>
      <c r="AC5785" s="317"/>
      <c r="AD5785" s="317"/>
      <c r="AE5785" s="317"/>
      <c r="AF5785" s="317"/>
      <c r="AG5785" s="317"/>
      <c r="AH5785" s="317"/>
      <c r="AI5785" s="317"/>
      <c r="AJ5785" s="317"/>
      <c r="AK5785" s="317"/>
      <c r="AL5785" s="317"/>
      <c r="AM5785" s="317"/>
      <c r="AN5785" s="317"/>
      <c r="AO5785" s="317"/>
    </row>
    <row r="5786" spans="1:41" s="317" customFormat="1" hidden="1" outlineLevel="2">
      <c r="A5786" s="2"/>
      <c r="B5786" s="2" t="s">
        <v>833</v>
      </c>
      <c r="D5786" s="112"/>
      <c r="E5786" s="112"/>
      <c r="F5786" s="112" t="b">
        <v>1</v>
      </c>
      <c r="G5786" s="112" t="b">
        <v>0</v>
      </c>
      <c r="H5786" s="112"/>
      <c r="I5786" s="112" t="b">
        <v>0</v>
      </c>
      <c r="J5786" s="112" t="s">
        <v>5842</v>
      </c>
    </row>
    <row r="5787" spans="1:41" s="317" customFormat="1" hidden="1" outlineLevel="2">
      <c r="A5787" s="2"/>
      <c r="B5787" s="2" t="s">
        <v>833</v>
      </c>
      <c r="D5787" s="114"/>
      <c r="E5787" s="114"/>
      <c r="F5787" s="114" t="b">
        <v>1</v>
      </c>
      <c r="G5787" s="114" t="b">
        <v>1</v>
      </c>
      <c r="H5787" s="114"/>
      <c r="I5787" s="114" t="b">
        <v>1</v>
      </c>
      <c r="J5787" s="114" t="s">
        <v>5842</v>
      </c>
    </row>
    <row r="5788" spans="1:41" s="317" customFormat="1" hidden="1" outlineLevel="2">
      <c r="A5788" s="2"/>
      <c r="B5788" s="2" t="s">
        <v>833</v>
      </c>
    </row>
    <row r="5789" spans="1:41" hidden="1" outlineLevel="1" collapsed="1">
      <c r="B5789" s="2" t="s">
        <v>833</v>
      </c>
      <c r="C5789" s="137" t="s">
        <v>5843</v>
      </c>
      <c r="D5789" s="298" t="s">
        <v>5844</v>
      </c>
      <c r="E5789" s="298" t="s">
        <v>5845</v>
      </c>
      <c r="F5789" s="298" t="s">
        <v>5846</v>
      </c>
      <c r="G5789" s="298" t="s">
        <v>5847</v>
      </c>
      <c r="H5789" s="298" t="s">
        <v>5848</v>
      </c>
      <c r="I5789" s="239" t="s">
        <v>5849</v>
      </c>
      <c r="J5789" s="239" t="s">
        <v>5850</v>
      </c>
      <c r="K5789" s="239" t="s">
        <v>5812</v>
      </c>
      <c r="L5789" s="317"/>
      <c r="M5789" s="317"/>
      <c r="N5789" s="317"/>
      <c r="O5789" s="317"/>
      <c r="P5789" s="317"/>
      <c r="Q5789" s="317"/>
      <c r="R5789" s="317"/>
      <c r="S5789" s="317"/>
      <c r="T5789" s="317"/>
      <c r="U5789" s="317"/>
      <c r="V5789" s="317"/>
      <c r="W5789" s="317"/>
      <c r="X5789" s="317"/>
      <c r="Y5789" s="317"/>
      <c r="Z5789" s="317"/>
      <c r="AA5789" s="317"/>
      <c r="AB5789" s="317"/>
      <c r="AC5789" s="317"/>
      <c r="AD5789" s="317"/>
      <c r="AE5789" s="317"/>
      <c r="AF5789" s="317"/>
      <c r="AG5789" s="317"/>
      <c r="AH5789" s="317"/>
      <c r="AI5789" s="317"/>
      <c r="AJ5789" s="317"/>
      <c r="AK5789" s="317"/>
      <c r="AL5789" s="317"/>
      <c r="AM5789" s="317"/>
      <c r="AN5789" s="317"/>
      <c r="AO5789" s="317"/>
    </row>
    <row r="5790" spans="1:41" hidden="1" outlineLevel="2">
      <c r="B5790" s="2" t="s">
        <v>833</v>
      </c>
      <c r="D5790" s="138" t="s">
        <v>5851</v>
      </c>
      <c r="E5790" s="138" t="s">
        <v>5852</v>
      </c>
      <c r="F5790" s="138" t="s">
        <v>5853</v>
      </c>
      <c r="G5790" s="138" t="s">
        <v>5854</v>
      </c>
      <c r="H5790" s="138" t="s">
        <v>5855</v>
      </c>
      <c r="I5790" s="138" t="s">
        <v>5841</v>
      </c>
      <c r="J5790" s="138" t="s">
        <v>5841</v>
      </c>
      <c r="K5790" s="138"/>
      <c r="L5790" s="317"/>
      <c r="M5790" s="317"/>
      <c r="N5790" s="317"/>
      <c r="O5790" s="317"/>
      <c r="P5790" s="317"/>
      <c r="Q5790" s="317"/>
      <c r="R5790" s="317"/>
      <c r="S5790" s="317"/>
      <c r="T5790" s="317"/>
      <c r="U5790" s="317"/>
      <c r="V5790" s="317"/>
      <c r="W5790" s="317"/>
      <c r="X5790" s="317"/>
      <c r="Y5790" s="317"/>
      <c r="Z5790" s="317"/>
      <c r="AA5790" s="317"/>
      <c r="AB5790" s="317"/>
      <c r="AC5790" s="317"/>
      <c r="AD5790" s="317"/>
      <c r="AE5790" s="317"/>
      <c r="AF5790" s="317"/>
      <c r="AG5790" s="317"/>
      <c r="AH5790" s="317"/>
      <c r="AI5790" s="317"/>
      <c r="AJ5790" s="317"/>
      <c r="AK5790" s="317"/>
      <c r="AL5790" s="317"/>
      <c r="AM5790" s="317"/>
      <c r="AN5790" s="317"/>
      <c r="AO5790" s="317"/>
    </row>
    <row r="5791" spans="1:41" hidden="1" outlineLevel="2">
      <c r="B5791" s="2" t="s">
        <v>833</v>
      </c>
      <c r="D5791" s="112" t="s">
        <v>5707</v>
      </c>
      <c r="E5791" s="112"/>
      <c r="F5791" s="112"/>
      <c r="G5791" s="112"/>
      <c r="H5791" s="112" t="b">
        <v>1</v>
      </c>
      <c r="I5791" s="112" t="b">
        <v>1</v>
      </c>
      <c r="J5791" s="112"/>
      <c r="K5791" s="112" t="s">
        <v>5856</v>
      </c>
      <c r="L5791" s="317"/>
      <c r="M5791" s="317"/>
      <c r="N5791" s="317"/>
      <c r="O5791" s="317"/>
      <c r="P5791" s="317"/>
      <c r="Q5791" s="317"/>
      <c r="R5791" s="317"/>
      <c r="S5791" s="317"/>
      <c r="T5791" s="317"/>
      <c r="U5791" s="317"/>
      <c r="V5791" s="317"/>
      <c r="W5791" s="317"/>
      <c r="X5791" s="317"/>
      <c r="Y5791" s="317"/>
      <c r="Z5791" s="317"/>
      <c r="AA5791" s="317"/>
      <c r="AB5791" s="317"/>
      <c r="AC5791" s="317"/>
      <c r="AD5791" s="317"/>
      <c r="AE5791" s="317"/>
      <c r="AF5791" s="317"/>
      <c r="AG5791" s="317"/>
      <c r="AH5791" s="317"/>
      <c r="AI5791" s="317"/>
      <c r="AJ5791" s="317"/>
      <c r="AK5791" s="317"/>
      <c r="AL5791" s="317"/>
      <c r="AM5791" s="317"/>
      <c r="AN5791" s="317"/>
      <c r="AO5791" s="317"/>
    </row>
    <row r="5792" spans="1:41" hidden="1" outlineLevel="2">
      <c r="B5792" s="2" t="s">
        <v>833</v>
      </c>
      <c r="D5792" s="114" t="s">
        <v>5707</v>
      </c>
      <c r="E5792" s="114"/>
      <c r="F5792" s="114"/>
      <c r="G5792" s="114"/>
      <c r="H5792" s="114" t="b">
        <v>0</v>
      </c>
      <c r="I5792" s="114" t="b">
        <v>0</v>
      </c>
      <c r="J5792" s="114" t="s">
        <v>5857</v>
      </c>
      <c r="K5792" s="114" t="s">
        <v>5856</v>
      </c>
      <c r="L5792" s="317"/>
      <c r="M5792" s="317"/>
      <c r="N5792" s="317"/>
      <c r="O5792" s="317"/>
      <c r="P5792" s="317"/>
      <c r="Q5792" s="317"/>
      <c r="R5792" s="317"/>
      <c r="S5792" s="317"/>
      <c r="T5792" s="317"/>
      <c r="U5792" s="317"/>
      <c r="V5792" s="317"/>
      <c r="W5792" s="317"/>
      <c r="X5792" s="317"/>
      <c r="Y5792" s="317"/>
      <c r="Z5792" s="317"/>
      <c r="AA5792" s="317"/>
      <c r="AB5792" s="317"/>
      <c r="AC5792" s="317"/>
      <c r="AD5792" s="317"/>
      <c r="AE5792" s="317"/>
      <c r="AF5792" s="317"/>
      <c r="AG5792" s="317"/>
      <c r="AH5792" s="317"/>
      <c r="AI5792" s="317"/>
      <c r="AJ5792" s="317"/>
      <c r="AK5792" s="317"/>
      <c r="AL5792" s="317"/>
      <c r="AM5792" s="317"/>
      <c r="AN5792" s="317"/>
      <c r="AO5792" s="317"/>
    </row>
    <row r="5793" spans="1:41" hidden="1" outlineLevel="2">
      <c r="B5793" s="2" t="s">
        <v>833</v>
      </c>
      <c r="D5793" s="112" t="s">
        <v>4480</v>
      </c>
      <c r="E5793" s="112"/>
      <c r="F5793" s="112"/>
      <c r="G5793" s="112"/>
      <c r="H5793" s="112"/>
      <c r="I5793" s="112" t="b">
        <v>1</v>
      </c>
      <c r="J5793" s="112"/>
      <c r="K5793" s="112" t="s">
        <v>5856</v>
      </c>
      <c r="L5793" s="317"/>
      <c r="M5793" s="317"/>
      <c r="N5793" s="317"/>
      <c r="O5793" s="317"/>
      <c r="P5793" s="317"/>
      <c r="Q5793" s="317"/>
      <c r="R5793" s="317"/>
      <c r="S5793" s="317"/>
      <c r="T5793" s="317"/>
      <c r="U5793" s="317"/>
      <c r="V5793" s="317"/>
      <c r="W5793" s="317"/>
      <c r="X5793" s="317"/>
      <c r="Y5793" s="317"/>
      <c r="Z5793" s="317"/>
      <c r="AA5793" s="317"/>
      <c r="AB5793" s="317"/>
      <c r="AC5793" s="317"/>
      <c r="AD5793" s="317"/>
      <c r="AE5793" s="317"/>
      <c r="AF5793" s="317"/>
      <c r="AG5793" s="317"/>
      <c r="AH5793" s="317"/>
      <c r="AI5793" s="317"/>
      <c r="AJ5793" s="317"/>
      <c r="AK5793" s="317"/>
      <c r="AL5793" s="317"/>
      <c r="AM5793" s="317"/>
      <c r="AN5793" s="317"/>
      <c r="AO5793" s="317"/>
    </row>
    <row r="5794" spans="1:41" hidden="1" outlineLevel="2">
      <c r="B5794" s="2" t="s">
        <v>833</v>
      </c>
      <c r="D5794" s="114" t="s">
        <v>5858</v>
      </c>
      <c r="E5794" s="114" t="b">
        <v>1</v>
      </c>
      <c r="F5794" s="114" t="b">
        <v>0</v>
      </c>
      <c r="G5794" s="114">
        <v>3</v>
      </c>
      <c r="H5794" s="114"/>
      <c r="I5794" s="114" t="b">
        <v>1</v>
      </c>
      <c r="J5794" s="114"/>
      <c r="K5794" s="114" t="s">
        <v>5856</v>
      </c>
      <c r="L5794" s="317"/>
      <c r="M5794" s="317"/>
      <c r="N5794" s="317"/>
      <c r="O5794" s="317"/>
      <c r="P5794" s="317"/>
      <c r="Q5794" s="317"/>
      <c r="R5794" s="317"/>
      <c r="S5794" s="317"/>
      <c r="T5794" s="317"/>
      <c r="U5794" s="317"/>
      <c r="V5794" s="317"/>
      <c r="W5794" s="317"/>
      <c r="X5794" s="317"/>
      <c r="Y5794" s="317"/>
      <c r="Z5794" s="317"/>
      <c r="AA5794" s="317"/>
      <c r="AB5794" s="317"/>
      <c r="AC5794" s="317"/>
      <c r="AD5794" s="317"/>
      <c r="AE5794" s="317"/>
      <c r="AF5794" s="317"/>
      <c r="AG5794" s="317"/>
      <c r="AH5794" s="317"/>
      <c r="AI5794" s="317"/>
      <c r="AJ5794" s="317"/>
      <c r="AK5794" s="317"/>
      <c r="AL5794" s="317"/>
      <c r="AM5794" s="317"/>
      <c r="AN5794" s="317"/>
      <c r="AO5794" s="317"/>
    </row>
    <row r="5795" spans="1:41" hidden="1" outlineLevel="2">
      <c r="B5795" s="2" t="s">
        <v>833</v>
      </c>
      <c r="D5795" s="112" t="s">
        <v>5858</v>
      </c>
      <c r="E5795" s="112" t="b">
        <v>1</v>
      </c>
      <c r="F5795" s="112" t="b">
        <v>1</v>
      </c>
      <c r="G5795" s="112"/>
      <c r="H5795" s="112"/>
      <c r="I5795" s="112" t="b">
        <v>1</v>
      </c>
      <c r="J5795" s="112"/>
      <c r="K5795" s="112" t="s">
        <v>5856</v>
      </c>
      <c r="L5795" s="317"/>
      <c r="M5795" s="317"/>
      <c r="N5795" s="317"/>
      <c r="O5795" s="317"/>
      <c r="P5795" s="317"/>
      <c r="Q5795" s="317"/>
      <c r="R5795" s="317"/>
      <c r="S5795" s="317"/>
      <c r="T5795" s="317"/>
      <c r="U5795" s="317"/>
      <c r="V5795" s="317"/>
      <c r="W5795" s="317"/>
      <c r="X5795" s="317"/>
      <c r="Y5795" s="317"/>
      <c r="Z5795" s="317"/>
      <c r="AA5795" s="317"/>
      <c r="AB5795" s="317"/>
      <c r="AC5795" s="317"/>
      <c r="AD5795" s="317"/>
      <c r="AE5795" s="317"/>
      <c r="AF5795" s="317"/>
      <c r="AG5795" s="317"/>
      <c r="AH5795" s="317"/>
      <c r="AI5795" s="317"/>
      <c r="AJ5795" s="317"/>
      <c r="AK5795" s="317"/>
      <c r="AL5795" s="317"/>
      <c r="AM5795" s="317"/>
      <c r="AN5795" s="317"/>
      <c r="AO5795" s="317"/>
    </row>
    <row r="5796" spans="1:41" hidden="1" outlineLevel="2">
      <c r="B5796" s="2" t="s">
        <v>833</v>
      </c>
      <c r="D5796" s="114" t="s">
        <v>5858</v>
      </c>
      <c r="E5796" s="114" t="b">
        <v>1</v>
      </c>
      <c r="F5796" s="114" t="b">
        <v>0</v>
      </c>
      <c r="G5796" s="114"/>
      <c r="H5796" s="114"/>
      <c r="I5796" s="114" t="b">
        <v>0</v>
      </c>
      <c r="J5796" s="114" t="s">
        <v>5859</v>
      </c>
      <c r="K5796" s="114" t="s">
        <v>5856</v>
      </c>
      <c r="L5796" s="317"/>
      <c r="M5796" s="317"/>
      <c r="N5796" s="317"/>
      <c r="O5796" s="317"/>
      <c r="P5796" s="317"/>
      <c r="Q5796" s="317"/>
      <c r="R5796" s="317"/>
      <c r="S5796" s="317"/>
      <c r="T5796" s="317"/>
      <c r="U5796" s="317"/>
      <c r="V5796" s="317"/>
      <c r="W5796" s="317"/>
      <c r="X5796" s="317"/>
      <c r="Y5796" s="317"/>
      <c r="Z5796" s="317"/>
      <c r="AA5796" s="317"/>
      <c r="AB5796" s="317"/>
      <c r="AC5796" s="317"/>
      <c r="AD5796" s="317"/>
      <c r="AE5796" s="317"/>
      <c r="AF5796" s="317"/>
      <c r="AG5796" s="317"/>
      <c r="AH5796" s="317"/>
      <c r="AI5796" s="317"/>
      <c r="AJ5796" s="317"/>
      <c r="AK5796" s="317"/>
      <c r="AL5796" s="317"/>
      <c r="AM5796" s="317"/>
      <c r="AN5796" s="317"/>
      <c r="AO5796" s="317"/>
    </row>
    <row r="5797" spans="1:41" hidden="1" outlineLevel="2">
      <c r="B5797" s="2" t="s">
        <v>833</v>
      </c>
      <c r="D5797" s="112" t="s">
        <v>5858</v>
      </c>
      <c r="E5797" s="112" t="b">
        <v>0</v>
      </c>
      <c r="F5797" s="112"/>
      <c r="G5797" s="112"/>
      <c r="H5797" s="112"/>
      <c r="I5797" s="112" t="b">
        <v>0</v>
      </c>
      <c r="J5797" s="112" t="s">
        <v>5859</v>
      </c>
      <c r="K5797" s="112" t="s">
        <v>5856</v>
      </c>
      <c r="L5797" s="317"/>
      <c r="M5797" s="317"/>
      <c r="N5797" s="317"/>
      <c r="O5797" s="317"/>
      <c r="P5797" s="317"/>
      <c r="Q5797" s="317"/>
      <c r="R5797" s="317"/>
      <c r="S5797" s="317"/>
      <c r="T5797" s="317"/>
      <c r="U5797" s="317"/>
      <c r="V5797" s="317"/>
      <c r="W5797" s="317"/>
      <c r="X5797" s="317"/>
      <c r="Y5797" s="317"/>
      <c r="Z5797" s="317"/>
      <c r="AA5797" s="317"/>
      <c r="AB5797" s="317"/>
      <c r="AC5797" s="317"/>
      <c r="AD5797" s="317"/>
      <c r="AE5797" s="317"/>
      <c r="AF5797" s="317"/>
      <c r="AG5797" s="317"/>
      <c r="AH5797" s="317"/>
      <c r="AI5797" s="317"/>
      <c r="AJ5797" s="317"/>
      <c r="AK5797" s="317"/>
      <c r="AL5797" s="317"/>
      <c r="AM5797" s="317"/>
      <c r="AN5797" s="317"/>
      <c r="AO5797" s="317"/>
    </row>
    <row r="5798" spans="1:41" hidden="1" outlineLevel="2">
      <c r="B5798" s="2" t="s">
        <v>833</v>
      </c>
      <c r="D5798" s="114"/>
      <c r="E5798" s="114"/>
      <c r="F5798" s="114"/>
      <c r="G5798" s="114"/>
      <c r="H5798" s="114"/>
      <c r="I5798" s="114" t="b">
        <v>0</v>
      </c>
      <c r="J5798" s="114" t="s">
        <v>5860</v>
      </c>
      <c r="K5798" s="114" t="s">
        <v>5856</v>
      </c>
      <c r="L5798" s="317"/>
      <c r="M5798" s="317"/>
      <c r="N5798" s="317"/>
      <c r="O5798" s="317"/>
      <c r="P5798" s="317"/>
      <c r="Q5798" s="317"/>
      <c r="R5798" s="317"/>
      <c r="S5798" s="317"/>
      <c r="T5798" s="317"/>
      <c r="U5798" s="317"/>
      <c r="V5798" s="317"/>
      <c r="W5798" s="317"/>
      <c r="X5798" s="317"/>
      <c r="Y5798" s="317"/>
      <c r="Z5798" s="317"/>
      <c r="AA5798" s="317"/>
      <c r="AB5798" s="317"/>
      <c r="AC5798" s="317"/>
      <c r="AD5798" s="317"/>
      <c r="AE5798" s="317"/>
      <c r="AF5798" s="317"/>
      <c r="AG5798" s="317"/>
      <c r="AH5798" s="317"/>
      <c r="AI5798" s="317"/>
      <c r="AJ5798" s="317"/>
      <c r="AK5798" s="317"/>
      <c r="AL5798" s="317"/>
      <c r="AM5798" s="317"/>
      <c r="AN5798" s="317"/>
      <c r="AO5798" s="317"/>
    </row>
    <row r="5799" spans="1:41" s="317" customFormat="1" hidden="1" outlineLevel="2">
      <c r="A5799" s="2"/>
      <c r="B5799" s="2" t="s">
        <v>833</v>
      </c>
    </row>
    <row r="5800" spans="1:41" hidden="1" outlineLevel="1" collapsed="1">
      <c r="B5800" s="2" t="s">
        <v>833</v>
      </c>
      <c r="C5800" s="137" t="s">
        <v>5861</v>
      </c>
      <c r="D5800" s="298" t="s">
        <v>5862</v>
      </c>
      <c r="E5800" s="298" t="s">
        <v>5863</v>
      </c>
      <c r="F5800" s="298" t="s">
        <v>5864</v>
      </c>
      <c r="G5800" s="298" t="s">
        <v>5865</v>
      </c>
      <c r="H5800" s="298" t="s">
        <v>128</v>
      </c>
      <c r="I5800" s="298" t="s">
        <v>5866</v>
      </c>
      <c r="J5800" s="239" t="s">
        <v>5867</v>
      </c>
      <c r="K5800" s="239" t="s">
        <v>5868</v>
      </c>
      <c r="L5800" s="239" t="s">
        <v>5812</v>
      </c>
      <c r="M5800" s="317"/>
      <c r="N5800" s="317"/>
      <c r="O5800" s="317"/>
      <c r="P5800" s="317"/>
      <c r="Q5800" s="317"/>
      <c r="R5800" s="317"/>
      <c r="S5800" s="317"/>
      <c r="T5800" s="317"/>
      <c r="U5800" s="317"/>
      <c r="V5800" s="317"/>
      <c r="W5800" s="317"/>
      <c r="X5800" s="317"/>
      <c r="Y5800" s="317"/>
      <c r="Z5800" s="317"/>
      <c r="AA5800" s="317"/>
      <c r="AB5800" s="317"/>
      <c r="AC5800" s="317"/>
      <c r="AD5800" s="317"/>
      <c r="AE5800" s="317"/>
      <c r="AF5800" s="317"/>
      <c r="AG5800" s="317"/>
      <c r="AH5800" s="317"/>
      <c r="AI5800" s="317"/>
      <c r="AJ5800" s="317"/>
      <c r="AK5800" s="317"/>
      <c r="AL5800" s="317"/>
      <c r="AM5800" s="317"/>
      <c r="AN5800" s="317"/>
      <c r="AO5800" s="317"/>
    </row>
    <row r="5801" spans="1:41" hidden="1" outlineLevel="2">
      <c r="B5801" s="2" t="s">
        <v>833</v>
      </c>
      <c r="D5801" s="138" t="s">
        <v>5869</v>
      </c>
      <c r="E5801" s="138" t="s">
        <v>5870</v>
      </c>
      <c r="F5801" s="138" t="s">
        <v>5871</v>
      </c>
      <c r="G5801" s="138" t="s">
        <v>5872</v>
      </c>
      <c r="H5801" s="138" t="s">
        <v>5873</v>
      </c>
      <c r="I5801" s="138" t="s">
        <v>5874</v>
      </c>
      <c r="J5801" s="138" t="s">
        <v>5875</v>
      </c>
      <c r="K5801" s="138" t="s">
        <v>5876</v>
      </c>
      <c r="L5801" s="138"/>
      <c r="M5801" s="317"/>
      <c r="N5801" s="317"/>
      <c r="O5801" s="317"/>
      <c r="P5801" s="317"/>
      <c r="Q5801" s="317"/>
      <c r="R5801" s="317"/>
      <c r="S5801" s="317"/>
      <c r="T5801" s="317"/>
      <c r="U5801" s="317"/>
      <c r="V5801" s="317"/>
      <c r="W5801" s="317"/>
      <c r="X5801" s="317"/>
      <c r="Y5801" s="317"/>
      <c r="Z5801" s="317"/>
      <c r="AA5801" s="317"/>
      <c r="AB5801" s="317"/>
      <c r="AC5801" s="317"/>
      <c r="AD5801" s="317"/>
      <c r="AE5801" s="317"/>
      <c r="AF5801" s="317"/>
      <c r="AG5801" s="317"/>
      <c r="AH5801" s="317"/>
      <c r="AI5801" s="317"/>
      <c r="AJ5801" s="317"/>
      <c r="AK5801" s="317"/>
      <c r="AL5801" s="317"/>
      <c r="AM5801" s="317"/>
      <c r="AN5801" s="317"/>
      <c r="AO5801" s="317"/>
    </row>
    <row r="5802" spans="1:41" hidden="1" outlineLevel="2">
      <c r="B5802" s="2" t="s">
        <v>833</v>
      </c>
      <c r="D5802" s="112" t="s">
        <v>5877</v>
      </c>
      <c r="E5802" s="112" t="s">
        <v>5877</v>
      </c>
      <c r="F5802" s="112"/>
      <c r="G5802" s="112"/>
      <c r="H5802" s="112"/>
      <c r="I5802" s="112" t="s">
        <v>4816</v>
      </c>
      <c r="J5802" s="112" t="s">
        <v>1290</v>
      </c>
      <c r="K5802" s="112"/>
      <c r="L5802" s="112" t="s">
        <v>5878</v>
      </c>
      <c r="M5802" s="317"/>
      <c r="N5802" s="317"/>
      <c r="O5802" s="317"/>
      <c r="P5802" s="317"/>
      <c r="Q5802" s="317"/>
      <c r="R5802" s="317"/>
      <c r="S5802" s="317"/>
      <c r="T5802" s="317"/>
      <c r="U5802" s="317"/>
      <c r="V5802" s="317"/>
      <c r="W5802" s="317"/>
      <c r="X5802" s="317"/>
      <c r="Y5802" s="317"/>
      <c r="Z5802" s="317"/>
      <c r="AA5802" s="317"/>
      <c r="AB5802" s="317"/>
      <c r="AC5802" s="317"/>
      <c r="AD5802" s="317"/>
      <c r="AE5802" s="317"/>
      <c r="AF5802" s="317"/>
      <c r="AG5802" s="317"/>
      <c r="AH5802" s="317"/>
      <c r="AI5802" s="317"/>
      <c r="AJ5802" s="317"/>
      <c r="AK5802" s="317"/>
      <c r="AL5802" s="317"/>
      <c r="AM5802" s="317"/>
      <c r="AN5802" s="317"/>
      <c r="AO5802" s="317"/>
    </row>
    <row r="5803" spans="1:41" hidden="1" outlineLevel="2">
      <c r="B5803" s="2" t="s">
        <v>833</v>
      </c>
      <c r="D5803" s="114" t="s">
        <v>5879</v>
      </c>
      <c r="E5803" s="114" t="s">
        <v>5880</v>
      </c>
      <c r="F5803" s="114"/>
      <c r="G5803" s="114"/>
      <c r="H5803" s="114" t="s">
        <v>5881</v>
      </c>
      <c r="I5803" s="114" t="s">
        <v>5882</v>
      </c>
      <c r="J5803" s="114" t="s">
        <v>5883</v>
      </c>
      <c r="K5803" s="114" t="s">
        <v>5884</v>
      </c>
      <c r="L5803" s="114" t="s">
        <v>5878</v>
      </c>
      <c r="M5803" s="317"/>
      <c r="N5803" s="317"/>
      <c r="O5803" s="317"/>
      <c r="P5803" s="317"/>
      <c r="Q5803" s="317"/>
      <c r="R5803" s="317"/>
      <c r="S5803" s="317"/>
      <c r="T5803" s="317"/>
      <c r="U5803" s="317"/>
      <c r="V5803" s="317"/>
      <c r="W5803" s="317"/>
      <c r="X5803" s="317"/>
      <c r="Y5803" s="317"/>
      <c r="Z5803" s="317"/>
      <c r="AA5803" s="317"/>
      <c r="AB5803" s="317"/>
      <c r="AC5803" s="317"/>
      <c r="AD5803" s="317"/>
      <c r="AE5803" s="317"/>
      <c r="AF5803" s="317"/>
      <c r="AG5803" s="317"/>
      <c r="AH5803" s="317"/>
      <c r="AI5803" s="317"/>
      <c r="AJ5803" s="317"/>
      <c r="AK5803" s="317"/>
      <c r="AL5803" s="317"/>
      <c r="AM5803" s="317"/>
      <c r="AN5803" s="317"/>
      <c r="AO5803" s="317"/>
    </row>
    <row r="5804" spans="1:41" hidden="1" outlineLevel="2">
      <c r="B5804" s="2" t="s">
        <v>833</v>
      </c>
      <c r="D5804" s="112" t="s">
        <v>4734</v>
      </c>
      <c r="E5804" s="112" t="s">
        <v>5885</v>
      </c>
      <c r="F5804" s="112"/>
      <c r="G5804" s="112"/>
      <c r="H5804" s="112" t="s">
        <v>5881</v>
      </c>
      <c r="I5804" s="112" t="s">
        <v>5882</v>
      </c>
      <c r="J5804" s="112" t="s">
        <v>5883</v>
      </c>
      <c r="K5804" s="112" t="s">
        <v>5884</v>
      </c>
      <c r="L5804" s="112" t="s">
        <v>5878</v>
      </c>
      <c r="M5804" s="317"/>
      <c r="N5804" s="317"/>
      <c r="O5804" s="317"/>
      <c r="P5804" s="317"/>
      <c r="Q5804" s="317"/>
      <c r="R5804" s="317"/>
      <c r="S5804" s="317"/>
      <c r="T5804" s="317"/>
      <c r="U5804" s="317"/>
      <c r="V5804" s="317"/>
      <c r="W5804" s="317"/>
      <c r="X5804" s="317"/>
      <c r="Y5804" s="317"/>
      <c r="Z5804" s="317"/>
      <c r="AA5804" s="317"/>
      <c r="AB5804" s="317"/>
      <c r="AC5804" s="317"/>
      <c r="AD5804" s="317"/>
      <c r="AE5804" s="317"/>
      <c r="AF5804" s="317"/>
      <c r="AG5804" s="317"/>
      <c r="AH5804" s="317"/>
      <c r="AI5804" s="317"/>
      <c r="AJ5804" s="317"/>
      <c r="AK5804" s="317"/>
      <c r="AL5804" s="317"/>
      <c r="AM5804" s="317"/>
      <c r="AN5804" s="317"/>
      <c r="AO5804" s="317"/>
    </row>
    <row r="5805" spans="1:41" hidden="1" outlineLevel="2">
      <c r="B5805" s="2" t="s">
        <v>833</v>
      </c>
      <c r="D5805" s="114" t="s">
        <v>5886</v>
      </c>
      <c r="E5805" s="114" t="s">
        <v>5887</v>
      </c>
      <c r="F5805" s="114"/>
      <c r="G5805" s="114"/>
      <c r="H5805" s="114" t="s">
        <v>5888</v>
      </c>
      <c r="I5805" s="114" t="s">
        <v>5882</v>
      </c>
      <c r="J5805" s="114" t="s">
        <v>5884</v>
      </c>
      <c r="K5805" s="114"/>
      <c r="L5805" s="114" t="s">
        <v>5878</v>
      </c>
      <c r="M5805" s="317"/>
      <c r="N5805" s="317"/>
      <c r="O5805" s="317"/>
      <c r="P5805" s="317"/>
      <c r="Q5805" s="317"/>
      <c r="R5805" s="317"/>
      <c r="S5805" s="317"/>
      <c r="T5805" s="317"/>
      <c r="U5805" s="317"/>
      <c r="V5805" s="317"/>
      <c r="W5805" s="317"/>
      <c r="X5805" s="317"/>
      <c r="Y5805" s="317"/>
      <c r="Z5805" s="317"/>
      <c r="AA5805" s="317"/>
      <c r="AB5805" s="317"/>
      <c r="AC5805" s="317"/>
      <c r="AD5805" s="317"/>
      <c r="AE5805" s="317"/>
      <c r="AF5805" s="317"/>
      <c r="AG5805" s="317"/>
      <c r="AH5805" s="317"/>
      <c r="AI5805" s="317"/>
      <c r="AJ5805" s="317"/>
      <c r="AK5805" s="317"/>
      <c r="AL5805" s="317"/>
      <c r="AM5805" s="317"/>
      <c r="AN5805" s="317"/>
      <c r="AO5805" s="317"/>
    </row>
    <row r="5806" spans="1:41" hidden="1" outlineLevel="2">
      <c r="B5806" s="2" t="s">
        <v>833</v>
      </c>
      <c r="D5806" s="112" t="s">
        <v>5889</v>
      </c>
      <c r="E5806" s="112" t="s">
        <v>5890</v>
      </c>
      <c r="F5806" s="112"/>
      <c r="G5806" s="112"/>
      <c r="H5806" s="112" t="s">
        <v>5888</v>
      </c>
      <c r="I5806" s="112" t="s">
        <v>5882</v>
      </c>
      <c r="J5806" s="112" t="s">
        <v>5884</v>
      </c>
      <c r="K5806" s="112"/>
      <c r="L5806" s="112" t="s">
        <v>5878</v>
      </c>
      <c r="M5806" s="317"/>
      <c r="N5806" s="317"/>
      <c r="O5806" s="317"/>
      <c r="P5806" s="317"/>
      <c r="Q5806" s="317"/>
      <c r="R5806" s="317"/>
      <c r="S5806" s="317"/>
      <c r="T5806" s="317"/>
      <c r="U5806" s="317"/>
      <c r="V5806" s="317"/>
      <c r="W5806" s="317"/>
      <c r="X5806" s="317"/>
      <c r="Y5806" s="317"/>
      <c r="Z5806" s="317"/>
      <c r="AA5806" s="317"/>
      <c r="AB5806" s="317"/>
      <c r="AC5806" s="317"/>
      <c r="AD5806" s="317"/>
      <c r="AE5806" s="317"/>
      <c r="AF5806" s="317"/>
      <c r="AG5806" s="317"/>
      <c r="AH5806" s="317"/>
      <c r="AI5806" s="317"/>
      <c r="AJ5806" s="317"/>
      <c r="AK5806" s="317"/>
      <c r="AL5806" s="317"/>
      <c r="AM5806" s="317"/>
      <c r="AN5806" s="317"/>
      <c r="AO5806" s="317"/>
    </row>
    <row r="5807" spans="1:41" hidden="1" outlineLevel="2">
      <c r="B5807" s="2" t="s">
        <v>833</v>
      </c>
      <c r="D5807" s="114" t="s">
        <v>5891</v>
      </c>
      <c r="E5807" s="114" t="s">
        <v>5761</v>
      </c>
      <c r="F5807" s="114"/>
      <c r="G5807" s="114"/>
      <c r="H5807" s="114" t="s">
        <v>5892</v>
      </c>
      <c r="I5807" s="114" t="s">
        <v>5882</v>
      </c>
      <c r="J5807" s="114" t="s">
        <v>5893</v>
      </c>
      <c r="K5807" s="114"/>
      <c r="L5807" s="114" t="s">
        <v>5878</v>
      </c>
      <c r="M5807" s="317"/>
      <c r="N5807" s="317"/>
      <c r="O5807" s="317"/>
      <c r="P5807" s="317"/>
      <c r="Q5807" s="317"/>
      <c r="R5807" s="317"/>
      <c r="S5807" s="317"/>
      <c r="T5807" s="317"/>
      <c r="U5807" s="317"/>
      <c r="V5807" s="317"/>
      <c r="W5807" s="317"/>
      <c r="X5807" s="317"/>
      <c r="Y5807" s="317"/>
      <c r="Z5807" s="317"/>
      <c r="AA5807" s="317"/>
      <c r="AB5807" s="317"/>
      <c r="AC5807" s="317"/>
      <c r="AD5807" s="317"/>
      <c r="AE5807" s="317"/>
      <c r="AF5807" s="317"/>
      <c r="AG5807" s="317"/>
      <c r="AH5807" s="317"/>
      <c r="AI5807" s="317"/>
      <c r="AJ5807" s="317"/>
      <c r="AK5807" s="317"/>
      <c r="AL5807" s="317"/>
      <c r="AM5807" s="317"/>
      <c r="AN5807" s="317"/>
      <c r="AO5807" s="317"/>
    </row>
    <row r="5808" spans="1:41" hidden="1" outlineLevel="2">
      <c r="B5808" s="2" t="s">
        <v>833</v>
      </c>
      <c r="D5808" s="112" t="s">
        <v>5894</v>
      </c>
      <c r="E5808" s="112" t="s">
        <v>5767</v>
      </c>
      <c r="F5808" s="112"/>
      <c r="G5808" s="112"/>
      <c r="H5808" s="112" t="s">
        <v>5892</v>
      </c>
      <c r="I5808" s="112" t="s">
        <v>5882</v>
      </c>
      <c r="J5808" s="112" t="s">
        <v>5893</v>
      </c>
      <c r="K5808" s="112"/>
      <c r="L5808" s="112" t="s">
        <v>5878</v>
      </c>
      <c r="M5808" s="317"/>
      <c r="N5808" s="317"/>
      <c r="O5808" s="317"/>
      <c r="P5808" s="317"/>
      <c r="Q5808" s="317"/>
      <c r="R5808" s="317"/>
      <c r="S5808" s="317"/>
      <c r="T5808" s="317"/>
      <c r="U5808" s="317"/>
      <c r="V5808" s="317"/>
      <c r="W5808" s="317"/>
      <c r="X5808" s="317"/>
      <c r="Y5808" s="317"/>
      <c r="Z5808" s="317"/>
      <c r="AA5808" s="317"/>
      <c r="AB5808" s="317"/>
      <c r="AC5808" s="317"/>
      <c r="AD5808" s="317"/>
      <c r="AE5808" s="317"/>
      <c r="AF5808" s="317"/>
      <c r="AG5808" s="317"/>
      <c r="AH5808" s="317"/>
      <c r="AI5808" s="317"/>
      <c r="AJ5808" s="317"/>
      <c r="AK5808" s="317"/>
      <c r="AL5808" s="317"/>
      <c r="AM5808" s="317"/>
      <c r="AN5808" s="317"/>
      <c r="AO5808" s="317"/>
    </row>
    <row r="5809" spans="1:41" hidden="1" outlineLevel="2">
      <c r="B5809" s="2" t="s">
        <v>833</v>
      </c>
      <c r="D5809" s="114" t="s">
        <v>5895</v>
      </c>
      <c r="E5809" s="114" t="s">
        <v>5880</v>
      </c>
      <c r="F5809" s="114"/>
      <c r="G5809" s="114"/>
      <c r="H5809" s="114" t="s">
        <v>5881</v>
      </c>
      <c r="I5809" s="114" t="s">
        <v>5896</v>
      </c>
      <c r="J5809" s="114" t="s">
        <v>5897</v>
      </c>
      <c r="K5809" s="114" t="s">
        <v>5884</v>
      </c>
      <c r="L5809" s="114" t="s">
        <v>5878</v>
      </c>
      <c r="M5809" s="317"/>
      <c r="N5809" s="317"/>
      <c r="O5809" s="317"/>
      <c r="P5809" s="317"/>
      <c r="Q5809" s="317"/>
      <c r="R5809" s="317"/>
      <c r="S5809" s="317"/>
      <c r="T5809" s="317"/>
      <c r="U5809" s="317"/>
      <c r="V5809" s="317"/>
      <c r="W5809" s="317"/>
      <c r="X5809" s="317"/>
      <c r="Y5809" s="317"/>
      <c r="Z5809" s="317"/>
      <c r="AA5809" s="317"/>
      <c r="AB5809" s="317"/>
      <c r="AC5809" s="317"/>
      <c r="AD5809" s="317"/>
      <c r="AE5809" s="317"/>
      <c r="AF5809" s="317"/>
      <c r="AG5809" s="317"/>
      <c r="AH5809" s="317"/>
      <c r="AI5809" s="317"/>
      <c r="AJ5809" s="317"/>
      <c r="AK5809" s="317"/>
      <c r="AL5809" s="317"/>
      <c r="AM5809" s="317"/>
      <c r="AN5809" s="317"/>
      <c r="AO5809" s="317"/>
    </row>
    <row r="5810" spans="1:41" s="317" customFormat="1" hidden="1" outlineLevel="2">
      <c r="A5810" s="2"/>
      <c r="B5810" s="2" t="s">
        <v>833</v>
      </c>
      <c r="D5810" s="112" t="s">
        <v>5898</v>
      </c>
      <c r="E5810" s="112" t="s">
        <v>5885</v>
      </c>
      <c r="F5810" s="112"/>
      <c r="G5810" s="112"/>
      <c r="H5810" s="112" t="s">
        <v>5881</v>
      </c>
      <c r="I5810" s="112" t="s">
        <v>5896</v>
      </c>
      <c r="J5810" s="112" t="s">
        <v>5897</v>
      </c>
      <c r="K5810" s="112" t="s">
        <v>5884</v>
      </c>
      <c r="L5810" s="112" t="s">
        <v>5878</v>
      </c>
    </row>
    <row r="5811" spans="1:41" hidden="1" outlineLevel="2">
      <c r="B5811" s="2" t="s">
        <v>833</v>
      </c>
      <c r="D5811" s="114" t="s">
        <v>5899</v>
      </c>
      <c r="E5811" s="114" t="s">
        <v>5887</v>
      </c>
      <c r="F5811" s="114"/>
      <c r="G5811" s="114"/>
      <c r="H5811" s="114" t="s">
        <v>5888</v>
      </c>
      <c r="I5811" s="114" t="s">
        <v>5896</v>
      </c>
      <c r="J5811" s="114" t="s">
        <v>5900</v>
      </c>
      <c r="K5811" s="114" t="s">
        <v>5884</v>
      </c>
      <c r="L5811" s="114" t="s">
        <v>5878</v>
      </c>
    </row>
    <row r="5812" spans="1:41" hidden="1" outlineLevel="2">
      <c r="B5812" s="2" t="s">
        <v>833</v>
      </c>
      <c r="D5812" s="112" t="s">
        <v>1271</v>
      </c>
      <c r="E5812" s="112" t="s">
        <v>5890</v>
      </c>
      <c r="F5812" s="112"/>
      <c r="G5812" s="112"/>
      <c r="H5812" s="112" t="s">
        <v>5888</v>
      </c>
      <c r="I5812" s="112" t="s">
        <v>5896</v>
      </c>
      <c r="J5812" s="112" t="s">
        <v>5900</v>
      </c>
      <c r="K5812" s="112" t="s">
        <v>5884</v>
      </c>
      <c r="L5812" s="112" t="s">
        <v>5878</v>
      </c>
    </row>
    <row r="5813" spans="1:41" hidden="1" outlineLevel="2">
      <c r="B5813" s="2" t="s">
        <v>833</v>
      </c>
      <c r="D5813" s="114" t="s">
        <v>5901</v>
      </c>
      <c r="E5813" s="114" t="s">
        <v>5761</v>
      </c>
      <c r="F5813" s="114"/>
      <c r="G5813" s="114"/>
      <c r="H5813" s="114" t="s">
        <v>5892</v>
      </c>
      <c r="I5813" s="114" t="s">
        <v>5896</v>
      </c>
      <c r="J5813" s="114" t="s">
        <v>5902</v>
      </c>
      <c r="K5813" s="114" t="s">
        <v>5893</v>
      </c>
      <c r="L5813" s="114" t="s">
        <v>5878</v>
      </c>
    </row>
    <row r="5814" spans="1:41" hidden="1" outlineLevel="2">
      <c r="B5814" s="2" t="s">
        <v>833</v>
      </c>
      <c r="D5814" s="112" t="s">
        <v>5903</v>
      </c>
      <c r="E5814" s="112" t="s">
        <v>5767</v>
      </c>
      <c r="F5814" s="112"/>
      <c r="G5814" s="112"/>
      <c r="H5814" s="112" t="s">
        <v>5892</v>
      </c>
      <c r="I5814" s="112" t="s">
        <v>5896</v>
      </c>
      <c r="J5814" s="112" t="s">
        <v>5902</v>
      </c>
      <c r="K5814" s="112" t="s">
        <v>5893</v>
      </c>
      <c r="L5814" s="112" t="s">
        <v>5878</v>
      </c>
    </row>
    <row r="5815" spans="1:41" hidden="1" outlineLevel="2">
      <c r="B5815" s="2" t="s">
        <v>833</v>
      </c>
      <c r="D5815" s="114" t="s">
        <v>5904</v>
      </c>
      <c r="E5815" s="114" t="s">
        <v>5905</v>
      </c>
      <c r="F5815" s="114"/>
      <c r="G5815" s="114"/>
      <c r="H5815" s="114" t="s">
        <v>5881</v>
      </c>
      <c r="I5815" s="114" t="s">
        <v>5906</v>
      </c>
      <c r="J5815" s="114" t="s">
        <v>5907</v>
      </c>
      <c r="K5815" s="114" t="s">
        <v>5884</v>
      </c>
      <c r="L5815" s="114" t="s">
        <v>5878</v>
      </c>
    </row>
    <row r="5816" spans="1:41" hidden="1" outlineLevel="2">
      <c r="B5816" s="2" t="s">
        <v>833</v>
      </c>
      <c r="D5816" s="112"/>
      <c r="E5816" s="112" t="s">
        <v>5908</v>
      </c>
      <c r="F5816" s="112"/>
      <c r="G5816" s="112"/>
      <c r="H5816" s="112"/>
      <c r="I5816" s="112" t="s">
        <v>4816</v>
      </c>
      <c r="J5816" s="112" t="s">
        <v>1290</v>
      </c>
      <c r="K5816" s="112"/>
      <c r="L5816" s="112" t="s">
        <v>5878</v>
      </c>
    </row>
    <row r="5817" spans="1:41" hidden="1" outlineLevel="2">
      <c r="B5817" s="2" t="s">
        <v>833</v>
      </c>
      <c r="D5817" s="114"/>
      <c r="E5817" s="114" t="s">
        <v>5909</v>
      </c>
      <c r="F5817" s="114"/>
      <c r="G5817" s="114" t="b">
        <v>1</v>
      </c>
      <c r="H5817" s="114" t="s">
        <v>5881</v>
      </c>
      <c r="I5817" s="114" t="s">
        <v>5906</v>
      </c>
      <c r="J5817" s="114" t="s">
        <v>5907</v>
      </c>
      <c r="K5817" s="114" t="s">
        <v>5884</v>
      </c>
      <c r="L5817" s="114" t="s">
        <v>5878</v>
      </c>
    </row>
    <row r="5818" spans="1:41" hidden="1" outlineLevel="2">
      <c r="B5818" s="2" t="s">
        <v>833</v>
      </c>
      <c r="D5818" s="112"/>
      <c r="E5818" s="112" t="s">
        <v>5909</v>
      </c>
      <c r="F5818" s="112"/>
      <c r="G5818" s="112" t="b">
        <v>0</v>
      </c>
      <c r="H5818" s="112" t="s">
        <v>5888</v>
      </c>
      <c r="I5818" s="112" t="s">
        <v>5882</v>
      </c>
      <c r="J5818" s="112" t="s">
        <v>5884</v>
      </c>
      <c r="K5818" s="112"/>
      <c r="L5818" s="112" t="s">
        <v>5878</v>
      </c>
    </row>
    <row r="5819" spans="1:41" hidden="1" outlineLevel="2">
      <c r="B5819" s="2" t="s">
        <v>833</v>
      </c>
      <c r="D5819" s="114"/>
      <c r="E5819" s="114"/>
      <c r="F5819" s="114" t="b">
        <v>1</v>
      </c>
      <c r="G5819" s="114" t="b">
        <v>1</v>
      </c>
      <c r="H5819" s="114" t="s">
        <v>5881</v>
      </c>
      <c r="I5819" s="114" t="s">
        <v>5896</v>
      </c>
      <c r="J5819" s="114" t="s">
        <v>5897</v>
      </c>
      <c r="K5819" s="114" t="s">
        <v>5884</v>
      </c>
      <c r="L5819" s="114" t="s">
        <v>5878</v>
      </c>
    </row>
    <row r="5820" spans="1:41" hidden="1" outlineLevel="2">
      <c r="B5820" s="2" t="s">
        <v>833</v>
      </c>
      <c r="D5820" s="112"/>
      <c r="E5820" s="112"/>
      <c r="F5820" s="112" t="b">
        <v>1</v>
      </c>
      <c r="G5820" s="112" t="b">
        <v>0</v>
      </c>
      <c r="H5820" s="112" t="s">
        <v>5888</v>
      </c>
      <c r="I5820" s="112" t="s">
        <v>5896</v>
      </c>
      <c r="J5820" s="112" t="s">
        <v>5900</v>
      </c>
      <c r="K5820" s="112" t="s">
        <v>5884</v>
      </c>
      <c r="L5820" s="112" t="s">
        <v>5878</v>
      </c>
    </row>
    <row r="5821" spans="1:41" hidden="1" outlineLevel="2">
      <c r="B5821" s="2" t="s">
        <v>833</v>
      </c>
      <c r="D5821" s="114"/>
      <c r="E5821" s="114"/>
      <c r="F5821" s="114" t="b">
        <v>0</v>
      </c>
      <c r="G5821" s="114" t="b">
        <v>1</v>
      </c>
      <c r="H5821" s="114" t="s">
        <v>5881</v>
      </c>
      <c r="I5821" s="114" t="s">
        <v>5882</v>
      </c>
      <c r="J5821" s="114" t="s">
        <v>5883</v>
      </c>
      <c r="K5821" s="114" t="s">
        <v>5884</v>
      </c>
      <c r="L5821" s="114" t="s">
        <v>5878</v>
      </c>
    </row>
    <row r="5822" spans="1:41" hidden="1" outlineLevel="2">
      <c r="B5822" s="2" t="s">
        <v>833</v>
      </c>
      <c r="D5822" s="112"/>
      <c r="E5822" s="112"/>
      <c r="F5822" s="112" t="b">
        <v>0</v>
      </c>
      <c r="G5822" s="112" t="b">
        <v>0</v>
      </c>
      <c r="H5822" s="112" t="s">
        <v>5888</v>
      </c>
      <c r="I5822" s="112" t="s">
        <v>5882</v>
      </c>
      <c r="J5822" s="112" t="s">
        <v>5884</v>
      </c>
      <c r="K5822" s="112"/>
      <c r="L5822" s="112" t="s">
        <v>5878</v>
      </c>
    </row>
    <row r="5823" spans="1:41" s="317" customFormat="1" hidden="1" outlineLevel="2">
      <c r="A5823" s="2"/>
      <c r="B5823" s="2" t="s">
        <v>833</v>
      </c>
    </row>
    <row r="5824" spans="1:41" hidden="1" outlineLevel="1" collapsed="1">
      <c r="B5824" s="2" t="s">
        <v>833</v>
      </c>
      <c r="C5824" s="137" t="s">
        <v>517</v>
      </c>
      <c r="D5824" s="298" t="s">
        <v>5910</v>
      </c>
      <c r="E5824" s="298" t="s">
        <v>5911</v>
      </c>
      <c r="F5824" s="298" t="s">
        <v>5912</v>
      </c>
      <c r="G5824" s="298" t="s">
        <v>5913</v>
      </c>
      <c r="H5824" s="298" t="s">
        <v>5914</v>
      </c>
      <c r="I5824" s="298" t="s">
        <v>5915</v>
      </c>
      <c r="J5824" s="239" t="s">
        <v>5916</v>
      </c>
      <c r="K5824" s="239" t="s">
        <v>5812</v>
      </c>
      <c r="L5824" s="239" t="s">
        <v>5917</v>
      </c>
      <c r="M5824" s="317"/>
      <c r="N5824" s="317"/>
      <c r="O5824" s="317"/>
      <c r="P5824" s="317"/>
      <c r="Q5824" s="317"/>
      <c r="R5824" s="317"/>
      <c r="S5824" s="317"/>
      <c r="T5824" s="317"/>
      <c r="U5824" s="317"/>
      <c r="V5824" s="317"/>
      <c r="W5824" s="317"/>
      <c r="X5824" s="317"/>
      <c r="Y5824" s="317"/>
      <c r="Z5824" s="317"/>
      <c r="AA5824" s="317"/>
      <c r="AB5824" s="317"/>
      <c r="AC5824" s="317"/>
      <c r="AD5824" s="317"/>
      <c r="AE5824" s="317"/>
      <c r="AF5824" s="317"/>
      <c r="AG5824" s="317"/>
      <c r="AH5824" s="317"/>
      <c r="AI5824" s="317"/>
      <c r="AJ5824" s="317"/>
      <c r="AK5824" s="317"/>
      <c r="AL5824" s="317"/>
      <c r="AM5824" s="317"/>
      <c r="AN5824" s="317"/>
      <c r="AO5824" s="317"/>
    </row>
    <row r="5825" spans="1:44" hidden="1" outlineLevel="2">
      <c r="B5825" s="2" t="s">
        <v>833</v>
      </c>
      <c r="D5825" s="138" t="s">
        <v>5918</v>
      </c>
      <c r="E5825" s="138" t="s">
        <v>5919</v>
      </c>
      <c r="F5825" s="138" t="s">
        <v>5920</v>
      </c>
      <c r="G5825" s="138" t="s">
        <v>5921</v>
      </c>
      <c r="H5825" s="138" t="s">
        <v>5922</v>
      </c>
      <c r="I5825" s="138" t="s">
        <v>5923</v>
      </c>
      <c r="J5825" s="138" t="s">
        <v>5924</v>
      </c>
      <c r="K5825" s="138"/>
      <c r="L5825" s="138" t="s">
        <v>5924</v>
      </c>
      <c r="M5825" s="317"/>
      <c r="N5825" s="317"/>
      <c r="O5825" s="317"/>
      <c r="P5825" s="317"/>
      <c r="Q5825" s="317"/>
      <c r="R5825" s="317"/>
      <c r="S5825" s="317"/>
      <c r="T5825" s="317"/>
      <c r="U5825" s="317"/>
      <c r="V5825" s="317"/>
      <c r="W5825" s="317"/>
      <c r="X5825" s="317"/>
      <c r="Y5825" s="317"/>
      <c r="Z5825" s="317"/>
      <c r="AA5825" s="317"/>
      <c r="AB5825" s="317"/>
      <c r="AC5825" s="317"/>
      <c r="AD5825" s="317"/>
      <c r="AE5825" s="317"/>
      <c r="AF5825" s="317"/>
      <c r="AG5825" s="317"/>
      <c r="AH5825" s="317"/>
      <c r="AI5825" s="317"/>
      <c r="AJ5825" s="317"/>
      <c r="AK5825" s="317"/>
      <c r="AL5825" s="317"/>
      <c r="AM5825" s="317"/>
      <c r="AN5825" s="317"/>
      <c r="AO5825" s="317"/>
    </row>
    <row r="5826" spans="1:44" hidden="1" outlineLevel="2">
      <c r="B5826" s="2" t="s">
        <v>833</v>
      </c>
      <c r="D5826" s="112" t="s">
        <v>4815</v>
      </c>
      <c r="E5826" s="112" t="s">
        <v>5925</v>
      </c>
      <c r="F5826" s="112" t="s">
        <v>4815</v>
      </c>
      <c r="G5826" s="112" t="b">
        <v>1</v>
      </c>
      <c r="H5826" s="112" t="b">
        <v>0</v>
      </c>
      <c r="I5826" s="112" t="b">
        <v>0</v>
      </c>
      <c r="J5826" s="112" t="s">
        <v>5926</v>
      </c>
      <c r="K5826" s="112" t="s">
        <v>1412</v>
      </c>
      <c r="L5826" s="112" t="s">
        <v>5926</v>
      </c>
      <c r="M5826" s="317"/>
      <c r="N5826" s="317"/>
      <c r="O5826" s="317"/>
      <c r="P5826" s="317"/>
      <c r="Q5826" s="317"/>
      <c r="R5826" s="317"/>
      <c r="S5826" s="317"/>
      <c r="T5826" s="317"/>
      <c r="U5826" s="317"/>
      <c r="V5826" s="317"/>
      <c r="W5826" s="317"/>
      <c r="X5826" s="317"/>
      <c r="Y5826" s="317"/>
      <c r="Z5826" s="317"/>
      <c r="AA5826" s="317"/>
      <c r="AB5826" s="317"/>
      <c r="AC5826" s="317"/>
      <c r="AD5826" s="317"/>
      <c r="AE5826" s="317"/>
      <c r="AF5826" s="317"/>
      <c r="AG5826" s="317"/>
      <c r="AH5826" s="317"/>
      <c r="AI5826" s="317"/>
      <c r="AJ5826" s="317"/>
      <c r="AK5826" s="317"/>
      <c r="AL5826" s="317"/>
      <c r="AM5826" s="317"/>
      <c r="AN5826" s="317"/>
      <c r="AO5826" s="317"/>
    </row>
    <row r="5827" spans="1:44" hidden="1" outlineLevel="2">
      <c r="B5827" s="2" t="s">
        <v>833</v>
      </c>
      <c r="D5827" s="114" t="s">
        <v>4815</v>
      </c>
      <c r="E5827" s="114" t="s">
        <v>5925</v>
      </c>
      <c r="F5827" s="114" t="s">
        <v>4815</v>
      </c>
      <c r="G5827" s="114" t="b">
        <v>1</v>
      </c>
      <c r="H5827" s="114"/>
      <c r="I5827" s="114"/>
      <c r="J5827" s="114" t="s">
        <v>5927</v>
      </c>
      <c r="K5827" s="114" t="s">
        <v>1412</v>
      </c>
      <c r="L5827" s="114" t="s">
        <v>1419</v>
      </c>
      <c r="M5827" s="317"/>
      <c r="N5827" s="317"/>
      <c r="O5827" s="317"/>
      <c r="P5827" s="317"/>
      <c r="Q5827" s="317"/>
      <c r="R5827" s="317"/>
      <c r="S5827" s="317"/>
      <c r="T5827" s="317"/>
      <c r="U5827" s="317"/>
      <c r="V5827" s="317"/>
      <c r="W5827" s="317"/>
      <c r="X5827" s="317"/>
      <c r="Y5827" s="317"/>
      <c r="Z5827" s="317"/>
      <c r="AA5827" s="317"/>
      <c r="AB5827" s="317"/>
      <c r="AC5827" s="317"/>
      <c r="AD5827" s="317"/>
      <c r="AE5827" s="317"/>
      <c r="AF5827" s="317"/>
      <c r="AG5827" s="317"/>
      <c r="AH5827" s="317"/>
      <c r="AI5827" s="317"/>
      <c r="AJ5827" s="317"/>
      <c r="AK5827" s="317"/>
      <c r="AL5827" s="317"/>
      <c r="AM5827" s="317"/>
      <c r="AN5827" s="317"/>
      <c r="AO5827" s="317"/>
    </row>
    <row r="5828" spans="1:44" hidden="1" outlineLevel="2">
      <c r="B5828" s="2" t="s">
        <v>833</v>
      </c>
      <c r="D5828" s="112" t="s">
        <v>4815</v>
      </c>
      <c r="E5828" s="112" t="s">
        <v>5928</v>
      </c>
      <c r="F5828" s="112" t="s">
        <v>4815</v>
      </c>
      <c r="G5828" s="112" t="b">
        <v>1</v>
      </c>
      <c r="H5828" s="112" t="b">
        <v>1</v>
      </c>
      <c r="I5828" s="112" t="b">
        <v>1</v>
      </c>
      <c r="J5828" s="112" t="s">
        <v>5926</v>
      </c>
      <c r="K5828" s="112" t="s">
        <v>1412</v>
      </c>
      <c r="L5828" s="112" t="s">
        <v>5926</v>
      </c>
      <c r="M5828" s="317"/>
      <c r="N5828" s="317"/>
      <c r="O5828" s="317"/>
      <c r="P5828" s="317"/>
      <c r="Q5828" s="317"/>
      <c r="R5828" s="317"/>
      <c r="S5828" s="317"/>
      <c r="T5828" s="317"/>
      <c r="U5828" s="317"/>
      <c r="V5828" s="317"/>
      <c r="W5828" s="317"/>
      <c r="X5828" s="317"/>
      <c r="Y5828" s="317"/>
      <c r="Z5828" s="317"/>
      <c r="AA5828" s="317"/>
      <c r="AB5828" s="317"/>
      <c r="AC5828" s="317"/>
      <c r="AD5828" s="317"/>
      <c r="AE5828" s="317"/>
      <c r="AF5828" s="317"/>
      <c r="AG5828" s="317"/>
      <c r="AH5828" s="317"/>
      <c r="AI5828" s="317"/>
      <c r="AJ5828" s="317"/>
      <c r="AK5828" s="317"/>
      <c r="AL5828" s="317"/>
      <c r="AM5828" s="317"/>
      <c r="AN5828" s="317"/>
      <c r="AO5828" s="317"/>
    </row>
    <row r="5829" spans="1:44" hidden="1" outlineLevel="2">
      <c r="B5829" s="2" t="s">
        <v>833</v>
      </c>
      <c r="D5829" s="114" t="s">
        <v>4815</v>
      </c>
      <c r="E5829" s="114" t="s">
        <v>5928</v>
      </c>
      <c r="F5829" s="114" t="s">
        <v>4815</v>
      </c>
      <c r="G5829" s="114" t="b">
        <v>1</v>
      </c>
      <c r="H5829" s="114"/>
      <c r="I5829" s="114"/>
      <c r="J5829" s="114" t="s">
        <v>5929</v>
      </c>
      <c r="K5829" s="114" t="s">
        <v>1412</v>
      </c>
      <c r="L5829" s="114" t="s">
        <v>1417</v>
      </c>
      <c r="M5829" s="317"/>
      <c r="N5829" s="317"/>
      <c r="O5829" s="317"/>
      <c r="P5829" s="317"/>
      <c r="Q5829" s="317"/>
      <c r="R5829" s="317"/>
      <c r="S5829" s="317"/>
      <c r="T5829" s="317"/>
      <c r="U5829" s="317"/>
      <c r="V5829" s="317"/>
      <c r="W5829" s="317"/>
      <c r="X5829" s="317"/>
      <c r="Y5829" s="317"/>
      <c r="Z5829" s="317"/>
      <c r="AA5829" s="317"/>
      <c r="AB5829" s="317"/>
      <c r="AC5829" s="317"/>
      <c r="AD5829" s="317"/>
      <c r="AE5829" s="317"/>
      <c r="AF5829" s="317"/>
      <c r="AG5829" s="317"/>
      <c r="AH5829" s="317"/>
      <c r="AI5829" s="317"/>
      <c r="AJ5829" s="317"/>
      <c r="AK5829" s="317"/>
      <c r="AL5829" s="317"/>
      <c r="AM5829" s="317"/>
      <c r="AN5829" s="317"/>
      <c r="AO5829" s="317"/>
    </row>
    <row r="5830" spans="1:44" hidden="1" outlineLevel="2">
      <c r="B5830" s="2" t="s">
        <v>833</v>
      </c>
      <c r="D5830" s="112" t="s">
        <v>4815</v>
      </c>
      <c r="E5830" s="112"/>
      <c r="F5830" s="112" t="s">
        <v>4815</v>
      </c>
      <c r="G5830" s="112" t="b">
        <v>1</v>
      </c>
      <c r="H5830" s="112" t="b">
        <v>0</v>
      </c>
      <c r="I5830" s="112" t="b">
        <v>0</v>
      </c>
      <c r="J5830" s="112" t="s">
        <v>5926</v>
      </c>
      <c r="K5830" s="112" t="s">
        <v>1412</v>
      </c>
      <c r="L5830" s="112" t="s">
        <v>5926</v>
      </c>
      <c r="M5830" s="317"/>
      <c r="N5830" s="317"/>
      <c r="O5830" s="317"/>
      <c r="P5830" s="317"/>
      <c r="Q5830" s="317"/>
      <c r="R5830" s="317"/>
      <c r="S5830" s="317"/>
      <c r="T5830" s="317"/>
      <c r="U5830" s="317"/>
      <c r="V5830" s="317"/>
      <c r="W5830" s="317"/>
      <c r="X5830" s="317"/>
      <c r="Y5830" s="317"/>
      <c r="Z5830" s="317"/>
      <c r="AA5830" s="317"/>
      <c r="AB5830" s="317"/>
      <c r="AC5830" s="317"/>
      <c r="AD5830" s="317"/>
      <c r="AE5830" s="317"/>
      <c r="AF5830" s="317"/>
      <c r="AG5830" s="317"/>
      <c r="AH5830" s="317"/>
      <c r="AI5830" s="317"/>
      <c r="AJ5830" s="317"/>
      <c r="AK5830" s="317"/>
      <c r="AL5830" s="317"/>
      <c r="AM5830" s="317"/>
      <c r="AN5830" s="317"/>
      <c r="AO5830" s="317"/>
    </row>
    <row r="5831" spans="1:44" hidden="1" outlineLevel="2">
      <c r="B5831" s="2" t="s">
        <v>833</v>
      </c>
      <c r="D5831" s="114" t="s">
        <v>4815</v>
      </c>
      <c r="E5831" s="114"/>
      <c r="F5831" s="114" t="s">
        <v>4815</v>
      </c>
      <c r="G5831" s="114" t="b">
        <v>1</v>
      </c>
      <c r="H5831" s="114" t="b">
        <v>1</v>
      </c>
      <c r="I5831" s="114" t="b">
        <v>1</v>
      </c>
      <c r="J5831" s="114" t="s">
        <v>5926</v>
      </c>
      <c r="K5831" s="114" t="s">
        <v>1412</v>
      </c>
      <c r="L5831" s="114" t="s">
        <v>5926</v>
      </c>
      <c r="M5831" s="317"/>
      <c r="N5831" s="317"/>
      <c r="O5831" s="317"/>
      <c r="P5831" s="317"/>
      <c r="Q5831" s="317"/>
      <c r="R5831" s="317"/>
      <c r="S5831" s="317"/>
      <c r="T5831" s="317"/>
      <c r="U5831" s="317"/>
      <c r="V5831" s="317"/>
      <c r="W5831" s="317"/>
      <c r="X5831" s="317"/>
      <c r="Y5831" s="317"/>
      <c r="Z5831" s="317"/>
      <c r="AA5831" s="317"/>
      <c r="AB5831" s="317"/>
      <c r="AC5831" s="317"/>
      <c r="AD5831" s="317"/>
      <c r="AE5831" s="317"/>
      <c r="AF5831" s="317"/>
      <c r="AG5831" s="317"/>
      <c r="AH5831" s="317"/>
      <c r="AI5831" s="317"/>
      <c r="AJ5831" s="317"/>
      <c r="AK5831" s="317"/>
      <c r="AL5831" s="317"/>
      <c r="AM5831" s="317"/>
      <c r="AN5831" s="317"/>
      <c r="AO5831" s="317"/>
    </row>
    <row r="5832" spans="1:44" hidden="1" outlineLevel="2">
      <c r="B5832" s="2" t="s">
        <v>833</v>
      </c>
      <c r="D5832" s="112" t="s">
        <v>4815</v>
      </c>
      <c r="E5832" s="112"/>
      <c r="F5832" s="112"/>
      <c r="G5832" s="112"/>
      <c r="H5832" s="112"/>
      <c r="I5832" s="112" t="b">
        <v>1</v>
      </c>
      <c r="J5832" s="112" t="s">
        <v>5927</v>
      </c>
      <c r="K5832" s="112" t="s">
        <v>1412</v>
      </c>
      <c r="L5832" s="114" t="s">
        <v>1419</v>
      </c>
      <c r="M5832" s="317"/>
      <c r="N5832" s="317"/>
      <c r="O5832" s="317"/>
      <c r="P5832" s="317"/>
      <c r="Q5832" s="317"/>
      <c r="R5832" s="317"/>
      <c r="S5832" s="317"/>
      <c r="T5832" s="317"/>
      <c r="U5832" s="317"/>
      <c r="V5832" s="317"/>
      <c r="W5832" s="317"/>
      <c r="X5832" s="317"/>
      <c r="Y5832" s="317"/>
      <c r="Z5832" s="317"/>
      <c r="AA5832" s="317"/>
      <c r="AB5832" s="317"/>
      <c r="AC5832" s="317"/>
      <c r="AD5832" s="317"/>
      <c r="AE5832" s="317"/>
      <c r="AF5832" s="317"/>
      <c r="AG5832" s="317"/>
      <c r="AH5832" s="317"/>
      <c r="AI5832" s="317"/>
      <c r="AJ5832" s="317"/>
      <c r="AK5832" s="317"/>
      <c r="AL5832" s="317"/>
      <c r="AM5832" s="317"/>
      <c r="AN5832" s="317"/>
      <c r="AO5832" s="317"/>
    </row>
    <row r="5833" spans="1:44" hidden="1" outlineLevel="2">
      <c r="B5833" s="2" t="s">
        <v>833</v>
      </c>
      <c r="D5833" s="114" t="s">
        <v>4815</v>
      </c>
      <c r="E5833" s="114"/>
      <c r="F5833" s="114"/>
      <c r="G5833" s="114"/>
      <c r="H5833" s="114"/>
      <c r="I5833" s="114" t="b">
        <v>0</v>
      </c>
      <c r="J5833" s="114" t="s">
        <v>5929</v>
      </c>
      <c r="K5833" s="114" t="s">
        <v>1412</v>
      </c>
      <c r="L5833" s="114" t="s">
        <v>1417</v>
      </c>
      <c r="M5833" s="317"/>
      <c r="N5833" s="317"/>
      <c r="O5833" s="317"/>
      <c r="P5833" s="317"/>
      <c r="Q5833" s="317"/>
      <c r="R5833" s="317"/>
      <c r="S5833" s="317"/>
      <c r="T5833" s="317"/>
      <c r="U5833" s="317"/>
      <c r="V5833" s="317"/>
      <c r="W5833" s="317"/>
      <c r="X5833" s="317"/>
      <c r="Y5833" s="317"/>
      <c r="Z5833" s="317"/>
      <c r="AA5833" s="317"/>
      <c r="AB5833" s="317"/>
      <c r="AC5833" s="317"/>
      <c r="AD5833" s="317"/>
      <c r="AE5833" s="317"/>
      <c r="AF5833" s="317"/>
      <c r="AG5833" s="317"/>
      <c r="AH5833" s="317"/>
      <c r="AI5833" s="317"/>
      <c r="AJ5833" s="317"/>
      <c r="AK5833" s="317"/>
      <c r="AL5833" s="317"/>
      <c r="AM5833" s="317"/>
      <c r="AN5833" s="317"/>
      <c r="AO5833" s="317"/>
    </row>
    <row r="5834" spans="1:44" s="317" customFormat="1" hidden="1" outlineLevel="2">
      <c r="A5834" s="2"/>
      <c r="B5834" s="2" t="s">
        <v>833</v>
      </c>
      <c r="D5834" s="112" t="s">
        <v>4816</v>
      </c>
      <c r="E5834" s="112"/>
      <c r="F5834" s="112"/>
      <c r="G5834" s="112"/>
      <c r="H5834" s="112"/>
      <c r="I5834" s="112"/>
      <c r="J5834" s="112" t="s">
        <v>5927</v>
      </c>
      <c r="K5834" s="112" t="s">
        <v>1412</v>
      </c>
      <c r="L5834" s="114" t="s">
        <v>1419</v>
      </c>
    </row>
    <row r="5835" spans="1:44" s="317" customFormat="1" hidden="1" outlineLevel="2">
      <c r="A5835" s="2"/>
      <c r="B5835" s="2" t="s">
        <v>833</v>
      </c>
    </row>
    <row r="5836" spans="1:44" hidden="1" outlineLevel="1" collapsed="1">
      <c r="B5836" s="2" t="s">
        <v>833</v>
      </c>
      <c r="C5836" s="137" t="s">
        <v>519</v>
      </c>
      <c r="D5836" s="298" t="s">
        <v>5844</v>
      </c>
      <c r="E5836" s="298" t="s">
        <v>5930</v>
      </c>
      <c r="F5836" s="298" t="s">
        <v>5931</v>
      </c>
      <c r="G5836" s="298" t="s">
        <v>5932</v>
      </c>
      <c r="H5836" s="298" t="s">
        <v>5933</v>
      </c>
      <c r="I5836" s="298" t="s">
        <v>5934</v>
      </c>
      <c r="J5836" s="298" t="s">
        <v>5935</v>
      </c>
      <c r="K5836" s="298" t="s">
        <v>5936</v>
      </c>
      <c r="L5836" s="298" t="s">
        <v>5937</v>
      </c>
      <c r="M5836" s="298" t="s">
        <v>5938</v>
      </c>
      <c r="N5836" s="298" t="s">
        <v>5939</v>
      </c>
      <c r="O5836" s="298" t="s">
        <v>8821</v>
      </c>
      <c r="P5836" s="298" t="s">
        <v>5940</v>
      </c>
      <c r="Q5836" s="239" t="s">
        <v>5941</v>
      </c>
      <c r="R5836" s="239" t="s">
        <v>5942</v>
      </c>
      <c r="S5836" s="239" t="s">
        <v>5812</v>
      </c>
      <c r="T5836" s="317"/>
      <c r="U5836" s="317"/>
      <c r="V5836" s="317"/>
      <c r="W5836" s="317"/>
      <c r="X5836" s="317"/>
      <c r="Y5836" s="317"/>
      <c r="Z5836" s="317"/>
      <c r="AA5836" s="317"/>
      <c r="AB5836" s="317"/>
      <c r="AC5836" s="317"/>
      <c r="AD5836" s="317"/>
      <c r="AE5836" s="317"/>
      <c r="AF5836" s="317"/>
      <c r="AG5836" s="317"/>
      <c r="AH5836" s="317"/>
      <c r="AI5836" s="317"/>
      <c r="AJ5836" s="317"/>
      <c r="AK5836" s="317"/>
      <c r="AL5836" s="317"/>
      <c r="AM5836" s="317"/>
      <c r="AN5836" s="317"/>
      <c r="AO5836" s="317"/>
      <c r="AP5836" s="317"/>
      <c r="AQ5836" s="317"/>
      <c r="AR5836" s="317"/>
    </row>
    <row r="5837" spans="1:44" hidden="1" outlineLevel="2">
      <c r="B5837" s="2" t="s">
        <v>833</v>
      </c>
      <c r="D5837" s="138" t="s">
        <v>5943</v>
      </c>
      <c r="E5837" s="138" t="s">
        <v>5944</v>
      </c>
      <c r="F5837" s="138" t="s">
        <v>5945</v>
      </c>
      <c r="G5837" s="138" t="s">
        <v>5946</v>
      </c>
      <c r="H5837" s="138" t="s">
        <v>5947</v>
      </c>
      <c r="I5837" s="138" t="s">
        <v>5948</v>
      </c>
      <c r="J5837" s="138" t="s">
        <v>5949</v>
      </c>
      <c r="K5837" s="138" t="s">
        <v>5950</v>
      </c>
      <c r="L5837" s="138" t="s">
        <v>5951</v>
      </c>
      <c r="M5837" s="138" t="s">
        <v>5952</v>
      </c>
      <c r="N5837" s="138" t="s">
        <v>5953</v>
      </c>
      <c r="O5837" s="138" t="s">
        <v>8822</v>
      </c>
      <c r="P5837" s="138" t="s">
        <v>5954</v>
      </c>
      <c r="Q5837" s="138" t="s">
        <v>5841</v>
      </c>
      <c r="R5837" s="138" t="s">
        <v>5841</v>
      </c>
      <c r="S5837" s="138"/>
      <c r="T5837" s="317"/>
      <c r="U5837" s="317"/>
      <c r="V5837" s="317"/>
      <c r="W5837" s="317"/>
      <c r="X5837" s="317"/>
      <c r="Y5837" s="317"/>
      <c r="Z5837" s="317"/>
      <c r="AA5837" s="317"/>
      <c r="AB5837" s="317"/>
      <c r="AC5837" s="317"/>
      <c r="AD5837" s="317"/>
      <c r="AE5837" s="317"/>
      <c r="AF5837" s="317"/>
      <c r="AG5837" s="317"/>
      <c r="AH5837" s="317"/>
      <c r="AI5837" s="317"/>
      <c r="AJ5837" s="317"/>
      <c r="AK5837" s="317"/>
      <c r="AL5837" s="317"/>
      <c r="AM5837" s="317"/>
      <c r="AN5837" s="317"/>
      <c r="AO5837" s="317"/>
      <c r="AP5837" s="317"/>
      <c r="AQ5837" s="317"/>
      <c r="AR5837" s="317"/>
    </row>
    <row r="5838" spans="1:44" hidden="1" outlineLevel="2">
      <c r="B5838" s="2" t="s">
        <v>833</v>
      </c>
      <c r="D5838" s="112" t="s">
        <v>5707</v>
      </c>
      <c r="E5838" s="112"/>
      <c r="F5838" s="112"/>
      <c r="G5838" s="112">
        <v>150000</v>
      </c>
      <c r="H5838" s="112"/>
      <c r="I5838" s="112"/>
      <c r="J5838" s="112"/>
      <c r="K5838" s="112"/>
      <c r="L5838" s="112"/>
      <c r="M5838" s="112"/>
      <c r="N5838" s="112"/>
      <c r="O5838" s="112" t="b">
        <v>1</v>
      </c>
      <c r="P5838" s="112" t="s">
        <v>5955</v>
      </c>
      <c r="Q5838" s="112" t="s">
        <v>5856</v>
      </c>
      <c r="R5838" s="112">
        <v>-0.15</v>
      </c>
      <c r="S5838" s="112" t="s">
        <v>5856</v>
      </c>
      <c r="T5838" s="317"/>
      <c r="U5838" s="317"/>
      <c r="V5838" s="317"/>
      <c r="W5838" s="317"/>
      <c r="X5838" s="317"/>
      <c r="Y5838" s="317"/>
      <c r="Z5838" s="317"/>
      <c r="AA5838" s="317"/>
      <c r="AB5838" s="317"/>
      <c r="AC5838" s="317"/>
      <c r="AD5838" s="317"/>
      <c r="AE5838" s="317"/>
      <c r="AF5838" s="317"/>
      <c r="AG5838" s="317"/>
      <c r="AH5838" s="317"/>
      <c r="AI5838" s="317"/>
      <c r="AJ5838" s="317"/>
      <c r="AK5838" s="317"/>
      <c r="AL5838" s="317"/>
      <c r="AM5838" s="317"/>
      <c r="AN5838" s="317"/>
      <c r="AO5838" s="317"/>
      <c r="AP5838" s="317"/>
      <c r="AQ5838" s="317"/>
      <c r="AR5838" s="317"/>
    </row>
    <row r="5839" spans="1:44" hidden="1" outlineLevel="2">
      <c r="B5839" s="2" t="s">
        <v>833</v>
      </c>
      <c r="D5839" s="114" t="s">
        <v>5707</v>
      </c>
      <c r="E5839" s="114"/>
      <c r="F5839" s="114"/>
      <c r="G5839" s="114">
        <v>150000</v>
      </c>
      <c r="H5839" s="114"/>
      <c r="I5839" s="114"/>
      <c r="J5839" s="114"/>
      <c r="K5839" s="114"/>
      <c r="L5839" s="114" t="b">
        <v>1</v>
      </c>
      <c r="M5839" s="114"/>
      <c r="N5839" s="114">
        <v>80</v>
      </c>
      <c r="O5839" s="114"/>
      <c r="P5839" s="114" t="s">
        <v>5956</v>
      </c>
      <c r="Q5839" s="114" t="s">
        <v>5856</v>
      </c>
      <c r="R5839" s="114">
        <v>-1.4</v>
      </c>
      <c r="S5839" s="114" t="s">
        <v>5856</v>
      </c>
      <c r="T5839" s="317"/>
      <c r="U5839" s="317"/>
      <c r="V5839" s="317"/>
      <c r="W5839" s="317"/>
      <c r="X5839" s="317"/>
      <c r="Y5839" s="317"/>
      <c r="Z5839" s="317"/>
      <c r="AA5839" s="317"/>
      <c r="AB5839" s="317"/>
      <c r="AC5839" s="317"/>
      <c r="AD5839" s="317"/>
      <c r="AE5839" s="317"/>
      <c r="AF5839" s="317"/>
      <c r="AG5839" s="317"/>
      <c r="AH5839" s="317"/>
      <c r="AI5839" s="317"/>
      <c r="AJ5839" s="317"/>
      <c r="AK5839" s="317"/>
      <c r="AL5839" s="317"/>
      <c r="AM5839" s="317"/>
      <c r="AN5839" s="317"/>
      <c r="AO5839" s="317"/>
      <c r="AP5839" s="317"/>
      <c r="AQ5839" s="317"/>
      <c r="AR5839" s="317"/>
    </row>
    <row r="5840" spans="1:44" hidden="1" outlineLevel="2">
      <c r="B5840" s="2" t="s">
        <v>833</v>
      </c>
      <c r="D5840" s="112" t="s">
        <v>5707</v>
      </c>
      <c r="E5840" s="112"/>
      <c r="F5840" s="112"/>
      <c r="G5840" s="112">
        <v>150000</v>
      </c>
      <c r="H5840" s="112"/>
      <c r="I5840" s="112"/>
      <c r="J5840" s="112"/>
      <c r="K5840" s="112"/>
      <c r="L5840" s="112"/>
      <c r="M5840" s="112"/>
      <c r="N5840" s="112">
        <v>80</v>
      </c>
      <c r="O5840" s="112"/>
      <c r="P5840" s="112" t="s">
        <v>5957</v>
      </c>
      <c r="Q5840" s="112" t="s">
        <v>5856</v>
      </c>
      <c r="R5840" s="112">
        <v>-1.4</v>
      </c>
      <c r="S5840" s="112" t="s">
        <v>5856</v>
      </c>
      <c r="T5840" s="317"/>
      <c r="U5840" s="317"/>
      <c r="V5840" s="317"/>
      <c r="W5840" s="317"/>
      <c r="X5840" s="317"/>
      <c r="Y5840" s="317"/>
      <c r="Z5840" s="317"/>
      <c r="AA5840" s="317"/>
      <c r="AB5840" s="317"/>
      <c r="AC5840" s="317"/>
      <c r="AD5840" s="317"/>
      <c r="AE5840" s="317"/>
      <c r="AF5840" s="317"/>
      <c r="AG5840" s="317"/>
      <c r="AH5840" s="317"/>
      <c r="AI5840" s="317"/>
      <c r="AJ5840" s="317"/>
      <c r="AK5840" s="317"/>
      <c r="AL5840" s="317"/>
      <c r="AM5840" s="317"/>
      <c r="AN5840" s="317"/>
      <c r="AO5840" s="317"/>
      <c r="AP5840" s="317"/>
      <c r="AQ5840" s="317"/>
      <c r="AR5840" s="317"/>
    </row>
    <row r="5841" spans="1:44" hidden="1" outlineLevel="2">
      <c r="B5841" s="2" t="s">
        <v>833</v>
      </c>
      <c r="D5841" s="114" t="s">
        <v>5707</v>
      </c>
      <c r="E5841" s="114"/>
      <c r="F5841" s="114"/>
      <c r="G5841" s="114">
        <v>150000</v>
      </c>
      <c r="H5841" s="114"/>
      <c r="I5841" s="114"/>
      <c r="J5841" s="114"/>
      <c r="K5841" s="114"/>
      <c r="L5841" s="114" t="b">
        <v>1</v>
      </c>
      <c r="M5841" s="114">
        <v>80.010000000000005</v>
      </c>
      <c r="N5841" s="114"/>
      <c r="O5841" s="114"/>
      <c r="P5841" s="114" t="s">
        <v>5956</v>
      </c>
      <c r="Q5841" s="114" t="s">
        <v>5856</v>
      </c>
      <c r="R5841" s="114">
        <v>-1.2</v>
      </c>
      <c r="S5841" s="114" t="s">
        <v>5856</v>
      </c>
      <c r="T5841" s="317"/>
      <c r="U5841" s="317"/>
      <c r="V5841" s="317"/>
      <c r="W5841" s="317"/>
      <c r="X5841" s="317"/>
      <c r="Y5841" s="317"/>
      <c r="Z5841" s="317"/>
      <c r="AA5841" s="317"/>
      <c r="AB5841" s="317"/>
      <c r="AC5841" s="317"/>
      <c r="AD5841" s="317"/>
      <c r="AE5841" s="317"/>
      <c r="AF5841" s="317"/>
      <c r="AG5841" s="317"/>
      <c r="AH5841" s="317"/>
      <c r="AI5841" s="317"/>
      <c r="AJ5841" s="317"/>
      <c r="AK5841" s="317"/>
      <c r="AL5841" s="317"/>
      <c r="AM5841" s="317"/>
      <c r="AN5841" s="317"/>
      <c r="AO5841" s="317"/>
      <c r="AP5841" s="317"/>
      <c r="AQ5841" s="317"/>
      <c r="AR5841" s="317"/>
    </row>
    <row r="5842" spans="1:44" hidden="1" outlineLevel="2">
      <c r="B5842" s="2" t="s">
        <v>833</v>
      </c>
      <c r="D5842" s="112" t="s">
        <v>5707</v>
      </c>
      <c r="E5842" s="112"/>
      <c r="F5842" s="112"/>
      <c r="G5842" s="112">
        <v>150000</v>
      </c>
      <c r="H5842" s="112"/>
      <c r="I5842" s="112"/>
      <c r="J5842" s="112"/>
      <c r="K5842" s="112"/>
      <c r="L5842" s="112"/>
      <c r="M5842" s="112">
        <v>80.010000000000005</v>
      </c>
      <c r="N5842" s="112"/>
      <c r="O5842" s="112"/>
      <c r="P5842" s="112" t="s">
        <v>5957</v>
      </c>
      <c r="Q5842" s="112" t="s">
        <v>5856</v>
      </c>
      <c r="R5842" s="112">
        <v>-1.2</v>
      </c>
      <c r="S5842" s="112" t="s">
        <v>5856</v>
      </c>
      <c r="T5842" s="317"/>
      <c r="U5842" s="317"/>
      <c r="V5842" s="317"/>
      <c r="W5842" s="317"/>
      <c r="X5842" s="317"/>
      <c r="Y5842" s="317"/>
      <c r="Z5842" s="317"/>
      <c r="AA5842" s="317"/>
      <c r="AB5842" s="317"/>
      <c r="AC5842" s="317"/>
      <c r="AD5842" s="317"/>
      <c r="AE5842" s="317"/>
      <c r="AF5842" s="317"/>
      <c r="AG5842" s="317"/>
      <c r="AH5842" s="317"/>
      <c r="AI5842" s="317"/>
      <c r="AJ5842" s="317"/>
      <c r="AK5842" s="317"/>
      <c r="AL5842" s="317"/>
      <c r="AM5842" s="317"/>
      <c r="AN5842" s="317"/>
      <c r="AO5842" s="317"/>
      <c r="AP5842" s="317"/>
      <c r="AQ5842" s="317"/>
      <c r="AR5842" s="317"/>
    </row>
    <row r="5843" spans="1:44" hidden="1" outlineLevel="2">
      <c r="B5843" s="2" t="s">
        <v>833</v>
      </c>
      <c r="D5843" s="114" t="s">
        <v>5958</v>
      </c>
      <c r="E5843" s="114"/>
      <c r="F5843" s="114"/>
      <c r="G5843" s="114"/>
      <c r="H5843" s="114">
        <v>700000</v>
      </c>
      <c r="I5843" s="114"/>
      <c r="J5843" s="114"/>
      <c r="K5843" s="114"/>
      <c r="L5843" s="114"/>
      <c r="M5843" s="114"/>
      <c r="N5843" s="114"/>
      <c r="O5843" s="114"/>
      <c r="P5843" s="114" t="s">
        <v>5877</v>
      </c>
      <c r="Q5843" s="114" t="s">
        <v>5856</v>
      </c>
      <c r="R5843" s="114">
        <v>-0.6</v>
      </c>
      <c r="S5843" s="114" t="s">
        <v>5856</v>
      </c>
      <c r="T5843" s="317"/>
      <c r="U5843" s="317"/>
      <c r="V5843" s="317"/>
      <c r="W5843" s="317"/>
      <c r="X5843" s="317"/>
      <c r="Y5843" s="317"/>
      <c r="Z5843" s="317"/>
      <c r="AA5843" s="317"/>
      <c r="AB5843" s="317"/>
      <c r="AC5843" s="317"/>
      <c r="AD5843" s="317"/>
      <c r="AE5843" s="317"/>
      <c r="AF5843" s="317"/>
      <c r="AG5843" s="317"/>
      <c r="AH5843" s="317"/>
      <c r="AI5843" s="317"/>
      <c r="AJ5843" s="317"/>
      <c r="AK5843" s="317"/>
      <c r="AL5843" s="317"/>
      <c r="AM5843" s="317"/>
      <c r="AN5843" s="317"/>
      <c r="AO5843" s="317"/>
      <c r="AP5843" s="317"/>
      <c r="AQ5843" s="317"/>
      <c r="AR5843" s="317"/>
    </row>
    <row r="5844" spans="1:44" hidden="1" outlineLevel="2">
      <c r="B5844" s="2" t="s">
        <v>833</v>
      </c>
      <c r="D5844" s="112" t="s">
        <v>5958</v>
      </c>
      <c r="E5844" s="112"/>
      <c r="F5844" s="112"/>
      <c r="G5844" s="112"/>
      <c r="H5844" s="112">
        <v>700000</v>
      </c>
      <c r="I5844" s="112"/>
      <c r="J5844" s="112"/>
      <c r="K5844" s="112"/>
      <c r="L5844" s="112"/>
      <c r="M5844" s="112"/>
      <c r="N5844" s="112"/>
      <c r="O5844" s="112"/>
      <c r="P5844" s="112" t="s">
        <v>5959</v>
      </c>
      <c r="Q5844" s="112" t="s">
        <v>5856</v>
      </c>
      <c r="R5844" s="112">
        <v>-0.7</v>
      </c>
      <c r="S5844" s="112" t="s">
        <v>5856</v>
      </c>
      <c r="T5844" s="317"/>
      <c r="U5844" s="317"/>
      <c r="V5844" s="317"/>
      <c r="W5844" s="317"/>
      <c r="X5844" s="317"/>
      <c r="Y5844" s="317"/>
      <c r="Z5844" s="317"/>
      <c r="AA5844" s="317"/>
      <c r="AB5844" s="317"/>
      <c r="AC5844" s="317"/>
      <c r="AD5844" s="317"/>
      <c r="AE5844" s="317"/>
      <c r="AF5844" s="317"/>
      <c r="AG5844" s="317"/>
      <c r="AH5844" s="317"/>
      <c r="AI5844" s="317"/>
      <c r="AJ5844" s="317"/>
      <c r="AK5844" s="317"/>
      <c r="AL5844" s="317"/>
      <c r="AM5844" s="317"/>
      <c r="AN5844" s="317"/>
      <c r="AO5844" s="317"/>
      <c r="AP5844" s="317"/>
      <c r="AQ5844" s="317"/>
      <c r="AR5844" s="317"/>
    </row>
    <row r="5845" spans="1:44" hidden="1" outlineLevel="2">
      <c r="B5845" s="2" t="s">
        <v>833</v>
      </c>
      <c r="D5845" s="114" t="s">
        <v>5958</v>
      </c>
      <c r="E5845" s="114"/>
      <c r="F5845" s="114"/>
      <c r="G5845" s="114"/>
      <c r="H5845" s="114">
        <v>250000</v>
      </c>
      <c r="I5845" s="114"/>
      <c r="J5845" s="114"/>
      <c r="K5845" s="114"/>
      <c r="L5845" s="114"/>
      <c r="M5845" s="114"/>
      <c r="N5845" s="114"/>
      <c r="O5845" s="114"/>
      <c r="P5845" s="114" t="s">
        <v>5960</v>
      </c>
      <c r="Q5845" s="114" t="s">
        <v>5856</v>
      </c>
      <c r="R5845" s="114">
        <v>-0.6</v>
      </c>
      <c r="S5845" s="114" t="s">
        <v>5856</v>
      </c>
      <c r="T5845" s="317"/>
      <c r="U5845" s="317"/>
      <c r="V5845" s="317"/>
      <c r="W5845" s="317"/>
      <c r="X5845" s="317"/>
      <c r="Y5845" s="317"/>
      <c r="Z5845" s="317"/>
      <c r="AA5845" s="317"/>
      <c r="AB5845" s="317"/>
      <c r="AC5845" s="317"/>
      <c r="AD5845" s="317"/>
      <c r="AE5845" s="317"/>
      <c r="AF5845" s="317"/>
      <c r="AG5845" s="317"/>
      <c r="AH5845" s="317"/>
      <c r="AI5845" s="317"/>
      <c r="AJ5845" s="317"/>
      <c r="AK5845" s="317"/>
      <c r="AL5845" s="317"/>
      <c r="AM5845" s="317"/>
      <c r="AN5845" s="317"/>
      <c r="AO5845" s="317"/>
      <c r="AP5845" s="317"/>
      <c r="AQ5845" s="317"/>
      <c r="AR5845" s="317"/>
    </row>
    <row r="5846" spans="1:44" s="317" customFormat="1" hidden="1" outlineLevel="2">
      <c r="A5846" s="2"/>
      <c r="B5846" s="2" t="s">
        <v>833</v>
      </c>
      <c r="D5846" s="112" t="s">
        <v>5958</v>
      </c>
      <c r="E5846" s="112"/>
      <c r="F5846" s="112">
        <v>150000</v>
      </c>
      <c r="G5846" s="112"/>
      <c r="H5846" s="112"/>
      <c r="I5846" s="112"/>
      <c r="J5846" s="112"/>
      <c r="K5846" s="112"/>
      <c r="L5846" s="112"/>
      <c r="M5846" s="112"/>
      <c r="N5846" s="112"/>
      <c r="O5846" s="112"/>
      <c r="P5846" s="112" t="s">
        <v>5960</v>
      </c>
      <c r="Q5846" s="112" t="s">
        <v>5856</v>
      </c>
      <c r="R5846" s="112">
        <v>-0.5</v>
      </c>
      <c r="S5846" s="112" t="s">
        <v>5856</v>
      </c>
    </row>
    <row r="5847" spans="1:44" hidden="1" outlineLevel="2">
      <c r="B5847" s="2" t="s">
        <v>833</v>
      </c>
      <c r="D5847" s="114" t="s">
        <v>5958</v>
      </c>
      <c r="E5847" s="114"/>
      <c r="F5847" s="114">
        <v>100000</v>
      </c>
      <c r="G5847" s="114"/>
      <c r="H5847" s="114"/>
      <c r="I5847" s="114"/>
      <c r="J5847" s="114"/>
      <c r="K5847" s="114"/>
      <c r="L5847" s="114"/>
      <c r="M5847" s="114"/>
      <c r="N5847" s="114"/>
      <c r="O5847" s="114"/>
      <c r="P5847" s="114" t="s">
        <v>5960</v>
      </c>
      <c r="Q5847" s="114" t="s">
        <v>5856</v>
      </c>
      <c r="R5847" s="114">
        <v>-0.25</v>
      </c>
      <c r="S5847" s="114" t="s">
        <v>5856</v>
      </c>
    </row>
    <row r="5848" spans="1:44" hidden="1" outlineLevel="2">
      <c r="B5848" s="2" t="s">
        <v>833</v>
      </c>
      <c r="D5848" s="112" t="s">
        <v>5858</v>
      </c>
      <c r="E5848" s="112"/>
      <c r="F5848" s="112"/>
      <c r="G5848" s="112">
        <v>0</v>
      </c>
      <c r="H5848" s="112"/>
      <c r="I5848" s="112"/>
      <c r="J5848" s="112"/>
      <c r="K5848" s="112"/>
      <c r="L5848" s="112"/>
      <c r="M5848" s="112"/>
      <c r="N5848" s="112"/>
      <c r="O5848" s="112"/>
      <c r="P5848" s="112" t="s">
        <v>5960</v>
      </c>
      <c r="Q5848" s="112" t="s">
        <v>5856</v>
      </c>
      <c r="R5848" s="112">
        <v>-1</v>
      </c>
      <c r="S5848" s="112" t="s">
        <v>5856</v>
      </c>
    </row>
    <row r="5849" spans="1:44" hidden="1" outlineLevel="2">
      <c r="B5849" s="2" t="s">
        <v>833</v>
      </c>
      <c r="D5849" s="114" t="s">
        <v>5858</v>
      </c>
      <c r="E5849" s="114"/>
      <c r="F5849" s="114"/>
      <c r="G5849" s="114"/>
      <c r="H5849" s="114"/>
      <c r="I5849" s="114"/>
      <c r="J5849" s="114"/>
      <c r="K5849" s="114"/>
      <c r="L5849" s="114"/>
      <c r="M5849" s="114"/>
      <c r="N5849" s="114"/>
      <c r="O5849" s="114"/>
      <c r="P5849" s="114" t="s">
        <v>5731</v>
      </c>
      <c r="Q5849" s="114" t="s">
        <v>5856</v>
      </c>
      <c r="R5849" s="114">
        <v>-0.15</v>
      </c>
      <c r="S5849" s="114" t="s">
        <v>5856</v>
      </c>
    </row>
    <row r="5850" spans="1:44" hidden="1" outlineLevel="2">
      <c r="B5850" s="2" t="s">
        <v>833</v>
      </c>
      <c r="D5850" s="112" t="s">
        <v>4480</v>
      </c>
      <c r="E5850" s="112"/>
      <c r="F5850" s="112"/>
      <c r="G5850" s="112"/>
      <c r="H5850" s="112">
        <v>700000</v>
      </c>
      <c r="I5850" s="112"/>
      <c r="J5850" s="112"/>
      <c r="K5850" s="112"/>
      <c r="L5850" s="112"/>
      <c r="M5850" s="112"/>
      <c r="N5850" s="112"/>
      <c r="O5850" s="112"/>
      <c r="P5850" s="112" t="s">
        <v>5961</v>
      </c>
      <c r="Q5850" s="112" t="s">
        <v>5856</v>
      </c>
      <c r="R5850" s="112">
        <v>0</v>
      </c>
      <c r="S5850" s="112" t="s">
        <v>5856</v>
      </c>
    </row>
    <row r="5851" spans="1:44" hidden="1" outlineLevel="2">
      <c r="B5851" s="2" t="s">
        <v>833</v>
      </c>
      <c r="D5851" s="114" t="s">
        <v>4480</v>
      </c>
      <c r="E5851" s="114"/>
      <c r="F5851" s="114"/>
      <c r="G5851" s="114"/>
      <c r="H5851" s="114">
        <v>700000</v>
      </c>
      <c r="I5851" s="114"/>
      <c r="J5851" s="114"/>
      <c r="K5851" s="114"/>
      <c r="L5851" s="114"/>
      <c r="M5851" s="114"/>
      <c r="N5851" s="114"/>
      <c r="O5851" s="114"/>
      <c r="P5851" s="114" t="s">
        <v>5959</v>
      </c>
      <c r="Q5851" s="114" t="s">
        <v>5856</v>
      </c>
      <c r="R5851" s="114">
        <v>0</v>
      </c>
      <c r="S5851" s="114" t="s">
        <v>5856</v>
      </c>
    </row>
    <row r="5852" spans="1:44" hidden="1" outlineLevel="2">
      <c r="B5852" s="2" t="s">
        <v>833</v>
      </c>
      <c r="D5852" s="112" t="s">
        <v>4480</v>
      </c>
      <c r="E5852" s="112"/>
      <c r="F5852" s="112"/>
      <c r="G5852" s="112"/>
      <c r="H5852" s="112">
        <v>250000</v>
      </c>
      <c r="I5852" s="112"/>
      <c r="J5852" s="112"/>
      <c r="K5852" s="112"/>
      <c r="L5852" s="112"/>
      <c r="M5852" s="112"/>
      <c r="N5852" s="112"/>
      <c r="O5852" s="112"/>
      <c r="P5852" s="112" t="s">
        <v>5962</v>
      </c>
      <c r="Q5852" s="112" t="s">
        <v>5856</v>
      </c>
      <c r="R5852" s="112">
        <v>0</v>
      </c>
      <c r="S5852" s="112" t="s">
        <v>5856</v>
      </c>
    </row>
    <row r="5853" spans="1:44" hidden="1" outlineLevel="2">
      <c r="B5853" s="2" t="s">
        <v>833</v>
      </c>
      <c r="D5853" s="114" t="s">
        <v>4480</v>
      </c>
      <c r="E5853" s="114"/>
      <c r="F5853" s="114">
        <v>150000</v>
      </c>
      <c r="G5853" s="114"/>
      <c r="H5853" s="114"/>
      <c r="I5853" s="114"/>
      <c r="J5853" s="114"/>
      <c r="K5853" s="114"/>
      <c r="L5853" s="114"/>
      <c r="M5853" s="114"/>
      <c r="N5853" s="114"/>
      <c r="O5853" s="114"/>
      <c r="P5853" s="114" t="s">
        <v>5962</v>
      </c>
      <c r="Q5853" s="114" t="s">
        <v>5856</v>
      </c>
      <c r="R5853" s="114">
        <v>0</v>
      </c>
      <c r="S5853" s="114" t="s">
        <v>5856</v>
      </c>
    </row>
    <row r="5854" spans="1:44" hidden="1" outlineLevel="2">
      <c r="B5854" s="2" t="s">
        <v>833</v>
      </c>
      <c r="D5854" s="112" t="s">
        <v>4480</v>
      </c>
      <c r="E5854" s="112"/>
      <c r="F5854" s="112">
        <v>100000</v>
      </c>
      <c r="G5854" s="112"/>
      <c r="H5854" s="112"/>
      <c r="I5854" s="112"/>
      <c r="J5854" s="112"/>
      <c r="K5854" s="112"/>
      <c r="L5854" s="112"/>
      <c r="M5854" s="112"/>
      <c r="N5854" s="112"/>
      <c r="O5854" s="112"/>
      <c r="P5854" s="112" t="s">
        <v>5962</v>
      </c>
      <c r="Q5854" s="112" t="s">
        <v>5856</v>
      </c>
      <c r="R5854" s="112">
        <v>0</v>
      </c>
      <c r="S5854" s="112" t="s">
        <v>5856</v>
      </c>
    </row>
    <row r="5855" spans="1:44" hidden="1" outlineLevel="2">
      <c r="B5855" s="2" t="s">
        <v>833</v>
      </c>
      <c r="D5855" s="114" t="s">
        <v>5963</v>
      </c>
      <c r="E5855" s="114"/>
      <c r="F5855" s="114"/>
      <c r="G5855" s="114"/>
      <c r="H5855" s="114">
        <v>700000</v>
      </c>
      <c r="I5855" s="114"/>
      <c r="J5855" s="114"/>
      <c r="K5855" s="114"/>
      <c r="L5855" s="114"/>
      <c r="M5855" s="114"/>
      <c r="N5855" s="114"/>
      <c r="O5855" s="114"/>
      <c r="P5855" s="114" t="s">
        <v>5961</v>
      </c>
      <c r="Q5855" s="114" t="s">
        <v>5856</v>
      </c>
      <c r="R5855" s="114">
        <v>0</v>
      </c>
      <c r="S5855" s="114" t="s">
        <v>5856</v>
      </c>
    </row>
    <row r="5856" spans="1:44" hidden="1" outlineLevel="2">
      <c r="B5856" s="2" t="s">
        <v>833</v>
      </c>
      <c r="D5856" s="112" t="s">
        <v>5963</v>
      </c>
      <c r="E5856" s="112"/>
      <c r="F5856" s="112"/>
      <c r="G5856" s="112"/>
      <c r="H5856" s="112">
        <v>700000</v>
      </c>
      <c r="I5856" s="112"/>
      <c r="J5856" s="112"/>
      <c r="K5856" s="112"/>
      <c r="L5856" s="112"/>
      <c r="M5856" s="112"/>
      <c r="N5856" s="112"/>
      <c r="O5856" s="112"/>
      <c r="P5856" s="112" t="s">
        <v>5959</v>
      </c>
      <c r="Q5856" s="112" t="s">
        <v>5856</v>
      </c>
      <c r="R5856" s="112">
        <v>0</v>
      </c>
      <c r="S5856" s="112" t="s">
        <v>5856</v>
      </c>
    </row>
    <row r="5857" spans="2:41" hidden="1" outlineLevel="2">
      <c r="B5857" s="2" t="s">
        <v>833</v>
      </c>
      <c r="D5857" s="114" t="s">
        <v>5963</v>
      </c>
      <c r="E5857" s="114"/>
      <c r="F5857" s="114"/>
      <c r="G5857" s="114"/>
      <c r="H5857" s="114">
        <v>250000</v>
      </c>
      <c r="I5857" s="114"/>
      <c r="J5857" s="114"/>
      <c r="K5857" s="114"/>
      <c r="L5857" s="114"/>
      <c r="M5857" s="114"/>
      <c r="N5857" s="114"/>
      <c r="O5857" s="114"/>
      <c r="P5857" s="114" t="s">
        <v>5962</v>
      </c>
      <c r="Q5857" s="114" t="s">
        <v>5856</v>
      </c>
      <c r="R5857" s="114">
        <v>0</v>
      </c>
      <c r="S5857" s="114" t="s">
        <v>5856</v>
      </c>
    </row>
    <row r="5858" spans="2:41" hidden="1" outlineLevel="2">
      <c r="B5858" s="2" t="s">
        <v>833</v>
      </c>
      <c r="D5858" s="112" t="s">
        <v>5963</v>
      </c>
      <c r="E5858" s="112"/>
      <c r="F5858" s="112">
        <v>150000</v>
      </c>
      <c r="G5858" s="112"/>
      <c r="H5858" s="112"/>
      <c r="I5858" s="112"/>
      <c r="J5858" s="112"/>
      <c r="K5858" s="112"/>
      <c r="L5858" s="112"/>
      <c r="M5858" s="112"/>
      <c r="N5858" s="112"/>
      <c r="O5858" s="112"/>
      <c r="P5858" s="112" t="s">
        <v>5962</v>
      </c>
      <c r="Q5858" s="112" t="s">
        <v>5856</v>
      </c>
      <c r="R5858" s="112">
        <v>0</v>
      </c>
      <c r="S5858" s="112" t="s">
        <v>5856</v>
      </c>
    </row>
    <row r="5859" spans="2:41" s="317" customFormat="1" hidden="1" outlineLevel="2">
      <c r="B5859" s="2" t="s">
        <v>833</v>
      </c>
    </row>
    <row r="5860" spans="2:41" hidden="1" outlineLevel="1" collapsed="1">
      <c r="B5860" s="2" t="s">
        <v>833</v>
      </c>
      <c r="C5860" s="137" t="s">
        <v>5964</v>
      </c>
      <c r="D5860" s="298" t="s">
        <v>5609</v>
      </c>
      <c r="E5860" s="298" t="s">
        <v>5610</v>
      </c>
      <c r="F5860" s="298" t="s">
        <v>5611</v>
      </c>
      <c r="G5860" s="298" t="s">
        <v>5612</v>
      </c>
      <c r="H5860" s="298" t="s">
        <v>5613</v>
      </c>
      <c r="I5860" s="298" t="s">
        <v>5614</v>
      </c>
      <c r="J5860" s="298" t="s">
        <v>5615</v>
      </c>
      <c r="K5860" s="239" t="s">
        <v>5616</v>
      </c>
      <c r="L5860" s="239" t="s">
        <v>5617</v>
      </c>
      <c r="M5860" s="317"/>
      <c r="N5860" s="317"/>
      <c r="O5860" s="317"/>
      <c r="P5860" s="317"/>
      <c r="Q5860" s="317"/>
      <c r="R5860" s="317"/>
      <c r="S5860" s="317"/>
      <c r="T5860" s="317"/>
      <c r="U5860" s="317"/>
      <c r="V5860" s="317"/>
      <c r="W5860" s="317"/>
      <c r="X5860" s="317"/>
      <c r="Y5860" s="317"/>
      <c r="Z5860" s="317"/>
      <c r="AA5860" s="317"/>
      <c r="AB5860" s="317"/>
      <c r="AC5860" s="317"/>
      <c r="AD5860" s="317"/>
      <c r="AE5860" s="317"/>
      <c r="AF5860" s="317"/>
      <c r="AG5860" s="317"/>
      <c r="AH5860" s="317"/>
      <c r="AI5860" s="317"/>
      <c r="AJ5860" s="317"/>
      <c r="AK5860" s="317"/>
      <c r="AL5860" s="317"/>
      <c r="AM5860" s="317"/>
      <c r="AN5860" s="317"/>
      <c r="AO5860" s="317"/>
    </row>
    <row r="5861" spans="2:41" hidden="1" outlineLevel="2">
      <c r="B5861" s="2" t="s">
        <v>833</v>
      </c>
      <c r="D5861" s="138" t="s">
        <v>5618</v>
      </c>
      <c r="E5861" s="138" t="s">
        <v>5619</v>
      </c>
      <c r="F5861" s="138" t="s">
        <v>5620</v>
      </c>
      <c r="G5861" s="138" t="s">
        <v>5621</v>
      </c>
      <c r="H5861" s="138" t="s">
        <v>5622</v>
      </c>
      <c r="I5861" s="138" t="s">
        <v>5623</v>
      </c>
      <c r="J5861" s="138" t="s">
        <v>5624</v>
      </c>
      <c r="K5861" s="138" t="s">
        <v>5625</v>
      </c>
      <c r="L5861" s="138" t="s">
        <v>5626</v>
      </c>
      <c r="M5861" s="317"/>
      <c r="N5861" s="317"/>
      <c r="O5861" s="317"/>
      <c r="P5861" s="317"/>
      <c r="Q5861" s="317"/>
      <c r="R5861" s="317"/>
      <c r="S5861" s="317"/>
      <c r="T5861" s="317"/>
      <c r="U5861" s="317"/>
      <c r="V5861" s="317"/>
      <c r="W5861" s="317"/>
      <c r="X5861" s="317"/>
      <c r="Y5861" s="317"/>
      <c r="Z5861" s="317"/>
      <c r="AA5861" s="317"/>
      <c r="AB5861" s="317"/>
      <c r="AC5861" s="317"/>
      <c r="AD5861" s="317"/>
      <c r="AE5861" s="317"/>
      <c r="AF5861" s="317"/>
      <c r="AG5861" s="317"/>
      <c r="AH5861" s="317"/>
      <c r="AI5861" s="317"/>
      <c r="AJ5861" s="317"/>
      <c r="AK5861" s="317"/>
      <c r="AL5861" s="317"/>
      <c r="AM5861" s="317"/>
      <c r="AN5861" s="317"/>
      <c r="AO5861" s="317"/>
    </row>
    <row r="5862" spans="2:41" hidden="1" outlineLevel="2">
      <c r="B5862" s="2" t="s">
        <v>833</v>
      </c>
      <c r="D5862" s="112" t="s">
        <v>416</v>
      </c>
      <c r="E5862" s="112"/>
      <c r="F5862" s="112"/>
      <c r="G5862" s="112"/>
      <c r="H5862" s="112"/>
      <c r="I5862" s="112"/>
      <c r="J5862" s="112"/>
      <c r="K5862" s="112" t="b">
        <v>0</v>
      </c>
      <c r="L5862" s="112" t="b">
        <v>0</v>
      </c>
      <c r="M5862" s="317"/>
      <c r="N5862" s="317"/>
      <c r="O5862" s="317"/>
      <c r="P5862" s="317"/>
      <c r="Q5862" s="317"/>
      <c r="R5862" s="317"/>
      <c r="S5862" s="317"/>
      <c r="T5862" s="317"/>
      <c r="U5862" s="317"/>
      <c r="V5862" s="317"/>
      <c r="W5862" s="317"/>
      <c r="X5862" s="317"/>
      <c r="Y5862" s="317"/>
      <c r="Z5862" s="317"/>
      <c r="AA5862" s="317"/>
      <c r="AB5862" s="317"/>
      <c r="AC5862" s="317"/>
      <c r="AD5862" s="317"/>
      <c r="AE5862" s="317"/>
      <c r="AF5862" s="317"/>
      <c r="AG5862" s="317"/>
      <c r="AH5862" s="317"/>
      <c r="AI5862" s="317"/>
      <c r="AJ5862" s="317"/>
      <c r="AK5862" s="317"/>
      <c r="AL5862" s="317"/>
      <c r="AM5862" s="317"/>
      <c r="AN5862" s="317"/>
      <c r="AO5862" s="317"/>
    </row>
    <row r="5863" spans="2:41" hidden="1" outlineLevel="2">
      <c r="B5863" s="2" t="s">
        <v>833</v>
      </c>
      <c r="D5863" s="114" t="s">
        <v>5965</v>
      </c>
      <c r="E5863" s="114"/>
      <c r="F5863" s="114" t="s">
        <v>5966</v>
      </c>
      <c r="G5863" s="114"/>
      <c r="H5863" s="114" t="s">
        <v>5888</v>
      </c>
      <c r="I5863" s="114" t="s">
        <v>494</v>
      </c>
      <c r="J5863" s="114"/>
      <c r="K5863" s="114" t="b">
        <v>1</v>
      </c>
      <c r="L5863" s="114" t="b">
        <v>1</v>
      </c>
      <c r="M5863" s="317"/>
      <c r="N5863" s="317"/>
      <c r="O5863" s="317"/>
      <c r="P5863" s="317"/>
      <c r="Q5863" s="317"/>
      <c r="R5863" s="317"/>
      <c r="S5863" s="317"/>
      <c r="T5863" s="317"/>
      <c r="U5863" s="317"/>
      <c r="V5863" s="317"/>
      <c r="W5863" s="317"/>
      <c r="X5863" s="317"/>
      <c r="Y5863" s="317"/>
      <c r="Z5863" s="317"/>
      <c r="AA5863" s="317"/>
      <c r="AB5863" s="317"/>
      <c r="AC5863" s="317"/>
      <c r="AD5863" s="317"/>
      <c r="AE5863" s="317"/>
      <c r="AF5863" s="317"/>
      <c r="AG5863" s="317"/>
      <c r="AH5863" s="317"/>
      <c r="AI5863" s="317"/>
      <c r="AJ5863" s="317"/>
      <c r="AK5863" s="317"/>
      <c r="AL5863" s="317"/>
      <c r="AM5863" s="317"/>
      <c r="AN5863" s="317"/>
      <c r="AO5863" s="317"/>
    </row>
    <row r="5864" spans="2:41" hidden="1" outlineLevel="2">
      <c r="B5864" s="2" t="s">
        <v>833</v>
      </c>
      <c r="D5864" s="112" t="s">
        <v>5965</v>
      </c>
      <c r="E5864" s="112"/>
      <c r="F5864" s="112" t="s">
        <v>5966</v>
      </c>
      <c r="G5864" s="112"/>
      <c r="H5864" s="112" t="s">
        <v>5881</v>
      </c>
      <c r="I5864" s="112" t="s">
        <v>5628</v>
      </c>
      <c r="J5864" s="112"/>
      <c r="K5864" s="112" t="b">
        <v>0</v>
      </c>
      <c r="L5864" s="112" t="b">
        <v>1</v>
      </c>
      <c r="M5864" s="317"/>
      <c r="N5864" s="317"/>
      <c r="O5864" s="317"/>
      <c r="P5864" s="317"/>
      <c r="Q5864" s="317"/>
      <c r="R5864" s="317"/>
      <c r="S5864" s="317"/>
      <c r="T5864" s="317"/>
      <c r="U5864" s="317"/>
      <c r="V5864" s="317"/>
      <c r="W5864" s="317"/>
      <c r="X5864" s="317"/>
      <c r="Y5864" s="317"/>
      <c r="Z5864" s="317"/>
      <c r="AA5864" s="317"/>
      <c r="AB5864" s="317"/>
      <c r="AC5864" s="317"/>
      <c r="AD5864" s="317"/>
      <c r="AE5864" s="317"/>
      <c r="AF5864" s="317"/>
      <c r="AG5864" s="317"/>
      <c r="AH5864" s="317"/>
      <c r="AI5864" s="317"/>
      <c r="AJ5864" s="317"/>
      <c r="AK5864" s="317"/>
      <c r="AL5864" s="317"/>
      <c r="AM5864" s="317"/>
      <c r="AN5864" s="317"/>
      <c r="AO5864" s="317"/>
    </row>
    <row r="5865" spans="2:41" hidden="1" outlineLevel="2">
      <c r="B5865" s="2" t="s">
        <v>833</v>
      </c>
      <c r="D5865" s="114" t="s">
        <v>5965</v>
      </c>
      <c r="E5865" s="114"/>
      <c r="F5865" s="114" t="s">
        <v>5966</v>
      </c>
      <c r="G5865" s="114"/>
      <c r="H5865" s="114" t="s">
        <v>5888</v>
      </c>
      <c r="I5865" s="114" t="s">
        <v>498</v>
      </c>
      <c r="J5865" s="114"/>
      <c r="K5865" s="114" t="b">
        <v>1</v>
      </c>
      <c r="L5865" s="114"/>
      <c r="M5865" s="317"/>
      <c r="N5865" s="317"/>
      <c r="O5865" s="317"/>
      <c r="P5865" s="317"/>
      <c r="Q5865" s="317"/>
      <c r="R5865" s="317"/>
      <c r="S5865" s="317"/>
      <c r="T5865" s="317"/>
      <c r="U5865" s="317"/>
      <c r="V5865" s="317"/>
      <c r="W5865" s="317"/>
      <c r="X5865" s="317"/>
      <c r="Y5865" s="317"/>
      <c r="Z5865" s="317"/>
      <c r="AA5865" s="317"/>
      <c r="AB5865" s="317"/>
      <c r="AC5865" s="317"/>
      <c r="AD5865" s="317"/>
      <c r="AE5865" s="317"/>
      <c r="AF5865" s="317"/>
      <c r="AG5865" s="317"/>
      <c r="AH5865" s="317"/>
      <c r="AI5865" s="317"/>
      <c r="AJ5865" s="317"/>
      <c r="AK5865" s="317"/>
      <c r="AL5865" s="317"/>
      <c r="AM5865" s="317"/>
      <c r="AN5865" s="317"/>
      <c r="AO5865" s="317"/>
    </row>
    <row r="5866" spans="2:41" hidden="1" outlineLevel="2">
      <c r="B5866" s="2" t="s">
        <v>833</v>
      </c>
      <c r="D5866" s="112" t="s">
        <v>5965</v>
      </c>
      <c r="E5866" s="112"/>
      <c r="F5866" s="112" t="s">
        <v>5967</v>
      </c>
      <c r="G5866" s="112"/>
      <c r="H5866" s="112" t="s">
        <v>5967</v>
      </c>
      <c r="I5866" s="112" t="s">
        <v>494</v>
      </c>
      <c r="J5866" s="112"/>
      <c r="K5866" s="112" t="b">
        <v>1</v>
      </c>
      <c r="L5866" s="112" t="b">
        <v>1</v>
      </c>
      <c r="M5866" s="317"/>
      <c r="N5866" s="317"/>
      <c r="O5866" s="317"/>
      <c r="P5866" s="317"/>
      <c r="Q5866" s="317"/>
      <c r="R5866" s="317"/>
      <c r="S5866" s="317"/>
      <c r="T5866" s="317"/>
      <c r="U5866" s="317"/>
      <c r="V5866" s="317"/>
      <c r="W5866" s="317"/>
      <c r="X5866" s="317"/>
      <c r="Y5866" s="317"/>
      <c r="Z5866" s="317"/>
      <c r="AA5866" s="317"/>
      <c r="AB5866" s="317"/>
      <c r="AC5866" s="317"/>
      <c r="AD5866" s="317"/>
      <c r="AE5866" s="317"/>
      <c r="AF5866" s="317"/>
      <c r="AG5866" s="317"/>
      <c r="AH5866" s="317"/>
      <c r="AI5866" s="317"/>
      <c r="AJ5866" s="317"/>
      <c r="AK5866" s="317"/>
      <c r="AL5866" s="317"/>
      <c r="AM5866" s="317"/>
      <c r="AN5866" s="317"/>
      <c r="AO5866" s="317"/>
    </row>
    <row r="5867" spans="2:41" hidden="1" outlineLevel="2">
      <c r="B5867" s="2" t="s">
        <v>833</v>
      </c>
      <c r="D5867" s="114" t="s">
        <v>5965</v>
      </c>
      <c r="E5867" s="114"/>
      <c r="F5867" s="114"/>
      <c r="G5867" s="114" t="s">
        <v>499</v>
      </c>
      <c r="H5867" s="114"/>
      <c r="I5867" s="114" t="s">
        <v>499</v>
      </c>
      <c r="J5867" s="114" t="b">
        <v>0</v>
      </c>
      <c r="K5867" s="114" t="b">
        <v>1</v>
      </c>
      <c r="L5867" s="114"/>
      <c r="M5867" s="317"/>
      <c r="N5867" s="317"/>
      <c r="O5867" s="317"/>
      <c r="P5867" s="317"/>
      <c r="Q5867" s="317"/>
      <c r="R5867" s="317"/>
      <c r="S5867" s="317"/>
      <c r="T5867" s="317"/>
      <c r="U5867" s="317"/>
      <c r="V5867" s="317"/>
      <c r="W5867" s="317"/>
      <c r="X5867" s="317"/>
      <c r="Y5867" s="317"/>
      <c r="Z5867" s="317"/>
      <c r="AA5867" s="317"/>
      <c r="AB5867" s="317"/>
      <c r="AC5867" s="317"/>
      <c r="AD5867" s="317"/>
      <c r="AE5867" s="317"/>
      <c r="AF5867" s="317"/>
      <c r="AG5867" s="317"/>
      <c r="AH5867" s="317"/>
      <c r="AI5867" s="317"/>
      <c r="AJ5867" s="317"/>
      <c r="AK5867" s="317"/>
      <c r="AL5867" s="317"/>
      <c r="AM5867" s="317"/>
      <c r="AN5867" s="317"/>
      <c r="AO5867" s="317"/>
    </row>
    <row r="5868" spans="2:41" hidden="1" outlineLevel="2">
      <c r="B5868" s="2" t="s">
        <v>833</v>
      </c>
      <c r="D5868" s="112" t="s">
        <v>5965</v>
      </c>
      <c r="E5868" s="112"/>
      <c r="F5868" s="112"/>
      <c r="G5868" s="112"/>
      <c r="H5868" s="112"/>
      <c r="I5868" s="112"/>
      <c r="J5868" s="112"/>
      <c r="K5868" s="112" t="b">
        <v>0</v>
      </c>
      <c r="L5868" s="112" t="b">
        <v>0</v>
      </c>
      <c r="M5868" s="317"/>
      <c r="N5868" s="317"/>
      <c r="O5868" s="317"/>
      <c r="P5868" s="317"/>
      <c r="Q5868" s="317"/>
      <c r="R5868" s="317"/>
      <c r="S5868" s="317"/>
      <c r="T5868" s="317"/>
      <c r="U5868" s="317"/>
      <c r="V5868" s="317"/>
      <c r="W5868" s="317"/>
      <c r="X5868" s="317"/>
      <c r="Y5868" s="317"/>
      <c r="Z5868" s="317"/>
      <c r="AA5868" s="317"/>
      <c r="AB5868" s="317"/>
      <c r="AC5868" s="317"/>
      <c r="AD5868" s="317"/>
      <c r="AE5868" s="317"/>
      <c r="AF5868" s="317"/>
      <c r="AG5868" s="317"/>
      <c r="AH5868" s="317"/>
      <c r="AI5868" s="317"/>
      <c r="AJ5868" s="317"/>
      <c r="AK5868" s="317"/>
      <c r="AL5868" s="317"/>
      <c r="AM5868" s="317"/>
      <c r="AN5868" s="317"/>
      <c r="AO5868" s="317"/>
    </row>
    <row r="5869" spans="2:41" collapsed="1">
      <c r="B5869" s="2" t="s">
        <v>833</v>
      </c>
      <c r="C5869" s="246" t="s">
        <v>5968</v>
      </c>
      <c r="D5869" s="210" t="s">
        <v>843</v>
      </c>
      <c r="E5869" s="210" t="s">
        <v>844</v>
      </c>
      <c r="F5869" s="210" t="s">
        <v>845</v>
      </c>
      <c r="G5869" s="210" t="s">
        <v>846</v>
      </c>
      <c r="H5869" s="210" t="s">
        <v>847</v>
      </c>
      <c r="I5869" s="209" t="s">
        <v>848</v>
      </c>
      <c r="J5869" s="210" t="s">
        <v>849</v>
      </c>
      <c r="K5869" s="210" t="s">
        <v>850</v>
      </c>
      <c r="L5869" s="210" t="s">
        <v>8055</v>
      </c>
      <c r="M5869" s="210" t="s">
        <v>8168</v>
      </c>
      <c r="N5869" s="210" t="s">
        <v>8571</v>
      </c>
      <c r="O5869" s="210" t="s">
        <v>8755</v>
      </c>
      <c r="P5869" s="210" t="s">
        <v>8892</v>
      </c>
    </row>
    <row r="5870" spans="2:41" hidden="1" outlineLevel="1">
      <c r="B5870" s="2" t="s">
        <v>833</v>
      </c>
      <c r="C5870" s="137"/>
    </row>
    <row r="5871" spans="2:41" hidden="1" outlineLevel="1" collapsed="1">
      <c r="B5871" s="2" t="s">
        <v>833</v>
      </c>
      <c r="C5871" s="137" t="s">
        <v>5969</v>
      </c>
      <c r="D5871" s="298" t="s">
        <v>5970</v>
      </c>
      <c r="E5871" s="239" t="s">
        <v>4814</v>
      </c>
      <c r="F5871" s="239" t="s">
        <v>1308</v>
      </c>
    </row>
    <row r="5872" spans="2:41" hidden="1" outlineLevel="2">
      <c r="B5872" s="2" t="s">
        <v>833</v>
      </c>
      <c r="D5872" s="138"/>
      <c r="E5872" s="138"/>
      <c r="F5872" s="138"/>
    </row>
    <row r="5873" spans="2:13" hidden="1" outlineLevel="2">
      <c r="B5873" s="2" t="s">
        <v>833</v>
      </c>
      <c r="D5873" s="112" t="s">
        <v>5767</v>
      </c>
      <c r="E5873" s="112" t="s">
        <v>4815</v>
      </c>
      <c r="F5873" s="112" t="b">
        <v>1</v>
      </c>
      <c r="K5873" s="295"/>
      <c r="L5873" s="295"/>
      <c r="M5873" s="295"/>
    </row>
    <row r="5874" spans="2:13" hidden="1" outlineLevel="2">
      <c r="B5874" s="2" t="s">
        <v>833</v>
      </c>
      <c r="D5874" s="114" t="s">
        <v>5761</v>
      </c>
      <c r="E5874" s="114" t="s">
        <v>4815</v>
      </c>
      <c r="F5874" s="114" t="b">
        <v>0</v>
      </c>
      <c r="K5874" s="295"/>
      <c r="L5874" s="295"/>
      <c r="M5874" s="295"/>
    </row>
    <row r="5875" spans="2:13" hidden="1" outlineLevel="2">
      <c r="B5875" s="2" t="s">
        <v>833</v>
      </c>
      <c r="D5875" s="112" t="s">
        <v>5880</v>
      </c>
      <c r="E5875" s="112" t="s">
        <v>4815</v>
      </c>
      <c r="F5875" s="112" t="b">
        <v>0</v>
      </c>
      <c r="K5875" s="295"/>
      <c r="L5875" s="295"/>
      <c r="M5875" s="295"/>
    </row>
    <row r="5876" spans="2:13" s="317" customFormat="1" hidden="1" outlineLevel="2">
      <c r="B5876" s="2" t="s">
        <v>833</v>
      </c>
      <c r="D5876" s="114" t="s">
        <v>5887</v>
      </c>
      <c r="E5876" s="114" t="s">
        <v>4815</v>
      </c>
      <c r="F5876" s="114" t="b">
        <v>0</v>
      </c>
    </row>
    <row r="5877" spans="2:13" hidden="1" outlineLevel="2">
      <c r="B5877" s="2" t="s">
        <v>833</v>
      </c>
      <c r="D5877" s="112" t="s">
        <v>5971</v>
      </c>
      <c r="E5877" s="112" t="s">
        <v>4815</v>
      </c>
      <c r="F5877" s="112" t="b">
        <v>1</v>
      </c>
    </row>
    <row r="5878" spans="2:13" hidden="1" outlineLevel="2">
      <c r="B5878" s="2" t="s">
        <v>833</v>
      </c>
      <c r="D5878" s="114" t="s">
        <v>5905</v>
      </c>
      <c r="E5878" s="114" t="s">
        <v>4815</v>
      </c>
      <c r="F5878" s="114" t="b">
        <v>1</v>
      </c>
    </row>
    <row r="5879" spans="2:13" hidden="1" outlineLevel="2">
      <c r="B5879" s="2" t="s">
        <v>833</v>
      </c>
      <c r="D5879" s="112" t="s">
        <v>5972</v>
      </c>
      <c r="E5879" s="112" t="s">
        <v>4815</v>
      </c>
      <c r="F5879" s="112" t="b">
        <v>1</v>
      </c>
    </row>
    <row r="5880" spans="2:13" hidden="1" outlineLevel="2">
      <c r="B5880" s="2" t="s">
        <v>833</v>
      </c>
      <c r="D5880" s="114" t="s">
        <v>5885</v>
      </c>
      <c r="E5880" s="114" t="s">
        <v>4815</v>
      </c>
      <c r="F5880" s="114" t="b">
        <v>1</v>
      </c>
    </row>
    <row r="5881" spans="2:13" hidden="1" outlineLevel="2">
      <c r="B5881" s="2" t="s">
        <v>833</v>
      </c>
      <c r="D5881" s="112" t="s">
        <v>5973</v>
      </c>
      <c r="E5881" s="112" t="s">
        <v>4815</v>
      </c>
      <c r="F5881" s="112" t="b">
        <v>1</v>
      </c>
    </row>
    <row r="5882" spans="2:13" hidden="1" outlineLevel="2">
      <c r="B5882" s="2" t="s">
        <v>833</v>
      </c>
      <c r="D5882" s="114" t="s">
        <v>5890</v>
      </c>
      <c r="E5882" s="114" t="s">
        <v>4815</v>
      </c>
      <c r="F5882" s="114" t="b">
        <v>1</v>
      </c>
    </row>
    <row r="5883" spans="2:13" hidden="1" outlineLevel="2">
      <c r="B5883" s="2" t="s">
        <v>833</v>
      </c>
      <c r="D5883" s="112" t="s">
        <v>5974</v>
      </c>
      <c r="E5883" s="112" t="s">
        <v>4816</v>
      </c>
      <c r="F5883" s="112" t="b">
        <v>1</v>
      </c>
    </row>
    <row r="5884" spans="2:13" hidden="1" outlineLevel="2">
      <c r="B5884" s="2" t="s">
        <v>833</v>
      </c>
      <c r="D5884" s="114" t="s">
        <v>5975</v>
      </c>
      <c r="E5884" s="114" t="s">
        <v>4816</v>
      </c>
      <c r="F5884" s="114" t="b">
        <v>1</v>
      </c>
    </row>
    <row r="5885" spans="2:13" hidden="1" outlineLevel="2">
      <c r="B5885" s="2" t="s">
        <v>833</v>
      </c>
      <c r="D5885" s="112" t="s">
        <v>5976</v>
      </c>
      <c r="E5885" s="112" t="s">
        <v>4816</v>
      </c>
      <c r="F5885" s="112" t="b">
        <v>1</v>
      </c>
    </row>
    <row r="5886" spans="2:13" hidden="1" outlineLevel="2">
      <c r="B5886" s="2" t="s">
        <v>833</v>
      </c>
      <c r="D5886" s="114" t="s">
        <v>5877</v>
      </c>
      <c r="E5886" s="114" t="s">
        <v>4816</v>
      </c>
      <c r="F5886" s="114" t="b">
        <v>1</v>
      </c>
    </row>
    <row r="5887" spans="2:13" hidden="1" outlineLevel="2">
      <c r="B5887" s="2" t="s">
        <v>833</v>
      </c>
      <c r="D5887" s="112" t="s">
        <v>5977</v>
      </c>
      <c r="E5887" s="112" t="s">
        <v>4816</v>
      </c>
      <c r="F5887" s="112" t="b">
        <v>1</v>
      </c>
    </row>
    <row r="5888" spans="2:13" hidden="1" outlineLevel="2">
      <c r="B5888" s="2" t="s">
        <v>833</v>
      </c>
      <c r="D5888" s="114" t="s">
        <v>5978</v>
      </c>
      <c r="E5888" s="114" t="s">
        <v>4816</v>
      </c>
      <c r="F5888" s="114" t="b">
        <v>1</v>
      </c>
    </row>
    <row r="5889" spans="2:13" hidden="1" outlineLevel="2">
      <c r="B5889" s="2" t="s">
        <v>833</v>
      </c>
      <c r="D5889" s="112" t="s">
        <v>5979</v>
      </c>
      <c r="E5889" s="112" t="s">
        <v>4816</v>
      </c>
      <c r="F5889" s="112" t="b">
        <v>1</v>
      </c>
    </row>
    <row r="5890" spans="2:13" hidden="1" outlineLevel="2">
      <c r="B5890" s="2" t="s">
        <v>833</v>
      </c>
      <c r="D5890" s="114" t="s">
        <v>5980</v>
      </c>
      <c r="E5890" s="114" t="s">
        <v>4816</v>
      </c>
      <c r="F5890" s="114" t="b">
        <v>1</v>
      </c>
    </row>
    <row r="5891" spans="2:13" hidden="1" outlineLevel="2">
      <c r="B5891" s="2" t="s">
        <v>833</v>
      </c>
      <c r="D5891" s="112" t="s">
        <v>5981</v>
      </c>
      <c r="E5891" s="112" t="s">
        <v>4816</v>
      </c>
      <c r="F5891" s="112" t="b">
        <v>1</v>
      </c>
    </row>
    <row r="5892" spans="2:13" hidden="1" outlineLevel="2">
      <c r="B5892" s="2" t="s">
        <v>833</v>
      </c>
      <c r="C5892" s="137"/>
    </row>
    <row r="5893" spans="2:13" hidden="1" outlineLevel="1" collapsed="1">
      <c r="B5893" s="2" t="s">
        <v>833</v>
      </c>
      <c r="C5893" s="137" t="s">
        <v>5982</v>
      </c>
      <c r="D5893" s="298" t="s">
        <v>1308</v>
      </c>
      <c r="E5893" s="298" t="s">
        <v>4811</v>
      </c>
      <c r="F5893" s="298" t="s">
        <v>5983</v>
      </c>
      <c r="G5893" s="239" t="s">
        <v>4221</v>
      </c>
      <c r="H5893" s="239" t="s">
        <v>4812</v>
      </c>
      <c r="I5893" s="239" t="s">
        <v>4813</v>
      </c>
      <c r="J5893" s="239" t="s">
        <v>5984</v>
      </c>
      <c r="K5893" s="239" t="s">
        <v>4814</v>
      </c>
      <c r="L5893" s="239" t="s">
        <v>5985</v>
      </c>
      <c r="M5893" s="239" t="s">
        <v>4222</v>
      </c>
    </row>
    <row r="5894" spans="2:13" hidden="1" outlineLevel="2">
      <c r="B5894" s="2" t="s">
        <v>833</v>
      </c>
      <c r="D5894" s="138"/>
      <c r="E5894" s="138"/>
      <c r="F5894" s="138"/>
      <c r="G5894" s="138"/>
      <c r="H5894" s="138"/>
      <c r="I5894" s="138"/>
      <c r="J5894" s="138"/>
      <c r="K5894" s="138"/>
      <c r="L5894" s="138"/>
      <c r="M5894" s="138"/>
    </row>
    <row r="5895" spans="2:13" hidden="1" outlineLevel="2">
      <c r="B5895" s="2" t="s">
        <v>833</v>
      </c>
      <c r="D5895" s="112" t="b">
        <v>1</v>
      </c>
      <c r="E5895" s="112" t="s">
        <v>136</v>
      </c>
      <c r="F5895" s="112" t="str">
        <f>D5895&amp;E5895</f>
        <v>TRUEFixed P&amp;I</v>
      </c>
      <c r="G5895" s="112" t="s">
        <v>484</v>
      </c>
      <c r="H5895" s="112" t="b">
        <v>1</v>
      </c>
      <c r="I5895" s="112" t="b">
        <v>0</v>
      </c>
      <c r="J5895" s="112" t="s">
        <v>5885</v>
      </c>
      <c r="K5895" s="112" t="s">
        <v>4815</v>
      </c>
      <c r="L5895" s="112" t="s">
        <v>5887</v>
      </c>
      <c r="M5895" s="114" t="s">
        <v>498</v>
      </c>
    </row>
    <row r="5896" spans="2:13" hidden="1" outlineLevel="2">
      <c r="B5896" s="2" t="s">
        <v>833</v>
      </c>
      <c r="D5896" s="114" t="b">
        <v>1</v>
      </c>
      <c r="E5896" s="114" t="s">
        <v>137</v>
      </c>
      <c r="F5896" s="114" t="str">
        <f t="shared" ref="F5896:F5910" si="26">D5896&amp;E5896</f>
        <v>TRUEFixed IO</v>
      </c>
      <c r="G5896" s="114" t="s">
        <v>484</v>
      </c>
      <c r="H5896" s="114" t="b">
        <v>1</v>
      </c>
      <c r="I5896" s="114" t="b">
        <v>1</v>
      </c>
      <c r="J5896" s="114" t="s">
        <v>5885</v>
      </c>
      <c r="K5896" s="114" t="s">
        <v>4815</v>
      </c>
      <c r="L5896" s="114" t="s">
        <v>5887</v>
      </c>
      <c r="M5896" s="114" t="s">
        <v>494</v>
      </c>
    </row>
    <row r="5897" spans="2:13" hidden="1" outlineLevel="2">
      <c r="B5897" s="2" t="s">
        <v>833</v>
      </c>
      <c r="D5897" s="112" t="b">
        <v>1</v>
      </c>
      <c r="E5897" s="112" t="s">
        <v>138</v>
      </c>
      <c r="F5897" s="112" t="str">
        <f t="shared" si="26"/>
        <v>TRUEFixed IIA</v>
      </c>
      <c r="G5897" s="112" t="s">
        <v>484</v>
      </c>
      <c r="H5897" s="112" t="b">
        <v>1</v>
      </c>
      <c r="I5897" s="112" t="b">
        <v>1</v>
      </c>
      <c r="J5897" s="112" t="s">
        <v>5905</v>
      </c>
      <c r="K5897" s="112" t="s">
        <v>4815</v>
      </c>
      <c r="L5897" s="112" t="s">
        <v>5905</v>
      </c>
      <c r="M5897" s="112" t="s">
        <v>496</v>
      </c>
    </row>
    <row r="5898" spans="2:13" hidden="1" outlineLevel="2">
      <c r="B5898" s="2" t="s">
        <v>833</v>
      </c>
      <c r="D5898" s="114" t="b">
        <v>1</v>
      </c>
      <c r="E5898" s="114" t="s">
        <v>139</v>
      </c>
      <c r="F5898" s="114" t="str">
        <f t="shared" si="26"/>
        <v>TRUEVar P&amp;I</v>
      </c>
      <c r="G5898" s="114" t="s">
        <v>486</v>
      </c>
      <c r="H5898" s="114" t="b">
        <v>0</v>
      </c>
      <c r="I5898" s="114" t="b">
        <v>0</v>
      </c>
      <c r="J5898" s="114" t="s">
        <v>5890</v>
      </c>
      <c r="K5898" s="114" t="s">
        <v>4815</v>
      </c>
      <c r="L5898" s="114" t="s">
        <v>5887</v>
      </c>
      <c r="M5898" s="114" t="s">
        <v>498</v>
      </c>
    </row>
    <row r="5899" spans="2:13" hidden="1" outlineLevel="2">
      <c r="B5899" s="2" t="s">
        <v>833</v>
      </c>
      <c r="D5899" s="112" t="b">
        <v>1</v>
      </c>
      <c r="E5899" s="112" t="s">
        <v>140</v>
      </c>
      <c r="F5899" s="112" t="str">
        <f t="shared" si="26"/>
        <v>TRUEVar IO</v>
      </c>
      <c r="G5899" s="112" t="s">
        <v>486</v>
      </c>
      <c r="H5899" s="112" t="b">
        <v>1</v>
      </c>
      <c r="I5899" s="112" t="b">
        <v>1</v>
      </c>
      <c r="J5899" s="112" t="s">
        <v>5890</v>
      </c>
      <c r="K5899" s="112" t="s">
        <v>4815</v>
      </c>
      <c r="L5899" s="112" t="s">
        <v>5887</v>
      </c>
      <c r="M5899" s="114" t="s">
        <v>494</v>
      </c>
    </row>
    <row r="5900" spans="2:13" hidden="1" outlineLevel="2">
      <c r="B5900" s="2" t="s">
        <v>833</v>
      </c>
      <c r="D5900" s="114" t="b">
        <v>1</v>
      </c>
      <c r="E5900" s="114" t="s">
        <v>141</v>
      </c>
      <c r="F5900" s="114" t="str">
        <f t="shared" si="26"/>
        <v>TRUES+ P&amp;I</v>
      </c>
      <c r="G5900" s="114" t="s">
        <v>488</v>
      </c>
      <c r="H5900" s="114" t="b">
        <v>0</v>
      </c>
      <c r="I5900" s="114" t="b">
        <v>0</v>
      </c>
      <c r="J5900" s="114" t="s">
        <v>5767</v>
      </c>
      <c r="K5900" s="114" t="s">
        <v>4815</v>
      </c>
      <c r="L5900" s="114" t="s">
        <v>5761</v>
      </c>
      <c r="M5900" s="114" t="s">
        <v>498</v>
      </c>
    </row>
    <row r="5901" spans="2:13" hidden="1" outlineLevel="2">
      <c r="B5901" s="2" t="s">
        <v>833</v>
      </c>
      <c r="D5901" s="112" t="b">
        <v>1</v>
      </c>
      <c r="E5901" s="112" t="s">
        <v>142</v>
      </c>
      <c r="F5901" s="112" t="str">
        <f t="shared" si="26"/>
        <v>TRUES+ IO</v>
      </c>
      <c r="G5901" s="112" t="s">
        <v>488</v>
      </c>
      <c r="H5901" s="112" t="b">
        <v>1</v>
      </c>
      <c r="I5901" s="112" t="b">
        <v>1</v>
      </c>
      <c r="J5901" s="112" t="s">
        <v>5767</v>
      </c>
      <c r="K5901" s="112" t="s">
        <v>4815</v>
      </c>
      <c r="L5901" s="112" t="s">
        <v>5761</v>
      </c>
      <c r="M5901" s="114" t="s">
        <v>494</v>
      </c>
    </row>
    <row r="5902" spans="2:13" hidden="1" outlineLevel="2">
      <c r="B5902" s="2" t="s">
        <v>833</v>
      </c>
      <c r="D5902" s="114" t="b">
        <v>1</v>
      </c>
      <c r="E5902" s="114" t="s">
        <v>161</v>
      </c>
      <c r="F5902" s="114" t="str">
        <f t="shared" si="26"/>
        <v>TRUEEMA</v>
      </c>
      <c r="G5902" s="114"/>
      <c r="H5902" s="114" t="b">
        <v>0</v>
      </c>
      <c r="I5902" s="114" t="b">
        <v>0</v>
      </c>
      <c r="J5902" s="114" t="s">
        <v>5877</v>
      </c>
      <c r="K5902" s="114" t="s">
        <v>4816</v>
      </c>
      <c r="L5902" s="114" t="s">
        <v>5877</v>
      </c>
      <c r="M5902" s="114" t="s">
        <v>499</v>
      </c>
    </row>
    <row r="5903" spans="2:13" hidden="1" outlineLevel="2">
      <c r="B5903" s="2" t="s">
        <v>833</v>
      </c>
      <c r="D5903" s="112" t="b">
        <v>0</v>
      </c>
      <c r="E5903" s="112" t="s">
        <v>136</v>
      </c>
      <c r="F5903" s="112" t="str">
        <f t="shared" si="26"/>
        <v>FALSEFixed P&amp;I</v>
      </c>
      <c r="G5903" s="112" t="s">
        <v>484</v>
      </c>
      <c r="H5903" s="112" t="b">
        <v>1</v>
      </c>
      <c r="I5903" s="112" t="b">
        <v>0</v>
      </c>
      <c r="J5903" s="112" t="s">
        <v>5880</v>
      </c>
      <c r="K5903" s="112" t="s">
        <v>4815</v>
      </c>
      <c r="L5903" s="112" t="s">
        <v>5890</v>
      </c>
      <c r="M5903" s="112" t="s">
        <v>5986</v>
      </c>
    </row>
    <row r="5904" spans="2:13" hidden="1" outlineLevel="2">
      <c r="B5904" s="2" t="s">
        <v>833</v>
      </c>
      <c r="D5904" s="114" t="b">
        <v>0</v>
      </c>
      <c r="E5904" s="114" t="s">
        <v>137</v>
      </c>
      <c r="F5904" s="114" t="str">
        <f t="shared" si="26"/>
        <v>FALSEFixed IO</v>
      </c>
      <c r="G5904" s="114" t="s">
        <v>484</v>
      </c>
      <c r="H5904" s="114" t="b">
        <v>1</v>
      </c>
      <c r="I5904" s="114" t="b">
        <v>1</v>
      </c>
      <c r="J5904" s="114" t="s">
        <v>5880</v>
      </c>
      <c r="K5904" s="114" t="s">
        <v>4815</v>
      </c>
      <c r="L5904" s="114" t="s">
        <v>5890</v>
      </c>
      <c r="M5904" s="114" t="s">
        <v>5987</v>
      </c>
    </row>
    <row r="5905" spans="2:13" hidden="1" outlineLevel="2">
      <c r="B5905" s="2" t="s">
        <v>833</v>
      </c>
      <c r="D5905" s="112" t="b">
        <v>0</v>
      </c>
      <c r="E5905" s="112" t="s">
        <v>138</v>
      </c>
      <c r="F5905" s="112" t="str">
        <f t="shared" si="26"/>
        <v>FALSEFixed IIA</v>
      </c>
      <c r="G5905" s="112" t="s">
        <v>484</v>
      </c>
      <c r="H5905" s="112" t="b">
        <v>1</v>
      </c>
      <c r="I5905" s="112" t="b">
        <v>1</v>
      </c>
      <c r="J5905" s="112" t="s">
        <v>5905</v>
      </c>
      <c r="K5905" s="112" t="s">
        <v>4815</v>
      </c>
      <c r="L5905" s="112" t="s">
        <v>5905</v>
      </c>
      <c r="M5905" s="112" t="s">
        <v>5988</v>
      </c>
    </row>
    <row r="5906" spans="2:13" hidden="1" outlineLevel="2">
      <c r="B5906" s="2" t="s">
        <v>833</v>
      </c>
      <c r="D5906" s="114" t="b">
        <v>0</v>
      </c>
      <c r="E5906" s="114" t="s">
        <v>139</v>
      </c>
      <c r="F5906" s="114" t="str">
        <f t="shared" si="26"/>
        <v>FALSEVar P&amp;I</v>
      </c>
      <c r="G5906" s="114" t="s">
        <v>486</v>
      </c>
      <c r="H5906" s="114" t="b">
        <v>0</v>
      </c>
      <c r="I5906" s="114" t="b">
        <v>0</v>
      </c>
      <c r="J5906" s="114" t="s">
        <v>5887</v>
      </c>
      <c r="K5906" s="114" t="s">
        <v>4815</v>
      </c>
      <c r="L5906" s="114" t="s">
        <v>5890</v>
      </c>
      <c r="M5906" s="114" t="s">
        <v>5986</v>
      </c>
    </row>
    <row r="5907" spans="2:13" hidden="1" outlineLevel="2">
      <c r="B5907" s="2" t="s">
        <v>833</v>
      </c>
      <c r="D5907" s="112" t="b">
        <v>0</v>
      </c>
      <c r="E5907" s="112" t="s">
        <v>140</v>
      </c>
      <c r="F5907" s="112" t="str">
        <f t="shared" si="26"/>
        <v>FALSEVar IO</v>
      </c>
      <c r="G5907" s="112" t="s">
        <v>486</v>
      </c>
      <c r="H5907" s="112" t="b">
        <v>1</v>
      </c>
      <c r="I5907" s="112" t="b">
        <v>1</v>
      </c>
      <c r="J5907" s="112" t="s">
        <v>5887</v>
      </c>
      <c r="K5907" s="112" t="s">
        <v>4815</v>
      </c>
      <c r="L5907" s="112" t="s">
        <v>5890</v>
      </c>
      <c r="M5907" s="112" t="s">
        <v>5987</v>
      </c>
    </row>
    <row r="5908" spans="2:13" hidden="1" outlineLevel="2">
      <c r="B5908" s="2" t="s">
        <v>833</v>
      </c>
      <c r="D5908" s="114" t="b">
        <v>0</v>
      </c>
      <c r="E5908" s="114" t="s">
        <v>141</v>
      </c>
      <c r="F5908" s="114" t="str">
        <f t="shared" si="26"/>
        <v>FALSES+ P&amp;I</v>
      </c>
      <c r="G5908" s="114" t="s">
        <v>488</v>
      </c>
      <c r="H5908" s="114" t="b">
        <v>0</v>
      </c>
      <c r="I5908" s="114" t="b">
        <v>0</v>
      </c>
      <c r="J5908" s="114" t="s">
        <v>5761</v>
      </c>
      <c r="K5908" s="114" t="s">
        <v>4815</v>
      </c>
      <c r="L5908" s="114" t="s">
        <v>5767</v>
      </c>
      <c r="M5908" s="114" t="s">
        <v>488</v>
      </c>
    </row>
    <row r="5909" spans="2:13" hidden="1" outlineLevel="2">
      <c r="B5909" s="2" t="s">
        <v>833</v>
      </c>
      <c r="D5909" s="112" t="b">
        <v>0</v>
      </c>
      <c r="E5909" s="112" t="s">
        <v>142</v>
      </c>
      <c r="F5909" s="112" t="str">
        <f t="shared" si="26"/>
        <v>FALSES+ IO</v>
      </c>
      <c r="G5909" s="112" t="s">
        <v>488</v>
      </c>
      <c r="H5909" s="112" t="b">
        <v>1</v>
      </c>
      <c r="I5909" s="112" t="b">
        <v>1</v>
      </c>
      <c r="J5909" s="112" t="s">
        <v>5761</v>
      </c>
      <c r="K5909" s="112" t="s">
        <v>4815</v>
      </c>
      <c r="L5909" s="112" t="s">
        <v>5767</v>
      </c>
      <c r="M5909" s="112" t="s">
        <v>5987</v>
      </c>
    </row>
    <row r="5910" spans="2:13" hidden="1" outlineLevel="2">
      <c r="B5910" s="2" t="s">
        <v>833</v>
      </c>
      <c r="D5910" s="114" t="b">
        <v>0</v>
      </c>
      <c r="E5910" s="114" t="s">
        <v>161</v>
      </c>
      <c r="F5910" s="114" t="str">
        <f t="shared" si="26"/>
        <v>FALSEEMA</v>
      </c>
      <c r="G5910" s="114"/>
      <c r="H5910" s="114" t="b">
        <v>0</v>
      </c>
      <c r="I5910" s="114" t="b">
        <v>0</v>
      </c>
      <c r="J5910" s="114" t="s">
        <v>5877</v>
      </c>
      <c r="K5910" s="114" t="s">
        <v>4816</v>
      </c>
      <c r="L5910" s="114" t="s">
        <v>5877</v>
      </c>
      <c r="M5910" s="114" t="s">
        <v>490</v>
      </c>
    </row>
    <row r="5911" spans="2:13" hidden="1" outlineLevel="2">
      <c r="B5911" s="2" t="s">
        <v>833</v>
      </c>
      <c r="C5911" s="137"/>
    </row>
    <row r="5912" spans="2:13" hidden="1" outlineLevel="1" collapsed="1">
      <c r="B5912" s="2" t="s">
        <v>833</v>
      </c>
      <c r="C5912" s="137" t="s">
        <v>5989</v>
      </c>
      <c r="D5912" s="298" t="s">
        <v>4221</v>
      </c>
      <c r="E5912" s="298" t="s">
        <v>5990</v>
      </c>
      <c r="F5912" s="298" t="s">
        <v>5911</v>
      </c>
      <c r="G5912" s="298" t="s">
        <v>5844</v>
      </c>
    </row>
    <row r="5913" spans="2:13" hidden="1" outlineLevel="2">
      <c r="B5913" s="2" t="s">
        <v>833</v>
      </c>
      <c r="D5913" s="138"/>
      <c r="E5913" s="138"/>
      <c r="F5913" s="138"/>
      <c r="G5913" s="138"/>
    </row>
    <row r="5914" spans="2:13" hidden="1" outlineLevel="2">
      <c r="B5914" s="2" t="s">
        <v>833</v>
      </c>
      <c r="D5914" s="112" t="s">
        <v>484</v>
      </c>
      <c r="E5914" s="112" t="s">
        <v>205</v>
      </c>
      <c r="F5914" s="112" t="s">
        <v>5925</v>
      </c>
      <c r="G5914" s="112" t="s">
        <v>5991</v>
      </c>
      <c r="K5914" s="295"/>
      <c r="L5914" s="295"/>
      <c r="M5914" s="295"/>
    </row>
    <row r="5915" spans="2:13" hidden="1" outlineLevel="2">
      <c r="B5915" s="2" t="s">
        <v>833</v>
      </c>
      <c r="D5915" s="114" t="s">
        <v>486</v>
      </c>
      <c r="E5915" s="114" t="s">
        <v>208</v>
      </c>
      <c r="F5915" s="114" t="s">
        <v>5928</v>
      </c>
      <c r="G5915" s="114" t="s">
        <v>5992</v>
      </c>
      <c r="K5915" s="295"/>
      <c r="L5915" s="295"/>
      <c r="M5915" s="295"/>
    </row>
    <row r="5916" spans="2:13" hidden="1" outlineLevel="2">
      <c r="B5916" s="2" t="s">
        <v>833</v>
      </c>
      <c r="D5916" s="112" t="s">
        <v>488</v>
      </c>
      <c r="E5916" s="112" t="s">
        <v>210</v>
      </c>
      <c r="G5916" s="112" t="s">
        <v>5958</v>
      </c>
      <c r="K5916" s="295"/>
      <c r="L5916" s="295"/>
      <c r="M5916" s="295"/>
    </row>
    <row r="5917" spans="2:13" hidden="1" outlineLevel="2">
      <c r="B5917" s="2" t="s">
        <v>833</v>
      </c>
      <c r="E5917" s="114" t="s">
        <v>212</v>
      </c>
      <c r="G5917" s="114" t="s">
        <v>4480</v>
      </c>
    </row>
    <row r="5918" spans="2:13" hidden="1" outlineLevel="2">
      <c r="B5918" s="2" t="s">
        <v>833</v>
      </c>
      <c r="E5918" s="112" t="s">
        <v>214</v>
      </c>
      <c r="G5918" s="112" t="s">
        <v>5858</v>
      </c>
    </row>
    <row r="5919" spans="2:13" hidden="1" outlineLevel="2">
      <c r="B5919" s="2" t="s">
        <v>833</v>
      </c>
      <c r="E5919" s="114" t="s">
        <v>217</v>
      </c>
      <c r="G5919" s="114" t="s">
        <v>5963</v>
      </c>
    </row>
    <row r="5920" spans="2:13" hidden="1" outlineLevel="2">
      <c r="B5920" s="2" t="s">
        <v>833</v>
      </c>
      <c r="E5920" s="112" t="s">
        <v>220</v>
      </c>
    </row>
    <row r="5921" spans="2:13" hidden="1" outlineLevel="2">
      <c r="B5921" s="2" t="s">
        <v>833</v>
      </c>
      <c r="E5921" s="114" t="s">
        <v>223</v>
      </c>
    </row>
    <row r="5922" spans="2:13" hidden="1" outlineLevel="2">
      <c r="B5922" s="2" t="s">
        <v>833</v>
      </c>
      <c r="C5922" s="137"/>
    </row>
    <row r="5923" spans="2:13" hidden="1" outlineLevel="1" collapsed="1">
      <c r="B5923" s="2" t="s">
        <v>833</v>
      </c>
      <c r="C5923" s="137" t="s">
        <v>5993</v>
      </c>
      <c r="D5923" s="226" t="s">
        <v>492</v>
      </c>
      <c r="E5923" s="226" t="s">
        <v>1402</v>
      </c>
    </row>
    <row r="5924" spans="2:13" hidden="1" outlineLevel="2">
      <c r="B5924" s="2" t="s">
        <v>833</v>
      </c>
      <c r="D5924" s="138" t="s">
        <v>293</v>
      </c>
      <c r="E5924" s="138" t="s">
        <v>1404</v>
      </c>
    </row>
    <row r="5925" spans="2:13" hidden="1" outlineLevel="2">
      <c r="B5925" s="2" t="s">
        <v>833</v>
      </c>
      <c r="D5925" s="111" t="s">
        <v>493</v>
      </c>
      <c r="E5925" s="111" t="s">
        <v>494</v>
      </c>
      <c r="K5925" s="295"/>
      <c r="L5925" s="295"/>
      <c r="M5925" s="295"/>
    </row>
    <row r="5926" spans="2:13" hidden="1" outlineLevel="2">
      <c r="B5926" s="2" t="s">
        <v>833</v>
      </c>
      <c r="D5926" s="113" t="s">
        <v>495</v>
      </c>
      <c r="E5926" s="113" t="s">
        <v>496</v>
      </c>
      <c r="K5926" s="295"/>
      <c r="L5926" s="295"/>
      <c r="M5926" s="295"/>
    </row>
    <row r="5927" spans="2:13" hidden="1" outlineLevel="2">
      <c r="B5927" s="2" t="s">
        <v>833</v>
      </c>
      <c r="D5927" s="111" t="s">
        <v>497</v>
      </c>
      <c r="E5927" s="111" t="s">
        <v>498</v>
      </c>
      <c r="K5927" s="295"/>
      <c r="L5927" s="295"/>
      <c r="M5927" s="295"/>
    </row>
    <row r="5928" spans="2:13" hidden="1" outlineLevel="2">
      <c r="B5928" s="2" t="s">
        <v>833</v>
      </c>
      <c r="D5928" s="113" t="s">
        <v>490</v>
      </c>
      <c r="E5928" s="113" t="s">
        <v>499</v>
      </c>
    </row>
    <row r="5929" spans="2:13" hidden="1" outlineLevel="2">
      <c r="B5929" s="2" t="s">
        <v>833</v>
      </c>
    </row>
    <row r="5930" spans="2:13" hidden="1" outlineLevel="2">
      <c r="B5930" s="2" t="s">
        <v>833</v>
      </c>
    </row>
    <row r="5931" spans="2:13" hidden="1" outlineLevel="2">
      <c r="B5931" s="2" t="s">
        <v>833</v>
      </c>
    </row>
    <row r="5932" spans="2:13" hidden="1" outlineLevel="2">
      <c r="B5932" s="2" t="s">
        <v>833</v>
      </c>
    </row>
  </sheetData>
  <autoFilter ref="A1044:BB4976" xr:uid="{00000000-0009-0000-0000-000012000000}"/>
  <sortState xmlns:xlrd2="http://schemas.microsoft.com/office/spreadsheetml/2017/richdata2" ref="C5107:H5111">
    <sortCondition descending="1" ref="C5107:C5111"/>
  </sortState>
  <phoneticPr fontId="91" type="noConversion"/>
  <dataValidations disablePrompts="1" count="5">
    <dataValidation type="list" allowBlank="1" showInputMessage="1" showErrorMessage="1" sqref="E4957:E4960" xr:uid="{80CBBB68-4913-4EBA-949B-8127211D87FB}">
      <formula1>#REF!</formula1>
    </dataValidation>
    <dataValidation type="list" allowBlank="1" showInputMessage="1" showErrorMessage="1" sqref="G5914:G5919 D5802:D5809 D5826:D5833 D5838:D5845 D5862:D5868" xr:uid="{D3BE7419-3CDE-4C4C-966A-E35BEA008F76}">
      <formula1 xml:space="preserve"> ValuationType</formula1>
    </dataValidation>
    <dataValidation type="list" allowBlank="1" showInputMessage="1" showErrorMessage="1" sqref="E4523:E4524 D4548:D4687" xr:uid="{1B5320C1-C1E1-4A02-85C9-1BBB83A06530}">
      <formula1>"Home to live in, Residential investment"</formula1>
    </dataValidation>
    <dataValidation type="list" allowBlank="1" showInputMessage="1" showErrorMessage="1" sqref="E4548:E4687" xr:uid="{34EE7D50-22B6-45BD-9658-163021A3D047}">
      <formula1>"Variable, Fixed"</formula1>
    </dataValidation>
    <dataValidation type="list" allowBlank="1" showInputMessage="1" showErrorMessage="1" sqref="E4548:E4687" xr:uid="{B9D81104-530F-4C63-94DE-6D84D3031500}">
      <formula1>"Fixed, Variable"</formula1>
    </dataValidation>
  </dataValidations>
  <hyperlinks>
    <hyperlink ref="E16" r:id="rId1" xr:uid="{5DB40620-6B8C-4543-8B6A-ADBE2793F4C4}"/>
    <hyperlink ref="E33" r:id="rId2" xr:uid="{1F4FF52B-C3A3-4081-9233-61940393DAD2}"/>
    <hyperlink ref="E38" r:id="rId3" xr:uid="{DDE1B9F0-312D-49DE-BE03-DC70AAD9A149}"/>
    <hyperlink ref="E37" r:id="rId4" xr:uid="{C6086B3E-925B-44DF-B070-FB040134EF0C}"/>
    <hyperlink ref="E36" r:id="rId5" xr:uid="{5BAE28EA-32C2-4AE2-9500-A57DE34F490F}"/>
    <hyperlink ref="E35" r:id="rId6" xr:uid="{94EC88F4-6A2F-4C62-8E8A-1DD27F7915EA}"/>
    <hyperlink ref="E34" r:id="rId7" xr:uid="{FAB2F10D-AFA5-4D09-84A7-8A4EA7FB9315}"/>
    <hyperlink ref="J4301" r:id="rId8" xr:uid="{A169EDCC-4834-45EA-A6A2-B29A698D0228}"/>
    <hyperlink ref="J4305" r:id="rId9" display="https://max.global.anz.com/Work/Products and services/Pages/anz/sites/Lock-Rate.aspx" xr:uid="{4E879A27-DBE7-44E0-8115-90A6A86DEB99}"/>
    <hyperlink ref="J4306" r:id="rId10" xr:uid="{B02EEEF5-5C77-4D33-903E-0091E9FE2E4D}"/>
  </hyperlinks>
  <pageMargins left="0.7" right="0.7" top="0.75" bottom="0.75" header="0.3" footer="0.3"/>
  <pageSetup paperSize="9" orientation="portrait" r:id="rId11"/>
  <headerFooter alignWithMargins="0"/>
  <drawing r:id="rId12"/>
  <legacyDrawing r:id="rId13"/>
  <tableParts count="1">
    <tablePart r:id="rId1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CFA95-6F08-4812-AB6F-FB114A2A1629}">
  <sheetPr codeName="Sheet36">
    <pageSetUpPr fitToPage="1"/>
  </sheetPr>
  <dimension ref="A1:AP1587"/>
  <sheetViews>
    <sheetView showGridLines="0" showRowColHeaders="0" zoomScaleNormal="100" workbookViewId="0">
      <selection activeCell="D18" sqref="D18"/>
    </sheetView>
  </sheetViews>
  <sheetFormatPr baseColWidth="10" defaultColWidth="8" defaultRowHeight="15"/>
  <cols>
    <col min="1" max="2" width="0.83203125" style="2" customWidth="1"/>
    <col min="3" max="3" width="3.1640625" style="2" customWidth="1"/>
    <col min="4" max="4" width="7.6640625" style="2" customWidth="1"/>
    <col min="5" max="6" width="16.6640625" style="2" customWidth="1"/>
    <col min="7" max="7" width="16.33203125" style="2" customWidth="1"/>
    <col min="8" max="8" width="21.33203125" style="2" customWidth="1"/>
    <col min="9" max="9" width="12.5" style="2" customWidth="1"/>
    <col min="10" max="10" width="19.6640625" style="2" customWidth="1"/>
    <col min="11" max="11" width="14.6640625" style="2" customWidth="1"/>
    <col min="12" max="12" width="15.5" style="2" customWidth="1"/>
    <col min="13" max="13" width="15.33203125" style="2" customWidth="1"/>
    <col min="14" max="14" width="0.83203125" style="2" customWidth="1"/>
    <col min="15" max="16" width="14" style="2" hidden="1" customWidth="1"/>
    <col min="17" max="17" width="0.83203125" style="2" customWidth="1"/>
    <col min="18" max="18" width="8" style="2" customWidth="1"/>
    <col min="19" max="19" width="18.1640625" style="2" hidden="1" customWidth="1"/>
    <col min="20" max="20" width="9.6640625" style="2" hidden="1" customWidth="1"/>
    <col min="21" max="22" width="14.6640625" style="2" bestFit="1" customWidth="1"/>
    <col min="23" max="23" width="11.1640625" style="2" bestFit="1" customWidth="1"/>
    <col min="24" max="35" width="8" style="2" customWidth="1"/>
    <col min="36" max="16384" width="8" style="2"/>
  </cols>
  <sheetData>
    <row r="1" spans="1:23" ht="5.25" customHeight="1">
      <c r="A1" s="78">
        <f>F35</f>
        <v>0</v>
      </c>
    </row>
    <row r="2" spans="1:23" ht="5.25" customHeight="1">
      <c r="B2" s="730"/>
      <c r="C2" s="731"/>
      <c r="D2" s="731"/>
      <c r="E2" s="731"/>
      <c r="F2" s="731"/>
      <c r="G2" s="731"/>
      <c r="H2" s="731"/>
      <c r="I2" s="731"/>
      <c r="J2" s="731"/>
      <c r="K2" s="731"/>
      <c r="L2" s="731"/>
      <c r="M2" s="731"/>
      <c r="N2" s="731"/>
      <c r="O2" s="731"/>
      <c r="P2" s="731"/>
      <c r="Q2" s="732"/>
    </row>
    <row r="3" spans="1:23" ht="30.75" customHeight="1">
      <c r="B3" s="733"/>
      <c r="C3" s="1472" t="s">
        <v>8938</v>
      </c>
      <c r="D3" s="1472"/>
      <c r="E3" s="1472"/>
      <c r="F3" s="1472"/>
      <c r="G3" s="1472"/>
      <c r="H3" s="1472"/>
      <c r="I3" s="1472"/>
      <c r="J3" s="1472"/>
      <c r="K3" s="1472"/>
      <c r="L3" s="1472"/>
      <c r="M3" s="1472"/>
      <c r="N3" s="1472"/>
      <c r="O3" s="79"/>
      <c r="P3" s="79"/>
      <c r="Q3" s="736"/>
    </row>
    <row r="4" spans="1:23" ht="11.25" customHeight="1">
      <c r="B4" s="733"/>
      <c r="C4" s="735"/>
      <c r="D4" s="735"/>
      <c r="E4" s="735"/>
      <c r="F4" s="735"/>
      <c r="G4" s="735"/>
      <c r="H4" s="735"/>
      <c r="I4" s="735"/>
      <c r="J4" s="735"/>
      <c r="K4" s="735"/>
      <c r="L4" s="735"/>
      <c r="M4" s="735"/>
      <c r="N4" s="735"/>
      <c r="O4" s="735"/>
      <c r="P4" s="735"/>
      <c r="Q4" s="736"/>
    </row>
    <row r="5" spans="1:23" ht="17.25" customHeight="1">
      <c r="B5" s="733"/>
      <c r="C5" s="1473" t="s">
        <v>165</v>
      </c>
      <c r="D5" s="1473"/>
      <c r="E5" s="1473"/>
      <c r="F5" s="1473"/>
      <c r="G5" s="1473"/>
      <c r="H5" s="1473"/>
      <c r="I5" s="1473"/>
      <c r="J5" s="1473"/>
      <c r="K5" s="1473"/>
      <c r="L5" s="1473"/>
      <c r="M5" s="1473"/>
      <c r="N5" s="1473"/>
      <c r="O5" s="735"/>
      <c r="P5" s="735"/>
      <c r="Q5" s="736"/>
    </row>
    <row r="6" spans="1:23" ht="5.25" customHeight="1">
      <c r="B6" s="733"/>
      <c r="C6" s="735"/>
      <c r="D6" s="735"/>
      <c r="E6" s="735"/>
      <c r="F6" s="735"/>
      <c r="G6" s="735"/>
      <c r="H6" s="735"/>
      <c r="I6" s="735"/>
      <c r="J6" s="735"/>
      <c r="K6" s="735"/>
      <c r="L6" s="735"/>
      <c r="M6" s="735"/>
      <c r="N6" s="735"/>
      <c r="O6" s="735"/>
      <c r="P6" s="735"/>
      <c r="Q6" s="736"/>
    </row>
    <row r="7" spans="1:23" ht="6.75" customHeight="1">
      <c r="B7" s="733"/>
      <c r="C7" s="711"/>
      <c r="D7" s="712"/>
      <c r="E7" s="712"/>
      <c r="F7" s="712"/>
      <c r="G7" s="712"/>
      <c r="H7" s="712"/>
      <c r="I7" s="712"/>
      <c r="J7" s="712"/>
      <c r="K7" s="712"/>
      <c r="L7" s="712"/>
      <c r="M7" s="712"/>
      <c r="N7" s="708"/>
      <c r="O7" s="27"/>
      <c r="P7" s="27"/>
      <c r="Q7" s="736"/>
    </row>
    <row r="8" spans="1:23" ht="17.25" customHeight="1">
      <c r="B8" s="733"/>
      <c r="C8" s="742"/>
      <c r="D8" s="724" t="s">
        <v>166</v>
      </c>
      <c r="E8" s="8"/>
      <c r="F8" s="8"/>
      <c r="G8" s="724" t="s">
        <v>167</v>
      </c>
      <c r="I8" s="724" t="s">
        <v>7955</v>
      </c>
      <c r="J8" s="724" t="s">
        <v>8438</v>
      </c>
      <c r="K8" s="797" t="s">
        <v>8439</v>
      </c>
      <c r="L8" s="797" t="s">
        <v>8440</v>
      </c>
      <c r="M8" s="32"/>
      <c r="N8" s="714"/>
      <c r="O8" s="27"/>
      <c r="P8" s="27"/>
      <c r="Q8" s="736"/>
    </row>
    <row r="9" spans="1:23" ht="17.25" customHeight="1">
      <c r="B9" s="733"/>
      <c r="C9" s="742"/>
      <c r="D9" s="1500" t="b">
        <v>1</v>
      </c>
      <c r="E9" s="1500"/>
      <c r="F9" s="798"/>
      <c r="G9" s="779"/>
      <c r="I9" s="779" t="s">
        <v>7952</v>
      </c>
      <c r="J9" s="811">
        <f>'Internal Ref'!U181</f>
        <v>5.99</v>
      </c>
      <c r="K9" s="799">
        <f>'Internal Ref'!T181</f>
        <v>5.99</v>
      </c>
      <c r="L9" s="800">
        <f>M9+COUNTIFS(D26:D27,TRUE,F26:F27,TRUE)</f>
        <v>0</v>
      </c>
      <c r="M9" s="48">
        <f>'Internal Ref'!V181</f>
        <v>0</v>
      </c>
      <c r="N9" s="714"/>
      <c r="O9" s="27"/>
      <c r="P9" s="27"/>
      <c r="Q9" s="736"/>
    </row>
    <row r="10" spans="1:23" ht="11.25" customHeight="1">
      <c r="B10" s="733"/>
      <c r="C10" s="709"/>
      <c r="D10" s="715"/>
      <c r="E10" s="715"/>
      <c r="F10" s="715"/>
      <c r="G10" s="715"/>
      <c r="H10" s="715"/>
      <c r="I10" s="809"/>
      <c r="J10" s="810" t="str" cm="1">
        <f t="array" ref="J10">DTI_Policy(J9,L9, "Message")</f>
        <v/>
      </c>
      <c r="K10" s="715"/>
      <c r="L10" s="715"/>
      <c r="M10" s="715"/>
      <c r="N10" s="716"/>
      <c r="O10" s="27"/>
      <c r="P10" s="27"/>
      <c r="Q10" s="736"/>
    </row>
    <row r="11" spans="1:23" ht="5.25" customHeight="1">
      <c r="B11" s="733"/>
      <c r="C11" s="735"/>
      <c r="D11" s="735"/>
      <c r="E11" s="735"/>
      <c r="F11" s="735"/>
      <c r="G11" s="735"/>
      <c r="H11" s="735"/>
      <c r="I11" s="735"/>
      <c r="J11" s="735"/>
      <c r="K11" s="735"/>
      <c r="L11" s="735"/>
      <c r="M11" s="735"/>
      <c r="N11" s="735"/>
      <c r="O11" s="27"/>
      <c r="P11" s="27"/>
      <c r="Q11" s="736"/>
    </row>
    <row r="12" spans="1:23" ht="17.25" customHeight="1">
      <c r="B12" s="733"/>
      <c r="C12" s="1473" t="s">
        <v>168</v>
      </c>
      <c r="D12" s="1473"/>
      <c r="E12" s="1473"/>
      <c r="F12" s="1473"/>
      <c r="G12" s="1473"/>
      <c r="H12" s="1473"/>
      <c r="I12" s="1473"/>
      <c r="J12" s="1473"/>
      <c r="K12" s="1473"/>
      <c r="L12" s="1473"/>
      <c r="M12" s="1473"/>
      <c r="N12" s="1473"/>
      <c r="O12" s="27"/>
      <c r="P12" s="27"/>
      <c r="Q12" s="736"/>
    </row>
    <row r="13" spans="1:23" ht="17.25" customHeight="1">
      <c r="B13" s="733"/>
      <c r="C13" s="821" t="s">
        <v>169</v>
      </c>
      <c r="D13" s="822"/>
      <c r="E13" s="822"/>
      <c r="F13" s="822"/>
      <c r="G13" s="822"/>
      <c r="H13" s="822"/>
      <c r="I13" s="822"/>
      <c r="J13" s="822"/>
      <c r="K13" s="822"/>
      <c r="L13" s="822"/>
      <c r="M13" s="822"/>
      <c r="N13" s="822"/>
      <c r="O13" s="27"/>
      <c r="P13" s="27"/>
      <c r="Q13" s="736"/>
    </row>
    <row r="14" spans="1:23" ht="5.25" customHeight="1">
      <c r="B14" s="733"/>
      <c r="C14" s="735"/>
      <c r="D14" s="735"/>
      <c r="E14" s="735"/>
      <c r="F14" s="735"/>
      <c r="G14" s="735"/>
      <c r="H14" s="735"/>
      <c r="I14" s="735"/>
      <c r="J14" s="735"/>
      <c r="K14" s="735"/>
      <c r="L14" s="735"/>
      <c r="M14" s="735"/>
      <c r="N14" s="735"/>
      <c r="O14" s="27"/>
      <c r="P14" s="27"/>
      <c r="Q14" s="736"/>
    </row>
    <row r="15" spans="1:23" ht="6.75" customHeight="1">
      <c r="B15" s="733"/>
      <c r="C15" s="711"/>
      <c r="D15" s="712"/>
      <c r="E15" s="712"/>
      <c r="F15" s="712"/>
      <c r="G15" s="712"/>
      <c r="H15" s="712"/>
      <c r="I15" s="712"/>
      <c r="J15" s="712"/>
      <c r="K15" s="712"/>
      <c r="L15" s="712"/>
      <c r="M15" s="712"/>
      <c r="N15" s="708"/>
      <c r="O15" s="27"/>
      <c r="P15" s="27"/>
      <c r="Q15" s="736"/>
    </row>
    <row r="16" spans="1:23" ht="17.25" customHeight="1">
      <c r="B16" s="733"/>
      <c r="C16" s="742"/>
      <c r="D16" s="7" t="s">
        <v>168</v>
      </c>
      <c r="E16" s="81"/>
      <c r="F16" s="81"/>
      <c r="G16" s="81"/>
      <c r="M16" s="32"/>
      <c r="N16" s="714"/>
      <c r="O16" s="27"/>
      <c r="P16" s="27"/>
      <c r="Q16" s="736"/>
      <c r="V16" s="54"/>
      <c r="W16" s="54"/>
    </row>
    <row r="17" spans="2:29" ht="17.25" customHeight="1">
      <c r="B17" s="733"/>
      <c r="C17" s="808">
        <v>0</v>
      </c>
      <c r="D17" s="724" t="s">
        <v>170</v>
      </c>
      <c r="E17" s="724" t="s">
        <v>171</v>
      </c>
      <c r="F17" s="724" t="s">
        <v>172</v>
      </c>
      <c r="G17" s="724" t="s">
        <v>173</v>
      </c>
      <c r="H17" s="724" t="s">
        <v>174</v>
      </c>
      <c r="I17" s="724" t="s">
        <v>175</v>
      </c>
      <c r="J17" s="724" t="s">
        <v>176</v>
      </c>
      <c r="K17" s="724" t="s">
        <v>177</v>
      </c>
      <c r="L17" s="724" t="s">
        <v>178</v>
      </c>
      <c r="M17" s="724" t="s">
        <v>179</v>
      </c>
      <c r="N17" s="714"/>
      <c r="O17" s="27"/>
      <c r="P17" s="27"/>
      <c r="Q17" s="736"/>
      <c r="S17" s="8" t="s">
        <v>180</v>
      </c>
      <c r="U17" s="54"/>
      <c r="V17" s="54"/>
      <c r="W17" s="54"/>
    </row>
    <row r="18" spans="2:29" ht="17.25" customHeight="1">
      <c r="B18" s="733"/>
      <c r="C18" s="808">
        <f>ROW()-17</f>
        <v>1</v>
      </c>
      <c r="D18" s="813"/>
      <c r="E18" s="1030"/>
      <c r="F18" s="814" t="str">
        <f>IF(ISBLANK(D18),"",Postcode_Lookup(IF(LEN(D18)=3,"0" &amp; D18,D18), "State"))</f>
        <v/>
      </c>
      <c r="G18" s="815"/>
      <c r="H18" s="779"/>
      <c r="I18" s="1294" t="str">
        <f>IF(D18="","",IF(E18="",VLOOKUP(D18,'Configurable Items'!$D$1043:$P$3849,4,FALSE),Postcode_Lookup(D18,"LMI_CATEGORY",E18)))</f>
        <v/>
      </c>
      <c r="J18" s="1327" t="str">
        <f>IF(D18="","",IF(E18="",VLOOKUP(D18,'Configurable Items'!$D$1043:$P$3849,7,FALSE),Postcode_Lookup(D18,"MINING",E18)))</f>
        <v/>
      </c>
      <c r="K18" s="1294" t="str">
        <f>IF(D18="","",IF(E18="",IF(VLOOKUP(D18,'Configurable Items'!$D$1043:$P$3849,10,FALSE)=0,"X",VLOOKUP(D18,'Configurable Items'!$D$1043:$P$3849,10,FALSE)),Postcode_Lookup(D18,"HIGH_RISK_APARTMENT",E18)))</f>
        <v/>
      </c>
      <c r="L18" s="718"/>
      <c r="M18" s="1328" t="str">
        <f>ROUND(_xlfn.NUMBERVALUE(GET_LVR_THRESHOLD_Y("LMI Qualifier",$D$18:$L$19, $D$26:$H$27, $G$9, FALSE, $D$9,$F$35, "Security","Without",C18,$J$9)),2) &amp; " | " &amp; ROUND(_xlfn.NUMBERVALUE(GET_LVR_THRESHOLD_Y("LMI Qualifier",$D$18:$L$19, $D$26:$H$27, $G$9, FALSE, $D$9,$F$35, "Security","With Exc",C18,$J$9)),2)</f>
        <v>0 | 0</v>
      </c>
      <c r="N18" s="714"/>
      <c r="O18" s="27"/>
      <c r="P18" s="27"/>
      <c r="Q18" s="736"/>
      <c r="S18" s="25">
        <f>SUM(G18:G30)</f>
        <v>0</v>
      </c>
      <c r="U18"/>
      <c r="V18" s="54"/>
    </row>
    <row r="19" spans="2:29" ht="6.75" customHeight="1">
      <c r="B19" s="733"/>
      <c r="C19" s="742"/>
      <c r="D19" s="97"/>
      <c r="E19" s="97"/>
      <c r="F19" s="98"/>
      <c r="G19" s="99"/>
      <c r="H19" s="97"/>
      <c r="I19" s="96"/>
      <c r="J19" s="96"/>
      <c r="K19" s="96"/>
      <c r="L19" s="812"/>
      <c r="M19" s="96"/>
      <c r="N19" s="714"/>
      <c r="O19" s="27"/>
      <c r="P19" s="27"/>
      <c r="Q19" s="736"/>
      <c r="U19" s="54"/>
      <c r="V19" s="54"/>
    </row>
    <row r="20" spans="2:29" ht="17.25" customHeight="1">
      <c r="B20" s="733"/>
      <c r="C20" s="709"/>
      <c r="D20" s="715"/>
      <c r="E20" s="715"/>
      <c r="F20" s="715"/>
      <c r="G20" s="715"/>
      <c r="H20" s="715"/>
      <c r="I20" s="715"/>
      <c r="J20" s="715"/>
      <c r="K20" s="715"/>
      <c r="L20" s="715"/>
      <c r="M20" s="715"/>
      <c r="N20" s="716"/>
      <c r="O20" s="27"/>
      <c r="P20" s="27"/>
      <c r="Q20" s="736"/>
      <c r="U20" s="618"/>
      <c r="V20" s="54"/>
    </row>
    <row r="21" spans="2:29" ht="5.25" customHeight="1">
      <c r="B21" s="733"/>
      <c r="C21" s="735"/>
      <c r="D21" s="735"/>
      <c r="E21" s="735"/>
      <c r="F21" s="735"/>
      <c r="G21" s="735"/>
      <c r="H21" s="735"/>
      <c r="I21" s="735"/>
      <c r="J21" s="735"/>
      <c r="K21" s="735"/>
      <c r="L21" s="735"/>
      <c r="M21" s="735"/>
      <c r="N21" s="735"/>
      <c r="O21" s="27"/>
      <c r="P21" s="27"/>
      <c r="Q21" s="736"/>
    </row>
    <row r="22" spans="2:29" ht="17.25" customHeight="1">
      <c r="B22" s="733"/>
      <c r="C22" s="1473" t="s">
        <v>181</v>
      </c>
      <c r="D22" s="1473"/>
      <c r="E22" s="1473"/>
      <c r="F22" s="1473"/>
      <c r="G22" s="1473"/>
      <c r="H22" s="1473"/>
      <c r="I22" s="1473"/>
      <c r="J22" s="1473"/>
      <c r="K22" s="1473"/>
      <c r="L22" s="1473"/>
      <c r="M22" s="1473"/>
      <c r="N22" s="1473"/>
      <c r="O22" s="27"/>
      <c r="P22" s="27"/>
      <c r="Q22" s="736"/>
      <c r="S22" s="54"/>
      <c r="U22" s="54"/>
      <c r="V22" s="617"/>
      <c r="W22" s="54"/>
    </row>
    <row r="23" spans="2:29" ht="5.25" customHeight="1">
      <c r="B23" s="733"/>
      <c r="C23" s="711"/>
      <c r="D23" s="712"/>
      <c r="E23" s="712"/>
      <c r="F23" s="712"/>
      <c r="G23" s="712"/>
      <c r="H23" s="712"/>
      <c r="I23" s="712"/>
      <c r="J23" s="712"/>
      <c r="K23" s="712"/>
      <c r="L23" s="712"/>
      <c r="M23" s="712"/>
      <c r="N23" s="708"/>
      <c r="O23" s="27"/>
      <c r="P23" s="27"/>
      <c r="Q23" s="736"/>
    </row>
    <row r="24" spans="2:29" ht="19.5" customHeight="1">
      <c r="B24" s="733"/>
      <c r="C24" s="713"/>
      <c r="D24" s="72" t="s">
        <v>182</v>
      </c>
      <c r="E24" s="71"/>
      <c r="G24" s="801" t="str">
        <f>IF('Internal Ref'!Q173=FALSE,"! New Loan amounts don't match your SOP inputs","")</f>
        <v/>
      </c>
      <c r="H24" s="817"/>
      <c r="I24" s="816" t="s">
        <v>8691</v>
      </c>
      <c r="J24" s="815"/>
      <c r="K24" s="816" t="s">
        <v>8437</v>
      </c>
      <c r="L24" s="718" t="b">
        <v>1</v>
      </c>
      <c r="N24" s="714"/>
      <c r="O24" s="27"/>
      <c r="P24" s="27"/>
      <c r="Q24" s="736"/>
      <c r="V24" s="54"/>
      <c r="W24" s="54"/>
      <c r="Z24" s="31"/>
      <c r="AA24" s="31"/>
      <c r="AC24" s="31"/>
    </row>
    <row r="25" spans="2:29" ht="17.25" customHeight="1">
      <c r="B25" s="733"/>
      <c r="C25" s="713"/>
      <c r="D25" s="724" t="s">
        <v>183</v>
      </c>
      <c r="E25" s="724" t="s">
        <v>14</v>
      </c>
      <c r="F25" s="724" t="s">
        <v>184</v>
      </c>
      <c r="G25" s="724" t="s">
        <v>185</v>
      </c>
      <c r="H25" s="724" t="s">
        <v>186</v>
      </c>
      <c r="N25" s="714"/>
      <c r="O25" s="27"/>
      <c r="P25" s="27"/>
      <c r="Q25" s="736"/>
      <c r="V25" s="54"/>
      <c r="W25" s="54"/>
      <c r="Z25" s="31"/>
      <c r="AA25" s="31"/>
      <c r="AC25" s="31"/>
    </row>
    <row r="26" spans="2:29" ht="17.25" customHeight="1">
      <c r="B26" s="733"/>
      <c r="C26" s="713"/>
      <c r="D26" s="718" t="b">
        <v>1</v>
      </c>
      <c r="E26" s="815"/>
      <c r="F26" s="718" t="b">
        <v>0</v>
      </c>
      <c r="G26" s="779"/>
      <c r="H26" s="1344" t="b">
        <v>0</v>
      </c>
      <c r="N26" s="714"/>
      <c r="O26" s="806"/>
      <c r="P26" s="82">
        <f>N26-O26</f>
        <v>0</v>
      </c>
      <c r="Q26" s="736"/>
      <c r="S26" s="76"/>
      <c r="U26" s="54"/>
      <c r="V26" s="54"/>
      <c r="W26" s="54"/>
      <c r="Z26" s="31"/>
      <c r="AA26" s="31"/>
      <c r="AC26" s="31"/>
    </row>
    <row r="27" spans="2:29" ht="6" customHeight="1">
      <c r="B27" s="733"/>
      <c r="C27" s="713"/>
      <c r="N27" s="714"/>
      <c r="O27" s="64"/>
      <c r="P27" s="83"/>
      <c r="Q27" s="736"/>
      <c r="U27" s="54"/>
      <c r="V27" s="54"/>
      <c r="W27" s="54"/>
      <c r="Z27" s="31"/>
      <c r="AA27" s="31"/>
      <c r="AC27" s="31"/>
    </row>
    <row r="28" spans="2:29" ht="11.25" customHeight="1">
      <c r="B28" s="733"/>
      <c r="C28" s="807"/>
      <c r="D28" s="727"/>
      <c r="E28" s="727"/>
      <c r="F28" s="727"/>
      <c r="G28" s="727"/>
      <c r="H28" s="727"/>
      <c r="I28" s="727"/>
      <c r="J28" s="727"/>
      <c r="K28" s="727"/>
      <c r="L28" s="727"/>
      <c r="M28" s="727"/>
      <c r="N28" s="716"/>
      <c r="O28" s="27"/>
      <c r="P28" s="27"/>
      <c r="Q28" s="736"/>
      <c r="U28" s="54"/>
      <c r="V28" s="54"/>
      <c r="W28" s="54"/>
      <c r="Z28" s="31"/>
      <c r="AA28" s="31"/>
      <c r="AC28" s="31"/>
    </row>
    <row r="29" spans="2:29" ht="5.25" customHeight="1">
      <c r="B29" s="733"/>
      <c r="C29" s="735"/>
      <c r="D29" s="735"/>
      <c r="E29" s="735"/>
      <c r="F29" s="735"/>
      <c r="G29" s="735"/>
      <c r="H29" s="735"/>
      <c r="I29" s="735"/>
      <c r="J29" s="735"/>
      <c r="K29" s="735"/>
      <c r="L29" s="735"/>
      <c r="M29" s="735"/>
      <c r="N29" s="735"/>
      <c r="O29" s="27"/>
      <c r="P29" s="27"/>
      <c r="Q29" s="736"/>
      <c r="Z29" s="31"/>
      <c r="AA29" s="31"/>
      <c r="AC29" s="31"/>
    </row>
    <row r="30" spans="2:29" ht="20.25" customHeight="1">
      <c r="B30" s="733"/>
      <c r="C30" s="775" t="s">
        <v>154</v>
      </c>
      <c r="D30" s="819"/>
      <c r="E30" s="819"/>
      <c r="F30" s="819"/>
      <c r="G30" s="820"/>
      <c r="H30" s="819"/>
      <c r="I30" s="819"/>
      <c r="J30" s="819"/>
      <c r="K30" s="819"/>
      <c r="L30" s="819"/>
      <c r="M30" s="819"/>
      <c r="N30" s="819"/>
      <c r="O30" s="27"/>
      <c r="P30" s="27"/>
      <c r="Q30" s="736"/>
      <c r="V30" s="54"/>
      <c r="Z30" s="31"/>
      <c r="AA30" s="31"/>
      <c r="AC30" s="31"/>
    </row>
    <row r="31" spans="2:29" ht="8.25" customHeight="1">
      <c r="B31" s="733"/>
      <c r="C31" s="711"/>
      <c r="D31" s="712"/>
      <c r="E31" s="712"/>
      <c r="F31" s="712"/>
      <c r="G31" s="712"/>
      <c r="H31" s="712"/>
      <c r="I31" s="712"/>
      <c r="J31" s="712"/>
      <c r="K31" s="712"/>
      <c r="L31" s="712"/>
      <c r="M31" s="712"/>
      <c r="N31" s="708"/>
      <c r="O31" s="27"/>
      <c r="P31" s="27"/>
      <c r="Q31" s="736"/>
      <c r="V31" s="54"/>
      <c r="Z31" s="31"/>
      <c r="AA31" s="31"/>
      <c r="AC31" s="31"/>
    </row>
    <row r="32" spans="2:29" ht="17.25" customHeight="1">
      <c r="B32" s="733"/>
      <c r="C32" s="742"/>
      <c r="D32" s="724" t="s">
        <v>187</v>
      </c>
      <c r="E32" s="724"/>
      <c r="F32" s="724" t="s">
        <v>188</v>
      </c>
      <c r="G32" s="817"/>
      <c r="H32" s="724" t="str">
        <f>IF(H33=I33,"Max LVR Limit Exc LMI","Max LVR Limit Exc LMI…")</f>
        <v>Max LVR Limit Exc LMI</v>
      </c>
      <c r="I32" s="724" t="str">
        <f>IF(H33=I33,"","if sec split")</f>
        <v/>
      </c>
      <c r="J32" s="724" t="s">
        <v>8688</v>
      </c>
      <c r="K32" s="724"/>
      <c r="L32" s="724" t="s">
        <v>189</v>
      </c>
      <c r="N32" s="714"/>
      <c r="O32" s="27"/>
      <c r="P32" s="27"/>
      <c r="Q32" s="736"/>
      <c r="V32" s="618"/>
      <c r="Z32" s="31"/>
      <c r="AA32" s="31"/>
      <c r="AC32" s="31"/>
    </row>
    <row r="33" spans="2:31" ht="17.25" customHeight="1">
      <c r="B33" s="733"/>
      <c r="C33" s="742"/>
      <c r="D33" s="1501">
        <f>IF(SUM($G$18:$G$19) = 0, 0,SUM($E$26:$E$27)/SUM($G$18:$G$19))</f>
        <v>0</v>
      </c>
      <c r="E33" s="1501"/>
      <c r="F33" s="85">
        <f>IF(SUM($G$18:$G$19)=0,0,(SUM($E$26:$E$27,IF(L24=TRUE,F35,0)))/SUM($G$18:$G$19))</f>
        <v>0</v>
      </c>
      <c r="H33" s="85">
        <f>GET_LVR_THRESHOLD_Y("LMI Qualifier", $D$18:$L$19, $D$26:$H$27, $G$9, FALSE, $D$9,$F$35, "Application","With Exc",0,J9)</f>
        <v>0</v>
      </c>
      <c r="I33" s="85">
        <f>GET_LVR_THRESHOLD_Y("LMI Qualifier", $D$18:$L$19, $D$26:$H$27, $G$9, FALSE, $D$9,$F$35, "Application","With Exc Split",0,J9)</f>
        <v>0</v>
      </c>
      <c r="J33" s="85">
        <f>GET_LVR_THRESHOLD_Y("LMI Qualifier", $D$18:$L$19, $D$26:$H$27, $G$9, FALSE, $D$9,$F$35, "Application","With Inc",0,J9)</f>
        <v>0</v>
      </c>
      <c r="K33" s="802"/>
      <c r="L33" s="86" t="str">
        <f>IF(AND(F33&gt;H35,F35&gt;0),Next_LMI_Tier(D35,SUM(G18:G19),$D$26:$H$27,"Loan Amount",G9)+0.01,"N/A")</f>
        <v>N/A</v>
      </c>
      <c r="N33" s="714"/>
      <c r="O33" s="27"/>
      <c r="P33" s="27"/>
      <c r="Q33" s="736"/>
      <c r="V33" s="54"/>
      <c r="Z33" s="31"/>
      <c r="AA33" s="31"/>
      <c r="AC33" s="31"/>
    </row>
    <row r="34" spans="2:31" ht="17.25" customHeight="1">
      <c r="B34" s="733"/>
      <c r="C34" s="742"/>
      <c r="D34" s="87" t="s">
        <v>190</v>
      </c>
      <c r="E34" s="87"/>
      <c r="F34" s="8" t="s">
        <v>191</v>
      </c>
      <c r="H34" s="8" t="s">
        <v>192</v>
      </c>
      <c r="J34" s="87" t="s">
        <v>193</v>
      </c>
      <c r="K34" s="87"/>
      <c r="L34" s="8" t="s">
        <v>194</v>
      </c>
      <c r="N34" s="714"/>
      <c r="O34" s="27"/>
      <c r="P34" s="27"/>
      <c r="Q34" s="736"/>
      <c r="U34" s="87"/>
      <c r="V34" s="87"/>
      <c r="Z34" s="31"/>
      <c r="AA34" s="31"/>
      <c r="AC34" s="31"/>
    </row>
    <row r="35" spans="2:31" ht="17.25" customHeight="1">
      <c r="B35" s="733"/>
      <c r="C35" s="742"/>
      <c r="D35" s="1497">
        <f>$J$24+(IF(F35&gt;0,SUM($E$26:$E$27),SUMIFS($E$26:$E$27,$H$26:$H$27,TRUE)))</f>
        <v>0</v>
      </c>
      <c r="E35" s="1497"/>
      <c r="F35" s="86">
        <f>IF(D33&lt;=H35,0,LMI($D$18:$M$19,$D$26:$H$27,G9,0,"LMI Qualifier",K9))</f>
        <v>0</v>
      </c>
      <c r="H35" s="85">
        <f>GET_LVR_THRESHOLD_Y("LMI Qualifier", $D$18:$L$19, $D$26:$H$27, $G$9, FALSE, $D$9,0, "Application","Without",0,K9)</f>
        <v>0</v>
      </c>
      <c r="I35" s="61"/>
      <c r="J35" s="86">
        <f>LMI_MASTER_TCL_LIMIT</f>
        <v>3000000</v>
      </c>
      <c r="K35" s="86"/>
      <c r="L35" s="86" t="str">
        <f>IF(L33="N/A","N/A",F35-LMI($D$18:$M$19,$D$26:$H$27,G9,L33,"LMI Qualifier",J9))</f>
        <v>N/A</v>
      </c>
      <c r="N35" s="714"/>
      <c r="O35" s="27"/>
      <c r="P35" s="27"/>
      <c r="Q35" s="736"/>
      <c r="S35" s="76"/>
      <c r="T35" s="76"/>
      <c r="Z35" s="31"/>
      <c r="AA35" s="31"/>
      <c r="AC35" s="31"/>
    </row>
    <row r="36" spans="2:31" ht="13.5" customHeight="1">
      <c r="B36" s="733"/>
      <c r="C36" s="742"/>
      <c r="D36" s="87" t="str">
        <f>IF(NOT(ISNA(VLOOKUP("On Application",$I$18:$I$19,1,FALSE))),IF(F35=0,"","OnApp:"),
"")</f>
        <v/>
      </c>
      <c r="E36" s="86">
        <f>IF(NOT(ISNA(VLOOKUP("On Application",$I$18:$I$19,1,FALSE))),IF(F35=0,0,SUMIF(I18:I19,"On application",G18:G19)*D33),
0)</f>
        <v>0</v>
      </c>
      <c r="F36" s="86"/>
      <c r="G36" s="803"/>
      <c r="H36" s="85"/>
      <c r="I36" s="803"/>
      <c r="J36" s="86">
        <v>750000</v>
      </c>
      <c r="K36" s="86"/>
      <c r="L36" s="86"/>
      <c r="N36" s="714"/>
      <c r="O36" s="27"/>
      <c r="P36" s="27"/>
      <c r="Q36" s="736"/>
      <c r="S36" s="76"/>
      <c r="T36" s="76"/>
      <c r="U36" s="86"/>
      <c r="V36" s="86"/>
      <c r="Z36" s="31"/>
      <c r="AA36" s="31"/>
      <c r="AC36" s="31"/>
    </row>
    <row r="37" spans="2:31" ht="7.5" customHeight="1">
      <c r="B37" s="733"/>
      <c r="C37" s="709"/>
      <c r="D37" s="804"/>
      <c r="E37" s="804"/>
      <c r="F37" s="804"/>
      <c r="G37" s="804"/>
      <c r="H37" s="805"/>
      <c r="I37" s="805"/>
      <c r="J37" s="805"/>
      <c r="K37" s="805"/>
      <c r="L37" s="805"/>
      <c r="M37" s="805"/>
      <c r="N37" s="710"/>
      <c r="Q37" s="736"/>
      <c r="Z37" s="31"/>
      <c r="AA37" s="31"/>
      <c r="AC37" s="31"/>
    </row>
    <row r="38" spans="2:31" ht="5.25" customHeight="1">
      <c r="B38" s="733"/>
      <c r="C38" s="735"/>
      <c r="D38" s="735"/>
      <c r="E38" s="735"/>
      <c r="F38" s="735"/>
      <c r="G38" s="735"/>
      <c r="H38" s="735"/>
      <c r="I38" s="735"/>
      <c r="J38" s="735"/>
      <c r="K38" s="735"/>
      <c r="L38" s="735"/>
      <c r="M38" s="735"/>
      <c r="N38" s="735"/>
      <c r="O38" s="735"/>
      <c r="P38" s="735"/>
      <c r="Q38" s="736"/>
      <c r="AB38" s="31"/>
      <c r="AC38" s="31"/>
      <c r="AE38" s="31"/>
    </row>
    <row r="39" spans="2:31" ht="17.25" customHeight="1">
      <c r="B39" s="733"/>
      <c r="C39" s="775" t="s">
        <v>195</v>
      </c>
      <c r="D39" s="819"/>
      <c r="E39" s="819"/>
      <c r="F39" s="819"/>
      <c r="G39" s="820"/>
      <c r="H39" s="819"/>
      <c r="I39" s="819"/>
      <c r="J39" s="819"/>
      <c r="K39" s="819"/>
      <c r="L39" s="819"/>
      <c r="M39" s="819"/>
      <c r="N39" s="819"/>
      <c r="O39" s="735"/>
      <c r="P39" s="735"/>
      <c r="Q39" s="736"/>
      <c r="Z39" s="31"/>
      <c r="AA39" s="31"/>
      <c r="AC39" s="31"/>
    </row>
    <row r="40" spans="2:31" ht="11.25" customHeight="1">
      <c r="B40" s="733"/>
      <c r="C40" s="1314"/>
      <c r="D40" s="1315"/>
      <c r="E40" s="1315"/>
      <c r="F40" s="1315"/>
      <c r="G40" s="1315"/>
      <c r="H40" s="1315"/>
      <c r="I40" s="1315"/>
      <c r="J40" s="1315"/>
      <c r="K40" s="1315"/>
      <c r="L40" s="1315"/>
      <c r="M40" s="1315"/>
      <c r="N40" s="1316"/>
      <c r="O40" s="6"/>
      <c r="P40" s="88"/>
      <c r="Q40" s="736"/>
      <c r="AB40" s="31"/>
      <c r="AC40" s="31"/>
      <c r="AE40" s="31"/>
    </row>
    <row r="41" spans="2:31" ht="20.25" customHeight="1">
      <c r="B41" s="733"/>
      <c r="C41" s="1317"/>
      <c r="D41" s="1498" t="str">
        <f>IF(E41="ACCEPTABLE","☑",IF(E41="ATTENTION","⚠","☒"))</f>
        <v>☑</v>
      </c>
      <c r="E41" s="1310" t="str" cm="1">
        <f t="array" ref="E41">Overall_Message(J9,L9, D33, F33, D35, F35, H35, H33,I33, J33, J35,E36,J36,J24,G9, "Short")</f>
        <v>ACCEPTABLE</v>
      </c>
      <c r="F41" s="1311"/>
      <c r="G41" s="1311"/>
      <c r="H41" s="1312"/>
      <c r="I41" s="1312"/>
      <c r="J41" s="1312"/>
      <c r="K41" s="1312"/>
      <c r="L41" s="1312"/>
      <c r="M41" s="1312"/>
      <c r="N41" s="1318"/>
      <c r="O41" s="6"/>
      <c r="P41" s="89"/>
      <c r="Q41" s="736"/>
      <c r="AB41" s="31"/>
      <c r="AC41" s="31"/>
      <c r="AE41" s="31"/>
    </row>
    <row r="42" spans="2:31" ht="20.25" customHeight="1">
      <c r="B42" s="733"/>
      <c r="C42" s="1317"/>
      <c r="D42" s="1498"/>
      <c r="E42" s="1313" t="str">
        <f>IF(E41="ACCEPTABLE","ACCEPTABLE",IF(E41="ATTENTION","Warning: Refer to message(s)","Unacceptable : Refer to error message(s)"))</f>
        <v>ACCEPTABLE</v>
      </c>
      <c r="F42" s="1311"/>
      <c r="G42" s="1311"/>
      <c r="H42" s="1312"/>
      <c r="I42" s="1312"/>
      <c r="J42" s="1312"/>
      <c r="K42" s="1312"/>
      <c r="L42" s="1312"/>
      <c r="M42" s="1312"/>
      <c r="N42" s="1318"/>
      <c r="O42" s="6"/>
      <c r="P42" s="89"/>
      <c r="Q42" s="736"/>
      <c r="AB42" s="31"/>
      <c r="AC42" s="31"/>
      <c r="AE42" s="31"/>
    </row>
    <row r="43" spans="2:31" ht="5.25" customHeight="1">
      <c r="B43" s="733"/>
      <c r="C43" s="1317"/>
      <c r="D43" s="1312"/>
      <c r="E43" s="1312"/>
      <c r="F43" s="1312"/>
      <c r="G43" s="1312"/>
      <c r="H43" s="1312"/>
      <c r="I43" s="1312"/>
      <c r="J43" s="1312"/>
      <c r="K43" s="1312"/>
      <c r="L43" s="1312"/>
      <c r="M43" s="1312"/>
      <c r="N43" s="1318"/>
      <c r="O43" s="6"/>
      <c r="P43" s="89"/>
      <c r="Q43" s="736"/>
      <c r="AB43" s="31"/>
      <c r="AC43" s="31"/>
      <c r="AE43" s="31"/>
    </row>
    <row r="44" spans="2:31" ht="17.25" customHeight="1">
      <c r="B44" s="733"/>
      <c r="C44" s="1317"/>
      <c r="D44" s="823"/>
      <c r="E44" s="824"/>
      <c r="F44" s="825"/>
      <c r="G44" s="825"/>
      <c r="H44" s="825"/>
      <c r="I44" s="825"/>
      <c r="J44" s="825"/>
      <c r="K44" s="825"/>
      <c r="L44" s="825"/>
      <c r="M44" s="708"/>
      <c r="N44" s="1318"/>
      <c r="O44" s="6"/>
      <c r="P44" s="29"/>
      <c r="Q44" s="736"/>
      <c r="AB44" s="31"/>
      <c r="AC44" s="31"/>
      <c r="AE44" s="31"/>
    </row>
    <row r="45" spans="2:31" ht="27.75" customHeight="1">
      <c r="B45" s="733"/>
      <c r="C45" s="1317"/>
      <c r="D45" s="1322" t="str">
        <f>IF(E41="ACCEPTABLE","☑",IF(E41="ATTENTION","⚠","☒"))</f>
        <v>☑</v>
      </c>
      <c r="E45" s="1499" t="str" cm="1">
        <f t="array" ref="E45">Overall_Message(J9, L9,D33, F33, D35, F35, H35, H33,I33, J33, J35,E36,J36,J24,G9, "Long")</f>
        <v>No LMI required - LVR is less than or equal to 0%</v>
      </c>
      <c r="F45" s="1499"/>
      <c r="G45" s="1499"/>
      <c r="H45" s="1499"/>
      <c r="I45" s="1499"/>
      <c r="J45" s="1499"/>
      <c r="K45" s="1499"/>
      <c r="L45" s="1499"/>
      <c r="M45" s="714"/>
      <c r="N45" s="1318"/>
      <c r="O45" s="6"/>
      <c r="P45" s="34"/>
      <c r="Q45" s="736"/>
      <c r="AB45" s="31"/>
      <c r="AC45" s="31"/>
      <c r="AE45" s="31"/>
    </row>
    <row r="46" spans="2:31" ht="17.25" customHeight="1">
      <c r="B46" s="733"/>
      <c r="C46" s="1317"/>
      <c r="D46" s="826"/>
      <c r="E46" s="827"/>
      <c r="F46" s="828"/>
      <c r="G46" s="828"/>
      <c r="H46" s="828"/>
      <c r="I46" s="828"/>
      <c r="J46" s="828"/>
      <c r="K46" s="828"/>
      <c r="L46" s="828"/>
      <c r="M46" s="716"/>
      <c r="N46" s="1318"/>
      <c r="O46" s="6"/>
      <c r="P46" s="33"/>
      <c r="Q46" s="736"/>
      <c r="AB46" s="31"/>
      <c r="AC46" s="31"/>
      <c r="AE46" s="31"/>
    </row>
    <row r="47" spans="2:31" ht="5.25" customHeight="1">
      <c r="B47" s="733"/>
      <c r="C47" s="1317"/>
      <c r="D47" s="1312"/>
      <c r="E47" s="1312"/>
      <c r="F47" s="1312"/>
      <c r="G47" s="1312"/>
      <c r="H47" s="1312"/>
      <c r="I47" s="1312"/>
      <c r="J47" s="1312"/>
      <c r="K47" s="1312"/>
      <c r="L47" s="1312"/>
      <c r="M47" s="1312"/>
      <c r="N47" s="1318"/>
      <c r="O47" s="6"/>
      <c r="P47" s="89"/>
      <c r="Q47" s="736"/>
      <c r="AB47" s="31"/>
      <c r="AC47" s="31"/>
      <c r="AE47" s="31"/>
    </row>
    <row r="48" spans="2:31" ht="11.25" customHeight="1">
      <c r="B48" s="733"/>
      <c r="C48" s="1319"/>
      <c r="D48" s="1320"/>
      <c r="E48" s="1320"/>
      <c r="F48" s="1320"/>
      <c r="G48" s="1320"/>
      <c r="H48" s="1320"/>
      <c r="I48" s="1320"/>
      <c r="J48" s="1320"/>
      <c r="K48" s="1320"/>
      <c r="L48" s="1320"/>
      <c r="M48" s="1320"/>
      <c r="N48" s="1321"/>
      <c r="O48" s="6"/>
      <c r="P48" s="90"/>
      <c r="Q48" s="736"/>
      <c r="AB48" s="31"/>
      <c r="AC48" s="31"/>
      <c r="AE48" s="31"/>
    </row>
    <row r="49" spans="2:31" ht="5.25" customHeight="1">
      <c r="B49" s="733"/>
      <c r="C49" s="735"/>
      <c r="D49" s="735"/>
      <c r="E49" s="735"/>
      <c r="F49" s="735"/>
      <c r="G49" s="735"/>
      <c r="H49" s="735"/>
      <c r="I49" s="735"/>
      <c r="J49" s="735"/>
      <c r="K49" s="735"/>
      <c r="L49" s="735"/>
      <c r="M49" s="735"/>
      <c r="N49" s="735"/>
      <c r="O49" s="27"/>
      <c r="P49" s="27"/>
      <c r="Q49" s="736"/>
      <c r="AB49" s="31"/>
      <c r="AC49" s="31"/>
      <c r="AE49" s="31"/>
    </row>
    <row r="50" spans="2:31" ht="23.25" customHeight="1">
      <c r="B50" s="733"/>
      <c r="C50" s="775" t="s">
        <v>160</v>
      </c>
      <c r="D50" s="735"/>
      <c r="E50" s="983"/>
      <c r="F50" s="983"/>
      <c r="G50" s="983"/>
      <c r="H50" s="983"/>
      <c r="I50" s="735"/>
      <c r="J50" s="735"/>
      <c r="K50" s="735"/>
      <c r="L50" s="735"/>
      <c r="M50" s="735"/>
      <c r="N50" s="735"/>
      <c r="O50" s="4"/>
      <c r="P50" s="5"/>
      <c r="Q50" s="736"/>
      <c r="AB50" s="31"/>
      <c r="AC50" s="31"/>
      <c r="AE50" s="31"/>
    </row>
    <row r="51" spans="2:31" ht="30.75" customHeight="1">
      <c r="B51" s="733"/>
      <c r="C51" s="1496" t="str">
        <f ca="1">"This is an estimate only, current as at "&amp;TEXT(TODAY(),"dd/mm/yyyy")&amp;". It is provided for illustrative purposes only and is based on the accuracy of information provided. "&amp;"It does not constitute a quote or offer for credit. All applications for credit are subject to ANZ’s normal credit approval criteria. Terms and conditions apply and are available on application. Fees and charges apply."</f>
        <v>This is an estimate only, current as at 03/06/2025. It is provided for illustrative purposes only and is based on the accuracy of information provided. It does not constitute a quote or offer for credit. All applications for credit are subject to ANZ’s normal credit approval criteria. Terms and conditions apply and are available on application. Fees and charges apply.</v>
      </c>
      <c r="D51" s="1496"/>
      <c r="E51" s="1496"/>
      <c r="F51" s="1496"/>
      <c r="G51" s="1496"/>
      <c r="H51" s="1496"/>
      <c r="I51" s="1496"/>
      <c r="J51" s="1496"/>
      <c r="K51" s="1496"/>
      <c r="L51" s="1496"/>
      <c r="M51" s="1496"/>
      <c r="N51" s="1285"/>
      <c r="O51" s="91"/>
      <c r="P51" s="20"/>
      <c r="Q51" s="736"/>
      <c r="AB51" s="31"/>
      <c r="AC51" s="31"/>
      <c r="AE51" s="31"/>
    </row>
    <row r="52" spans="2:31" ht="11.25" customHeight="1">
      <c r="B52" s="734"/>
      <c r="C52" s="738"/>
      <c r="D52" s="738"/>
      <c r="E52" s="738"/>
      <c r="F52" s="738"/>
      <c r="G52" s="738"/>
      <c r="H52" s="738"/>
      <c r="I52" s="738"/>
      <c r="J52" s="738"/>
      <c r="K52" s="738"/>
      <c r="L52" s="738"/>
      <c r="M52" s="738"/>
      <c r="N52" s="818" t="str">
        <f>ML_CALC_VERSION</f>
        <v>HL_Calc_V54_250405</v>
      </c>
      <c r="O52" s="705"/>
      <c r="P52" s="705"/>
      <c r="Q52" s="737"/>
      <c r="AB52" s="31"/>
      <c r="AC52" s="31"/>
      <c r="AE52" s="31"/>
    </row>
    <row r="53" spans="2:31">
      <c r="Z53" s="31"/>
      <c r="AA53" s="31"/>
      <c r="AC53" s="31"/>
    </row>
    <row r="54" spans="2:31">
      <c r="Z54" s="31"/>
      <c r="AA54" s="31"/>
    </row>
    <row r="55" spans="2:31">
      <c r="Z55" s="31"/>
      <c r="AA55" s="31"/>
    </row>
    <row r="56" spans="2:31">
      <c r="Z56" s="31"/>
      <c r="AA56" s="31"/>
    </row>
    <row r="57" spans="2:31">
      <c r="Z57" s="31"/>
      <c r="AA57" s="31"/>
    </row>
    <row r="58" spans="2:31">
      <c r="Z58" s="31"/>
      <c r="AA58" s="31"/>
      <c r="AC58" s="31"/>
    </row>
    <row r="59" spans="2:31">
      <c r="Z59" s="31"/>
      <c r="AA59" s="31"/>
      <c r="AC59" s="31"/>
    </row>
    <row r="60" spans="2:31">
      <c r="Z60" s="31"/>
      <c r="AA60" s="31"/>
      <c r="AC60" s="31"/>
    </row>
    <row r="61" spans="2:31">
      <c r="Z61" s="31"/>
      <c r="AA61" s="31"/>
      <c r="AC61" s="31"/>
    </row>
    <row r="62" spans="2:31">
      <c r="Z62" s="31"/>
      <c r="AA62" s="31"/>
      <c r="AC62" s="31"/>
    </row>
    <row r="63" spans="2:31">
      <c r="Z63" s="31"/>
      <c r="AA63" s="31"/>
      <c r="AC63" s="31"/>
    </row>
    <row r="64" spans="2:31">
      <c r="Z64" s="31"/>
      <c r="AA64" s="31"/>
      <c r="AC64" s="31"/>
    </row>
    <row r="65" spans="26:29">
      <c r="Z65" s="31"/>
      <c r="AA65" s="31"/>
      <c r="AC65" s="31"/>
    </row>
    <row r="66" spans="26:29">
      <c r="Z66" s="31"/>
      <c r="AA66" s="31"/>
      <c r="AC66" s="31"/>
    </row>
    <row r="67" spans="26:29">
      <c r="Z67" s="31"/>
      <c r="AA67" s="31"/>
      <c r="AC67" s="31"/>
    </row>
    <row r="68" spans="26:29">
      <c r="Z68" s="31"/>
      <c r="AA68" s="31"/>
      <c r="AC68" s="31"/>
    </row>
    <row r="69" spans="26:29">
      <c r="Z69" s="31"/>
      <c r="AA69" s="31"/>
      <c r="AC69" s="31"/>
    </row>
    <row r="70" spans="26:29">
      <c r="Z70" s="31"/>
      <c r="AA70" s="31"/>
      <c r="AC70" s="31"/>
    </row>
    <row r="71" spans="26:29">
      <c r="Z71" s="31"/>
      <c r="AA71" s="31"/>
      <c r="AC71" s="31"/>
    </row>
    <row r="72" spans="26:29">
      <c r="Z72" s="31"/>
      <c r="AA72" s="31"/>
      <c r="AC72" s="31"/>
    </row>
    <row r="73" spans="26:29">
      <c r="Z73" s="31"/>
      <c r="AA73" s="31"/>
      <c r="AC73" s="31"/>
    </row>
    <row r="74" spans="26:29">
      <c r="Z74" s="31"/>
      <c r="AA74" s="31"/>
      <c r="AC74" s="31"/>
    </row>
    <row r="75" spans="26:29">
      <c r="Z75" s="31"/>
      <c r="AA75" s="31"/>
      <c r="AC75" s="31"/>
    </row>
    <row r="76" spans="26:29">
      <c r="Z76" s="31"/>
      <c r="AA76" s="31"/>
      <c r="AC76" s="31"/>
    </row>
    <row r="77" spans="26:29">
      <c r="Z77" s="31"/>
      <c r="AA77" s="31"/>
      <c r="AC77" s="31"/>
    </row>
    <row r="78" spans="26:29">
      <c r="Z78" s="31"/>
      <c r="AA78" s="31"/>
      <c r="AC78" s="31"/>
    </row>
    <row r="79" spans="26:29">
      <c r="Z79" s="31"/>
      <c r="AA79" s="31"/>
      <c r="AC79" s="31"/>
    </row>
    <row r="80" spans="26:29">
      <c r="Z80" s="31"/>
      <c r="AA80" s="31"/>
      <c r="AC80" s="31"/>
    </row>
    <row r="81" spans="26:29">
      <c r="Z81" s="31"/>
      <c r="AA81" s="31"/>
      <c r="AC81" s="31"/>
    </row>
    <row r="82" spans="26:29">
      <c r="Z82" s="31"/>
      <c r="AA82" s="31"/>
      <c r="AC82" s="31"/>
    </row>
    <row r="83" spans="26:29">
      <c r="Z83" s="31"/>
      <c r="AA83" s="31"/>
      <c r="AC83" s="31"/>
    </row>
    <row r="84" spans="26:29">
      <c r="Z84" s="31"/>
      <c r="AA84" s="31"/>
      <c r="AC84" s="31"/>
    </row>
    <row r="85" spans="26:29">
      <c r="Z85" s="31"/>
      <c r="AA85" s="31"/>
      <c r="AC85" s="31"/>
    </row>
    <row r="86" spans="26:29">
      <c r="Z86" s="31"/>
      <c r="AA86" s="31"/>
      <c r="AC86" s="31"/>
    </row>
    <row r="87" spans="26:29">
      <c r="Z87" s="31"/>
      <c r="AA87" s="31"/>
      <c r="AC87" s="31"/>
    </row>
    <row r="88" spans="26:29">
      <c r="Z88" s="31"/>
      <c r="AA88" s="31"/>
      <c r="AC88" s="31"/>
    </row>
    <row r="89" spans="26:29">
      <c r="Z89" s="31"/>
      <c r="AA89" s="31"/>
      <c r="AC89" s="31"/>
    </row>
    <row r="90" spans="26:29">
      <c r="Z90" s="31"/>
      <c r="AA90" s="31"/>
      <c r="AC90" s="31"/>
    </row>
    <row r="91" spans="26:29">
      <c r="Z91" s="31"/>
      <c r="AA91" s="31"/>
      <c r="AC91" s="31"/>
    </row>
    <row r="92" spans="26:29">
      <c r="Z92" s="31"/>
      <c r="AA92" s="31"/>
      <c r="AC92" s="31"/>
    </row>
    <row r="93" spans="26:29">
      <c r="Z93" s="31"/>
      <c r="AA93" s="31"/>
      <c r="AC93" s="31"/>
    </row>
    <row r="94" spans="26:29">
      <c r="Z94" s="31"/>
      <c r="AA94" s="31"/>
      <c r="AC94" s="31"/>
    </row>
    <row r="95" spans="26:29">
      <c r="Z95" s="31"/>
      <c r="AA95" s="31"/>
      <c r="AC95" s="31"/>
    </row>
    <row r="96" spans="26:29">
      <c r="Z96" s="31"/>
      <c r="AA96" s="31"/>
      <c r="AC96" s="31"/>
    </row>
    <row r="97" spans="26:29">
      <c r="Z97" s="31"/>
      <c r="AA97" s="31"/>
      <c r="AC97" s="31"/>
    </row>
    <row r="98" spans="26:29">
      <c r="Z98" s="31"/>
      <c r="AA98" s="31"/>
      <c r="AC98" s="31"/>
    </row>
    <row r="99" spans="26:29">
      <c r="Z99" s="31"/>
      <c r="AA99" s="31"/>
      <c r="AC99" s="31"/>
    </row>
    <row r="100" spans="26:29">
      <c r="Z100" s="31"/>
      <c r="AA100" s="31"/>
      <c r="AC100" s="31"/>
    </row>
    <row r="101" spans="26:29">
      <c r="Z101" s="31"/>
      <c r="AA101" s="31"/>
    </row>
    <row r="102" spans="26:29">
      <c r="Z102" s="31"/>
      <c r="AA102" s="31"/>
    </row>
    <row r="103" spans="26:29">
      <c r="Z103" s="31"/>
      <c r="AA103" s="31"/>
    </row>
    <row r="104" spans="26:29">
      <c r="Z104" s="31"/>
      <c r="AA104" s="31"/>
    </row>
    <row r="105" spans="26:29">
      <c r="Z105" s="31"/>
      <c r="AA105" s="31"/>
    </row>
    <row r="106" spans="26:29">
      <c r="Z106" s="31"/>
      <c r="AA106" s="31"/>
    </row>
    <row r="107" spans="26:29">
      <c r="Z107" s="31"/>
      <c r="AA107" s="31"/>
    </row>
    <row r="108" spans="26:29">
      <c r="Z108" s="31"/>
      <c r="AA108" s="31"/>
    </row>
    <row r="109" spans="26:29">
      <c r="Z109" s="31"/>
      <c r="AA109" s="31"/>
    </row>
    <row r="110" spans="26:29">
      <c r="Z110" s="31"/>
      <c r="AA110" s="31"/>
    </row>
    <row r="111" spans="26:29">
      <c r="Z111" s="31"/>
      <c r="AA111" s="31"/>
    </row>
    <row r="112" spans="26:29">
      <c r="Z112" s="31"/>
      <c r="AA112" s="31"/>
    </row>
    <row r="113" spans="26:42">
      <c r="Z113" s="31"/>
      <c r="AA113" s="31"/>
    </row>
    <row r="114" spans="26:42">
      <c r="Z114" s="31"/>
      <c r="AA114" s="31"/>
      <c r="AM114" s="2">
        <v>-2099.9899999999998</v>
      </c>
      <c r="AN114" s="2">
        <v>918359.14948590205</v>
      </c>
      <c r="AO114" s="2" t="b">
        <v>0</v>
      </c>
    </row>
    <row r="115" spans="26:42">
      <c r="Z115" s="31"/>
      <c r="AA115" s="31"/>
    </row>
    <row r="116" spans="26:42">
      <c r="Z116" s="31"/>
      <c r="AA116" s="31"/>
    </row>
    <row r="117" spans="26:42">
      <c r="Z117" s="31"/>
      <c r="AA117" s="31"/>
    </row>
    <row r="118" spans="26:42">
      <c r="Z118" s="31"/>
      <c r="AA118" s="31"/>
    </row>
    <row r="119" spans="26:42">
      <c r="Z119" s="31"/>
      <c r="AA119" s="31"/>
      <c r="AM119" s="2">
        <v>0</v>
      </c>
      <c r="AN119" s="2">
        <v>0</v>
      </c>
      <c r="AO119" s="2" t="b">
        <v>0</v>
      </c>
      <c r="AP119" s="2" t="b">
        <v>0</v>
      </c>
    </row>
    <row r="120" spans="26:42">
      <c r="Z120" s="31"/>
      <c r="AA120" s="31"/>
      <c r="AM120" s="2">
        <v>0</v>
      </c>
      <c r="AN120" s="2">
        <v>443980.55675444897</v>
      </c>
      <c r="AO120" s="2" t="b">
        <v>0</v>
      </c>
      <c r="AP120" s="2" t="b">
        <v>0</v>
      </c>
    </row>
    <row r="121" spans="26:42">
      <c r="Z121" s="31"/>
      <c r="AA121" s="31"/>
      <c r="AM121" s="2">
        <v>0</v>
      </c>
      <c r="AN121" s="2">
        <v>0</v>
      </c>
      <c r="AO121" s="2" t="b">
        <v>0</v>
      </c>
      <c r="AP121" s="2" t="b">
        <v>0</v>
      </c>
    </row>
    <row r="122" spans="26:42">
      <c r="Z122" s="31"/>
      <c r="AA122" s="31"/>
      <c r="AN122" s="2">
        <v>568915.738338575</v>
      </c>
      <c r="AP122" s="2" t="b">
        <v>0</v>
      </c>
    </row>
    <row r="123" spans="26:42">
      <c r="Z123" s="31"/>
      <c r="AA123" s="31"/>
      <c r="AM123" s="2">
        <v>2278.7399999999998</v>
      </c>
      <c r="AN123" s="2">
        <v>309009.40123205801</v>
      </c>
      <c r="AO123" s="2" t="b">
        <v>0</v>
      </c>
      <c r="AP123" s="2" t="b">
        <v>0</v>
      </c>
    </row>
    <row r="124" spans="26:42">
      <c r="Z124" s="31"/>
      <c r="AA124" s="31"/>
    </row>
    <row r="125" spans="26:42">
      <c r="Z125" s="31"/>
      <c r="AA125" s="31"/>
    </row>
    <row r="126" spans="26:42">
      <c r="Z126" s="31"/>
      <c r="AA126" s="31"/>
      <c r="AN126" s="2">
        <v>0</v>
      </c>
      <c r="AP126" s="2" t="b">
        <v>0</v>
      </c>
    </row>
    <row r="127" spans="26:42">
      <c r="Z127" s="31"/>
      <c r="AA127" s="31"/>
      <c r="AM127" s="2">
        <v>11774.46</v>
      </c>
      <c r="AN127" s="2">
        <v>2189466.9747474198</v>
      </c>
      <c r="AO127" s="2" t="b">
        <v>0</v>
      </c>
    </row>
    <row r="128" spans="26:42">
      <c r="Z128" s="31"/>
      <c r="AA128" s="31"/>
      <c r="AM128" s="2">
        <v>11774.46</v>
      </c>
      <c r="AN128" s="2">
        <v>2189466.9747474198</v>
      </c>
      <c r="AO128" s="2" t="b">
        <v>0</v>
      </c>
    </row>
    <row r="129" spans="9:42">
      <c r="Z129" s="31"/>
      <c r="AA129" s="31"/>
      <c r="AM129" s="2">
        <v>8881.5400000000009</v>
      </c>
      <c r="AN129" s="2">
        <v>1898618.6270528201</v>
      </c>
      <c r="AO129" s="2" t="b">
        <v>0</v>
      </c>
    </row>
    <row r="130" spans="9:42">
      <c r="Z130" s="31"/>
      <c r="AA130" s="31"/>
      <c r="AM130" s="2">
        <v>8881.5400000000009</v>
      </c>
      <c r="AN130" s="2">
        <v>333663.40171675902</v>
      </c>
      <c r="AO130" s="2" t="b">
        <v>0</v>
      </c>
      <c r="AP130" s="2" t="b">
        <v>1</v>
      </c>
    </row>
    <row r="131" spans="9:42">
      <c r="Z131" s="31"/>
      <c r="AA131" s="31"/>
      <c r="AN131" s="2">
        <v>188098.667590486</v>
      </c>
      <c r="AP131" s="2" t="b">
        <v>0</v>
      </c>
    </row>
    <row r="132" spans="9:42">
      <c r="Z132" s="31"/>
      <c r="AA132" s="31"/>
    </row>
    <row r="133" spans="9:42">
      <c r="Z133" s="31"/>
      <c r="AA133" s="31"/>
      <c r="AN133" s="2">
        <v>804655.76615301601</v>
      </c>
      <c r="AP133" s="2" t="b">
        <v>0</v>
      </c>
    </row>
    <row r="134" spans="9:42">
      <c r="Z134" s="31"/>
      <c r="AA134" s="31"/>
      <c r="AN134" s="2">
        <v>706970.57065663103</v>
      </c>
      <c r="AP134" s="2" t="b">
        <v>1</v>
      </c>
    </row>
    <row r="135" spans="9:42">
      <c r="Z135" s="31"/>
      <c r="AA135" s="31"/>
      <c r="AM135" s="2">
        <v>58.1</v>
      </c>
      <c r="AN135" s="2">
        <v>1210517.48945816</v>
      </c>
      <c r="AO135" s="2" t="b">
        <v>0</v>
      </c>
    </row>
    <row r="136" spans="9:42">
      <c r="Z136" s="31"/>
      <c r="AA136" s="31"/>
      <c r="AM136" s="2">
        <v>58.1</v>
      </c>
      <c r="AN136" s="2">
        <v>1210517.48945816</v>
      </c>
      <c r="AO136" s="2" t="b">
        <v>0</v>
      </c>
      <c r="AP136" s="2" t="b">
        <v>1</v>
      </c>
    </row>
    <row r="137" spans="9:42">
      <c r="I137" s="2">
        <v>3.6</v>
      </c>
      <c r="J137" s="2">
        <v>335462.49509466399</v>
      </c>
      <c r="Z137" s="31"/>
      <c r="AA137" s="31"/>
      <c r="AM137" s="2">
        <v>58.1</v>
      </c>
      <c r="AN137" s="2">
        <v>686175.52101015404</v>
      </c>
      <c r="AO137" s="2" t="b">
        <v>0</v>
      </c>
      <c r="AP137" s="2" t="b">
        <v>0</v>
      </c>
    </row>
    <row r="138" spans="9:42">
      <c r="Z138" s="31"/>
      <c r="AA138" s="31"/>
    </row>
    <row r="139" spans="9:42">
      <c r="Z139" s="31"/>
      <c r="AA139" s="31"/>
    </row>
    <row r="140" spans="9:42">
      <c r="Z140" s="31"/>
      <c r="AA140" s="31"/>
      <c r="AN140" s="2">
        <v>1565874.4767638801</v>
      </c>
      <c r="AP140" s="2" t="b">
        <v>0</v>
      </c>
    </row>
    <row r="141" spans="9:42">
      <c r="Z141" s="31"/>
      <c r="AA141" s="31"/>
    </row>
    <row r="142" spans="9:42">
      <c r="Z142" s="31"/>
      <c r="AA142" s="31"/>
    </row>
    <row r="143" spans="9:42">
      <c r="Z143" s="31"/>
      <c r="AA143" s="31"/>
    </row>
    <row r="144" spans="9:42">
      <c r="Z144" s="31"/>
      <c r="AA144" s="31"/>
    </row>
    <row r="145" spans="26:42">
      <c r="Z145" s="31"/>
      <c r="AA145" s="31"/>
    </row>
    <row r="146" spans="26:42">
      <c r="Z146" s="31"/>
      <c r="AA146" s="31"/>
    </row>
    <row r="147" spans="26:42">
      <c r="Z147" s="31"/>
      <c r="AA147" s="31"/>
    </row>
    <row r="148" spans="26:42">
      <c r="Z148" s="31"/>
      <c r="AA148" s="31"/>
    </row>
    <row r="149" spans="26:42">
      <c r="Z149" s="31"/>
      <c r="AA149" s="31"/>
    </row>
    <row r="150" spans="26:42">
      <c r="Z150" s="31"/>
      <c r="AA150" s="31"/>
      <c r="AN150" s="2">
        <v>1565874.4767638801</v>
      </c>
      <c r="AP150" s="2" t="b">
        <v>0</v>
      </c>
    </row>
    <row r="151" spans="26:42">
      <c r="Z151" s="31"/>
      <c r="AA151" s="31"/>
    </row>
    <row r="152" spans="26:42">
      <c r="Z152" s="31"/>
      <c r="AA152" s="31"/>
    </row>
    <row r="153" spans="26:42">
      <c r="Z153" s="31"/>
      <c r="AA153" s="31"/>
    </row>
    <row r="154" spans="26:42">
      <c r="Z154" s="31"/>
      <c r="AA154" s="31"/>
    </row>
    <row r="155" spans="26:42">
      <c r="Z155" s="31"/>
      <c r="AA155" s="31"/>
    </row>
    <row r="156" spans="26:42">
      <c r="Z156" s="31"/>
      <c r="AA156" s="31"/>
    </row>
    <row r="157" spans="26:42">
      <c r="Z157" s="31"/>
      <c r="AA157" s="31"/>
    </row>
    <row r="158" spans="26:42">
      <c r="Z158" s="31"/>
      <c r="AA158" s="31"/>
    </row>
    <row r="159" spans="26:42">
      <c r="Z159" s="31"/>
      <c r="AA159" s="31"/>
    </row>
    <row r="160" spans="26:42">
      <c r="Z160" s="31"/>
      <c r="AA160" s="31"/>
    </row>
    <row r="161" spans="26:42">
      <c r="Z161" s="31"/>
      <c r="AA161" s="31"/>
      <c r="AN161" s="2">
        <v>431618.61017838301</v>
      </c>
      <c r="AP161" s="2" t="b">
        <v>0</v>
      </c>
    </row>
    <row r="162" spans="26:42">
      <c r="Z162" s="31"/>
      <c r="AA162" s="31"/>
    </row>
    <row r="163" spans="26:42">
      <c r="Z163" s="31"/>
      <c r="AA163" s="31"/>
    </row>
    <row r="164" spans="26:42">
      <c r="Z164" s="31"/>
      <c r="AA164" s="31"/>
    </row>
    <row r="165" spans="26:42">
      <c r="Z165" s="31"/>
      <c r="AA165" s="31"/>
      <c r="AN165" s="2">
        <v>0</v>
      </c>
      <c r="AP165" s="2" t="b">
        <v>1</v>
      </c>
    </row>
    <row r="166" spans="26:42">
      <c r="Z166" s="31"/>
      <c r="AA166" s="31"/>
    </row>
    <row r="167" spans="26:42">
      <c r="Z167" s="31"/>
      <c r="AA167" s="31"/>
    </row>
    <row r="168" spans="26:42">
      <c r="Z168" s="31"/>
      <c r="AA168" s="31"/>
    </row>
    <row r="169" spans="26:42">
      <c r="Z169" s="31"/>
      <c r="AA169" s="31"/>
    </row>
    <row r="170" spans="26:42">
      <c r="Z170" s="31"/>
      <c r="AA170" s="31"/>
    </row>
    <row r="171" spans="26:42">
      <c r="Z171" s="31"/>
      <c r="AA171" s="31"/>
    </row>
    <row r="172" spans="26:42">
      <c r="Z172" s="31"/>
      <c r="AA172" s="31"/>
    </row>
    <row r="173" spans="26:42">
      <c r="Z173" s="31"/>
      <c r="AA173" s="31"/>
    </row>
    <row r="174" spans="26:42">
      <c r="Z174" s="31"/>
      <c r="AA174" s="31"/>
    </row>
    <row r="175" spans="26:42">
      <c r="Z175" s="31"/>
      <c r="AA175" s="31"/>
    </row>
    <row r="176" spans="26:42">
      <c r="Z176" s="31"/>
      <c r="AA176" s="31"/>
      <c r="AN176" s="2">
        <v>2170053.5048541999</v>
      </c>
      <c r="AP176" s="2" t="b">
        <v>1</v>
      </c>
    </row>
    <row r="177" spans="26:27">
      <c r="Z177" s="31"/>
      <c r="AA177" s="31"/>
    </row>
    <row r="178" spans="26:27">
      <c r="Z178" s="31"/>
      <c r="AA178" s="31"/>
    </row>
    <row r="179" spans="26:27">
      <c r="Z179" s="31"/>
      <c r="AA179" s="31"/>
    </row>
    <row r="180" spans="26:27">
      <c r="Z180" s="31"/>
      <c r="AA180" s="31"/>
    </row>
    <row r="181" spans="26:27">
      <c r="Z181" s="31"/>
      <c r="AA181" s="31"/>
    </row>
    <row r="182" spans="26:27">
      <c r="Z182" s="31"/>
      <c r="AA182" s="31"/>
    </row>
    <row r="183" spans="26:27">
      <c r="Z183" s="31"/>
      <c r="AA183" s="31"/>
    </row>
    <row r="184" spans="26:27">
      <c r="Z184" s="31"/>
      <c r="AA184" s="31"/>
    </row>
    <row r="185" spans="26:27">
      <c r="Z185" s="31"/>
      <c r="AA185" s="31"/>
    </row>
    <row r="186" spans="26:27">
      <c r="Z186" s="31"/>
      <c r="AA186" s="31"/>
    </row>
    <row r="187" spans="26:27">
      <c r="Z187" s="31"/>
      <c r="AA187" s="31"/>
    </row>
    <row r="188" spans="26:27">
      <c r="Z188" s="31"/>
      <c r="AA188" s="31"/>
    </row>
    <row r="189" spans="26:27">
      <c r="Z189" s="31"/>
      <c r="AA189" s="31"/>
    </row>
    <row r="190" spans="26:27">
      <c r="Z190" s="31"/>
      <c r="AA190" s="31"/>
    </row>
    <row r="191" spans="26:27">
      <c r="Z191" s="31"/>
      <c r="AA191" s="31"/>
    </row>
    <row r="192" spans="26:27">
      <c r="Z192" s="31"/>
      <c r="AA192" s="31"/>
    </row>
    <row r="193" spans="26:27">
      <c r="Z193" s="31"/>
      <c r="AA193" s="31"/>
    </row>
    <row r="194" spans="26:27">
      <c r="Z194" s="31"/>
      <c r="AA194" s="31"/>
    </row>
    <row r="195" spans="26:27">
      <c r="Z195" s="31"/>
      <c r="AA195" s="31"/>
    </row>
    <row r="196" spans="26:27">
      <c r="Z196" s="31"/>
      <c r="AA196" s="31"/>
    </row>
    <row r="197" spans="26:27">
      <c r="Z197" s="31"/>
      <c r="AA197" s="31"/>
    </row>
    <row r="198" spans="26:27">
      <c r="Z198" s="31"/>
      <c r="AA198" s="31"/>
    </row>
    <row r="199" spans="26:27">
      <c r="Z199" s="31"/>
      <c r="AA199" s="31"/>
    </row>
    <row r="200" spans="26:27">
      <c r="Z200" s="31"/>
      <c r="AA200" s="31"/>
    </row>
    <row r="201" spans="26:27">
      <c r="Z201" s="31"/>
      <c r="AA201" s="31"/>
    </row>
    <row r="202" spans="26:27">
      <c r="Z202" s="31"/>
      <c r="AA202" s="31"/>
    </row>
    <row r="203" spans="26:27">
      <c r="Z203" s="31"/>
      <c r="AA203" s="31"/>
    </row>
    <row r="204" spans="26:27">
      <c r="Z204" s="31"/>
      <c r="AA204" s="31"/>
    </row>
    <row r="205" spans="26:27">
      <c r="Z205" s="31"/>
      <c r="AA205" s="31"/>
    </row>
    <row r="206" spans="26:27">
      <c r="Z206" s="31"/>
      <c r="AA206" s="31"/>
    </row>
    <row r="207" spans="26:27">
      <c r="Z207" s="31"/>
      <c r="AA207" s="31"/>
    </row>
    <row r="208" spans="26:27">
      <c r="Z208" s="31"/>
      <c r="AA208" s="31"/>
    </row>
    <row r="209" spans="26:27">
      <c r="Z209" s="31"/>
      <c r="AA209" s="31"/>
    </row>
    <row r="210" spans="26:27">
      <c r="Z210" s="31"/>
      <c r="AA210" s="31"/>
    </row>
    <row r="211" spans="26:27">
      <c r="Z211" s="31"/>
      <c r="AA211" s="31"/>
    </row>
    <row r="212" spans="26:27">
      <c r="Z212" s="31"/>
      <c r="AA212" s="31"/>
    </row>
    <row r="213" spans="26:27">
      <c r="Z213" s="31"/>
      <c r="AA213" s="31"/>
    </row>
    <row r="214" spans="26:27">
      <c r="Z214" s="31"/>
      <c r="AA214" s="31"/>
    </row>
    <row r="215" spans="26:27">
      <c r="Z215" s="31"/>
      <c r="AA215" s="31"/>
    </row>
    <row r="216" spans="26:27">
      <c r="Z216" s="31"/>
      <c r="AA216" s="31"/>
    </row>
    <row r="217" spans="26:27">
      <c r="Z217" s="31"/>
      <c r="AA217" s="31"/>
    </row>
    <row r="218" spans="26:27">
      <c r="Z218" s="31"/>
      <c r="AA218" s="31"/>
    </row>
    <row r="219" spans="26:27">
      <c r="Z219" s="31"/>
      <c r="AA219" s="31"/>
    </row>
    <row r="220" spans="26:27">
      <c r="Z220" s="31"/>
      <c r="AA220" s="31"/>
    </row>
    <row r="221" spans="26:27">
      <c r="Z221" s="31"/>
      <c r="AA221" s="31"/>
    </row>
    <row r="222" spans="26:27">
      <c r="Z222" s="31"/>
      <c r="AA222" s="31"/>
    </row>
    <row r="223" spans="26:27">
      <c r="Z223" s="31"/>
      <c r="AA223" s="31"/>
    </row>
    <row r="224" spans="26:27">
      <c r="Z224" s="31"/>
      <c r="AA224" s="31"/>
    </row>
    <row r="225" spans="26:27">
      <c r="Z225" s="31"/>
      <c r="AA225" s="31"/>
    </row>
    <row r="226" spans="26:27">
      <c r="Z226" s="31"/>
      <c r="AA226" s="31"/>
    </row>
    <row r="227" spans="26:27">
      <c r="Z227" s="31"/>
      <c r="AA227" s="31"/>
    </row>
    <row r="228" spans="26:27">
      <c r="Z228" s="31"/>
      <c r="AA228" s="31"/>
    </row>
    <row r="229" spans="26:27">
      <c r="Z229" s="31"/>
      <c r="AA229" s="31"/>
    </row>
    <row r="230" spans="26:27">
      <c r="Z230" s="31"/>
      <c r="AA230" s="31"/>
    </row>
    <row r="231" spans="26:27">
      <c r="Z231" s="31"/>
      <c r="AA231" s="31"/>
    </row>
    <row r="232" spans="26:27">
      <c r="Z232" s="31"/>
      <c r="AA232" s="31"/>
    </row>
    <row r="233" spans="26:27">
      <c r="Z233" s="31"/>
      <c r="AA233" s="31"/>
    </row>
    <row r="234" spans="26:27">
      <c r="Z234" s="31"/>
      <c r="AA234" s="31"/>
    </row>
    <row r="235" spans="26:27">
      <c r="Z235" s="31"/>
      <c r="AA235" s="31"/>
    </row>
    <row r="236" spans="26:27">
      <c r="Z236" s="31"/>
      <c r="AA236" s="31"/>
    </row>
    <row r="237" spans="26:27">
      <c r="Z237" s="31"/>
      <c r="AA237" s="31"/>
    </row>
    <row r="238" spans="26:27">
      <c r="Z238" s="31"/>
      <c r="AA238" s="31"/>
    </row>
    <row r="239" spans="26:27">
      <c r="Z239" s="31"/>
      <c r="AA239" s="31"/>
    </row>
    <row r="240" spans="26:27">
      <c r="Z240" s="31"/>
      <c r="AA240" s="31"/>
    </row>
    <row r="241" spans="26:27">
      <c r="Z241" s="31"/>
      <c r="AA241" s="31"/>
    </row>
    <row r="242" spans="26:27">
      <c r="Z242" s="31"/>
      <c r="AA242" s="31"/>
    </row>
    <row r="243" spans="26:27">
      <c r="Z243" s="31"/>
      <c r="AA243" s="31"/>
    </row>
    <row r="244" spans="26:27">
      <c r="Z244" s="31"/>
      <c r="AA244" s="31"/>
    </row>
    <row r="245" spans="26:27">
      <c r="Z245" s="31"/>
      <c r="AA245" s="31"/>
    </row>
    <row r="246" spans="26:27">
      <c r="Z246" s="31"/>
      <c r="AA246" s="31"/>
    </row>
    <row r="247" spans="26:27">
      <c r="Z247" s="31"/>
      <c r="AA247" s="31"/>
    </row>
    <row r="248" spans="26:27">
      <c r="Z248" s="31"/>
      <c r="AA248" s="31"/>
    </row>
    <row r="249" spans="26:27">
      <c r="Z249" s="31"/>
      <c r="AA249" s="31"/>
    </row>
    <row r="250" spans="26:27">
      <c r="Z250" s="31"/>
      <c r="AA250" s="31"/>
    </row>
    <row r="251" spans="26:27">
      <c r="Z251" s="31"/>
      <c r="AA251" s="31"/>
    </row>
    <row r="252" spans="26:27">
      <c r="Z252" s="31"/>
      <c r="AA252" s="31"/>
    </row>
    <row r="253" spans="26:27">
      <c r="Z253" s="31"/>
      <c r="AA253" s="31"/>
    </row>
    <row r="254" spans="26:27">
      <c r="Z254" s="31"/>
      <c r="AA254" s="31"/>
    </row>
    <row r="255" spans="26:27">
      <c r="Z255" s="31"/>
      <c r="AA255" s="31"/>
    </row>
    <row r="256" spans="26:27">
      <c r="Z256" s="31"/>
      <c r="AA256" s="31"/>
    </row>
    <row r="257" spans="26:27">
      <c r="Z257" s="31"/>
      <c r="AA257" s="31"/>
    </row>
    <row r="258" spans="26:27">
      <c r="Z258" s="31"/>
      <c r="AA258" s="31"/>
    </row>
    <row r="259" spans="26:27">
      <c r="Z259" s="31"/>
      <c r="AA259" s="31"/>
    </row>
    <row r="260" spans="26:27">
      <c r="Z260" s="31"/>
      <c r="AA260" s="31"/>
    </row>
    <row r="261" spans="26:27">
      <c r="Z261" s="31"/>
      <c r="AA261" s="31"/>
    </row>
    <row r="262" spans="26:27">
      <c r="Z262" s="31"/>
      <c r="AA262" s="31"/>
    </row>
    <row r="263" spans="26:27">
      <c r="Z263" s="31"/>
      <c r="AA263" s="31"/>
    </row>
    <row r="264" spans="26:27">
      <c r="Z264" s="31"/>
      <c r="AA264" s="31"/>
    </row>
    <row r="265" spans="26:27">
      <c r="Z265" s="31"/>
      <c r="AA265" s="31"/>
    </row>
    <row r="266" spans="26:27">
      <c r="Z266" s="31"/>
      <c r="AA266" s="31"/>
    </row>
    <row r="267" spans="26:27">
      <c r="Z267" s="31"/>
      <c r="AA267" s="31"/>
    </row>
    <row r="268" spans="26:27">
      <c r="Z268" s="31"/>
      <c r="AA268" s="31"/>
    </row>
    <row r="269" spans="26:27">
      <c r="Z269" s="31"/>
      <c r="AA269" s="31"/>
    </row>
    <row r="270" spans="26:27">
      <c r="Z270" s="31"/>
      <c r="AA270" s="31"/>
    </row>
    <row r="271" spans="26:27">
      <c r="Z271" s="31"/>
      <c r="AA271" s="31"/>
    </row>
    <row r="272" spans="26:27">
      <c r="Z272" s="31"/>
      <c r="AA272" s="31"/>
    </row>
    <row r="273" spans="26:27">
      <c r="Z273" s="31"/>
      <c r="AA273" s="31"/>
    </row>
    <row r="274" spans="26:27">
      <c r="Z274" s="31"/>
      <c r="AA274" s="31"/>
    </row>
    <row r="275" spans="26:27">
      <c r="Z275" s="31"/>
      <c r="AA275" s="31"/>
    </row>
    <row r="276" spans="26:27">
      <c r="Z276" s="31"/>
      <c r="AA276" s="31"/>
    </row>
    <row r="277" spans="26:27">
      <c r="Z277" s="31"/>
      <c r="AA277" s="31"/>
    </row>
    <row r="278" spans="26:27">
      <c r="Z278" s="31"/>
      <c r="AA278" s="31"/>
    </row>
    <row r="279" spans="26:27">
      <c r="Z279" s="31"/>
      <c r="AA279" s="31"/>
    </row>
    <row r="280" spans="26:27">
      <c r="Z280" s="31"/>
      <c r="AA280" s="31"/>
    </row>
    <row r="281" spans="26:27">
      <c r="Z281" s="31"/>
      <c r="AA281" s="31"/>
    </row>
    <row r="282" spans="26:27">
      <c r="Z282" s="31"/>
      <c r="AA282" s="31"/>
    </row>
    <row r="283" spans="26:27">
      <c r="Z283" s="31"/>
      <c r="AA283" s="31"/>
    </row>
    <row r="284" spans="26:27">
      <c r="Z284" s="31"/>
      <c r="AA284" s="31"/>
    </row>
    <row r="285" spans="26:27">
      <c r="Z285" s="31"/>
      <c r="AA285" s="31"/>
    </row>
    <row r="286" spans="26:27">
      <c r="Z286" s="31"/>
      <c r="AA286" s="31"/>
    </row>
    <row r="287" spans="26:27">
      <c r="Z287" s="31"/>
      <c r="AA287" s="31"/>
    </row>
    <row r="288" spans="26:27">
      <c r="Z288" s="31"/>
      <c r="AA288" s="31"/>
    </row>
    <row r="289" spans="26:27">
      <c r="Z289" s="31"/>
      <c r="AA289" s="31"/>
    </row>
    <row r="290" spans="26:27">
      <c r="Z290" s="31"/>
      <c r="AA290" s="31"/>
    </row>
    <row r="291" spans="26:27">
      <c r="Z291" s="31"/>
      <c r="AA291" s="31"/>
    </row>
    <row r="292" spans="26:27">
      <c r="Z292" s="31"/>
      <c r="AA292" s="31"/>
    </row>
    <row r="293" spans="26:27">
      <c r="Z293" s="31"/>
      <c r="AA293" s="31"/>
    </row>
    <row r="294" spans="26:27">
      <c r="Z294" s="31"/>
      <c r="AA294" s="31"/>
    </row>
    <row r="295" spans="26:27">
      <c r="Z295" s="31"/>
      <c r="AA295" s="31"/>
    </row>
    <row r="296" spans="26:27">
      <c r="Z296" s="31"/>
      <c r="AA296" s="31"/>
    </row>
    <row r="297" spans="26:27">
      <c r="Z297" s="31"/>
      <c r="AA297" s="31"/>
    </row>
    <row r="298" spans="26:27">
      <c r="Z298" s="31"/>
      <c r="AA298" s="31"/>
    </row>
    <row r="299" spans="26:27">
      <c r="Z299" s="31"/>
      <c r="AA299" s="31"/>
    </row>
    <row r="300" spans="26:27">
      <c r="Z300" s="31"/>
      <c r="AA300" s="31"/>
    </row>
    <row r="301" spans="26:27">
      <c r="Z301" s="31"/>
      <c r="AA301" s="31"/>
    </row>
    <row r="302" spans="26:27">
      <c r="Z302" s="31"/>
      <c r="AA302" s="31"/>
    </row>
    <row r="303" spans="26:27">
      <c r="Z303" s="31"/>
      <c r="AA303" s="31"/>
    </row>
    <row r="304" spans="26:27">
      <c r="Z304" s="31"/>
      <c r="AA304" s="31"/>
    </row>
    <row r="305" spans="26:27">
      <c r="Z305" s="31"/>
      <c r="AA305" s="31"/>
    </row>
    <row r="306" spans="26:27">
      <c r="Z306" s="31"/>
      <c r="AA306" s="31"/>
    </row>
    <row r="307" spans="26:27">
      <c r="Z307" s="31"/>
      <c r="AA307" s="31"/>
    </row>
    <row r="308" spans="26:27">
      <c r="Z308" s="31"/>
      <c r="AA308" s="31"/>
    </row>
    <row r="309" spans="26:27">
      <c r="Z309" s="31"/>
      <c r="AA309" s="31"/>
    </row>
    <row r="310" spans="26:27">
      <c r="Z310" s="31"/>
      <c r="AA310" s="31"/>
    </row>
    <row r="311" spans="26:27">
      <c r="Z311" s="31"/>
      <c r="AA311" s="31"/>
    </row>
    <row r="312" spans="26:27">
      <c r="Z312" s="31"/>
      <c r="AA312" s="31"/>
    </row>
    <row r="313" spans="26:27">
      <c r="Z313" s="31"/>
      <c r="AA313" s="31"/>
    </row>
    <row r="314" spans="26:27">
      <c r="Z314" s="31"/>
      <c r="AA314" s="31"/>
    </row>
    <row r="315" spans="26:27">
      <c r="Z315" s="31"/>
      <c r="AA315" s="31"/>
    </row>
    <row r="316" spans="26:27">
      <c r="Z316" s="31"/>
      <c r="AA316" s="31"/>
    </row>
    <row r="317" spans="26:27">
      <c r="Z317" s="31"/>
      <c r="AA317" s="31"/>
    </row>
    <row r="318" spans="26:27">
      <c r="Z318" s="31"/>
      <c r="AA318" s="31"/>
    </row>
    <row r="319" spans="26:27">
      <c r="Z319" s="31"/>
      <c r="AA319" s="31"/>
    </row>
    <row r="320" spans="26:27">
      <c r="Z320" s="31"/>
      <c r="AA320" s="31"/>
    </row>
    <row r="321" spans="26:27">
      <c r="Z321" s="31"/>
      <c r="AA321" s="31"/>
    </row>
    <row r="322" spans="26:27">
      <c r="Z322" s="31"/>
      <c r="AA322" s="31"/>
    </row>
    <row r="323" spans="26:27">
      <c r="Z323" s="31"/>
      <c r="AA323" s="31"/>
    </row>
    <row r="324" spans="26:27">
      <c r="Z324" s="31"/>
      <c r="AA324" s="31"/>
    </row>
    <row r="325" spans="26:27">
      <c r="Z325" s="31"/>
      <c r="AA325" s="31"/>
    </row>
    <row r="326" spans="26:27">
      <c r="Z326" s="31"/>
      <c r="AA326" s="31"/>
    </row>
    <row r="327" spans="26:27">
      <c r="Z327" s="31"/>
      <c r="AA327" s="31"/>
    </row>
    <row r="328" spans="26:27">
      <c r="Z328" s="31"/>
      <c r="AA328" s="31"/>
    </row>
    <row r="329" spans="26:27">
      <c r="Z329" s="31"/>
      <c r="AA329" s="31"/>
    </row>
    <row r="330" spans="26:27">
      <c r="Z330" s="31"/>
      <c r="AA330" s="31"/>
    </row>
    <row r="331" spans="26:27">
      <c r="Z331" s="31"/>
      <c r="AA331" s="31"/>
    </row>
    <row r="332" spans="26:27">
      <c r="Z332" s="31"/>
      <c r="AA332" s="31"/>
    </row>
    <row r="333" spans="26:27">
      <c r="Z333" s="31"/>
      <c r="AA333" s="31"/>
    </row>
    <row r="334" spans="26:27">
      <c r="Z334" s="31"/>
      <c r="AA334" s="31"/>
    </row>
    <row r="335" spans="26:27">
      <c r="Z335" s="31"/>
      <c r="AA335" s="31"/>
    </row>
    <row r="336" spans="26:27">
      <c r="Z336" s="31"/>
      <c r="AA336" s="31"/>
    </row>
    <row r="337" spans="26:27">
      <c r="Z337" s="31"/>
      <c r="AA337" s="31"/>
    </row>
    <row r="338" spans="26:27">
      <c r="Z338" s="31"/>
      <c r="AA338" s="31"/>
    </row>
    <row r="339" spans="26:27">
      <c r="Z339" s="31"/>
      <c r="AA339" s="31"/>
    </row>
    <row r="340" spans="26:27">
      <c r="Z340" s="31"/>
      <c r="AA340" s="31"/>
    </row>
    <row r="341" spans="26:27">
      <c r="Z341" s="31"/>
      <c r="AA341" s="31"/>
    </row>
    <row r="342" spans="26:27">
      <c r="Z342" s="31"/>
      <c r="AA342" s="31"/>
    </row>
    <row r="343" spans="26:27">
      <c r="Z343" s="31"/>
      <c r="AA343" s="31"/>
    </row>
    <row r="344" spans="26:27">
      <c r="Z344" s="31"/>
      <c r="AA344" s="31"/>
    </row>
    <row r="345" spans="26:27">
      <c r="Z345" s="31"/>
      <c r="AA345" s="31"/>
    </row>
    <row r="346" spans="26:27">
      <c r="Z346" s="31"/>
      <c r="AA346" s="31"/>
    </row>
    <row r="347" spans="26:27">
      <c r="Z347" s="31"/>
      <c r="AA347" s="31"/>
    </row>
    <row r="348" spans="26:27">
      <c r="Z348" s="31"/>
      <c r="AA348" s="31"/>
    </row>
    <row r="349" spans="26:27">
      <c r="Z349" s="31"/>
      <c r="AA349" s="31"/>
    </row>
    <row r="350" spans="26:27">
      <c r="Z350" s="31"/>
      <c r="AA350" s="31"/>
    </row>
    <row r="351" spans="26:27">
      <c r="Z351" s="31"/>
      <c r="AA351" s="31"/>
    </row>
    <row r="352" spans="26:27">
      <c r="Z352" s="31"/>
      <c r="AA352" s="31"/>
    </row>
    <row r="353" spans="26:27">
      <c r="Z353" s="31"/>
      <c r="AA353" s="31"/>
    </row>
    <row r="354" spans="26:27">
      <c r="Z354" s="31"/>
      <c r="AA354" s="31"/>
    </row>
    <row r="355" spans="26:27">
      <c r="Z355" s="31"/>
      <c r="AA355" s="31"/>
    </row>
    <row r="356" spans="26:27">
      <c r="Z356" s="31"/>
      <c r="AA356" s="31"/>
    </row>
    <row r="357" spans="26:27">
      <c r="Z357" s="31"/>
      <c r="AA357" s="31"/>
    </row>
    <row r="358" spans="26:27">
      <c r="Z358" s="31"/>
      <c r="AA358" s="31"/>
    </row>
    <row r="359" spans="26:27">
      <c r="Z359" s="31"/>
      <c r="AA359" s="31"/>
    </row>
    <row r="360" spans="26:27">
      <c r="Z360" s="31"/>
      <c r="AA360" s="31"/>
    </row>
    <row r="361" spans="26:27">
      <c r="Z361" s="31"/>
      <c r="AA361" s="31"/>
    </row>
    <row r="362" spans="26:27">
      <c r="Z362" s="31"/>
      <c r="AA362" s="31"/>
    </row>
    <row r="363" spans="26:27">
      <c r="Z363" s="31"/>
      <c r="AA363" s="31"/>
    </row>
    <row r="364" spans="26:27">
      <c r="Z364" s="31"/>
      <c r="AA364" s="31"/>
    </row>
    <row r="365" spans="26:27">
      <c r="Z365" s="31"/>
      <c r="AA365" s="31"/>
    </row>
    <row r="366" spans="26:27">
      <c r="Z366" s="31"/>
      <c r="AA366" s="31"/>
    </row>
    <row r="367" spans="26:27">
      <c r="Z367" s="31"/>
      <c r="AA367" s="31"/>
    </row>
    <row r="368" spans="26:27">
      <c r="Z368" s="31"/>
      <c r="AA368" s="31"/>
    </row>
    <row r="369" spans="26:27">
      <c r="Z369" s="31"/>
      <c r="AA369" s="31"/>
    </row>
    <row r="370" spans="26:27">
      <c r="Z370" s="31"/>
      <c r="AA370" s="31"/>
    </row>
    <row r="371" spans="26:27">
      <c r="Z371" s="31"/>
      <c r="AA371" s="31"/>
    </row>
    <row r="372" spans="26:27">
      <c r="Z372" s="31"/>
      <c r="AA372" s="31"/>
    </row>
    <row r="373" spans="26:27">
      <c r="Z373" s="31"/>
      <c r="AA373" s="31"/>
    </row>
    <row r="374" spans="26:27">
      <c r="Z374" s="31"/>
      <c r="AA374" s="31"/>
    </row>
    <row r="375" spans="26:27">
      <c r="Z375" s="31"/>
      <c r="AA375" s="31"/>
    </row>
    <row r="376" spans="26:27">
      <c r="Z376" s="31"/>
      <c r="AA376" s="31"/>
    </row>
    <row r="377" spans="26:27">
      <c r="Z377" s="31"/>
      <c r="AA377" s="31"/>
    </row>
    <row r="378" spans="26:27">
      <c r="Z378" s="31"/>
      <c r="AA378" s="31"/>
    </row>
    <row r="379" spans="26:27">
      <c r="Z379" s="31"/>
      <c r="AA379" s="31"/>
    </row>
    <row r="380" spans="26:27">
      <c r="Z380" s="31"/>
      <c r="AA380" s="31"/>
    </row>
    <row r="381" spans="26:27">
      <c r="Z381" s="31"/>
      <c r="AA381" s="31"/>
    </row>
    <row r="382" spans="26:27">
      <c r="Z382" s="31"/>
      <c r="AA382" s="31"/>
    </row>
    <row r="383" spans="26:27">
      <c r="Z383" s="31"/>
      <c r="AA383" s="31"/>
    </row>
    <row r="384" spans="26:27">
      <c r="Z384" s="31"/>
      <c r="AA384" s="31"/>
    </row>
    <row r="385" spans="26:27">
      <c r="Z385" s="31"/>
      <c r="AA385" s="31"/>
    </row>
    <row r="386" spans="26:27">
      <c r="Z386" s="31"/>
      <c r="AA386" s="31"/>
    </row>
    <row r="387" spans="26:27">
      <c r="Z387" s="31"/>
      <c r="AA387" s="31"/>
    </row>
    <row r="388" spans="26:27">
      <c r="Z388" s="31"/>
      <c r="AA388" s="31"/>
    </row>
    <row r="389" spans="26:27">
      <c r="Z389" s="31"/>
      <c r="AA389" s="31"/>
    </row>
    <row r="390" spans="26:27">
      <c r="Z390" s="31"/>
      <c r="AA390" s="31"/>
    </row>
    <row r="391" spans="26:27">
      <c r="Z391" s="31"/>
      <c r="AA391" s="31"/>
    </row>
    <row r="392" spans="26:27">
      <c r="Z392" s="31"/>
      <c r="AA392" s="31"/>
    </row>
    <row r="393" spans="26:27">
      <c r="Z393" s="31"/>
      <c r="AA393" s="31"/>
    </row>
    <row r="394" spans="26:27">
      <c r="Z394" s="31"/>
      <c r="AA394" s="31"/>
    </row>
    <row r="395" spans="26:27">
      <c r="Z395" s="31"/>
      <c r="AA395" s="31"/>
    </row>
    <row r="396" spans="26:27">
      <c r="Z396" s="31"/>
      <c r="AA396" s="31"/>
    </row>
    <row r="397" spans="26:27">
      <c r="Z397" s="31"/>
      <c r="AA397" s="31"/>
    </row>
    <row r="398" spans="26:27">
      <c r="Z398" s="31"/>
      <c r="AA398" s="31"/>
    </row>
    <row r="399" spans="26:27">
      <c r="Z399" s="31"/>
      <c r="AA399" s="31"/>
    </row>
    <row r="400" spans="26:27">
      <c r="Z400" s="31"/>
      <c r="AA400" s="31"/>
    </row>
    <row r="401" spans="26:27">
      <c r="Z401" s="31"/>
      <c r="AA401" s="31"/>
    </row>
    <row r="402" spans="26:27">
      <c r="Z402" s="31"/>
      <c r="AA402" s="31"/>
    </row>
    <row r="403" spans="26:27">
      <c r="Z403" s="31"/>
      <c r="AA403" s="31"/>
    </row>
    <row r="404" spans="26:27">
      <c r="Z404" s="31"/>
      <c r="AA404" s="31"/>
    </row>
    <row r="405" spans="26:27">
      <c r="Z405" s="31"/>
      <c r="AA405" s="31"/>
    </row>
    <row r="406" spans="26:27">
      <c r="Z406" s="31"/>
      <c r="AA406" s="31"/>
    </row>
    <row r="407" spans="26:27">
      <c r="Z407" s="31"/>
      <c r="AA407" s="31"/>
    </row>
    <row r="408" spans="26:27">
      <c r="Z408" s="31"/>
      <c r="AA408" s="31"/>
    </row>
    <row r="409" spans="26:27">
      <c r="Z409" s="31"/>
      <c r="AA409" s="31"/>
    </row>
    <row r="410" spans="26:27">
      <c r="Z410" s="31"/>
      <c r="AA410" s="31"/>
    </row>
    <row r="411" spans="26:27">
      <c r="Z411" s="31"/>
      <c r="AA411" s="31"/>
    </row>
    <row r="412" spans="26:27">
      <c r="Z412" s="31"/>
      <c r="AA412" s="31"/>
    </row>
    <row r="413" spans="26:27">
      <c r="Z413" s="31"/>
      <c r="AA413" s="31"/>
    </row>
    <row r="414" spans="26:27">
      <c r="Z414" s="31"/>
      <c r="AA414" s="31"/>
    </row>
    <row r="415" spans="26:27">
      <c r="Z415" s="31"/>
      <c r="AA415" s="31"/>
    </row>
    <row r="416" spans="26:27">
      <c r="Z416" s="31"/>
      <c r="AA416" s="31"/>
    </row>
    <row r="417" spans="26:27">
      <c r="Z417" s="31"/>
      <c r="AA417" s="31"/>
    </row>
    <row r="418" spans="26:27">
      <c r="Z418" s="31"/>
      <c r="AA418" s="31"/>
    </row>
    <row r="419" spans="26:27">
      <c r="Z419" s="31"/>
      <c r="AA419" s="31"/>
    </row>
    <row r="420" spans="26:27">
      <c r="Z420" s="31"/>
      <c r="AA420" s="31"/>
    </row>
    <row r="421" spans="26:27">
      <c r="Z421" s="31"/>
      <c r="AA421" s="31"/>
    </row>
    <row r="422" spans="26:27">
      <c r="Z422" s="31"/>
      <c r="AA422" s="31"/>
    </row>
    <row r="423" spans="26:27">
      <c r="Z423" s="31"/>
      <c r="AA423" s="31"/>
    </row>
    <row r="424" spans="26:27">
      <c r="Z424" s="31"/>
      <c r="AA424" s="31"/>
    </row>
    <row r="425" spans="26:27">
      <c r="Z425" s="31"/>
      <c r="AA425" s="31"/>
    </row>
    <row r="426" spans="26:27">
      <c r="Z426" s="31"/>
      <c r="AA426" s="31"/>
    </row>
    <row r="427" spans="26:27">
      <c r="Z427" s="31"/>
      <c r="AA427" s="31"/>
    </row>
    <row r="428" spans="26:27">
      <c r="Z428" s="31"/>
      <c r="AA428" s="31"/>
    </row>
    <row r="429" spans="26:27">
      <c r="Z429" s="31"/>
      <c r="AA429" s="31"/>
    </row>
    <row r="430" spans="26:27">
      <c r="Z430" s="31"/>
      <c r="AA430" s="31"/>
    </row>
    <row r="431" spans="26:27">
      <c r="Z431" s="31"/>
      <c r="AA431" s="31"/>
    </row>
    <row r="432" spans="26:27">
      <c r="Z432" s="31"/>
      <c r="AA432" s="31"/>
    </row>
    <row r="433" spans="26:27">
      <c r="Z433" s="31"/>
      <c r="AA433" s="31"/>
    </row>
    <row r="434" spans="26:27">
      <c r="Z434" s="31"/>
      <c r="AA434" s="31"/>
    </row>
    <row r="435" spans="26:27">
      <c r="Z435" s="31"/>
      <c r="AA435" s="31"/>
    </row>
    <row r="436" spans="26:27">
      <c r="Z436" s="31"/>
      <c r="AA436" s="31"/>
    </row>
    <row r="437" spans="26:27">
      <c r="Z437" s="31"/>
      <c r="AA437" s="31"/>
    </row>
    <row r="438" spans="26:27">
      <c r="Z438" s="31"/>
      <c r="AA438" s="31"/>
    </row>
    <row r="439" spans="26:27">
      <c r="Z439" s="31"/>
      <c r="AA439" s="31"/>
    </row>
    <row r="440" spans="26:27">
      <c r="Z440" s="31"/>
      <c r="AA440" s="31"/>
    </row>
    <row r="441" spans="26:27">
      <c r="Z441" s="31"/>
      <c r="AA441" s="31"/>
    </row>
    <row r="442" spans="26:27">
      <c r="Z442" s="31"/>
      <c r="AA442" s="31"/>
    </row>
    <row r="443" spans="26:27">
      <c r="Z443" s="31"/>
      <c r="AA443" s="31"/>
    </row>
    <row r="444" spans="26:27">
      <c r="Z444" s="31"/>
      <c r="AA444" s="31"/>
    </row>
    <row r="445" spans="26:27">
      <c r="Z445" s="31"/>
      <c r="AA445" s="31"/>
    </row>
    <row r="446" spans="26:27">
      <c r="Z446" s="31"/>
      <c r="AA446" s="31"/>
    </row>
    <row r="447" spans="26:27">
      <c r="Z447" s="31"/>
      <c r="AA447" s="31"/>
    </row>
    <row r="448" spans="26:27">
      <c r="Z448" s="31"/>
      <c r="AA448" s="31"/>
    </row>
    <row r="449" spans="26:27">
      <c r="Z449" s="31"/>
      <c r="AA449" s="31"/>
    </row>
    <row r="450" spans="26:27">
      <c r="Z450" s="31"/>
      <c r="AA450" s="31"/>
    </row>
    <row r="451" spans="26:27">
      <c r="Z451" s="31"/>
      <c r="AA451" s="31"/>
    </row>
    <row r="452" spans="26:27">
      <c r="Z452" s="31"/>
      <c r="AA452" s="31"/>
    </row>
    <row r="453" spans="26:27">
      <c r="Z453" s="31"/>
      <c r="AA453" s="31"/>
    </row>
    <row r="454" spans="26:27">
      <c r="Z454" s="31"/>
      <c r="AA454" s="31"/>
    </row>
    <row r="455" spans="26:27">
      <c r="Z455" s="31"/>
      <c r="AA455" s="31"/>
    </row>
    <row r="456" spans="26:27">
      <c r="Z456" s="31"/>
      <c r="AA456" s="31"/>
    </row>
    <row r="457" spans="26:27">
      <c r="Z457" s="31"/>
      <c r="AA457" s="31"/>
    </row>
    <row r="458" spans="26:27">
      <c r="Z458" s="31"/>
      <c r="AA458" s="31"/>
    </row>
    <row r="459" spans="26:27">
      <c r="Z459" s="31"/>
      <c r="AA459" s="31"/>
    </row>
    <row r="460" spans="26:27">
      <c r="Z460" s="31"/>
      <c r="AA460" s="31"/>
    </row>
    <row r="461" spans="26:27">
      <c r="Z461" s="31"/>
      <c r="AA461" s="31"/>
    </row>
    <row r="462" spans="26:27">
      <c r="Z462" s="31"/>
      <c r="AA462" s="31"/>
    </row>
    <row r="463" spans="26:27">
      <c r="Z463" s="31"/>
      <c r="AA463" s="31"/>
    </row>
    <row r="464" spans="26:27">
      <c r="Z464" s="31"/>
      <c r="AA464" s="31"/>
    </row>
    <row r="465" spans="26:27">
      <c r="Z465" s="31"/>
      <c r="AA465" s="31"/>
    </row>
    <row r="466" spans="26:27">
      <c r="Z466" s="31"/>
      <c r="AA466" s="31"/>
    </row>
    <row r="467" spans="26:27">
      <c r="Z467" s="31"/>
      <c r="AA467" s="31"/>
    </row>
    <row r="468" spans="26:27">
      <c r="Z468" s="31"/>
      <c r="AA468" s="31"/>
    </row>
    <row r="469" spans="26:27">
      <c r="Z469" s="31"/>
      <c r="AA469" s="31"/>
    </row>
    <row r="470" spans="26:27">
      <c r="Z470" s="31"/>
      <c r="AA470" s="31"/>
    </row>
    <row r="471" spans="26:27">
      <c r="Z471" s="31"/>
      <c r="AA471" s="31"/>
    </row>
    <row r="472" spans="26:27">
      <c r="Z472" s="31"/>
      <c r="AA472" s="31"/>
    </row>
    <row r="473" spans="26:27">
      <c r="Z473" s="31"/>
      <c r="AA473" s="31"/>
    </row>
    <row r="474" spans="26:27">
      <c r="Z474" s="31"/>
      <c r="AA474" s="31"/>
    </row>
    <row r="475" spans="26:27">
      <c r="Z475" s="31"/>
      <c r="AA475" s="31"/>
    </row>
    <row r="476" spans="26:27">
      <c r="Z476" s="31"/>
      <c r="AA476" s="31"/>
    </row>
    <row r="477" spans="26:27">
      <c r="Z477" s="31"/>
      <c r="AA477" s="31"/>
    </row>
    <row r="478" spans="26:27">
      <c r="Z478" s="31"/>
      <c r="AA478" s="31"/>
    </row>
    <row r="479" spans="26:27">
      <c r="Z479" s="31"/>
      <c r="AA479" s="31"/>
    </row>
    <row r="480" spans="26:27">
      <c r="Z480" s="31"/>
      <c r="AA480" s="31"/>
    </row>
    <row r="481" spans="26:27">
      <c r="Z481" s="31"/>
      <c r="AA481" s="31"/>
    </row>
    <row r="482" spans="26:27">
      <c r="Z482" s="31"/>
      <c r="AA482" s="31"/>
    </row>
    <row r="483" spans="26:27">
      <c r="Z483" s="31"/>
      <c r="AA483" s="31"/>
    </row>
    <row r="484" spans="26:27">
      <c r="Z484" s="31"/>
      <c r="AA484" s="31"/>
    </row>
    <row r="485" spans="26:27">
      <c r="Z485" s="31"/>
      <c r="AA485" s="31"/>
    </row>
    <row r="486" spans="26:27">
      <c r="Z486" s="31"/>
      <c r="AA486" s="31"/>
    </row>
    <row r="487" spans="26:27">
      <c r="Z487" s="31"/>
      <c r="AA487" s="31"/>
    </row>
    <row r="488" spans="26:27">
      <c r="Z488" s="31"/>
      <c r="AA488" s="31"/>
    </row>
    <row r="489" spans="26:27">
      <c r="Z489" s="31"/>
      <c r="AA489" s="31"/>
    </row>
    <row r="490" spans="26:27">
      <c r="Z490" s="31"/>
      <c r="AA490" s="31"/>
    </row>
    <row r="491" spans="26:27">
      <c r="Z491" s="31"/>
      <c r="AA491" s="31"/>
    </row>
    <row r="492" spans="26:27">
      <c r="Z492" s="31"/>
      <c r="AA492" s="31"/>
    </row>
    <row r="493" spans="26:27">
      <c r="Z493" s="31"/>
      <c r="AA493" s="31"/>
    </row>
    <row r="494" spans="26:27">
      <c r="Z494" s="31"/>
      <c r="AA494" s="31"/>
    </row>
    <row r="495" spans="26:27">
      <c r="Z495" s="31"/>
      <c r="AA495" s="31"/>
    </row>
    <row r="496" spans="26:27">
      <c r="Z496" s="31"/>
      <c r="AA496" s="31"/>
    </row>
    <row r="497" spans="26:27">
      <c r="Z497" s="31"/>
      <c r="AA497" s="31"/>
    </row>
    <row r="498" spans="26:27">
      <c r="Z498" s="31"/>
      <c r="AA498" s="31"/>
    </row>
    <row r="499" spans="26:27">
      <c r="Z499" s="31"/>
      <c r="AA499" s="31"/>
    </row>
    <row r="500" spans="26:27">
      <c r="Z500" s="31"/>
      <c r="AA500" s="31"/>
    </row>
    <row r="501" spans="26:27">
      <c r="Z501" s="31"/>
      <c r="AA501" s="31"/>
    </row>
    <row r="502" spans="26:27">
      <c r="Z502" s="31"/>
      <c r="AA502" s="31"/>
    </row>
    <row r="503" spans="26:27">
      <c r="Z503" s="31"/>
      <c r="AA503" s="31"/>
    </row>
    <row r="504" spans="26:27">
      <c r="Z504" s="31"/>
      <c r="AA504" s="31"/>
    </row>
    <row r="505" spans="26:27">
      <c r="Z505" s="31"/>
      <c r="AA505" s="31"/>
    </row>
    <row r="506" spans="26:27">
      <c r="Z506" s="31"/>
      <c r="AA506" s="31"/>
    </row>
    <row r="507" spans="26:27">
      <c r="Z507" s="31"/>
      <c r="AA507" s="31"/>
    </row>
    <row r="508" spans="26:27">
      <c r="Z508" s="31"/>
      <c r="AA508" s="31"/>
    </row>
    <row r="509" spans="26:27">
      <c r="Z509" s="31"/>
      <c r="AA509" s="31"/>
    </row>
    <row r="510" spans="26:27">
      <c r="Z510" s="31"/>
      <c r="AA510" s="31"/>
    </row>
    <row r="511" spans="26:27">
      <c r="Z511" s="31"/>
      <c r="AA511" s="31"/>
    </row>
    <row r="512" spans="26:27">
      <c r="Z512" s="31"/>
      <c r="AA512" s="31"/>
    </row>
    <row r="513" spans="26:27">
      <c r="Z513" s="31"/>
      <c r="AA513" s="31"/>
    </row>
    <row r="514" spans="26:27">
      <c r="Z514" s="31"/>
      <c r="AA514" s="31"/>
    </row>
    <row r="515" spans="26:27">
      <c r="Z515" s="31"/>
      <c r="AA515" s="31"/>
    </row>
    <row r="516" spans="26:27">
      <c r="Z516" s="31"/>
      <c r="AA516" s="31"/>
    </row>
    <row r="517" spans="26:27">
      <c r="Z517" s="31"/>
      <c r="AA517" s="31"/>
    </row>
    <row r="518" spans="26:27">
      <c r="Z518" s="31"/>
      <c r="AA518" s="31"/>
    </row>
    <row r="519" spans="26:27">
      <c r="Z519" s="31"/>
      <c r="AA519" s="31"/>
    </row>
    <row r="520" spans="26:27">
      <c r="Z520" s="31"/>
      <c r="AA520" s="31"/>
    </row>
    <row r="521" spans="26:27">
      <c r="Z521" s="31"/>
      <c r="AA521" s="31"/>
    </row>
    <row r="522" spans="26:27">
      <c r="Z522" s="31"/>
      <c r="AA522" s="31"/>
    </row>
    <row r="523" spans="26:27">
      <c r="Z523" s="31"/>
      <c r="AA523" s="31"/>
    </row>
    <row r="524" spans="26:27">
      <c r="Z524" s="31"/>
      <c r="AA524" s="31"/>
    </row>
    <row r="525" spans="26:27">
      <c r="Z525" s="31"/>
      <c r="AA525" s="31"/>
    </row>
    <row r="526" spans="26:27">
      <c r="Z526" s="31"/>
      <c r="AA526" s="31"/>
    </row>
    <row r="527" spans="26:27">
      <c r="Z527" s="31"/>
      <c r="AA527" s="31"/>
    </row>
    <row r="528" spans="26:27">
      <c r="Z528" s="31"/>
      <c r="AA528" s="31"/>
    </row>
    <row r="529" spans="26:27">
      <c r="Z529" s="31"/>
      <c r="AA529" s="31"/>
    </row>
    <row r="530" spans="26:27">
      <c r="Z530" s="31"/>
      <c r="AA530" s="31"/>
    </row>
    <row r="531" spans="26:27">
      <c r="Z531" s="31"/>
      <c r="AA531" s="31"/>
    </row>
    <row r="532" spans="26:27">
      <c r="Z532" s="31"/>
      <c r="AA532" s="31"/>
    </row>
    <row r="533" spans="26:27">
      <c r="Z533" s="31"/>
      <c r="AA533" s="31"/>
    </row>
    <row r="534" spans="26:27">
      <c r="Z534" s="31"/>
      <c r="AA534" s="31"/>
    </row>
    <row r="535" spans="26:27">
      <c r="Z535" s="31"/>
      <c r="AA535" s="31"/>
    </row>
    <row r="536" spans="26:27">
      <c r="Z536" s="31"/>
      <c r="AA536" s="31"/>
    </row>
    <row r="537" spans="26:27">
      <c r="Z537" s="31"/>
      <c r="AA537" s="31"/>
    </row>
    <row r="538" spans="26:27">
      <c r="Z538" s="31"/>
      <c r="AA538" s="31"/>
    </row>
    <row r="539" spans="26:27">
      <c r="Z539" s="31"/>
      <c r="AA539" s="31"/>
    </row>
    <row r="540" spans="26:27">
      <c r="Z540" s="31"/>
      <c r="AA540" s="31"/>
    </row>
    <row r="541" spans="26:27">
      <c r="Z541" s="31"/>
      <c r="AA541" s="31"/>
    </row>
    <row r="542" spans="26:27">
      <c r="Z542" s="31"/>
      <c r="AA542" s="31"/>
    </row>
    <row r="543" spans="26:27">
      <c r="Z543" s="31"/>
      <c r="AA543" s="31"/>
    </row>
    <row r="544" spans="26:27">
      <c r="Z544" s="31"/>
      <c r="AA544" s="31"/>
    </row>
    <row r="545" spans="26:27">
      <c r="Z545" s="31"/>
      <c r="AA545" s="31"/>
    </row>
    <row r="546" spans="26:27">
      <c r="Z546" s="31"/>
      <c r="AA546" s="31"/>
    </row>
    <row r="547" spans="26:27">
      <c r="Z547" s="31"/>
      <c r="AA547" s="31"/>
    </row>
    <row r="548" spans="26:27">
      <c r="Z548" s="31"/>
      <c r="AA548" s="31"/>
    </row>
    <row r="549" spans="26:27">
      <c r="Z549" s="31"/>
      <c r="AA549" s="31"/>
    </row>
    <row r="550" spans="26:27">
      <c r="Z550" s="31"/>
      <c r="AA550" s="31"/>
    </row>
    <row r="551" spans="26:27">
      <c r="Z551" s="31"/>
      <c r="AA551" s="31"/>
    </row>
    <row r="552" spans="26:27">
      <c r="Z552" s="31"/>
      <c r="AA552" s="31"/>
    </row>
    <row r="553" spans="26:27">
      <c r="Z553" s="31"/>
      <c r="AA553" s="31"/>
    </row>
    <row r="554" spans="26:27">
      <c r="Z554" s="31"/>
      <c r="AA554" s="31"/>
    </row>
    <row r="555" spans="26:27">
      <c r="Z555" s="31"/>
      <c r="AA555" s="31"/>
    </row>
    <row r="556" spans="26:27">
      <c r="Z556" s="31"/>
      <c r="AA556" s="31"/>
    </row>
    <row r="557" spans="26:27">
      <c r="Z557" s="31"/>
      <c r="AA557" s="31"/>
    </row>
    <row r="558" spans="26:27">
      <c r="Z558" s="31"/>
      <c r="AA558" s="31"/>
    </row>
    <row r="559" spans="26:27">
      <c r="Z559" s="31"/>
      <c r="AA559" s="31"/>
    </row>
    <row r="560" spans="26:27">
      <c r="Z560" s="31"/>
      <c r="AA560" s="31"/>
    </row>
    <row r="561" spans="26:27">
      <c r="Z561" s="31"/>
      <c r="AA561" s="31"/>
    </row>
    <row r="562" spans="26:27">
      <c r="Z562" s="31"/>
      <c r="AA562" s="31"/>
    </row>
    <row r="563" spans="26:27">
      <c r="Z563" s="31"/>
      <c r="AA563" s="31"/>
    </row>
    <row r="564" spans="26:27">
      <c r="Z564" s="31"/>
      <c r="AA564" s="31"/>
    </row>
    <row r="565" spans="26:27">
      <c r="Z565" s="31"/>
      <c r="AA565" s="31"/>
    </row>
    <row r="566" spans="26:27">
      <c r="Z566" s="31"/>
      <c r="AA566" s="31"/>
    </row>
    <row r="567" spans="26:27">
      <c r="Z567" s="31"/>
      <c r="AA567" s="31"/>
    </row>
    <row r="568" spans="26:27">
      <c r="Z568" s="31"/>
      <c r="AA568" s="31"/>
    </row>
    <row r="569" spans="26:27">
      <c r="Z569" s="31"/>
      <c r="AA569" s="31"/>
    </row>
    <row r="570" spans="26:27">
      <c r="Z570" s="31"/>
      <c r="AA570" s="31"/>
    </row>
    <row r="571" spans="26:27">
      <c r="Z571" s="31"/>
      <c r="AA571" s="31"/>
    </row>
    <row r="572" spans="26:27">
      <c r="Z572" s="31"/>
      <c r="AA572" s="31"/>
    </row>
    <row r="573" spans="26:27">
      <c r="Z573" s="31"/>
      <c r="AA573" s="31"/>
    </row>
    <row r="574" spans="26:27">
      <c r="Z574" s="31"/>
      <c r="AA574" s="31"/>
    </row>
    <row r="575" spans="26:27">
      <c r="Z575" s="31"/>
      <c r="AA575" s="31"/>
    </row>
    <row r="576" spans="26:27">
      <c r="Z576" s="31"/>
      <c r="AA576" s="31"/>
    </row>
    <row r="577" spans="26:27">
      <c r="Z577" s="31"/>
      <c r="AA577" s="31"/>
    </row>
    <row r="578" spans="26:27">
      <c r="Z578" s="31"/>
      <c r="AA578" s="31"/>
    </row>
    <row r="579" spans="26:27">
      <c r="Z579" s="31"/>
      <c r="AA579" s="31"/>
    </row>
    <row r="580" spans="26:27">
      <c r="Z580" s="31"/>
      <c r="AA580" s="31"/>
    </row>
    <row r="581" spans="26:27">
      <c r="Z581" s="31"/>
      <c r="AA581" s="31"/>
    </row>
    <row r="582" spans="26:27">
      <c r="Z582" s="31"/>
      <c r="AA582" s="31"/>
    </row>
    <row r="583" spans="26:27">
      <c r="Z583" s="31"/>
      <c r="AA583" s="31"/>
    </row>
    <row r="584" spans="26:27">
      <c r="Z584" s="31"/>
      <c r="AA584" s="31"/>
    </row>
    <row r="585" spans="26:27">
      <c r="Z585" s="31"/>
      <c r="AA585" s="31"/>
    </row>
    <row r="586" spans="26:27">
      <c r="Z586" s="31"/>
      <c r="AA586" s="31"/>
    </row>
    <row r="587" spans="26:27">
      <c r="Z587" s="31"/>
      <c r="AA587" s="31"/>
    </row>
    <row r="588" spans="26:27">
      <c r="Z588" s="31"/>
      <c r="AA588" s="31"/>
    </row>
    <row r="589" spans="26:27">
      <c r="Z589" s="31"/>
      <c r="AA589" s="31"/>
    </row>
    <row r="590" spans="26:27">
      <c r="Z590" s="31"/>
      <c r="AA590" s="31"/>
    </row>
    <row r="591" spans="26:27">
      <c r="Z591" s="31"/>
      <c r="AA591" s="31"/>
    </row>
    <row r="592" spans="26:27">
      <c r="Z592" s="31"/>
      <c r="AA592" s="31"/>
    </row>
    <row r="593" spans="26:27">
      <c r="Z593" s="31"/>
      <c r="AA593" s="31"/>
    </row>
    <row r="594" spans="26:27">
      <c r="Z594" s="31"/>
      <c r="AA594" s="31"/>
    </row>
    <row r="595" spans="26:27">
      <c r="Z595" s="31"/>
      <c r="AA595" s="31"/>
    </row>
    <row r="596" spans="26:27">
      <c r="Z596" s="31"/>
      <c r="AA596" s="31"/>
    </row>
    <row r="597" spans="26:27">
      <c r="Z597" s="31"/>
      <c r="AA597" s="31"/>
    </row>
    <row r="598" spans="26:27">
      <c r="Z598" s="31"/>
      <c r="AA598" s="31"/>
    </row>
    <row r="599" spans="26:27">
      <c r="Z599" s="31"/>
      <c r="AA599" s="31"/>
    </row>
    <row r="600" spans="26:27">
      <c r="Z600" s="31"/>
      <c r="AA600" s="31"/>
    </row>
    <row r="601" spans="26:27">
      <c r="Z601" s="31"/>
      <c r="AA601" s="31"/>
    </row>
    <row r="602" spans="26:27">
      <c r="Z602" s="31"/>
      <c r="AA602" s="31"/>
    </row>
    <row r="603" spans="26:27">
      <c r="Z603" s="31"/>
      <c r="AA603" s="31"/>
    </row>
    <row r="604" spans="26:27">
      <c r="Z604" s="31"/>
      <c r="AA604" s="31"/>
    </row>
    <row r="605" spans="26:27">
      <c r="Z605" s="31"/>
      <c r="AA605" s="31"/>
    </row>
    <row r="606" spans="26:27">
      <c r="Z606" s="31"/>
      <c r="AA606" s="31"/>
    </row>
    <row r="607" spans="26:27">
      <c r="Z607" s="31"/>
      <c r="AA607" s="31"/>
    </row>
    <row r="608" spans="26:27">
      <c r="Z608" s="31"/>
      <c r="AA608" s="31"/>
    </row>
    <row r="609" spans="26:27">
      <c r="Z609" s="31"/>
      <c r="AA609" s="31"/>
    </row>
    <row r="610" spans="26:27">
      <c r="Z610" s="31"/>
      <c r="AA610" s="31"/>
    </row>
    <row r="611" spans="26:27">
      <c r="Z611" s="31"/>
      <c r="AA611" s="31"/>
    </row>
    <row r="612" spans="26:27">
      <c r="Z612" s="31"/>
      <c r="AA612" s="31"/>
    </row>
    <row r="613" spans="26:27">
      <c r="Z613" s="31"/>
      <c r="AA613" s="31"/>
    </row>
    <row r="614" spans="26:27">
      <c r="Z614" s="31"/>
      <c r="AA614" s="31"/>
    </row>
    <row r="615" spans="26:27">
      <c r="Z615" s="31"/>
      <c r="AA615" s="31"/>
    </row>
    <row r="616" spans="26:27">
      <c r="Z616" s="31"/>
      <c r="AA616" s="31"/>
    </row>
    <row r="617" spans="26:27">
      <c r="Z617" s="31"/>
      <c r="AA617" s="31"/>
    </row>
    <row r="618" spans="26:27">
      <c r="Z618" s="31"/>
      <c r="AA618" s="31"/>
    </row>
    <row r="619" spans="26:27">
      <c r="Z619" s="31"/>
      <c r="AA619" s="31"/>
    </row>
    <row r="620" spans="26:27">
      <c r="Z620" s="31"/>
      <c r="AA620" s="31"/>
    </row>
    <row r="621" spans="26:27">
      <c r="Z621" s="31"/>
      <c r="AA621" s="31"/>
    </row>
    <row r="622" spans="26:27">
      <c r="Z622" s="31"/>
      <c r="AA622" s="31"/>
    </row>
    <row r="623" spans="26:27">
      <c r="Z623" s="31"/>
      <c r="AA623" s="31"/>
    </row>
    <row r="624" spans="26:27">
      <c r="Z624" s="31"/>
      <c r="AA624" s="31"/>
    </row>
    <row r="625" spans="26:27">
      <c r="Z625" s="31"/>
      <c r="AA625" s="31"/>
    </row>
    <row r="626" spans="26:27">
      <c r="Z626" s="31"/>
      <c r="AA626" s="31"/>
    </row>
    <row r="627" spans="26:27">
      <c r="Z627" s="31"/>
      <c r="AA627" s="31"/>
    </row>
    <row r="628" spans="26:27">
      <c r="Z628" s="31"/>
      <c r="AA628" s="31"/>
    </row>
    <row r="629" spans="26:27">
      <c r="Z629" s="31"/>
      <c r="AA629" s="31"/>
    </row>
    <row r="630" spans="26:27">
      <c r="Z630" s="31"/>
      <c r="AA630" s="31"/>
    </row>
    <row r="631" spans="26:27">
      <c r="Z631" s="31"/>
      <c r="AA631" s="31"/>
    </row>
    <row r="632" spans="26:27">
      <c r="Z632" s="31"/>
      <c r="AA632" s="31"/>
    </row>
    <row r="633" spans="26:27">
      <c r="Z633" s="31"/>
      <c r="AA633" s="31"/>
    </row>
    <row r="634" spans="26:27">
      <c r="Z634" s="31"/>
      <c r="AA634" s="31"/>
    </row>
    <row r="635" spans="26:27">
      <c r="Z635" s="31"/>
      <c r="AA635" s="31"/>
    </row>
    <row r="636" spans="26:27">
      <c r="Z636" s="31"/>
      <c r="AA636" s="31"/>
    </row>
    <row r="637" spans="26:27">
      <c r="Z637" s="31"/>
      <c r="AA637" s="31"/>
    </row>
    <row r="638" spans="26:27">
      <c r="Z638" s="31"/>
      <c r="AA638" s="31"/>
    </row>
    <row r="639" spans="26:27">
      <c r="Z639" s="31"/>
      <c r="AA639" s="31"/>
    </row>
    <row r="640" spans="26:27">
      <c r="Z640" s="31"/>
      <c r="AA640" s="31"/>
    </row>
    <row r="641" spans="26:27">
      <c r="Z641" s="31"/>
      <c r="AA641" s="31"/>
    </row>
    <row r="642" spans="26:27">
      <c r="Z642" s="31"/>
      <c r="AA642" s="31"/>
    </row>
    <row r="643" spans="26:27">
      <c r="Z643" s="31"/>
      <c r="AA643" s="31"/>
    </row>
    <row r="644" spans="26:27">
      <c r="Z644" s="31"/>
      <c r="AA644" s="31"/>
    </row>
    <row r="645" spans="26:27">
      <c r="Z645" s="31"/>
      <c r="AA645" s="31"/>
    </row>
    <row r="646" spans="26:27">
      <c r="Z646" s="31"/>
      <c r="AA646" s="31"/>
    </row>
    <row r="647" spans="26:27">
      <c r="Z647" s="31"/>
      <c r="AA647" s="31"/>
    </row>
    <row r="648" spans="26:27">
      <c r="Z648" s="31"/>
      <c r="AA648" s="31"/>
    </row>
    <row r="649" spans="26:27">
      <c r="Z649" s="31"/>
      <c r="AA649" s="31"/>
    </row>
    <row r="650" spans="26:27">
      <c r="Z650" s="31"/>
      <c r="AA650" s="31"/>
    </row>
    <row r="651" spans="26:27">
      <c r="Z651" s="31"/>
      <c r="AA651" s="31"/>
    </row>
    <row r="652" spans="26:27">
      <c r="Z652" s="31"/>
      <c r="AA652" s="31"/>
    </row>
    <row r="653" spans="26:27">
      <c r="Z653" s="31"/>
      <c r="AA653" s="31"/>
    </row>
    <row r="654" spans="26:27">
      <c r="Z654" s="31"/>
      <c r="AA654" s="31"/>
    </row>
    <row r="655" spans="26:27">
      <c r="Z655" s="31"/>
      <c r="AA655" s="31"/>
    </row>
    <row r="656" spans="26:27">
      <c r="Z656" s="31"/>
      <c r="AA656" s="31"/>
    </row>
    <row r="657" spans="26:27">
      <c r="Z657" s="31"/>
      <c r="AA657" s="31"/>
    </row>
    <row r="658" spans="26:27">
      <c r="Z658" s="31"/>
      <c r="AA658" s="31"/>
    </row>
    <row r="659" spans="26:27">
      <c r="Z659" s="31"/>
      <c r="AA659" s="31"/>
    </row>
    <row r="660" spans="26:27">
      <c r="Z660" s="31"/>
      <c r="AA660" s="31"/>
    </row>
    <row r="661" spans="26:27">
      <c r="Z661" s="31"/>
      <c r="AA661" s="31"/>
    </row>
    <row r="662" spans="26:27">
      <c r="Z662" s="31"/>
      <c r="AA662" s="31"/>
    </row>
    <row r="663" spans="26:27">
      <c r="Z663" s="31"/>
      <c r="AA663" s="31"/>
    </row>
    <row r="664" spans="26:27">
      <c r="Z664" s="31"/>
      <c r="AA664" s="31"/>
    </row>
    <row r="665" spans="26:27">
      <c r="Z665" s="31"/>
      <c r="AA665" s="31"/>
    </row>
    <row r="666" spans="26:27">
      <c r="Z666" s="31"/>
      <c r="AA666" s="31"/>
    </row>
    <row r="667" spans="26:27">
      <c r="Z667" s="31"/>
      <c r="AA667" s="31"/>
    </row>
    <row r="668" spans="26:27">
      <c r="Z668" s="31"/>
      <c r="AA668" s="31"/>
    </row>
    <row r="669" spans="26:27">
      <c r="Z669" s="31"/>
      <c r="AA669" s="31"/>
    </row>
    <row r="670" spans="26:27">
      <c r="Z670" s="31"/>
      <c r="AA670" s="31"/>
    </row>
    <row r="671" spans="26:27">
      <c r="Z671" s="31"/>
      <c r="AA671" s="31"/>
    </row>
    <row r="672" spans="26:27">
      <c r="Z672" s="31"/>
      <c r="AA672" s="31"/>
    </row>
    <row r="673" spans="26:27">
      <c r="Z673" s="31"/>
      <c r="AA673" s="31"/>
    </row>
    <row r="674" spans="26:27">
      <c r="Z674" s="31"/>
      <c r="AA674" s="31"/>
    </row>
    <row r="675" spans="26:27">
      <c r="Z675" s="31"/>
      <c r="AA675" s="31"/>
    </row>
    <row r="676" spans="26:27">
      <c r="Z676" s="31"/>
      <c r="AA676" s="31"/>
    </row>
    <row r="677" spans="26:27">
      <c r="Z677" s="31"/>
      <c r="AA677" s="31"/>
    </row>
    <row r="678" spans="26:27">
      <c r="Z678" s="31"/>
      <c r="AA678" s="31"/>
    </row>
    <row r="679" spans="26:27">
      <c r="Z679" s="31"/>
      <c r="AA679" s="31"/>
    </row>
    <row r="680" spans="26:27">
      <c r="Z680" s="31"/>
      <c r="AA680" s="31"/>
    </row>
    <row r="681" spans="26:27">
      <c r="Z681" s="31"/>
      <c r="AA681" s="31"/>
    </row>
    <row r="682" spans="26:27">
      <c r="Z682" s="31"/>
      <c r="AA682" s="31"/>
    </row>
    <row r="683" spans="26:27">
      <c r="Z683" s="31"/>
      <c r="AA683" s="31"/>
    </row>
    <row r="684" spans="26:27">
      <c r="Z684" s="31"/>
      <c r="AA684" s="31"/>
    </row>
    <row r="685" spans="26:27">
      <c r="Z685" s="31"/>
      <c r="AA685" s="31"/>
    </row>
    <row r="686" spans="26:27">
      <c r="Z686" s="31"/>
      <c r="AA686" s="31"/>
    </row>
    <row r="687" spans="26:27">
      <c r="Z687" s="31"/>
      <c r="AA687" s="31"/>
    </row>
    <row r="688" spans="26:27">
      <c r="Z688" s="31"/>
      <c r="AA688" s="31"/>
    </row>
    <row r="689" spans="26:27">
      <c r="Z689" s="31"/>
      <c r="AA689" s="31"/>
    </row>
    <row r="690" spans="26:27">
      <c r="Z690" s="31"/>
      <c r="AA690" s="31"/>
    </row>
    <row r="691" spans="26:27">
      <c r="Z691" s="31"/>
      <c r="AA691" s="31"/>
    </row>
    <row r="692" spans="26:27">
      <c r="Z692" s="31"/>
      <c r="AA692" s="31"/>
    </row>
    <row r="693" spans="26:27">
      <c r="Z693" s="31"/>
      <c r="AA693" s="31"/>
    </row>
    <row r="694" spans="26:27">
      <c r="Z694" s="31"/>
      <c r="AA694" s="31"/>
    </row>
    <row r="695" spans="26:27">
      <c r="Z695" s="31"/>
      <c r="AA695" s="31"/>
    </row>
    <row r="696" spans="26:27">
      <c r="Z696" s="31"/>
      <c r="AA696" s="31"/>
    </row>
    <row r="697" spans="26:27">
      <c r="Z697" s="31"/>
      <c r="AA697" s="31"/>
    </row>
    <row r="698" spans="26:27">
      <c r="Z698" s="31"/>
      <c r="AA698" s="31"/>
    </row>
    <row r="699" spans="26:27">
      <c r="Z699" s="31"/>
      <c r="AA699" s="31"/>
    </row>
    <row r="700" spans="26:27">
      <c r="Z700" s="31"/>
      <c r="AA700" s="31"/>
    </row>
    <row r="701" spans="26:27">
      <c r="Z701" s="31"/>
      <c r="AA701" s="31"/>
    </row>
    <row r="702" spans="26:27">
      <c r="Z702" s="31"/>
      <c r="AA702" s="31"/>
    </row>
    <row r="703" spans="26:27">
      <c r="Z703" s="31"/>
      <c r="AA703" s="31"/>
    </row>
    <row r="704" spans="26:27">
      <c r="Z704" s="31"/>
      <c r="AA704" s="31"/>
    </row>
    <row r="705" spans="26:27">
      <c r="Z705" s="31"/>
      <c r="AA705" s="31"/>
    </row>
    <row r="706" spans="26:27">
      <c r="Z706" s="31"/>
      <c r="AA706" s="31"/>
    </row>
    <row r="707" spans="26:27">
      <c r="Z707" s="31"/>
      <c r="AA707" s="31"/>
    </row>
    <row r="708" spans="26:27">
      <c r="Z708" s="31"/>
      <c r="AA708" s="31"/>
    </row>
    <row r="709" spans="26:27">
      <c r="Z709" s="31"/>
      <c r="AA709" s="31"/>
    </row>
    <row r="710" spans="26:27">
      <c r="Z710" s="31"/>
      <c r="AA710" s="31"/>
    </row>
    <row r="711" spans="26:27">
      <c r="Z711" s="31"/>
      <c r="AA711" s="31"/>
    </row>
    <row r="712" spans="26:27">
      <c r="Z712" s="31"/>
      <c r="AA712" s="31"/>
    </row>
    <row r="713" spans="26:27">
      <c r="Z713" s="31"/>
      <c r="AA713" s="31"/>
    </row>
    <row r="714" spans="26:27">
      <c r="Z714" s="31"/>
      <c r="AA714" s="31"/>
    </row>
    <row r="715" spans="26:27">
      <c r="Z715" s="31"/>
      <c r="AA715" s="31"/>
    </row>
    <row r="716" spans="26:27">
      <c r="Z716" s="31"/>
      <c r="AA716" s="31"/>
    </row>
    <row r="717" spans="26:27">
      <c r="Z717" s="31"/>
      <c r="AA717" s="31"/>
    </row>
    <row r="718" spans="26:27">
      <c r="Z718" s="31"/>
      <c r="AA718" s="31"/>
    </row>
    <row r="719" spans="26:27">
      <c r="Z719" s="31"/>
      <c r="AA719" s="31"/>
    </row>
    <row r="720" spans="26:27">
      <c r="Z720" s="31"/>
      <c r="AA720" s="31"/>
    </row>
    <row r="721" spans="26:27">
      <c r="Z721" s="31"/>
      <c r="AA721" s="31"/>
    </row>
    <row r="722" spans="26:27">
      <c r="Z722" s="31"/>
      <c r="AA722" s="31"/>
    </row>
    <row r="723" spans="26:27">
      <c r="Z723" s="31"/>
      <c r="AA723" s="31"/>
    </row>
    <row r="724" spans="26:27">
      <c r="Z724" s="31"/>
      <c r="AA724" s="31"/>
    </row>
    <row r="725" spans="26:27">
      <c r="Z725" s="31"/>
      <c r="AA725" s="31"/>
    </row>
    <row r="726" spans="26:27">
      <c r="Z726" s="31"/>
      <c r="AA726" s="31"/>
    </row>
    <row r="727" spans="26:27">
      <c r="Z727" s="31"/>
      <c r="AA727" s="31"/>
    </row>
    <row r="728" spans="26:27">
      <c r="Z728" s="31"/>
      <c r="AA728" s="31"/>
    </row>
    <row r="729" spans="26:27">
      <c r="Z729" s="31"/>
      <c r="AA729" s="31"/>
    </row>
    <row r="730" spans="26:27">
      <c r="Z730" s="31"/>
      <c r="AA730" s="31"/>
    </row>
    <row r="731" spans="26:27">
      <c r="Z731" s="31"/>
      <c r="AA731" s="31"/>
    </row>
    <row r="732" spans="26:27">
      <c r="Z732" s="31"/>
      <c r="AA732" s="31"/>
    </row>
    <row r="733" spans="26:27">
      <c r="Z733" s="31"/>
      <c r="AA733" s="31"/>
    </row>
    <row r="734" spans="26:27">
      <c r="Z734" s="31"/>
      <c r="AA734" s="31"/>
    </row>
    <row r="735" spans="26:27">
      <c r="Z735" s="31"/>
      <c r="AA735" s="31"/>
    </row>
    <row r="736" spans="26:27">
      <c r="Z736" s="31"/>
      <c r="AA736" s="31"/>
    </row>
    <row r="737" spans="26:27">
      <c r="Z737" s="31"/>
      <c r="AA737" s="31"/>
    </row>
    <row r="738" spans="26:27">
      <c r="Z738" s="31"/>
      <c r="AA738" s="31"/>
    </row>
    <row r="739" spans="26:27">
      <c r="Z739" s="31"/>
      <c r="AA739" s="31"/>
    </row>
    <row r="740" spans="26:27">
      <c r="Z740" s="31"/>
      <c r="AA740" s="31"/>
    </row>
    <row r="741" spans="26:27">
      <c r="Z741" s="31"/>
      <c r="AA741" s="31"/>
    </row>
    <row r="742" spans="26:27">
      <c r="Z742" s="31"/>
      <c r="AA742" s="31"/>
    </row>
    <row r="743" spans="26:27">
      <c r="Z743" s="31"/>
      <c r="AA743" s="31"/>
    </row>
    <row r="744" spans="26:27">
      <c r="Z744" s="31"/>
      <c r="AA744" s="31"/>
    </row>
    <row r="745" spans="26:27">
      <c r="Z745" s="31"/>
      <c r="AA745" s="31"/>
    </row>
    <row r="746" spans="26:27">
      <c r="Z746" s="31"/>
      <c r="AA746" s="31"/>
    </row>
    <row r="747" spans="26:27">
      <c r="Z747" s="31"/>
      <c r="AA747" s="31"/>
    </row>
    <row r="748" spans="26:27">
      <c r="Z748" s="31"/>
      <c r="AA748" s="31"/>
    </row>
    <row r="749" spans="26:27">
      <c r="Z749" s="31"/>
      <c r="AA749" s="31"/>
    </row>
    <row r="750" spans="26:27">
      <c r="Z750" s="31"/>
      <c r="AA750" s="31"/>
    </row>
    <row r="751" spans="26:27">
      <c r="Z751" s="31"/>
      <c r="AA751" s="31"/>
    </row>
    <row r="752" spans="26:27">
      <c r="Z752" s="31"/>
      <c r="AA752" s="31"/>
    </row>
    <row r="753" spans="26:27">
      <c r="Z753" s="31"/>
      <c r="AA753" s="31"/>
    </row>
    <row r="754" spans="26:27">
      <c r="Z754" s="31"/>
      <c r="AA754" s="31"/>
    </row>
    <row r="755" spans="26:27">
      <c r="Z755" s="31"/>
      <c r="AA755" s="31"/>
    </row>
    <row r="756" spans="26:27">
      <c r="Z756" s="31"/>
      <c r="AA756" s="31"/>
    </row>
    <row r="757" spans="26:27">
      <c r="Z757" s="31"/>
      <c r="AA757" s="31"/>
    </row>
    <row r="758" spans="26:27">
      <c r="Z758" s="31"/>
      <c r="AA758" s="31"/>
    </row>
    <row r="759" spans="26:27">
      <c r="Z759" s="31"/>
      <c r="AA759" s="31"/>
    </row>
    <row r="760" spans="26:27">
      <c r="Z760" s="31"/>
      <c r="AA760" s="31"/>
    </row>
    <row r="761" spans="26:27">
      <c r="Z761" s="31"/>
      <c r="AA761" s="31"/>
    </row>
    <row r="762" spans="26:27">
      <c r="Z762" s="31"/>
      <c r="AA762" s="31"/>
    </row>
    <row r="763" spans="26:27">
      <c r="Z763" s="31"/>
      <c r="AA763" s="31"/>
    </row>
    <row r="764" spans="26:27">
      <c r="Z764" s="31"/>
      <c r="AA764" s="31"/>
    </row>
    <row r="765" spans="26:27">
      <c r="Z765" s="31"/>
      <c r="AA765" s="31"/>
    </row>
    <row r="766" spans="26:27">
      <c r="Z766" s="31"/>
      <c r="AA766" s="31"/>
    </row>
    <row r="767" spans="26:27">
      <c r="Z767" s="31"/>
      <c r="AA767" s="31"/>
    </row>
    <row r="768" spans="26:27">
      <c r="Z768" s="31"/>
      <c r="AA768" s="31"/>
    </row>
    <row r="769" spans="26:27">
      <c r="Z769" s="31"/>
      <c r="AA769" s="31"/>
    </row>
    <row r="770" spans="26:27">
      <c r="Z770" s="31"/>
      <c r="AA770" s="31"/>
    </row>
    <row r="771" spans="26:27">
      <c r="Z771" s="31"/>
      <c r="AA771" s="31"/>
    </row>
    <row r="772" spans="26:27">
      <c r="Z772" s="31"/>
      <c r="AA772" s="31"/>
    </row>
    <row r="773" spans="26:27">
      <c r="Z773" s="31"/>
      <c r="AA773" s="31"/>
    </row>
    <row r="774" spans="26:27">
      <c r="Z774" s="31"/>
      <c r="AA774" s="31"/>
    </row>
    <row r="775" spans="26:27">
      <c r="Z775" s="31"/>
      <c r="AA775" s="31"/>
    </row>
    <row r="776" spans="26:27">
      <c r="Z776" s="31"/>
      <c r="AA776" s="31"/>
    </row>
    <row r="777" spans="26:27">
      <c r="Z777" s="31"/>
      <c r="AA777" s="31"/>
    </row>
    <row r="778" spans="26:27">
      <c r="Z778" s="31"/>
      <c r="AA778" s="31"/>
    </row>
    <row r="779" spans="26:27">
      <c r="Z779" s="31"/>
      <c r="AA779" s="31"/>
    </row>
    <row r="780" spans="26:27">
      <c r="Z780" s="31"/>
      <c r="AA780" s="31"/>
    </row>
    <row r="781" spans="26:27">
      <c r="Z781" s="31"/>
      <c r="AA781" s="31"/>
    </row>
    <row r="782" spans="26:27">
      <c r="Z782" s="31"/>
      <c r="AA782" s="31"/>
    </row>
    <row r="783" spans="26:27">
      <c r="Z783" s="31"/>
      <c r="AA783" s="31"/>
    </row>
    <row r="784" spans="26:27">
      <c r="Z784" s="31"/>
      <c r="AA784" s="31"/>
    </row>
    <row r="785" spans="26:27">
      <c r="Z785" s="31"/>
      <c r="AA785" s="31"/>
    </row>
    <row r="786" spans="26:27">
      <c r="Z786" s="31"/>
      <c r="AA786" s="31"/>
    </row>
    <row r="787" spans="26:27">
      <c r="Z787" s="31"/>
      <c r="AA787" s="31"/>
    </row>
    <row r="788" spans="26:27">
      <c r="Z788" s="31"/>
      <c r="AA788" s="31"/>
    </row>
    <row r="789" spans="26:27">
      <c r="Z789" s="31"/>
      <c r="AA789" s="31"/>
    </row>
    <row r="790" spans="26:27">
      <c r="Z790" s="31"/>
      <c r="AA790" s="31"/>
    </row>
    <row r="791" spans="26:27">
      <c r="Z791" s="31"/>
      <c r="AA791" s="31"/>
    </row>
    <row r="792" spans="26:27">
      <c r="Z792" s="31"/>
      <c r="AA792" s="31"/>
    </row>
    <row r="793" spans="26:27">
      <c r="Z793" s="31"/>
      <c r="AA793" s="31"/>
    </row>
    <row r="794" spans="26:27">
      <c r="Z794" s="31"/>
      <c r="AA794" s="31"/>
    </row>
    <row r="795" spans="26:27">
      <c r="Z795" s="31"/>
      <c r="AA795" s="31"/>
    </row>
    <row r="796" spans="26:27">
      <c r="Z796" s="31"/>
      <c r="AA796" s="31"/>
    </row>
    <row r="797" spans="26:27">
      <c r="Z797" s="31"/>
      <c r="AA797" s="31"/>
    </row>
    <row r="798" spans="26:27">
      <c r="Z798" s="31"/>
      <c r="AA798" s="31"/>
    </row>
    <row r="799" spans="26:27">
      <c r="Z799" s="31"/>
      <c r="AA799" s="31"/>
    </row>
    <row r="800" spans="26:27">
      <c r="Z800" s="31"/>
      <c r="AA800" s="31"/>
    </row>
    <row r="801" spans="26:27">
      <c r="Z801" s="31"/>
      <c r="AA801" s="31"/>
    </row>
    <row r="802" spans="26:27">
      <c r="Z802" s="31"/>
      <c r="AA802" s="31"/>
    </row>
    <row r="803" spans="26:27">
      <c r="Z803" s="31"/>
      <c r="AA803" s="31"/>
    </row>
    <row r="804" spans="26:27">
      <c r="Z804" s="31"/>
      <c r="AA804" s="31"/>
    </row>
    <row r="805" spans="26:27">
      <c r="Z805" s="31"/>
      <c r="AA805" s="31"/>
    </row>
    <row r="806" spans="26:27">
      <c r="Z806" s="31"/>
      <c r="AA806" s="31"/>
    </row>
    <row r="807" spans="26:27">
      <c r="Z807" s="31"/>
      <c r="AA807" s="31"/>
    </row>
    <row r="808" spans="26:27">
      <c r="Z808" s="31"/>
      <c r="AA808" s="31"/>
    </row>
    <row r="809" spans="26:27">
      <c r="Z809" s="31"/>
      <c r="AA809" s="31"/>
    </row>
    <row r="810" spans="26:27">
      <c r="Z810" s="31"/>
      <c r="AA810" s="31"/>
    </row>
    <row r="811" spans="26:27">
      <c r="Z811" s="31"/>
      <c r="AA811" s="31"/>
    </row>
    <row r="812" spans="26:27">
      <c r="Z812" s="31"/>
      <c r="AA812" s="31"/>
    </row>
    <row r="813" spans="26:27">
      <c r="Z813" s="31"/>
      <c r="AA813" s="31"/>
    </row>
    <row r="814" spans="26:27">
      <c r="Z814" s="31"/>
      <c r="AA814" s="31"/>
    </row>
    <row r="815" spans="26:27">
      <c r="Z815" s="31"/>
      <c r="AA815" s="31"/>
    </row>
    <row r="816" spans="26:27">
      <c r="Z816" s="31"/>
      <c r="AA816" s="31"/>
    </row>
    <row r="817" spans="26:27">
      <c r="Z817" s="31"/>
      <c r="AA817" s="31"/>
    </row>
    <row r="818" spans="26:27">
      <c r="Z818" s="31"/>
      <c r="AA818" s="31"/>
    </row>
    <row r="819" spans="26:27">
      <c r="Z819" s="31"/>
      <c r="AA819" s="31"/>
    </row>
    <row r="820" spans="26:27">
      <c r="Z820" s="31"/>
      <c r="AA820" s="31"/>
    </row>
    <row r="821" spans="26:27">
      <c r="Z821" s="31"/>
      <c r="AA821" s="31"/>
    </row>
    <row r="822" spans="26:27">
      <c r="Z822" s="31"/>
      <c r="AA822" s="31"/>
    </row>
    <row r="823" spans="26:27">
      <c r="Z823" s="31"/>
      <c r="AA823" s="31"/>
    </row>
    <row r="824" spans="26:27">
      <c r="Z824" s="31"/>
      <c r="AA824" s="31"/>
    </row>
    <row r="825" spans="26:27">
      <c r="Z825" s="31"/>
      <c r="AA825" s="31"/>
    </row>
    <row r="826" spans="26:27">
      <c r="Z826" s="31"/>
      <c r="AA826" s="31"/>
    </row>
    <row r="827" spans="26:27">
      <c r="Z827" s="31"/>
      <c r="AA827" s="31"/>
    </row>
    <row r="828" spans="26:27">
      <c r="Z828" s="31"/>
      <c r="AA828" s="31"/>
    </row>
    <row r="829" spans="26:27">
      <c r="Z829" s="31"/>
      <c r="AA829" s="31"/>
    </row>
    <row r="830" spans="26:27">
      <c r="Z830" s="31"/>
      <c r="AA830" s="31"/>
    </row>
    <row r="831" spans="26:27">
      <c r="Z831" s="31"/>
      <c r="AA831" s="31"/>
    </row>
    <row r="832" spans="26:27">
      <c r="Z832" s="31"/>
      <c r="AA832" s="31"/>
    </row>
    <row r="833" spans="26:27">
      <c r="Z833" s="31"/>
      <c r="AA833" s="31"/>
    </row>
    <row r="834" spans="26:27">
      <c r="Z834" s="31"/>
      <c r="AA834" s="31"/>
    </row>
    <row r="835" spans="26:27">
      <c r="Z835" s="31"/>
      <c r="AA835" s="31"/>
    </row>
    <row r="836" spans="26:27">
      <c r="Z836" s="31"/>
      <c r="AA836" s="31"/>
    </row>
    <row r="837" spans="26:27">
      <c r="Z837" s="31"/>
      <c r="AA837" s="31"/>
    </row>
    <row r="838" spans="26:27">
      <c r="Z838" s="31"/>
      <c r="AA838" s="31"/>
    </row>
    <row r="839" spans="26:27">
      <c r="Z839" s="31"/>
      <c r="AA839" s="31"/>
    </row>
    <row r="840" spans="26:27">
      <c r="Z840" s="31"/>
      <c r="AA840" s="31"/>
    </row>
    <row r="841" spans="26:27">
      <c r="Z841" s="31"/>
      <c r="AA841" s="31"/>
    </row>
    <row r="842" spans="26:27">
      <c r="Z842" s="31"/>
      <c r="AA842" s="31"/>
    </row>
    <row r="843" spans="26:27">
      <c r="Z843" s="31"/>
      <c r="AA843" s="31"/>
    </row>
    <row r="844" spans="26:27">
      <c r="Z844" s="31"/>
      <c r="AA844" s="31"/>
    </row>
    <row r="845" spans="26:27">
      <c r="Z845" s="31"/>
      <c r="AA845" s="31"/>
    </row>
    <row r="846" spans="26:27">
      <c r="Z846" s="31"/>
      <c r="AA846" s="31"/>
    </row>
    <row r="847" spans="26:27">
      <c r="Z847" s="31"/>
      <c r="AA847" s="31"/>
    </row>
    <row r="848" spans="26:27">
      <c r="Z848" s="31"/>
      <c r="AA848" s="31"/>
    </row>
    <row r="849" spans="26:27">
      <c r="Z849" s="31"/>
      <c r="AA849" s="31"/>
    </row>
    <row r="850" spans="26:27">
      <c r="Z850" s="31"/>
      <c r="AA850" s="31"/>
    </row>
    <row r="851" spans="26:27">
      <c r="Z851" s="31"/>
      <c r="AA851" s="31"/>
    </row>
    <row r="852" spans="26:27">
      <c r="Z852" s="31"/>
      <c r="AA852" s="31"/>
    </row>
    <row r="853" spans="26:27">
      <c r="Z853" s="31"/>
      <c r="AA853" s="31"/>
    </row>
    <row r="854" spans="26:27">
      <c r="Z854" s="31"/>
      <c r="AA854" s="31"/>
    </row>
    <row r="855" spans="26:27">
      <c r="Z855" s="31"/>
      <c r="AA855" s="31"/>
    </row>
    <row r="856" spans="26:27">
      <c r="Z856" s="31"/>
      <c r="AA856" s="31"/>
    </row>
    <row r="857" spans="26:27">
      <c r="Z857" s="31"/>
      <c r="AA857" s="31"/>
    </row>
    <row r="858" spans="26:27">
      <c r="Z858" s="31"/>
      <c r="AA858" s="31"/>
    </row>
    <row r="859" spans="26:27">
      <c r="Z859" s="31"/>
      <c r="AA859" s="31"/>
    </row>
    <row r="860" spans="26:27">
      <c r="Z860" s="31"/>
      <c r="AA860" s="31"/>
    </row>
    <row r="861" spans="26:27">
      <c r="Z861" s="31"/>
      <c r="AA861" s="31"/>
    </row>
    <row r="862" spans="26:27">
      <c r="Z862" s="31"/>
      <c r="AA862" s="31"/>
    </row>
    <row r="863" spans="26:27">
      <c r="Z863" s="31"/>
      <c r="AA863" s="31"/>
    </row>
    <row r="864" spans="26:27">
      <c r="Z864" s="31"/>
      <c r="AA864" s="31"/>
    </row>
    <row r="865" spans="26:27">
      <c r="Z865" s="31"/>
      <c r="AA865" s="31"/>
    </row>
    <row r="866" spans="26:27">
      <c r="Z866" s="31"/>
      <c r="AA866" s="31"/>
    </row>
    <row r="867" spans="26:27">
      <c r="Z867" s="31"/>
      <c r="AA867" s="31"/>
    </row>
    <row r="868" spans="26:27">
      <c r="Z868" s="31"/>
      <c r="AA868" s="31"/>
    </row>
    <row r="869" spans="26:27">
      <c r="Z869" s="31"/>
      <c r="AA869" s="31"/>
    </row>
    <row r="870" spans="26:27">
      <c r="Z870" s="31"/>
      <c r="AA870" s="31"/>
    </row>
    <row r="871" spans="26:27">
      <c r="Z871" s="31"/>
      <c r="AA871" s="31"/>
    </row>
    <row r="872" spans="26:27">
      <c r="Z872" s="31"/>
      <c r="AA872" s="31"/>
    </row>
    <row r="873" spans="26:27">
      <c r="Z873" s="31"/>
      <c r="AA873" s="31"/>
    </row>
    <row r="874" spans="26:27">
      <c r="Z874" s="31"/>
      <c r="AA874" s="31"/>
    </row>
    <row r="875" spans="26:27">
      <c r="Z875" s="31"/>
      <c r="AA875" s="31"/>
    </row>
    <row r="876" spans="26:27">
      <c r="Z876" s="31"/>
      <c r="AA876" s="31"/>
    </row>
    <row r="877" spans="26:27">
      <c r="Z877" s="31"/>
      <c r="AA877" s="31"/>
    </row>
    <row r="878" spans="26:27">
      <c r="Z878" s="31"/>
      <c r="AA878" s="31"/>
    </row>
    <row r="879" spans="26:27">
      <c r="Z879" s="31"/>
      <c r="AA879" s="31"/>
    </row>
    <row r="880" spans="26:27">
      <c r="Z880" s="31"/>
      <c r="AA880" s="31"/>
    </row>
    <row r="881" spans="26:27">
      <c r="Z881" s="31"/>
      <c r="AA881" s="31"/>
    </row>
    <row r="882" spans="26:27">
      <c r="Z882" s="31"/>
      <c r="AA882" s="31"/>
    </row>
    <row r="883" spans="26:27">
      <c r="Z883" s="31"/>
      <c r="AA883" s="31"/>
    </row>
    <row r="884" spans="26:27">
      <c r="Z884" s="31"/>
      <c r="AA884" s="31"/>
    </row>
    <row r="885" spans="26:27">
      <c r="Z885" s="31"/>
      <c r="AA885" s="31"/>
    </row>
    <row r="886" spans="26:27">
      <c r="Z886" s="31"/>
      <c r="AA886" s="31"/>
    </row>
    <row r="887" spans="26:27">
      <c r="Z887" s="31"/>
      <c r="AA887" s="31"/>
    </row>
    <row r="888" spans="26:27">
      <c r="Z888" s="31"/>
      <c r="AA888" s="31"/>
    </row>
    <row r="889" spans="26:27">
      <c r="Z889" s="31"/>
      <c r="AA889" s="31"/>
    </row>
    <row r="890" spans="26:27">
      <c r="Z890" s="31"/>
      <c r="AA890" s="31"/>
    </row>
    <row r="891" spans="26:27">
      <c r="Z891" s="31"/>
      <c r="AA891" s="31"/>
    </row>
    <row r="892" spans="26:27">
      <c r="Z892" s="31"/>
      <c r="AA892" s="31"/>
    </row>
    <row r="893" spans="26:27">
      <c r="Z893" s="31"/>
      <c r="AA893" s="31"/>
    </row>
    <row r="894" spans="26:27">
      <c r="Z894" s="31"/>
      <c r="AA894" s="31"/>
    </row>
    <row r="895" spans="26:27">
      <c r="Z895" s="31"/>
      <c r="AA895" s="31"/>
    </row>
    <row r="896" spans="26:27">
      <c r="Z896" s="31"/>
      <c r="AA896" s="31"/>
    </row>
    <row r="897" spans="26:27">
      <c r="Z897" s="31"/>
      <c r="AA897" s="31"/>
    </row>
    <row r="898" spans="26:27">
      <c r="Z898" s="31"/>
      <c r="AA898" s="31"/>
    </row>
    <row r="899" spans="26:27">
      <c r="Z899" s="31"/>
      <c r="AA899" s="31"/>
    </row>
    <row r="900" spans="26:27">
      <c r="Z900" s="31"/>
      <c r="AA900" s="31"/>
    </row>
    <row r="901" spans="26:27">
      <c r="Z901" s="31"/>
      <c r="AA901" s="31"/>
    </row>
    <row r="902" spans="26:27">
      <c r="Z902" s="31"/>
      <c r="AA902" s="31"/>
    </row>
    <row r="903" spans="26:27">
      <c r="Z903" s="31"/>
      <c r="AA903" s="31"/>
    </row>
    <row r="904" spans="26:27">
      <c r="Z904" s="31"/>
      <c r="AA904" s="31"/>
    </row>
    <row r="905" spans="26:27">
      <c r="Z905" s="31"/>
      <c r="AA905" s="31"/>
    </row>
    <row r="906" spans="26:27">
      <c r="Z906" s="31"/>
      <c r="AA906" s="31"/>
    </row>
    <row r="907" spans="26:27">
      <c r="Z907" s="31"/>
      <c r="AA907" s="31"/>
    </row>
    <row r="908" spans="26:27">
      <c r="Z908" s="31"/>
      <c r="AA908" s="31"/>
    </row>
    <row r="909" spans="26:27">
      <c r="Z909" s="31"/>
      <c r="AA909" s="31"/>
    </row>
    <row r="910" spans="26:27">
      <c r="Z910" s="31"/>
      <c r="AA910" s="31"/>
    </row>
    <row r="911" spans="26:27">
      <c r="Z911" s="31"/>
      <c r="AA911" s="31"/>
    </row>
    <row r="912" spans="26:27">
      <c r="Z912" s="31"/>
      <c r="AA912" s="31"/>
    </row>
    <row r="913" spans="26:27">
      <c r="Z913" s="31"/>
      <c r="AA913" s="31"/>
    </row>
    <row r="914" spans="26:27">
      <c r="Z914" s="31"/>
      <c r="AA914" s="31"/>
    </row>
    <row r="915" spans="26:27">
      <c r="Z915" s="31"/>
      <c r="AA915" s="31"/>
    </row>
    <row r="916" spans="26:27">
      <c r="Z916" s="31"/>
      <c r="AA916" s="31"/>
    </row>
    <row r="917" spans="26:27">
      <c r="Z917" s="31"/>
      <c r="AA917" s="31"/>
    </row>
    <row r="918" spans="26:27">
      <c r="Z918" s="31"/>
      <c r="AA918" s="31"/>
    </row>
    <row r="919" spans="26:27">
      <c r="Z919" s="31"/>
      <c r="AA919" s="31"/>
    </row>
    <row r="920" spans="26:27">
      <c r="Z920" s="31"/>
      <c r="AA920" s="31"/>
    </row>
    <row r="921" spans="26:27">
      <c r="Z921" s="31"/>
      <c r="AA921" s="31"/>
    </row>
    <row r="922" spans="26:27">
      <c r="Z922" s="31"/>
      <c r="AA922" s="31"/>
    </row>
    <row r="923" spans="26:27">
      <c r="Z923" s="31"/>
      <c r="AA923" s="31"/>
    </row>
    <row r="924" spans="26:27">
      <c r="Z924" s="31"/>
      <c r="AA924" s="31"/>
    </row>
    <row r="925" spans="26:27">
      <c r="Z925" s="31"/>
      <c r="AA925" s="31"/>
    </row>
    <row r="926" spans="26:27">
      <c r="Z926" s="31"/>
      <c r="AA926" s="31"/>
    </row>
    <row r="927" spans="26:27">
      <c r="Z927" s="31"/>
      <c r="AA927" s="31"/>
    </row>
    <row r="928" spans="26:27">
      <c r="Z928" s="31"/>
      <c r="AA928" s="31"/>
    </row>
    <row r="929" spans="26:27">
      <c r="Z929" s="31"/>
      <c r="AA929" s="31"/>
    </row>
    <row r="930" spans="26:27">
      <c r="Z930" s="31"/>
      <c r="AA930" s="31"/>
    </row>
    <row r="931" spans="26:27">
      <c r="Z931" s="31"/>
      <c r="AA931" s="31"/>
    </row>
    <row r="932" spans="26:27">
      <c r="Z932" s="31"/>
      <c r="AA932" s="31"/>
    </row>
    <row r="933" spans="26:27">
      <c r="Z933" s="31"/>
      <c r="AA933" s="31"/>
    </row>
    <row r="934" spans="26:27">
      <c r="Z934" s="31"/>
      <c r="AA934" s="31"/>
    </row>
    <row r="935" spans="26:27">
      <c r="Z935" s="31"/>
      <c r="AA935" s="31"/>
    </row>
    <row r="936" spans="26:27">
      <c r="Z936" s="31"/>
      <c r="AA936" s="31"/>
    </row>
    <row r="937" spans="26:27">
      <c r="Z937" s="31"/>
      <c r="AA937" s="31"/>
    </row>
    <row r="938" spans="26:27">
      <c r="Z938" s="31"/>
      <c r="AA938" s="31"/>
    </row>
    <row r="939" spans="26:27">
      <c r="Z939" s="31"/>
      <c r="AA939" s="31"/>
    </row>
    <row r="940" spans="26:27">
      <c r="Z940" s="31"/>
      <c r="AA940" s="31"/>
    </row>
    <row r="941" spans="26:27">
      <c r="Z941" s="31"/>
      <c r="AA941" s="31"/>
    </row>
    <row r="942" spans="26:27">
      <c r="Z942" s="31"/>
      <c r="AA942" s="31"/>
    </row>
    <row r="943" spans="26:27">
      <c r="Z943" s="31"/>
      <c r="AA943" s="31"/>
    </row>
    <row r="944" spans="26:27">
      <c r="Z944" s="31"/>
      <c r="AA944" s="31"/>
    </row>
    <row r="945" spans="26:27">
      <c r="Z945" s="31"/>
      <c r="AA945" s="31"/>
    </row>
    <row r="946" spans="26:27">
      <c r="Z946" s="31"/>
      <c r="AA946" s="31"/>
    </row>
    <row r="947" spans="26:27">
      <c r="Z947" s="31"/>
      <c r="AA947" s="31"/>
    </row>
    <row r="948" spans="26:27">
      <c r="Z948" s="31"/>
      <c r="AA948" s="31"/>
    </row>
    <row r="949" spans="26:27">
      <c r="Z949" s="31"/>
      <c r="AA949" s="31"/>
    </row>
    <row r="950" spans="26:27">
      <c r="Z950" s="31"/>
      <c r="AA950" s="31"/>
    </row>
    <row r="951" spans="26:27">
      <c r="Z951" s="31"/>
      <c r="AA951" s="31"/>
    </row>
    <row r="952" spans="26:27">
      <c r="Z952" s="31"/>
      <c r="AA952" s="31"/>
    </row>
    <row r="953" spans="26:27">
      <c r="Z953" s="31"/>
      <c r="AA953" s="31"/>
    </row>
    <row r="954" spans="26:27">
      <c r="Z954" s="31"/>
      <c r="AA954" s="31"/>
    </row>
    <row r="955" spans="26:27">
      <c r="Z955" s="31"/>
      <c r="AA955" s="31"/>
    </row>
    <row r="956" spans="26:27">
      <c r="Z956" s="31"/>
      <c r="AA956" s="31"/>
    </row>
    <row r="957" spans="26:27">
      <c r="Z957" s="31"/>
      <c r="AA957" s="31"/>
    </row>
    <row r="958" spans="26:27">
      <c r="Z958" s="31"/>
      <c r="AA958" s="31"/>
    </row>
    <row r="959" spans="26:27">
      <c r="Z959" s="31"/>
      <c r="AA959" s="31"/>
    </row>
    <row r="960" spans="26:27">
      <c r="Z960" s="31"/>
      <c r="AA960" s="31"/>
    </row>
    <row r="961" spans="26:27">
      <c r="Z961" s="31"/>
      <c r="AA961" s="31"/>
    </row>
    <row r="962" spans="26:27">
      <c r="Z962" s="31"/>
      <c r="AA962" s="31"/>
    </row>
    <row r="963" spans="26:27">
      <c r="Z963" s="31"/>
      <c r="AA963" s="31"/>
    </row>
    <row r="964" spans="26:27">
      <c r="Z964" s="31"/>
      <c r="AA964" s="31"/>
    </row>
    <row r="965" spans="26:27">
      <c r="Z965" s="31"/>
      <c r="AA965" s="31"/>
    </row>
    <row r="966" spans="26:27">
      <c r="Z966" s="31"/>
      <c r="AA966" s="31"/>
    </row>
    <row r="967" spans="26:27">
      <c r="Z967" s="31"/>
      <c r="AA967" s="31"/>
    </row>
    <row r="968" spans="26:27">
      <c r="Z968" s="31"/>
      <c r="AA968" s="31"/>
    </row>
    <row r="969" spans="26:27">
      <c r="Z969" s="31"/>
      <c r="AA969" s="31"/>
    </row>
    <row r="970" spans="26:27">
      <c r="Z970" s="31"/>
      <c r="AA970" s="31"/>
    </row>
    <row r="971" spans="26:27">
      <c r="Z971" s="31"/>
      <c r="AA971" s="31"/>
    </row>
    <row r="972" spans="26:27">
      <c r="Z972" s="31"/>
      <c r="AA972" s="31"/>
    </row>
    <row r="973" spans="26:27">
      <c r="Z973" s="31"/>
      <c r="AA973" s="31"/>
    </row>
    <row r="974" spans="26:27">
      <c r="Z974" s="31"/>
      <c r="AA974" s="31"/>
    </row>
    <row r="975" spans="26:27">
      <c r="Z975" s="31"/>
      <c r="AA975" s="31"/>
    </row>
    <row r="976" spans="26:27">
      <c r="Z976" s="31"/>
      <c r="AA976" s="31"/>
    </row>
    <row r="977" spans="26:27">
      <c r="Z977" s="31"/>
      <c r="AA977" s="31"/>
    </row>
    <row r="978" spans="26:27">
      <c r="Z978" s="31"/>
      <c r="AA978" s="31"/>
    </row>
    <row r="979" spans="26:27">
      <c r="Z979" s="31"/>
      <c r="AA979" s="31"/>
    </row>
    <row r="980" spans="26:27">
      <c r="Z980" s="31"/>
      <c r="AA980" s="31"/>
    </row>
    <row r="981" spans="26:27">
      <c r="Z981" s="31"/>
      <c r="AA981" s="31"/>
    </row>
    <row r="982" spans="26:27">
      <c r="Z982" s="31"/>
      <c r="AA982" s="31"/>
    </row>
    <row r="983" spans="26:27">
      <c r="Z983" s="31"/>
      <c r="AA983" s="31"/>
    </row>
    <row r="984" spans="26:27">
      <c r="Z984" s="31"/>
      <c r="AA984" s="31"/>
    </row>
    <row r="985" spans="26:27">
      <c r="Z985" s="31"/>
      <c r="AA985" s="31"/>
    </row>
    <row r="986" spans="26:27">
      <c r="Z986" s="31"/>
      <c r="AA986" s="31"/>
    </row>
    <row r="987" spans="26:27">
      <c r="Z987" s="31"/>
      <c r="AA987" s="31"/>
    </row>
    <row r="988" spans="26:27">
      <c r="Z988" s="31"/>
      <c r="AA988" s="31"/>
    </row>
    <row r="989" spans="26:27">
      <c r="Z989" s="31"/>
      <c r="AA989" s="31"/>
    </row>
    <row r="990" spans="26:27">
      <c r="Z990" s="31"/>
      <c r="AA990" s="31"/>
    </row>
    <row r="991" spans="26:27">
      <c r="Z991" s="31"/>
      <c r="AA991" s="31"/>
    </row>
    <row r="992" spans="26:27">
      <c r="Z992" s="31"/>
      <c r="AA992" s="31"/>
    </row>
    <row r="993" spans="26:27">
      <c r="Z993" s="31"/>
      <c r="AA993" s="31"/>
    </row>
    <row r="994" spans="26:27">
      <c r="Z994" s="31"/>
      <c r="AA994" s="31"/>
    </row>
    <row r="995" spans="26:27">
      <c r="Z995" s="31"/>
      <c r="AA995" s="31"/>
    </row>
    <row r="996" spans="26:27">
      <c r="Z996" s="31"/>
      <c r="AA996" s="31"/>
    </row>
    <row r="997" spans="26:27">
      <c r="Z997" s="31"/>
      <c r="AA997" s="31"/>
    </row>
    <row r="998" spans="26:27">
      <c r="Z998" s="31"/>
      <c r="AA998" s="31"/>
    </row>
    <row r="999" spans="26:27">
      <c r="Z999" s="31"/>
      <c r="AA999" s="31"/>
    </row>
    <row r="1000" spans="26:27">
      <c r="Z1000" s="31"/>
      <c r="AA1000" s="31"/>
    </row>
    <row r="1001" spans="26:27">
      <c r="Z1001" s="31"/>
      <c r="AA1001" s="31"/>
    </row>
    <row r="1002" spans="26:27">
      <c r="Z1002" s="31"/>
      <c r="AA1002" s="31"/>
    </row>
    <row r="1003" spans="26:27">
      <c r="Z1003" s="31"/>
      <c r="AA1003" s="31"/>
    </row>
    <row r="1004" spans="26:27">
      <c r="Z1004" s="31"/>
      <c r="AA1004" s="31"/>
    </row>
    <row r="1005" spans="26:27">
      <c r="Z1005" s="31"/>
      <c r="AA1005" s="31"/>
    </row>
    <row r="1006" spans="26:27">
      <c r="Z1006" s="31"/>
      <c r="AA1006" s="31"/>
    </row>
    <row r="1007" spans="26:27">
      <c r="Z1007" s="31"/>
      <c r="AA1007" s="31"/>
    </row>
    <row r="1008" spans="26:27">
      <c r="Z1008" s="31"/>
      <c r="AA1008" s="31"/>
    </row>
    <row r="1009" spans="26:27">
      <c r="Z1009" s="31"/>
      <c r="AA1009" s="31"/>
    </row>
    <row r="1010" spans="26:27">
      <c r="Z1010" s="31"/>
      <c r="AA1010" s="31"/>
    </row>
    <row r="1011" spans="26:27">
      <c r="Z1011" s="31"/>
      <c r="AA1011" s="31"/>
    </row>
    <row r="1012" spans="26:27">
      <c r="Z1012" s="31"/>
      <c r="AA1012" s="31"/>
    </row>
    <row r="1013" spans="26:27">
      <c r="Z1013" s="31"/>
      <c r="AA1013" s="31"/>
    </row>
    <row r="1014" spans="26:27">
      <c r="Z1014" s="31"/>
      <c r="AA1014" s="31"/>
    </row>
    <row r="1015" spans="26:27">
      <c r="Z1015" s="31"/>
      <c r="AA1015" s="31"/>
    </row>
    <row r="1016" spans="26:27">
      <c r="Z1016" s="31"/>
      <c r="AA1016" s="31"/>
    </row>
    <row r="1017" spans="26:27">
      <c r="Z1017" s="31"/>
      <c r="AA1017" s="31"/>
    </row>
    <row r="1018" spans="26:27">
      <c r="Z1018" s="31"/>
      <c r="AA1018" s="31"/>
    </row>
    <row r="1019" spans="26:27">
      <c r="Z1019" s="31"/>
      <c r="AA1019" s="31"/>
    </row>
    <row r="1020" spans="26:27">
      <c r="Z1020" s="31"/>
      <c r="AA1020" s="31"/>
    </row>
    <row r="1021" spans="26:27">
      <c r="Z1021" s="31"/>
      <c r="AA1021" s="31"/>
    </row>
    <row r="1022" spans="26:27">
      <c r="Z1022" s="31"/>
      <c r="AA1022" s="31"/>
    </row>
    <row r="1023" spans="26:27">
      <c r="Z1023" s="31"/>
      <c r="AA1023" s="31"/>
    </row>
    <row r="1024" spans="26:27">
      <c r="Z1024" s="31"/>
      <c r="AA1024" s="31"/>
    </row>
    <row r="1025" spans="26:27">
      <c r="Z1025" s="31"/>
      <c r="AA1025" s="31"/>
    </row>
    <row r="1026" spans="26:27">
      <c r="Z1026" s="31"/>
      <c r="AA1026" s="31"/>
    </row>
    <row r="1027" spans="26:27">
      <c r="Z1027" s="31"/>
      <c r="AA1027" s="31"/>
    </row>
    <row r="1028" spans="26:27">
      <c r="Z1028" s="31"/>
      <c r="AA1028" s="31"/>
    </row>
    <row r="1029" spans="26:27">
      <c r="Z1029" s="31"/>
      <c r="AA1029" s="31"/>
    </row>
    <row r="1030" spans="26:27">
      <c r="Z1030" s="31"/>
      <c r="AA1030" s="31"/>
    </row>
    <row r="1031" spans="26:27">
      <c r="Z1031" s="31"/>
      <c r="AA1031" s="31"/>
    </row>
    <row r="1032" spans="26:27">
      <c r="Z1032" s="31"/>
      <c r="AA1032" s="31"/>
    </row>
    <row r="1033" spans="26:27">
      <c r="Z1033" s="31"/>
      <c r="AA1033" s="31"/>
    </row>
    <row r="1034" spans="26:27">
      <c r="Z1034" s="31"/>
      <c r="AA1034" s="31"/>
    </row>
    <row r="1035" spans="26:27">
      <c r="Z1035" s="31"/>
      <c r="AA1035" s="31"/>
    </row>
    <row r="1036" spans="26:27">
      <c r="Z1036" s="31"/>
      <c r="AA1036" s="31"/>
    </row>
    <row r="1037" spans="26:27">
      <c r="Z1037" s="31"/>
      <c r="AA1037" s="31"/>
    </row>
    <row r="1038" spans="26:27">
      <c r="Z1038" s="31"/>
      <c r="AA1038" s="31"/>
    </row>
    <row r="1039" spans="26:27">
      <c r="Z1039" s="31"/>
      <c r="AA1039" s="31"/>
    </row>
    <row r="1040" spans="26:27">
      <c r="Z1040" s="31"/>
      <c r="AA1040" s="31"/>
    </row>
    <row r="1041" spans="26:27">
      <c r="Z1041" s="31"/>
      <c r="AA1041" s="31"/>
    </row>
    <row r="1042" spans="26:27">
      <c r="Z1042" s="31"/>
      <c r="AA1042" s="31"/>
    </row>
    <row r="1043" spans="26:27">
      <c r="Z1043" s="31"/>
      <c r="AA1043" s="31"/>
    </row>
    <row r="1044" spans="26:27">
      <c r="Z1044" s="31"/>
      <c r="AA1044" s="31"/>
    </row>
    <row r="1045" spans="26:27">
      <c r="Z1045" s="31"/>
      <c r="AA1045" s="31"/>
    </row>
    <row r="1046" spans="26:27">
      <c r="Z1046" s="31"/>
      <c r="AA1046" s="31"/>
    </row>
    <row r="1047" spans="26:27">
      <c r="Z1047" s="31"/>
      <c r="AA1047" s="31"/>
    </row>
    <row r="1048" spans="26:27">
      <c r="Z1048" s="31"/>
      <c r="AA1048" s="31"/>
    </row>
    <row r="1049" spans="26:27">
      <c r="Z1049" s="31"/>
      <c r="AA1049" s="31"/>
    </row>
    <row r="1050" spans="26:27">
      <c r="Z1050" s="31"/>
      <c r="AA1050" s="31"/>
    </row>
    <row r="1051" spans="26:27">
      <c r="Z1051" s="31"/>
      <c r="AA1051" s="31"/>
    </row>
    <row r="1052" spans="26:27">
      <c r="Z1052" s="31"/>
      <c r="AA1052" s="31"/>
    </row>
    <row r="1053" spans="26:27">
      <c r="Z1053" s="31"/>
      <c r="AA1053" s="31"/>
    </row>
    <row r="1054" spans="26:27">
      <c r="Z1054" s="31"/>
      <c r="AA1054" s="31"/>
    </row>
    <row r="1055" spans="26:27">
      <c r="Z1055" s="31"/>
      <c r="AA1055" s="31"/>
    </row>
    <row r="1056" spans="26:27">
      <c r="Z1056" s="31"/>
      <c r="AA1056" s="31"/>
    </row>
    <row r="1057" spans="26:27">
      <c r="Z1057" s="31"/>
      <c r="AA1057" s="31"/>
    </row>
    <row r="1058" spans="26:27">
      <c r="Z1058" s="31"/>
      <c r="AA1058" s="31"/>
    </row>
    <row r="1059" spans="26:27">
      <c r="Z1059" s="31"/>
      <c r="AA1059" s="31"/>
    </row>
    <row r="1060" spans="26:27">
      <c r="Z1060" s="31"/>
      <c r="AA1060" s="31"/>
    </row>
    <row r="1061" spans="26:27">
      <c r="Z1061" s="31"/>
      <c r="AA1061" s="31"/>
    </row>
    <row r="1062" spans="26:27">
      <c r="Z1062" s="31"/>
      <c r="AA1062" s="31"/>
    </row>
    <row r="1063" spans="26:27">
      <c r="Z1063" s="31"/>
      <c r="AA1063" s="31"/>
    </row>
    <row r="1064" spans="26:27">
      <c r="Z1064" s="31"/>
      <c r="AA1064" s="31"/>
    </row>
    <row r="1065" spans="26:27">
      <c r="Z1065" s="31"/>
      <c r="AA1065" s="31"/>
    </row>
    <row r="1066" spans="26:27">
      <c r="Z1066" s="31"/>
      <c r="AA1066" s="31"/>
    </row>
    <row r="1067" spans="26:27">
      <c r="Z1067" s="31"/>
      <c r="AA1067" s="31"/>
    </row>
    <row r="1068" spans="26:27">
      <c r="Z1068" s="31"/>
      <c r="AA1068" s="31"/>
    </row>
    <row r="1069" spans="26:27">
      <c r="Z1069" s="31"/>
      <c r="AA1069" s="31"/>
    </row>
    <row r="1070" spans="26:27">
      <c r="Z1070" s="31"/>
      <c r="AA1070" s="31"/>
    </row>
    <row r="1071" spans="26:27">
      <c r="Z1071" s="31"/>
      <c r="AA1071" s="31"/>
    </row>
    <row r="1072" spans="26:27">
      <c r="Z1072" s="31"/>
      <c r="AA1072" s="31"/>
    </row>
    <row r="1073" spans="26:27">
      <c r="Z1073" s="31"/>
      <c r="AA1073" s="31"/>
    </row>
    <row r="1074" spans="26:27">
      <c r="Z1074" s="31"/>
      <c r="AA1074" s="31"/>
    </row>
    <row r="1075" spans="26:27">
      <c r="Z1075" s="31"/>
      <c r="AA1075" s="31"/>
    </row>
    <row r="1076" spans="26:27">
      <c r="Z1076" s="31"/>
      <c r="AA1076" s="31"/>
    </row>
    <row r="1077" spans="26:27">
      <c r="Z1077" s="31"/>
      <c r="AA1077" s="31"/>
    </row>
    <row r="1078" spans="26:27">
      <c r="Z1078" s="31"/>
      <c r="AA1078" s="31"/>
    </row>
    <row r="1079" spans="26:27">
      <c r="Z1079" s="31"/>
      <c r="AA1079" s="31"/>
    </row>
    <row r="1080" spans="26:27">
      <c r="Z1080" s="31"/>
      <c r="AA1080" s="31"/>
    </row>
    <row r="1081" spans="26:27">
      <c r="Z1081" s="31"/>
      <c r="AA1081" s="31"/>
    </row>
    <row r="1082" spans="26:27">
      <c r="Z1082" s="31"/>
      <c r="AA1082" s="31"/>
    </row>
    <row r="1083" spans="26:27">
      <c r="Z1083" s="31"/>
      <c r="AA1083" s="31"/>
    </row>
    <row r="1084" spans="26:27">
      <c r="Z1084" s="31"/>
      <c r="AA1084" s="31"/>
    </row>
    <row r="1085" spans="26:27">
      <c r="Z1085" s="31"/>
      <c r="AA1085" s="31"/>
    </row>
    <row r="1086" spans="26:27">
      <c r="Z1086" s="31"/>
      <c r="AA1086" s="31"/>
    </row>
    <row r="1087" spans="26:27">
      <c r="Z1087" s="31"/>
      <c r="AA1087" s="31"/>
    </row>
    <row r="1088" spans="26:27">
      <c r="Z1088" s="31"/>
      <c r="AA1088" s="31"/>
    </row>
    <row r="1089" spans="26:27">
      <c r="Z1089" s="31"/>
      <c r="AA1089" s="31"/>
    </row>
    <row r="1090" spans="26:27">
      <c r="Z1090" s="31"/>
      <c r="AA1090" s="31"/>
    </row>
    <row r="1091" spans="26:27">
      <c r="Z1091" s="31"/>
      <c r="AA1091" s="31"/>
    </row>
    <row r="1092" spans="26:27">
      <c r="Z1092" s="31"/>
      <c r="AA1092" s="31"/>
    </row>
    <row r="1093" spans="26:27">
      <c r="Z1093" s="31"/>
      <c r="AA1093" s="31"/>
    </row>
    <row r="1094" spans="26:27">
      <c r="Z1094" s="31"/>
      <c r="AA1094" s="31"/>
    </row>
    <row r="1095" spans="26:27">
      <c r="Z1095" s="31"/>
      <c r="AA1095" s="31"/>
    </row>
    <row r="1096" spans="26:27">
      <c r="Z1096" s="31"/>
      <c r="AA1096" s="31"/>
    </row>
    <row r="1097" spans="26:27">
      <c r="Z1097" s="31"/>
      <c r="AA1097" s="31"/>
    </row>
    <row r="1098" spans="26:27">
      <c r="Z1098" s="31"/>
      <c r="AA1098" s="31"/>
    </row>
    <row r="1099" spans="26:27">
      <c r="Z1099" s="31"/>
      <c r="AA1099" s="31"/>
    </row>
    <row r="1100" spans="26:27">
      <c r="Z1100" s="31"/>
      <c r="AA1100" s="31"/>
    </row>
    <row r="1101" spans="26:27">
      <c r="Z1101" s="31"/>
      <c r="AA1101" s="31"/>
    </row>
    <row r="1102" spans="26:27">
      <c r="Z1102" s="31"/>
      <c r="AA1102" s="31"/>
    </row>
    <row r="1103" spans="26:27">
      <c r="Z1103" s="31"/>
      <c r="AA1103" s="31"/>
    </row>
    <row r="1104" spans="26:27">
      <c r="Z1104" s="31"/>
      <c r="AA1104" s="31"/>
    </row>
    <row r="1105" spans="26:27">
      <c r="Z1105" s="31"/>
      <c r="AA1105" s="31"/>
    </row>
    <row r="1106" spans="26:27">
      <c r="Z1106" s="31"/>
      <c r="AA1106" s="31"/>
    </row>
    <row r="1107" spans="26:27">
      <c r="Z1107" s="31"/>
      <c r="AA1107" s="31"/>
    </row>
    <row r="1108" spans="26:27">
      <c r="Z1108" s="31"/>
      <c r="AA1108" s="31"/>
    </row>
    <row r="1109" spans="26:27">
      <c r="Z1109" s="31"/>
      <c r="AA1109" s="31"/>
    </row>
    <row r="1110" spans="26:27">
      <c r="Z1110" s="31"/>
      <c r="AA1110" s="31"/>
    </row>
    <row r="1111" spans="26:27">
      <c r="Z1111" s="31"/>
      <c r="AA1111" s="31"/>
    </row>
    <row r="1112" spans="26:27">
      <c r="Z1112" s="31"/>
      <c r="AA1112" s="31"/>
    </row>
    <row r="1113" spans="26:27">
      <c r="Z1113" s="31"/>
      <c r="AA1113" s="31"/>
    </row>
    <row r="1114" spans="26:27">
      <c r="Z1114" s="31"/>
      <c r="AA1114" s="31"/>
    </row>
    <row r="1115" spans="26:27">
      <c r="Z1115" s="31"/>
      <c r="AA1115" s="31"/>
    </row>
    <row r="1116" spans="26:27">
      <c r="Z1116" s="31"/>
      <c r="AA1116" s="31"/>
    </row>
    <row r="1117" spans="26:27">
      <c r="Z1117" s="31"/>
      <c r="AA1117" s="31"/>
    </row>
    <row r="1118" spans="26:27">
      <c r="Z1118" s="31"/>
      <c r="AA1118" s="31"/>
    </row>
    <row r="1119" spans="26:27">
      <c r="Z1119" s="31"/>
      <c r="AA1119" s="31"/>
    </row>
    <row r="1120" spans="26:27">
      <c r="Z1120" s="31"/>
      <c r="AA1120" s="31"/>
    </row>
    <row r="1121" spans="26:27">
      <c r="Z1121" s="31"/>
      <c r="AA1121" s="31"/>
    </row>
    <row r="1122" spans="26:27">
      <c r="Z1122" s="31"/>
      <c r="AA1122" s="31"/>
    </row>
    <row r="1123" spans="26:27">
      <c r="Z1123" s="31"/>
      <c r="AA1123" s="31"/>
    </row>
    <row r="1124" spans="26:27">
      <c r="Z1124" s="31"/>
      <c r="AA1124" s="31"/>
    </row>
    <row r="1125" spans="26:27">
      <c r="Z1125" s="31"/>
      <c r="AA1125" s="31"/>
    </row>
    <row r="1126" spans="26:27">
      <c r="Z1126" s="31"/>
      <c r="AA1126" s="31"/>
    </row>
    <row r="1127" spans="26:27">
      <c r="Z1127" s="31"/>
      <c r="AA1127" s="31"/>
    </row>
    <row r="1128" spans="26:27">
      <c r="Z1128" s="31"/>
      <c r="AA1128" s="31"/>
    </row>
    <row r="1129" spans="26:27">
      <c r="Z1129" s="31"/>
      <c r="AA1129" s="31"/>
    </row>
    <row r="1130" spans="26:27">
      <c r="Z1130" s="31"/>
      <c r="AA1130" s="31"/>
    </row>
    <row r="1131" spans="26:27">
      <c r="Z1131" s="31"/>
      <c r="AA1131" s="31"/>
    </row>
    <row r="1132" spans="26:27">
      <c r="Z1132" s="31"/>
      <c r="AA1132" s="31"/>
    </row>
    <row r="1133" spans="26:27">
      <c r="Z1133" s="31"/>
      <c r="AA1133" s="31"/>
    </row>
    <row r="1134" spans="26:27">
      <c r="Z1134" s="31"/>
      <c r="AA1134" s="31"/>
    </row>
    <row r="1135" spans="26:27">
      <c r="Z1135" s="31"/>
      <c r="AA1135" s="31"/>
    </row>
    <row r="1136" spans="26:27">
      <c r="Z1136" s="31"/>
      <c r="AA1136" s="31"/>
    </row>
    <row r="1137" spans="26:27">
      <c r="Z1137" s="31"/>
      <c r="AA1137" s="31"/>
    </row>
    <row r="1138" spans="26:27">
      <c r="Z1138" s="31"/>
      <c r="AA1138" s="31"/>
    </row>
    <row r="1139" spans="26:27">
      <c r="Z1139" s="31"/>
      <c r="AA1139" s="31"/>
    </row>
    <row r="1140" spans="26:27">
      <c r="Z1140" s="31"/>
      <c r="AA1140" s="31"/>
    </row>
    <row r="1141" spans="26:27">
      <c r="Z1141" s="31"/>
      <c r="AA1141" s="31"/>
    </row>
    <row r="1142" spans="26:27">
      <c r="Z1142" s="31"/>
      <c r="AA1142" s="31"/>
    </row>
    <row r="1143" spans="26:27">
      <c r="Z1143" s="31"/>
      <c r="AA1143" s="31"/>
    </row>
    <row r="1144" spans="26:27">
      <c r="Z1144" s="31"/>
      <c r="AA1144" s="31"/>
    </row>
    <row r="1145" spans="26:27">
      <c r="Z1145" s="31"/>
      <c r="AA1145" s="31"/>
    </row>
    <row r="1146" spans="26:27">
      <c r="Z1146" s="31"/>
      <c r="AA1146" s="31"/>
    </row>
    <row r="1147" spans="26:27">
      <c r="Z1147" s="31"/>
      <c r="AA1147" s="31"/>
    </row>
    <row r="1148" spans="26:27">
      <c r="Z1148" s="31"/>
      <c r="AA1148" s="31"/>
    </row>
    <row r="1149" spans="26:27">
      <c r="Z1149" s="31"/>
      <c r="AA1149" s="31"/>
    </row>
    <row r="1150" spans="26:27">
      <c r="Z1150" s="31"/>
      <c r="AA1150" s="31"/>
    </row>
    <row r="1151" spans="26:27">
      <c r="Z1151" s="31"/>
      <c r="AA1151" s="31"/>
    </row>
    <row r="1152" spans="26:27">
      <c r="Z1152" s="31"/>
      <c r="AA1152" s="31"/>
    </row>
    <row r="1153" spans="26:27">
      <c r="Z1153" s="31"/>
      <c r="AA1153" s="31"/>
    </row>
    <row r="1154" spans="26:27">
      <c r="Z1154" s="31"/>
      <c r="AA1154" s="31"/>
    </row>
    <row r="1155" spans="26:27">
      <c r="Z1155" s="31"/>
      <c r="AA1155" s="31"/>
    </row>
    <row r="1156" spans="26:27">
      <c r="Z1156" s="31"/>
      <c r="AA1156" s="31"/>
    </row>
    <row r="1157" spans="26:27">
      <c r="Z1157" s="31"/>
      <c r="AA1157" s="31"/>
    </row>
    <row r="1158" spans="26:27">
      <c r="Z1158" s="31"/>
      <c r="AA1158" s="31"/>
    </row>
    <row r="1159" spans="26:27">
      <c r="Z1159" s="31"/>
      <c r="AA1159" s="31"/>
    </row>
    <row r="1160" spans="26:27">
      <c r="Z1160" s="31"/>
      <c r="AA1160" s="31"/>
    </row>
    <row r="1161" spans="26:27">
      <c r="Z1161" s="31"/>
      <c r="AA1161" s="31"/>
    </row>
    <row r="1162" spans="26:27">
      <c r="Z1162" s="31"/>
      <c r="AA1162" s="31"/>
    </row>
    <row r="1163" spans="26:27">
      <c r="Z1163" s="31"/>
      <c r="AA1163" s="31"/>
    </row>
    <row r="1164" spans="26:27">
      <c r="Z1164" s="31"/>
      <c r="AA1164" s="31"/>
    </row>
    <row r="1165" spans="26:27">
      <c r="Z1165" s="31"/>
      <c r="AA1165" s="31"/>
    </row>
    <row r="1166" spans="26:27">
      <c r="Z1166" s="31"/>
      <c r="AA1166" s="31"/>
    </row>
    <row r="1167" spans="26:27">
      <c r="Z1167" s="31"/>
      <c r="AA1167" s="31"/>
    </row>
    <row r="1168" spans="26:27">
      <c r="Z1168" s="31"/>
      <c r="AA1168" s="31"/>
    </row>
    <row r="1169" spans="26:27">
      <c r="Z1169" s="31"/>
      <c r="AA1169" s="31"/>
    </row>
    <row r="1170" spans="26:27">
      <c r="Z1170" s="31"/>
      <c r="AA1170" s="31"/>
    </row>
    <row r="1171" spans="26:27">
      <c r="Z1171" s="31"/>
      <c r="AA1171" s="31"/>
    </row>
    <row r="1172" spans="26:27">
      <c r="Z1172" s="31"/>
      <c r="AA1172" s="31"/>
    </row>
    <row r="1173" spans="26:27">
      <c r="Z1173" s="31"/>
      <c r="AA1173" s="31"/>
    </row>
    <row r="1174" spans="26:27">
      <c r="Z1174" s="31"/>
      <c r="AA1174" s="31"/>
    </row>
    <row r="1175" spans="26:27">
      <c r="Z1175" s="31"/>
      <c r="AA1175" s="31"/>
    </row>
    <row r="1176" spans="26:27">
      <c r="Z1176" s="31"/>
      <c r="AA1176" s="31"/>
    </row>
    <row r="1177" spans="26:27">
      <c r="Z1177" s="31"/>
      <c r="AA1177" s="31"/>
    </row>
    <row r="1178" spans="26:27">
      <c r="Z1178" s="31"/>
      <c r="AA1178" s="31"/>
    </row>
    <row r="1179" spans="26:27">
      <c r="Z1179" s="31"/>
      <c r="AA1179" s="31"/>
    </row>
    <row r="1180" spans="26:27">
      <c r="Z1180" s="31"/>
      <c r="AA1180" s="31"/>
    </row>
    <row r="1181" spans="26:27">
      <c r="Z1181" s="31"/>
      <c r="AA1181" s="31"/>
    </row>
    <row r="1182" spans="26:27">
      <c r="Z1182" s="31"/>
      <c r="AA1182" s="31"/>
    </row>
    <row r="1183" spans="26:27">
      <c r="Z1183" s="31"/>
      <c r="AA1183" s="31"/>
    </row>
    <row r="1184" spans="26:27">
      <c r="Z1184" s="31"/>
      <c r="AA1184" s="31"/>
    </row>
    <row r="1185" spans="26:27">
      <c r="Z1185" s="31"/>
      <c r="AA1185" s="31"/>
    </row>
    <row r="1186" spans="26:27">
      <c r="Z1186" s="31"/>
      <c r="AA1186" s="31"/>
    </row>
    <row r="1187" spans="26:27">
      <c r="Z1187" s="31"/>
      <c r="AA1187" s="31"/>
    </row>
    <row r="1188" spans="26:27">
      <c r="Z1188" s="31"/>
      <c r="AA1188" s="31"/>
    </row>
    <row r="1189" spans="26:27">
      <c r="Z1189" s="31"/>
      <c r="AA1189" s="31"/>
    </row>
    <row r="1190" spans="26:27">
      <c r="Z1190" s="31"/>
      <c r="AA1190" s="31"/>
    </row>
    <row r="1191" spans="26:27">
      <c r="Z1191" s="31"/>
      <c r="AA1191" s="31"/>
    </row>
    <row r="1192" spans="26:27">
      <c r="Z1192" s="31"/>
      <c r="AA1192" s="31"/>
    </row>
    <row r="1193" spans="26:27">
      <c r="Z1193" s="31"/>
      <c r="AA1193" s="31"/>
    </row>
    <row r="1194" spans="26:27">
      <c r="Z1194" s="31"/>
      <c r="AA1194" s="31"/>
    </row>
    <row r="1195" spans="26:27">
      <c r="Z1195" s="31"/>
      <c r="AA1195" s="31"/>
    </row>
    <row r="1196" spans="26:27">
      <c r="Z1196" s="31"/>
      <c r="AA1196" s="31"/>
    </row>
    <row r="1197" spans="26:27">
      <c r="Z1197" s="31"/>
      <c r="AA1197" s="31"/>
    </row>
    <row r="1198" spans="26:27">
      <c r="Z1198" s="31"/>
      <c r="AA1198" s="31"/>
    </row>
    <row r="1199" spans="26:27">
      <c r="Z1199" s="31"/>
      <c r="AA1199" s="31"/>
    </row>
    <row r="1200" spans="26:27">
      <c r="Z1200" s="31"/>
      <c r="AA1200" s="31"/>
    </row>
    <row r="1201" spans="26:27">
      <c r="Z1201" s="31"/>
      <c r="AA1201" s="31"/>
    </row>
    <row r="1202" spans="26:27">
      <c r="Z1202" s="31"/>
      <c r="AA1202" s="31"/>
    </row>
    <row r="1203" spans="26:27">
      <c r="Z1203" s="31"/>
      <c r="AA1203" s="31"/>
    </row>
    <row r="1204" spans="26:27">
      <c r="Z1204" s="31"/>
      <c r="AA1204" s="31"/>
    </row>
    <row r="1205" spans="26:27">
      <c r="Z1205" s="31"/>
      <c r="AA1205" s="31"/>
    </row>
    <row r="1206" spans="26:27">
      <c r="Z1206" s="31"/>
      <c r="AA1206" s="31"/>
    </row>
    <row r="1207" spans="26:27">
      <c r="Z1207" s="31"/>
      <c r="AA1207" s="31"/>
    </row>
    <row r="1208" spans="26:27">
      <c r="Z1208" s="31"/>
      <c r="AA1208" s="31"/>
    </row>
    <row r="1209" spans="26:27">
      <c r="Z1209" s="31"/>
      <c r="AA1209" s="31"/>
    </row>
    <row r="1210" spans="26:27">
      <c r="Z1210" s="31"/>
      <c r="AA1210" s="31"/>
    </row>
    <row r="1211" spans="26:27">
      <c r="Z1211" s="31"/>
      <c r="AA1211" s="31"/>
    </row>
    <row r="1212" spans="26:27">
      <c r="Z1212" s="31"/>
      <c r="AA1212" s="31"/>
    </row>
    <row r="1213" spans="26:27">
      <c r="Z1213" s="31"/>
      <c r="AA1213" s="31"/>
    </row>
    <row r="1214" spans="26:27">
      <c r="Z1214" s="31"/>
      <c r="AA1214" s="31"/>
    </row>
    <row r="1215" spans="26:27">
      <c r="Z1215" s="31"/>
      <c r="AA1215" s="31"/>
    </row>
    <row r="1216" spans="26:27">
      <c r="Z1216" s="31"/>
      <c r="AA1216" s="31"/>
    </row>
    <row r="1217" spans="26:27">
      <c r="Z1217" s="31"/>
      <c r="AA1217" s="31"/>
    </row>
    <row r="1218" spans="26:27">
      <c r="Z1218" s="31"/>
      <c r="AA1218" s="31"/>
    </row>
    <row r="1219" spans="26:27">
      <c r="Z1219" s="31"/>
      <c r="AA1219" s="31"/>
    </row>
    <row r="1220" spans="26:27">
      <c r="Z1220" s="31"/>
      <c r="AA1220" s="31"/>
    </row>
    <row r="1221" spans="26:27">
      <c r="Z1221" s="31"/>
      <c r="AA1221" s="31"/>
    </row>
    <row r="1222" spans="26:27">
      <c r="Z1222" s="31"/>
      <c r="AA1222" s="31"/>
    </row>
    <row r="1223" spans="26:27">
      <c r="Z1223" s="31"/>
      <c r="AA1223" s="31"/>
    </row>
    <row r="1224" spans="26:27">
      <c r="Z1224" s="31"/>
      <c r="AA1224" s="31"/>
    </row>
    <row r="1225" spans="26:27">
      <c r="Z1225" s="31"/>
      <c r="AA1225" s="31"/>
    </row>
    <row r="1226" spans="26:27">
      <c r="Z1226" s="31"/>
      <c r="AA1226" s="31"/>
    </row>
    <row r="1227" spans="26:27">
      <c r="Z1227" s="31"/>
      <c r="AA1227" s="31"/>
    </row>
    <row r="1228" spans="26:27">
      <c r="Z1228" s="31"/>
      <c r="AA1228" s="31"/>
    </row>
    <row r="1229" spans="26:27">
      <c r="Z1229" s="31"/>
      <c r="AA1229" s="31"/>
    </row>
    <row r="1230" spans="26:27">
      <c r="Z1230" s="31"/>
      <c r="AA1230" s="31"/>
    </row>
    <row r="1231" spans="26:27">
      <c r="Z1231" s="31"/>
      <c r="AA1231" s="31"/>
    </row>
    <row r="1232" spans="26:27">
      <c r="Z1232" s="31"/>
      <c r="AA1232" s="31"/>
    </row>
    <row r="1233" spans="26:27">
      <c r="Z1233" s="31"/>
      <c r="AA1233" s="31"/>
    </row>
    <row r="1234" spans="26:27">
      <c r="Z1234" s="31"/>
      <c r="AA1234" s="31"/>
    </row>
    <row r="1235" spans="26:27">
      <c r="Z1235" s="31"/>
      <c r="AA1235" s="31"/>
    </row>
    <row r="1236" spans="26:27">
      <c r="Z1236" s="31"/>
      <c r="AA1236" s="31"/>
    </row>
    <row r="1237" spans="26:27">
      <c r="Z1237" s="31"/>
      <c r="AA1237" s="31"/>
    </row>
    <row r="1238" spans="26:27">
      <c r="Z1238" s="31"/>
      <c r="AA1238" s="31"/>
    </row>
    <row r="1239" spans="26:27">
      <c r="Z1239" s="31"/>
      <c r="AA1239" s="31"/>
    </row>
    <row r="1240" spans="26:27">
      <c r="Z1240" s="31"/>
      <c r="AA1240" s="31"/>
    </row>
    <row r="1241" spans="26:27">
      <c r="Z1241" s="31"/>
      <c r="AA1241" s="31"/>
    </row>
    <row r="1242" spans="26:27">
      <c r="Z1242" s="31"/>
      <c r="AA1242" s="31"/>
    </row>
    <row r="1243" spans="26:27">
      <c r="Z1243" s="31"/>
      <c r="AA1243" s="31"/>
    </row>
    <row r="1244" spans="26:27">
      <c r="Z1244" s="31"/>
      <c r="AA1244" s="31"/>
    </row>
    <row r="1245" spans="26:27">
      <c r="Z1245" s="31"/>
      <c r="AA1245" s="31"/>
    </row>
    <row r="1246" spans="26:27">
      <c r="Z1246" s="31"/>
      <c r="AA1246" s="31"/>
    </row>
    <row r="1247" spans="26:27">
      <c r="Z1247" s="31"/>
      <c r="AA1247" s="31"/>
    </row>
    <row r="1248" spans="26:27">
      <c r="Z1248" s="31"/>
      <c r="AA1248" s="31"/>
    </row>
    <row r="1249" spans="26:27">
      <c r="Z1249" s="31"/>
      <c r="AA1249" s="31"/>
    </row>
    <row r="1250" spans="26:27">
      <c r="Z1250" s="31"/>
      <c r="AA1250" s="31"/>
    </row>
    <row r="1251" spans="26:27">
      <c r="Z1251" s="31"/>
      <c r="AA1251" s="31"/>
    </row>
    <row r="1252" spans="26:27">
      <c r="Z1252" s="31"/>
      <c r="AA1252" s="31"/>
    </row>
    <row r="1253" spans="26:27">
      <c r="Z1253" s="31"/>
      <c r="AA1253" s="31"/>
    </row>
    <row r="1254" spans="26:27">
      <c r="Z1254" s="31"/>
      <c r="AA1254" s="31"/>
    </row>
    <row r="1255" spans="26:27">
      <c r="Z1255" s="31"/>
      <c r="AA1255" s="31"/>
    </row>
    <row r="1256" spans="26:27">
      <c r="Z1256" s="31"/>
      <c r="AA1256" s="31"/>
    </row>
    <row r="1257" spans="26:27">
      <c r="Z1257" s="31"/>
      <c r="AA1257" s="31"/>
    </row>
    <row r="1258" spans="26:27">
      <c r="Z1258" s="31"/>
      <c r="AA1258" s="31"/>
    </row>
    <row r="1259" spans="26:27">
      <c r="Z1259" s="31"/>
      <c r="AA1259" s="31"/>
    </row>
    <row r="1260" spans="26:27">
      <c r="Z1260" s="31"/>
      <c r="AA1260" s="31"/>
    </row>
    <row r="1261" spans="26:27">
      <c r="Z1261" s="31"/>
      <c r="AA1261" s="31"/>
    </row>
    <row r="1262" spans="26:27">
      <c r="Z1262" s="31"/>
      <c r="AA1262" s="31"/>
    </row>
    <row r="1263" spans="26:27">
      <c r="Z1263" s="31"/>
      <c r="AA1263" s="31"/>
    </row>
    <row r="1264" spans="26:27">
      <c r="Z1264" s="31"/>
      <c r="AA1264" s="31"/>
    </row>
    <row r="1265" spans="26:27">
      <c r="Z1265" s="31"/>
      <c r="AA1265" s="31"/>
    </row>
    <row r="1266" spans="26:27">
      <c r="Z1266" s="31"/>
      <c r="AA1266" s="31"/>
    </row>
    <row r="1267" spans="26:27">
      <c r="Z1267" s="31"/>
      <c r="AA1267" s="31"/>
    </row>
    <row r="1268" spans="26:27">
      <c r="Z1268" s="31"/>
      <c r="AA1268" s="31"/>
    </row>
    <row r="1269" spans="26:27">
      <c r="Z1269" s="31"/>
      <c r="AA1269" s="31"/>
    </row>
    <row r="1270" spans="26:27">
      <c r="Z1270" s="31"/>
      <c r="AA1270" s="31"/>
    </row>
    <row r="1271" spans="26:27">
      <c r="Z1271" s="31"/>
      <c r="AA1271" s="31"/>
    </row>
    <row r="1272" spans="26:27">
      <c r="Z1272" s="31"/>
      <c r="AA1272" s="31"/>
    </row>
    <row r="1273" spans="26:27">
      <c r="Z1273" s="31"/>
      <c r="AA1273" s="31"/>
    </row>
    <row r="1274" spans="26:27">
      <c r="Z1274" s="31"/>
      <c r="AA1274" s="31"/>
    </row>
    <row r="1275" spans="26:27">
      <c r="Z1275" s="31"/>
      <c r="AA1275" s="31"/>
    </row>
    <row r="1276" spans="26:27">
      <c r="Z1276" s="31"/>
      <c r="AA1276" s="31"/>
    </row>
    <row r="1277" spans="26:27">
      <c r="Z1277" s="31"/>
      <c r="AA1277" s="31"/>
    </row>
    <row r="1278" spans="26:27">
      <c r="Z1278" s="31"/>
      <c r="AA1278" s="31"/>
    </row>
    <row r="1279" spans="26:27">
      <c r="Z1279" s="31"/>
      <c r="AA1279" s="31"/>
    </row>
    <row r="1280" spans="26:27">
      <c r="Z1280" s="31"/>
      <c r="AA1280" s="31"/>
    </row>
    <row r="1281" spans="26:27">
      <c r="Z1281" s="31"/>
      <c r="AA1281" s="31"/>
    </row>
    <row r="1282" spans="26:27">
      <c r="Z1282" s="31"/>
      <c r="AA1282" s="31"/>
    </row>
    <row r="1283" spans="26:27">
      <c r="Z1283" s="31"/>
      <c r="AA1283" s="31"/>
    </row>
    <row r="1284" spans="26:27">
      <c r="Z1284" s="31"/>
      <c r="AA1284" s="31"/>
    </row>
    <row r="1285" spans="26:27">
      <c r="Z1285" s="31"/>
      <c r="AA1285" s="31"/>
    </row>
    <row r="1286" spans="26:27">
      <c r="Z1286" s="31"/>
      <c r="AA1286" s="31"/>
    </row>
    <row r="1287" spans="26:27">
      <c r="Z1287" s="31"/>
      <c r="AA1287" s="31"/>
    </row>
    <row r="1288" spans="26:27">
      <c r="Z1288" s="31"/>
      <c r="AA1288" s="31"/>
    </row>
    <row r="1289" spans="26:27">
      <c r="Z1289" s="31"/>
      <c r="AA1289" s="31"/>
    </row>
    <row r="1290" spans="26:27">
      <c r="Z1290" s="31"/>
      <c r="AA1290" s="31"/>
    </row>
    <row r="1291" spans="26:27">
      <c r="Z1291" s="31"/>
      <c r="AA1291" s="31"/>
    </row>
    <row r="1292" spans="26:27">
      <c r="Z1292" s="31"/>
      <c r="AA1292" s="31"/>
    </row>
    <row r="1293" spans="26:27">
      <c r="Z1293" s="31"/>
      <c r="AA1293" s="31"/>
    </row>
    <row r="1294" spans="26:27">
      <c r="Z1294" s="31"/>
      <c r="AA1294" s="31"/>
    </row>
    <row r="1295" spans="26:27">
      <c r="Z1295" s="31"/>
      <c r="AA1295" s="31"/>
    </row>
    <row r="1296" spans="26:27">
      <c r="Z1296" s="31"/>
      <c r="AA1296" s="31"/>
    </row>
    <row r="1297" spans="26:27">
      <c r="Z1297" s="31"/>
      <c r="AA1297" s="31"/>
    </row>
    <row r="1298" spans="26:27">
      <c r="Z1298" s="31"/>
      <c r="AA1298" s="31"/>
    </row>
    <row r="1299" spans="26:27">
      <c r="Z1299" s="31"/>
      <c r="AA1299" s="31"/>
    </row>
    <row r="1300" spans="26:27">
      <c r="Z1300" s="31"/>
      <c r="AA1300" s="31"/>
    </row>
    <row r="1301" spans="26:27">
      <c r="Z1301" s="31"/>
      <c r="AA1301" s="31"/>
    </row>
    <row r="1302" spans="26:27">
      <c r="Z1302" s="31"/>
      <c r="AA1302" s="31"/>
    </row>
    <row r="1303" spans="26:27">
      <c r="Z1303" s="31"/>
      <c r="AA1303" s="31"/>
    </row>
    <row r="1304" spans="26:27">
      <c r="Z1304" s="31"/>
      <c r="AA1304" s="31"/>
    </row>
    <row r="1305" spans="26:27">
      <c r="Z1305" s="31"/>
      <c r="AA1305" s="31"/>
    </row>
    <row r="1306" spans="26:27">
      <c r="Z1306" s="31"/>
      <c r="AA1306" s="31"/>
    </row>
    <row r="1307" spans="26:27">
      <c r="Z1307" s="31"/>
      <c r="AA1307" s="31"/>
    </row>
    <row r="1308" spans="26:27">
      <c r="Z1308" s="31"/>
      <c r="AA1308" s="31"/>
    </row>
    <row r="1309" spans="26:27">
      <c r="Z1309" s="31"/>
      <c r="AA1309" s="31"/>
    </row>
    <row r="1310" spans="26:27">
      <c r="Z1310" s="31"/>
      <c r="AA1310" s="31"/>
    </row>
    <row r="1311" spans="26:27">
      <c r="Z1311" s="31"/>
      <c r="AA1311" s="31"/>
    </row>
    <row r="1312" spans="26:27">
      <c r="Z1312" s="31"/>
      <c r="AA1312" s="31"/>
    </row>
    <row r="1313" spans="26:27">
      <c r="Z1313" s="31"/>
      <c r="AA1313" s="31"/>
    </row>
    <row r="1314" spans="26:27">
      <c r="Z1314" s="31"/>
      <c r="AA1314" s="31"/>
    </row>
    <row r="1315" spans="26:27">
      <c r="Z1315" s="31"/>
      <c r="AA1315" s="31"/>
    </row>
    <row r="1316" spans="26:27">
      <c r="Z1316" s="31"/>
      <c r="AA1316" s="31"/>
    </row>
    <row r="1317" spans="26:27">
      <c r="Z1317" s="31"/>
      <c r="AA1317" s="31"/>
    </row>
    <row r="1318" spans="26:27">
      <c r="Z1318" s="31"/>
      <c r="AA1318" s="31"/>
    </row>
    <row r="1319" spans="26:27">
      <c r="Z1319" s="31"/>
      <c r="AA1319" s="31"/>
    </row>
    <row r="1320" spans="26:27">
      <c r="Z1320" s="31"/>
      <c r="AA1320" s="31"/>
    </row>
    <row r="1321" spans="26:27">
      <c r="Z1321" s="31"/>
      <c r="AA1321" s="31"/>
    </row>
    <row r="1322" spans="26:27">
      <c r="Z1322" s="31"/>
      <c r="AA1322" s="31"/>
    </row>
    <row r="1323" spans="26:27">
      <c r="Z1323" s="31"/>
      <c r="AA1323" s="31"/>
    </row>
    <row r="1324" spans="26:27">
      <c r="Z1324" s="31"/>
      <c r="AA1324" s="31"/>
    </row>
    <row r="1325" spans="26:27">
      <c r="Z1325" s="31"/>
      <c r="AA1325" s="31"/>
    </row>
    <row r="1326" spans="26:27">
      <c r="Z1326" s="31"/>
      <c r="AA1326" s="31"/>
    </row>
    <row r="1327" spans="26:27">
      <c r="Z1327" s="31"/>
      <c r="AA1327" s="31"/>
    </row>
    <row r="1328" spans="26:27">
      <c r="Z1328" s="31"/>
      <c r="AA1328" s="31"/>
    </row>
    <row r="1329" spans="26:27">
      <c r="Z1329" s="31"/>
      <c r="AA1329" s="31"/>
    </row>
    <row r="1330" spans="26:27">
      <c r="Z1330" s="31"/>
      <c r="AA1330" s="31"/>
    </row>
    <row r="1331" spans="26:27">
      <c r="Z1331" s="31"/>
      <c r="AA1331" s="31"/>
    </row>
    <row r="1332" spans="26:27">
      <c r="Z1332" s="31"/>
      <c r="AA1332" s="31"/>
    </row>
    <row r="1333" spans="26:27">
      <c r="Z1333" s="31"/>
      <c r="AA1333" s="31"/>
    </row>
    <row r="1334" spans="26:27">
      <c r="Z1334" s="31"/>
      <c r="AA1334" s="31"/>
    </row>
    <row r="1335" spans="26:27">
      <c r="Z1335" s="31"/>
      <c r="AA1335" s="31"/>
    </row>
    <row r="1336" spans="26:27">
      <c r="Z1336" s="31"/>
      <c r="AA1336" s="31"/>
    </row>
    <row r="1337" spans="26:27">
      <c r="Z1337" s="31"/>
      <c r="AA1337" s="31"/>
    </row>
    <row r="1338" spans="26:27">
      <c r="Z1338" s="31"/>
      <c r="AA1338" s="31"/>
    </row>
    <row r="1339" spans="26:27">
      <c r="Z1339" s="31"/>
      <c r="AA1339" s="31"/>
    </row>
    <row r="1340" spans="26:27">
      <c r="Z1340" s="31"/>
      <c r="AA1340" s="31"/>
    </row>
    <row r="1341" spans="26:27">
      <c r="Z1341" s="31"/>
      <c r="AA1341" s="31"/>
    </row>
    <row r="1342" spans="26:27">
      <c r="Z1342" s="31"/>
      <c r="AA1342" s="31"/>
    </row>
    <row r="1343" spans="26:27">
      <c r="Z1343" s="31"/>
      <c r="AA1343" s="31"/>
    </row>
    <row r="1344" spans="26:27">
      <c r="Z1344" s="31"/>
      <c r="AA1344" s="31"/>
    </row>
    <row r="1345" spans="26:27">
      <c r="Z1345" s="31"/>
      <c r="AA1345" s="31"/>
    </row>
    <row r="1346" spans="26:27">
      <c r="Z1346" s="31"/>
      <c r="AA1346" s="31"/>
    </row>
    <row r="1347" spans="26:27">
      <c r="Z1347" s="31"/>
      <c r="AA1347" s="31"/>
    </row>
    <row r="1348" spans="26:27">
      <c r="Z1348" s="31"/>
      <c r="AA1348" s="31"/>
    </row>
    <row r="1349" spans="26:27">
      <c r="Z1349" s="31"/>
      <c r="AA1349" s="31"/>
    </row>
    <row r="1350" spans="26:27">
      <c r="Z1350" s="31"/>
      <c r="AA1350" s="31"/>
    </row>
    <row r="1351" spans="26:27">
      <c r="Z1351" s="31"/>
      <c r="AA1351" s="31"/>
    </row>
    <row r="1352" spans="26:27">
      <c r="Z1352" s="31"/>
      <c r="AA1352" s="31"/>
    </row>
    <row r="1353" spans="26:27">
      <c r="Z1353" s="31"/>
      <c r="AA1353" s="31"/>
    </row>
    <row r="1354" spans="26:27">
      <c r="Z1354" s="31"/>
      <c r="AA1354" s="31"/>
    </row>
    <row r="1355" spans="26:27">
      <c r="Z1355" s="31"/>
      <c r="AA1355" s="31"/>
    </row>
    <row r="1356" spans="26:27">
      <c r="Z1356" s="31"/>
      <c r="AA1356" s="31"/>
    </row>
    <row r="1357" spans="26:27">
      <c r="Z1357" s="31"/>
      <c r="AA1357" s="31"/>
    </row>
    <row r="1358" spans="26:27">
      <c r="Z1358" s="31"/>
      <c r="AA1358" s="31"/>
    </row>
    <row r="1359" spans="26:27">
      <c r="Z1359" s="31"/>
      <c r="AA1359" s="31"/>
    </row>
    <row r="1360" spans="26:27">
      <c r="Z1360" s="31"/>
      <c r="AA1360" s="31"/>
    </row>
    <row r="1361" spans="26:27">
      <c r="Z1361" s="31"/>
      <c r="AA1361" s="31"/>
    </row>
    <row r="1362" spans="26:27">
      <c r="Z1362" s="31"/>
      <c r="AA1362" s="31"/>
    </row>
    <row r="1363" spans="26:27">
      <c r="Z1363" s="31"/>
      <c r="AA1363" s="31"/>
    </row>
    <row r="1364" spans="26:27">
      <c r="Z1364" s="31"/>
      <c r="AA1364" s="31"/>
    </row>
    <row r="1365" spans="26:27">
      <c r="Z1365" s="31"/>
      <c r="AA1365" s="31"/>
    </row>
    <row r="1366" spans="26:27">
      <c r="Z1366" s="31"/>
      <c r="AA1366" s="31"/>
    </row>
    <row r="1367" spans="26:27">
      <c r="Z1367" s="31"/>
      <c r="AA1367" s="31"/>
    </row>
    <row r="1368" spans="26:27">
      <c r="Z1368" s="31"/>
      <c r="AA1368" s="31"/>
    </row>
    <row r="1369" spans="26:27">
      <c r="Z1369" s="31"/>
      <c r="AA1369" s="31"/>
    </row>
    <row r="1370" spans="26:27">
      <c r="Z1370" s="31"/>
      <c r="AA1370" s="31"/>
    </row>
    <row r="1371" spans="26:27">
      <c r="Z1371" s="31"/>
      <c r="AA1371" s="31"/>
    </row>
    <row r="1372" spans="26:27">
      <c r="Z1372" s="31"/>
      <c r="AA1372" s="31"/>
    </row>
    <row r="1373" spans="26:27">
      <c r="Z1373" s="31"/>
      <c r="AA1373" s="31"/>
    </row>
    <row r="1374" spans="26:27">
      <c r="Z1374" s="31"/>
      <c r="AA1374" s="31"/>
    </row>
    <row r="1375" spans="26:27">
      <c r="Z1375" s="31"/>
      <c r="AA1375" s="31"/>
    </row>
    <row r="1376" spans="26:27">
      <c r="Z1376" s="31"/>
      <c r="AA1376" s="31"/>
    </row>
    <row r="1377" spans="26:27">
      <c r="Z1377" s="31"/>
      <c r="AA1377" s="31"/>
    </row>
    <row r="1378" spans="26:27">
      <c r="Z1378" s="31"/>
      <c r="AA1378" s="31"/>
    </row>
    <row r="1379" spans="26:27">
      <c r="Z1379" s="31"/>
      <c r="AA1379" s="31"/>
    </row>
    <row r="1380" spans="26:27">
      <c r="Z1380" s="31"/>
      <c r="AA1380" s="31"/>
    </row>
    <row r="1381" spans="26:27">
      <c r="Z1381" s="31"/>
      <c r="AA1381" s="31"/>
    </row>
    <row r="1382" spans="26:27">
      <c r="Z1382" s="31"/>
      <c r="AA1382" s="31"/>
    </row>
    <row r="1383" spans="26:27">
      <c r="Z1383" s="31"/>
      <c r="AA1383" s="31"/>
    </row>
    <row r="1384" spans="26:27">
      <c r="Z1384" s="31"/>
      <c r="AA1384" s="31"/>
    </row>
    <row r="1385" spans="26:27">
      <c r="Z1385" s="31"/>
      <c r="AA1385" s="31"/>
    </row>
    <row r="1386" spans="26:27">
      <c r="Z1386" s="31"/>
      <c r="AA1386" s="31"/>
    </row>
    <row r="1387" spans="26:27">
      <c r="Z1387" s="31"/>
      <c r="AA1387" s="31"/>
    </row>
    <row r="1388" spans="26:27">
      <c r="Z1388" s="31"/>
      <c r="AA1388" s="31"/>
    </row>
    <row r="1389" spans="26:27">
      <c r="Z1389" s="31"/>
      <c r="AA1389" s="31"/>
    </row>
    <row r="1390" spans="26:27">
      <c r="Z1390" s="31"/>
      <c r="AA1390" s="31"/>
    </row>
    <row r="1391" spans="26:27">
      <c r="Z1391" s="31"/>
      <c r="AA1391" s="31"/>
    </row>
    <row r="1392" spans="26:27">
      <c r="Z1392" s="31"/>
      <c r="AA1392" s="31"/>
    </row>
    <row r="1393" spans="26:27">
      <c r="Z1393" s="31"/>
      <c r="AA1393" s="31"/>
    </row>
    <row r="1394" spans="26:27">
      <c r="Z1394" s="31"/>
      <c r="AA1394" s="31"/>
    </row>
    <row r="1395" spans="26:27">
      <c r="Z1395" s="31"/>
      <c r="AA1395" s="31"/>
    </row>
    <row r="1396" spans="26:27">
      <c r="Z1396" s="31"/>
      <c r="AA1396" s="31"/>
    </row>
    <row r="1397" spans="26:27">
      <c r="Z1397" s="31"/>
      <c r="AA1397" s="31"/>
    </row>
    <row r="1398" spans="26:27">
      <c r="Z1398" s="31"/>
      <c r="AA1398" s="31"/>
    </row>
    <row r="1399" spans="26:27">
      <c r="Z1399" s="31"/>
      <c r="AA1399" s="31"/>
    </row>
    <row r="1400" spans="26:27">
      <c r="Z1400" s="31"/>
      <c r="AA1400" s="31"/>
    </row>
    <row r="1401" spans="26:27">
      <c r="Z1401" s="31"/>
      <c r="AA1401" s="31"/>
    </row>
    <row r="1402" spans="26:27">
      <c r="Z1402" s="31"/>
      <c r="AA1402" s="31"/>
    </row>
    <row r="1403" spans="26:27">
      <c r="Z1403" s="31"/>
      <c r="AA1403" s="31"/>
    </row>
    <row r="1404" spans="26:27">
      <c r="Z1404" s="31"/>
      <c r="AA1404" s="31"/>
    </row>
    <row r="1405" spans="26:27">
      <c r="Z1405" s="31"/>
      <c r="AA1405" s="31"/>
    </row>
    <row r="1406" spans="26:27">
      <c r="Z1406" s="31"/>
      <c r="AA1406" s="31"/>
    </row>
    <row r="1407" spans="26:27">
      <c r="Z1407" s="31"/>
      <c r="AA1407" s="31"/>
    </row>
    <row r="1408" spans="26:27">
      <c r="Z1408" s="31"/>
      <c r="AA1408" s="31"/>
    </row>
    <row r="1409" spans="26:27">
      <c r="Z1409" s="31"/>
      <c r="AA1409" s="31"/>
    </row>
    <row r="1410" spans="26:27">
      <c r="Z1410" s="31"/>
      <c r="AA1410" s="31"/>
    </row>
    <row r="1411" spans="26:27">
      <c r="Z1411" s="31"/>
      <c r="AA1411" s="31"/>
    </row>
    <row r="1412" spans="26:27">
      <c r="Z1412" s="31"/>
      <c r="AA1412" s="31"/>
    </row>
    <row r="1413" spans="26:27">
      <c r="Z1413" s="31"/>
      <c r="AA1413" s="31"/>
    </row>
    <row r="1414" spans="26:27">
      <c r="Z1414" s="31"/>
      <c r="AA1414" s="31"/>
    </row>
    <row r="1415" spans="26:27">
      <c r="Z1415" s="31"/>
      <c r="AA1415" s="31"/>
    </row>
    <row r="1416" spans="26:27">
      <c r="Z1416" s="31"/>
      <c r="AA1416" s="31"/>
    </row>
    <row r="1417" spans="26:27">
      <c r="Z1417" s="31"/>
      <c r="AA1417" s="31"/>
    </row>
    <row r="1418" spans="26:27">
      <c r="Z1418" s="31"/>
      <c r="AA1418" s="31"/>
    </row>
    <row r="1419" spans="26:27">
      <c r="Z1419" s="31"/>
      <c r="AA1419" s="31"/>
    </row>
    <row r="1420" spans="26:27">
      <c r="Z1420" s="31"/>
      <c r="AA1420" s="31"/>
    </row>
    <row r="1421" spans="26:27">
      <c r="Z1421" s="31"/>
      <c r="AA1421" s="31"/>
    </row>
    <row r="1422" spans="26:27">
      <c r="Z1422" s="31"/>
      <c r="AA1422" s="31"/>
    </row>
    <row r="1423" spans="26:27">
      <c r="Z1423" s="31"/>
      <c r="AA1423" s="31"/>
    </row>
    <row r="1424" spans="26:27">
      <c r="Z1424" s="31"/>
      <c r="AA1424" s="31"/>
    </row>
    <row r="1425" spans="26:27">
      <c r="Z1425" s="31"/>
      <c r="AA1425" s="31"/>
    </row>
    <row r="1426" spans="26:27">
      <c r="Z1426" s="31"/>
      <c r="AA1426" s="31"/>
    </row>
    <row r="1427" spans="26:27">
      <c r="Z1427" s="31"/>
      <c r="AA1427" s="31"/>
    </row>
    <row r="1428" spans="26:27">
      <c r="Z1428" s="31"/>
      <c r="AA1428" s="31"/>
    </row>
    <row r="1429" spans="26:27">
      <c r="Z1429" s="31"/>
      <c r="AA1429" s="31"/>
    </row>
    <row r="1430" spans="26:27">
      <c r="Z1430" s="31"/>
      <c r="AA1430" s="31"/>
    </row>
    <row r="1431" spans="26:27">
      <c r="Z1431" s="31"/>
      <c r="AA1431" s="31"/>
    </row>
    <row r="1432" spans="26:27">
      <c r="Z1432" s="31"/>
      <c r="AA1432" s="31"/>
    </row>
    <row r="1433" spans="26:27">
      <c r="Z1433" s="31"/>
      <c r="AA1433" s="31"/>
    </row>
    <row r="1434" spans="26:27">
      <c r="Z1434" s="31"/>
      <c r="AA1434" s="31"/>
    </row>
    <row r="1435" spans="26:27">
      <c r="Z1435" s="31"/>
      <c r="AA1435" s="31"/>
    </row>
    <row r="1436" spans="26:27">
      <c r="Z1436" s="31"/>
      <c r="AA1436" s="31"/>
    </row>
    <row r="1437" spans="26:27">
      <c r="Z1437" s="31"/>
      <c r="AA1437" s="31"/>
    </row>
    <row r="1438" spans="26:27">
      <c r="Z1438" s="31"/>
      <c r="AA1438" s="31"/>
    </row>
    <row r="1439" spans="26:27">
      <c r="Z1439" s="31"/>
      <c r="AA1439" s="31"/>
    </row>
    <row r="1440" spans="26:27">
      <c r="Z1440" s="31"/>
      <c r="AA1440" s="31"/>
    </row>
    <row r="1441" spans="26:27">
      <c r="Z1441" s="31"/>
      <c r="AA1441" s="31"/>
    </row>
    <row r="1442" spans="26:27">
      <c r="Z1442" s="31"/>
      <c r="AA1442" s="31"/>
    </row>
    <row r="1443" spans="26:27">
      <c r="Z1443" s="31"/>
      <c r="AA1443" s="31"/>
    </row>
    <row r="1444" spans="26:27">
      <c r="Z1444" s="31"/>
      <c r="AA1444" s="31"/>
    </row>
    <row r="1445" spans="26:27">
      <c r="Z1445" s="31"/>
      <c r="AA1445" s="31"/>
    </row>
    <row r="1446" spans="26:27">
      <c r="Z1446" s="31"/>
    </row>
    <row r="1447" spans="26:27">
      <c r="Z1447" s="31"/>
    </row>
    <row r="1448" spans="26:27">
      <c r="Z1448" s="31"/>
    </row>
    <row r="1449" spans="26:27">
      <c r="Z1449" s="31"/>
    </row>
    <row r="1450" spans="26:27">
      <c r="Z1450" s="31"/>
    </row>
    <row r="1451" spans="26:27">
      <c r="Z1451" s="31"/>
    </row>
    <row r="1452" spans="26:27">
      <c r="Z1452" s="31"/>
    </row>
    <row r="1453" spans="26:27">
      <c r="Z1453" s="31"/>
    </row>
    <row r="1454" spans="26:27">
      <c r="Z1454" s="31"/>
    </row>
    <row r="1455" spans="26:27">
      <c r="Z1455" s="31"/>
    </row>
    <row r="1456" spans="26:27">
      <c r="Z1456" s="31"/>
    </row>
    <row r="1457" spans="26:26">
      <c r="Z1457" s="31"/>
    </row>
    <row r="1458" spans="26:26">
      <c r="Z1458" s="31"/>
    </row>
    <row r="1459" spans="26:26">
      <c r="Z1459" s="31"/>
    </row>
    <row r="1460" spans="26:26">
      <c r="Z1460" s="31"/>
    </row>
    <row r="1461" spans="26:26">
      <c r="Z1461" s="31"/>
    </row>
    <row r="1462" spans="26:26">
      <c r="Z1462" s="31"/>
    </row>
    <row r="1463" spans="26:26">
      <c r="Z1463" s="31"/>
    </row>
    <row r="1464" spans="26:26">
      <c r="Z1464" s="31"/>
    </row>
    <row r="1465" spans="26:26">
      <c r="Z1465" s="31"/>
    </row>
    <row r="1466" spans="26:26">
      <c r="Z1466" s="31"/>
    </row>
    <row r="1467" spans="26:26">
      <c r="Z1467" s="31"/>
    </row>
    <row r="1468" spans="26:26">
      <c r="Z1468" s="31"/>
    </row>
    <row r="1469" spans="26:26">
      <c r="Z1469" s="31"/>
    </row>
    <row r="1470" spans="26:26">
      <c r="Z1470" s="31"/>
    </row>
    <row r="1471" spans="26:26">
      <c r="Z1471" s="31"/>
    </row>
    <row r="1472" spans="26:26">
      <c r="Z1472" s="31"/>
    </row>
    <row r="1473" spans="26:26">
      <c r="Z1473" s="31"/>
    </row>
    <row r="1474" spans="26:26">
      <c r="Z1474" s="31"/>
    </row>
    <row r="1475" spans="26:26">
      <c r="Z1475" s="31"/>
    </row>
    <row r="1476" spans="26:26">
      <c r="Z1476" s="31"/>
    </row>
    <row r="1477" spans="26:26">
      <c r="Z1477" s="31"/>
    </row>
    <row r="1478" spans="26:26">
      <c r="Z1478" s="31"/>
    </row>
    <row r="1479" spans="26:26">
      <c r="Z1479" s="31"/>
    </row>
    <row r="1480" spans="26:26">
      <c r="Z1480" s="31"/>
    </row>
    <row r="1481" spans="26:26">
      <c r="Z1481" s="31"/>
    </row>
    <row r="1482" spans="26:26">
      <c r="Z1482" s="31"/>
    </row>
    <row r="1483" spans="26:26">
      <c r="Z1483" s="31"/>
    </row>
    <row r="1484" spans="26:26">
      <c r="Z1484" s="31"/>
    </row>
    <row r="1485" spans="26:26">
      <c r="Z1485" s="31"/>
    </row>
    <row r="1486" spans="26:26">
      <c r="Z1486" s="31"/>
    </row>
    <row r="1487" spans="26:26">
      <c r="Z1487" s="31"/>
    </row>
    <row r="1488" spans="26:26">
      <c r="Z1488" s="31"/>
    </row>
    <row r="1489" spans="26:26">
      <c r="Z1489" s="31"/>
    </row>
    <row r="1490" spans="26:26">
      <c r="Z1490" s="31"/>
    </row>
    <row r="1491" spans="26:26">
      <c r="Z1491" s="31"/>
    </row>
    <row r="1492" spans="26:26">
      <c r="Z1492" s="31"/>
    </row>
    <row r="1493" spans="26:26">
      <c r="Z1493" s="31"/>
    </row>
    <row r="1494" spans="26:26">
      <c r="Z1494" s="31"/>
    </row>
    <row r="1495" spans="26:26">
      <c r="Z1495" s="31"/>
    </row>
    <row r="1496" spans="26:26">
      <c r="Z1496" s="31"/>
    </row>
    <row r="1497" spans="26:26">
      <c r="Z1497" s="31"/>
    </row>
    <row r="1498" spans="26:26">
      <c r="Z1498" s="31"/>
    </row>
    <row r="1499" spans="26:26">
      <c r="Z1499" s="31"/>
    </row>
    <row r="1500" spans="26:26">
      <c r="Z1500" s="31"/>
    </row>
    <row r="1501" spans="26:26">
      <c r="Z1501" s="31"/>
    </row>
    <row r="1502" spans="26:26">
      <c r="Z1502" s="31"/>
    </row>
    <row r="1503" spans="26:26">
      <c r="Z1503" s="31"/>
    </row>
    <row r="1504" spans="26:26">
      <c r="Z1504" s="31"/>
    </row>
    <row r="1505" spans="26:26">
      <c r="Z1505" s="31"/>
    </row>
    <row r="1506" spans="26:26">
      <c r="Z1506" s="31"/>
    </row>
    <row r="1507" spans="26:26">
      <c r="Z1507" s="31"/>
    </row>
    <row r="1508" spans="26:26">
      <c r="Z1508" s="31"/>
    </row>
    <row r="1509" spans="26:26">
      <c r="Z1509" s="31"/>
    </row>
    <row r="1510" spans="26:26">
      <c r="Z1510" s="31"/>
    </row>
    <row r="1511" spans="26:26">
      <c r="Z1511" s="31"/>
    </row>
    <row r="1512" spans="26:26">
      <c r="Z1512" s="31"/>
    </row>
    <row r="1513" spans="26:26">
      <c r="Z1513" s="31"/>
    </row>
    <row r="1514" spans="26:26">
      <c r="Z1514" s="31"/>
    </row>
    <row r="1515" spans="26:26">
      <c r="Z1515" s="31"/>
    </row>
    <row r="1516" spans="26:26">
      <c r="Z1516" s="31"/>
    </row>
    <row r="1517" spans="26:26">
      <c r="Z1517" s="31"/>
    </row>
    <row r="1518" spans="26:26">
      <c r="Z1518" s="31"/>
    </row>
    <row r="1519" spans="26:26">
      <c r="Z1519" s="31"/>
    </row>
    <row r="1520" spans="26:26">
      <c r="Z1520" s="31"/>
    </row>
    <row r="1521" spans="26:26">
      <c r="Z1521" s="31"/>
    </row>
    <row r="1522" spans="26:26">
      <c r="Z1522" s="31"/>
    </row>
    <row r="1523" spans="26:26">
      <c r="Z1523" s="31"/>
    </row>
    <row r="1524" spans="26:26">
      <c r="Z1524" s="31"/>
    </row>
    <row r="1525" spans="26:26">
      <c r="Z1525" s="31"/>
    </row>
    <row r="1526" spans="26:26">
      <c r="Z1526" s="31"/>
    </row>
    <row r="1527" spans="26:26">
      <c r="Z1527" s="31"/>
    </row>
    <row r="1528" spans="26:26">
      <c r="Z1528" s="31"/>
    </row>
    <row r="1529" spans="26:26">
      <c r="Z1529" s="31"/>
    </row>
    <row r="1530" spans="26:26">
      <c r="Z1530" s="31"/>
    </row>
    <row r="1531" spans="26:26">
      <c r="Z1531" s="31"/>
    </row>
    <row r="1532" spans="26:26">
      <c r="Z1532" s="31"/>
    </row>
    <row r="1533" spans="26:26">
      <c r="Z1533" s="31"/>
    </row>
    <row r="1534" spans="26:26">
      <c r="Z1534" s="31"/>
    </row>
    <row r="1535" spans="26:26">
      <c r="Z1535" s="31"/>
    </row>
    <row r="1536" spans="26:26">
      <c r="Z1536" s="31"/>
    </row>
    <row r="1537" spans="26:26">
      <c r="Z1537" s="31"/>
    </row>
    <row r="1538" spans="26:26">
      <c r="Z1538" s="31"/>
    </row>
    <row r="1539" spans="26:26">
      <c r="Z1539" s="31"/>
    </row>
    <row r="1540" spans="26:26">
      <c r="Z1540" s="31"/>
    </row>
    <row r="1541" spans="26:26">
      <c r="Z1541" s="31"/>
    </row>
    <row r="1542" spans="26:26">
      <c r="Z1542" s="31"/>
    </row>
    <row r="1543" spans="26:26">
      <c r="Z1543" s="31"/>
    </row>
    <row r="1544" spans="26:26">
      <c r="Z1544" s="31"/>
    </row>
    <row r="1545" spans="26:26">
      <c r="Z1545" s="31"/>
    </row>
    <row r="1546" spans="26:26">
      <c r="Z1546" s="31"/>
    </row>
    <row r="1547" spans="26:26">
      <c r="Z1547" s="31"/>
    </row>
    <row r="1548" spans="26:26">
      <c r="Z1548" s="31"/>
    </row>
    <row r="1549" spans="26:26">
      <c r="Z1549" s="31"/>
    </row>
    <row r="1550" spans="26:26">
      <c r="Z1550" s="31"/>
    </row>
    <row r="1551" spans="26:26">
      <c r="Z1551" s="31"/>
    </row>
    <row r="1552" spans="26:26">
      <c r="Z1552" s="31"/>
    </row>
    <row r="1553" spans="26:26">
      <c r="Z1553" s="31"/>
    </row>
    <row r="1554" spans="26:26">
      <c r="Z1554" s="31"/>
    </row>
    <row r="1555" spans="26:26">
      <c r="Z1555" s="31"/>
    </row>
    <row r="1556" spans="26:26">
      <c r="Z1556" s="31"/>
    </row>
    <row r="1557" spans="26:26">
      <c r="Z1557" s="31"/>
    </row>
    <row r="1558" spans="26:26">
      <c r="Z1558" s="31"/>
    </row>
    <row r="1559" spans="26:26">
      <c r="Z1559" s="31"/>
    </row>
    <row r="1560" spans="26:26">
      <c r="Z1560" s="31"/>
    </row>
    <row r="1561" spans="26:26">
      <c r="Z1561" s="31"/>
    </row>
    <row r="1562" spans="26:26">
      <c r="Z1562" s="31"/>
    </row>
    <row r="1563" spans="26:26">
      <c r="Z1563" s="31"/>
    </row>
    <row r="1564" spans="26:26">
      <c r="Z1564" s="31"/>
    </row>
    <row r="1565" spans="26:26">
      <c r="Z1565" s="31"/>
    </row>
    <row r="1566" spans="26:26">
      <c r="Z1566" s="31"/>
    </row>
    <row r="1567" spans="26:26">
      <c r="Z1567" s="31"/>
    </row>
    <row r="1568" spans="26:26">
      <c r="Z1568" s="31"/>
    </row>
    <row r="1569" spans="26:26">
      <c r="Z1569" s="31"/>
    </row>
    <row r="1570" spans="26:26">
      <c r="Z1570" s="31"/>
    </row>
    <row r="1571" spans="26:26">
      <c r="Z1571" s="31"/>
    </row>
    <row r="1572" spans="26:26">
      <c r="Z1572" s="31"/>
    </row>
    <row r="1573" spans="26:26">
      <c r="Z1573" s="31"/>
    </row>
    <row r="1574" spans="26:26">
      <c r="Z1574" s="31"/>
    </row>
    <row r="1575" spans="26:26">
      <c r="Z1575" s="31"/>
    </row>
    <row r="1576" spans="26:26">
      <c r="Z1576" s="31"/>
    </row>
    <row r="1577" spans="26:26">
      <c r="Z1577" s="31"/>
    </row>
    <row r="1578" spans="26:26">
      <c r="Z1578" s="31"/>
    </row>
    <row r="1579" spans="26:26">
      <c r="Z1579" s="31"/>
    </row>
    <row r="1580" spans="26:26">
      <c r="Z1580" s="31"/>
    </row>
    <row r="1581" spans="26:26">
      <c r="Z1581" s="31"/>
    </row>
    <row r="1582" spans="26:26">
      <c r="Z1582" s="31"/>
    </row>
    <row r="1583" spans="26:26">
      <c r="Z1583" s="31"/>
    </row>
    <row r="1584" spans="26:26">
      <c r="Z1584" s="31"/>
    </row>
    <row r="1585" spans="26:26">
      <c r="Z1585" s="31"/>
    </row>
    <row r="1586" spans="26:26">
      <c r="Z1586" s="31"/>
    </row>
    <row r="1587" spans="26:26">
      <c r="Z1587" s="31"/>
    </row>
  </sheetData>
  <sheetProtection algorithmName="SHA-512" hashValue="PWl2uTfXSW2mO7VyHWwjxptMo1NhIJonwmjUPrrrpl2MfCRm+JEY67jdUHTGKC+tsCsnhab4ZLC47F2gMPuqmg==" saltValue="RqHcbbT5wWGZa4TaI2WwFw==" spinCount="100000" sheet="1"/>
  <dataConsolidate/>
  <mergeCells count="10">
    <mergeCell ref="C51:M51"/>
    <mergeCell ref="D35:E35"/>
    <mergeCell ref="D41:D42"/>
    <mergeCell ref="E45:L45"/>
    <mergeCell ref="C3:N3"/>
    <mergeCell ref="C5:N5"/>
    <mergeCell ref="D9:E9"/>
    <mergeCell ref="C12:N12"/>
    <mergeCell ref="C22:N22"/>
    <mergeCell ref="D33:E33"/>
  </mergeCells>
  <conditionalFormatting sqref="D44:D46 D41 F41:G42">
    <cfRule type="expression" dxfId="69" priority="116">
      <formula>$E$41="ATTENTION"</formula>
    </cfRule>
  </conditionalFormatting>
  <conditionalFormatting sqref="D40:M40">
    <cfRule type="expression" dxfId="68" priority="115">
      <formula>$E$41="ATTENTION"</formula>
    </cfRule>
  </conditionalFormatting>
  <conditionalFormatting sqref="D48:M48">
    <cfRule type="expression" dxfId="67" priority="114">
      <formula>$E$41="ATTENTION"</formula>
    </cfRule>
  </conditionalFormatting>
  <conditionalFormatting sqref="C41:C47">
    <cfRule type="expression" dxfId="66" priority="98">
      <formula>$E$41="NOT ACCEPTABLE"</formula>
    </cfRule>
    <cfRule type="expression" dxfId="65" priority="113">
      <formula>$E$41="ATTENTION"</formula>
    </cfRule>
  </conditionalFormatting>
  <conditionalFormatting sqref="N41:N47">
    <cfRule type="expression" dxfId="64" priority="102">
      <formula>$E$41="NOT ACCEPTABLE"</formula>
    </cfRule>
    <cfRule type="expression" dxfId="63" priority="112">
      <formula>$E$41="ATTENTION"</formula>
    </cfRule>
  </conditionalFormatting>
  <conditionalFormatting sqref="C40">
    <cfRule type="expression" dxfId="62" priority="105">
      <formula>$E$41="NOT ACCEPTABLE"</formula>
    </cfRule>
    <cfRule type="expression" dxfId="61" priority="111">
      <formula>$E$41="ATTENTION"</formula>
    </cfRule>
  </conditionalFormatting>
  <conditionalFormatting sqref="N40">
    <cfRule type="expression" dxfId="60" priority="104">
      <formula>$E$41="NOT ACCEPTABLE"</formula>
    </cfRule>
    <cfRule type="expression" dxfId="59" priority="110">
      <formula>$E$41="ATTENTION"</formula>
    </cfRule>
  </conditionalFormatting>
  <conditionalFormatting sqref="N48">
    <cfRule type="expression" dxfId="58" priority="101">
      <formula>$E$41="NOT ACCEPTABLE"</formula>
    </cfRule>
    <cfRule type="expression" dxfId="57" priority="109">
      <formula>$E$41="ATTENTION"</formula>
    </cfRule>
  </conditionalFormatting>
  <conditionalFormatting sqref="C48">
    <cfRule type="expression" dxfId="56" priority="100">
      <formula>$E$41="NOT ACCEPTABLE"</formula>
    </cfRule>
    <cfRule type="expression" dxfId="55" priority="108">
      <formula>$E$41="ATTENTION"</formula>
    </cfRule>
  </conditionalFormatting>
  <conditionalFormatting sqref="D43:M43 D41 D47:M47 E41:M42">
    <cfRule type="expression" dxfId="54" priority="107">
      <formula>$E$41="ATTENTION"</formula>
    </cfRule>
  </conditionalFormatting>
  <conditionalFormatting sqref="D41:D42 D44:D46">
    <cfRule type="expression" dxfId="53" priority="106">
      <formula>$E$41="NOT ACCEPTABLE"</formula>
    </cfRule>
  </conditionalFormatting>
  <conditionalFormatting sqref="D40:M40">
    <cfRule type="expression" dxfId="52" priority="103">
      <formula>$E$41="NOT ACCEPTABLE"</formula>
    </cfRule>
  </conditionalFormatting>
  <conditionalFormatting sqref="D48:M48">
    <cfRule type="expression" dxfId="51" priority="99">
      <formula>$E$41="NOT ACCEPTABLE"</formula>
    </cfRule>
  </conditionalFormatting>
  <conditionalFormatting sqref="D47:M47 D41:M43">
    <cfRule type="expression" dxfId="50" priority="97">
      <formula>$E$41="NOT ACCEPTABLE"</formula>
    </cfRule>
  </conditionalFormatting>
  <conditionalFormatting sqref="I33">
    <cfRule type="expression" dxfId="49" priority="21">
      <formula>$I$33=$H$33</formula>
    </cfRule>
  </conditionalFormatting>
  <conditionalFormatting sqref="E36">
    <cfRule type="expression" dxfId="48" priority="18">
      <formula>$E$36=0</formula>
    </cfRule>
  </conditionalFormatting>
  <conditionalFormatting sqref="J36">
    <cfRule type="expression" dxfId="47" priority="17">
      <formula>$E$36=0</formula>
    </cfRule>
  </conditionalFormatting>
  <conditionalFormatting sqref="E18">
    <cfRule type="expression" dxfId="46" priority="2">
      <formula>AND(OR(D18=4671,D18=4702),E18="")</formula>
    </cfRule>
  </conditionalFormatting>
  <conditionalFormatting sqref="F18">
    <cfRule type="expression" dxfId="45" priority="1">
      <formula>AND(ISBLANK(F18),NOT(ISBLANK(D18)))</formula>
    </cfRule>
  </conditionalFormatting>
  <dataValidations count="4">
    <dataValidation type="list" allowBlank="1" showInputMessage="1" showErrorMessage="1" sqref="L24 D26 H26 F26 L18:L19" xr:uid="{B4BC251B-12EA-439C-874A-CFFC1361A95E}">
      <formula1>"TRUE,FALSE"</formula1>
    </dataValidation>
    <dataValidation type="list" allowBlank="1" showInputMessage="1" showErrorMessage="1" sqref="I9" xr:uid="{B0A7DD7A-3418-45A7-8707-557D047EF5C4}">
      <formula1>INDIRECT("DTI_" &amp; NUMBER_SOPs)</formula1>
    </dataValidation>
    <dataValidation type="list" allowBlank="1" showInputMessage="1" showErrorMessage="1" sqref="E18" xr:uid="{177C627C-2588-4BA3-A806-56D8985B9584}">
      <formula1>INDIRECT("POST"&amp;D18)</formula1>
    </dataValidation>
    <dataValidation type="list" allowBlank="1" showInputMessage="1" showErrorMessage="1" sqref="H18:H19" xr:uid="{3C408C11-261D-4232-89EC-3D4432700544}">
      <formula1>PropertyTypeValues</formula1>
    </dataValidation>
  </dataValidations>
  <pageMargins left="0" right="0" top="0" bottom="0" header="0" footer="0"/>
  <pageSetup paperSize="9" scale="80" fitToHeight="0" orientation="landscape" r:id="rId1"/>
  <colBreaks count="1" manualBreakCount="1">
    <brk id="1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8208" r:id="rId4" name="ChkFinanceLMI">
              <controlPr defaultSize="0" autoFill="0" autoLine="0" autoPict="0" macro="[0]!Reset_ImportExport">
                <anchor moveWithCells="1">
                  <from>
                    <xdr:col>11</xdr:col>
                    <xdr:colOff>520700</xdr:colOff>
                    <xdr:row>23</xdr:row>
                    <xdr:rowOff>50800</xdr:rowOff>
                  </from>
                  <to>
                    <xdr:col>11</xdr:col>
                    <xdr:colOff>825500</xdr:colOff>
                    <xdr:row>23</xdr:row>
                    <xdr:rowOff>203200</xdr:rowOff>
                  </to>
                </anchor>
              </controlPr>
            </control>
          </mc:Choice>
        </mc:AlternateContent>
        <mc:AlternateContent xmlns:mc="http://schemas.openxmlformats.org/markup-compatibility/2006">
          <mc:Choice Requires="x14">
            <control shapeId="8342" r:id="rId5" name="Check Box 150">
              <controlPr defaultSize="0" autoFill="0" autoLine="0" autoPict="0">
                <anchor moveWithCells="1">
                  <from>
                    <xdr:col>5</xdr:col>
                    <xdr:colOff>558800</xdr:colOff>
                    <xdr:row>25</xdr:row>
                    <xdr:rowOff>25400</xdr:rowOff>
                  </from>
                  <to>
                    <xdr:col>5</xdr:col>
                    <xdr:colOff>863600</xdr:colOff>
                    <xdr:row>25</xdr:row>
                    <xdr:rowOff>177800</xdr:rowOff>
                  </to>
                </anchor>
              </controlPr>
            </control>
          </mc:Choice>
        </mc:AlternateContent>
        <mc:AlternateContent xmlns:mc="http://schemas.openxmlformats.org/markup-compatibility/2006">
          <mc:Choice Requires="x14">
            <control shapeId="8343" r:id="rId6" name="Check Box 151">
              <controlPr defaultSize="0" autoFill="0" autoLine="0" autoPict="0">
                <anchor moveWithCells="1">
                  <from>
                    <xdr:col>7</xdr:col>
                    <xdr:colOff>736600</xdr:colOff>
                    <xdr:row>25</xdr:row>
                    <xdr:rowOff>25400</xdr:rowOff>
                  </from>
                  <to>
                    <xdr:col>7</xdr:col>
                    <xdr:colOff>1041400</xdr:colOff>
                    <xdr:row>25</xdr:row>
                    <xdr:rowOff>177800</xdr:rowOff>
                  </to>
                </anchor>
              </controlPr>
            </control>
          </mc:Choice>
        </mc:AlternateContent>
        <mc:AlternateContent xmlns:mc="http://schemas.openxmlformats.org/markup-compatibility/2006">
          <mc:Choice Requires="x14">
            <control shapeId="8344" r:id="rId7" name="Check Box 152">
              <controlPr defaultSize="0" autoFill="0" autoLine="0" autoPict="0" macro="[0]!LMI_Lending_Cell">
                <anchor moveWithCells="1">
                  <from>
                    <xdr:col>3</xdr:col>
                    <xdr:colOff>203200</xdr:colOff>
                    <xdr:row>25</xdr:row>
                    <xdr:rowOff>25400</xdr:rowOff>
                  </from>
                  <to>
                    <xdr:col>3</xdr:col>
                    <xdr:colOff>508000</xdr:colOff>
                    <xdr:row>25</xdr:row>
                    <xdr:rowOff>177800</xdr:rowOff>
                  </to>
                </anchor>
              </controlPr>
            </control>
          </mc:Choice>
        </mc:AlternateContent>
        <mc:AlternateContent xmlns:mc="http://schemas.openxmlformats.org/markup-compatibility/2006">
          <mc:Choice Requires="x14">
            <control shapeId="8349" r:id="rId8" name="Check Box 157">
              <controlPr defaultSize="0" autoFill="0" autoLine="0" autoPict="0">
                <anchor moveWithCells="1">
                  <from>
                    <xdr:col>11</xdr:col>
                    <xdr:colOff>495300</xdr:colOff>
                    <xdr:row>17</xdr:row>
                    <xdr:rowOff>25400</xdr:rowOff>
                  </from>
                  <to>
                    <xdr:col>11</xdr:col>
                    <xdr:colOff>800100</xdr:colOff>
                    <xdr:row>17</xdr:row>
                    <xdr:rowOff>177800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3" id="{CE6188C8-D0BC-47C7-B610-4455ADA03D27}">
            <xm:f>IF($J$9&gt;='Configurable Items'!$E$537,TRUE,FALSE)</xm:f>
            <x14:dxf>
              <font>
                <b/>
                <i val="0"/>
                <color rgb="FFB60000"/>
              </font>
            </x14:dxf>
          </x14:cfRule>
          <x14:cfRule type="expression" priority="64" id="{36AB0FB2-C54A-420F-A914-0F5372B70005}">
            <xm:f>IF(AND($J$9&gt;='Configurable Items'!$E$536,$L$9=0),TRUE,FALSE)</xm:f>
            <x14:dxf>
              <font>
                <b/>
                <i val="0"/>
                <color rgb="FFB60000"/>
              </font>
            </x14:dxf>
          </x14:cfRule>
          <xm:sqref>J10</xm:sqref>
        </x14:conditionalFormatting>
        <x14:conditionalFormatting xmlns:xm="http://schemas.microsoft.com/office/excel/2006/main">
          <x14:cfRule type="expression" priority="65" id="{506E1608-0329-43F3-9799-4E67BA90F3FB}">
            <xm:f>$J$9&gt;'Configurable Items'!$E$535</xm:f>
            <x14:dxf>
              <font>
                <b/>
                <i val="0"/>
                <color rgb="FFF36D00"/>
              </font>
            </x14:dxf>
          </x14:cfRule>
          <xm:sqref>J10</xm:sqref>
        </x14:conditionalFormatting>
        <x14:conditionalFormatting xmlns:xm="http://schemas.microsoft.com/office/excel/2006/main">
          <x14:cfRule type="expression" priority="60" id="{FB2BCAA3-4E9E-437D-9CC7-B73775C13592}">
            <xm:f>IF($J$9&gt;='Configurable Items'!$E$537,TRUE,FALSE)</xm:f>
            <x14:dxf>
              <font>
                <b/>
                <i val="0"/>
                <color rgb="FFB60000"/>
              </font>
            </x14:dxf>
          </x14:cfRule>
          <x14:cfRule type="expression" priority="61" id="{CD109EAA-75FC-4862-A9E3-F4BDA8219FB7}">
            <xm:f>IF(AND($J$9&gt;='Configurable Items'!$E$536,$L$9=0),TRUE,FALSE)</xm:f>
            <x14:dxf>
              <font>
                <b/>
                <i val="0"/>
                <color rgb="FFB60000"/>
              </font>
            </x14:dxf>
          </x14:cfRule>
          <xm:sqref>J9</xm:sqref>
        </x14:conditionalFormatting>
        <x14:conditionalFormatting xmlns:xm="http://schemas.microsoft.com/office/excel/2006/main">
          <x14:cfRule type="expression" priority="62" id="{98C73C3C-EDD5-454B-ABFA-060236DD0ABF}">
            <xm:f>$J$9&gt;'Configurable Items'!$E$535</xm:f>
            <x14:dxf>
              <font>
                <b/>
                <i val="0"/>
                <color rgb="FFF36D00"/>
              </font>
            </x14:dxf>
          </x14:cfRule>
          <xm:sqref>J9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8687DE8-80CA-4B86-847D-6B9B5A556F77}">
          <x14:formula1>
            <xm:f>'Configurable Items'!$E$957:$E$961</xm:f>
          </x14:formula1>
          <xm:sqref>G9</xm:sqref>
        </x14:dataValidation>
        <x14:dataValidation type="list" allowBlank="1" showInputMessage="1" showErrorMessage="1" xr:uid="{07D224E6-89AD-40E8-8D71-74551F2B2F75}">
          <x14:formula1>
            <xm:f>'Configurable Items'!$D$4807:$D$4815</xm:f>
          </x14:formula1>
          <xm:sqref>G26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1852A-CE99-4B27-B3EC-DB64DB63A41F}">
  <sheetPr codeName="Sheet26">
    <pageSetUpPr fitToPage="1"/>
  </sheetPr>
  <dimension ref="A1:AP1614"/>
  <sheetViews>
    <sheetView showGridLines="0" showRowColHeaders="0" zoomScaleNormal="100" workbookViewId="0">
      <selection activeCell="D9" sqref="D9"/>
    </sheetView>
  </sheetViews>
  <sheetFormatPr baseColWidth="10" defaultColWidth="8" defaultRowHeight="14"/>
  <cols>
    <col min="1" max="3" width="0.83203125" style="745" customWidth="1"/>
    <col min="4" max="4" width="31.1640625" style="745" customWidth="1"/>
    <col min="5" max="5" width="1.33203125" style="745" customWidth="1"/>
    <col min="6" max="6" width="31.1640625" style="745" customWidth="1"/>
    <col min="7" max="7" width="0.83203125" style="745" customWidth="1"/>
    <col min="8" max="9" width="14" style="745" hidden="1" customWidth="1"/>
    <col min="10" max="10" width="1.83203125" style="745" customWidth="1"/>
    <col min="11" max="11" width="0.83203125" style="745" customWidth="1"/>
    <col min="12" max="12" width="35.1640625" style="745" customWidth="1"/>
    <col min="13" max="13" width="17.33203125" style="745" customWidth="1"/>
    <col min="14" max="15" width="0.83203125" style="745" customWidth="1"/>
    <col min="16" max="16" width="12.1640625" style="745" bestFit="1" customWidth="1"/>
    <col min="17" max="17" width="12.1640625" style="745" customWidth="1"/>
    <col min="18" max="18" width="10.5" style="745" customWidth="1"/>
    <col min="19" max="20" width="8" style="745"/>
    <col min="21" max="21" width="9.6640625" style="745" bestFit="1" customWidth="1"/>
    <col min="22" max="25" width="8" style="745"/>
    <col min="26" max="26" width="12.83203125" style="745" customWidth="1"/>
    <col min="27" max="39" width="8" style="745"/>
    <col min="40" max="42" width="0" style="745" hidden="1" customWidth="1"/>
    <col min="43" max="16384" width="8" style="745"/>
  </cols>
  <sheetData>
    <row r="1" spans="1:27" ht="5.25" customHeight="1">
      <c r="A1" s="772">
        <f>M19</f>
        <v>1000</v>
      </c>
    </row>
    <row r="2" spans="1:27" ht="5.25" customHeight="1">
      <c r="B2" s="746"/>
      <c r="C2" s="747"/>
      <c r="D2" s="747"/>
      <c r="E2" s="747"/>
      <c r="F2" s="747"/>
      <c r="G2" s="747"/>
      <c r="H2" s="747"/>
      <c r="I2" s="747"/>
      <c r="J2" s="747"/>
      <c r="K2" s="747"/>
      <c r="L2" s="747"/>
      <c r="M2" s="747"/>
      <c r="N2" s="773"/>
      <c r="O2" s="748"/>
    </row>
    <row r="3" spans="1:27" ht="30.75" customHeight="1">
      <c r="B3" s="749"/>
      <c r="C3" s="1472" t="s">
        <v>8936</v>
      </c>
      <c r="D3" s="1472"/>
      <c r="E3" s="1472"/>
      <c r="F3" s="1472"/>
      <c r="G3" s="1472"/>
      <c r="H3" s="1472"/>
      <c r="I3" s="1472"/>
      <c r="J3" s="1472"/>
      <c r="K3" s="1472"/>
      <c r="L3" s="1472"/>
      <c r="M3" s="1472"/>
      <c r="N3" s="740"/>
      <c r="O3" s="750"/>
    </row>
    <row r="4" spans="1:27" ht="11.25" customHeight="1">
      <c r="B4" s="749"/>
      <c r="C4" s="751"/>
      <c r="D4" s="751"/>
      <c r="E4" s="751"/>
      <c r="F4" s="751"/>
      <c r="G4" s="751"/>
      <c r="H4" s="751"/>
      <c r="I4" s="751"/>
      <c r="J4" s="751"/>
      <c r="K4" s="751"/>
      <c r="L4" s="751"/>
      <c r="M4" s="751"/>
      <c r="N4" s="751"/>
      <c r="O4" s="750"/>
    </row>
    <row r="5" spans="1:27" ht="14.25" customHeight="1">
      <c r="B5" s="749"/>
      <c r="C5" s="1473" t="s">
        <v>723</v>
      </c>
      <c r="D5" s="1473"/>
      <c r="E5" s="1473"/>
      <c r="F5" s="1473"/>
      <c r="G5" s="1473"/>
      <c r="H5" s="751"/>
      <c r="I5" s="751"/>
      <c r="J5" s="751"/>
      <c r="K5" s="774" t="s">
        <v>8946</v>
      </c>
      <c r="L5" s="775"/>
      <c r="M5" s="751"/>
      <c r="N5" s="751"/>
      <c r="O5" s="750"/>
    </row>
    <row r="6" spans="1:27" ht="5.25" customHeight="1">
      <c r="B6" s="749"/>
      <c r="C6" s="751"/>
      <c r="D6" s="751"/>
      <c r="E6" s="751"/>
      <c r="F6" s="751"/>
      <c r="G6" s="751"/>
      <c r="H6" s="751"/>
      <c r="I6" s="751"/>
      <c r="J6" s="751"/>
      <c r="K6" s="751"/>
      <c r="L6" s="751"/>
      <c r="M6" s="751"/>
      <c r="N6" s="751"/>
      <c r="O6" s="750"/>
    </row>
    <row r="7" spans="1:27" ht="5.25" customHeight="1">
      <c r="B7" s="749"/>
      <c r="C7" s="752"/>
      <c r="D7" s="753"/>
      <c r="E7" s="753"/>
      <c r="F7" s="753"/>
      <c r="G7" s="754"/>
      <c r="H7" s="776"/>
      <c r="I7" s="776"/>
      <c r="J7" s="751"/>
      <c r="K7" s="752"/>
      <c r="L7" s="753"/>
      <c r="M7" s="753"/>
      <c r="N7" s="754"/>
      <c r="O7" s="750"/>
    </row>
    <row r="8" spans="1:27" ht="20.25" customHeight="1">
      <c r="B8" s="749"/>
      <c r="C8" s="755"/>
      <c r="D8" s="724" t="s">
        <v>724</v>
      </c>
      <c r="E8" s="32"/>
      <c r="F8" s="724" t="s">
        <v>198</v>
      </c>
      <c r="G8" s="758"/>
      <c r="H8" s="776"/>
      <c r="I8" s="776"/>
      <c r="J8" s="751"/>
      <c r="K8" s="777"/>
      <c r="L8" s="778" t="s">
        <v>725</v>
      </c>
      <c r="M8" s="756"/>
      <c r="N8" s="758"/>
      <c r="O8" s="750"/>
      <c r="Q8" s="35"/>
    </row>
    <row r="9" spans="1:27" ht="20.25" customHeight="1">
      <c r="B9" s="749"/>
      <c r="C9" s="755"/>
      <c r="D9" s="779"/>
      <c r="E9" s="32"/>
      <c r="F9" s="93" t="b">
        <v>0</v>
      </c>
      <c r="G9" s="758"/>
      <c r="H9" s="776"/>
      <c r="I9" s="776"/>
      <c r="J9" s="751"/>
      <c r="K9" s="777"/>
      <c r="L9" s="780" t="s">
        <v>226</v>
      </c>
      <c r="M9" s="781">
        <f>IF(D9="Construct on Existing Land",0,
IF(FC_APT=TRUE,0,
STAMP_DUTY(D9,D19,0,IF(LEFT(D11,3)="VIC","VIC",D11),IF(D13="Investment",TRUE,FALSE),TRUE,IF(AND(FC_Foreign=TRUE,F11=1),FALSE,FC_FHB),IF(D9="Buy an established home",TRUE,FALSE),IF(D9="Buy Land Only",TRUE,IF(D9="Buy Land and Construct",TRUE,FALSE)),FC_FHB_Income,FALSE)))</f>
        <v>0</v>
      </c>
      <c r="N9" s="782"/>
      <c r="O9" s="750"/>
    </row>
    <row r="10" spans="1:27" ht="20.25" customHeight="1">
      <c r="B10" s="749"/>
      <c r="C10" s="755"/>
      <c r="D10" s="724" t="s">
        <v>726</v>
      </c>
      <c r="E10" s="32"/>
      <c r="F10" s="724" t="str">
        <f>IF(FC_Foreign=TRUE,"Foreign purchaser interest","")</f>
        <v/>
      </c>
      <c r="G10" s="758"/>
      <c r="H10" s="776"/>
      <c r="I10" s="776"/>
      <c r="J10" s="751"/>
      <c r="K10" s="777"/>
      <c r="L10" s="1502" t="str">
        <f>IF(FC_APT=TRUE,"Customer opts to pay Annual Property Tax instead",IF(D19=0,"   No concessions apply","   Includes "&amp;(IF(D9="Construct on Existing Land",0,
STAMP_DUTY(D9,D19,0,IF(LEFT(D11,3)="VIC","VIC",D11),IF(D13="Investment",TRUE,FALSE),TRUE,IF(AND(FC_Foreign=TRUE,F11=1),FALSE,FC_FHB),IF(D9="Buy an established home",TRUE,FALSE),IF(D9="Buy Land Only",TRUE,IF(D9="Buy Land and Construct",TRUE,FALSE)),F15,"Concession_Name"))) &amp; " Concession of $"&amp; ROUND((IF(D9="Construct on Existing Land",0,
STAMP_DUTY(D9,D19,0,IF(LEFT(D11,3)="VIC","VIC",D11),IF(D13="Investment",TRUE,FALSE),FALSE,IF(AND(FC_Foreign=TRUE,F11=1),FALSE,FC_FHB),IF(D9="Buy an established home",TRUE,FALSE),IF(D9="Buy Land Only",TRUE,IF(D9="Buy Land and Construct",TRUE,FALSE)),F15,"SD")))-M9,2)))</f>
        <v xml:space="preserve">   No concessions apply</v>
      </c>
      <c r="M10" s="1502"/>
      <c r="N10" s="758"/>
      <c r="O10" s="750"/>
    </row>
    <row r="11" spans="1:27" ht="20.25" customHeight="1">
      <c r="B11" s="749"/>
      <c r="C11" s="755"/>
      <c r="D11" s="779"/>
      <c r="E11" s="32"/>
      <c r="F11" s="739">
        <v>1</v>
      </c>
      <c r="G11" s="758"/>
      <c r="H11" s="776"/>
      <c r="I11" s="776"/>
      <c r="J11" s="751"/>
      <c r="K11" s="777"/>
      <c r="L11" s="780" t="s">
        <v>727</v>
      </c>
      <c r="M11" s="781">
        <f>(IF(D9="Construct on Existing Land",0,rot(D19,IF(LEFT(D11,3)="VIC","VIC",D11))))</f>
        <v>0</v>
      </c>
      <c r="N11" s="782"/>
      <c r="O11" s="750"/>
      <c r="X11" s="759"/>
      <c r="Y11" s="759"/>
      <c r="AA11" s="759"/>
    </row>
    <row r="12" spans="1:27" ht="20.25" customHeight="1">
      <c r="B12" s="749"/>
      <c r="C12" s="755"/>
      <c r="D12" s="724" t="s">
        <v>728</v>
      </c>
      <c r="E12" s="32"/>
      <c r="F12" s="724" t="s">
        <v>729</v>
      </c>
      <c r="G12" s="758"/>
      <c r="H12" s="776"/>
      <c r="I12" s="776"/>
      <c r="J12" s="751"/>
      <c r="K12" s="777"/>
      <c r="L12" s="780" t="s">
        <v>730</v>
      </c>
      <c r="M12" s="781">
        <f>IF(ISBLANK(D11),0,IF(D9="Construct on Existing Land",0,VLOOKUP(IF(LEFT(D11,3)="VIC","VIC",D11),'Configurable Items'!$D$865:$E$872,2,FALSE)))</f>
        <v>0</v>
      </c>
      <c r="N12" s="758"/>
      <c r="O12" s="750"/>
      <c r="X12" s="759"/>
      <c r="Y12" s="759"/>
      <c r="AA12" s="759"/>
    </row>
    <row r="13" spans="1:27" ht="20.25" customHeight="1">
      <c r="B13" s="749"/>
      <c r="C13" s="755"/>
      <c r="D13" s="779"/>
      <c r="E13" s="32"/>
      <c r="F13" s="783">
        <v>1000</v>
      </c>
      <c r="G13" s="758"/>
      <c r="H13" s="776"/>
      <c r="I13" s="776"/>
      <c r="J13" s="751"/>
      <c r="K13" s="777"/>
      <c r="L13" s="780" t="s">
        <v>731</v>
      </c>
      <c r="M13" s="781">
        <f>IF(ISBLANK(D11),0,IF(D9="Construct on Existing Land",0,VLOOKUP(IF(LEFT(D11,3)="VIC","VIC",D11),'Configurable Items'!$D$890:$E$897,2,FALSE)))</f>
        <v>0</v>
      </c>
      <c r="N13" s="758"/>
      <c r="O13" s="750"/>
      <c r="X13" s="759"/>
      <c r="Y13" s="759"/>
      <c r="AA13" s="759"/>
    </row>
    <row r="14" spans="1:27" ht="20.25" customHeight="1">
      <c r="B14" s="749"/>
      <c r="C14" s="755"/>
      <c r="D14" s="724" t="s">
        <v>197</v>
      </c>
      <c r="E14" s="49"/>
      <c r="F14" s="92" t="s">
        <v>196</v>
      </c>
      <c r="G14" s="758"/>
      <c r="H14" s="776"/>
      <c r="I14" s="776"/>
      <c r="J14" s="751"/>
      <c r="K14" s="777"/>
      <c r="L14" s="780" t="s">
        <v>8447</v>
      </c>
      <c r="M14" s="781" cm="1">
        <f t="array" ref="M14">IF(FC_Foreign=FALSE,0,FPS(D19, IF(LEFT(D11,3)="VIC","VIC",D11), IF(D13="Investment",TRUE,FALSE), F11))</f>
        <v>0</v>
      </c>
      <c r="N14" s="758"/>
      <c r="O14" s="750"/>
      <c r="X14" s="759"/>
      <c r="Y14" s="759"/>
      <c r="AA14" s="759"/>
    </row>
    <row r="15" spans="1:27" ht="20.25" customHeight="1">
      <c r="B15" s="749"/>
      <c r="C15" s="755"/>
      <c r="D15" s="795" t="b">
        <v>0</v>
      </c>
      <c r="E15" s="57"/>
      <c r="F15" s="784" t="b">
        <v>0</v>
      </c>
      <c r="G15" s="758"/>
      <c r="H15" s="776"/>
      <c r="I15" s="776"/>
      <c r="J15" s="751"/>
      <c r="K15" s="777"/>
      <c r="L15" s="778" t="s">
        <v>732</v>
      </c>
      <c r="M15" s="785"/>
      <c r="N15" s="758"/>
      <c r="O15" s="750"/>
      <c r="X15" s="759"/>
      <c r="Y15" s="759"/>
      <c r="AA15" s="759"/>
    </row>
    <row r="16" spans="1:27" ht="20.25" customHeight="1">
      <c r="B16" s="749"/>
      <c r="C16" s="755"/>
      <c r="D16" s="724" t="s">
        <v>735</v>
      </c>
      <c r="E16" s="32"/>
      <c r="F16" s="32"/>
      <c r="G16" s="758"/>
      <c r="H16" s="776"/>
      <c r="I16" s="776"/>
      <c r="J16" s="751"/>
      <c r="K16" s="777"/>
      <c r="L16" s="780" t="s">
        <v>733</v>
      </c>
      <c r="M16" s="781">
        <f>F13</f>
        <v>1000</v>
      </c>
      <c r="N16" s="758"/>
      <c r="O16" s="750"/>
      <c r="X16" s="759"/>
      <c r="Y16" s="759"/>
      <c r="AA16" s="759"/>
    </row>
    <row r="17" spans="2:27" ht="20.25" customHeight="1">
      <c r="B17" s="749"/>
      <c r="C17" s="755"/>
      <c r="D17" s="796" t="b">
        <v>0</v>
      </c>
      <c r="E17" s="756"/>
      <c r="F17" s="756"/>
      <c r="G17" s="758"/>
      <c r="H17" s="776"/>
      <c r="I17" s="776"/>
      <c r="J17" s="751"/>
      <c r="K17" s="777"/>
      <c r="L17" s="780" t="s">
        <v>734</v>
      </c>
      <c r="M17" s="781">
        <f>D24</f>
        <v>0</v>
      </c>
      <c r="N17" s="758"/>
      <c r="O17" s="750"/>
      <c r="X17" s="759"/>
      <c r="Y17" s="759"/>
      <c r="AA17" s="759"/>
    </row>
    <row r="18" spans="2:27" ht="20.25" customHeight="1">
      <c r="B18" s="749"/>
      <c r="C18" s="755"/>
      <c r="D18" s="786" t="str">
        <f>IF(D9="","Purchase Price",VLOOKUP(D9,'Internal Ref'!$F$131:$L$136,6,FALSE))</f>
        <v>Purchase Price</v>
      </c>
      <c r="E18" s="32"/>
      <c r="F18" s="724" t="str">
        <f>IF(D9="","",IF(VLOOKUP(D9,'Internal Ref'!$F$131:$L$136,7,FALSE)=0,"",VLOOKUP(D9,'Internal Ref'!$F$131:$L$136,7,FALSE)))</f>
        <v/>
      </c>
      <c r="G18" s="758"/>
      <c r="H18" s="776"/>
      <c r="I18" s="776"/>
      <c r="J18" s="751"/>
      <c r="K18" s="777"/>
      <c r="L18" s="780" t="s">
        <v>736</v>
      </c>
      <c r="M18" s="781">
        <f>IF(D17,ROUNDUP(D21/1000000,0)*750,0)</f>
        <v>0</v>
      </c>
      <c r="N18" s="758"/>
      <c r="O18" s="750"/>
      <c r="X18" s="759"/>
      <c r="Y18" s="759"/>
      <c r="AA18" s="759"/>
    </row>
    <row r="19" spans="2:27" ht="20.25" customHeight="1">
      <c r="B19" s="749"/>
      <c r="C19" s="755"/>
      <c r="D19" s="783"/>
      <c r="E19" s="46"/>
      <c r="F19" s="94"/>
      <c r="G19" s="758"/>
      <c r="H19" s="776"/>
      <c r="I19" s="776"/>
      <c r="J19" s="751"/>
      <c r="K19" s="777"/>
      <c r="L19" s="787" t="s">
        <v>737</v>
      </c>
      <c r="M19" s="788">
        <f>SUM(M9:M18)</f>
        <v>1000</v>
      </c>
      <c r="N19" s="758"/>
      <c r="O19" s="750"/>
      <c r="X19" s="759"/>
      <c r="Y19" s="759"/>
      <c r="AA19" s="759"/>
    </row>
    <row r="20" spans="2:27" ht="20.25" customHeight="1">
      <c r="B20" s="749"/>
      <c r="C20" s="755"/>
      <c r="D20" s="724" t="s">
        <v>738</v>
      </c>
      <c r="E20" s="32"/>
      <c r="F20" s="32"/>
      <c r="G20" s="758"/>
      <c r="H20" s="776"/>
      <c r="I20" s="776"/>
      <c r="J20" s="751"/>
      <c r="K20" s="777"/>
      <c r="L20" s="778" t="s">
        <v>739</v>
      </c>
      <c r="M20" s="789"/>
      <c r="N20" s="758"/>
      <c r="O20" s="750"/>
      <c r="X20" s="759"/>
      <c r="Y20" s="759"/>
      <c r="AA20" s="759"/>
    </row>
    <row r="21" spans="2:27" ht="20.25" customHeight="1">
      <c r="B21" s="749"/>
      <c r="C21" s="755"/>
      <c r="D21" s="783"/>
      <c r="E21" s="46"/>
      <c r="F21" s="46"/>
      <c r="G21" s="758"/>
      <c r="H21" s="776"/>
      <c r="I21" s="776"/>
      <c r="J21" s="751"/>
      <c r="K21" s="777"/>
      <c r="L21" s="780" t="str">
        <f>IF(D9="","Purchase Price",VLOOKUP(D9,'Internal Ref'!$F$131:$M$136,8,FALSE))</f>
        <v>Purchase Price</v>
      </c>
      <c r="M21" s="781">
        <f>IF($D$9="",0,IF(VLOOKUP($D$9,'Internal Ref'!$F$131:$J$136,5,FALSE),D19+F19,D19))</f>
        <v>0</v>
      </c>
      <c r="N21" s="758"/>
      <c r="O21" s="750"/>
      <c r="X21" s="759"/>
      <c r="Y21" s="759"/>
      <c r="AA21" s="759"/>
    </row>
    <row r="22" spans="2:27" ht="20.25" customHeight="1">
      <c r="B22" s="749"/>
      <c r="C22" s="755"/>
      <c r="D22" s="790" t="s">
        <v>740</v>
      </c>
      <c r="E22" s="741"/>
      <c r="F22" s="741"/>
      <c r="G22" s="758"/>
      <c r="H22" s="776"/>
      <c r="I22" s="776"/>
      <c r="J22" s="751"/>
      <c r="K22" s="777"/>
      <c r="L22" s="780" t="s">
        <v>741</v>
      </c>
      <c r="M22" s="781">
        <f>IF(D26=TRUE,D21+D24,D21)</f>
        <v>0</v>
      </c>
      <c r="N22" s="758"/>
      <c r="O22" s="750"/>
      <c r="X22" s="759"/>
      <c r="Y22" s="759"/>
      <c r="AA22" s="759"/>
    </row>
    <row r="23" spans="2:27" ht="20.25" customHeight="1">
      <c r="B23" s="749"/>
      <c r="C23" s="755"/>
      <c r="D23" s="724" t="s">
        <v>585</v>
      </c>
      <c r="E23" s="32"/>
      <c r="F23" s="32"/>
      <c r="G23" s="758"/>
      <c r="H23" s="791" t="b">
        <v>1</v>
      </c>
      <c r="I23" s="792" t="b">
        <v>1</v>
      </c>
      <c r="J23" s="751"/>
      <c r="K23" s="777"/>
      <c r="L23" s="780" t="s">
        <v>742</v>
      </c>
      <c r="M23" s="781">
        <f>M21-M22</f>
        <v>0</v>
      </c>
      <c r="N23" s="758"/>
      <c r="O23" s="750"/>
      <c r="X23" s="759"/>
      <c r="Y23" s="759"/>
      <c r="AA23" s="759"/>
    </row>
    <row r="24" spans="2:27" ht="20.25" customHeight="1">
      <c r="B24" s="749"/>
      <c r="C24" s="755"/>
      <c r="D24" s="783"/>
      <c r="E24" s="46"/>
      <c r="F24" s="46"/>
      <c r="G24" s="758"/>
      <c r="H24" s="776"/>
      <c r="I24" s="776"/>
      <c r="J24" s="751"/>
      <c r="K24" s="777"/>
      <c r="L24" s="780" t="s">
        <v>737</v>
      </c>
      <c r="M24" s="781">
        <f>M19</f>
        <v>1000</v>
      </c>
      <c r="N24" s="758"/>
      <c r="O24" s="750"/>
      <c r="X24" s="759"/>
      <c r="Y24" s="759"/>
      <c r="AA24" s="759"/>
    </row>
    <row r="25" spans="2:27" ht="20.25" customHeight="1">
      <c r="B25" s="749"/>
      <c r="C25" s="755"/>
      <c r="D25" s="724" t="s">
        <v>743</v>
      </c>
      <c r="E25" s="32"/>
      <c r="F25" s="32"/>
      <c r="G25" s="758"/>
      <c r="H25" s="776"/>
      <c r="I25" s="776"/>
      <c r="J25" s="751"/>
      <c r="K25" s="777"/>
      <c r="L25" s="780" t="s">
        <v>744</v>
      </c>
      <c r="M25" s="189" t="str">
        <f>IF(M21=0,"",M22/M21)</f>
        <v/>
      </c>
      <c r="N25" s="758"/>
      <c r="O25" s="750"/>
      <c r="X25" s="759"/>
      <c r="Y25" s="759"/>
      <c r="AA25" s="759"/>
    </row>
    <row r="26" spans="2:27" ht="20.25" customHeight="1">
      <c r="B26" s="749"/>
      <c r="C26" s="755"/>
      <c r="D26" s="99" t="b">
        <v>0</v>
      </c>
      <c r="E26" s="46"/>
      <c r="F26" s="46"/>
      <c r="G26" s="758"/>
      <c r="H26" s="776"/>
      <c r="I26" s="776"/>
      <c r="J26" s="751"/>
      <c r="K26" s="777"/>
      <c r="L26" s="1504" t="s">
        <v>745</v>
      </c>
      <c r="M26" s="788">
        <f>M23+M24</f>
        <v>1000</v>
      </c>
      <c r="N26" s="758"/>
      <c r="O26" s="750"/>
      <c r="X26" s="759"/>
      <c r="Y26" s="759"/>
      <c r="AA26" s="759"/>
    </row>
    <row r="27" spans="2:27" ht="20.25" customHeight="1">
      <c r="B27" s="749"/>
      <c r="C27" s="777"/>
      <c r="D27" s="8"/>
      <c r="E27" s="756"/>
      <c r="F27" s="756"/>
      <c r="G27" s="758"/>
      <c r="H27" s="776"/>
      <c r="I27" s="776"/>
      <c r="J27" s="751"/>
      <c r="K27" s="777"/>
      <c r="L27" s="1504"/>
      <c r="M27" s="789"/>
      <c r="N27" s="758"/>
      <c r="O27" s="750"/>
      <c r="X27" s="759"/>
      <c r="Y27" s="759"/>
      <c r="AA27" s="759"/>
    </row>
    <row r="28" spans="2:27" ht="20.25" customHeight="1">
      <c r="B28" s="749"/>
      <c r="C28" s="725"/>
      <c r="D28" s="793" t="b">
        <v>0</v>
      </c>
      <c r="E28" s="756"/>
      <c r="F28" s="756"/>
      <c r="G28" s="758"/>
      <c r="H28" s="776"/>
      <c r="I28" s="776"/>
      <c r="J28" s="751"/>
      <c r="K28" s="777"/>
      <c r="L28" s="778" t="s">
        <v>746</v>
      </c>
      <c r="N28" s="758"/>
      <c r="O28" s="750"/>
      <c r="X28" s="759"/>
      <c r="Y28" s="759"/>
      <c r="AA28" s="759"/>
    </row>
    <row r="29" spans="2:27" ht="29.25" customHeight="1">
      <c r="B29" s="749"/>
      <c r="C29" s="725"/>
      <c r="D29" s="756"/>
      <c r="E29" s="756"/>
      <c r="F29" s="756"/>
      <c r="G29" s="758"/>
      <c r="H29" s="776"/>
      <c r="I29" s="776"/>
      <c r="J29" s="751"/>
      <c r="K29" s="777"/>
      <c r="L29" s="780" t="s">
        <v>747</v>
      </c>
      <c r="M29" s="781" t="str">
        <f>IF(D11="","",FHOG_DEFAULT(D15, IF(LEFT(D11,3)="VIC","VIC",D11), VLOOKUP(D11,'Configurable Items'!D4863:E4871,2,FALSE), M21, D9, IF(D13="investment",TRUE,FALSE)))</f>
        <v/>
      </c>
      <c r="N29" s="758"/>
      <c r="O29" s="750"/>
      <c r="X29" s="759"/>
      <c r="Y29" s="759"/>
      <c r="AA29" s="759"/>
    </row>
    <row r="30" spans="2:27" ht="29.25" customHeight="1">
      <c r="B30" s="749"/>
      <c r="C30" s="762"/>
      <c r="D30" s="763"/>
      <c r="E30" s="763"/>
      <c r="F30" s="763"/>
      <c r="G30" s="764"/>
      <c r="H30" s="776"/>
      <c r="I30" s="776"/>
      <c r="J30" s="751"/>
      <c r="K30" s="762"/>
      <c r="L30" s="1503" t="s">
        <v>8951</v>
      </c>
      <c r="M30" s="1503"/>
      <c r="N30" s="764"/>
      <c r="O30" s="750"/>
      <c r="X30" s="759"/>
      <c r="Y30" s="759"/>
      <c r="AA30" s="759"/>
    </row>
    <row r="31" spans="2:27" ht="5.25" customHeight="1">
      <c r="B31" s="749"/>
      <c r="C31" s="751"/>
      <c r="D31" s="751"/>
      <c r="E31" s="751"/>
      <c r="F31" s="751"/>
      <c r="G31" s="751"/>
      <c r="H31" s="751"/>
      <c r="I31" s="751"/>
      <c r="J31" s="751"/>
      <c r="K31" s="751"/>
      <c r="L31" s="751"/>
      <c r="M31" s="751"/>
      <c r="N31" s="751"/>
      <c r="O31" s="750"/>
      <c r="X31" s="759"/>
      <c r="Y31" s="759"/>
      <c r="AA31" s="759"/>
    </row>
    <row r="32" spans="2:27" ht="21" customHeight="1">
      <c r="B32" s="749"/>
      <c r="C32" s="775" t="s">
        <v>160</v>
      </c>
      <c r="D32" s="751"/>
      <c r="E32" s="983"/>
      <c r="F32" s="983"/>
      <c r="G32" s="751"/>
      <c r="H32" s="751"/>
      <c r="I32" s="751"/>
      <c r="J32" s="751"/>
      <c r="K32" s="751"/>
      <c r="L32" s="751"/>
      <c r="M32" s="751"/>
      <c r="N32" s="751"/>
      <c r="O32" s="750"/>
      <c r="X32" s="759"/>
      <c r="Y32" s="759"/>
      <c r="AA32" s="759"/>
    </row>
    <row r="33" spans="2:27" ht="40.5" customHeight="1">
      <c r="B33" s="749"/>
      <c r="C33" s="1496" t="str">
        <f ca="1">"This is an estimate only, current as at "&amp;TEXT(TODAY(),"dd/mm/yyyy")&amp;". It is provided for illustrative purposes only and is based on the accuracy of information provided. "&amp;"It does not constitute a quote or offer for credit. All applications for credit are subject to ANZ’s normal credit approval criteria. Terms and conditions apply and are available on application. Fees and charges apply."</f>
        <v>This is an estimate only, current as at 03/06/2025. It is provided for illustrative purposes only and is based on the accuracy of information provided. It does not constitute a quote or offer for credit. All applications for credit are subject to ANZ’s normal credit approval criteria. Terms and conditions apply and are available on application. Fees and charges apply.</v>
      </c>
      <c r="D33" s="1496"/>
      <c r="E33" s="1496"/>
      <c r="F33" s="1496"/>
      <c r="G33" s="1496"/>
      <c r="H33" s="1496"/>
      <c r="I33" s="1496"/>
      <c r="J33" s="1496"/>
      <c r="K33" s="1496"/>
      <c r="L33" s="1496"/>
      <c r="M33" s="1496"/>
      <c r="N33" s="751"/>
      <c r="O33" s="750"/>
      <c r="X33" s="759"/>
      <c r="Y33" s="759"/>
      <c r="AA33" s="759"/>
    </row>
    <row r="34" spans="2:27" ht="11.25" customHeight="1">
      <c r="B34" s="765"/>
      <c r="C34" s="766"/>
      <c r="D34" s="766"/>
      <c r="E34" s="766"/>
      <c r="F34" s="766"/>
      <c r="G34" s="766"/>
      <c r="H34" s="766"/>
      <c r="I34" s="766"/>
      <c r="J34" s="766"/>
      <c r="K34" s="766"/>
      <c r="L34" s="766"/>
      <c r="M34" s="766"/>
      <c r="N34" s="794" t="str">
        <f>ML_CALC_VERSION</f>
        <v>HL_Calc_V54_250405</v>
      </c>
      <c r="O34" s="767"/>
      <c r="X34" s="759"/>
      <c r="Y34" s="759"/>
      <c r="AA34" s="759"/>
    </row>
    <row r="35" spans="2:27">
      <c r="X35" s="759"/>
      <c r="Y35" s="759"/>
      <c r="AA35" s="759"/>
    </row>
    <row r="36" spans="2:27">
      <c r="X36" s="759"/>
      <c r="Y36" s="759"/>
      <c r="AA36" s="759"/>
    </row>
    <row r="37" spans="2:27">
      <c r="X37" s="759"/>
      <c r="Y37" s="759"/>
      <c r="AA37" s="759"/>
    </row>
    <row r="38" spans="2:27">
      <c r="X38" s="759"/>
      <c r="Y38" s="759"/>
      <c r="AA38" s="759"/>
    </row>
    <row r="39" spans="2:27">
      <c r="X39" s="759"/>
      <c r="Y39" s="759"/>
      <c r="AA39" s="759"/>
    </row>
    <row r="40" spans="2:27">
      <c r="X40" s="759"/>
      <c r="Y40" s="759"/>
      <c r="AA40" s="759"/>
    </row>
    <row r="41" spans="2:27">
      <c r="X41" s="759"/>
      <c r="Y41" s="759"/>
      <c r="AA41" s="759"/>
    </row>
    <row r="42" spans="2:27">
      <c r="X42" s="759"/>
      <c r="Y42" s="759"/>
      <c r="AA42" s="759"/>
    </row>
    <row r="43" spans="2:27">
      <c r="X43" s="759"/>
      <c r="Y43" s="759"/>
      <c r="AA43" s="759"/>
    </row>
    <row r="44" spans="2:27">
      <c r="X44" s="759"/>
      <c r="Y44" s="759"/>
      <c r="AA44" s="759"/>
    </row>
    <row r="45" spans="2:27">
      <c r="X45" s="759"/>
      <c r="Y45" s="759"/>
      <c r="AA45" s="759"/>
    </row>
    <row r="46" spans="2:27">
      <c r="X46" s="759"/>
      <c r="Y46" s="759"/>
      <c r="AA46" s="759"/>
    </row>
    <row r="47" spans="2:27">
      <c r="X47" s="759"/>
      <c r="Y47" s="759"/>
      <c r="AA47" s="759"/>
    </row>
    <row r="48" spans="2:27">
      <c r="X48" s="759"/>
      <c r="Y48" s="759"/>
      <c r="AA48" s="759"/>
    </row>
    <row r="49" spans="24:27">
      <c r="X49" s="759"/>
      <c r="Y49" s="759"/>
      <c r="AA49" s="759"/>
    </row>
    <row r="50" spans="24:27">
      <c r="X50" s="759"/>
      <c r="Y50" s="759"/>
      <c r="AA50" s="759"/>
    </row>
    <row r="51" spans="24:27">
      <c r="X51" s="759"/>
      <c r="Y51" s="759"/>
      <c r="AA51" s="759"/>
    </row>
    <row r="52" spans="24:27">
      <c r="X52" s="759"/>
      <c r="Y52" s="759"/>
      <c r="AA52" s="759"/>
    </row>
    <row r="53" spans="24:27">
      <c r="X53" s="759"/>
      <c r="Y53" s="759"/>
      <c r="AA53" s="759"/>
    </row>
    <row r="54" spans="24:27">
      <c r="X54" s="759"/>
      <c r="Y54" s="759"/>
      <c r="AA54" s="759"/>
    </row>
    <row r="55" spans="24:27">
      <c r="X55" s="759"/>
      <c r="Y55" s="759"/>
      <c r="AA55" s="759"/>
    </row>
    <row r="56" spans="24:27">
      <c r="X56" s="759"/>
      <c r="Y56" s="759"/>
      <c r="AA56" s="759"/>
    </row>
    <row r="57" spans="24:27">
      <c r="X57" s="759"/>
      <c r="Y57" s="759"/>
      <c r="AA57" s="759"/>
    </row>
    <row r="58" spans="24:27">
      <c r="X58" s="759"/>
      <c r="Y58" s="759"/>
      <c r="AA58" s="759"/>
    </row>
    <row r="59" spans="24:27">
      <c r="X59" s="759"/>
      <c r="Y59" s="759"/>
      <c r="AA59" s="759"/>
    </row>
    <row r="60" spans="24:27">
      <c r="X60" s="759"/>
      <c r="Y60" s="759"/>
      <c r="AA60" s="759"/>
    </row>
    <row r="61" spans="24:27">
      <c r="X61" s="759"/>
      <c r="Y61" s="759"/>
      <c r="AA61" s="759"/>
    </row>
    <row r="62" spans="24:27">
      <c r="X62" s="759"/>
      <c r="Y62" s="759"/>
      <c r="AA62" s="759"/>
    </row>
    <row r="63" spans="24:27">
      <c r="X63" s="759"/>
      <c r="Y63" s="759"/>
      <c r="AA63" s="759"/>
    </row>
    <row r="64" spans="24:27">
      <c r="X64" s="759"/>
      <c r="Y64" s="759"/>
      <c r="AA64" s="759"/>
    </row>
    <row r="65" spans="24:27">
      <c r="X65" s="759"/>
      <c r="Y65" s="759"/>
      <c r="AA65" s="759"/>
    </row>
    <row r="66" spans="24:27">
      <c r="X66" s="759"/>
      <c r="Y66" s="759"/>
      <c r="AA66" s="759"/>
    </row>
    <row r="67" spans="24:27">
      <c r="X67" s="759"/>
      <c r="Y67" s="759"/>
      <c r="AA67" s="759"/>
    </row>
    <row r="68" spans="24:27">
      <c r="X68" s="759"/>
      <c r="Y68" s="759"/>
      <c r="AA68" s="759"/>
    </row>
    <row r="69" spans="24:27">
      <c r="X69" s="759"/>
      <c r="Y69" s="759"/>
      <c r="AA69" s="759"/>
    </row>
    <row r="70" spans="24:27">
      <c r="X70" s="759"/>
      <c r="Y70" s="759"/>
      <c r="AA70" s="759"/>
    </row>
    <row r="71" spans="24:27">
      <c r="X71" s="759"/>
      <c r="Y71" s="759"/>
      <c r="AA71" s="759"/>
    </row>
    <row r="72" spans="24:27">
      <c r="X72" s="759"/>
      <c r="Y72" s="759"/>
      <c r="AA72" s="759"/>
    </row>
    <row r="73" spans="24:27">
      <c r="X73" s="759"/>
      <c r="Y73" s="759"/>
      <c r="AA73" s="759"/>
    </row>
    <row r="74" spans="24:27">
      <c r="X74" s="759"/>
      <c r="Y74" s="759"/>
      <c r="AA74" s="759"/>
    </row>
    <row r="75" spans="24:27">
      <c r="X75" s="759"/>
      <c r="Y75" s="759"/>
      <c r="AA75" s="759"/>
    </row>
    <row r="76" spans="24:27">
      <c r="X76" s="759"/>
      <c r="Y76" s="759"/>
      <c r="AA76" s="759"/>
    </row>
    <row r="77" spans="24:27">
      <c r="X77" s="759"/>
      <c r="Y77" s="759"/>
      <c r="AA77" s="759"/>
    </row>
    <row r="78" spans="24:27">
      <c r="X78" s="759"/>
      <c r="Y78" s="759"/>
      <c r="AA78" s="759"/>
    </row>
    <row r="79" spans="24:27">
      <c r="X79" s="759"/>
      <c r="Y79" s="759"/>
      <c r="AA79" s="759"/>
    </row>
    <row r="80" spans="24:27">
      <c r="X80" s="759"/>
      <c r="Y80" s="759"/>
      <c r="AA80" s="759"/>
    </row>
    <row r="81" spans="24:27">
      <c r="X81" s="759"/>
      <c r="Y81" s="759"/>
      <c r="AA81" s="759"/>
    </row>
    <row r="82" spans="24:27">
      <c r="X82" s="759"/>
      <c r="Y82" s="759"/>
      <c r="AA82" s="759"/>
    </row>
    <row r="83" spans="24:27">
      <c r="X83" s="759"/>
      <c r="Y83" s="759"/>
      <c r="AA83" s="759"/>
    </row>
    <row r="84" spans="24:27">
      <c r="X84" s="759"/>
      <c r="Y84" s="759"/>
      <c r="AA84" s="759"/>
    </row>
    <row r="85" spans="24:27">
      <c r="X85" s="759"/>
      <c r="Y85" s="759"/>
      <c r="AA85" s="759"/>
    </row>
    <row r="86" spans="24:27">
      <c r="X86" s="759"/>
      <c r="Y86" s="759"/>
      <c r="AA86" s="759"/>
    </row>
    <row r="87" spans="24:27">
      <c r="X87" s="759"/>
      <c r="Y87" s="759"/>
      <c r="AA87" s="759"/>
    </row>
    <row r="88" spans="24:27">
      <c r="X88" s="759"/>
      <c r="Y88" s="759"/>
      <c r="AA88" s="759"/>
    </row>
    <row r="89" spans="24:27">
      <c r="X89" s="759"/>
      <c r="Y89" s="759"/>
      <c r="AA89" s="759"/>
    </row>
    <row r="90" spans="24:27">
      <c r="X90" s="759"/>
      <c r="Y90" s="759"/>
      <c r="AA90" s="759"/>
    </row>
    <row r="91" spans="24:27">
      <c r="X91" s="759"/>
      <c r="Y91" s="759"/>
      <c r="AA91" s="759"/>
    </row>
    <row r="92" spans="24:27">
      <c r="X92" s="759"/>
      <c r="Y92" s="759"/>
      <c r="AA92" s="759"/>
    </row>
    <row r="93" spans="24:27">
      <c r="X93" s="759"/>
      <c r="Y93" s="759"/>
      <c r="AA93" s="759"/>
    </row>
    <row r="94" spans="24:27">
      <c r="X94" s="759"/>
      <c r="Y94" s="759"/>
      <c r="AA94" s="759"/>
    </row>
    <row r="95" spans="24:27">
      <c r="X95" s="759"/>
      <c r="Y95" s="759"/>
      <c r="AA95" s="759"/>
    </row>
    <row r="96" spans="24:27">
      <c r="X96" s="759"/>
      <c r="Y96" s="759"/>
      <c r="AA96" s="759"/>
    </row>
    <row r="97" spans="24:27">
      <c r="X97" s="759"/>
      <c r="Y97" s="759"/>
      <c r="AA97" s="759"/>
    </row>
    <row r="98" spans="24:27">
      <c r="X98" s="759"/>
      <c r="Y98" s="759"/>
      <c r="AA98" s="759"/>
    </row>
    <row r="99" spans="24:27">
      <c r="X99" s="759"/>
      <c r="Y99" s="759"/>
      <c r="AA99" s="759"/>
    </row>
    <row r="100" spans="24:27">
      <c r="X100" s="759"/>
      <c r="Y100" s="759"/>
      <c r="AA100" s="759"/>
    </row>
    <row r="101" spans="24:27">
      <c r="X101" s="759"/>
      <c r="Y101" s="759"/>
      <c r="AA101" s="759"/>
    </row>
    <row r="102" spans="24:27">
      <c r="X102" s="759"/>
      <c r="Y102" s="759"/>
      <c r="AA102" s="759"/>
    </row>
    <row r="103" spans="24:27">
      <c r="X103" s="759"/>
      <c r="Y103" s="759"/>
      <c r="AA103" s="759"/>
    </row>
    <row r="104" spans="24:27">
      <c r="X104" s="759"/>
      <c r="Y104" s="759"/>
      <c r="AA104" s="759"/>
    </row>
    <row r="105" spans="24:27">
      <c r="X105" s="759"/>
      <c r="Y105" s="759"/>
      <c r="AA105" s="759"/>
    </row>
    <row r="106" spans="24:27">
      <c r="X106" s="759"/>
      <c r="Y106" s="759"/>
      <c r="AA106" s="759"/>
    </row>
    <row r="107" spans="24:27">
      <c r="X107" s="759"/>
      <c r="Y107" s="759"/>
      <c r="AA107" s="759"/>
    </row>
    <row r="108" spans="24:27">
      <c r="X108" s="759"/>
      <c r="Y108" s="759"/>
      <c r="AA108" s="759"/>
    </row>
    <row r="109" spans="24:27">
      <c r="X109" s="759"/>
      <c r="Y109" s="759"/>
      <c r="AA109" s="759"/>
    </row>
    <row r="110" spans="24:27">
      <c r="X110" s="759"/>
      <c r="Y110" s="759"/>
      <c r="AA110" s="759"/>
    </row>
    <row r="111" spans="24:27">
      <c r="X111" s="759"/>
      <c r="Y111" s="759"/>
      <c r="AA111" s="759"/>
    </row>
    <row r="112" spans="24:27">
      <c r="X112" s="759"/>
      <c r="Y112" s="759"/>
      <c r="AA112" s="759"/>
    </row>
    <row r="113" spans="24:42">
      <c r="X113" s="759"/>
      <c r="Y113" s="759"/>
      <c r="AA113" s="759"/>
    </row>
    <row r="114" spans="24:42">
      <c r="X114" s="759"/>
      <c r="Y114" s="759"/>
      <c r="AA114" s="759"/>
    </row>
    <row r="115" spans="24:42">
      <c r="X115" s="759"/>
      <c r="Y115" s="759"/>
      <c r="AA115" s="759"/>
    </row>
    <row r="116" spans="24:42">
      <c r="X116" s="759"/>
      <c r="Y116" s="759"/>
      <c r="AA116" s="759"/>
    </row>
    <row r="117" spans="24:42">
      <c r="X117" s="759"/>
      <c r="Y117" s="759"/>
      <c r="AA117" s="759"/>
    </row>
    <row r="118" spans="24:42">
      <c r="X118" s="759"/>
      <c r="Y118" s="759"/>
      <c r="AA118" s="759"/>
    </row>
    <row r="119" spans="24:42">
      <c r="X119" s="759"/>
      <c r="Y119" s="759"/>
      <c r="AA119" s="759"/>
    </row>
    <row r="120" spans="24:42">
      <c r="X120" s="759"/>
      <c r="Y120" s="759"/>
      <c r="AA120" s="759"/>
      <c r="AN120" s="745">
        <v>443980.55675444897</v>
      </c>
      <c r="AP120" s="745" t="b">
        <v>0</v>
      </c>
    </row>
    <row r="121" spans="24:42">
      <c r="X121" s="759"/>
      <c r="Y121" s="759"/>
      <c r="AA121" s="759"/>
    </row>
    <row r="122" spans="24:42">
      <c r="X122" s="759"/>
      <c r="Y122" s="759"/>
      <c r="AA122" s="759"/>
    </row>
    <row r="123" spans="24:42">
      <c r="X123" s="759"/>
      <c r="Y123" s="759"/>
      <c r="AA123" s="759"/>
    </row>
    <row r="124" spans="24:42">
      <c r="X124" s="759"/>
      <c r="Y124" s="759"/>
    </row>
    <row r="125" spans="24:42">
      <c r="X125" s="759"/>
      <c r="Y125" s="759"/>
    </row>
    <row r="126" spans="24:42">
      <c r="X126" s="759"/>
      <c r="Y126" s="759"/>
      <c r="AN126" s="745">
        <v>0</v>
      </c>
      <c r="AP126" s="745" t="b">
        <v>0</v>
      </c>
    </row>
    <row r="127" spans="24:42">
      <c r="X127" s="759"/>
      <c r="Y127" s="759"/>
    </row>
    <row r="128" spans="24:42">
      <c r="X128" s="759"/>
      <c r="Y128" s="759"/>
    </row>
    <row r="129" spans="24:42">
      <c r="X129" s="759"/>
      <c r="Y129" s="759"/>
    </row>
    <row r="130" spans="24:42">
      <c r="X130" s="759"/>
      <c r="Y130" s="759"/>
      <c r="AN130" s="745">
        <v>333663.40171675902</v>
      </c>
      <c r="AP130" s="745" t="b">
        <v>1</v>
      </c>
    </row>
    <row r="131" spans="24:42">
      <c r="X131" s="759"/>
      <c r="Y131" s="759"/>
      <c r="AN131" s="745">
        <v>188098.667590486</v>
      </c>
      <c r="AP131" s="745" t="b">
        <v>0</v>
      </c>
    </row>
    <row r="132" spans="24:42">
      <c r="X132" s="759"/>
      <c r="Y132" s="759"/>
    </row>
    <row r="133" spans="24:42">
      <c r="X133" s="759"/>
      <c r="Y133" s="759"/>
    </row>
    <row r="134" spans="24:42">
      <c r="X134" s="759"/>
      <c r="Y134" s="759"/>
    </row>
    <row r="135" spans="24:42">
      <c r="X135" s="759"/>
      <c r="Y135" s="759"/>
    </row>
    <row r="136" spans="24:42">
      <c r="X136" s="759"/>
      <c r="Y136" s="759"/>
    </row>
    <row r="137" spans="24:42">
      <c r="X137" s="759"/>
      <c r="Y137" s="759"/>
    </row>
    <row r="138" spans="24:42">
      <c r="X138" s="759"/>
      <c r="Y138" s="759"/>
    </row>
    <row r="139" spans="24:42">
      <c r="X139" s="759"/>
      <c r="Y139" s="759"/>
    </row>
    <row r="140" spans="24:42">
      <c r="X140" s="759"/>
      <c r="Y140" s="759"/>
    </row>
    <row r="141" spans="24:42">
      <c r="X141" s="759"/>
      <c r="Y141" s="759"/>
    </row>
    <row r="142" spans="24:42">
      <c r="X142" s="759"/>
      <c r="Y142" s="759"/>
    </row>
    <row r="143" spans="24:42">
      <c r="X143" s="759"/>
      <c r="Y143" s="759"/>
    </row>
    <row r="144" spans="24:42">
      <c r="X144" s="759"/>
      <c r="Y144" s="759"/>
    </row>
    <row r="145" spans="24:42">
      <c r="X145" s="759"/>
      <c r="Y145" s="759"/>
    </row>
    <row r="146" spans="24:42">
      <c r="X146" s="759"/>
      <c r="Y146" s="759"/>
    </row>
    <row r="147" spans="24:42">
      <c r="X147" s="759"/>
      <c r="Y147" s="759"/>
    </row>
    <row r="148" spans="24:42">
      <c r="X148" s="759"/>
      <c r="Y148" s="759"/>
    </row>
    <row r="149" spans="24:42">
      <c r="X149" s="759"/>
      <c r="Y149" s="759"/>
    </row>
    <row r="150" spans="24:42">
      <c r="X150" s="759"/>
      <c r="Y150" s="759"/>
      <c r="AN150" s="745">
        <v>1565874.4767638801</v>
      </c>
      <c r="AP150" s="745" t="b">
        <v>0</v>
      </c>
    </row>
    <row r="151" spans="24:42">
      <c r="X151" s="759"/>
      <c r="Y151" s="759"/>
      <c r="AN151" s="745">
        <v>0</v>
      </c>
      <c r="AP151" s="745" t="b">
        <v>1</v>
      </c>
    </row>
    <row r="152" spans="24:42">
      <c r="X152" s="759"/>
      <c r="Y152" s="759"/>
    </row>
    <row r="153" spans="24:42">
      <c r="X153" s="759"/>
      <c r="Y153" s="759"/>
    </row>
    <row r="154" spans="24:42">
      <c r="X154" s="759"/>
      <c r="Y154" s="759"/>
    </row>
    <row r="155" spans="24:42">
      <c r="X155" s="759"/>
      <c r="Y155" s="759"/>
    </row>
    <row r="156" spans="24:42">
      <c r="X156" s="759"/>
      <c r="Y156" s="759"/>
    </row>
    <row r="157" spans="24:42">
      <c r="X157" s="759"/>
      <c r="Y157" s="759"/>
    </row>
    <row r="158" spans="24:42">
      <c r="X158" s="759"/>
      <c r="Y158" s="759"/>
    </row>
    <row r="159" spans="24:42">
      <c r="X159" s="759"/>
      <c r="Y159" s="759"/>
    </row>
    <row r="160" spans="24:42">
      <c r="X160" s="759"/>
      <c r="Y160" s="759"/>
    </row>
    <row r="161" spans="24:42">
      <c r="X161" s="759"/>
      <c r="Y161" s="759"/>
      <c r="AN161" s="745">
        <v>431618.61017838301</v>
      </c>
      <c r="AP161" s="745" t="b">
        <v>0</v>
      </c>
    </row>
    <row r="162" spans="24:42">
      <c r="X162" s="759"/>
      <c r="Y162" s="759"/>
    </row>
    <row r="163" spans="24:42">
      <c r="X163" s="759"/>
      <c r="Y163" s="759"/>
    </row>
    <row r="164" spans="24:42">
      <c r="X164" s="759"/>
      <c r="Y164" s="759"/>
    </row>
    <row r="165" spans="24:42">
      <c r="X165" s="759"/>
      <c r="Y165" s="759"/>
      <c r="AN165" s="745">
        <v>0</v>
      </c>
      <c r="AP165" s="745" t="b">
        <v>1</v>
      </c>
    </row>
    <row r="166" spans="24:42">
      <c r="X166" s="759"/>
      <c r="Y166" s="759"/>
    </row>
    <row r="167" spans="24:42">
      <c r="X167" s="759"/>
      <c r="Y167" s="759"/>
    </row>
    <row r="168" spans="24:42">
      <c r="X168" s="759"/>
      <c r="Y168" s="759"/>
    </row>
    <row r="169" spans="24:42">
      <c r="X169" s="759"/>
      <c r="Y169" s="759"/>
    </row>
    <row r="170" spans="24:42">
      <c r="X170" s="759"/>
      <c r="Y170" s="759"/>
    </row>
    <row r="171" spans="24:42">
      <c r="X171" s="759"/>
      <c r="Y171" s="759"/>
    </row>
    <row r="172" spans="24:42">
      <c r="X172" s="759"/>
      <c r="Y172" s="759"/>
    </row>
    <row r="173" spans="24:42">
      <c r="X173" s="759"/>
      <c r="Y173" s="759"/>
    </row>
    <row r="174" spans="24:42">
      <c r="X174" s="759"/>
      <c r="Y174" s="759"/>
    </row>
    <row r="175" spans="24:42">
      <c r="X175" s="759"/>
      <c r="Y175" s="759"/>
    </row>
    <row r="176" spans="24:42">
      <c r="X176" s="759"/>
      <c r="Y176" s="759"/>
    </row>
    <row r="177" spans="24:25">
      <c r="X177" s="759"/>
      <c r="Y177" s="759"/>
    </row>
    <row r="178" spans="24:25">
      <c r="X178" s="759"/>
      <c r="Y178" s="759"/>
    </row>
    <row r="179" spans="24:25">
      <c r="X179" s="759"/>
      <c r="Y179" s="759"/>
    </row>
    <row r="180" spans="24:25">
      <c r="X180" s="759"/>
      <c r="Y180" s="759"/>
    </row>
    <row r="181" spans="24:25">
      <c r="X181" s="759"/>
      <c r="Y181" s="759"/>
    </row>
    <row r="182" spans="24:25">
      <c r="X182" s="759"/>
      <c r="Y182" s="759"/>
    </row>
    <row r="183" spans="24:25">
      <c r="X183" s="759"/>
      <c r="Y183" s="759"/>
    </row>
    <row r="184" spans="24:25">
      <c r="X184" s="759"/>
      <c r="Y184" s="759"/>
    </row>
    <row r="185" spans="24:25">
      <c r="X185" s="759"/>
      <c r="Y185" s="759"/>
    </row>
    <row r="186" spans="24:25">
      <c r="X186" s="759"/>
      <c r="Y186" s="759"/>
    </row>
    <row r="187" spans="24:25">
      <c r="X187" s="759"/>
      <c r="Y187" s="759"/>
    </row>
    <row r="188" spans="24:25">
      <c r="X188" s="759"/>
      <c r="Y188" s="759"/>
    </row>
    <row r="189" spans="24:25">
      <c r="X189" s="759"/>
      <c r="Y189" s="759"/>
    </row>
    <row r="190" spans="24:25">
      <c r="X190" s="759"/>
      <c r="Y190" s="759"/>
    </row>
    <row r="191" spans="24:25">
      <c r="X191" s="759"/>
      <c r="Y191" s="759"/>
    </row>
    <row r="192" spans="24:25">
      <c r="X192" s="759"/>
      <c r="Y192" s="759"/>
    </row>
    <row r="193" spans="24:25">
      <c r="X193" s="759"/>
      <c r="Y193" s="759"/>
    </row>
    <row r="194" spans="24:25">
      <c r="X194" s="759"/>
      <c r="Y194" s="759"/>
    </row>
    <row r="195" spans="24:25">
      <c r="X195" s="759"/>
      <c r="Y195" s="759"/>
    </row>
    <row r="196" spans="24:25">
      <c r="X196" s="759"/>
      <c r="Y196" s="759"/>
    </row>
    <row r="197" spans="24:25">
      <c r="X197" s="759"/>
      <c r="Y197" s="759"/>
    </row>
    <row r="198" spans="24:25">
      <c r="X198" s="759"/>
      <c r="Y198" s="759"/>
    </row>
    <row r="199" spans="24:25">
      <c r="X199" s="759"/>
      <c r="Y199" s="759"/>
    </row>
    <row r="200" spans="24:25">
      <c r="X200" s="759"/>
      <c r="Y200" s="759"/>
    </row>
    <row r="201" spans="24:25">
      <c r="X201" s="759"/>
      <c r="Y201" s="759"/>
    </row>
    <row r="202" spans="24:25">
      <c r="X202" s="759"/>
      <c r="Y202" s="759"/>
    </row>
    <row r="203" spans="24:25">
      <c r="X203" s="759"/>
      <c r="Y203" s="759"/>
    </row>
    <row r="204" spans="24:25">
      <c r="X204" s="759"/>
      <c r="Y204" s="759"/>
    </row>
    <row r="205" spans="24:25">
      <c r="X205" s="759"/>
      <c r="Y205" s="759"/>
    </row>
    <row r="206" spans="24:25">
      <c r="X206" s="759"/>
      <c r="Y206" s="759"/>
    </row>
    <row r="207" spans="24:25">
      <c r="X207" s="759"/>
      <c r="Y207" s="759"/>
    </row>
    <row r="208" spans="24:25">
      <c r="X208" s="759"/>
      <c r="Y208" s="759"/>
    </row>
    <row r="209" spans="24:25">
      <c r="X209" s="759"/>
      <c r="Y209" s="759"/>
    </row>
    <row r="210" spans="24:25">
      <c r="X210" s="759"/>
      <c r="Y210" s="759"/>
    </row>
    <row r="211" spans="24:25">
      <c r="X211" s="759"/>
      <c r="Y211" s="759"/>
    </row>
    <row r="212" spans="24:25">
      <c r="X212" s="759"/>
      <c r="Y212" s="759"/>
    </row>
    <row r="213" spans="24:25">
      <c r="X213" s="759"/>
      <c r="Y213" s="759"/>
    </row>
    <row r="214" spans="24:25">
      <c r="X214" s="759"/>
      <c r="Y214" s="759"/>
    </row>
    <row r="215" spans="24:25">
      <c r="X215" s="759"/>
      <c r="Y215" s="759"/>
    </row>
    <row r="216" spans="24:25">
      <c r="X216" s="759"/>
      <c r="Y216" s="759"/>
    </row>
    <row r="217" spans="24:25">
      <c r="X217" s="759"/>
      <c r="Y217" s="759"/>
    </row>
    <row r="218" spans="24:25">
      <c r="X218" s="759"/>
      <c r="Y218" s="759"/>
    </row>
    <row r="219" spans="24:25">
      <c r="X219" s="759"/>
      <c r="Y219" s="759"/>
    </row>
    <row r="220" spans="24:25">
      <c r="X220" s="759"/>
      <c r="Y220" s="759"/>
    </row>
    <row r="221" spans="24:25">
      <c r="X221" s="759"/>
      <c r="Y221" s="759"/>
    </row>
    <row r="222" spans="24:25">
      <c r="X222" s="759"/>
      <c r="Y222" s="759"/>
    </row>
    <row r="223" spans="24:25">
      <c r="X223" s="759"/>
      <c r="Y223" s="759"/>
    </row>
    <row r="224" spans="24:25">
      <c r="X224" s="759"/>
      <c r="Y224" s="759"/>
    </row>
    <row r="225" spans="24:25">
      <c r="X225" s="759"/>
      <c r="Y225" s="759"/>
    </row>
    <row r="226" spans="24:25">
      <c r="X226" s="759"/>
      <c r="Y226" s="759"/>
    </row>
    <row r="227" spans="24:25">
      <c r="X227" s="759"/>
      <c r="Y227" s="759"/>
    </row>
    <row r="228" spans="24:25">
      <c r="X228" s="759"/>
      <c r="Y228" s="759"/>
    </row>
    <row r="229" spans="24:25">
      <c r="X229" s="759"/>
      <c r="Y229" s="759"/>
    </row>
    <row r="230" spans="24:25">
      <c r="X230" s="759"/>
      <c r="Y230" s="759"/>
    </row>
    <row r="231" spans="24:25">
      <c r="X231" s="759"/>
      <c r="Y231" s="759"/>
    </row>
    <row r="232" spans="24:25">
      <c r="X232" s="759"/>
      <c r="Y232" s="759"/>
    </row>
    <row r="233" spans="24:25">
      <c r="X233" s="759"/>
      <c r="Y233" s="759"/>
    </row>
    <row r="234" spans="24:25">
      <c r="X234" s="759"/>
      <c r="Y234" s="759"/>
    </row>
    <row r="235" spans="24:25">
      <c r="X235" s="759"/>
      <c r="Y235" s="759"/>
    </row>
    <row r="236" spans="24:25">
      <c r="X236" s="759"/>
      <c r="Y236" s="759"/>
    </row>
    <row r="237" spans="24:25">
      <c r="X237" s="759"/>
      <c r="Y237" s="759"/>
    </row>
    <row r="238" spans="24:25">
      <c r="X238" s="759"/>
      <c r="Y238" s="759"/>
    </row>
    <row r="239" spans="24:25">
      <c r="X239" s="759"/>
      <c r="Y239" s="759"/>
    </row>
    <row r="240" spans="24:25">
      <c r="X240" s="759"/>
      <c r="Y240" s="759"/>
    </row>
    <row r="241" spans="24:25">
      <c r="X241" s="759"/>
      <c r="Y241" s="759"/>
    </row>
    <row r="242" spans="24:25">
      <c r="X242" s="759"/>
      <c r="Y242" s="759"/>
    </row>
    <row r="243" spans="24:25">
      <c r="X243" s="759"/>
      <c r="Y243" s="759"/>
    </row>
    <row r="244" spans="24:25">
      <c r="X244" s="759"/>
      <c r="Y244" s="759"/>
    </row>
    <row r="245" spans="24:25">
      <c r="X245" s="759"/>
      <c r="Y245" s="759"/>
    </row>
    <row r="246" spans="24:25">
      <c r="X246" s="759"/>
      <c r="Y246" s="759"/>
    </row>
    <row r="247" spans="24:25">
      <c r="X247" s="759"/>
      <c r="Y247" s="759"/>
    </row>
    <row r="248" spans="24:25">
      <c r="X248" s="759"/>
      <c r="Y248" s="759"/>
    </row>
    <row r="249" spans="24:25">
      <c r="X249" s="759"/>
      <c r="Y249" s="759"/>
    </row>
    <row r="250" spans="24:25">
      <c r="X250" s="759"/>
      <c r="Y250" s="759"/>
    </row>
    <row r="251" spans="24:25">
      <c r="X251" s="759"/>
      <c r="Y251" s="759"/>
    </row>
    <row r="252" spans="24:25">
      <c r="X252" s="759"/>
      <c r="Y252" s="759"/>
    </row>
    <row r="253" spans="24:25">
      <c r="X253" s="759"/>
      <c r="Y253" s="759"/>
    </row>
    <row r="254" spans="24:25">
      <c r="X254" s="759"/>
      <c r="Y254" s="759"/>
    </row>
    <row r="255" spans="24:25">
      <c r="X255" s="759"/>
      <c r="Y255" s="759"/>
    </row>
    <row r="256" spans="24:25">
      <c r="X256" s="759"/>
      <c r="Y256" s="759"/>
    </row>
    <row r="257" spans="24:25">
      <c r="X257" s="759"/>
      <c r="Y257" s="759"/>
    </row>
    <row r="258" spans="24:25">
      <c r="X258" s="759"/>
      <c r="Y258" s="759"/>
    </row>
    <row r="259" spans="24:25">
      <c r="X259" s="759"/>
      <c r="Y259" s="759"/>
    </row>
    <row r="260" spans="24:25">
      <c r="X260" s="759"/>
      <c r="Y260" s="759"/>
    </row>
    <row r="261" spans="24:25">
      <c r="X261" s="759"/>
      <c r="Y261" s="759"/>
    </row>
    <row r="262" spans="24:25">
      <c r="X262" s="759"/>
      <c r="Y262" s="759"/>
    </row>
    <row r="263" spans="24:25">
      <c r="X263" s="759"/>
      <c r="Y263" s="759"/>
    </row>
    <row r="264" spans="24:25">
      <c r="X264" s="759"/>
      <c r="Y264" s="759"/>
    </row>
    <row r="265" spans="24:25">
      <c r="X265" s="759"/>
      <c r="Y265" s="759"/>
    </row>
    <row r="266" spans="24:25">
      <c r="X266" s="759"/>
      <c r="Y266" s="759"/>
    </row>
    <row r="267" spans="24:25">
      <c r="X267" s="759"/>
      <c r="Y267" s="759"/>
    </row>
    <row r="268" spans="24:25">
      <c r="X268" s="759"/>
      <c r="Y268" s="759"/>
    </row>
    <row r="269" spans="24:25">
      <c r="X269" s="759"/>
      <c r="Y269" s="759"/>
    </row>
    <row r="270" spans="24:25">
      <c r="X270" s="759"/>
      <c r="Y270" s="759"/>
    </row>
    <row r="271" spans="24:25">
      <c r="X271" s="759"/>
      <c r="Y271" s="759"/>
    </row>
    <row r="272" spans="24:25">
      <c r="X272" s="759"/>
      <c r="Y272" s="759"/>
    </row>
    <row r="273" spans="24:25">
      <c r="X273" s="759"/>
      <c r="Y273" s="759"/>
    </row>
    <row r="274" spans="24:25">
      <c r="X274" s="759"/>
      <c r="Y274" s="759"/>
    </row>
    <row r="275" spans="24:25">
      <c r="X275" s="759"/>
      <c r="Y275" s="759"/>
    </row>
    <row r="276" spans="24:25">
      <c r="X276" s="759"/>
      <c r="Y276" s="759"/>
    </row>
    <row r="277" spans="24:25">
      <c r="X277" s="759"/>
      <c r="Y277" s="759"/>
    </row>
    <row r="278" spans="24:25">
      <c r="X278" s="759"/>
      <c r="Y278" s="759"/>
    </row>
    <row r="279" spans="24:25">
      <c r="X279" s="759"/>
      <c r="Y279" s="759"/>
    </row>
    <row r="280" spans="24:25">
      <c r="X280" s="759"/>
      <c r="Y280" s="759"/>
    </row>
    <row r="281" spans="24:25">
      <c r="X281" s="759"/>
      <c r="Y281" s="759"/>
    </row>
    <row r="282" spans="24:25">
      <c r="X282" s="759"/>
      <c r="Y282" s="759"/>
    </row>
    <row r="283" spans="24:25">
      <c r="X283" s="759"/>
      <c r="Y283" s="759"/>
    </row>
    <row r="284" spans="24:25">
      <c r="X284" s="759"/>
      <c r="Y284" s="759"/>
    </row>
    <row r="285" spans="24:25">
      <c r="X285" s="759"/>
      <c r="Y285" s="759"/>
    </row>
    <row r="286" spans="24:25">
      <c r="X286" s="759"/>
      <c r="Y286" s="759"/>
    </row>
    <row r="287" spans="24:25">
      <c r="X287" s="759"/>
      <c r="Y287" s="759"/>
    </row>
    <row r="288" spans="24:25">
      <c r="X288" s="759"/>
      <c r="Y288" s="759"/>
    </row>
    <row r="289" spans="24:25">
      <c r="X289" s="759"/>
      <c r="Y289" s="759"/>
    </row>
    <row r="290" spans="24:25">
      <c r="X290" s="759"/>
      <c r="Y290" s="759"/>
    </row>
    <row r="291" spans="24:25">
      <c r="X291" s="759"/>
      <c r="Y291" s="759"/>
    </row>
    <row r="292" spans="24:25">
      <c r="X292" s="759"/>
      <c r="Y292" s="759"/>
    </row>
    <row r="293" spans="24:25">
      <c r="X293" s="759"/>
      <c r="Y293" s="759"/>
    </row>
    <row r="294" spans="24:25">
      <c r="X294" s="759"/>
      <c r="Y294" s="759"/>
    </row>
    <row r="295" spans="24:25">
      <c r="X295" s="759"/>
      <c r="Y295" s="759"/>
    </row>
    <row r="296" spans="24:25">
      <c r="X296" s="759"/>
      <c r="Y296" s="759"/>
    </row>
    <row r="297" spans="24:25">
      <c r="X297" s="759"/>
      <c r="Y297" s="759"/>
    </row>
    <row r="298" spans="24:25">
      <c r="X298" s="759"/>
      <c r="Y298" s="759"/>
    </row>
    <row r="299" spans="24:25">
      <c r="X299" s="759"/>
      <c r="Y299" s="759"/>
    </row>
    <row r="300" spans="24:25">
      <c r="X300" s="759"/>
      <c r="Y300" s="759"/>
    </row>
    <row r="301" spans="24:25">
      <c r="X301" s="759"/>
      <c r="Y301" s="759"/>
    </row>
    <row r="302" spans="24:25">
      <c r="X302" s="759"/>
      <c r="Y302" s="759"/>
    </row>
    <row r="303" spans="24:25">
      <c r="X303" s="759"/>
      <c r="Y303" s="759"/>
    </row>
    <row r="304" spans="24:25">
      <c r="X304" s="759"/>
      <c r="Y304" s="759"/>
    </row>
    <row r="305" spans="24:25">
      <c r="X305" s="759"/>
      <c r="Y305" s="759"/>
    </row>
    <row r="306" spans="24:25">
      <c r="X306" s="759"/>
      <c r="Y306" s="759"/>
    </row>
    <row r="307" spans="24:25">
      <c r="X307" s="759"/>
      <c r="Y307" s="759"/>
    </row>
    <row r="308" spans="24:25">
      <c r="X308" s="759"/>
      <c r="Y308" s="759"/>
    </row>
    <row r="309" spans="24:25">
      <c r="X309" s="759"/>
      <c r="Y309" s="759"/>
    </row>
    <row r="310" spans="24:25">
      <c r="X310" s="759"/>
      <c r="Y310" s="759"/>
    </row>
    <row r="311" spans="24:25">
      <c r="X311" s="759"/>
      <c r="Y311" s="759"/>
    </row>
    <row r="312" spans="24:25">
      <c r="X312" s="759"/>
      <c r="Y312" s="759"/>
    </row>
    <row r="313" spans="24:25">
      <c r="X313" s="759"/>
      <c r="Y313" s="759"/>
    </row>
    <row r="314" spans="24:25">
      <c r="X314" s="759"/>
      <c r="Y314" s="759"/>
    </row>
    <row r="315" spans="24:25">
      <c r="X315" s="759"/>
      <c r="Y315" s="759"/>
    </row>
    <row r="316" spans="24:25">
      <c r="X316" s="759"/>
      <c r="Y316" s="759"/>
    </row>
    <row r="317" spans="24:25">
      <c r="X317" s="759"/>
      <c r="Y317" s="759"/>
    </row>
    <row r="318" spans="24:25">
      <c r="X318" s="759"/>
      <c r="Y318" s="759"/>
    </row>
    <row r="319" spans="24:25">
      <c r="X319" s="759"/>
      <c r="Y319" s="759"/>
    </row>
    <row r="320" spans="24:25">
      <c r="X320" s="759"/>
      <c r="Y320" s="759"/>
    </row>
    <row r="321" spans="24:25">
      <c r="X321" s="759"/>
      <c r="Y321" s="759"/>
    </row>
    <row r="322" spans="24:25">
      <c r="X322" s="759"/>
      <c r="Y322" s="759"/>
    </row>
    <row r="323" spans="24:25">
      <c r="X323" s="759"/>
      <c r="Y323" s="759"/>
    </row>
    <row r="324" spans="24:25">
      <c r="X324" s="759"/>
      <c r="Y324" s="759"/>
    </row>
    <row r="325" spans="24:25">
      <c r="X325" s="759"/>
      <c r="Y325" s="759"/>
    </row>
    <row r="326" spans="24:25">
      <c r="X326" s="759"/>
      <c r="Y326" s="759"/>
    </row>
    <row r="327" spans="24:25">
      <c r="X327" s="759"/>
      <c r="Y327" s="759"/>
    </row>
    <row r="328" spans="24:25">
      <c r="X328" s="759"/>
      <c r="Y328" s="759"/>
    </row>
    <row r="329" spans="24:25">
      <c r="X329" s="759"/>
      <c r="Y329" s="759"/>
    </row>
    <row r="330" spans="24:25">
      <c r="X330" s="759"/>
      <c r="Y330" s="759"/>
    </row>
    <row r="331" spans="24:25">
      <c r="X331" s="759"/>
      <c r="Y331" s="759"/>
    </row>
    <row r="332" spans="24:25">
      <c r="X332" s="759"/>
      <c r="Y332" s="759"/>
    </row>
    <row r="333" spans="24:25">
      <c r="X333" s="759"/>
      <c r="Y333" s="759"/>
    </row>
    <row r="334" spans="24:25">
      <c r="X334" s="759"/>
      <c r="Y334" s="759"/>
    </row>
    <row r="335" spans="24:25">
      <c r="X335" s="759"/>
      <c r="Y335" s="759"/>
    </row>
    <row r="336" spans="24:25">
      <c r="X336" s="759"/>
      <c r="Y336" s="759"/>
    </row>
    <row r="337" spans="24:25">
      <c r="X337" s="759"/>
      <c r="Y337" s="759"/>
    </row>
    <row r="338" spans="24:25">
      <c r="X338" s="759"/>
      <c r="Y338" s="759"/>
    </row>
    <row r="339" spans="24:25">
      <c r="X339" s="759"/>
      <c r="Y339" s="759"/>
    </row>
    <row r="340" spans="24:25">
      <c r="X340" s="759"/>
      <c r="Y340" s="759"/>
    </row>
    <row r="341" spans="24:25">
      <c r="X341" s="759"/>
      <c r="Y341" s="759"/>
    </row>
    <row r="342" spans="24:25">
      <c r="X342" s="759"/>
      <c r="Y342" s="759"/>
    </row>
    <row r="343" spans="24:25">
      <c r="X343" s="759"/>
      <c r="Y343" s="759"/>
    </row>
    <row r="344" spans="24:25">
      <c r="X344" s="759"/>
      <c r="Y344" s="759"/>
    </row>
    <row r="345" spans="24:25">
      <c r="X345" s="759"/>
      <c r="Y345" s="759"/>
    </row>
    <row r="346" spans="24:25">
      <c r="X346" s="759"/>
      <c r="Y346" s="759"/>
    </row>
    <row r="347" spans="24:25">
      <c r="X347" s="759"/>
      <c r="Y347" s="759"/>
    </row>
    <row r="348" spans="24:25">
      <c r="X348" s="759"/>
      <c r="Y348" s="759"/>
    </row>
    <row r="349" spans="24:25">
      <c r="X349" s="759"/>
      <c r="Y349" s="759"/>
    </row>
    <row r="350" spans="24:25">
      <c r="X350" s="759"/>
      <c r="Y350" s="759"/>
    </row>
    <row r="351" spans="24:25">
      <c r="X351" s="759"/>
      <c r="Y351" s="759"/>
    </row>
    <row r="352" spans="24:25">
      <c r="X352" s="759"/>
      <c r="Y352" s="759"/>
    </row>
    <row r="353" spans="24:25">
      <c r="X353" s="759"/>
      <c r="Y353" s="759"/>
    </row>
    <row r="354" spans="24:25">
      <c r="X354" s="759"/>
      <c r="Y354" s="759"/>
    </row>
    <row r="355" spans="24:25">
      <c r="X355" s="759"/>
      <c r="Y355" s="759"/>
    </row>
    <row r="356" spans="24:25">
      <c r="X356" s="759"/>
      <c r="Y356" s="759"/>
    </row>
    <row r="357" spans="24:25">
      <c r="X357" s="759"/>
      <c r="Y357" s="759"/>
    </row>
    <row r="358" spans="24:25">
      <c r="X358" s="759"/>
      <c r="Y358" s="759"/>
    </row>
    <row r="359" spans="24:25">
      <c r="X359" s="759"/>
      <c r="Y359" s="759"/>
    </row>
    <row r="360" spans="24:25">
      <c r="X360" s="759"/>
      <c r="Y360" s="759"/>
    </row>
    <row r="361" spans="24:25">
      <c r="X361" s="759"/>
      <c r="Y361" s="759"/>
    </row>
    <row r="362" spans="24:25">
      <c r="X362" s="759"/>
      <c r="Y362" s="759"/>
    </row>
    <row r="363" spans="24:25">
      <c r="X363" s="759"/>
      <c r="Y363" s="759"/>
    </row>
    <row r="364" spans="24:25">
      <c r="X364" s="759"/>
      <c r="Y364" s="759"/>
    </row>
    <row r="365" spans="24:25">
      <c r="X365" s="759"/>
      <c r="Y365" s="759"/>
    </row>
    <row r="366" spans="24:25">
      <c r="X366" s="759"/>
      <c r="Y366" s="759"/>
    </row>
    <row r="367" spans="24:25">
      <c r="X367" s="759"/>
      <c r="Y367" s="759"/>
    </row>
    <row r="368" spans="24:25">
      <c r="X368" s="759"/>
      <c r="Y368" s="759"/>
    </row>
    <row r="369" spans="24:25">
      <c r="X369" s="759"/>
      <c r="Y369" s="759"/>
    </row>
    <row r="370" spans="24:25">
      <c r="X370" s="759"/>
      <c r="Y370" s="759"/>
    </row>
    <row r="371" spans="24:25">
      <c r="X371" s="759"/>
      <c r="Y371" s="759"/>
    </row>
    <row r="372" spans="24:25">
      <c r="X372" s="759"/>
      <c r="Y372" s="759"/>
    </row>
    <row r="373" spans="24:25">
      <c r="X373" s="759"/>
      <c r="Y373" s="759"/>
    </row>
    <row r="374" spans="24:25">
      <c r="X374" s="759"/>
      <c r="Y374" s="759"/>
    </row>
    <row r="375" spans="24:25">
      <c r="X375" s="759"/>
      <c r="Y375" s="759"/>
    </row>
    <row r="376" spans="24:25">
      <c r="X376" s="759"/>
      <c r="Y376" s="759"/>
    </row>
    <row r="377" spans="24:25">
      <c r="X377" s="759"/>
      <c r="Y377" s="759"/>
    </row>
    <row r="378" spans="24:25">
      <c r="X378" s="759"/>
      <c r="Y378" s="759"/>
    </row>
    <row r="379" spans="24:25">
      <c r="X379" s="759"/>
      <c r="Y379" s="759"/>
    </row>
    <row r="380" spans="24:25">
      <c r="X380" s="759"/>
      <c r="Y380" s="759"/>
    </row>
    <row r="381" spans="24:25">
      <c r="X381" s="759"/>
      <c r="Y381" s="759"/>
    </row>
    <row r="382" spans="24:25">
      <c r="X382" s="759"/>
      <c r="Y382" s="759"/>
    </row>
    <row r="383" spans="24:25">
      <c r="X383" s="759"/>
      <c r="Y383" s="759"/>
    </row>
    <row r="384" spans="24:25">
      <c r="X384" s="759"/>
      <c r="Y384" s="759"/>
    </row>
    <row r="385" spans="24:25">
      <c r="X385" s="759"/>
      <c r="Y385" s="759"/>
    </row>
    <row r="386" spans="24:25">
      <c r="X386" s="759"/>
      <c r="Y386" s="759"/>
    </row>
    <row r="387" spans="24:25">
      <c r="X387" s="759"/>
      <c r="Y387" s="759"/>
    </row>
    <row r="388" spans="24:25">
      <c r="X388" s="759"/>
      <c r="Y388" s="759"/>
    </row>
    <row r="389" spans="24:25">
      <c r="X389" s="759"/>
      <c r="Y389" s="759"/>
    </row>
    <row r="390" spans="24:25">
      <c r="X390" s="759"/>
      <c r="Y390" s="759"/>
    </row>
    <row r="391" spans="24:25">
      <c r="X391" s="759"/>
      <c r="Y391" s="759"/>
    </row>
    <row r="392" spans="24:25">
      <c r="X392" s="759"/>
      <c r="Y392" s="759"/>
    </row>
    <row r="393" spans="24:25">
      <c r="X393" s="759"/>
      <c r="Y393" s="759"/>
    </row>
    <row r="394" spans="24:25">
      <c r="X394" s="759"/>
      <c r="Y394" s="759"/>
    </row>
    <row r="395" spans="24:25">
      <c r="X395" s="759"/>
      <c r="Y395" s="759"/>
    </row>
    <row r="396" spans="24:25">
      <c r="X396" s="759"/>
      <c r="Y396" s="759"/>
    </row>
    <row r="397" spans="24:25">
      <c r="X397" s="759"/>
      <c r="Y397" s="759"/>
    </row>
    <row r="398" spans="24:25">
      <c r="X398" s="759"/>
      <c r="Y398" s="759"/>
    </row>
    <row r="399" spans="24:25">
      <c r="X399" s="759"/>
      <c r="Y399" s="759"/>
    </row>
    <row r="400" spans="24:25">
      <c r="X400" s="759"/>
      <c r="Y400" s="759"/>
    </row>
    <row r="401" spans="24:25">
      <c r="X401" s="759"/>
      <c r="Y401" s="759"/>
    </row>
    <row r="402" spans="24:25">
      <c r="X402" s="759"/>
      <c r="Y402" s="759"/>
    </row>
    <row r="403" spans="24:25">
      <c r="X403" s="759"/>
      <c r="Y403" s="759"/>
    </row>
    <row r="404" spans="24:25">
      <c r="X404" s="759"/>
      <c r="Y404" s="759"/>
    </row>
    <row r="405" spans="24:25">
      <c r="X405" s="759"/>
      <c r="Y405" s="759"/>
    </row>
    <row r="406" spans="24:25">
      <c r="X406" s="759"/>
      <c r="Y406" s="759"/>
    </row>
    <row r="407" spans="24:25">
      <c r="X407" s="759"/>
      <c r="Y407" s="759"/>
    </row>
    <row r="408" spans="24:25">
      <c r="X408" s="759"/>
      <c r="Y408" s="759"/>
    </row>
    <row r="409" spans="24:25">
      <c r="X409" s="759"/>
      <c r="Y409" s="759"/>
    </row>
    <row r="410" spans="24:25">
      <c r="X410" s="759"/>
      <c r="Y410" s="759"/>
    </row>
    <row r="411" spans="24:25">
      <c r="X411" s="759"/>
      <c r="Y411" s="759"/>
    </row>
    <row r="412" spans="24:25">
      <c r="X412" s="759"/>
      <c r="Y412" s="759"/>
    </row>
    <row r="413" spans="24:25">
      <c r="X413" s="759"/>
      <c r="Y413" s="759"/>
    </row>
    <row r="414" spans="24:25">
      <c r="X414" s="759"/>
      <c r="Y414" s="759"/>
    </row>
    <row r="415" spans="24:25">
      <c r="X415" s="759"/>
      <c r="Y415" s="759"/>
    </row>
    <row r="416" spans="24:25">
      <c r="X416" s="759"/>
      <c r="Y416" s="759"/>
    </row>
    <row r="417" spans="24:25">
      <c r="X417" s="759"/>
      <c r="Y417" s="759"/>
    </row>
    <row r="418" spans="24:25">
      <c r="X418" s="759"/>
      <c r="Y418" s="759"/>
    </row>
    <row r="419" spans="24:25">
      <c r="X419" s="759"/>
      <c r="Y419" s="759"/>
    </row>
    <row r="420" spans="24:25">
      <c r="X420" s="759"/>
      <c r="Y420" s="759"/>
    </row>
    <row r="421" spans="24:25">
      <c r="X421" s="759"/>
      <c r="Y421" s="759"/>
    </row>
    <row r="422" spans="24:25">
      <c r="X422" s="759"/>
      <c r="Y422" s="759"/>
    </row>
    <row r="423" spans="24:25">
      <c r="X423" s="759"/>
      <c r="Y423" s="759"/>
    </row>
    <row r="424" spans="24:25">
      <c r="X424" s="759"/>
      <c r="Y424" s="759"/>
    </row>
    <row r="425" spans="24:25">
      <c r="X425" s="759"/>
      <c r="Y425" s="759"/>
    </row>
    <row r="426" spans="24:25">
      <c r="X426" s="759"/>
      <c r="Y426" s="759"/>
    </row>
    <row r="427" spans="24:25">
      <c r="X427" s="759"/>
      <c r="Y427" s="759"/>
    </row>
    <row r="428" spans="24:25">
      <c r="X428" s="759"/>
      <c r="Y428" s="759"/>
    </row>
    <row r="429" spans="24:25">
      <c r="X429" s="759"/>
      <c r="Y429" s="759"/>
    </row>
    <row r="430" spans="24:25">
      <c r="X430" s="759"/>
      <c r="Y430" s="759"/>
    </row>
    <row r="431" spans="24:25">
      <c r="X431" s="759"/>
      <c r="Y431" s="759"/>
    </row>
    <row r="432" spans="24:25">
      <c r="X432" s="759"/>
      <c r="Y432" s="759"/>
    </row>
    <row r="433" spans="24:25">
      <c r="X433" s="759"/>
      <c r="Y433" s="759"/>
    </row>
    <row r="434" spans="24:25">
      <c r="X434" s="759"/>
      <c r="Y434" s="759"/>
    </row>
    <row r="435" spans="24:25">
      <c r="X435" s="759"/>
      <c r="Y435" s="759"/>
    </row>
    <row r="436" spans="24:25">
      <c r="X436" s="759"/>
      <c r="Y436" s="759"/>
    </row>
    <row r="437" spans="24:25">
      <c r="X437" s="759"/>
      <c r="Y437" s="759"/>
    </row>
    <row r="438" spans="24:25">
      <c r="X438" s="759"/>
      <c r="Y438" s="759"/>
    </row>
    <row r="439" spans="24:25">
      <c r="X439" s="759"/>
      <c r="Y439" s="759"/>
    </row>
    <row r="440" spans="24:25">
      <c r="X440" s="759"/>
      <c r="Y440" s="759"/>
    </row>
    <row r="441" spans="24:25">
      <c r="X441" s="759"/>
      <c r="Y441" s="759"/>
    </row>
    <row r="442" spans="24:25">
      <c r="X442" s="759"/>
      <c r="Y442" s="759"/>
    </row>
    <row r="443" spans="24:25">
      <c r="X443" s="759"/>
      <c r="Y443" s="759"/>
    </row>
    <row r="444" spans="24:25">
      <c r="X444" s="759"/>
      <c r="Y444" s="759"/>
    </row>
    <row r="445" spans="24:25">
      <c r="X445" s="759"/>
      <c r="Y445" s="759"/>
    </row>
    <row r="446" spans="24:25">
      <c r="X446" s="759"/>
      <c r="Y446" s="759"/>
    </row>
    <row r="447" spans="24:25">
      <c r="X447" s="759"/>
      <c r="Y447" s="759"/>
    </row>
    <row r="448" spans="24:25">
      <c r="X448" s="759"/>
      <c r="Y448" s="759"/>
    </row>
    <row r="449" spans="24:25">
      <c r="X449" s="759"/>
      <c r="Y449" s="759"/>
    </row>
    <row r="450" spans="24:25">
      <c r="X450" s="759"/>
      <c r="Y450" s="759"/>
    </row>
    <row r="451" spans="24:25">
      <c r="X451" s="759"/>
      <c r="Y451" s="759"/>
    </row>
    <row r="452" spans="24:25">
      <c r="X452" s="759"/>
      <c r="Y452" s="759"/>
    </row>
    <row r="453" spans="24:25">
      <c r="X453" s="759"/>
      <c r="Y453" s="759"/>
    </row>
    <row r="454" spans="24:25">
      <c r="X454" s="759"/>
      <c r="Y454" s="759"/>
    </row>
    <row r="455" spans="24:25">
      <c r="X455" s="759"/>
      <c r="Y455" s="759"/>
    </row>
    <row r="456" spans="24:25">
      <c r="X456" s="759"/>
      <c r="Y456" s="759"/>
    </row>
    <row r="457" spans="24:25">
      <c r="X457" s="759"/>
      <c r="Y457" s="759"/>
    </row>
    <row r="458" spans="24:25">
      <c r="X458" s="759"/>
      <c r="Y458" s="759"/>
    </row>
    <row r="459" spans="24:25">
      <c r="X459" s="759"/>
      <c r="Y459" s="759"/>
    </row>
    <row r="460" spans="24:25">
      <c r="X460" s="759"/>
      <c r="Y460" s="759"/>
    </row>
    <row r="461" spans="24:25">
      <c r="X461" s="759"/>
      <c r="Y461" s="759"/>
    </row>
    <row r="462" spans="24:25">
      <c r="X462" s="759"/>
      <c r="Y462" s="759"/>
    </row>
    <row r="463" spans="24:25">
      <c r="X463" s="759"/>
      <c r="Y463" s="759"/>
    </row>
    <row r="464" spans="24:25">
      <c r="X464" s="759"/>
      <c r="Y464" s="759"/>
    </row>
    <row r="465" spans="24:25">
      <c r="X465" s="759"/>
      <c r="Y465" s="759"/>
    </row>
    <row r="466" spans="24:25">
      <c r="X466" s="759"/>
      <c r="Y466" s="759"/>
    </row>
    <row r="467" spans="24:25">
      <c r="X467" s="759"/>
      <c r="Y467" s="759"/>
    </row>
    <row r="468" spans="24:25">
      <c r="X468" s="759"/>
      <c r="Y468" s="759"/>
    </row>
    <row r="469" spans="24:25">
      <c r="X469" s="759"/>
      <c r="Y469" s="759"/>
    </row>
    <row r="470" spans="24:25">
      <c r="X470" s="759"/>
      <c r="Y470" s="759"/>
    </row>
    <row r="471" spans="24:25">
      <c r="X471" s="759"/>
      <c r="Y471" s="759"/>
    </row>
    <row r="472" spans="24:25">
      <c r="X472" s="759"/>
      <c r="Y472" s="759"/>
    </row>
    <row r="473" spans="24:25">
      <c r="X473" s="759"/>
      <c r="Y473" s="759"/>
    </row>
    <row r="474" spans="24:25">
      <c r="X474" s="759"/>
      <c r="Y474" s="759"/>
    </row>
    <row r="475" spans="24:25">
      <c r="X475" s="759"/>
      <c r="Y475" s="759"/>
    </row>
    <row r="476" spans="24:25">
      <c r="X476" s="759"/>
      <c r="Y476" s="759"/>
    </row>
    <row r="477" spans="24:25">
      <c r="X477" s="759"/>
      <c r="Y477" s="759"/>
    </row>
    <row r="478" spans="24:25">
      <c r="X478" s="759"/>
      <c r="Y478" s="759"/>
    </row>
    <row r="479" spans="24:25">
      <c r="X479" s="759"/>
      <c r="Y479" s="759"/>
    </row>
    <row r="480" spans="24:25">
      <c r="X480" s="759"/>
      <c r="Y480" s="759"/>
    </row>
    <row r="481" spans="24:25">
      <c r="X481" s="759"/>
      <c r="Y481" s="759"/>
    </row>
    <row r="482" spans="24:25">
      <c r="X482" s="759"/>
      <c r="Y482" s="759"/>
    </row>
    <row r="483" spans="24:25">
      <c r="X483" s="759"/>
      <c r="Y483" s="759"/>
    </row>
    <row r="484" spans="24:25">
      <c r="X484" s="759"/>
      <c r="Y484" s="759"/>
    </row>
    <row r="485" spans="24:25">
      <c r="X485" s="759"/>
      <c r="Y485" s="759"/>
    </row>
    <row r="486" spans="24:25">
      <c r="X486" s="759"/>
      <c r="Y486" s="759"/>
    </row>
    <row r="487" spans="24:25">
      <c r="X487" s="759"/>
      <c r="Y487" s="759"/>
    </row>
    <row r="488" spans="24:25">
      <c r="X488" s="759"/>
      <c r="Y488" s="759"/>
    </row>
    <row r="489" spans="24:25">
      <c r="X489" s="759"/>
      <c r="Y489" s="759"/>
    </row>
    <row r="490" spans="24:25">
      <c r="X490" s="759"/>
      <c r="Y490" s="759"/>
    </row>
    <row r="491" spans="24:25">
      <c r="X491" s="759"/>
      <c r="Y491" s="759"/>
    </row>
    <row r="492" spans="24:25">
      <c r="X492" s="759"/>
      <c r="Y492" s="759"/>
    </row>
    <row r="493" spans="24:25">
      <c r="X493" s="759"/>
      <c r="Y493" s="759"/>
    </row>
    <row r="494" spans="24:25">
      <c r="X494" s="759"/>
      <c r="Y494" s="759"/>
    </row>
    <row r="495" spans="24:25">
      <c r="X495" s="759"/>
      <c r="Y495" s="759"/>
    </row>
    <row r="496" spans="24:25">
      <c r="X496" s="759"/>
      <c r="Y496" s="759"/>
    </row>
    <row r="497" spans="24:25">
      <c r="X497" s="759"/>
      <c r="Y497" s="759"/>
    </row>
    <row r="498" spans="24:25">
      <c r="X498" s="759"/>
      <c r="Y498" s="759"/>
    </row>
    <row r="499" spans="24:25">
      <c r="X499" s="759"/>
      <c r="Y499" s="759"/>
    </row>
    <row r="500" spans="24:25">
      <c r="X500" s="759"/>
      <c r="Y500" s="759"/>
    </row>
    <row r="501" spans="24:25">
      <c r="X501" s="759"/>
      <c r="Y501" s="759"/>
    </row>
    <row r="502" spans="24:25">
      <c r="X502" s="759"/>
      <c r="Y502" s="759"/>
    </row>
    <row r="503" spans="24:25">
      <c r="X503" s="759"/>
      <c r="Y503" s="759"/>
    </row>
    <row r="504" spans="24:25">
      <c r="X504" s="759"/>
      <c r="Y504" s="759"/>
    </row>
    <row r="505" spans="24:25">
      <c r="X505" s="759"/>
      <c r="Y505" s="759"/>
    </row>
    <row r="506" spans="24:25">
      <c r="X506" s="759"/>
      <c r="Y506" s="759"/>
    </row>
    <row r="507" spans="24:25">
      <c r="X507" s="759"/>
      <c r="Y507" s="759"/>
    </row>
    <row r="508" spans="24:25">
      <c r="X508" s="759"/>
      <c r="Y508" s="759"/>
    </row>
    <row r="509" spans="24:25">
      <c r="X509" s="759"/>
      <c r="Y509" s="759"/>
    </row>
    <row r="510" spans="24:25">
      <c r="X510" s="759"/>
      <c r="Y510" s="759"/>
    </row>
    <row r="511" spans="24:25">
      <c r="X511" s="759"/>
      <c r="Y511" s="759"/>
    </row>
    <row r="512" spans="24:25">
      <c r="X512" s="759"/>
      <c r="Y512" s="759"/>
    </row>
    <row r="513" spans="24:25">
      <c r="X513" s="759"/>
      <c r="Y513" s="759"/>
    </row>
    <row r="514" spans="24:25">
      <c r="X514" s="759"/>
      <c r="Y514" s="759"/>
    </row>
    <row r="515" spans="24:25">
      <c r="X515" s="759"/>
      <c r="Y515" s="759"/>
    </row>
    <row r="516" spans="24:25">
      <c r="X516" s="759"/>
      <c r="Y516" s="759"/>
    </row>
    <row r="517" spans="24:25">
      <c r="X517" s="759"/>
      <c r="Y517" s="759"/>
    </row>
    <row r="518" spans="24:25">
      <c r="X518" s="759"/>
      <c r="Y518" s="759"/>
    </row>
    <row r="519" spans="24:25">
      <c r="X519" s="759"/>
      <c r="Y519" s="759"/>
    </row>
    <row r="520" spans="24:25">
      <c r="X520" s="759"/>
      <c r="Y520" s="759"/>
    </row>
    <row r="521" spans="24:25">
      <c r="X521" s="759"/>
      <c r="Y521" s="759"/>
    </row>
    <row r="522" spans="24:25">
      <c r="X522" s="759"/>
      <c r="Y522" s="759"/>
    </row>
    <row r="523" spans="24:25">
      <c r="X523" s="759"/>
      <c r="Y523" s="759"/>
    </row>
    <row r="524" spans="24:25">
      <c r="X524" s="759"/>
      <c r="Y524" s="759"/>
    </row>
    <row r="525" spans="24:25">
      <c r="X525" s="759"/>
      <c r="Y525" s="759"/>
    </row>
    <row r="526" spans="24:25">
      <c r="X526" s="759"/>
      <c r="Y526" s="759"/>
    </row>
    <row r="527" spans="24:25">
      <c r="X527" s="759"/>
      <c r="Y527" s="759"/>
    </row>
    <row r="528" spans="24:25">
      <c r="X528" s="759"/>
      <c r="Y528" s="759"/>
    </row>
    <row r="529" spans="24:25">
      <c r="X529" s="759"/>
      <c r="Y529" s="759"/>
    </row>
    <row r="530" spans="24:25">
      <c r="X530" s="759"/>
      <c r="Y530" s="759"/>
    </row>
    <row r="531" spans="24:25">
      <c r="X531" s="759"/>
      <c r="Y531" s="759"/>
    </row>
    <row r="532" spans="24:25">
      <c r="X532" s="759"/>
      <c r="Y532" s="759"/>
    </row>
    <row r="533" spans="24:25">
      <c r="X533" s="759"/>
      <c r="Y533" s="759"/>
    </row>
    <row r="534" spans="24:25">
      <c r="X534" s="759"/>
      <c r="Y534" s="759"/>
    </row>
    <row r="535" spans="24:25">
      <c r="X535" s="759"/>
      <c r="Y535" s="759"/>
    </row>
    <row r="536" spans="24:25">
      <c r="X536" s="759"/>
      <c r="Y536" s="759"/>
    </row>
    <row r="537" spans="24:25">
      <c r="X537" s="759"/>
      <c r="Y537" s="759"/>
    </row>
    <row r="538" spans="24:25">
      <c r="X538" s="759"/>
      <c r="Y538" s="759"/>
    </row>
    <row r="539" spans="24:25">
      <c r="X539" s="759"/>
      <c r="Y539" s="759"/>
    </row>
    <row r="540" spans="24:25">
      <c r="X540" s="759"/>
      <c r="Y540" s="759"/>
    </row>
    <row r="541" spans="24:25">
      <c r="X541" s="759"/>
      <c r="Y541" s="759"/>
    </row>
    <row r="542" spans="24:25">
      <c r="X542" s="759"/>
      <c r="Y542" s="759"/>
    </row>
    <row r="543" spans="24:25">
      <c r="X543" s="759"/>
      <c r="Y543" s="759"/>
    </row>
    <row r="544" spans="24:25">
      <c r="X544" s="759"/>
      <c r="Y544" s="759"/>
    </row>
    <row r="545" spans="24:25">
      <c r="X545" s="759"/>
      <c r="Y545" s="759"/>
    </row>
    <row r="546" spans="24:25">
      <c r="X546" s="759"/>
      <c r="Y546" s="759"/>
    </row>
    <row r="547" spans="24:25">
      <c r="X547" s="759"/>
      <c r="Y547" s="759"/>
    </row>
    <row r="548" spans="24:25">
      <c r="X548" s="759"/>
      <c r="Y548" s="759"/>
    </row>
    <row r="549" spans="24:25">
      <c r="X549" s="759"/>
      <c r="Y549" s="759"/>
    </row>
    <row r="550" spans="24:25">
      <c r="X550" s="759"/>
      <c r="Y550" s="759"/>
    </row>
    <row r="551" spans="24:25">
      <c r="X551" s="759"/>
      <c r="Y551" s="759"/>
    </row>
    <row r="552" spans="24:25">
      <c r="X552" s="759"/>
      <c r="Y552" s="759"/>
    </row>
    <row r="553" spans="24:25">
      <c r="X553" s="759"/>
      <c r="Y553" s="759"/>
    </row>
    <row r="554" spans="24:25">
      <c r="X554" s="759"/>
      <c r="Y554" s="759"/>
    </row>
    <row r="555" spans="24:25">
      <c r="X555" s="759"/>
      <c r="Y555" s="759"/>
    </row>
    <row r="556" spans="24:25">
      <c r="X556" s="759"/>
      <c r="Y556" s="759"/>
    </row>
    <row r="557" spans="24:25">
      <c r="X557" s="759"/>
      <c r="Y557" s="759"/>
    </row>
    <row r="558" spans="24:25">
      <c r="X558" s="759"/>
      <c r="Y558" s="759"/>
    </row>
    <row r="559" spans="24:25">
      <c r="X559" s="759"/>
      <c r="Y559" s="759"/>
    </row>
    <row r="560" spans="24:25">
      <c r="X560" s="759"/>
      <c r="Y560" s="759"/>
    </row>
    <row r="561" spans="24:25">
      <c r="X561" s="759"/>
      <c r="Y561" s="759"/>
    </row>
    <row r="562" spans="24:25">
      <c r="X562" s="759"/>
      <c r="Y562" s="759"/>
    </row>
    <row r="563" spans="24:25">
      <c r="X563" s="759"/>
      <c r="Y563" s="759"/>
    </row>
    <row r="564" spans="24:25">
      <c r="X564" s="759"/>
      <c r="Y564" s="759"/>
    </row>
    <row r="565" spans="24:25">
      <c r="X565" s="759"/>
      <c r="Y565" s="759"/>
    </row>
    <row r="566" spans="24:25">
      <c r="X566" s="759"/>
      <c r="Y566" s="759"/>
    </row>
    <row r="567" spans="24:25">
      <c r="X567" s="759"/>
      <c r="Y567" s="759"/>
    </row>
    <row r="568" spans="24:25">
      <c r="X568" s="759"/>
      <c r="Y568" s="759"/>
    </row>
    <row r="569" spans="24:25">
      <c r="X569" s="759"/>
      <c r="Y569" s="759"/>
    </row>
    <row r="570" spans="24:25">
      <c r="X570" s="759"/>
      <c r="Y570" s="759"/>
    </row>
    <row r="571" spans="24:25">
      <c r="X571" s="759"/>
      <c r="Y571" s="759"/>
    </row>
    <row r="572" spans="24:25">
      <c r="X572" s="759"/>
      <c r="Y572" s="759"/>
    </row>
    <row r="573" spans="24:25">
      <c r="X573" s="759"/>
      <c r="Y573" s="759"/>
    </row>
    <row r="574" spans="24:25">
      <c r="X574" s="759"/>
      <c r="Y574" s="759"/>
    </row>
    <row r="575" spans="24:25">
      <c r="X575" s="759"/>
      <c r="Y575" s="759"/>
    </row>
    <row r="576" spans="24:25">
      <c r="X576" s="759"/>
      <c r="Y576" s="759"/>
    </row>
    <row r="577" spans="24:25">
      <c r="X577" s="759"/>
      <c r="Y577" s="759"/>
    </row>
    <row r="578" spans="24:25">
      <c r="X578" s="759"/>
      <c r="Y578" s="759"/>
    </row>
    <row r="579" spans="24:25">
      <c r="X579" s="759"/>
      <c r="Y579" s="759"/>
    </row>
    <row r="580" spans="24:25">
      <c r="X580" s="759"/>
      <c r="Y580" s="759"/>
    </row>
    <row r="581" spans="24:25">
      <c r="X581" s="759"/>
      <c r="Y581" s="759"/>
    </row>
    <row r="582" spans="24:25">
      <c r="X582" s="759"/>
      <c r="Y582" s="759"/>
    </row>
    <row r="583" spans="24:25">
      <c r="X583" s="759"/>
      <c r="Y583" s="759"/>
    </row>
    <row r="584" spans="24:25">
      <c r="X584" s="759"/>
      <c r="Y584" s="759"/>
    </row>
    <row r="585" spans="24:25">
      <c r="X585" s="759"/>
      <c r="Y585" s="759"/>
    </row>
    <row r="586" spans="24:25">
      <c r="X586" s="759"/>
      <c r="Y586" s="759"/>
    </row>
    <row r="587" spans="24:25">
      <c r="X587" s="759"/>
      <c r="Y587" s="759"/>
    </row>
    <row r="588" spans="24:25">
      <c r="X588" s="759"/>
      <c r="Y588" s="759"/>
    </row>
    <row r="589" spans="24:25">
      <c r="X589" s="759"/>
      <c r="Y589" s="759"/>
    </row>
    <row r="590" spans="24:25">
      <c r="X590" s="759"/>
      <c r="Y590" s="759"/>
    </row>
    <row r="591" spans="24:25">
      <c r="X591" s="759"/>
      <c r="Y591" s="759"/>
    </row>
    <row r="592" spans="24:25">
      <c r="X592" s="759"/>
      <c r="Y592" s="759"/>
    </row>
    <row r="593" spans="24:25">
      <c r="X593" s="759"/>
      <c r="Y593" s="759"/>
    </row>
    <row r="594" spans="24:25">
      <c r="X594" s="759"/>
      <c r="Y594" s="759"/>
    </row>
    <row r="595" spans="24:25">
      <c r="X595" s="759"/>
      <c r="Y595" s="759"/>
    </row>
    <row r="596" spans="24:25">
      <c r="X596" s="759"/>
      <c r="Y596" s="759"/>
    </row>
    <row r="597" spans="24:25">
      <c r="X597" s="759"/>
      <c r="Y597" s="759"/>
    </row>
    <row r="598" spans="24:25">
      <c r="X598" s="759"/>
      <c r="Y598" s="759"/>
    </row>
    <row r="599" spans="24:25">
      <c r="X599" s="759"/>
      <c r="Y599" s="759"/>
    </row>
    <row r="600" spans="24:25">
      <c r="X600" s="759"/>
      <c r="Y600" s="759"/>
    </row>
    <row r="601" spans="24:25">
      <c r="X601" s="759"/>
      <c r="Y601" s="759"/>
    </row>
    <row r="602" spans="24:25">
      <c r="X602" s="759"/>
      <c r="Y602" s="759"/>
    </row>
    <row r="603" spans="24:25">
      <c r="X603" s="759"/>
      <c r="Y603" s="759"/>
    </row>
    <row r="604" spans="24:25">
      <c r="X604" s="759"/>
      <c r="Y604" s="759"/>
    </row>
    <row r="605" spans="24:25">
      <c r="X605" s="759"/>
      <c r="Y605" s="759"/>
    </row>
    <row r="606" spans="24:25">
      <c r="X606" s="759"/>
      <c r="Y606" s="759"/>
    </row>
    <row r="607" spans="24:25">
      <c r="X607" s="759"/>
      <c r="Y607" s="759"/>
    </row>
    <row r="608" spans="24:25">
      <c r="X608" s="759"/>
      <c r="Y608" s="759"/>
    </row>
    <row r="609" spans="24:25">
      <c r="X609" s="759"/>
      <c r="Y609" s="759"/>
    </row>
    <row r="610" spans="24:25">
      <c r="X610" s="759"/>
      <c r="Y610" s="759"/>
    </row>
    <row r="611" spans="24:25">
      <c r="X611" s="759"/>
      <c r="Y611" s="759"/>
    </row>
    <row r="612" spans="24:25">
      <c r="X612" s="759"/>
      <c r="Y612" s="759"/>
    </row>
    <row r="613" spans="24:25">
      <c r="X613" s="759"/>
      <c r="Y613" s="759"/>
    </row>
    <row r="614" spans="24:25">
      <c r="X614" s="759"/>
      <c r="Y614" s="759"/>
    </row>
    <row r="615" spans="24:25">
      <c r="X615" s="759"/>
      <c r="Y615" s="759"/>
    </row>
    <row r="616" spans="24:25">
      <c r="X616" s="759"/>
      <c r="Y616" s="759"/>
    </row>
    <row r="617" spans="24:25">
      <c r="X617" s="759"/>
      <c r="Y617" s="759"/>
    </row>
    <row r="618" spans="24:25">
      <c r="X618" s="759"/>
      <c r="Y618" s="759"/>
    </row>
    <row r="619" spans="24:25">
      <c r="X619" s="759"/>
      <c r="Y619" s="759"/>
    </row>
    <row r="620" spans="24:25">
      <c r="X620" s="759"/>
      <c r="Y620" s="759"/>
    </row>
    <row r="621" spans="24:25">
      <c r="X621" s="759"/>
      <c r="Y621" s="759"/>
    </row>
    <row r="622" spans="24:25">
      <c r="X622" s="759"/>
      <c r="Y622" s="759"/>
    </row>
    <row r="623" spans="24:25">
      <c r="X623" s="759"/>
      <c r="Y623" s="759"/>
    </row>
    <row r="624" spans="24:25">
      <c r="X624" s="759"/>
      <c r="Y624" s="759"/>
    </row>
    <row r="625" spans="24:25">
      <c r="X625" s="759"/>
      <c r="Y625" s="759"/>
    </row>
    <row r="626" spans="24:25">
      <c r="X626" s="759"/>
      <c r="Y626" s="759"/>
    </row>
    <row r="627" spans="24:25">
      <c r="X627" s="759"/>
      <c r="Y627" s="759"/>
    </row>
    <row r="628" spans="24:25">
      <c r="X628" s="759"/>
      <c r="Y628" s="759"/>
    </row>
    <row r="629" spans="24:25">
      <c r="X629" s="759"/>
      <c r="Y629" s="759"/>
    </row>
    <row r="630" spans="24:25">
      <c r="X630" s="759"/>
      <c r="Y630" s="759"/>
    </row>
    <row r="631" spans="24:25">
      <c r="X631" s="759"/>
      <c r="Y631" s="759"/>
    </row>
    <row r="632" spans="24:25">
      <c r="X632" s="759"/>
      <c r="Y632" s="759"/>
    </row>
    <row r="633" spans="24:25">
      <c r="X633" s="759"/>
      <c r="Y633" s="759"/>
    </row>
    <row r="634" spans="24:25">
      <c r="X634" s="759"/>
      <c r="Y634" s="759"/>
    </row>
    <row r="635" spans="24:25">
      <c r="X635" s="759"/>
      <c r="Y635" s="759"/>
    </row>
    <row r="636" spans="24:25">
      <c r="X636" s="759"/>
      <c r="Y636" s="759"/>
    </row>
    <row r="637" spans="24:25">
      <c r="X637" s="759"/>
      <c r="Y637" s="759"/>
    </row>
    <row r="638" spans="24:25">
      <c r="X638" s="759"/>
      <c r="Y638" s="759"/>
    </row>
    <row r="639" spans="24:25">
      <c r="X639" s="759"/>
      <c r="Y639" s="759"/>
    </row>
    <row r="640" spans="24:25">
      <c r="X640" s="759"/>
      <c r="Y640" s="759"/>
    </row>
    <row r="641" spans="24:25">
      <c r="X641" s="759"/>
      <c r="Y641" s="759"/>
    </row>
    <row r="642" spans="24:25">
      <c r="X642" s="759"/>
      <c r="Y642" s="759"/>
    </row>
    <row r="643" spans="24:25">
      <c r="X643" s="759"/>
      <c r="Y643" s="759"/>
    </row>
    <row r="644" spans="24:25">
      <c r="X644" s="759"/>
      <c r="Y644" s="759"/>
    </row>
    <row r="645" spans="24:25">
      <c r="X645" s="759"/>
      <c r="Y645" s="759"/>
    </row>
    <row r="646" spans="24:25">
      <c r="X646" s="759"/>
      <c r="Y646" s="759"/>
    </row>
    <row r="647" spans="24:25">
      <c r="X647" s="759"/>
      <c r="Y647" s="759"/>
    </row>
    <row r="648" spans="24:25">
      <c r="X648" s="759"/>
      <c r="Y648" s="759"/>
    </row>
    <row r="649" spans="24:25">
      <c r="X649" s="759"/>
      <c r="Y649" s="759"/>
    </row>
    <row r="650" spans="24:25">
      <c r="X650" s="759"/>
      <c r="Y650" s="759"/>
    </row>
    <row r="651" spans="24:25">
      <c r="X651" s="759"/>
      <c r="Y651" s="759"/>
    </row>
    <row r="652" spans="24:25">
      <c r="X652" s="759"/>
      <c r="Y652" s="759"/>
    </row>
    <row r="653" spans="24:25">
      <c r="X653" s="759"/>
      <c r="Y653" s="759"/>
    </row>
    <row r="654" spans="24:25">
      <c r="X654" s="759"/>
      <c r="Y654" s="759"/>
    </row>
    <row r="655" spans="24:25">
      <c r="X655" s="759"/>
      <c r="Y655" s="759"/>
    </row>
    <row r="656" spans="24:25">
      <c r="X656" s="759"/>
      <c r="Y656" s="759"/>
    </row>
    <row r="657" spans="24:25">
      <c r="X657" s="759"/>
      <c r="Y657" s="759"/>
    </row>
    <row r="658" spans="24:25">
      <c r="X658" s="759"/>
      <c r="Y658" s="759"/>
    </row>
    <row r="659" spans="24:25">
      <c r="X659" s="759"/>
      <c r="Y659" s="759"/>
    </row>
    <row r="660" spans="24:25">
      <c r="X660" s="759"/>
      <c r="Y660" s="759"/>
    </row>
    <row r="661" spans="24:25">
      <c r="X661" s="759"/>
      <c r="Y661" s="759"/>
    </row>
    <row r="662" spans="24:25">
      <c r="X662" s="759"/>
      <c r="Y662" s="759"/>
    </row>
    <row r="663" spans="24:25">
      <c r="X663" s="759"/>
      <c r="Y663" s="759"/>
    </row>
    <row r="664" spans="24:25">
      <c r="X664" s="759"/>
      <c r="Y664" s="759"/>
    </row>
    <row r="665" spans="24:25">
      <c r="X665" s="759"/>
      <c r="Y665" s="759"/>
    </row>
    <row r="666" spans="24:25">
      <c r="X666" s="759"/>
      <c r="Y666" s="759"/>
    </row>
    <row r="667" spans="24:25">
      <c r="X667" s="759"/>
      <c r="Y667" s="759"/>
    </row>
    <row r="668" spans="24:25">
      <c r="X668" s="759"/>
      <c r="Y668" s="759"/>
    </row>
    <row r="669" spans="24:25">
      <c r="X669" s="759"/>
      <c r="Y669" s="759"/>
    </row>
    <row r="670" spans="24:25">
      <c r="X670" s="759"/>
      <c r="Y670" s="759"/>
    </row>
    <row r="671" spans="24:25">
      <c r="X671" s="759"/>
      <c r="Y671" s="759"/>
    </row>
    <row r="672" spans="24:25">
      <c r="X672" s="759"/>
      <c r="Y672" s="759"/>
    </row>
    <row r="673" spans="24:25">
      <c r="X673" s="759"/>
      <c r="Y673" s="759"/>
    </row>
    <row r="674" spans="24:25">
      <c r="X674" s="759"/>
      <c r="Y674" s="759"/>
    </row>
    <row r="675" spans="24:25">
      <c r="X675" s="759"/>
      <c r="Y675" s="759"/>
    </row>
    <row r="676" spans="24:25">
      <c r="X676" s="759"/>
      <c r="Y676" s="759"/>
    </row>
    <row r="677" spans="24:25">
      <c r="X677" s="759"/>
      <c r="Y677" s="759"/>
    </row>
    <row r="678" spans="24:25">
      <c r="X678" s="759"/>
      <c r="Y678" s="759"/>
    </row>
    <row r="679" spans="24:25">
      <c r="X679" s="759"/>
      <c r="Y679" s="759"/>
    </row>
    <row r="680" spans="24:25">
      <c r="X680" s="759"/>
      <c r="Y680" s="759"/>
    </row>
    <row r="681" spans="24:25">
      <c r="X681" s="759"/>
      <c r="Y681" s="759"/>
    </row>
    <row r="682" spans="24:25">
      <c r="X682" s="759"/>
      <c r="Y682" s="759"/>
    </row>
    <row r="683" spans="24:25">
      <c r="X683" s="759"/>
      <c r="Y683" s="759"/>
    </row>
    <row r="684" spans="24:25">
      <c r="X684" s="759"/>
      <c r="Y684" s="759"/>
    </row>
    <row r="685" spans="24:25">
      <c r="X685" s="759"/>
      <c r="Y685" s="759"/>
    </row>
    <row r="686" spans="24:25">
      <c r="X686" s="759"/>
      <c r="Y686" s="759"/>
    </row>
    <row r="687" spans="24:25">
      <c r="X687" s="759"/>
      <c r="Y687" s="759"/>
    </row>
    <row r="688" spans="24:25">
      <c r="X688" s="759"/>
      <c r="Y688" s="759"/>
    </row>
    <row r="689" spans="24:25">
      <c r="X689" s="759"/>
      <c r="Y689" s="759"/>
    </row>
    <row r="690" spans="24:25">
      <c r="X690" s="759"/>
      <c r="Y690" s="759"/>
    </row>
    <row r="691" spans="24:25">
      <c r="X691" s="759"/>
      <c r="Y691" s="759"/>
    </row>
    <row r="692" spans="24:25">
      <c r="X692" s="759"/>
      <c r="Y692" s="759"/>
    </row>
    <row r="693" spans="24:25">
      <c r="X693" s="759"/>
      <c r="Y693" s="759"/>
    </row>
    <row r="694" spans="24:25">
      <c r="X694" s="759"/>
      <c r="Y694" s="759"/>
    </row>
    <row r="695" spans="24:25">
      <c r="X695" s="759"/>
      <c r="Y695" s="759"/>
    </row>
    <row r="696" spans="24:25">
      <c r="X696" s="759"/>
      <c r="Y696" s="759"/>
    </row>
    <row r="697" spans="24:25">
      <c r="X697" s="759"/>
      <c r="Y697" s="759"/>
    </row>
    <row r="698" spans="24:25">
      <c r="X698" s="759"/>
      <c r="Y698" s="759"/>
    </row>
    <row r="699" spans="24:25">
      <c r="X699" s="759"/>
      <c r="Y699" s="759"/>
    </row>
    <row r="700" spans="24:25">
      <c r="X700" s="759"/>
      <c r="Y700" s="759"/>
    </row>
    <row r="701" spans="24:25">
      <c r="X701" s="759"/>
      <c r="Y701" s="759"/>
    </row>
    <row r="702" spans="24:25">
      <c r="X702" s="759"/>
      <c r="Y702" s="759"/>
    </row>
    <row r="703" spans="24:25">
      <c r="X703" s="759"/>
      <c r="Y703" s="759"/>
    </row>
    <row r="704" spans="24:25">
      <c r="X704" s="759"/>
      <c r="Y704" s="759"/>
    </row>
    <row r="705" spans="24:25">
      <c r="X705" s="759"/>
      <c r="Y705" s="759"/>
    </row>
    <row r="706" spans="24:25">
      <c r="X706" s="759"/>
      <c r="Y706" s="759"/>
    </row>
    <row r="707" spans="24:25">
      <c r="X707" s="759"/>
      <c r="Y707" s="759"/>
    </row>
    <row r="708" spans="24:25">
      <c r="X708" s="759"/>
      <c r="Y708" s="759"/>
    </row>
    <row r="709" spans="24:25">
      <c r="X709" s="759"/>
      <c r="Y709" s="759"/>
    </row>
    <row r="710" spans="24:25">
      <c r="X710" s="759"/>
      <c r="Y710" s="759"/>
    </row>
    <row r="711" spans="24:25">
      <c r="X711" s="759"/>
      <c r="Y711" s="759"/>
    </row>
    <row r="712" spans="24:25">
      <c r="X712" s="759"/>
      <c r="Y712" s="759"/>
    </row>
    <row r="713" spans="24:25">
      <c r="X713" s="759"/>
      <c r="Y713" s="759"/>
    </row>
    <row r="714" spans="24:25">
      <c r="X714" s="759"/>
      <c r="Y714" s="759"/>
    </row>
    <row r="715" spans="24:25">
      <c r="X715" s="759"/>
      <c r="Y715" s="759"/>
    </row>
    <row r="716" spans="24:25">
      <c r="X716" s="759"/>
      <c r="Y716" s="759"/>
    </row>
    <row r="717" spans="24:25">
      <c r="X717" s="759"/>
      <c r="Y717" s="759"/>
    </row>
    <row r="718" spans="24:25">
      <c r="X718" s="759"/>
      <c r="Y718" s="759"/>
    </row>
    <row r="719" spans="24:25">
      <c r="X719" s="759"/>
      <c r="Y719" s="759"/>
    </row>
    <row r="720" spans="24:25">
      <c r="X720" s="759"/>
      <c r="Y720" s="759"/>
    </row>
    <row r="721" spans="24:25">
      <c r="X721" s="759"/>
      <c r="Y721" s="759"/>
    </row>
    <row r="722" spans="24:25">
      <c r="X722" s="759"/>
      <c r="Y722" s="759"/>
    </row>
    <row r="723" spans="24:25">
      <c r="X723" s="759"/>
      <c r="Y723" s="759"/>
    </row>
    <row r="724" spans="24:25">
      <c r="X724" s="759"/>
      <c r="Y724" s="759"/>
    </row>
    <row r="725" spans="24:25">
      <c r="X725" s="759"/>
      <c r="Y725" s="759"/>
    </row>
    <row r="726" spans="24:25">
      <c r="X726" s="759"/>
      <c r="Y726" s="759"/>
    </row>
    <row r="727" spans="24:25">
      <c r="X727" s="759"/>
      <c r="Y727" s="759"/>
    </row>
    <row r="728" spans="24:25">
      <c r="X728" s="759"/>
      <c r="Y728" s="759"/>
    </row>
    <row r="729" spans="24:25">
      <c r="X729" s="759"/>
      <c r="Y729" s="759"/>
    </row>
    <row r="730" spans="24:25">
      <c r="X730" s="759"/>
      <c r="Y730" s="759"/>
    </row>
    <row r="731" spans="24:25">
      <c r="X731" s="759"/>
      <c r="Y731" s="759"/>
    </row>
    <row r="732" spans="24:25">
      <c r="X732" s="759"/>
      <c r="Y732" s="759"/>
    </row>
    <row r="733" spans="24:25">
      <c r="X733" s="759"/>
      <c r="Y733" s="759"/>
    </row>
    <row r="734" spans="24:25">
      <c r="X734" s="759"/>
      <c r="Y734" s="759"/>
    </row>
    <row r="735" spans="24:25">
      <c r="X735" s="759"/>
      <c r="Y735" s="759"/>
    </row>
    <row r="736" spans="24:25">
      <c r="X736" s="759"/>
      <c r="Y736" s="759"/>
    </row>
    <row r="737" spans="24:25">
      <c r="X737" s="759"/>
      <c r="Y737" s="759"/>
    </row>
    <row r="738" spans="24:25">
      <c r="X738" s="759"/>
      <c r="Y738" s="759"/>
    </row>
    <row r="739" spans="24:25">
      <c r="X739" s="759"/>
      <c r="Y739" s="759"/>
    </row>
    <row r="740" spans="24:25">
      <c r="X740" s="759"/>
      <c r="Y740" s="759"/>
    </row>
    <row r="741" spans="24:25">
      <c r="X741" s="759"/>
      <c r="Y741" s="759"/>
    </row>
    <row r="742" spans="24:25">
      <c r="X742" s="759"/>
      <c r="Y742" s="759"/>
    </row>
    <row r="743" spans="24:25">
      <c r="X743" s="759"/>
      <c r="Y743" s="759"/>
    </row>
    <row r="744" spans="24:25">
      <c r="X744" s="759"/>
      <c r="Y744" s="759"/>
    </row>
    <row r="745" spans="24:25">
      <c r="X745" s="759"/>
      <c r="Y745" s="759"/>
    </row>
    <row r="746" spans="24:25">
      <c r="X746" s="759"/>
      <c r="Y746" s="759"/>
    </row>
    <row r="747" spans="24:25">
      <c r="X747" s="759"/>
      <c r="Y747" s="759"/>
    </row>
    <row r="748" spans="24:25">
      <c r="X748" s="759"/>
      <c r="Y748" s="759"/>
    </row>
    <row r="749" spans="24:25">
      <c r="X749" s="759"/>
      <c r="Y749" s="759"/>
    </row>
    <row r="750" spans="24:25">
      <c r="X750" s="759"/>
      <c r="Y750" s="759"/>
    </row>
    <row r="751" spans="24:25">
      <c r="X751" s="759"/>
      <c r="Y751" s="759"/>
    </row>
    <row r="752" spans="24:25">
      <c r="X752" s="759"/>
      <c r="Y752" s="759"/>
    </row>
    <row r="753" spans="24:25">
      <c r="X753" s="759"/>
      <c r="Y753" s="759"/>
    </row>
    <row r="754" spans="24:25">
      <c r="X754" s="759"/>
      <c r="Y754" s="759"/>
    </row>
    <row r="755" spans="24:25">
      <c r="X755" s="759"/>
      <c r="Y755" s="759"/>
    </row>
    <row r="756" spans="24:25">
      <c r="X756" s="759"/>
      <c r="Y756" s="759"/>
    </row>
    <row r="757" spans="24:25">
      <c r="X757" s="759"/>
      <c r="Y757" s="759"/>
    </row>
    <row r="758" spans="24:25">
      <c r="X758" s="759"/>
      <c r="Y758" s="759"/>
    </row>
    <row r="759" spans="24:25">
      <c r="X759" s="759"/>
      <c r="Y759" s="759"/>
    </row>
    <row r="760" spans="24:25">
      <c r="X760" s="759"/>
      <c r="Y760" s="759"/>
    </row>
    <row r="761" spans="24:25">
      <c r="X761" s="759"/>
      <c r="Y761" s="759"/>
    </row>
    <row r="762" spans="24:25">
      <c r="X762" s="759"/>
      <c r="Y762" s="759"/>
    </row>
    <row r="763" spans="24:25">
      <c r="X763" s="759"/>
      <c r="Y763" s="759"/>
    </row>
    <row r="764" spans="24:25">
      <c r="X764" s="759"/>
      <c r="Y764" s="759"/>
    </row>
    <row r="765" spans="24:25">
      <c r="X765" s="759"/>
      <c r="Y765" s="759"/>
    </row>
    <row r="766" spans="24:25">
      <c r="X766" s="759"/>
      <c r="Y766" s="759"/>
    </row>
    <row r="767" spans="24:25">
      <c r="X767" s="759"/>
      <c r="Y767" s="759"/>
    </row>
    <row r="768" spans="24:25">
      <c r="X768" s="759"/>
      <c r="Y768" s="759"/>
    </row>
    <row r="769" spans="24:25">
      <c r="X769" s="759"/>
      <c r="Y769" s="759"/>
    </row>
    <row r="770" spans="24:25">
      <c r="X770" s="759"/>
      <c r="Y770" s="759"/>
    </row>
    <row r="771" spans="24:25">
      <c r="X771" s="759"/>
      <c r="Y771" s="759"/>
    </row>
    <row r="772" spans="24:25">
      <c r="X772" s="759"/>
      <c r="Y772" s="759"/>
    </row>
    <row r="773" spans="24:25">
      <c r="X773" s="759"/>
      <c r="Y773" s="759"/>
    </row>
    <row r="774" spans="24:25">
      <c r="X774" s="759"/>
      <c r="Y774" s="759"/>
    </row>
    <row r="775" spans="24:25">
      <c r="X775" s="759"/>
      <c r="Y775" s="759"/>
    </row>
    <row r="776" spans="24:25">
      <c r="X776" s="759"/>
      <c r="Y776" s="759"/>
    </row>
    <row r="777" spans="24:25">
      <c r="X777" s="759"/>
      <c r="Y777" s="759"/>
    </row>
    <row r="778" spans="24:25">
      <c r="X778" s="759"/>
      <c r="Y778" s="759"/>
    </row>
    <row r="779" spans="24:25">
      <c r="X779" s="759"/>
      <c r="Y779" s="759"/>
    </row>
    <row r="780" spans="24:25">
      <c r="X780" s="759"/>
      <c r="Y780" s="759"/>
    </row>
    <row r="781" spans="24:25">
      <c r="X781" s="759"/>
      <c r="Y781" s="759"/>
    </row>
    <row r="782" spans="24:25">
      <c r="X782" s="759"/>
      <c r="Y782" s="759"/>
    </row>
    <row r="783" spans="24:25">
      <c r="X783" s="759"/>
      <c r="Y783" s="759"/>
    </row>
    <row r="784" spans="24:25">
      <c r="X784" s="759"/>
      <c r="Y784" s="759"/>
    </row>
    <row r="785" spans="24:25">
      <c r="X785" s="759"/>
      <c r="Y785" s="759"/>
    </row>
    <row r="786" spans="24:25">
      <c r="X786" s="759"/>
      <c r="Y786" s="759"/>
    </row>
    <row r="787" spans="24:25">
      <c r="X787" s="759"/>
      <c r="Y787" s="759"/>
    </row>
    <row r="788" spans="24:25">
      <c r="X788" s="759"/>
      <c r="Y788" s="759"/>
    </row>
    <row r="789" spans="24:25">
      <c r="X789" s="759"/>
      <c r="Y789" s="759"/>
    </row>
    <row r="790" spans="24:25">
      <c r="X790" s="759"/>
      <c r="Y790" s="759"/>
    </row>
    <row r="791" spans="24:25">
      <c r="X791" s="759"/>
      <c r="Y791" s="759"/>
    </row>
    <row r="792" spans="24:25">
      <c r="X792" s="759"/>
      <c r="Y792" s="759"/>
    </row>
    <row r="793" spans="24:25">
      <c r="X793" s="759"/>
      <c r="Y793" s="759"/>
    </row>
    <row r="794" spans="24:25">
      <c r="X794" s="759"/>
      <c r="Y794" s="759"/>
    </row>
    <row r="795" spans="24:25">
      <c r="X795" s="759"/>
      <c r="Y795" s="759"/>
    </row>
    <row r="796" spans="24:25">
      <c r="X796" s="759"/>
      <c r="Y796" s="759"/>
    </row>
    <row r="797" spans="24:25">
      <c r="X797" s="759"/>
      <c r="Y797" s="759"/>
    </row>
    <row r="798" spans="24:25">
      <c r="X798" s="759"/>
      <c r="Y798" s="759"/>
    </row>
    <row r="799" spans="24:25">
      <c r="X799" s="759"/>
      <c r="Y799" s="759"/>
    </row>
    <row r="800" spans="24:25">
      <c r="X800" s="759"/>
      <c r="Y800" s="759"/>
    </row>
    <row r="801" spans="24:25">
      <c r="X801" s="759"/>
      <c r="Y801" s="759"/>
    </row>
    <row r="802" spans="24:25">
      <c r="X802" s="759"/>
      <c r="Y802" s="759"/>
    </row>
    <row r="803" spans="24:25">
      <c r="X803" s="759"/>
      <c r="Y803" s="759"/>
    </row>
    <row r="804" spans="24:25">
      <c r="X804" s="759"/>
      <c r="Y804" s="759"/>
    </row>
    <row r="805" spans="24:25">
      <c r="X805" s="759"/>
      <c r="Y805" s="759"/>
    </row>
    <row r="806" spans="24:25">
      <c r="X806" s="759"/>
      <c r="Y806" s="759"/>
    </row>
    <row r="807" spans="24:25">
      <c r="X807" s="759"/>
      <c r="Y807" s="759"/>
    </row>
    <row r="808" spans="24:25">
      <c r="X808" s="759"/>
      <c r="Y808" s="759"/>
    </row>
    <row r="809" spans="24:25">
      <c r="X809" s="759"/>
      <c r="Y809" s="759"/>
    </row>
    <row r="810" spans="24:25">
      <c r="X810" s="759"/>
      <c r="Y810" s="759"/>
    </row>
    <row r="811" spans="24:25">
      <c r="X811" s="759"/>
      <c r="Y811" s="759"/>
    </row>
    <row r="812" spans="24:25">
      <c r="X812" s="759"/>
      <c r="Y812" s="759"/>
    </row>
    <row r="813" spans="24:25">
      <c r="X813" s="759"/>
      <c r="Y813" s="759"/>
    </row>
    <row r="814" spans="24:25">
      <c r="X814" s="759"/>
      <c r="Y814" s="759"/>
    </row>
    <row r="815" spans="24:25">
      <c r="X815" s="759"/>
      <c r="Y815" s="759"/>
    </row>
    <row r="816" spans="24:25">
      <c r="X816" s="759"/>
      <c r="Y816" s="759"/>
    </row>
    <row r="817" spans="24:25">
      <c r="X817" s="759"/>
      <c r="Y817" s="759"/>
    </row>
    <row r="818" spans="24:25">
      <c r="X818" s="759"/>
      <c r="Y818" s="759"/>
    </row>
    <row r="819" spans="24:25">
      <c r="X819" s="759"/>
      <c r="Y819" s="759"/>
    </row>
    <row r="820" spans="24:25">
      <c r="X820" s="759"/>
      <c r="Y820" s="759"/>
    </row>
    <row r="821" spans="24:25">
      <c r="X821" s="759"/>
      <c r="Y821" s="759"/>
    </row>
    <row r="822" spans="24:25">
      <c r="X822" s="759"/>
      <c r="Y822" s="759"/>
    </row>
    <row r="823" spans="24:25">
      <c r="X823" s="759"/>
      <c r="Y823" s="759"/>
    </row>
    <row r="824" spans="24:25">
      <c r="X824" s="759"/>
      <c r="Y824" s="759"/>
    </row>
    <row r="825" spans="24:25">
      <c r="X825" s="759"/>
      <c r="Y825" s="759"/>
    </row>
    <row r="826" spans="24:25">
      <c r="X826" s="759"/>
      <c r="Y826" s="759"/>
    </row>
    <row r="827" spans="24:25">
      <c r="X827" s="759"/>
      <c r="Y827" s="759"/>
    </row>
    <row r="828" spans="24:25">
      <c r="X828" s="759"/>
      <c r="Y828" s="759"/>
    </row>
    <row r="829" spans="24:25">
      <c r="X829" s="759"/>
      <c r="Y829" s="759"/>
    </row>
    <row r="830" spans="24:25">
      <c r="X830" s="759"/>
      <c r="Y830" s="759"/>
    </row>
    <row r="831" spans="24:25">
      <c r="X831" s="759"/>
      <c r="Y831" s="759"/>
    </row>
    <row r="832" spans="24:25">
      <c r="X832" s="759"/>
      <c r="Y832" s="759"/>
    </row>
    <row r="833" spans="24:25">
      <c r="X833" s="759"/>
      <c r="Y833" s="759"/>
    </row>
    <row r="834" spans="24:25">
      <c r="X834" s="759"/>
      <c r="Y834" s="759"/>
    </row>
    <row r="835" spans="24:25">
      <c r="X835" s="759"/>
      <c r="Y835" s="759"/>
    </row>
    <row r="836" spans="24:25">
      <c r="X836" s="759"/>
      <c r="Y836" s="759"/>
    </row>
    <row r="837" spans="24:25">
      <c r="X837" s="759"/>
      <c r="Y837" s="759"/>
    </row>
    <row r="838" spans="24:25">
      <c r="X838" s="759"/>
      <c r="Y838" s="759"/>
    </row>
    <row r="839" spans="24:25">
      <c r="X839" s="759"/>
      <c r="Y839" s="759"/>
    </row>
    <row r="840" spans="24:25">
      <c r="X840" s="759"/>
      <c r="Y840" s="759"/>
    </row>
    <row r="841" spans="24:25">
      <c r="X841" s="759"/>
      <c r="Y841" s="759"/>
    </row>
    <row r="842" spans="24:25">
      <c r="X842" s="759"/>
      <c r="Y842" s="759"/>
    </row>
    <row r="843" spans="24:25">
      <c r="X843" s="759"/>
      <c r="Y843" s="759"/>
    </row>
    <row r="844" spans="24:25">
      <c r="X844" s="759"/>
      <c r="Y844" s="759"/>
    </row>
    <row r="845" spans="24:25">
      <c r="X845" s="759"/>
      <c r="Y845" s="759"/>
    </row>
    <row r="846" spans="24:25">
      <c r="X846" s="759"/>
      <c r="Y846" s="759"/>
    </row>
    <row r="847" spans="24:25">
      <c r="X847" s="759"/>
      <c r="Y847" s="759"/>
    </row>
    <row r="848" spans="24:25">
      <c r="X848" s="759"/>
      <c r="Y848" s="759"/>
    </row>
    <row r="849" spans="24:25">
      <c r="X849" s="759"/>
      <c r="Y849" s="759"/>
    </row>
    <row r="850" spans="24:25">
      <c r="X850" s="759"/>
      <c r="Y850" s="759"/>
    </row>
    <row r="851" spans="24:25">
      <c r="X851" s="759"/>
      <c r="Y851" s="759"/>
    </row>
    <row r="852" spans="24:25">
      <c r="X852" s="759"/>
      <c r="Y852" s="759"/>
    </row>
    <row r="853" spans="24:25">
      <c r="X853" s="759"/>
      <c r="Y853" s="759"/>
    </row>
    <row r="854" spans="24:25">
      <c r="X854" s="759"/>
      <c r="Y854" s="759"/>
    </row>
    <row r="855" spans="24:25">
      <c r="X855" s="759"/>
      <c r="Y855" s="759"/>
    </row>
    <row r="856" spans="24:25">
      <c r="X856" s="759"/>
      <c r="Y856" s="759"/>
    </row>
    <row r="857" spans="24:25">
      <c r="X857" s="759"/>
      <c r="Y857" s="759"/>
    </row>
    <row r="858" spans="24:25">
      <c r="X858" s="759"/>
      <c r="Y858" s="759"/>
    </row>
    <row r="859" spans="24:25">
      <c r="X859" s="759"/>
      <c r="Y859" s="759"/>
    </row>
    <row r="860" spans="24:25">
      <c r="X860" s="759"/>
      <c r="Y860" s="759"/>
    </row>
    <row r="861" spans="24:25">
      <c r="X861" s="759"/>
      <c r="Y861" s="759"/>
    </row>
    <row r="862" spans="24:25">
      <c r="X862" s="759"/>
      <c r="Y862" s="759"/>
    </row>
    <row r="863" spans="24:25">
      <c r="X863" s="759"/>
      <c r="Y863" s="759"/>
    </row>
    <row r="864" spans="24:25">
      <c r="X864" s="759"/>
      <c r="Y864" s="759"/>
    </row>
    <row r="865" spans="24:25">
      <c r="X865" s="759"/>
      <c r="Y865" s="759"/>
    </row>
    <row r="866" spans="24:25">
      <c r="X866" s="759"/>
      <c r="Y866" s="759"/>
    </row>
    <row r="867" spans="24:25">
      <c r="X867" s="759"/>
      <c r="Y867" s="759"/>
    </row>
    <row r="868" spans="24:25">
      <c r="X868" s="759"/>
      <c r="Y868" s="759"/>
    </row>
    <row r="869" spans="24:25">
      <c r="X869" s="759"/>
      <c r="Y869" s="759"/>
    </row>
    <row r="870" spans="24:25">
      <c r="X870" s="759"/>
      <c r="Y870" s="759"/>
    </row>
    <row r="871" spans="24:25">
      <c r="X871" s="759"/>
      <c r="Y871" s="759"/>
    </row>
    <row r="872" spans="24:25">
      <c r="X872" s="759"/>
      <c r="Y872" s="759"/>
    </row>
    <row r="873" spans="24:25">
      <c r="X873" s="759"/>
      <c r="Y873" s="759"/>
    </row>
    <row r="874" spans="24:25">
      <c r="X874" s="759"/>
      <c r="Y874" s="759"/>
    </row>
    <row r="875" spans="24:25">
      <c r="X875" s="759"/>
      <c r="Y875" s="759"/>
    </row>
    <row r="876" spans="24:25">
      <c r="X876" s="759"/>
      <c r="Y876" s="759"/>
    </row>
    <row r="877" spans="24:25">
      <c r="X877" s="759"/>
      <c r="Y877" s="759"/>
    </row>
    <row r="878" spans="24:25">
      <c r="X878" s="759"/>
      <c r="Y878" s="759"/>
    </row>
    <row r="879" spans="24:25">
      <c r="X879" s="759"/>
      <c r="Y879" s="759"/>
    </row>
    <row r="880" spans="24:25">
      <c r="X880" s="759"/>
      <c r="Y880" s="759"/>
    </row>
    <row r="881" spans="24:25">
      <c r="X881" s="759"/>
      <c r="Y881" s="759"/>
    </row>
    <row r="882" spans="24:25">
      <c r="X882" s="759"/>
      <c r="Y882" s="759"/>
    </row>
    <row r="883" spans="24:25">
      <c r="X883" s="759"/>
      <c r="Y883" s="759"/>
    </row>
    <row r="884" spans="24:25">
      <c r="X884" s="759"/>
      <c r="Y884" s="759"/>
    </row>
    <row r="885" spans="24:25">
      <c r="X885" s="759"/>
      <c r="Y885" s="759"/>
    </row>
    <row r="886" spans="24:25">
      <c r="X886" s="759"/>
      <c r="Y886" s="759"/>
    </row>
    <row r="887" spans="24:25">
      <c r="X887" s="759"/>
      <c r="Y887" s="759"/>
    </row>
    <row r="888" spans="24:25">
      <c r="X888" s="759"/>
      <c r="Y888" s="759"/>
    </row>
    <row r="889" spans="24:25">
      <c r="X889" s="759"/>
      <c r="Y889" s="759"/>
    </row>
    <row r="890" spans="24:25">
      <c r="X890" s="759"/>
      <c r="Y890" s="759"/>
    </row>
    <row r="891" spans="24:25">
      <c r="X891" s="759"/>
      <c r="Y891" s="759"/>
    </row>
    <row r="892" spans="24:25">
      <c r="X892" s="759"/>
      <c r="Y892" s="759"/>
    </row>
    <row r="893" spans="24:25">
      <c r="X893" s="759"/>
      <c r="Y893" s="759"/>
    </row>
    <row r="894" spans="24:25">
      <c r="X894" s="759"/>
      <c r="Y894" s="759"/>
    </row>
    <row r="895" spans="24:25">
      <c r="X895" s="759"/>
      <c r="Y895" s="759"/>
    </row>
    <row r="896" spans="24:25">
      <c r="X896" s="759"/>
      <c r="Y896" s="759"/>
    </row>
    <row r="897" spans="24:25">
      <c r="X897" s="759"/>
      <c r="Y897" s="759"/>
    </row>
    <row r="898" spans="24:25">
      <c r="X898" s="759"/>
      <c r="Y898" s="759"/>
    </row>
    <row r="899" spans="24:25">
      <c r="X899" s="759"/>
      <c r="Y899" s="759"/>
    </row>
    <row r="900" spans="24:25">
      <c r="X900" s="759"/>
      <c r="Y900" s="759"/>
    </row>
    <row r="901" spans="24:25">
      <c r="X901" s="759"/>
      <c r="Y901" s="759"/>
    </row>
    <row r="902" spans="24:25">
      <c r="X902" s="759"/>
      <c r="Y902" s="759"/>
    </row>
    <row r="903" spans="24:25">
      <c r="X903" s="759"/>
      <c r="Y903" s="759"/>
    </row>
    <row r="904" spans="24:25">
      <c r="X904" s="759"/>
      <c r="Y904" s="759"/>
    </row>
    <row r="905" spans="24:25">
      <c r="X905" s="759"/>
      <c r="Y905" s="759"/>
    </row>
    <row r="906" spans="24:25">
      <c r="X906" s="759"/>
      <c r="Y906" s="759"/>
    </row>
    <row r="907" spans="24:25">
      <c r="X907" s="759"/>
      <c r="Y907" s="759"/>
    </row>
    <row r="908" spans="24:25">
      <c r="X908" s="759"/>
      <c r="Y908" s="759"/>
    </row>
    <row r="909" spans="24:25">
      <c r="X909" s="759"/>
      <c r="Y909" s="759"/>
    </row>
    <row r="910" spans="24:25">
      <c r="X910" s="759"/>
      <c r="Y910" s="759"/>
    </row>
    <row r="911" spans="24:25">
      <c r="X911" s="759"/>
      <c r="Y911" s="759"/>
    </row>
    <row r="912" spans="24:25">
      <c r="X912" s="759"/>
      <c r="Y912" s="759"/>
    </row>
    <row r="913" spans="24:25">
      <c r="X913" s="759"/>
      <c r="Y913" s="759"/>
    </row>
    <row r="914" spans="24:25">
      <c r="X914" s="759"/>
      <c r="Y914" s="759"/>
    </row>
    <row r="915" spans="24:25">
      <c r="X915" s="759"/>
      <c r="Y915" s="759"/>
    </row>
    <row r="916" spans="24:25">
      <c r="X916" s="759"/>
      <c r="Y916" s="759"/>
    </row>
    <row r="917" spans="24:25">
      <c r="X917" s="759"/>
      <c r="Y917" s="759"/>
    </row>
    <row r="918" spans="24:25">
      <c r="X918" s="759"/>
      <c r="Y918" s="759"/>
    </row>
    <row r="919" spans="24:25">
      <c r="X919" s="759"/>
      <c r="Y919" s="759"/>
    </row>
    <row r="920" spans="24:25">
      <c r="X920" s="759"/>
      <c r="Y920" s="759"/>
    </row>
    <row r="921" spans="24:25">
      <c r="X921" s="759"/>
      <c r="Y921" s="759"/>
    </row>
    <row r="922" spans="24:25">
      <c r="X922" s="759"/>
      <c r="Y922" s="759"/>
    </row>
    <row r="923" spans="24:25">
      <c r="X923" s="759"/>
      <c r="Y923" s="759"/>
    </row>
    <row r="924" spans="24:25">
      <c r="X924" s="759"/>
      <c r="Y924" s="759"/>
    </row>
    <row r="925" spans="24:25">
      <c r="X925" s="759"/>
      <c r="Y925" s="759"/>
    </row>
    <row r="926" spans="24:25">
      <c r="X926" s="759"/>
      <c r="Y926" s="759"/>
    </row>
    <row r="927" spans="24:25">
      <c r="X927" s="759"/>
      <c r="Y927" s="759"/>
    </row>
    <row r="928" spans="24:25">
      <c r="X928" s="759"/>
      <c r="Y928" s="759"/>
    </row>
    <row r="929" spans="24:25">
      <c r="X929" s="759"/>
      <c r="Y929" s="759"/>
    </row>
    <row r="930" spans="24:25">
      <c r="X930" s="759"/>
      <c r="Y930" s="759"/>
    </row>
    <row r="931" spans="24:25">
      <c r="X931" s="759"/>
      <c r="Y931" s="759"/>
    </row>
    <row r="932" spans="24:25">
      <c r="X932" s="759"/>
      <c r="Y932" s="759"/>
    </row>
    <row r="933" spans="24:25">
      <c r="X933" s="759"/>
      <c r="Y933" s="759"/>
    </row>
    <row r="934" spans="24:25">
      <c r="X934" s="759"/>
      <c r="Y934" s="759"/>
    </row>
    <row r="935" spans="24:25">
      <c r="X935" s="759"/>
      <c r="Y935" s="759"/>
    </row>
    <row r="936" spans="24:25">
      <c r="X936" s="759"/>
      <c r="Y936" s="759"/>
    </row>
    <row r="937" spans="24:25">
      <c r="X937" s="759"/>
      <c r="Y937" s="759"/>
    </row>
    <row r="938" spans="24:25">
      <c r="X938" s="759"/>
      <c r="Y938" s="759"/>
    </row>
    <row r="939" spans="24:25">
      <c r="X939" s="759"/>
      <c r="Y939" s="759"/>
    </row>
    <row r="940" spans="24:25">
      <c r="X940" s="759"/>
      <c r="Y940" s="759"/>
    </row>
    <row r="941" spans="24:25">
      <c r="X941" s="759"/>
      <c r="Y941" s="759"/>
    </row>
    <row r="942" spans="24:25">
      <c r="X942" s="759"/>
      <c r="Y942" s="759"/>
    </row>
    <row r="943" spans="24:25">
      <c r="X943" s="759"/>
      <c r="Y943" s="759"/>
    </row>
    <row r="944" spans="24:25">
      <c r="X944" s="759"/>
      <c r="Y944" s="759"/>
    </row>
    <row r="945" spans="24:25">
      <c r="X945" s="759"/>
      <c r="Y945" s="759"/>
    </row>
    <row r="946" spans="24:25">
      <c r="X946" s="759"/>
      <c r="Y946" s="759"/>
    </row>
    <row r="947" spans="24:25">
      <c r="X947" s="759"/>
      <c r="Y947" s="759"/>
    </row>
    <row r="948" spans="24:25">
      <c r="X948" s="759"/>
      <c r="Y948" s="759"/>
    </row>
    <row r="949" spans="24:25">
      <c r="X949" s="759"/>
      <c r="Y949" s="759"/>
    </row>
    <row r="950" spans="24:25">
      <c r="X950" s="759"/>
      <c r="Y950" s="759"/>
    </row>
    <row r="951" spans="24:25">
      <c r="X951" s="759"/>
      <c r="Y951" s="759"/>
    </row>
    <row r="952" spans="24:25">
      <c r="X952" s="759"/>
      <c r="Y952" s="759"/>
    </row>
    <row r="953" spans="24:25">
      <c r="X953" s="759"/>
      <c r="Y953" s="759"/>
    </row>
    <row r="954" spans="24:25">
      <c r="X954" s="759"/>
      <c r="Y954" s="759"/>
    </row>
    <row r="955" spans="24:25">
      <c r="X955" s="759"/>
      <c r="Y955" s="759"/>
    </row>
    <row r="956" spans="24:25">
      <c r="X956" s="759"/>
      <c r="Y956" s="759"/>
    </row>
    <row r="957" spans="24:25">
      <c r="X957" s="759"/>
      <c r="Y957" s="759"/>
    </row>
    <row r="958" spans="24:25">
      <c r="X958" s="759"/>
      <c r="Y958" s="759"/>
    </row>
    <row r="959" spans="24:25">
      <c r="X959" s="759"/>
      <c r="Y959" s="759"/>
    </row>
    <row r="960" spans="24:25">
      <c r="X960" s="759"/>
      <c r="Y960" s="759"/>
    </row>
    <row r="961" spans="24:25">
      <c r="X961" s="759"/>
      <c r="Y961" s="759"/>
    </row>
    <row r="962" spans="24:25">
      <c r="X962" s="759"/>
      <c r="Y962" s="759"/>
    </row>
    <row r="963" spans="24:25">
      <c r="X963" s="759"/>
      <c r="Y963" s="759"/>
    </row>
    <row r="964" spans="24:25">
      <c r="X964" s="759"/>
      <c r="Y964" s="759"/>
    </row>
    <row r="965" spans="24:25">
      <c r="X965" s="759"/>
      <c r="Y965" s="759"/>
    </row>
    <row r="966" spans="24:25">
      <c r="X966" s="759"/>
      <c r="Y966" s="759"/>
    </row>
    <row r="967" spans="24:25">
      <c r="X967" s="759"/>
      <c r="Y967" s="759"/>
    </row>
    <row r="968" spans="24:25">
      <c r="X968" s="759"/>
      <c r="Y968" s="759"/>
    </row>
    <row r="969" spans="24:25">
      <c r="X969" s="759"/>
      <c r="Y969" s="759"/>
    </row>
    <row r="970" spans="24:25">
      <c r="X970" s="759"/>
      <c r="Y970" s="759"/>
    </row>
    <row r="971" spans="24:25">
      <c r="X971" s="759"/>
      <c r="Y971" s="759"/>
    </row>
    <row r="972" spans="24:25">
      <c r="X972" s="759"/>
      <c r="Y972" s="759"/>
    </row>
    <row r="973" spans="24:25">
      <c r="X973" s="759"/>
      <c r="Y973" s="759"/>
    </row>
    <row r="974" spans="24:25">
      <c r="X974" s="759"/>
      <c r="Y974" s="759"/>
    </row>
    <row r="975" spans="24:25">
      <c r="X975" s="759"/>
      <c r="Y975" s="759"/>
    </row>
    <row r="976" spans="24:25">
      <c r="X976" s="759"/>
      <c r="Y976" s="759"/>
    </row>
    <row r="977" spans="24:25">
      <c r="X977" s="759"/>
      <c r="Y977" s="759"/>
    </row>
    <row r="978" spans="24:25">
      <c r="X978" s="759"/>
      <c r="Y978" s="759"/>
    </row>
    <row r="979" spans="24:25">
      <c r="X979" s="759"/>
      <c r="Y979" s="759"/>
    </row>
    <row r="980" spans="24:25">
      <c r="X980" s="759"/>
      <c r="Y980" s="759"/>
    </row>
    <row r="981" spans="24:25">
      <c r="X981" s="759"/>
      <c r="Y981" s="759"/>
    </row>
    <row r="982" spans="24:25">
      <c r="X982" s="759"/>
      <c r="Y982" s="759"/>
    </row>
    <row r="983" spans="24:25">
      <c r="X983" s="759"/>
      <c r="Y983" s="759"/>
    </row>
    <row r="984" spans="24:25">
      <c r="X984" s="759"/>
      <c r="Y984" s="759"/>
    </row>
    <row r="985" spans="24:25">
      <c r="X985" s="759"/>
      <c r="Y985" s="759"/>
    </row>
    <row r="986" spans="24:25">
      <c r="X986" s="759"/>
      <c r="Y986" s="759"/>
    </row>
    <row r="987" spans="24:25">
      <c r="X987" s="759"/>
      <c r="Y987" s="759"/>
    </row>
    <row r="988" spans="24:25">
      <c r="X988" s="759"/>
      <c r="Y988" s="759"/>
    </row>
    <row r="989" spans="24:25">
      <c r="X989" s="759"/>
      <c r="Y989" s="759"/>
    </row>
    <row r="990" spans="24:25">
      <c r="X990" s="759"/>
      <c r="Y990" s="759"/>
    </row>
    <row r="991" spans="24:25">
      <c r="X991" s="759"/>
      <c r="Y991" s="759"/>
    </row>
    <row r="992" spans="24:25">
      <c r="X992" s="759"/>
      <c r="Y992" s="759"/>
    </row>
    <row r="993" spans="24:25">
      <c r="X993" s="759"/>
      <c r="Y993" s="759"/>
    </row>
    <row r="994" spans="24:25">
      <c r="X994" s="759"/>
      <c r="Y994" s="759"/>
    </row>
    <row r="995" spans="24:25">
      <c r="X995" s="759"/>
      <c r="Y995" s="759"/>
    </row>
    <row r="996" spans="24:25">
      <c r="X996" s="759"/>
      <c r="Y996" s="759"/>
    </row>
    <row r="997" spans="24:25">
      <c r="X997" s="759"/>
      <c r="Y997" s="759"/>
    </row>
    <row r="998" spans="24:25">
      <c r="X998" s="759"/>
      <c r="Y998" s="759"/>
    </row>
    <row r="999" spans="24:25">
      <c r="X999" s="759"/>
      <c r="Y999" s="759"/>
    </row>
    <row r="1000" spans="24:25">
      <c r="X1000" s="759"/>
      <c r="Y1000" s="759"/>
    </row>
    <row r="1001" spans="24:25">
      <c r="X1001" s="759"/>
      <c r="Y1001" s="759"/>
    </row>
    <row r="1002" spans="24:25">
      <c r="X1002" s="759"/>
      <c r="Y1002" s="759"/>
    </row>
    <row r="1003" spans="24:25">
      <c r="X1003" s="759"/>
      <c r="Y1003" s="759"/>
    </row>
    <row r="1004" spans="24:25">
      <c r="X1004" s="759"/>
      <c r="Y1004" s="759"/>
    </row>
    <row r="1005" spans="24:25">
      <c r="X1005" s="759"/>
      <c r="Y1005" s="759"/>
    </row>
    <row r="1006" spans="24:25">
      <c r="X1006" s="759"/>
      <c r="Y1006" s="759"/>
    </row>
    <row r="1007" spans="24:25">
      <c r="X1007" s="759"/>
      <c r="Y1007" s="759"/>
    </row>
    <row r="1008" spans="24:25">
      <c r="X1008" s="759"/>
      <c r="Y1008" s="759"/>
    </row>
    <row r="1009" spans="24:25">
      <c r="X1009" s="759"/>
      <c r="Y1009" s="759"/>
    </row>
    <row r="1010" spans="24:25">
      <c r="X1010" s="759"/>
      <c r="Y1010" s="759"/>
    </row>
    <row r="1011" spans="24:25">
      <c r="X1011" s="759"/>
      <c r="Y1011" s="759"/>
    </row>
    <row r="1012" spans="24:25">
      <c r="X1012" s="759"/>
      <c r="Y1012" s="759"/>
    </row>
    <row r="1013" spans="24:25">
      <c r="X1013" s="759"/>
      <c r="Y1013" s="759"/>
    </row>
    <row r="1014" spans="24:25">
      <c r="X1014" s="759"/>
      <c r="Y1014" s="759"/>
    </row>
    <row r="1015" spans="24:25">
      <c r="X1015" s="759"/>
      <c r="Y1015" s="759"/>
    </row>
    <row r="1016" spans="24:25">
      <c r="X1016" s="759"/>
      <c r="Y1016" s="759"/>
    </row>
    <row r="1017" spans="24:25">
      <c r="X1017" s="759"/>
      <c r="Y1017" s="759"/>
    </row>
    <row r="1018" spans="24:25">
      <c r="X1018" s="759"/>
      <c r="Y1018" s="759"/>
    </row>
    <row r="1019" spans="24:25">
      <c r="X1019" s="759"/>
      <c r="Y1019" s="759"/>
    </row>
    <row r="1020" spans="24:25">
      <c r="X1020" s="759"/>
      <c r="Y1020" s="759"/>
    </row>
    <row r="1021" spans="24:25">
      <c r="X1021" s="759"/>
      <c r="Y1021" s="759"/>
    </row>
    <row r="1022" spans="24:25">
      <c r="X1022" s="759"/>
      <c r="Y1022" s="759"/>
    </row>
    <row r="1023" spans="24:25">
      <c r="X1023" s="759"/>
      <c r="Y1023" s="759"/>
    </row>
    <row r="1024" spans="24:25">
      <c r="X1024" s="759"/>
      <c r="Y1024" s="759"/>
    </row>
    <row r="1025" spans="24:25">
      <c r="X1025" s="759"/>
      <c r="Y1025" s="759"/>
    </row>
    <row r="1026" spans="24:25">
      <c r="X1026" s="759"/>
      <c r="Y1026" s="759"/>
    </row>
    <row r="1027" spans="24:25">
      <c r="X1027" s="759"/>
      <c r="Y1027" s="759"/>
    </row>
    <row r="1028" spans="24:25">
      <c r="X1028" s="759"/>
      <c r="Y1028" s="759"/>
    </row>
    <row r="1029" spans="24:25">
      <c r="X1029" s="759"/>
      <c r="Y1029" s="759"/>
    </row>
    <row r="1030" spans="24:25">
      <c r="X1030" s="759"/>
      <c r="Y1030" s="759"/>
    </row>
    <row r="1031" spans="24:25">
      <c r="X1031" s="759"/>
      <c r="Y1031" s="759"/>
    </row>
    <row r="1032" spans="24:25">
      <c r="X1032" s="759"/>
      <c r="Y1032" s="759"/>
    </row>
    <row r="1033" spans="24:25">
      <c r="X1033" s="759"/>
      <c r="Y1033" s="759"/>
    </row>
    <row r="1034" spans="24:25">
      <c r="X1034" s="759"/>
      <c r="Y1034" s="759"/>
    </row>
    <row r="1035" spans="24:25">
      <c r="X1035" s="759"/>
      <c r="Y1035" s="759"/>
    </row>
    <row r="1036" spans="24:25">
      <c r="X1036" s="759"/>
      <c r="Y1036" s="759"/>
    </row>
    <row r="1037" spans="24:25">
      <c r="X1037" s="759"/>
      <c r="Y1037" s="759"/>
    </row>
    <row r="1038" spans="24:25">
      <c r="X1038" s="759"/>
      <c r="Y1038" s="759"/>
    </row>
    <row r="1039" spans="24:25">
      <c r="X1039" s="759"/>
      <c r="Y1039" s="759"/>
    </row>
    <row r="1040" spans="24:25">
      <c r="X1040" s="759"/>
      <c r="Y1040" s="759"/>
    </row>
    <row r="1041" spans="24:25">
      <c r="X1041" s="759"/>
      <c r="Y1041" s="759"/>
    </row>
    <row r="1042" spans="24:25">
      <c r="X1042" s="759"/>
      <c r="Y1042" s="759"/>
    </row>
    <row r="1043" spans="24:25">
      <c r="X1043" s="759"/>
      <c r="Y1043" s="759"/>
    </row>
    <row r="1044" spans="24:25">
      <c r="X1044" s="759"/>
      <c r="Y1044" s="759"/>
    </row>
    <row r="1045" spans="24:25">
      <c r="X1045" s="759"/>
      <c r="Y1045" s="759"/>
    </row>
    <row r="1046" spans="24:25">
      <c r="X1046" s="759"/>
      <c r="Y1046" s="759"/>
    </row>
    <row r="1047" spans="24:25">
      <c r="X1047" s="759"/>
      <c r="Y1047" s="759"/>
    </row>
    <row r="1048" spans="24:25">
      <c r="X1048" s="759"/>
      <c r="Y1048" s="759"/>
    </row>
    <row r="1049" spans="24:25">
      <c r="X1049" s="759"/>
      <c r="Y1049" s="759"/>
    </row>
    <row r="1050" spans="24:25">
      <c r="X1050" s="759"/>
      <c r="Y1050" s="759"/>
    </row>
    <row r="1051" spans="24:25">
      <c r="X1051" s="759"/>
      <c r="Y1051" s="759"/>
    </row>
    <row r="1052" spans="24:25">
      <c r="X1052" s="759"/>
      <c r="Y1052" s="759"/>
    </row>
    <row r="1053" spans="24:25">
      <c r="X1053" s="759"/>
      <c r="Y1053" s="759"/>
    </row>
    <row r="1054" spans="24:25">
      <c r="X1054" s="759"/>
      <c r="Y1054" s="759"/>
    </row>
    <row r="1055" spans="24:25">
      <c r="X1055" s="759"/>
      <c r="Y1055" s="759"/>
    </row>
    <row r="1056" spans="24:25">
      <c r="X1056" s="759"/>
      <c r="Y1056" s="759"/>
    </row>
    <row r="1057" spans="24:25">
      <c r="X1057" s="759"/>
      <c r="Y1057" s="759"/>
    </row>
    <row r="1058" spans="24:25">
      <c r="X1058" s="759"/>
      <c r="Y1058" s="759"/>
    </row>
    <row r="1059" spans="24:25">
      <c r="X1059" s="759"/>
      <c r="Y1059" s="759"/>
    </row>
    <row r="1060" spans="24:25">
      <c r="X1060" s="759"/>
      <c r="Y1060" s="759"/>
    </row>
    <row r="1061" spans="24:25">
      <c r="X1061" s="759"/>
      <c r="Y1061" s="759"/>
    </row>
    <row r="1062" spans="24:25">
      <c r="X1062" s="759"/>
      <c r="Y1062" s="759"/>
    </row>
    <row r="1063" spans="24:25">
      <c r="X1063" s="759"/>
      <c r="Y1063" s="759"/>
    </row>
    <row r="1064" spans="24:25">
      <c r="X1064" s="759"/>
      <c r="Y1064" s="759"/>
    </row>
    <row r="1065" spans="24:25">
      <c r="X1065" s="759"/>
      <c r="Y1065" s="759"/>
    </row>
    <row r="1066" spans="24:25">
      <c r="X1066" s="759"/>
      <c r="Y1066" s="759"/>
    </row>
    <row r="1067" spans="24:25">
      <c r="X1067" s="759"/>
      <c r="Y1067" s="759"/>
    </row>
    <row r="1068" spans="24:25">
      <c r="X1068" s="759"/>
      <c r="Y1068" s="759"/>
    </row>
    <row r="1069" spans="24:25">
      <c r="X1069" s="759"/>
      <c r="Y1069" s="759"/>
    </row>
    <row r="1070" spans="24:25">
      <c r="X1070" s="759"/>
      <c r="Y1070" s="759"/>
    </row>
    <row r="1071" spans="24:25">
      <c r="X1071" s="759"/>
      <c r="Y1071" s="759"/>
    </row>
    <row r="1072" spans="24:25">
      <c r="X1072" s="759"/>
      <c r="Y1072" s="759"/>
    </row>
    <row r="1073" spans="24:25">
      <c r="X1073" s="759"/>
      <c r="Y1073" s="759"/>
    </row>
    <row r="1074" spans="24:25">
      <c r="X1074" s="759"/>
      <c r="Y1074" s="759"/>
    </row>
    <row r="1075" spans="24:25">
      <c r="X1075" s="759"/>
      <c r="Y1075" s="759"/>
    </row>
    <row r="1076" spans="24:25">
      <c r="X1076" s="759"/>
      <c r="Y1076" s="759"/>
    </row>
    <row r="1077" spans="24:25">
      <c r="X1077" s="759"/>
      <c r="Y1077" s="759"/>
    </row>
    <row r="1078" spans="24:25">
      <c r="X1078" s="759"/>
      <c r="Y1078" s="759"/>
    </row>
    <row r="1079" spans="24:25">
      <c r="X1079" s="759"/>
      <c r="Y1079" s="759"/>
    </row>
    <row r="1080" spans="24:25">
      <c r="X1080" s="759"/>
      <c r="Y1080" s="759"/>
    </row>
    <row r="1081" spans="24:25">
      <c r="X1081" s="759"/>
      <c r="Y1081" s="759"/>
    </row>
    <row r="1082" spans="24:25">
      <c r="X1082" s="759"/>
      <c r="Y1082" s="759"/>
    </row>
    <row r="1083" spans="24:25">
      <c r="X1083" s="759"/>
      <c r="Y1083" s="759"/>
    </row>
    <row r="1084" spans="24:25">
      <c r="X1084" s="759"/>
      <c r="Y1084" s="759"/>
    </row>
    <row r="1085" spans="24:25">
      <c r="X1085" s="759"/>
      <c r="Y1085" s="759"/>
    </row>
    <row r="1086" spans="24:25">
      <c r="X1086" s="759"/>
      <c r="Y1086" s="759"/>
    </row>
    <row r="1087" spans="24:25">
      <c r="X1087" s="759"/>
      <c r="Y1087" s="759"/>
    </row>
    <row r="1088" spans="24:25">
      <c r="X1088" s="759"/>
      <c r="Y1088" s="759"/>
    </row>
    <row r="1089" spans="24:25">
      <c r="X1089" s="759"/>
      <c r="Y1089" s="759"/>
    </row>
    <row r="1090" spans="24:25">
      <c r="X1090" s="759"/>
      <c r="Y1090" s="759"/>
    </row>
    <row r="1091" spans="24:25">
      <c r="X1091" s="759"/>
      <c r="Y1091" s="759"/>
    </row>
    <row r="1092" spans="24:25">
      <c r="X1092" s="759"/>
      <c r="Y1092" s="759"/>
    </row>
    <row r="1093" spans="24:25">
      <c r="X1093" s="759"/>
      <c r="Y1093" s="759"/>
    </row>
    <row r="1094" spans="24:25">
      <c r="X1094" s="759"/>
      <c r="Y1094" s="759"/>
    </row>
    <row r="1095" spans="24:25">
      <c r="X1095" s="759"/>
      <c r="Y1095" s="759"/>
    </row>
    <row r="1096" spans="24:25">
      <c r="X1096" s="759"/>
      <c r="Y1096" s="759"/>
    </row>
    <row r="1097" spans="24:25">
      <c r="X1097" s="759"/>
      <c r="Y1097" s="759"/>
    </row>
    <row r="1098" spans="24:25">
      <c r="X1098" s="759"/>
      <c r="Y1098" s="759"/>
    </row>
    <row r="1099" spans="24:25">
      <c r="X1099" s="759"/>
      <c r="Y1099" s="759"/>
    </row>
    <row r="1100" spans="24:25">
      <c r="X1100" s="759"/>
      <c r="Y1100" s="759"/>
    </row>
    <row r="1101" spans="24:25">
      <c r="X1101" s="759"/>
      <c r="Y1101" s="759"/>
    </row>
    <row r="1102" spans="24:25">
      <c r="X1102" s="759"/>
      <c r="Y1102" s="759"/>
    </row>
    <row r="1103" spans="24:25">
      <c r="X1103" s="759"/>
      <c r="Y1103" s="759"/>
    </row>
    <row r="1104" spans="24:25">
      <c r="X1104" s="759"/>
      <c r="Y1104" s="759"/>
    </row>
    <row r="1105" spans="24:25">
      <c r="X1105" s="759"/>
      <c r="Y1105" s="759"/>
    </row>
    <row r="1106" spans="24:25">
      <c r="X1106" s="759"/>
      <c r="Y1106" s="759"/>
    </row>
    <row r="1107" spans="24:25">
      <c r="X1107" s="759"/>
      <c r="Y1107" s="759"/>
    </row>
    <row r="1108" spans="24:25">
      <c r="X1108" s="759"/>
      <c r="Y1108" s="759"/>
    </row>
    <row r="1109" spans="24:25">
      <c r="X1109" s="759"/>
      <c r="Y1109" s="759"/>
    </row>
    <row r="1110" spans="24:25">
      <c r="X1110" s="759"/>
      <c r="Y1110" s="759"/>
    </row>
    <row r="1111" spans="24:25">
      <c r="X1111" s="759"/>
      <c r="Y1111" s="759"/>
    </row>
    <row r="1112" spans="24:25">
      <c r="X1112" s="759"/>
      <c r="Y1112" s="759"/>
    </row>
    <row r="1113" spans="24:25">
      <c r="X1113" s="759"/>
      <c r="Y1113" s="759"/>
    </row>
    <row r="1114" spans="24:25">
      <c r="X1114" s="759"/>
      <c r="Y1114" s="759"/>
    </row>
    <row r="1115" spans="24:25">
      <c r="X1115" s="759"/>
      <c r="Y1115" s="759"/>
    </row>
    <row r="1116" spans="24:25">
      <c r="X1116" s="759"/>
      <c r="Y1116" s="759"/>
    </row>
    <row r="1117" spans="24:25">
      <c r="X1117" s="759"/>
      <c r="Y1117" s="759"/>
    </row>
    <row r="1118" spans="24:25">
      <c r="X1118" s="759"/>
      <c r="Y1118" s="759"/>
    </row>
    <row r="1119" spans="24:25">
      <c r="X1119" s="759"/>
      <c r="Y1119" s="759"/>
    </row>
    <row r="1120" spans="24:25">
      <c r="X1120" s="759"/>
      <c r="Y1120" s="759"/>
    </row>
    <row r="1121" spans="24:25">
      <c r="X1121" s="759"/>
      <c r="Y1121" s="759"/>
    </row>
    <row r="1122" spans="24:25">
      <c r="X1122" s="759"/>
      <c r="Y1122" s="759"/>
    </row>
    <row r="1123" spans="24:25">
      <c r="X1123" s="759"/>
      <c r="Y1123" s="759"/>
    </row>
    <row r="1124" spans="24:25">
      <c r="X1124" s="759"/>
      <c r="Y1124" s="759"/>
    </row>
    <row r="1125" spans="24:25">
      <c r="X1125" s="759"/>
      <c r="Y1125" s="759"/>
    </row>
    <row r="1126" spans="24:25">
      <c r="X1126" s="759"/>
      <c r="Y1126" s="759"/>
    </row>
    <row r="1127" spans="24:25">
      <c r="X1127" s="759"/>
      <c r="Y1127" s="759"/>
    </row>
    <row r="1128" spans="24:25">
      <c r="X1128" s="759"/>
      <c r="Y1128" s="759"/>
    </row>
    <row r="1129" spans="24:25">
      <c r="X1129" s="759"/>
      <c r="Y1129" s="759"/>
    </row>
    <row r="1130" spans="24:25">
      <c r="X1130" s="759"/>
      <c r="Y1130" s="759"/>
    </row>
    <row r="1131" spans="24:25">
      <c r="X1131" s="759"/>
      <c r="Y1131" s="759"/>
    </row>
    <row r="1132" spans="24:25">
      <c r="X1132" s="759"/>
      <c r="Y1132" s="759"/>
    </row>
    <row r="1133" spans="24:25">
      <c r="X1133" s="759"/>
      <c r="Y1133" s="759"/>
    </row>
    <row r="1134" spans="24:25">
      <c r="X1134" s="759"/>
      <c r="Y1134" s="759"/>
    </row>
    <row r="1135" spans="24:25">
      <c r="X1135" s="759"/>
      <c r="Y1135" s="759"/>
    </row>
    <row r="1136" spans="24:25">
      <c r="X1136" s="759"/>
      <c r="Y1136" s="759"/>
    </row>
    <row r="1137" spans="24:25">
      <c r="X1137" s="759"/>
      <c r="Y1137" s="759"/>
    </row>
    <row r="1138" spans="24:25">
      <c r="X1138" s="759"/>
      <c r="Y1138" s="759"/>
    </row>
    <row r="1139" spans="24:25">
      <c r="X1139" s="759"/>
      <c r="Y1139" s="759"/>
    </row>
    <row r="1140" spans="24:25">
      <c r="X1140" s="759"/>
      <c r="Y1140" s="759"/>
    </row>
    <row r="1141" spans="24:25">
      <c r="X1141" s="759"/>
      <c r="Y1141" s="759"/>
    </row>
    <row r="1142" spans="24:25">
      <c r="X1142" s="759"/>
      <c r="Y1142" s="759"/>
    </row>
    <row r="1143" spans="24:25">
      <c r="X1143" s="759"/>
      <c r="Y1143" s="759"/>
    </row>
    <row r="1144" spans="24:25">
      <c r="X1144" s="759"/>
      <c r="Y1144" s="759"/>
    </row>
    <row r="1145" spans="24:25">
      <c r="X1145" s="759"/>
      <c r="Y1145" s="759"/>
    </row>
    <row r="1146" spans="24:25">
      <c r="X1146" s="759"/>
      <c r="Y1146" s="759"/>
    </row>
    <row r="1147" spans="24:25">
      <c r="X1147" s="759"/>
      <c r="Y1147" s="759"/>
    </row>
    <row r="1148" spans="24:25">
      <c r="X1148" s="759"/>
      <c r="Y1148" s="759"/>
    </row>
    <row r="1149" spans="24:25">
      <c r="X1149" s="759"/>
      <c r="Y1149" s="759"/>
    </row>
    <row r="1150" spans="24:25">
      <c r="X1150" s="759"/>
      <c r="Y1150" s="759"/>
    </row>
    <row r="1151" spans="24:25">
      <c r="X1151" s="759"/>
      <c r="Y1151" s="759"/>
    </row>
    <row r="1152" spans="24:25">
      <c r="X1152" s="759"/>
      <c r="Y1152" s="759"/>
    </row>
    <row r="1153" spans="24:25">
      <c r="X1153" s="759"/>
      <c r="Y1153" s="759"/>
    </row>
    <row r="1154" spans="24:25">
      <c r="X1154" s="759"/>
      <c r="Y1154" s="759"/>
    </row>
    <row r="1155" spans="24:25">
      <c r="X1155" s="759"/>
      <c r="Y1155" s="759"/>
    </row>
    <row r="1156" spans="24:25">
      <c r="X1156" s="759"/>
      <c r="Y1156" s="759"/>
    </row>
    <row r="1157" spans="24:25">
      <c r="X1157" s="759"/>
      <c r="Y1157" s="759"/>
    </row>
    <row r="1158" spans="24:25">
      <c r="X1158" s="759"/>
      <c r="Y1158" s="759"/>
    </row>
    <row r="1159" spans="24:25">
      <c r="X1159" s="759"/>
      <c r="Y1159" s="759"/>
    </row>
    <row r="1160" spans="24:25">
      <c r="X1160" s="759"/>
      <c r="Y1160" s="759"/>
    </row>
    <row r="1161" spans="24:25">
      <c r="X1161" s="759"/>
      <c r="Y1161" s="759"/>
    </row>
    <row r="1162" spans="24:25">
      <c r="X1162" s="759"/>
      <c r="Y1162" s="759"/>
    </row>
    <row r="1163" spans="24:25">
      <c r="X1163" s="759"/>
      <c r="Y1163" s="759"/>
    </row>
    <row r="1164" spans="24:25">
      <c r="X1164" s="759"/>
      <c r="Y1164" s="759"/>
    </row>
    <row r="1165" spans="24:25">
      <c r="X1165" s="759"/>
      <c r="Y1165" s="759"/>
    </row>
    <row r="1166" spans="24:25">
      <c r="X1166" s="759"/>
      <c r="Y1166" s="759"/>
    </row>
    <row r="1167" spans="24:25">
      <c r="X1167" s="759"/>
      <c r="Y1167" s="759"/>
    </row>
    <row r="1168" spans="24:25">
      <c r="X1168" s="759"/>
      <c r="Y1168" s="759"/>
    </row>
    <row r="1169" spans="24:25">
      <c r="X1169" s="759"/>
      <c r="Y1169" s="759"/>
    </row>
    <row r="1170" spans="24:25">
      <c r="X1170" s="759"/>
      <c r="Y1170" s="759"/>
    </row>
    <row r="1171" spans="24:25">
      <c r="X1171" s="759"/>
      <c r="Y1171" s="759"/>
    </row>
    <row r="1172" spans="24:25">
      <c r="X1172" s="759"/>
      <c r="Y1172" s="759"/>
    </row>
    <row r="1173" spans="24:25">
      <c r="X1173" s="759"/>
      <c r="Y1173" s="759"/>
    </row>
    <row r="1174" spans="24:25">
      <c r="X1174" s="759"/>
      <c r="Y1174" s="759"/>
    </row>
    <row r="1175" spans="24:25">
      <c r="X1175" s="759"/>
      <c r="Y1175" s="759"/>
    </row>
    <row r="1176" spans="24:25">
      <c r="X1176" s="759"/>
      <c r="Y1176" s="759"/>
    </row>
    <row r="1177" spans="24:25">
      <c r="X1177" s="759"/>
      <c r="Y1177" s="759"/>
    </row>
    <row r="1178" spans="24:25">
      <c r="X1178" s="759"/>
      <c r="Y1178" s="759"/>
    </row>
    <row r="1179" spans="24:25">
      <c r="X1179" s="759"/>
      <c r="Y1179" s="759"/>
    </row>
    <row r="1180" spans="24:25">
      <c r="X1180" s="759"/>
      <c r="Y1180" s="759"/>
    </row>
    <row r="1181" spans="24:25">
      <c r="X1181" s="759"/>
      <c r="Y1181" s="759"/>
    </row>
    <row r="1182" spans="24:25">
      <c r="X1182" s="759"/>
      <c r="Y1182" s="759"/>
    </row>
    <row r="1183" spans="24:25">
      <c r="X1183" s="759"/>
      <c r="Y1183" s="759"/>
    </row>
    <row r="1184" spans="24:25">
      <c r="X1184" s="759"/>
      <c r="Y1184" s="759"/>
    </row>
    <row r="1185" spans="24:25">
      <c r="X1185" s="759"/>
      <c r="Y1185" s="759"/>
    </row>
    <row r="1186" spans="24:25">
      <c r="X1186" s="759"/>
      <c r="Y1186" s="759"/>
    </row>
    <row r="1187" spans="24:25">
      <c r="X1187" s="759"/>
      <c r="Y1187" s="759"/>
    </row>
    <row r="1188" spans="24:25">
      <c r="X1188" s="759"/>
      <c r="Y1188" s="759"/>
    </row>
    <row r="1189" spans="24:25">
      <c r="X1189" s="759"/>
      <c r="Y1189" s="759"/>
    </row>
    <row r="1190" spans="24:25">
      <c r="X1190" s="759"/>
      <c r="Y1190" s="759"/>
    </row>
    <row r="1191" spans="24:25">
      <c r="X1191" s="759"/>
      <c r="Y1191" s="759"/>
    </row>
    <row r="1192" spans="24:25">
      <c r="X1192" s="759"/>
      <c r="Y1192" s="759"/>
    </row>
    <row r="1193" spans="24:25">
      <c r="X1193" s="759"/>
      <c r="Y1193" s="759"/>
    </row>
    <row r="1194" spans="24:25">
      <c r="X1194" s="759"/>
      <c r="Y1194" s="759"/>
    </row>
    <row r="1195" spans="24:25">
      <c r="X1195" s="759"/>
      <c r="Y1195" s="759"/>
    </row>
    <row r="1196" spans="24:25">
      <c r="X1196" s="759"/>
      <c r="Y1196" s="759"/>
    </row>
    <row r="1197" spans="24:25">
      <c r="X1197" s="759"/>
      <c r="Y1197" s="759"/>
    </row>
    <row r="1198" spans="24:25">
      <c r="X1198" s="759"/>
      <c r="Y1198" s="759"/>
    </row>
    <row r="1199" spans="24:25">
      <c r="X1199" s="759"/>
      <c r="Y1199" s="759"/>
    </row>
    <row r="1200" spans="24:25">
      <c r="X1200" s="759"/>
      <c r="Y1200" s="759"/>
    </row>
    <row r="1201" spans="24:25">
      <c r="X1201" s="759"/>
      <c r="Y1201" s="759"/>
    </row>
    <row r="1202" spans="24:25">
      <c r="X1202" s="759"/>
      <c r="Y1202" s="759"/>
    </row>
    <row r="1203" spans="24:25">
      <c r="X1203" s="759"/>
      <c r="Y1203" s="759"/>
    </row>
    <row r="1204" spans="24:25">
      <c r="X1204" s="759"/>
      <c r="Y1204" s="759"/>
    </row>
    <row r="1205" spans="24:25">
      <c r="X1205" s="759"/>
      <c r="Y1205" s="759"/>
    </row>
    <row r="1206" spans="24:25">
      <c r="X1206" s="759"/>
      <c r="Y1206" s="759"/>
    </row>
    <row r="1207" spans="24:25">
      <c r="X1207" s="759"/>
      <c r="Y1207" s="759"/>
    </row>
    <row r="1208" spans="24:25">
      <c r="X1208" s="759"/>
      <c r="Y1208" s="759"/>
    </row>
    <row r="1209" spans="24:25">
      <c r="X1209" s="759"/>
      <c r="Y1209" s="759"/>
    </row>
    <row r="1210" spans="24:25">
      <c r="X1210" s="759"/>
      <c r="Y1210" s="759"/>
    </row>
    <row r="1211" spans="24:25">
      <c r="X1211" s="759"/>
      <c r="Y1211" s="759"/>
    </row>
    <row r="1212" spans="24:25">
      <c r="X1212" s="759"/>
      <c r="Y1212" s="759"/>
    </row>
    <row r="1213" spans="24:25">
      <c r="X1213" s="759"/>
      <c r="Y1213" s="759"/>
    </row>
    <row r="1214" spans="24:25">
      <c r="X1214" s="759"/>
      <c r="Y1214" s="759"/>
    </row>
    <row r="1215" spans="24:25">
      <c r="X1215" s="759"/>
      <c r="Y1215" s="759"/>
    </row>
    <row r="1216" spans="24:25">
      <c r="X1216" s="759"/>
      <c r="Y1216" s="759"/>
    </row>
    <row r="1217" spans="24:25">
      <c r="X1217" s="759"/>
      <c r="Y1217" s="759"/>
    </row>
    <row r="1218" spans="24:25">
      <c r="X1218" s="759"/>
      <c r="Y1218" s="759"/>
    </row>
    <row r="1219" spans="24:25">
      <c r="X1219" s="759"/>
      <c r="Y1219" s="759"/>
    </row>
    <row r="1220" spans="24:25">
      <c r="X1220" s="759"/>
      <c r="Y1220" s="759"/>
    </row>
    <row r="1221" spans="24:25">
      <c r="X1221" s="759"/>
      <c r="Y1221" s="759"/>
    </row>
    <row r="1222" spans="24:25">
      <c r="X1222" s="759"/>
      <c r="Y1222" s="759"/>
    </row>
    <row r="1223" spans="24:25">
      <c r="X1223" s="759"/>
      <c r="Y1223" s="759"/>
    </row>
    <row r="1224" spans="24:25">
      <c r="X1224" s="759"/>
      <c r="Y1224" s="759"/>
    </row>
    <row r="1225" spans="24:25">
      <c r="X1225" s="759"/>
      <c r="Y1225" s="759"/>
    </row>
    <row r="1226" spans="24:25">
      <c r="X1226" s="759"/>
      <c r="Y1226" s="759"/>
    </row>
    <row r="1227" spans="24:25">
      <c r="X1227" s="759"/>
      <c r="Y1227" s="759"/>
    </row>
    <row r="1228" spans="24:25">
      <c r="X1228" s="759"/>
      <c r="Y1228" s="759"/>
    </row>
    <row r="1229" spans="24:25">
      <c r="X1229" s="759"/>
      <c r="Y1229" s="759"/>
    </row>
    <row r="1230" spans="24:25">
      <c r="X1230" s="759"/>
      <c r="Y1230" s="759"/>
    </row>
    <row r="1231" spans="24:25">
      <c r="X1231" s="759"/>
      <c r="Y1231" s="759"/>
    </row>
    <row r="1232" spans="24:25">
      <c r="X1232" s="759"/>
      <c r="Y1232" s="759"/>
    </row>
    <row r="1233" spans="24:25">
      <c r="X1233" s="759"/>
      <c r="Y1233" s="759"/>
    </row>
    <row r="1234" spans="24:25">
      <c r="X1234" s="759"/>
      <c r="Y1234" s="759"/>
    </row>
    <row r="1235" spans="24:25">
      <c r="X1235" s="759"/>
      <c r="Y1235" s="759"/>
    </row>
    <row r="1236" spans="24:25">
      <c r="X1236" s="759"/>
      <c r="Y1236" s="759"/>
    </row>
    <row r="1237" spans="24:25">
      <c r="X1237" s="759"/>
      <c r="Y1237" s="759"/>
    </row>
    <row r="1238" spans="24:25">
      <c r="X1238" s="759"/>
      <c r="Y1238" s="759"/>
    </row>
    <row r="1239" spans="24:25">
      <c r="X1239" s="759"/>
      <c r="Y1239" s="759"/>
    </row>
    <row r="1240" spans="24:25">
      <c r="X1240" s="759"/>
      <c r="Y1240" s="759"/>
    </row>
    <row r="1241" spans="24:25">
      <c r="X1241" s="759"/>
      <c r="Y1241" s="759"/>
    </row>
    <row r="1242" spans="24:25">
      <c r="X1242" s="759"/>
      <c r="Y1242" s="759"/>
    </row>
    <row r="1243" spans="24:25">
      <c r="X1243" s="759"/>
      <c r="Y1243" s="759"/>
    </row>
    <row r="1244" spans="24:25">
      <c r="X1244" s="759"/>
      <c r="Y1244" s="759"/>
    </row>
    <row r="1245" spans="24:25">
      <c r="X1245" s="759"/>
      <c r="Y1245" s="759"/>
    </row>
    <row r="1246" spans="24:25">
      <c r="X1246" s="759"/>
      <c r="Y1246" s="759"/>
    </row>
    <row r="1247" spans="24:25">
      <c r="X1247" s="759"/>
      <c r="Y1247" s="759"/>
    </row>
    <row r="1248" spans="24:25">
      <c r="X1248" s="759"/>
      <c r="Y1248" s="759"/>
    </row>
    <row r="1249" spans="24:25">
      <c r="X1249" s="759"/>
      <c r="Y1249" s="759"/>
    </row>
    <row r="1250" spans="24:25">
      <c r="X1250" s="759"/>
      <c r="Y1250" s="759"/>
    </row>
    <row r="1251" spans="24:25">
      <c r="X1251" s="759"/>
      <c r="Y1251" s="759"/>
    </row>
    <row r="1252" spans="24:25">
      <c r="X1252" s="759"/>
      <c r="Y1252" s="759"/>
    </row>
    <row r="1253" spans="24:25">
      <c r="X1253" s="759"/>
      <c r="Y1253" s="759"/>
    </row>
    <row r="1254" spans="24:25">
      <c r="X1254" s="759"/>
      <c r="Y1254" s="759"/>
    </row>
    <row r="1255" spans="24:25">
      <c r="X1255" s="759"/>
      <c r="Y1255" s="759"/>
    </row>
    <row r="1256" spans="24:25">
      <c r="X1256" s="759"/>
      <c r="Y1256" s="759"/>
    </row>
    <row r="1257" spans="24:25">
      <c r="X1257" s="759"/>
      <c r="Y1257" s="759"/>
    </row>
    <row r="1258" spans="24:25">
      <c r="X1258" s="759"/>
      <c r="Y1258" s="759"/>
    </row>
    <row r="1259" spans="24:25">
      <c r="X1259" s="759"/>
      <c r="Y1259" s="759"/>
    </row>
    <row r="1260" spans="24:25">
      <c r="X1260" s="759"/>
      <c r="Y1260" s="759"/>
    </row>
    <row r="1261" spans="24:25">
      <c r="X1261" s="759"/>
      <c r="Y1261" s="759"/>
    </row>
    <row r="1262" spans="24:25">
      <c r="X1262" s="759"/>
      <c r="Y1262" s="759"/>
    </row>
    <row r="1263" spans="24:25">
      <c r="X1263" s="759"/>
      <c r="Y1263" s="759"/>
    </row>
    <row r="1264" spans="24:25">
      <c r="X1264" s="759"/>
      <c r="Y1264" s="759"/>
    </row>
    <row r="1265" spans="24:25">
      <c r="X1265" s="759"/>
      <c r="Y1265" s="759"/>
    </row>
    <row r="1266" spans="24:25">
      <c r="X1266" s="759"/>
      <c r="Y1266" s="759"/>
    </row>
    <row r="1267" spans="24:25">
      <c r="X1267" s="759"/>
      <c r="Y1267" s="759"/>
    </row>
    <row r="1268" spans="24:25">
      <c r="X1268" s="759"/>
      <c r="Y1268" s="759"/>
    </row>
    <row r="1269" spans="24:25">
      <c r="X1269" s="759"/>
      <c r="Y1269" s="759"/>
    </row>
    <row r="1270" spans="24:25">
      <c r="X1270" s="759"/>
      <c r="Y1270" s="759"/>
    </row>
    <row r="1271" spans="24:25">
      <c r="X1271" s="759"/>
      <c r="Y1271" s="759"/>
    </row>
    <row r="1272" spans="24:25">
      <c r="X1272" s="759"/>
      <c r="Y1272" s="759"/>
    </row>
    <row r="1273" spans="24:25">
      <c r="X1273" s="759"/>
      <c r="Y1273" s="759"/>
    </row>
    <row r="1274" spans="24:25">
      <c r="X1274" s="759"/>
      <c r="Y1274" s="759"/>
    </row>
    <row r="1275" spans="24:25">
      <c r="X1275" s="759"/>
      <c r="Y1275" s="759"/>
    </row>
    <row r="1276" spans="24:25">
      <c r="X1276" s="759"/>
      <c r="Y1276" s="759"/>
    </row>
    <row r="1277" spans="24:25">
      <c r="X1277" s="759"/>
      <c r="Y1277" s="759"/>
    </row>
    <row r="1278" spans="24:25">
      <c r="X1278" s="759"/>
      <c r="Y1278" s="759"/>
    </row>
    <row r="1279" spans="24:25">
      <c r="X1279" s="759"/>
      <c r="Y1279" s="759"/>
    </row>
    <row r="1280" spans="24:25">
      <c r="X1280" s="759"/>
      <c r="Y1280" s="759"/>
    </row>
    <row r="1281" spans="24:25">
      <c r="X1281" s="759"/>
      <c r="Y1281" s="759"/>
    </row>
    <row r="1282" spans="24:25">
      <c r="X1282" s="759"/>
      <c r="Y1282" s="759"/>
    </row>
    <row r="1283" spans="24:25">
      <c r="X1283" s="759"/>
      <c r="Y1283" s="759"/>
    </row>
    <row r="1284" spans="24:25">
      <c r="X1284" s="759"/>
      <c r="Y1284" s="759"/>
    </row>
    <row r="1285" spans="24:25">
      <c r="X1285" s="759"/>
      <c r="Y1285" s="759"/>
    </row>
    <row r="1286" spans="24:25">
      <c r="X1286" s="759"/>
      <c r="Y1286" s="759"/>
    </row>
    <row r="1287" spans="24:25">
      <c r="X1287" s="759"/>
      <c r="Y1287" s="759"/>
    </row>
    <row r="1288" spans="24:25">
      <c r="X1288" s="759"/>
      <c r="Y1288" s="759"/>
    </row>
    <row r="1289" spans="24:25">
      <c r="X1289" s="759"/>
      <c r="Y1289" s="759"/>
    </row>
    <row r="1290" spans="24:25">
      <c r="X1290" s="759"/>
      <c r="Y1290" s="759"/>
    </row>
    <row r="1291" spans="24:25">
      <c r="X1291" s="759"/>
      <c r="Y1291" s="759"/>
    </row>
    <row r="1292" spans="24:25">
      <c r="X1292" s="759"/>
      <c r="Y1292" s="759"/>
    </row>
    <row r="1293" spans="24:25">
      <c r="X1293" s="759"/>
      <c r="Y1293" s="759"/>
    </row>
    <row r="1294" spans="24:25">
      <c r="X1294" s="759"/>
      <c r="Y1294" s="759"/>
    </row>
    <row r="1295" spans="24:25">
      <c r="X1295" s="759"/>
      <c r="Y1295" s="759"/>
    </row>
    <row r="1296" spans="24:25">
      <c r="X1296" s="759"/>
      <c r="Y1296" s="759"/>
    </row>
    <row r="1297" spans="24:25">
      <c r="X1297" s="759"/>
      <c r="Y1297" s="759"/>
    </row>
    <row r="1298" spans="24:25">
      <c r="X1298" s="759"/>
      <c r="Y1298" s="759"/>
    </row>
    <row r="1299" spans="24:25">
      <c r="X1299" s="759"/>
      <c r="Y1299" s="759"/>
    </row>
    <row r="1300" spans="24:25">
      <c r="X1300" s="759"/>
      <c r="Y1300" s="759"/>
    </row>
    <row r="1301" spans="24:25">
      <c r="X1301" s="759"/>
      <c r="Y1301" s="759"/>
    </row>
    <row r="1302" spans="24:25">
      <c r="X1302" s="759"/>
      <c r="Y1302" s="759"/>
    </row>
    <row r="1303" spans="24:25">
      <c r="X1303" s="759"/>
      <c r="Y1303" s="759"/>
    </row>
    <row r="1304" spans="24:25">
      <c r="X1304" s="759"/>
      <c r="Y1304" s="759"/>
    </row>
    <row r="1305" spans="24:25">
      <c r="X1305" s="759"/>
      <c r="Y1305" s="759"/>
    </row>
    <row r="1306" spans="24:25">
      <c r="X1306" s="759"/>
      <c r="Y1306" s="759"/>
    </row>
    <row r="1307" spans="24:25">
      <c r="X1307" s="759"/>
      <c r="Y1307" s="759"/>
    </row>
    <row r="1308" spans="24:25">
      <c r="X1308" s="759"/>
      <c r="Y1308" s="759"/>
    </row>
    <row r="1309" spans="24:25">
      <c r="X1309" s="759"/>
      <c r="Y1309" s="759"/>
    </row>
    <row r="1310" spans="24:25">
      <c r="X1310" s="759"/>
      <c r="Y1310" s="759"/>
    </row>
    <row r="1311" spans="24:25">
      <c r="X1311" s="759"/>
      <c r="Y1311" s="759"/>
    </row>
    <row r="1312" spans="24:25">
      <c r="X1312" s="759"/>
      <c r="Y1312" s="759"/>
    </row>
    <row r="1313" spans="24:25">
      <c r="X1313" s="759"/>
      <c r="Y1313" s="759"/>
    </row>
    <row r="1314" spans="24:25">
      <c r="X1314" s="759"/>
      <c r="Y1314" s="759"/>
    </row>
    <row r="1315" spans="24:25">
      <c r="X1315" s="759"/>
      <c r="Y1315" s="759"/>
    </row>
    <row r="1316" spans="24:25">
      <c r="X1316" s="759"/>
      <c r="Y1316" s="759"/>
    </row>
    <row r="1317" spans="24:25">
      <c r="X1317" s="759"/>
      <c r="Y1317" s="759"/>
    </row>
    <row r="1318" spans="24:25">
      <c r="X1318" s="759"/>
      <c r="Y1318" s="759"/>
    </row>
    <row r="1319" spans="24:25">
      <c r="X1319" s="759"/>
      <c r="Y1319" s="759"/>
    </row>
    <row r="1320" spans="24:25">
      <c r="X1320" s="759"/>
      <c r="Y1320" s="759"/>
    </row>
    <row r="1321" spans="24:25">
      <c r="X1321" s="759"/>
      <c r="Y1321" s="759"/>
    </row>
    <row r="1322" spans="24:25">
      <c r="X1322" s="759"/>
      <c r="Y1322" s="759"/>
    </row>
    <row r="1323" spans="24:25">
      <c r="X1323" s="759"/>
      <c r="Y1323" s="759"/>
    </row>
    <row r="1324" spans="24:25">
      <c r="X1324" s="759"/>
      <c r="Y1324" s="759"/>
    </row>
    <row r="1325" spans="24:25">
      <c r="X1325" s="759"/>
      <c r="Y1325" s="759"/>
    </row>
    <row r="1326" spans="24:25">
      <c r="X1326" s="759"/>
      <c r="Y1326" s="759"/>
    </row>
    <row r="1327" spans="24:25">
      <c r="X1327" s="759"/>
      <c r="Y1327" s="759"/>
    </row>
    <row r="1328" spans="24:25">
      <c r="X1328" s="759"/>
      <c r="Y1328" s="759"/>
    </row>
    <row r="1329" spans="24:25">
      <c r="X1329" s="759"/>
      <c r="Y1329" s="759"/>
    </row>
    <row r="1330" spans="24:25">
      <c r="X1330" s="759"/>
      <c r="Y1330" s="759"/>
    </row>
    <row r="1331" spans="24:25">
      <c r="X1331" s="759"/>
      <c r="Y1331" s="759"/>
    </row>
    <row r="1332" spans="24:25">
      <c r="X1332" s="759"/>
      <c r="Y1332" s="759"/>
    </row>
    <row r="1333" spans="24:25">
      <c r="X1333" s="759"/>
      <c r="Y1333" s="759"/>
    </row>
    <row r="1334" spans="24:25">
      <c r="X1334" s="759"/>
      <c r="Y1334" s="759"/>
    </row>
    <row r="1335" spans="24:25">
      <c r="X1335" s="759"/>
      <c r="Y1335" s="759"/>
    </row>
    <row r="1336" spans="24:25">
      <c r="X1336" s="759"/>
      <c r="Y1336" s="759"/>
    </row>
    <row r="1337" spans="24:25">
      <c r="X1337" s="759"/>
      <c r="Y1337" s="759"/>
    </row>
    <row r="1338" spans="24:25">
      <c r="X1338" s="759"/>
      <c r="Y1338" s="759"/>
    </row>
    <row r="1339" spans="24:25">
      <c r="X1339" s="759"/>
      <c r="Y1339" s="759"/>
    </row>
    <row r="1340" spans="24:25">
      <c r="X1340" s="759"/>
      <c r="Y1340" s="759"/>
    </row>
    <row r="1341" spans="24:25">
      <c r="X1341" s="759"/>
      <c r="Y1341" s="759"/>
    </row>
    <row r="1342" spans="24:25">
      <c r="X1342" s="759"/>
      <c r="Y1342" s="759"/>
    </row>
    <row r="1343" spans="24:25">
      <c r="X1343" s="759"/>
      <c r="Y1343" s="759"/>
    </row>
    <row r="1344" spans="24:25">
      <c r="X1344" s="759"/>
      <c r="Y1344" s="759"/>
    </row>
    <row r="1345" spans="24:25">
      <c r="X1345" s="759"/>
      <c r="Y1345" s="759"/>
    </row>
    <row r="1346" spans="24:25">
      <c r="X1346" s="759"/>
      <c r="Y1346" s="759"/>
    </row>
    <row r="1347" spans="24:25">
      <c r="X1347" s="759"/>
      <c r="Y1347" s="759"/>
    </row>
    <row r="1348" spans="24:25">
      <c r="X1348" s="759"/>
      <c r="Y1348" s="759"/>
    </row>
    <row r="1349" spans="24:25">
      <c r="X1349" s="759"/>
      <c r="Y1349" s="759"/>
    </row>
    <row r="1350" spans="24:25">
      <c r="X1350" s="759"/>
      <c r="Y1350" s="759"/>
    </row>
    <row r="1351" spans="24:25">
      <c r="X1351" s="759"/>
      <c r="Y1351" s="759"/>
    </row>
    <row r="1352" spans="24:25">
      <c r="X1352" s="759"/>
      <c r="Y1352" s="759"/>
    </row>
    <row r="1353" spans="24:25">
      <c r="X1353" s="759"/>
      <c r="Y1353" s="759"/>
    </row>
    <row r="1354" spans="24:25">
      <c r="X1354" s="759"/>
      <c r="Y1354" s="759"/>
    </row>
    <row r="1355" spans="24:25">
      <c r="X1355" s="759"/>
      <c r="Y1355" s="759"/>
    </row>
    <row r="1356" spans="24:25">
      <c r="X1356" s="759"/>
      <c r="Y1356" s="759"/>
    </row>
    <row r="1357" spans="24:25">
      <c r="X1357" s="759"/>
      <c r="Y1357" s="759"/>
    </row>
    <row r="1358" spans="24:25">
      <c r="X1358" s="759"/>
      <c r="Y1358" s="759"/>
    </row>
    <row r="1359" spans="24:25">
      <c r="X1359" s="759"/>
      <c r="Y1359" s="759"/>
    </row>
    <row r="1360" spans="24:25">
      <c r="X1360" s="759"/>
      <c r="Y1360" s="759"/>
    </row>
    <row r="1361" spans="24:25">
      <c r="X1361" s="759"/>
      <c r="Y1361" s="759"/>
    </row>
    <row r="1362" spans="24:25">
      <c r="X1362" s="759"/>
      <c r="Y1362" s="759"/>
    </row>
    <row r="1363" spans="24:25">
      <c r="X1363" s="759"/>
      <c r="Y1363" s="759"/>
    </row>
    <row r="1364" spans="24:25">
      <c r="X1364" s="759"/>
      <c r="Y1364" s="759"/>
    </row>
    <row r="1365" spans="24:25">
      <c r="X1365" s="759"/>
      <c r="Y1365" s="759"/>
    </row>
    <row r="1366" spans="24:25">
      <c r="X1366" s="759"/>
      <c r="Y1366" s="759"/>
    </row>
    <row r="1367" spans="24:25">
      <c r="X1367" s="759"/>
      <c r="Y1367" s="759"/>
    </row>
    <row r="1368" spans="24:25">
      <c r="X1368" s="759"/>
      <c r="Y1368" s="759"/>
    </row>
    <row r="1369" spans="24:25">
      <c r="X1369" s="759"/>
      <c r="Y1369" s="759"/>
    </row>
    <row r="1370" spans="24:25">
      <c r="X1370" s="759"/>
      <c r="Y1370" s="759"/>
    </row>
    <row r="1371" spans="24:25">
      <c r="X1371" s="759"/>
      <c r="Y1371" s="759"/>
    </row>
    <row r="1372" spans="24:25">
      <c r="X1372" s="759"/>
      <c r="Y1372" s="759"/>
    </row>
    <row r="1373" spans="24:25">
      <c r="X1373" s="759"/>
      <c r="Y1373" s="759"/>
    </row>
    <row r="1374" spans="24:25">
      <c r="X1374" s="759"/>
      <c r="Y1374" s="759"/>
    </row>
    <row r="1375" spans="24:25">
      <c r="X1375" s="759"/>
      <c r="Y1375" s="759"/>
    </row>
    <row r="1376" spans="24:25">
      <c r="X1376" s="759"/>
      <c r="Y1376" s="759"/>
    </row>
    <row r="1377" spans="24:25">
      <c r="X1377" s="759"/>
      <c r="Y1377" s="759"/>
    </row>
    <row r="1378" spans="24:25">
      <c r="X1378" s="759"/>
      <c r="Y1378" s="759"/>
    </row>
    <row r="1379" spans="24:25">
      <c r="X1379" s="759"/>
      <c r="Y1379" s="759"/>
    </row>
    <row r="1380" spans="24:25">
      <c r="X1380" s="759"/>
      <c r="Y1380" s="759"/>
    </row>
    <row r="1381" spans="24:25">
      <c r="X1381" s="759"/>
      <c r="Y1381" s="759"/>
    </row>
    <row r="1382" spans="24:25">
      <c r="X1382" s="759"/>
      <c r="Y1382" s="759"/>
    </row>
    <row r="1383" spans="24:25">
      <c r="X1383" s="759"/>
      <c r="Y1383" s="759"/>
    </row>
    <row r="1384" spans="24:25">
      <c r="X1384" s="759"/>
      <c r="Y1384" s="759"/>
    </row>
    <row r="1385" spans="24:25">
      <c r="X1385" s="759"/>
      <c r="Y1385" s="759"/>
    </row>
    <row r="1386" spans="24:25">
      <c r="X1386" s="759"/>
      <c r="Y1386" s="759"/>
    </row>
    <row r="1387" spans="24:25">
      <c r="X1387" s="759"/>
      <c r="Y1387" s="759"/>
    </row>
    <row r="1388" spans="24:25">
      <c r="X1388" s="759"/>
      <c r="Y1388" s="759"/>
    </row>
    <row r="1389" spans="24:25">
      <c r="X1389" s="759"/>
      <c r="Y1389" s="759"/>
    </row>
    <row r="1390" spans="24:25">
      <c r="X1390" s="759"/>
      <c r="Y1390" s="759"/>
    </row>
    <row r="1391" spans="24:25">
      <c r="X1391" s="759"/>
      <c r="Y1391" s="759"/>
    </row>
    <row r="1392" spans="24:25">
      <c r="X1392" s="759"/>
      <c r="Y1392" s="759"/>
    </row>
    <row r="1393" spans="24:25">
      <c r="X1393" s="759"/>
      <c r="Y1393" s="759"/>
    </row>
    <row r="1394" spans="24:25">
      <c r="X1394" s="759"/>
      <c r="Y1394" s="759"/>
    </row>
    <row r="1395" spans="24:25">
      <c r="X1395" s="759"/>
      <c r="Y1395" s="759"/>
    </row>
    <row r="1396" spans="24:25">
      <c r="X1396" s="759"/>
      <c r="Y1396" s="759"/>
    </row>
    <row r="1397" spans="24:25">
      <c r="X1397" s="759"/>
      <c r="Y1397" s="759"/>
    </row>
    <row r="1398" spans="24:25">
      <c r="X1398" s="759"/>
      <c r="Y1398" s="759"/>
    </row>
    <row r="1399" spans="24:25">
      <c r="X1399" s="759"/>
      <c r="Y1399" s="759"/>
    </row>
    <row r="1400" spans="24:25">
      <c r="X1400" s="759"/>
      <c r="Y1400" s="759"/>
    </row>
    <row r="1401" spans="24:25">
      <c r="X1401" s="759"/>
      <c r="Y1401" s="759"/>
    </row>
    <row r="1402" spans="24:25">
      <c r="X1402" s="759"/>
      <c r="Y1402" s="759"/>
    </row>
    <row r="1403" spans="24:25">
      <c r="X1403" s="759"/>
      <c r="Y1403" s="759"/>
    </row>
    <row r="1404" spans="24:25">
      <c r="X1404" s="759"/>
      <c r="Y1404" s="759"/>
    </row>
    <row r="1405" spans="24:25">
      <c r="X1405" s="759"/>
      <c r="Y1405" s="759"/>
    </row>
    <row r="1406" spans="24:25">
      <c r="X1406" s="759"/>
      <c r="Y1406" s="759"/>
    </row>
    <row r="1407" spans="24:25">
      <c r="X1407" s="759"/>
      <c r="Y1407" s="759"/>
    </row>
    <row r="1408" spans="24:25">
      <c r="X1408" s="759"/>
      <c r="Y1408" s="759"/>
    </row>
    <row r="1409" spans="24:25">
      <c r="X1409" s="759"/>
      <c r="Y1409" s="759"/>
    </row>
    <row r="1410" spans="24:25">
      <c r="X1410" s="759"/>
      <c r="Y1410" s="759"/>
    </row>
    <row r="1411" spans="24:25">
      <c r="X1411" s="759"/>
      <c r="Y1411" s="759"/>
    </row>
    <row r="1412" spans="24:25">
      <c r="X1412" s="759"/>
      <c r="Y1412" s="759"/>
    </row>
    <row r="1413" spans="24:25">
      <c r="X1413" s="759"/>
      <c r="Y1413" s="759"/>
    </row>
    <row r="1414" spans="24:25">
      <c r="X1414" s="759"/>
      <c r="Y1414" s="759"/>
    </row>
    <row r="1415" spans="24:25">
      <c r="X1415" s="759"/>
      <c r="Y1415" s="759"/>
    </row>
    <row r="1416" spans="24:25">
      <c r="X1416" s="759"/>
      <c r="Y1416" s="759"/>
    </row>
    <row r="1417" spans="24:25">
      <c r="X1417" s="759"/>
      <c r="Y1417" s="759"/>
    </row>
    <row r="1418" spans="24:25">
      <c r="X1418" s="759"/>
      <c r="Y1418" s="759"/>
    </row>
    <row r="1419" spans="24:25">
      <c r="X1419" s="759"/>
      <c r="Y1419" s="759"/>
    </row>
    <row r="1420" spans="24:25">
      <c r="X1420" s="759"/>
      <c r="Y1420" s="759"/>
    </row>
    <row r="1421" spans="24:25">
      <c r="X1421" s="759"/>
      <c r="Y1421" s="759"/>
    </row>
    <row r="1422" spans="24:25">
      <c r="X1422" s="759"/>
      <c r="Y1422" s="759"/>
    </row>
    <row r="1423" spans="24:25">
      <c r="X1423" s="759"/>
      <c r="Y1423" s="759"/>
    </row>
    <row r="1424" spans="24:25">
      <c r="X1424" s="759"/>
      <c r="Y1424" s="759"/>
    </row>
    <row r="1425" spans="24:25">
      <c r="X1425" s="759"/>
      <c r="Y1425" s="759"/>
    </row>
    <row r="1426" spans="24:25">
      <c r="X1426" s="759"/>
      <c r="Y1426" s="759"/>
    </row>
    <row r="1427" spans="24:25">
      <c r="X1427" s="759"/>
      <c r="Y1427" s="759"/>
    </row>
    <row r="1428" spans="24:25">
      <c r="X1428" s="759"/>
      <c r="Y1428" s="759"/>
    </row>
    <row r="1429" spans="24:25">
      <c r="X1429" s="759"/>
      <c r="Y1429" s="759"/>
    </row>
    <row r="1430" spans="24:25">
      <c r="X1430" s="759"/>
      <c r="Y1430" s="759"/>
    </row>
    <row r="1431" spans="24:25">
      <c r="X1431" s="759"/>
      <c r="Y1431" s="759"/>
    </row>
    <row r="1432" spans="24:25">
      <c r="X1432" s="759"/>
      <c r="Y1432" s="759"/>
    </row>
    <row r="1433" spans="24:25">
      <c r="X1433" s="759"/>
      <c r="Y1433" s="759"/>
    </row>
    <row r="1434" spans="24:25">
      <c r="X1434" s="759"/>
      <c r="Y1434" s="759"/>
    </row>
    <row r="1435" spans="24:25">
      <c r="X1435" s="759"/>
      <c r="Y1435" s="759"/>
    </row>
    <row r="1436" spans="24:25">
      <c r="X1436" s="759"/>
      <c r="Y1436" s="759"/>
    </row>
    <row r="1437" spans="24:25">
      <c r="X1437" s="759"/>
      <c r="Y1437" s="759"/>
    </row>
    <row r="1438" spans="24:25">
      <c r="X1438" s="759"/>
      <c r="Y1438" s="759"/>
    </row>
    <row r="1439" spans="24:25">
      <c r="X1439" s="759"/>
      <c r="Y1439" s="759"/>
    </row>
    <row r="1440" spans="24:25">
      <c r="X1440" s="759"/>
      <c r="Y1440" s="759"/>
    </row>
    <row r="1441" spans="24:25">
      <c r="X1441" s="759"/>
      <c r="Y1441" s="759"/>
    </row>
    <row r="1442" spans="24:25">
      <c r="X1442" s="759"/>
      <c r="Y1442" s="759"/>
    </row>
    <row r="1443" spans="24:25">
      <c r="X1443" s="759"/>
      <c r="Y1443" s="759"/>
    </row>
    <row r="1444" spans="24:25">
      <c r="X1444" s="759"/>
      <c r="Y1444" s="759"/>
    </row>
    <row r="1445" spans="24:25">
      <c r="X1445" s="759"/>
      <c r="Y1445" s="759"/>
    </row>
    <row r="1446" spans="24:25">
      <c r="X1446" s="759"/>
      <c r="Y1446" s="759"/>
    </row>
    <row r="1447" spans="24:25">
      <c r="X1447" s="759"/>
      <c r="Y1447" s="759"/>
    </row>
    <row r="1448" spans="24:25">
      <c r="X1448" s="759"/>
      <c r="Y1448" s="759"/>
    </row>
    <row r="1449" spans="24:25">
      <c r="X1449" s="759"/>
      <c r="Y1449" s="759"/>
    </row>
    <row r="1450" spans="24:25">
      <c r="X1450" s="759"/>
      <c r="Y1450" s="759"/>
    </row>
    <row r="1451" spans="24:25">
      <c r="X1451" s="759"/>
      <c r="Y1451" s="759"/>
    </row>
    <row r="1452" spans="24:25">
      <c r="X1452" s="759"/>
      <c r="Y1452" s="759"/>
    </row>
    <row r="1453" spans="24:25">
      <c r="X1453" s="759"/>
      <c r="Y1453" s="759"/>
    </row>
    <row r="1454" spans="24:25">
      <c r="X1454" s="759"/>
      <c r="Y1454" s="759"/>
    </row>
    <row r="1455" spans="24:25">
      <c r="X1455" s="759"/>
      <c r="Y1455" s="759"/>
    </row>
    <row r="1456" spans="24:25">
      <c r="X1456" s="759"/>
      <c r="Y1456" s="759"/>
    </row>
    <row r="1457" spans="24:25">
      <c r="X1457" s="759"/>
      <c r="Y1457" s="759"/>
    </row>
    <row r="1458" spans="24:25">
      <c r="X1458" s="759"/>
      <c r="Y1458" s="759"/>
    </row>
    <row r="1459" spans="24:25">
      <c r="X1459" s="759"/>
      <c r="Y1459" s="759"/>
    </row>
    <row r="1460" spans="24:25">
      <c r="X1460" s="759"/>
      <c r="Y1460" s="759"/>
    </row>
    <row r="1461" spans="24:25">
      <c r="X1461" s="759"/>
      <c r="Y1461" s="759"/>
    </row>
    <row r="1462" spans="24:25">
      <c r="X1462" s="759"/>
      <c r="Y1462" s="759"/>
    </row>
    <row r="1463" spans="24:25">
      <c r="X1463" s="759"/>
      <c r="Y1463" s="759"/>
    </row>
    <row r="1464" spans="24:25">
      <c r="X1464" s="759"/>
      <c r="Y1464" s="759"/>
    </row>
    <row r="1465" spans="24:25">
      <c r="X1465" s="759"/>
      <c r="Y1465" s="759"/>
    </row>
    <row r="1466" spans="24:25">
      <c r="X1466" s="759"/>
      <c r="Y1466" s="759"/>
    </row>
    <row r="1467" spans="24:25">
      <c r="X1467" s="759"/>
      <c r="Y1467" s="759"/>
    </row>
    <row r="1468" spans="24:25">
      <c r="X1468" s="759"/>
      <c r="Y1468" s="759"/>
    </row>
    <row r="1469" spans="24:25">
      <c r="X1469" s="759"/>
      <c r="Y1469" s="759"/>
    </row>
    <row r="1470" spans="24:25">
      <c r="X1470" s="759"/>
      <c r="Y1470" s="759"/>
    </row>
    <row r="1471" spans="24:25">
      <c r="X1471" s="759"/>
      <c r="Y1471" s="759"/>
    </row>
    <row r="1472" spans="24:25">
      <c r="X1472" s="759"/>
      <c r="Y1472" s="759"/>
    </row>
    <row r="1473" spans="24:24">
      <c r="X1473" s="759"/>
    </row>
    <row r="1474" spans="24:24">
      <c r="X1474" s="759"/>
    </row>
    <row r="1475" spans="24:24">
      <c r="X1475" s="759"/>
    </row>
    <row r="1476" spans="24:24">
      <c r="X1476" s="759"/>
    </row>
    <row r="1477" spans="24:24">
      <c r="X1477" s="759"/>
    </row>
    <row r="1478" spans="24:24">
      <c r="X1478" s="759"/>
    </row>
    <row r="1479" spans="24:24">
      <c r="X1479" s="759"/>
    </row>
    <row r="1480" spans="24:24">
      <c r="X1480" s="759"/>
    </row>
    <row r="1481" spans="24:24">
      <c r="X1481" s="759"/>
    </row>
    <row r="1482" spans="24:24">
      <c r="X1482" s="759"/>
    </row>
    <row r="1483" spans="24:24">
      <c r="X1483" s="759"/>
    </row>
    <row r="1484" spans="24:24">
      <c r="X1484" s="759"/>
    </row>
    <row r="1485" spans="24:24">
      <c r="X1485" s="759"/>
    </row>
    <row r="1486" spans="24:24">
      <c r="X1486" s="759"/>
    </row>
    <row r="1487" spans="24:24">
      <c r="X1487" s="759"/>
    </row>
    <row r="1488" spans="24:24">
      <c r="X1488" s="759"/>
    </row>
    <row r="1489" spans="24:24">
      <c r="X1489" s="759"/>
    </row>
    <row r="1490" spans="24:24">
      <c r="X1490" s="759"/>
    </row>
    <row r="1491" spans="24:24">
      <c r="X1491" s="759"/>
    </row>
    <row r="1492" spans="24:24">
      <c r="X1492" s="759"/>
    </row>
    <row r="1493" spans="24:24">
      <c r="X1493" s="759"/>
    </row>
    <row r="1494" spans="24:24">
      <c r="X1494" s="759"/>
    </row>
    <row r="1495" spans="24:24">
      <c r="X1495" s="759"/>
    </row>
    <row r="1496" spans="24:24">
      <c r="X1496" s="759"/>
    </row>
    <row r="1497" spans="24:24">
      <c r="X1497" s="759"/>
    </row>
    <row r="1498" spans="24:24">
      <c r="X1498" s="759"/>
    </row>
    <row r="1499" spans="24:24">
      <c r="X1499" s="759"/>
    </row>
    <row r="1500" spans="24:24">
      <c r="X1500" s="759"/>
    </row>
    <row r="1501" spans="24:24">
      <c r="X1501" s="759"/>
    </row>
    <row r="1502" spans="24:24">
      <c r="X1502" s="759"/>
    </row>
    <row r="1503" spans="24:24">
      <c r="X1503" s="759"/>
    </row>
    <row r="1504" spans="24:24">
      <c r="X1504" s="759"/>
    </row>
    <row r="1505" spans="24:24">
      <c r="X1505" s="759"/>
    </row>
    <row r="1506" spans="24:24">
      <c r="X1506" s="759"/>
    </row>
    <row r="1507" spans="24:24">
      <c r="X1507" s="759"/>
    </row>
    <row r="1508" spans="24:24">
      <c r="X1508" s="759"/>
    </row>
    <row r="1509" spans="24:24">
      <c r="X1509" s="759"/>
    </row>
    <row r="1510" spans="24:24">
      <c r="X1510" s="759"/>
    </row>
    <row r="1511" spans="24:24">
      <c r="X1511" s="759"/>
    </row>
    <row r="1512" spans="24:24">
      <c r="X1512" s="759"/>
    </row>
    <row r="1513" spans="24:24">
      <c r="X1513" s="759"/>
    </row>
    <row r="1514" spans="24:24">
      <c r="X1514" s="759"/>
    </row>
    <row r="1515" spans="24:24">
      <c r="X1515" s="759"/>
    </row>
    <row r="1516" spans="24:24">
      <c r="X1516" s="759"/>
    </row>
    <row r="1517" spans="24:24">
      <c r="X1517" s="759"/>
    </row>
    <row r="1518" spans="24:24">
      <c r="X1518" s="759"/>
    </row>
    <row r="1519" spans="24:24">
      <c r="X1519" s="759"/>
    </row>
    <row r="1520" spans="24:24">
      <c r="X1520" s="759"/>
    </row>
    <row r="1521" spans="24:24">
      <c r="X1521" s="759"/>
    </row>
    <row r="1522" spans="24:24">
      <c r="X1522" s="759"/>
    </row>
    <row r="1523" spans="24:24">
      <c r="X1523" s="759"/>
    </row>
    <row r="1524" spans="24:24">
      <c r="X1524" s="759"/>
    </row>
    <row r="1525" spans="24:24">
      <c r="X1525" s="759"/>
    </row>
    <row r="1526" spans="24:24">
      <c r="X1526" s="759"/>
    </row>
    <row r="1527" spans="24:24">
      <c r="X1527" s="759"/>
    </row>
    <row r="1528" spans="24:24">
      <c r="X1528" s="759"/>
    </row>
    <row r="1529" spans="24:24">
      <c r="X1529" s="759"/>
    </row>
    <row r="1530" spans="24:24">
      <c r="X1530" s="759"/>
    </row>
    <row r="1531" spans="24:24">
      <c r="X1531" s="759"/>
    </row>
    <row r="1532" spans="24:24">
      <c r="X1532" s="759"/>
    </row>
    <row r="1533" spans="24:24">
      <c r="X1533" s="759"/>
    </row>
    <row r="1534" spans="24:24">
      <c r="X1534" s="759"/>
    </row>
    <row r="1535" spans="24:24">
      <c r="X1535" s="759"/>
    </row>
    <row r="1536" spans="24:24">
      <c r="X1536" s="759"/>
    </row>
    <row r="1537" spans="24:24">
      <c r="X1537" s="759"/>
    </row>
    <row r="1538" spans="24:24">
      <c r="X1538" s="759"/>
    </row>
    <row r="1539" spans="24:24">
      <c r="X1539" s="759"/>
    </row>
    <row r="1540" spans="24:24">
      <c r="X1540" s="759"/>
    </row>
    <row r="1541" spans="24:24">
      <c r="X1541" s="759"/>
    </row>
    <row r="1542" spans="24:24">
      <c r="X1542" s="759"/>
    </row>
    <row r="1543" spans="24:24">
      <c r="X1543" s="759"/>
    </row>
    <row r="1544" spans="24:24">
      <c r="X1544" s="759"/>
    </row>
    <row r="1545" spans="24:24">
      <c r="X1545" s="759"/>
    </row>
    <row r="1546" spans="24:24">
      <c r="X1546" s="759"/>
    </row>
    <row r="1547" spans="24:24">
      <c r="X1547" s="759"/>
    </row>
    <row r="1548" spans="24:24">
      <c r="X1548" s="759"/>
    </row>
    <row r="1549" spans="24:24">
      <c r="X1549" s="759"/>
    </row>
    <row r="1550" spans="24:24">
      <c r="X1550" s="759"/>
    </row>
    <row r="1551" spans="24:24">
      <c r="X1551" s="759"/>
    </row>
    <row r="1552" spans="24:24">
      <c r="X1552" s="759"/>
    </row>
    <row r="1553" spans="24:24">
      <c r="X1553" s="759"/>
    </row>
    <row r="1554" spans="24:24">
      <c r="X1554" s="759"/>
    </row>
    <row r="1555" spans="24:24">
      <c r="X1555" s="759"/>
    </row>
    <row r="1556" spans="24:24">
      <c r="X1556" s="759"/>
    </row>
    <row r="1557" spans="24:24">
      <c r="X1557" s="759"/>
    </row>
    <row r="1558" spans="24:24">
      <c r="X1558" s="759"/>
    </row>
    <row r="1559" spans="24:24">
      <c r="X1559" s="759"/>
    </row>
    <row r="1560" spans="24:24">
      <c r="X1560" s="759"/>
    </row>
    <row r="1561" spans="24:24">
      <c r="X1561" s="759"/>
    </row>
    <row r="1562" spans="24:24">
      <c r="X1562" s="759"/>
    </row>
    <row r="1563" spans="24:24">
      <c r="X1563" s="759"/>
    </row>
    <row r="1564" spans="24:24">
      <c r="X1564" s="759"/>
    </row>
    <row r="1565" spans="24:24">
      <c r="X1565" s="759"/>
    </row>
    <row r="1566" spans="24:24">
      <c r="X1566" s="759"/>
    </row>
    <row r="1567" spans="24:24">
      <c r="X1567" s="759"/>
    </row>
    <row r="1568" spans="24:24">
      <c r="X1568" s="759"/>
    </row>
    <row r="1569" spans="24:24">
      <c r="X1569" s="759"/>
    </row>
    <row r="1570" spans="24:24">
      <c r="X1570" s="759"/>
    </row>
    <row r="1571" spans="24:24">
      <c r="X1571" s="759"/>
    </row>
    <row r="1572" spans="24:24">
      <c r="X1572" s="759"/>
    </row>
    <row r="1573" spans="24:24">
      <c r="X1573" s="759"/>
    </row>
    <row r="1574" spans="24:24">
      <c r="X1574" s="759"/>
    </row>
    <row r="1575" spans="24:24">
      <c r="X1575" s="759"/>
    </row>
    <row r="1576" spans="24:24">
      <c r="X1576" s="759"/>
    </row>
    <row r="1577" spans="24:24">
      <c r="X1577" s="759"/>
    </row>
    <row r="1578" spans="24:24">
      <c r="X1578" s="759"/>
    </row>
    <row r="1579" spans="24:24">
      <c r="X1579" s="759"/>
    </row>
    <row r="1580" spans="24:24">
      <c r="X1580" s="759"/>
    </row>
    <row r="1581" spans="24:24">
      <c r="X1581" s="759"/>
    </row>
    <row r="1582" spans="24:24">
      <c r="X1582" s="759"/>
    </row>
    <row r="1583" spans="24:24">
      <c r="X1583" s="759"/>
    </row>
    <row r="1584" spans="24:24">
      <c r="X1584" s="759"/>
    </row>
    <row r="1585" spans="24:24">
      <c r="X1585" s="759"/>
    </row>
    <row r="1586" spans="24:24">
      <c r="X1586" s="759"/>
    </row>
    <row r="1587" spans="24:24">
      <c r="X1587" s="759"/>
    </row>
    <row r="1588" spans="24:24">
      <c r="X1588" s="759"/>
    </row>
    <row r="1589" spans="24:24">
      <c r="X1589" s="759"/>
    </row>
    <row r="1590" spans="24:24">
      <c r="X1590" s="759"/>
    </row>
    <row r="1591" spans="24:24">
      <c r="X1591" s="759"/>
    </row>
    <row r="1592" spans="24:24">
      <c r="X1592" s="759"/>
    </row>
    <row r="1593" spans="24:24">
      <c r="X1593" s="759"/>
    </row>
    <row r="1594" spans="24:24">
      <c r="X1594" s="759"/>
    </row>
    <row r="1595" spans="24:24">
      <c r="X1595" s="759"/>
    </row>
    <row r="1596" spans="24:24">
      <c r="X1596" s="759"/>
    </row>
    <row r="1597" spans="24:24">
      <c r="X1597" s="759"/>
    </row>
    <row r="1598" spans="24:24">
      <c r="X1598" s="759"/>
    </row>
    <row r="1599" spans="24:24">
      <c r="X1599" s="759"/>
    </row>
    <row r="1600" spans="24:24">
      <c r="X1600" s="759"/>
    </row>
    <row r="1601" spans="24:24">
      <c r="X1601" s="759"/>
    </row>
    <row r="1602" spans="24:24">
      <c r="X1602" s="759"/>
    </row>
    <row r="1603" spans="24:24">
      <c r="X1603" s="759"/>
    </row>
    <row r="1604" spans="24:24">
      <c r="X1604" s="759"/>
    </row>
    <row r="1605" spans="24:24">
      <c r="X1605" s="759"/>
    </row>
    <row r="1606" spans="24:24">
      <c r="X1606" s="759"/>
    </row>
    <row r="1607" spans="24:24">
      <c r="X1607" s="759"/>
    </row>
    <row r="1608" spans="24:24">
      <c r="X1608" s="759"/>
    </row>
    <row r="1609" spans="24:24">
      <c r="X1609" s="759"/>
    </row>
    <row r="1610" spans="24:24">
      <c r="X1610" s="759"/>
    </row>
    <row r="1611" spans="24:24">
      <c r="X1611" s="759"/>
    </row>
    <row r="1612" spans="24:24">
      <c r="X1612" s="759"/>
    </row>
    <row r="1613" spans="24:24">
      <c r="X1613" s="759"/>
    </row>
    <row r="1614" spans="24:24">
      <c r="X1614" s="759"/>
    </row>
  </sheetData>
  <dataConsolidate/>
  <mergeCells count="6">
    <mergeCell ref="C33:M33"/>
    <mergeCell ref="C3:M3"/>
    <mergeCell ref="C5:G5"/>
    <mergeCell ref="L10:M10"/>
    <mergeCell ref="L30:M30"/>
    <mergeCell ref="L26:L27"/>
  </mergeCells>
  <conditionalFormatting sqref="F14">
    <cfRule type="expression" dxfId="38" priority="4">
      <formula>AND($D$11="ACT",$D$15=TRUE)</formula>
    </cfRule>
  </conditionalFormatting>
  <conditionalFormatting sqref="F11">
    <cfRule type="expression" dxfId="37" priority="2">
      <formula>$F$9=TRUE</formula>
    </cfRule>
  </conditionalFormatting>
  <dataValidations count="3">
    <dataValidation type="list" allowBlank="1" showInputMessage="1" showErrorMessage="1" sqref="D11" xr:uid="{4598F552-6334-4C2E-8C0D-7640C02B9425}">
      <formula1>"ACT,NSW,NT,QLD,SA,TAS,VIC - Metro, VIC - Regional,WA"</formula1>
    </dataValidation>
    <dataValidation type="list" allowBlank="1" showInputMessage="1" showErrorMessage="1" sqref="D13" xr:uid="{DD6EB3C2-EF89-44FF-A22C-7F8007188F14}">
      <formula1>"Owner Occupation, Investment"</formula1>
    </dataValidation>
    <dataValidation type="list" allowBlank="1" showInputMessage="1" showErrorMessage="1" sqref="H23:I23" xr:uid="{B0587584-CA9E-4964-BA5E-64E89B78B1CE}">
      <formula1>"True,False"</formula1>
    </dataValidation>
  </dataValidations>
  <pageMargins left="0" right="0" top="0" bottom="0" header="0" footer="0"/>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FFC85EB3-1848-4807-B970-E1C59C5E6C4F}">
            <xm:f>VLOOKUP($D$9,'Internal Ref'!$F$131:$J$136,5,FALSE)</xm:f>
            <x14:dxf>
              <font>
                <color rgb="FF494949"/>
              </font>
              <border>
                <left style="thin">
                  <color rgb="FFE0E0E0"/>
                </left>
                <right style="thin">
                  <color rgb="FFE0E0E0"/>
                </right>
                <top style="thin">
                  <color rgb="FFE0E0E0"/>
                </top>
                <bottom style="thin">
                  <color rgb="FFE0E0E0"/>
                </bottom>
                <vertical/>
                <horizontal/>
              </border>
            </x14:dxf>
          </x14:cfRule>
          <xm:sqref>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310A99F-EE29-4CF3-9D9E-B3C6F64217B4}">
          <x14:formula1>
            <xm:f>'Internal Ref'!$F$131:$F$136</xm:f>
          </x14:formula1>
          <xm:sqref>D9</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99AA9-ACCB-424E-B1EA-B3450D63367B}">
  <sheetPr codeName="Sheet31">
    <outlinePr summaryBelow="0"/>
    <pageSetUpPr fitToPage="1"/>
  </sheetPr>
  <dimension ref="B1:AP1578"/>
  <sheetViews>
    <sheetView showGridLines="0" showRowColHeaders="0" zoomScaleNormal="100" workbookViewId="0">
      <selection activeCell="D10" sqref="D10"/>
    </sheetView>
  </sheetViews>
  <sheetFormatPr baseColWidth="10" defaultColWidth="8" defaultRowHeight="14"/>
  <cols>
    <col min="1" max="2" width="0.83203125" style="745" customWidth="1"/>
    <col min="3" max="3" width="3.1640625" style="745" customWidth="1"/>
    <col min="4" max="4" width="16.6640625" style="745" customWidth="1"/>
    <col min="5" max="5" width="11.83203125" style="745" customWidth="1"/>
    <col min="6" max="6" width="11.6640625" style="745" customWidth="1"/>
    <col min="7" max="7" width="11.1640625" style="745" customWidth="1"/>
    <col min="8" max="15" width="8.83203125" style="745" customWidth="1"/>
    <col min="16" max="16" width="13.6640625" style="745" customWidth="1"/>
    <col min="17" max="17" width="1.33203125" style="745" customWidth="1"/>
    <col min="18" max="18" width="13.33203125" style="745" customWidth="1"/>
    <col min="19" max="19" width="4.83203125" style="745" customWidth="1"/>
    <col min="20" max="20" width="1.1640625" style="745" customWidth="1"/>
    <col min="21" max="21" width="13.33203125" style="745" customWidth="1"/>
    <col min="22" max="22" width="4.83203125" style="745" customWidth="1"/>
    <col min="23" max="25" width="0.83203125" style="745" customWidth="1"/>
    <col min="26" max="26" width="20.1640625" style="745" customWidth="1"/>
    <col min="27" max="27" width="16" style="745" customWidth="1"/>
    <col min="28" max="28" width="10.5" style="745" customWidth="1"/>
    <col min="29" max="29" width="8" style="745" customWidth="1"/>
    <col min="30" max="30" width="9.6640625" style="745" customWidth="1"/>
    <col min="31" max="34" width="8" style="745" customWidth="1"/>
    <col min="35" max="35" width="12.83203125" style="745" customWidth="1"/>
    <col min="36" max="39" width="8" style="745"/>
    <col min="40" max="42" width="0" style="745" hidden="1" customWidth="1"/>
    <col min="43" max="16384" width="8" style="745"/>
  </cols>
  <sheetData>
    <row r="1" spans="2:36" ht="5.25" customHeight="1"/>
    <row r="2" spans="2:36" ht="5.25" customHeight="1">
      <c r="B2" s="746"/>
      <c r="C2" s="747"/>
      <c r="D2" s="747"/>
      <c r="E2" s="747"/>
      <c r="F2" s="747"/>
      <c r="G2" s="747"/>
      <c r="H2" s="747"/>
      <c r="I2" s="747"/>
      <c r="J2" s="747"/>
      <c r="K2" s="747"/>
      <c r="L2" s="747"/>
      <c r="M2" s="747"/>
      <c r="N2" s="747"/>
      <c r="O2" s="747"/>
      <c r="P2" s="747"/>
      <c r="Q2" s="747"/>
      <c r="R2" s="747"/>
      <c r="S2" s="747"/>
      <c r="T2" s="747"/>
      <c r="U2" s="747"/>
      <c r="V2" s="747"/>
      <c r="W2" s="747"/>
      <c r="X2" s="748"/>
    </row>
    <row r="3" spans="2:36" ht="30.75" customHeight="1">
      <c r="B3" s="749"/>
      <c r="C3" s="1472" t="s">
        <v>8937</v>
      </c>
      <c r="D3" s="1472"/>
      <c r="E3" s="1472"/>
      <c r="F3" s="1472"/>
      <c r="G3" s="1472"/>
      <c r="H3" s="1472"/>
      <c r="I3" s="1472"/>
      <c r="J3" s="1472"/>
      <c r="K3" s="1472"/>
      <c r="L3" s="1472"/>
      <c r="M3" s="1472"/>
      <c r="N3" s="1472"/>
      <c r="O3" s="1472"/>
      <c r="P3" s="1472"/>
      <c r="Q3" s="1472"/>
      <c r="R3" s="1472"/>
      <c r="S3" s="1472"/>
      <c r="T3" s="1472"/>
      <c r="U3" s="1472"/>
      <c r="V3" s="1472"/>
      <c r="W3" s="1472"/>
      <c r="X3" s="750"/>
    </row>
    <row r="4" spans="2:36" ht="8.25" customHeight="1">
      <c r="B4" s="749"/>
      <c r="C4" s="751"/>
      <c r="D4" s="751"/>
      <c r="E4" s="751"/>
      <c r="F4" s="751"/>
      <c r="G4" s="751"/>
      <c r="H4" s="751"/>
      <c r="I4" s="751"/>
      <c r="J4" s="751"/>
      <c r="K4" s="751"/>
      <c r="L4" s="751"/>
      <c r="M4" s="751"/>
      <c r="N4" s="751"/>
      <c r="O4" s="751"/>
      <c r="P4" s="751"/>
      <c r="Q4" s="751"/>
      <c r="R4" s="751"/>
      <c r="S4" s="751"/>
      <c r="T4" s="751"/>
      <c r="U4" s="751"/>
      <c r="V4" s="751"/>
      <c r="W4" s="751"/>
      <c r="X4" s="750"/>
    </row>
    <row r="5" spans="2:36" ht="19.5" customHeight="1">
      <c r="B5" s="749"/>
      <c r="C5" s="1473"/>
      <c r="D5" s="1473"/>
      <c r="E5" s="1473"/>
      <c r="F5" s="1473"/>
      <c r="G5" s="1473"/>
      <c r="H5" s="1473"/>
      <c r="I5" s="1473"/>
      <c r="J5" s="1473"/>
      <c r="K5" s="1473"/>
      <c r="L5" s="1473"/>
      <c r="M5" s="1473"/>
      <c r="N5" s="1473"/>
      <c r="O5" s="1473"/>
      <c r="P5" s="1473"/>
      <c r="Q5" s="1473"/>
      <c r="R5" s="1473"/>
      <c r="S5" s="1473"/>
      <c r="T5" s="1473"/>
      <c r="U5" s="1473"/>
      <c r="V5" s="1473"/>
      <c r="W5" s="1473"/>
      <c r="X5" s="750"/>
    </row>
    <row r="6" spans="2:36" ht="6.75" customHeight="1">
      <c r="B6" s="749"/>
      <c r="C6" s="751"/>
      <c r="D6" s="751"/>
      <c r="E6" s="751"/>
      <c r="F6" s="751"/>
      <c r="G6" s="751"/>
      <c r="H6" s="751"/>
      <c r="I6" s="751"/>
      <c r="J6" s="751"/>
      <c r="K6" s="751"/>
      <c r="L6" s="751"/>
      <c r="M6" s="751"/>
      <c r="N6" s="751"/>
      <c r="O6" s="751"/>
      <c r="P6" s="751"/>
      <c r="Q6" s="751"/>
      <c r="R6" s="751"/>
      <c r="S6" s="751"/>
      <c r="T6" s="751"/>
      <c r="U6" s="751"/>
      <c r="V6" s="751"/>
      <c r="W6" s="751"/>
      <c r="X6" s="750"/>
    </row>
    <row r="7" spans="2:36" ht="5.25" customHeight="1">
      <c r="B7" s="749"/>
      <c r="C7" s="752"/>
      <c r="D7" s="753"/>
      <c r="E7" s="753"/>
      <c r="F7" s="753"/>
      <c r="G7" s="753"/>
      <c r="H7" s="753"/>
      <c r="I7" s="753"/>
      <c r="J7" s="753"/>
      <c r="K7" s="753"/>
      <c r="L7" s="753"/>
      <c r="M7" s="753"/>
      <c r="N7" s="753"/>
      <c r="O7" s="753"/>
      <c r="P7" s="753"/>
      <c r="Q7" s="753"/>
      <c r="R7" s="753"/>
      <c r="S7" s="753"/>
      <c r="T7" s="753"/>
      <c r="U7" s="753"/>
      <c r="V7" s="753"/>
      <c r="W7" s="754"/>
      <c r="X7" s="750"/>
    </row>
    <row r="8" spans="2:36" ht="17.25" customHeight="1">
      <c r="B8" s="749"/>
      <c r="C8" s="755"/>
      <c r="D8" s="71" t="s">
        <v>586</v>
      </c>
      <c r="E8" s="756"/>
      <c r="F8" s="756"/>
      <c r="G8" s="756"/>
      <c r="H8" s="756"/>
      <c r="I8" s="756"/>
      <c r="J8" s="1505" t="s">
        <v>748</v>
      </c>
      <c r="K8" s="1505"/>
      <c r="L8" s="1505"/>
      <c r="M8" s="1505" t="s">
        <v>749</v>
      </c>
      <c r="N8" s="1505"/>
      <c r="O8" s="1505"/>
      <c r="P8" s="190"/>
      <c r="Q8" s="756"/>
      <c r="R8" s="30"/>
      <c r="S8" s="757"/>
      <c r="T8" s="757"/>
      <c r="U8" s="30"/>
      <c r="V8" s="30"/>
      <c r="W8" s="758"/>
      <c r="X8" s="750"/>
      <c r="AG8" s="759"/>
      <c r="AH8" s="759"/>
      <c r="AJ8" s="759"/>
    </row>
    <row r="9" spans="2:36" ht="17.25" customHeight="1">
      <c r="B9" s="749"/>
      <c r="C9" s="755"/>
      <c r="D9" s="724" t="s">
        <v>14</v>
      </c>
      <c r="E9" s="724" t="s">
        <v>127</v>
      </c>
      <c r="F9" s="724" t="s">
        <v>128</v>
      </c>
      <c r="G9" s="724" t="s">
        <v>129</v>
      </c>
      <c r="H9" s="724" t="s">
        <v>130</v>
      </c>
      <c r="I9" s="724" t="s">
        <v>131</v>
      </c>
      <c r="J9" s="724" t="s">
        <v>750</v>
      </c>
      <c r="K9" s="724" t="s">
        <v>751</v>
      </c>
      <c r="L9" s="724" t="s">
        <v>752</v>
      </c>
      <c r="M9" s="724" t="s">
        <v>750</v>
      </c>
      <c r="N9" s="724" t="s">
        <v>751</v>
      </c>
      <c r="O9" s="724" t="s">
        <v>752</v>
      </c>
      <c r="P9" s="724" t="s">
        <v>753</v>
      </c>
      <c r="Q9" s="760"/>
      <c r="R9" s="724" t="s">
        <v>754</v>
      </c>
      <c r="S9" s="760"/>
      <c r="T9" s="760"/>
      <c r="U9" s="724" t="s">
        <v>755</v>
      </c>
      <c r="V9" s="190"/>
      <c r="W9" s="758"/>
      <c r="X9" s="750"/>
      <c r="AG9" s="759"/>
      <c r="AH9" s="759"/>
      <c r="AJ9" s="759"/>
    </row>
    <row r="10" spans="2:36" ht="17.25" customHeight="1">
      <c r="B10" s="749"/>
      <c r="C10" s="755"/>
      <c r="D10" s="717"/>
      <c r="E10" s="718"/>
      <c r="F10" s="719"/>
      <c r="G10" s="1281"/>
      <c r="H10" s="720"/>
      <c r="I10" s="722"/>
      <c r="J10" s="1282" t="str">
        <f>IF(F10="","",RATE_LOOKUP(E10,VLOOKUP(F10,'Configurable Items'!$D$4807:$I$4815,3,FALSE),VLOOKUP(F10,'Configurable Items'!$D$4807:$I$4815,2,FALSE),Repayment!G10,"Initial"))</f>
        <v/>
      </c>
      <c r="K10" s="721"/>
      <c r="L10" s="1283" t="str">
        <f>IF(J10="","",J10-K10)</f>
        <v/>
      </c>
      <c r="M10" s="1282" t="str">
        <f>IF(F10="","",IF(VLOOKUP(F10,'Configurable Items'!$D$4807:$G$4815,4,FALSE),RATE_LOOKUP(E10,VLOOKUP(F10,'Configurable Items'!$D$4807:$I$4815,3,FALSE),VLOOKUP(F10,'Configurable Items'!$D$4807:$I$4815,2,FALSE),G10,"Subsequent"),""))</f>
        <v/>
      </c>
      <c r="N10" s="1284"/>
      <c r="O10" s="1283" t="str">
        <f>IF(M10="","",M10-N10)</f>
        <v/>
      </c>
      <c r="P10" s="723"/>
      <c r="Q10" s="760"/>
      <c r="R10" s="728" t="str">
        <f>IF(J10="","",Repayments(D10,(H10*12)+I10,G10*12,IF(LEFT(VLOOKUP(F10,'Configurable Items'!$D$4807:$E$4815,2,FALSE),3)="Int",G10*12,0),VLOOKUP(F10,'Configurable Items'!$D$4807:$F$4815,2,FALSE),P10,L10,O10,"Initial","Full"))</f>
        <v/>
      </c>
      <c r="S10" s="729" t="str">
        <f>IF(R10="","",IF(VLOOKUP(F10,'Configurable Items'!$D$4807:$E$4815,2,FALSE)="Interest Only","p/m",
IF(VLOOKUP(F10,'Configurable Items'!$D$4807:$E$4815,2,FALSE)="Interest in Advance","p/a",
IF(VLOOKUP(F10,'Configurable Items'!$D$4807:$E$4815,2,FALSE)="Line of Credit","p/m",
IF(P10="Monthly","p/m",
IF(P10="Fortnightly","p/f",
IF(P10="","p/m",
"p/w")))))))</f>
        <v/>
      </c>
      <c r="T10" s="761"/>
      <c r="U10" s="728" t="str">
        <f>IF(M10="","",
IF(G10=H10,"",
Repayments(D10,(H10*12)+I10,G10*12,IF(LEFT(VLOOKUP(F10,'Configurable Items'!$D$4807:$E$4815,2,FALSE),3)="Int",G10,0),VLOOKUP(F10,'Configurable Items'!$D$4807:$F$4815,2,FALSE),P10,L10,O10,"Subsequent","Full")))</f>
        <v/>
      </c>
      <c r="V10" s="729" t="str">
        <f>IF(M10="","",
IF(P10="Monthly","p/m",
IF(P10="Fortnightly","p/f",
IF(P10="","p/m",
"p/w"))))</f>
        <v/>
      </c>
      <c r="W10" s="758"/>
      <c r="X10" s="750"/>
      <c r="AG10" s="759"/>
      <c r="AH10" s="759"/>
      <c r="AJ10" s="759"/>
    </row>
    <row r="11" spans="2:36" ht="2.25" customHeight="1">
      <c r="B11" s="749"/>
      <c r="C11" s="755"/>
      <c r="D11" s="55"/>
      <c r="E11" s="58"/>
      <c r="F11" s="57"/>
      <c r="G11" s="57"/>
      <c r="H11" s="63"/>
      <c r="I11" s="63"/>
      <c r="J11" s="63"/>
      <c r="K11" s="64"/>
      <c r="L11" s="65"/>
      <c r="M11" s="63"/>
      <c r="N11" s="64"/>
      <c r="O11" s="65"/>
      <c r="P11" s="32"/>
      <c r="R11" s="55"/>
      <c r="U11" s="55"/>
      <c r="V11" s="55"/>
      <c r="W11" s="758"/>
      <c r="X11" s="750"/>
      <c r="AG11" s="759"/>
      <c r="AH11" s="759"/>
      <c r="AJ11" s="759"/>
    </row>
    <row r="12" spans="2:36" ht="10.5" customHeight="1">
      <c r="B12" s="749"/>
      <c r="C12" s="762"/>
      <c r="D12" s="763"/>
      <c r="E12" s="763"/>
      <c r="F12" s="763"/>
      <c r="G12" s="763"/>
      <c r="H12" s="763"/>
      <c r="I12" s="763"/>
      <c r="J12" s="763"/>
      <c r="K12" s="763"/>
      <c r="L12" s="763"/>
      <c r="M12" s="763"/>
      <c r="N12" s="763"/>
      <c r="O12" s="763"/>
      <c r="P12" s="763"/>
      <c r="Q12" s="763"/>
      <c r="R12" s="763"/>
      <c r="S12" s="763"/>
      <c r="T12" s="763"/>
      <c r="U12" s="763"/>
      <c r="V12" s="763"/>
      <c r="W12" s="764"/>
      <c r="X12" s="750"/>
      <c r="AG12" s="759"/>
      <c r="AH12" s="759"/>
      <c r="AJ12" s="759"/>
    </row>
    <row r="13" spans="2:36">
      <c r="B13" s="749"/>
      <c r="C13" s="751"/>
      <c r="D13" s="751"/>
      <c r="E13" s="751"/>
      <c r="F13" s="751"/>
      <c r="G13" s="751"/>
      <c r="H13" s="751"/>
      <c r="I13" s="751"/>
      <c r="J13" s="751"/>
      <c r="K13" s="751"/>
      <c r="L13" s="751"/>
      <c r="M13" s="751"/>
      <c r="N13" s="751"/>
      <c r="O13" s="751"/>
      <c r="P13" s="751"/>
      <c r="Q13" s="751"/>
      <c r="R13" s="751"/>
      <c r="S13" s="751"/>
      <c r="T13" s="751"/>
      <c r="U13" s="751"/>
      <c r="V13" s="751"/>
      <c r="W13" s="751"/>
      <c r="X13" s="750"/>
      <c r="AG13" s="759"/>
      <c r="AH13" s="759"/>
      <c r="AJ13" s="759"/>
    </row>
    <row r="14" spans="2:36" ht="22">
      <c r="B14" s="749"/>
      <c r="C14" s="775" t="s">
        <v>160</v>
      </c>
      <c r="D14" s="751"/>
      <c r="E14" s="983"/>
      <c r="F14" s="983"/>
      <c r="G14" s="983"/>
      <c r="H14" s="983"/>
      <c r="I14" s="983"/>
      <c r="J14" s="983"/>
      <c r="K14" s="983"/>
      <c r="L14" s="983"/>
      <c r="M14" s="983"/>
      <c r="N14" s="983"/>
      <c r="O14" s="983"/>
      <c r="P14" s="983"/>
      <c r="Q14" s="983"/>
      <c r="R14" s="983"/>
      <c r="S14" s="983"/>
      <c r="T14" s="983"/>
      <c r="U14" s="983"/>
      <c r="V14" s="983"/>
      <c r="W14" s="751"/>
      <c r="X14" s="750"/>
      <c r="AG14" s="759"/>
      <c r="AH14" s="759"/>
      <c r="AJ14" s="759"/>
    </row>
    <row r="15" spans="2:36" ht="52.5" customHeight="1">
      <c r="B15" s="749"/>
      <c r="C15" s="1496" t="s">
        <v>7884</v>
      </c>
      <c r="D15" s="1496"/>
      <c r="E15" s="1496"/>
      <c r="F15" s="1496"/>
      <c r="G15" s="1496"/>
      <c r="H15" s="1496"/>
      <c r="I15" s="1496"/>
      <c r="J15" s="1496"/>
      <c r="K15" s="1496"/>
      <c r="L15" s="1496"/>
      <c r="M15" s="1496"/>
      <c r="N15" s="1496"/>
      <c r="O15" s="1496"/>
      <c r="P15" s="1496"/>
      <c r="Q15" s="1496"/>
      <c r="R15" s="1496"/>
      <c r="S15" s="1496"/>
      <c r="T15" s="1496"/>
      <c r="U15" s="1496"/>
      <c r="V15" s="983"/>
      <c r="W15" s="751"/>
      <c r="X15" s="750"/>
      <c r="AG15" s="759"/>
      <c r="AH15" s="759"/>
      <c r="AJ15" s="759"/>
    </row>
    <row r="16" spans="2:36" ht="5.25" customHeight="1">
      <c r="B16" s="749"/>
      <c r="C16" s="751"/>
      <c r="D16" s="751"/>
      <c r="E16" s="751"/>
      <c r="F16" s="751"/>
      <c r="G16" s="751"/>
      <c r="H16" s="751"/>
      <c r="I16" s="751"/>
      <c r="J16" s="751"/>
      <c r="K16" s="751"/>
      <c r="L16" s="751"/>
      <c r="M16" s="751"/>
      <c r="N16" s="751"/>
      <c r="O16" s="751"/>
      <c r="P16" s="751"/>
      <c r="Q16" s="751"/>
      <c r="R16" s="751"/>
      <c r="S16" s="751"/>
      <c r="T16" s="751"/>
      <c r="U16" s="751"/>
      <c r="V16" s="1280"/>
      <c r="W16" s="985"/>
      <c r="X16" s="750"/>
      <c r="AG16" s="759"/>
      <c r="AH16" s="759"/>
      <c r="AJ16" s="759"/>
    </row>
    <row r="17" spans="2:36">
      <c r="B17" s="765"/>
      <c r="C17" s="766"/>
      <c r="D17" s="766"/>
      <c r="E17" s="766"/>
      <c r="F17" s="766"/>
      <c r="G17" s="766"/>
      <c r="H17" s="766"/>
      <c r="I17" s="766"/>
      <c r="J17" s="766"/>
      <c r="K17" s="766"/>
      <c r="L17" s="766"/>
      <c r="M17" s="766"/>
      <c r="N17" s="766"/>
      <c r="O17" s="766"/>
      <c r="P17" s="766"/>
      <c r="Q17" s="766"/>
      <c r="R17" s="766"/>
      <c r="S17" s="766"/>
      <c r="T17" s="766"/>
      <c r="U17" s="766"/>
      <c r="V17" s="766"/>
      <c r="W17" s="794" t="str">
        <f>ML_CALC_VERSION</f>
        <v>HL_Calc_V54_250405</v>
      </c>
      <c r="X17" s="767"/>
      <c r="AG17" s="759"/>
      <c r="AH17" s="759"/>
      <c r="AJ17" s="759"/>
    </row>
    <row r="18" spans="2:36">
      <c r="AG18" s="759"/>
      <c r="AH18" s="759"/>
      <c r="AJ18" s="759"/>
    </row>
    <row r="19" spans="2:36">
      <c r="AG19" s="759"/>
      <c r="AH19" s="759"/>
      <c r="AJ19" s="759"/>
    </row>
    <row r="20" spans="2:36">
      <c r="AG20" s="759"/>
      <c r="AH20" s="759"/>
      <c r="AJ20" s="759"/>
    </row>
    <row r="21" spans="2:36">
      <c r="L21" s="768"/>
      <c r="R21" s="769"/>
      <c r="AG21" s="759"/>
      <c r="AH21" s="759"/>
      <c r="AJ21" s="759"/>
    </row>
    <row r="22" spans="2:36">
      <c r="L22" s="768"/>
      <c r="AG22" s="759"/>
      <c r="AH22" s="759"/>
      <c r="AJ22" s="759"/>
    </row>
    <row r="23" spans="2:36">
      <c r="L23" s="768"/>
      <c r="AG23" s="759"/>
      <c r="AH23" s="759"/>
      <c r="AJ23" s="759"/>
    </row>
    <row r="24" spans="2:36">
      <c r="L24" s="768"/>
      <c r="R24" s="768"/>
      <c r="AG24" s="759"/>
      <c r="AH24" s="759"/>
      <c r="AJ24" s="759"/>
    </row>
    <row r="25" spans="2:36">
      <c r="F25" s="770"/>
      <c r="L25" s="768"/>
      <c r="P25" s="768"/>
      <c r="R25" s="768"/>
      <c r="AG25" s="759"/>
      <c r="AH25" s="759"/>
      <c r="AJ25" s="759"/>
    </row>
    <row r="26" spans="2:36">
      <c r="P26" s="768"/>
      <c r="R26" s="771"/>
      <c r="AG26" s="759"/>
      <c r="AH26" s="759"/>
      <c r="AJ26" s="759"/>
    </row>
    <row r="27" spans="2:36">
      <c r="P27" s="768"/>
      <c r="R27" s="771"/>
      <c r="AG27" s="759"/>
      <c r="AH27" s="759"/>
      <c r="AJ27" s="759"/>
    </row>
    <row r="28" spans="2:36">
      <c r="AG28" s="759"/>
      <c r="AH28" s="759"/>
      <c r="AJ28" s="759"/>
    </row>
    <row r="29" spans="2:36">
      <c r="AG29" s="759"/>
      <c r="AH29" s="759"/>
      <c r="AJ29" s="759"/>
    </row>
    <row r="30" spans="2:36">
      <c r="AG30" s="759"/>
      <c r="AH30" s="759"/>
      <c r="AJ30" s="759"/>
    </row>
    <row r="31" spans="2:36">
      <c r="AG31" s="759"/>
      <c r="AH31" s="759"/>
      <c r="AJ31" s="759"/>
    </row>
    <row r="32" spans="2:36">
      <c r="AG32" s="759"/>
      <c r="AH32" s="759"/>
      <c r="AJ32" s="759"/>
    </row>
    <row r="33" spans="33:36">
      <c r="AG33" s="759"/>
      <c r="AH33" s="759"/>
      <c r="AJ33" s="759"/>
    </row>
    <row r="34" spans="33:36">
      <c r="AG34" s="759"/>
      <c r="AH34" s="759"/>
      <c r="AJ34" s="759"/>
    </row>
    <row r="35" spans="33:36">
      <c r="AG35" s="759"/>
      <c r="AH35" s="759"/>
      <c r="AJ35" s="759"/>
    </row>
    <row r="36" spans="33:36">
      <c r="AG36" s="759"/>
      <c r="AH36" s="759"/>
      <c r="AJ36" s="759"/>
    </row>
    <row r="37" spans="33:36">
      <c r="AG37" s="759"/>
      <c r="AH37" s="759"/>
      <c r="AJ37" s="759"/>
    </row>
    <row r="38" spans="33:36">
      <c r="AG38" s="759"/>
      <c r="AH38" s="759"/>
      <c r="AJ38" s="759"/>
    </row>
    <row r="39" spans="33:36">
      <c r="AG39" s="759"/>
      <c r="AH39" s="759"/>
      <c r="AJ39" s="759"/>
    </row>
    <row r="40" spans="33:36">
      <c r="AG40" s="759"/>
      <c r="AH40" s="759"/>
      <c r="AJ40" s="759"/>
    </row>
    <row r="41" spans="33:36">
      <c r="AG41" s="759"/>
      <c r="AH41" s="759"/>
      <c r="AJ41" s="759"/>
    </row>
    <row r="42" spans="33:36">
      <c r="AG42" s="759"/>
      <c r="AH42" s="759"/>
      <c r="AJ42" s="759"/>
    </row>
    <row r="43" spans="33:36">
      <c r="AG43" s="759"/>
      <c r="AH43" s="759"/>
      <c r="AJ43" s="759"/>
    </row>
    <row r="44" spans="33:36">
      <c r="AG44" s="759"/>
      <c r="AH44" s="759"/>
      <c r="AJ44" s="759"/>
    </row>
    <row r="45" spans="33:36">
      <c r="AG45" s="759"/>
      <c r="AH45" s="759"/>
      <c r="AJ45" s="759"/>
    </row>
    <row r="46" spans="33:36">
      <c r="AG46" s="759"/>
      <c r="AH46" s="759"/>
      <c r="AJ46" s="759"/>
    </row>
    <row r="47" spans="33:36">
      <c r="AG47" s="759"/>
      <c r="AH47" s="759"/>
      <c r="AJ47" s="759"/>
    </row>
    <row r="48" spans="33:36">
      <c r="AG48" s="759"/>
      <c r="AH48" s="759"/>
      <c r="AJ48" s="759"/>
    </row>
    <row r="49" spans="33:36">
      <c r="AG49" s="759"/>
      <c r="AH49" s="759"/>
      <c r="AJ49" s="759"/>
    </row>
    <row r="50" spans="33:36">
      <c r="AG50" s="759"/>
      <c r="AH50" s="759"/>
      <c r="AJ50" s="759"/>
    </row>
    <row r="51" spans="33:36">
      <c r="AG51" s="759"/>
      <c r="AH51" s="759"/>
      <c r="AJ51" s="759"/>
    </row>
    <row r="52" spans="33:36">
      <c r="AG52" s="759"/>
      <c r="AH52" s="759"/>
      <c r="AJ52" s="759"/>
    </row>
    <row r="53" spans="33:36">
      <c r="AG53" s="759"/>
      <c r="AH53" s="759"/>
      <c r="AJ53" s="759"/>
    </row>
    <row r="54" spans="33:36">
      <c r="AG54" s="759"/>
      <c r="AH54" s="759"/>
      <c r="AJ54" s="759"/>
    </row>
    <row r="55" spans="33:36">
      <c r="AG55" s="759"/>
      <c r="AH55" s="759"/>
      <c r="AJ55" s="759"/>
    </row>
    <row r="56" spans="33:36">
      <c r="AG56" s="759"/>
      <c r="AH56" s="759"/>
      <c r="AJ56" s="759"/>
    </row>
    <row r="57" spans="33:36">
      <c r="AG57" s="759"/>
      <c r="AH57" s="759"/>
      <c r="AJ57" s="759"/>
    </row>
    <row r="58" spans="33:36">
      <c r="AG58" s="759"/>
      <c r="AH58" s="759"/>
      <c r="AJ58" s="759"/>
    </row>
    <row r="59" spans="33:36">
      <c r="AG59" s="759"/>
      <c r="AH59" s="759"/>
      <c r="AJ59" s="759"/>
    </row>
    <row r="60" spans="33:36">
      <c r="AG60" s="759"/>
      <c r="AH60" s="759"/>
      <c r="AJ60" s="759"/>
    </row>
    <row r="61" spans="33:36">
      <c r="AG61" s="759"/>
      <c r="AH61" s="759"/>
      <c r="AJ61" s="759"/>
    </row>
    <row r="62" spans="33:36">
      <c r="AG62" s="759"/>
      <c r="AH62" s="759"/>
      <c r="AJ62" s="759"/>
    </row>
    <row r="63" spans="33:36">
      <c r="AG63" s="759"/>
      <c r="AH63" s="759"/>
      <c r="AJ63" s="759"/>
    </row>
    <row r="64" spans="33:36">
      <c r="AG64" s="759"/>
      <c r="AH64" s="759"/>
      <c r="AJ64" s="759"/>
    </row>
    <row r="65" spans="33:36">
      <c r="AG65" s="759"/>
      <c r="AH65" s="759"/>
      <c r="AJ65" s="759"/>
    </row>
    <row r="66" spans="33:36">
      <c r="AG66" s="759"/>
      <c r="AH66" s="759"/>
      <c r="AJ66" s="759"/>
    </row>
    <row r="67" spans="33:36">
      <c r="AG67" s="759"/>
      <c r="AH67" s="759"/>
      <c r="AJ67" s="759"/>
    </row>
    <row r="68" spans="33:36">
      <c r="AG68" s="759"/>
      <c r="AH68" s="759"/>
      <c r="AJ68" s="759"/>
    </row>
    <row r="69" spans="33:36">
      <c r="AG69" s="759"/>
      <c r="AH69" s="759"/>
      <c r="AJ69" s="759"/>
    </row>
    <row r="70" spans="33:36">
      <c r="AG70" s="759"/>
      <c r="AH70" s="759"/>
      <c r="AJ70" s="759"/>
    </row>
    <row r="71" spans="33:36">
      <c r="AG71" s="759"/>
      <c r="AH71" s="759"/>
      <c r="AJ71" s="759"/>
    </row>
    <row r="72" spans="33:36">
      <c r="AG72" s="759"/>
      <c r="AH72" s="759"/>
      <c r="AJ72" s="759"/>
    </row>
    <row r="73" spans="33:36">
      <c r="AG73" s="759"/>
      <c r="AH73" s="759"/>
      <c r="AJ73" s="759"/>
    </row>
    <row r="74" spans="33:36">
      <c r="AG74" s="759"/>
      <c r="AH74" s="759"/>
      <c r="AJ74" s="759"/>
    </row>
    <row r="75" spans="33:36">
      <c r="AG75" s="759"/>
      <c r="AH75" s="759"/>
      <c r="AJ75" s="759"/>
    </row>
    <row r="76" spans="33:36">
      <c r="AG76" s="759"/>
      <c r="AH76" s="759"/>
      <c r="AJ76" s="759"/>
    </row>
    <row r="77" spans="33:36">
      <c r="AG77" s="759"/>
      <c r="AH77" s="759"/>
      <c r="AJ77" s="759"/>
    </row>
    <row r="78" spans="33:36">
      <c r="AG78" s="759"/>
      <c r="AH78" s="759"/>
      <c r="AJ78" s="759"/>
    </row>
    <row r="79" spans="33:36">
      <c r="AG79" s="759"/>
      <c r="AH79" s="759"/>
      <c r="AJ79" s="759"/>
    </row>
    <row r="80" spans="33:36">
      <c r="AG80" s="759"/>
      <c r="AH80" s="759"/>
      <c r="AJ80" s="759"/>
    </row>
    <row r="81" spans="33:36">
      <c r="AG81" s="759"/>
      <c r="AH81" s="759"/>
      <c r="AJ81" s="759"/>
    </row>
    <row r="82" spans="33:36">
      <c r="AG82" s="759"/>
      <c r="AH82" s="759"/>
      <c r="AJ82" s="759"/>
    </row>
    <row r="83" spans="33:36">
      <c r="AG83" s="759"/>
      <c r="AH83" s="759"/>
      <c r="AJ83" s="759"/>
    </row>
    <row r="84" spans="33:36">
      <c r="AG84" s="759"/>
      <c r="AH84" s="759"/>
      <c r="AJ84" s="759"/>
    </row>
    <row r="85" spans="33:36">
      <c r="AG85" s="759"/>
      <c r="AH85" s="759"/>
      <c r="AJ85" s="759"/>
    </row>
    <row r="86" spans="33:36">
      <c r="AG86" s="759"/>
      <c r="AH86" s="759"/>
      <c r="AJ86" s="759"/>
    </row>
    <row r="87" spans="33:36">
      <c r="AG87" s="759"/>
      <c r="AH87" s="759"/>
      <c r="AJ87" s="759"/>
    </row>
    <row r="88" spans="33:36">
      <c r="AG88" s="759"/>
      <c r="AH88" s="759"/>
    </row>
    <row r="89" spans="33:36">
      <c r="AG89" s="759"/>
      <c r="AH89" s="759"/>
    </row>
    <row r="90" spans="33:36">
      <c r="AG90" s="759"/>
      <c r="AH90" s="759"/>
    </row>
    <row r="91" spans="33:36">
      <c r="AG91" s="759"/>
      <c r="AH91" s="759"/>
    </row>
    <row r="92" spans="33:36">
      <c r="AG92" s="759"/>
      <c r="AH92" s="759"/>
    </row>
    <row r="93" spans="33:36">
      <c r="AG93" s="759"/>
      <c r="AH93" s="759"/>
    </row>
    <row r="94" spans="33:36">
      <c r="AG94" s="759"/>
      <c r="AH94" s="759"/>
    </row>
    <row r="95" spans="33:36">
      <c r="AG95" s="759"/>
      <c r="AH95" s="759"/>
    </row>
    <row r="96" spans="33:36">
      <c r="AG96" s="759"/>
      <c r="AH96" s="759"/>
    </row>
    <row r="97" spans="33:34">
      <c r="AG97" s="759"/>
      <c r="AH97" s="759"/>
    </row>
    <row r="98" spans="33:34">
      <c r="AG98" s="759"/>
      <c r="AH98" s="759"/>
    </row>
    <row r="99" spans="33:34">
      <c r="AG99" s="759"/>
      <c r="AH99" s="759"/>
    </row>
    <row r="100" spans="33:34">
      <c r="AG100" s="759"/>
      <c r="AH100" s="759"/>
    </row>
    <row r="101" spans="33:34">
      <c r="AG101" s="759"/>
      <c r="AH101" s="759"/>
    </row>
    <row r="102" spans="33:34">
      <c r="AG102" s="759"/>
      <c r="AH102" s="759"/>
    </row>
    <row r="103" spans="33:34">
      <c r="AG103" s="759"/>
      <c r="AH103" s="759"/>
    </row>
    <row r="104" spans="33:34">
      <c r="AG104" s="759"/>
      <c r="AH104" s="759"/>
    </row>
    <row r="105" spans="33:34">
      <c r="AG105" s="759"/>
      <c r="AH105" s="759"/>
    </row>
    <row r="106" spans="33:34">
      <c r="AG106" s="759"/>
      <c r="AH106" s="759"/>
    </row>
    <row r="107" spans="33:34">
      <c r="AG107" s="759"/>
      <c r="AH107" s="759"/>
    </row>
    <row r="108" spans="33:34">
      <c r="AG108" s="759"/>
      <c r="AH108" s="759"/>
    </row>
    <row r="109" spans="33:34">
      <c r="AG109" s="759"/>
      <c r="AH109" s="759"/>
    </row>
    <row r="110" spans="33:34">
      <c r="AG110" s="759"/>
      <c r="AH110" s="759"/>
    </row>
    <row r="111" spans="33:34">
      <c r="AG111" s="759"/>
      <c r="AH111" s="759"/>
    </row>
    <row r="112" spans="33:34">
      <c r="AG112" s="759"/>
      <c r="AH112" s="759"/>
    </row>
    <row r="113" spans="33:42">
      <c r="AG113" s="759"/>
      <c r="AH113" s="759"/>
    </row>
    <row r="114" spans="33:42">
      <c r="AG114" s="759"/>
      <c r="AH114" s="759"/>
    </row>
    <row r="115" spans="33:42">
      <c r="AG115" s="759"/>
      <c r="AH115" s="759"/>
    </row>
    <row r="116" spans="33:42">
      <c r="AG116" s="759"/>
      <c r="AH116" s="759"/>
    </row>
    <row r="117" spans="33:42">
      <c r="AG117" s="759"/>
      <c r="AH117" s="759"/>
    </row>
    <row r="118" spans="33:42">
      <c r="AG118" s="759"/>
      <c r="AH118" s="759"/>
    </row>
    <row r="119" spans="33:42">
      <c r="AG119" s="759"/>
      <c r="AH119" s="759"/>
    </row>
    <row r="120" spans="33:42">
      <c r="AG120" s="759"/>
      <c r="AH120" s="759"/>
      <c r="AN120" s="745">
        <v>443980.55675444897</v>
      </c>
      <c r="AP120" s="745" t="b">
        <v>0</v>
      </c>
    </row>
    <row r="121" spans="33:42">
      <c r="AG121" s="759"/>
      <c r="AH121" s="759"/>
      <c r="AN121" s="745">
        <v>0</v>
      </c>
      <c r="AP121" s="745" t="b">
        <v>0</v>
      </c>
    </row>
    <row r="122" spans="33:42">
      <c r="AG122" s="759"/>
      <c r="AH122" s="759"/>
    </row>
    <row r="123" spans="33:42">
      <c r="AG123" s="759"/>
      <c r="AH123" s="759"/>
    </row>
    <row r="124" spans="33:42">
      <c r="AG124" s="759"/>
      <c r="AH124" s="759"/>
    </row>
    <row r="125" spans="33:42">
      <c r="AG125" s="759"/>
      <c r="AH125" s="759"/>
      <c r="AN125" s="745">
        <v>0</v>
      </c>
      <c r="AP125" s="745" t="b">
        <v>1</v>
      </c>
    </row>
    <row r="126" spans="33:42">
      <c r="AG126" s="759"/>
      <c r="AH126" s="759"/>
      <c r="AN126" s="745">
        <v>0</v>
      </c>
      <c r="AP126" s="745" t="b">
        <v>0</v>
      </c>
    </row>
    <row r="127" spans="33:42">
      <c r="AG127" s="759"/>
      <c r="AH127" s="759"/>
    </row>
    <row r="128" spans="33:42">
      <c r="AG128" s="759"/>
      <c r="AH128" s="759"/>
    </row>
    <row r="129" spans="33:42">
      <c r="AG129" s="759"/>
      <c r="AH129" s="759"/>
    </row>
    <row r="130" spans="33:42">
      <c r="AG130" s="759"/>
      <c r="AH130" s="759"/>
      <c r="AN130" s="745">
        <v>333663.40171675902</v>
      </c>
      <c r="AP130" s="745" t="b">
        <v>1</v>
      </c>
    </row>
    <row r="131" spans="33:42">
      <c r="AG131" s="759"/>
      <c r="AH131" s="759"/>
      <c r="AN131" s="745">
        <v>188098.667590486</v>
      </c>
      <c r="AP131" s="745" t="b">
        <v>0</v>
      </c>
    </row>
    <row r="132" spans="33:42">
      <c r="AG132" s="759"/>
      <c r="AH132" s="759"/>
    </row>
    <row r="133" spans="33:42">
      <c r="AG133" s="759"/>
      <c r="AH133" s="759"/>
    </row>
    <row r="134" spans="33:42">
      <c r="AG134" s="759"/>
      <c r="AH134" s="759"/>
    </row>
    <row r="135" spans="33:42">
      <c r="AG135" s="759"/>
      <c r="AH135" s="759"/>
    </row>
    <row r="136" spans="33:42">
      <c r="AG136" s="759"/>
      <c r="AH136" s="759"/>
    </row>
    <row r="137" spans="33:42">
      <c r="AG137" s="759"/>
      <c r="AH137" s="759"/>
    </row>
    <row r="138" spans="33:42">
      <c r="AG138" s="759"/>
      <c r="AH138" s="759"/>
      <c r="AN138" s="745">
        <v>0</v>
      </c>
      <c r="AP138" s="745" t="b">
        <v>1</v>
      </c>
    </row>
    <row r="139" spans="33:42">
      <c r="AG139" s="759"/>
      <c r="AH139" s="759"/>
      <c r="AN139" s="745">
        <v>0</v>
      </c>
      <c r="AP139" s="745" t="b">
        <v>1</v>
      </c>
    </row>
    <row r="140" spans="33:42">
      <c r="AG140" s="759"/>
      <c r="AH140" s="759"/>
    </row>
    <row r="141" spans="33:42">
      <c r="AG141" s="759"/>
      <c r="AH141" s="759"/>
    </row>
    <row r="142" spans="33:42">
      <c r="AG142" s="759"/>
      <c r="AH142" s="759"/>
    </row>
    <row r="143" spans="33:42">
      <c r="AG143" s="759"/>
      <c r="AH143" s="759"/>
    </row>
    <row r="144" spans="33:42">
      <c r="AG144" s="759"/>
      <c r="AH144" s="759"/>
    </row>
    <row r="145" spans="33:42">
      <c r="AG145" s="759"/>
      <c r="AH145" s="759"/>
    </row>
    <row r="146" spans="33:42">
      <c r="AG146" s="759"/>
      <c r="AH146" s="759"/>
    </row>
    <row r="147" spans="33:42">
      <c r="AG147" s="759"/>
      <c r="AH147" s="759"/>
    </row>
    <row r="148" spans="33:42">
      <c r="AG148" s="759"/>
      <c r="AH148" s="759"/>
    </row>
    <row r="149" spans="33:42">
      <c r="AG149" s="759"/>
      <c r="AH149" s="759"/>
    </row>
    <row r="150" spans="33:42">
      <c r="AG150" s="759"/>
      <c r="AH150" s="759"/>
      <c r="AN150" s="745">
        <v>1565874.4767638801</v>
      </c>
      <c r="AP150" s="745" t="b">
        <v>0</v>
      </c>
    </row>
    <row r="151" spans="33:42">
      <c r="AG151" s="759"/>
      <c r="AH151" s="759"/>
    </row>
    <row r="152" spans="33:42">
      <c r="AG152" s="759"/>
      <c r="AH152" s="759"/>
    </row>
    <row r="153" spans="33:42">
      <c r="AG153" s="759"/>
      <c r="AH153" s="759"/>
    </row>
    <row r="154" spans="33:42">
      <c r="AG154" s="759"/>
      <c r="AH154" s="759"/>
    </row>
    <row r="155" spans="33:42">
      <c r="AG155" s="759"/>
      <c r="AH155" s="759"/>
    </row>
    <row r="156" spans="33:42">
      <c r="AG156" s="759"/>
      <c r="AH156" s="759"/>
    </row>
    <row r="157" spans="33:42">
      <c r="AG157" s="759"/>
      <c r="AH157" s="759"/>
    </row>
    <row r="158" spans="33:42">
      <c r="AG158" s="759"/>
      <c r="AH158" s="759"/>
    </row>
    <row r="159" spans="33:42">
      <c r="AG159" s="759"/>
      <c r="AH159" s="759"/>
    </row>
    <row r="160" spans="33:42">
      <c r="AG160" s="759"/>
      <c r="AH160" s="759"/>
    </row>
    <row r="161" spans="33:42">
      <c r="AG161" s="759"/>
      <c r="AH161" s="759"/>
    </row>
    <row r="162" spans="33:42">
      <c r="AG162" s="759"/>
      <c r="AH162" s="759"/>
    </row>
    <row r="163" spans="33:42">
      <c r="AG163" s="759"/>
      <c r="AH163" s="759"/>
    </row>
    <row r="164" spans="33:42">
      <c r="AG164" s="759"/>
      <c r="AH164" s="759"/>
    </row>
    <row r="165" spans="33:42">
      <c r="AG165" s="759"/>
      <c r="AH165" s="759"/>
      <c r="AN165" s="745">
        <v>0</v>
      </c>
      <c r="AP165" s="745" t="b">
        <v>1</v>
      </c>
    </row>
    <row r="166" spans="33:42">
      <c r="AG166" s="759"/>
      <c r="AH166" s="759"/>
    </row>
    <row r="167" spans="33:42">
      <c r="AG167" s="759"/>
      <c r="AH167" s="759"/>
    </row>
    <row r="168" spans="33:42">
      <c r="AG168" s="759"/>
      <c r="AH168" s="759"/>
    </row>
    <row r="169" spans="33:42">
      <c r="AG169" s="759"/>
      <c r="AH169" s="759"/>
    </row>
    <row r="170" spans="33:42">
      <c r="AG170" s="759"/>
      <c r="AH170" s="759"/>
    </row>
    <row r="171" spans="33:42">
      <c r="AG171" s="759"/>
      <c r="AH171" s="759"/>
    </row>
    <row r="172" spans="33:42">
      <c r="AG172" s="759"/>
      <c r="AH172" s="759"/>
    </row>
    <row r="173" spans="33:42">
      <c r="AG173" s="759"/>
      <c r="AH173" s="759"/>
    </row>
    <row r="174" spans="33:42">
      <c r="AG174" s="759"/>
      <c r="AH174" s="759"/>
    </row>
    <row r="175" spans="33:42">
      <c r="AG175" s="759"/>
      <c r="AH175" s="759"/>
    </row>
    <row r="176" spans="33:42">
      <c r="AG176" s="759"/>
      <c r="AH176" s="759"/>
      <c r="AN176" s="745">
        <v>2170053.5048541999</v>
      </c>
      <c r="AP176" s="745" t="b">
        <v>1</v>
      </c>
    </row>
    <row r="177" spans="33:34">
      <c r="AG177" s="759"/>
      <c r="AH177" s="759"/>
    </row>
    <row r="178" spans="33:34">
      <c r="AG178" s="759"/>
      <c r="AH178" s="759"/>
    </row>
    <row r="179" spans="33:34">
      <c r="AG179" s="759"/>
      <c r="AH179" s="759"/>
    </row>
    <row r="180" spans="33:34">
      <c r="AG180" s="759"/>
      <c r="AH180" s="759"/>
    </row>
    <row r="181" spans="33:34">
      <c r="AG181" s="759"/>
      <c r="AH181" s="759"/>
    </row>
    <row r="182" spans="33:34">
      <c r="AG182" s="759"/>
      <c r="AH182" s="759"/>
    </row>
    <row r="183" spans="33:34">
      <c r="AG183" s="759"/>
      <c r="AH183" s="759"/>
    </row>
    <row r="184" spans="33:34">
      <c r="AG184" s="759"/>
      <c r="AH184" s="759"/>
    </row>
    <row r="185" spans="33:34">
      <c r="AG185" s="759"/>
      <c r="AH185" s="759"/>
    </row>
    <row r="186" spans="33:34">
      <c r="AG186" s="759"/>
      <c r="AH186" s="759"/>
    </row>
    <row r="187" spans="33:34">
      <c r="AG187" s="759"/>
      <c r="AH187" s="759"/>
    </row>
    <row r="188" spans="33:34">
      <c r="AG188" s="759"/>
      <c r="AH188" s="759"/>
    </row>
    <row r="189" spans="33:34">
      <c r="AG189" s="759"/>
      <c r="AH189" s="759"/>
    </row>
    <row r="190" spans="33:34">
      <c r="AG190" s="759"/>
      <c r="AH190" s="759"/>
    </row>
    <row r="191" spans="33:34">
      <c r="AG191" s="759"/>
      <c r="AH191" s="759"/>
    </row>
    <row r="192" spans="33:34">
      <c r="AG192" s="759"/>
      <c r="AH192" s="759"/>
    </row>
    <row r="193" spans="33:34">
      <c r="AG193" s="759"/>
      <c r="AH193" s="759"/>
    </row>
    <row r="194" spans="33:34">
      <c r="AG194" s="759"/>
      <c r="AH194" s="759"/>
    </row>
    <row r="195" spans="33:34">
      <c r="AG195" s="759"/>
      <c r="AH195" s="759"/>
    </row>
    <row r="196" spans="33:34">
      <c r="AG196" s="759"/>
      <c r="AH196" s="759"/>
    </row>
    <row r="197" spans="33:34">
      <c r="AG197" s="759"/>
      <c r="AH197" s="759"/>
    </row>
    <row r="198" spans="33:34">
      <c r="AG198" s="759"/>
      <c r="AH198" s="759"/>
    </row>
    <row r="199" spans="33:34">
      <c r="AG199" s="759"/>
      <c r="AH199" s="759"/>
    </row>
    <row r="200" spans="33:34">
      <c r="AG200" s="759"/>
      <c r="AH200" s="759"/>
    </row>
    <row r="201" spans="33:34">
      <c r="AG201" s="759"/>
      <c r="AH201" s="759"/>
    </row>
    <row r="202" spans="33:34">
      <c r="AG202" s="759"/>
      <c r="AH202" s="759"/>
    </row>
    <row r="203" spans="33:34">
      <c r="AG203" s="759"/>
      <c r="AH203" s="759"/>
    </row>
    <row r="204" spans="33:34">
      <c r="AG204" s="759"/>
      <c r="AH204" s="759"/>
    </row>
    <row r="205" spans="33:34">
      <c r="AG205" s="759"/>
      <c r="AH205" s="759"/>
    </row>
    <row r="206" spans="33:34">
      <c r="AG206" s="759"/>
      <c r="AH206" s="759"/>
    </row>
    <row r="207" spans="33:34">
      <c r="AG207" s="759"/>
      <c r="AH207" s="759"/>
    </row>
    <row r="208" spans="33:34">
      <c r="AG208" s="759"/>
      <c r="AH208" s="759"/>
    </row>
    <row r="209" spans="33:34">
      <c r="AG209" s="759"/>
      <c r="AH209" s="759"/>
    </row>
    <row r="210" spans="33:34">
      <c r="AG210" s="759"/>
      <c r="AH210" s="759"/>
    </row>
    <row r="211" spans="33:34">
      <c r="AG211" s="759"/>
      <c r="AH211" s="759"/>
    </row>
    <row r="212" spans="33:34">
      <c r="AG212" s="759"/>
      <c r="AH212" s="759"/>
    </row>
    <row r="213" spans="33:34">
      <c r="AG213" s="759"/>
      <c r="AH213" s="759"/>
    </row>
    <row r="214" spans="33:34">
      <c r="AG214" s="759"/>
      <c r="AH214" s="759"/>
    </row>
    <row r="215" spans="33:34">
      <c r="AG215" s="759"/>
      <c r="AH215" s="759"/>
    </row>
    <row r="216" spans="33:34">
      <c r="AG216" s="759"/>
      <c r="AH216" s="759"/>
    </row>
    <row r="217" spans="33:34">
      <c r="AG217" s="759"/>
      <c r="AH217" s="759"/>
    </row>
    <row r="218" spans="33:34">
      <c r="AG218" s="759"/>
      <c r="AH218" s="759"/>
    </row>
    <row r="219" spans="33:34">
      <c r="AG219" s="759"/>
      <c r="AH219" s="759"/>
    </row>
    <row r="220" spans="33:34">
      <c r="AG220" s="759"/>
      <c r="AH220" s="759"/>
    </row>
    <row r="221" spans="33:34">
      <c r="AG221" s="759"/>
      <c r="AH221" s="759"/>
    </row>
    <row r="222" spans="33:34">
      <c r="AG222" s="759"/>
      <c r="AH222" s="759"/>
    </row>
    <row r="223" spans="33:34">
      <c r="AG223" s="759"/>
      <c r="AH223" s="759"/>
    </row>
    <row r="224" spans="33:34">
      <c r="AG224" s="759"/>
      <c r="AH224" s="759"/>
    </row>
    <row r="225" spans="33:34">
      <c r="AG225" s="759"/>
      <c r="AH225" s="759"/>
    </row>
    <row r="226" spans="33:34">
      <c r="AG226" s="759"/>
      <c r="AH226" s="759"/>
    </row>
    <row r="227" spans="33:34">
      <c r="AG227" s="759"/>
      <c r="AH227" s="759"/>
    </row>
    <row r="228" spans="33:34">
      <c r="AG228" s="759"/>
      <c r="AH228" s="759"/>
    </row>
    <row r="229" spans="33:34">
      <c r="AG229" s="759"/>
      <c r="AH229" s="759"/>
    </row>
    <row r="230" spans="33:34">
      <c r="AG230" s="759"/>
      <c r="AH230" s="759"/>
    </row>
    <row r="231" spans="33:34">
      <c r="AG231" s="759"/>
      <c r="AH231" s="759"/>
    </row>
    <row r="232" spans="33:34">
      <c r="AG232" s="759"/>
      <c r="AH232" s="759"/>
    </row>
    <row r="233" spans="33:34">
      <c r="AG233" s="759"/>
      <c r="AH233" s="759"/>
    </row>
    <row r="234" spans="33:34">
      <c r="AG234" s="759"/>
      <c r="AH234" s="759"/>
    </row>
    <row r="235" spans="33:34">
      <c r="AG235" s="759"/>
      <c r="AH235" s="759"/>
    </row>
    <row r="236" spans="33:34">
      <c r="AG236" s="759"/>
      <c r="AH236" s="759"/>
    </row>
    <row r="237" spans="33:34">
      <c r="AG237" s="759"/>
      <c r="AH237" s="759"/>
    </row>
    <row r="238" spans="33:34">
      <c r="AG238" s="759"/>
      <c r="AH238" s="759"/>
    </row>
    <row r="239" spans="33:34">
      <c r="AG239" s="759"/>
      <c r="AH239" s="759"/>
    </row>
    <row r="240" spans="33:34">
      <c r="AG240" s="759"/>
      <c r="AH240" s="759"/>
    </row>
    <row r="241" spans="33:34">
      <c r="AG241" s="759"/>
      <c r="AH241" s="759"/>
    </row>
    <row r="242" spans="33:34">
      <c r="AG242" s="759"/>
      <c r="AH242" s="759"/>
    </row>
    <row r="243" spans="33:34">
      <c r="AG243" s="759"/>
      <c r="AH243" s="759"/>
    </row>
    <row r="244" spans="33:34">
      <c r="AG244" s="759"/>
      <c r="AH244" s="759"/>
    </row>
    <row r="245" spans="33:34">
      <c r="AG245" s="759"/>
      <c r="AH245" s="759"/>
    </row>
    <row r="246" spans="33:34">
      <c r="AG246" s="759"/>
      <c r="AH246" s="759"/>
    </row>
    <row r="247" spans="33:34">
      <c r="AG247" s="759"/>
      <c r="AH247" s="759"/>
    </row>
    <row r="248" spans="33:34">
      <c r="AG248" s="759"/>
      <c r="AH248" s="759"/>
    </row>
    <row r="249" spans="33:34">
      <c r="AG249" s="759"/>
      <c r="AH249" s="759"/>
    </row>
    <row r="250" spans="33:34">
      <c r="AG250" s="759"/>
      <c r="AH250" s="759"/>
    </row>
    <row r="251" spans="33:34">
      <c r="AG251" s="759"/>
      <c r="AH251" s="759"/>
    </row>
    <row r="252" spans="33:34">
      <c r="AG252" s="759"/>
      <c r="AH252" s="759"/>
    </row>
    <row r="253" spans="33:34">
      <c r="AG253" s="759"/>
      <c r="AH253" s="759"/>
    </row>
    <row r="254" spans="33:34">
      <c r="AG254" s="759"/>
      <c r="AH254" s="759"/>
    </row>
    <row r="255" spans="33:34">
      <c r="AG255" s="759"/>
      <c r="AH255" s="759"/>
    </row>
    <row r="256" spans="33:34">
      <c r="AG256" s="759"/>
      <c r="AH256" s="759"/>
    </row>
    <row r="257" spans="33:34">
      <c r="AG257" s="759"/>
      <c r="AH257" s="759"/>
    </row>
    <row r="258" spans="33:34">
      <c r="AG258" s="759"/>
      <c r="AH258" s="759"/>
    </row>
    <row r="259" spans="33:34">
      <c r="AG259" s="759"/>
      <c r="AH259" s="759"/>
    </row>
    <row r="260" spans="33:34">
      <c r="AG260" s="759"/>
      <c r="AH260" s="759"/>
    </row>
    <row r="261" spans="33:34">
      <c r="AG261" s="759"/>
      <c r="AH261" s="759"/>
    </row>
    <row r="262" spans="33:34">
      <c r="AG262" s="759"/>
      <c r="AH262" s="759"/>
    </row>
    <row r="263" spans="33:34">
      <c r="AG263" s="759"/>
      <c r="AH263" s="759"/>
    </row>
    <row r="264" spans="33:34">
      <c r="AG264" s="759"/>
      <c r="AH264" s="759"/>
    </row>
    <row r="265" spans="33:34">
      <c r="AG265" s="759"/>
      <c r="AH265" s="759"/>
    </row>
    <row r="266" spans="33:34">
      <c r="AG266" s="759"/>
      <c r="AH266" s="759"/>
    </row>
    <row r="267" spans="33:34">
      <c r="AG267" s="759"/>
      <c r="AH267" s="759"/>
    </row>
    <row r="268" spans="33:34">
      <c r="AG268" s="759"/>
      <c r="AH268" s="759"/>
    </row>
    <row r="269" spans="33:34">
      <c r="AG269" s="759"/>
      <c r="AH269" s="759"/>
    </row>
    <row r="270" spans="33:34">
      <c r="AG270" s="759"/>
      <c r="AH270" s="759"/>
    </row>
    <row r="271" spans="33:34">
      <c r="AG271" s="759"/>
      <c r="AH271" s="759"/>
    </row>
    <row r="272" spans="33:34">
      <c r="AG272" s="759"/>
      <c r="AH272" s="759"/>
    </row>
    <row r="273" spans="33:34">
      <c r="AG273" s="759"/>
      <c r="AH273" s="759"/>
    </row>
    <row r="274" spans="33:34">
      <c r="AG274" s="759"/>
      <c r="AH274" s="759"/>
    </row>
    <row r="275" spans="33:34">
      <c r="AG275" s="759"/>
      <c r="AH275" s="759"/>
    </row>
    <row r="276" spans="33:34">
      <c r="AG276" s="759"/>
      <c r="AH276" s="759"/>
    </row>
    <row r="277" spans="33:34">
      <c r="AG277" s="759"/>
      <c r="AH277" s="759"/>
    </row>
    <row r="278" spans="33:34">
      <c r="AG278" s="759"/>
      <c r="AH278" s="759"/>
    </row>
    <row r="279" spans="33:34">
      <c r="AG279" s="759"/>
      <c r="AH279" s="759"/>
    </row>
    <row r="280" spans="33:34">
      <c r="AG280" s="759"/>
      <c r="AH280" s="759"/>
    </row>
    <row r="281" spans="33:34">
      <c r="AG281" s="759"/>
      <c r="AH281" s="759"/>
    </row>
    <row r="282" spans="33:34">
      <c r="AG282" s="759"/>
      <c r="AH282" s="759"/>
    </row>
    <row r="283" spans="33:34">
      <c r="AG283" s="759"/>
      <c r="AH283" s="759"/>
    </row>
    <row r="284" spans="33:34">
      <c r="AG284" s="759"/>
      <c r="AH284" s="759"/>
    </row>
    <row r="285" spans="33:34">
      <c r="AG285" s="759"/>
      <c r="AH285" s="759"/>
    </row>
    <row r="286" spans="33:34">
      <c r="AG286" s="759"/>
      <c r="AH286" s="759"/>
    </row>
    <row r="287" spans="33:34">
      <c r="AG287" s="759"/>
      <c r="AH287" s="759"/>
    </row>
    <row r="288" spans="33:34">
      <c r="AG288" s="759"/>
      <c r="AH288" s="759"/>
    </row>
    <row r="289" spans="33:34">
      <c r="AG289" s="759"/>
      <c r="AH289" s="759"/>
    </row>
    <row r="290" spans="33:34">
      <c r="AG290" s="759"/>
      <c r="AH290" s="759"/>
    </row>
    <row r="291" spans="33:34">
      <c r="AG291" s="759"/>
      <c r="AH291" s="759"/>
    </row>
    <row r="292" spans="33:34">
      <c r="AG292" s="759"/>
      <c r="AH292" s="759"/>
    </row>
    <row r="293" spans="33:34">
      <c r="AG293" s="759"/>
      <c r="AH293" s="759"/>
    </row>
    <row r="294" spans="33:34">
      <c r="AG294" s="759"/>
      <c r="AH294" s="759"/>
    </row>
    <row r="295" spans="33:34">
      <c r="AG295" s="759"/>
      <c r="AH295" s="759"/>
    </row>
    <row r="296" spans="33:34">
      <c r="AG296" s="759"/>
      <c r="AH296" s="759"/>
    </row>
    <row r="297" spans="33:34">
      <c r="AG297" s="759"/>
      <c r="AH297" s="759"/>
    </row>
    <row r="298" spans="33:34">
      <c r="AG298" s="759"/>
      <c r="AH298" s="759"/>
    </row>
    <row r="299" spans="33:34">
      <c r="AG299" s="759"/>
      <c r="AH299" s="759"/>
    </row>
    <row r="300" spans="33:34">
      <c r="AG300" s="759"/>
      <c r="AH300" s="759"/>
    </row>
    <row r="301" spans="33:34">
      <c r="AG301" s="759"/>
      <c r="AH301" s="759"/>
    </row>
    <row r="302" spans="33:34">
      <c r="AG302" s="759"/>
      <c r="AH302" s="759"/>
    </row>
    <row r="303" spans="33:34">
      <c r="AG303" s="759"/>
      <c r="AH303" s="759"/>
    </row>
    <row r="304" spans="33:34">
      <c r="AG304" s="759"/>
      <c r="AH304" s="759"/>
    </row>
    <row r="305" spans="33:34">
      <c r="AG305" s="759"/>
      <c r="AH305" s="759"/>
    </row>
    <row r="306" spans="33:34">
      <c r="AG306" s="759"/>
      <c r="AH306" s="759"/>
    </row>
    <row r="307" spans="33:34">
      <c r="AG307" s="759"/>
      <c r="AH307" s="759"/>
    </row>
    <row r="308" spans="33:34">
      <c r="AG308" s="759"/>
      <c r="AH308" s="759"/>
    </row>
    <row r="309" spans="33:34">
      <c r="AG309" s="759"/>
      <c r="AH309" s="759"/>
    </row>
    <row r="310" spans="33:34">
      <c r="AG310" s="759"/>
      <c r="AH310" s="759"/>
    </row>
    <row r="311" spans="33:34">
      <c r="AG311" s="759"/>
      <c r="AH311" s="759"/>
    </row>
    <row r="312" spans="33:34">
      <c r="AG312" s="759"/>
      <c r="AH312" s="759"/>
    </row>
    <row r="313" spans="33:34">
      <c r="AG313" s="759"/>
      <c r="AH313" s="759"/>
    </row>
    <row r="314" spans="33:34">
      <c r="AG314" s="759"/>
      <c r="AH314" s="759"/>
    </row>
    <row r="315" spans="33:34">
      <c r="AG315" s="759"/>
      <c r="AH315" s="759"/>
    </row>
    <row r="316" spans="33:34">
      <c r="AG316" s="759"/>
      <c r="AH316" s="759"/>
    </row>
    <row r="317" spans="33:34">
      <c r="AG317" s="759"/>
      <c r="AH317" s="759"/>
    </row>
    <row r="318" spans="33:34">
      <c r="AG318" s="759"/>
      <c r="AH318" s="759"/>
    </row>
    <row r="319" spans="33:34">
      <c r="AG319" s="759"/>
      <c r="AH319" s="759"/>
    </row>
    <row r="320" spans="33:34">
      <c r="AG320" s="759"/>
      <c r="AH320" s="759"/>
    </row>
    <row r="321" spans="33:34">
      <c r="AG321" s="759"/>
      <c r="AH321" s="759"/>
    </row>
    <row r="322" spans="33:34">
      <c r="AG322" s="759"/>
      <c r="AH322" s="759"/>
    </row>
    <row r="323" spans="33:34">
      <c r="AG323" s="759"/>
      <c r="AH323" s="759"/>
    </row>
    <row r="324" spans="33:34">
      <c r="AG324" s="759"/>
      <c r="AH324" s="759"/>
    </row>
    <row r="325" spans="33:34">
      <c r="AG325" s="759"/>
      <c r="AH325" s="759"/>
    </row>
    <row r="326" spans="33:34">
      <c r="AG326" s="759"/>
      <c r="AH326" s="759"/>
    </row>
    <row r="327" spans="33:34">
      <c r="AG327" s="759"/>
      <c r="AH327" s="759"/>
    </row>
    <row r="328" spans="33:34">
      <c r="AG328" s="759"/>
      <c r="AH328" s="759"/>
    </row>
    <row r="329" spans="33:34">
      <c r="AG329" s="759"/>
      <c r="AH329" s="759"/>
    </row>
    <row r="330" spans="33:34">
      <c r="AG330" s="759"/>
      <c r="AH330" s="759"/>
    </row>
    <row r="331" spans="33:34">
      <c r="AG331" s="759"/>
      <c r="AH331" s="759"/>
    </row>
    <row r="332" spans="33:34">
      <c r="AG332" s="759"/>
      <c r="AH332" s="759"/>
    </row>
    <row r="333" spans="33:34">
      <c r="AG333" s="759"/>
      <c r="AH333" s="759"/>
    </row>
    <row r="334" spans="33:34">
      <c r="AG334" s="759"/>
      <c r="AH334" s="759"/>
    </row>
    <row r="335" spans="33:34">
      <c r="AG335" s="759"/>
      <c r="AH335" s="759"/>
    </row>
    <row r="336" spans="33:34">
      <c r="AG336" s="759"/>
      <c r="AH336" s="759"/>
    </row>
    <row r="337" spans="33:34">
      <c r="AG337" s="759"/>
      <c r="AH337" s="759"/>
    </row>
    <row r="338" spans="33:34">
      <c r="AG338" s="759"/>
      <c r="AH338" s="759"/>
    </row>
    <row r="339" spans="33:34">
      <c r="AG339" s="759"/>
      <c r="AH339" s="759"/>
    </row>
    <row r="340" spans="33:34">
      <c r="AG340" s="759"/>
      <c r="AH340" s="759"/>
    </row>
    <row r="341" spans="33:34">
      <c r="AG341" s="759"/>
      <c r="AH341" s="759"/>
    </row>
    <row r="342" spans="33:34">
      <c r="AG342" s="759"/>
      <c r="AH342" s="759"/>
    </row>
    <row r="343" spans="33:34">
      <c r="AG343" s="759"/>
      <c r="AH343" s="759"/>
    </row>
    <row r="344" spans="33:34">
      <c r="AG344" s="759"/>
      <c r="AH344" s="759"/>
    </row>
    <row r="345" spans="33:34">
      <c r="AG345" s="759"/>
      <c r="AH345" s="759"/>
    </row>
    <row r="346" spans="33:34">
      <c r="AG346" s="759"/>
      <c r="AH346" s="759"/>
    </row>
    <row r="347" spans="33:34">
      <c r="AG347" s="759"/>
      <c r="AH347" s="759"/>
    </row>
    <row r="348" spans="33:34">
      <c r="AG348" s="759"/>
      <c r="AH348" s="759"/>
    </row>
    <row r="349" spans="33:34">
      <c r="AG349" s="759"/>
      <c r="AH349" s="759"/>
    </row>
    <row r="350" spans="33:34">
      <c r="AG350" s="759"/>
      <c r="AH350" s="759"/>
    </row>
    <row r="351" spans="33:34">
      <c r="AG351" s="759"/>
      <c r="AH351" s="759"/>
    </row>
    <row r="352" spans="33:34">
      <c r="AG352" s="759"/>
      <c r="AH352" s="759"/>
    </row>
    <row r="353" spans="33:34">
      <c r="AG353" s="759"/>
      <c r="AH353" s="759"/>
    </row>
    <row r="354" spans="33:34">
      <c r="AG354" s="759"/>
      <c r="AH354" s="759"/>
    </row>
    <row r="355" spans="33:34">
      <c r="AG355" s="759"/>
      <c r="AH355" s="759"/>
    </row>
    <row r="356" spans="33:34">
      <c r="AG356" s="759"/>
      <c r="AH356" s="759"/>
    </row>
    <row r="357" spans="33:34">
      <c r="AG357" s="759"/>
      <c r="AH357" s="759"/>
    </row>
    <row r="358" spans="33:34">
      <c r="AG358" s="759"/>
      <c r="AH358" s="759"/>
    </row>
    <row r="359" spans="33:34">
      <c r="AG359" s="759"/>
      <c r="AH359" s="759"/>
    </row>
    <row r="360" spans="33:34">
      <c r="AG360" s="759"/>
      <c r="AH360" s="759"/>
    </row>
    <row r="361" spans="33:34">
      <c r="AG361" s="759"/>
      <c r="AH361" s="759"/>
    </row>
    <row r="362" spans="33:34">
      <c r="AG362" s="759"/>
      <c r="AH362" s="759"/>
    </row>
    <row r="363" spans="33:34">
      <c r="AG363" s="759"/>
      <c r="AH363" s="759"/>
    </row>
    <row r="364" spans="33:34">
      <c r="AG364" s="759"/>
      <c r="AH364" s="759"/>
    </row>
    <row r="365" spans="33:34">
      <c r="AG365" s="759"/>
      <c r="AH365" s="759"/>
    </row>
    <row r="366" spans="33:34">
      <c r="AG366" s="759"/>
      <c r="AH366" s="759"/>
    </row>
    <row r="367" spans="33:34">
      <c r="AG367" s="759"/>
      <c r="AH367" s="759"/>
    </row>
    <row r="368" spans="33:34">
      <c r="AG368" s="759"/>
      <c r="AH368" s="759"/>
    </row>
    <row r="369" spans="33:34">
      <c r="AG369" s="759"/>
      <c r="AH369" s="759"/>
    </row>
    <row r="370" spans="33:34">
      <c r="AG370" s="759"/>
      <c r="AH370" s="759"/>
    </row>
    <row r="371" spans="33:34">
      <c r="AG371" s="759"/>
      <c r="AH371" s="759"/>
    </row>
    <row r="372" spans="33:34">
      <c r="AG372" s="759"/>
      <c r="AH372" s="759"/>
    </row>
    <row r="373" spans="33:34">
      <c r="AG373" s="759"/>
      <c r="AH373" s="759"/>
    </row>
    <row r="374" spans="33:34">
      <c r="AG374" s="759"/>
      <c r="AH374" s="759"/>
    </row>
    <row r="375" spans="33:34">
      <c r="AG375" s="759"/>
      <c r="AH375" s="759"/>
    </row>
    <row r="376" spans="33:34">
      <c r="AG376" s="759"/>
      <c r="AH376" s="759"/>
    </row>
    <row r="377" spans="33:34">
      <c r="AG377" s="759"/>
      <c r="AH377" s="759"/>
    </row>
    <row r="378" spans="33:34">
      <c r="AG378" s="759"/>
      <c r="AH378" s="759"/>
    </row>
    <row r="379" spans="33:34">
      <c r="AG379" s="759"/>
      <c r="AH379" s="759"/>
    </row>
    <row r="380" spans="33:34">
      <c r="AG380" s="759"/>
      <c r="AH380" s="759"/>
    </row>
    <row r="381" spans="33:34">
      <c r="AG381" s="759"/>
      <c r="AH381" s="759"/>
    </row>
    <row r="382" spans="33:34">
      <c r="AG382" s="759"/>
      <c r="AH382" s="759"/>
    </row>
    <row r="383" spans="33:34">
      <c r="AG383" s="759"/>
      <c r="AH383" s="759"/>
    </row>
    <row r="384" spans="33:34">
      <c r="AG384" s="759"/>
      <c r="AH384" s="759"/>
    </row>
    <row r="385" spans="33:34">
      <c r="AG385" s="759"/>
      <c r="AH385" s="759"/>
    </row>
    <row r="386" spans="33:34">
      <c r="AG386" s="759"/>
      <c r="AH386" s="759"/>
    </row>
    <row r="387" spans="33:34">
      <c r="AG387" s="759"/>
      <c r="AH387" s="759"/>
    </row>
    <row r="388" spans="33:34">
      <c r="AG388" s="759"/>
      <c r="AH388" s="759"/>
    </row>
    <row r="389" spans="33:34">
      <c r="AG389" s="759"/>
      <c r="AH389" s="759"/>
    </row>
    <row r="390" spans="33:34">
      <c r="AG390" s="759"/>
      <c r="AH390" s="759"/>
    </row>
    <row r="391" spans="33:34">
      <c r="AG391" s="759"/>
      <c r="AH391" s="759"/>
    </row>
    <row r="392" spans="33:34">
      <c r="AG392" s="759"/>
      <c r="AH392" s="759"/>
    </row>
    <row r="393" spans="33:34">
      <c r="AG393" s="759"/>
      <c r="AH393" s="759"/>
    </row>
    <row r="394" spans="33:34">
      <c r="AG394" s="759"/>
      <c r="AH394" s="759"/>
    </row>
    <row r="395" spans="33:34">
      <c r="AG395" s="759"/>
      <c r="AH395" s="759"/>
    </row>
    <row r="396" spans="33:34">
      <c r="AG396" s="759"/>
      <c r="AH396" s="759"/>
    </row>
    <row r="397" spans="33:34">
      <c r="AG397" s="759"/>
      <c r="AH397" s="759"/>
    </row>
    <row r="398" spans="33:34">
      <c r="AG398" s="759"/>
      <c r="AH398" s="759"/>
    </row>
    <row r="399" spans="33:34">
      <c r="AG399" s="759"/>
      <c r="AH399" s="759"/>
    </row>
    <row r="400" spans="33:34">
      <c r="AG400" s="759"/>
      <c r="AH400" s="759"/>
    </row>
    <row r="401" spans="33:34">
      <c r="AG401" s="759"/>
      <c r="AH401" s="759"/>
    </row>
    <row r="402" spans="33:34">
      <c r="AG402" s="759"/>
      <c r="AH402" s="759"/>
    </row>
    <row r="403" spans="33:34">
      <c r="AG403" s="759"/>
      <c r="AH403" s="759"/>
    </row>
    <row r="404" spans="33:34">
      <c r="AG404" s="759"/>
      <c r="AH404" s="759"/>
    </row>
    <row r="405" spans="33:34">
      <c r="AG405" s="759"/>
      <c r="AH405" s="759"/>
    </row>
    <row r="406" spans="33:34">
      <c r="AG406" s="759"/>
      <c r="AH406" s="759"/>
    </row>
    <row r="407" spans="33:34">
      <c r="AG407" s="759"/>
      <c r="AH407" s="759"/>
    </row>
    <row r="408" spans="33:34">
      <c r="AG408" s="759"/>
      <c r="AH408" s="759"/>
    </row>
    <row r="409" spans="33:34">
      <c r="AG409" s="759"/>
      <c r="AH409" s="759"/>
    </row>
    <row r="410" spans="33:34">
      <c r="AG410" s="759"/>
      <c r="AH410" s="759"/>
    </row>
    <row r="411" spans="33:34">
      <c r="AG411" s="759"/>
      <c r="AH411" s="759"/>
    </row>
    <row r="412" spans="33:34">
      <c r="AG412" s="759"/>
      <c r="AH412" s="759"/>
    </row>
    <row r="413" spans="33:34">
      <c r="AG413" s="759"/>
      <c r="AH413" s="759"/>
    </row>
    <row r="414" spans="33:34">
      <c r="AG414" s="759"/>
      <c r="AH414" s="759"/>
    </row>
    <row r="415" spans="33:34">
      <c r="AG415" s="759"/>
      <c r="AH415" s="759"/>
    </row>
    <row r="416" spans="33:34">
      <c r="AG416" s="759"/>
      <c r="AH416" s="759"/>
    </row>
    <row r="417" spans="33:34">
      <c r="AG417" s="759"/>
      <c r="AH417" s="759"/>
    </row>
    <row r="418" spans="33:34">
      <c r="AG418" s="759"/>
      <c r="AH418" s="759"/>
    </row>
    <row r="419" spans="33:34">
      <c r="AG419" s="759"/>
      <c r="AH419" s="759"/>
    </row>
    <row r="420" spans="33:34">
      <c r="AG420" s="759"/>
      <c r="AH420" s="759"/>
    </row>
    <row r="421" spans="33:34">
      <c r="AG421" s="759"/>
      <c r="AH421" s="759"/>
    </row>
    <row r="422" spans="33:34">
      <c r="AG422" s="759"/>
      <c r="AH422" s="759"/>
    </row>
    <row r="423" spans="33:34">
      <c r="AG423" s="759"/>
      <c r="AH423" s="759"/>
    </row>
    <row r="424" spans="33:34">
      <c r="AG424" s="759"/>
      <c r="AH424" s="759"/>
    </row>
    <row r="425" spans="33:34">
      <c r="AG425" s="759"/>
      <c r="AH425" s="759"/>
    </row>
    <row r="426" spans="33:34">
      <c r="AG426" s="759"/>
      <c r="AH426" s="759"/>
    </row>
    <row r="427" spans="33:34">
      <c r="AG427" s="759"/>
      <c r="AH427" s="759"/>
    </row>
    <row r="428" spans="33:34">
      <c r="AG428" s="759"/>
      <c r="AH428" s="759"/>
    </row>
    <row r="429" spans="33:34">
      <c r="AG429" s="759"/>
      <c r="AH429" s="759"/>
    </row>
    <row r="430" spans="33:34">
      <c r="AG430" s="759"/>
      <c r="AH430" s="759"/>
    </row>
    <row r="431" spans="33:34">
      <c r="AG431" s="759"/>
      <c r="AH431" s="759"/>
    </row>
    <row r="432" spans="33:34">
      <c r="AG432" s="759"/>
      <c r="AH432" s="759"/>
    </row>
    <row r="433" spans="33:34">
      <c r="AG433" s="759"/>
      <c r="AH433" s="759"/>
    </row>
    <row r="434" spans="33:34">
      <c r="AG434" s="759"/>
      <c r="AH434" s="759"/>
    </row>
    <row r="435" spans="33:34">
      <c r="AG435" s="759"/>
      <c r="AH435" s="759"/>
    </row>
    <row r="436" spans="33:34">
      <c r="AG436" s="759"/>
      <c r="AH436" s="759"/>
    </row>
    <row r="437" spans="33:34">
      <c r="AG437" s="759"/>
      <c r="AH437" s="759"/>
    </row>
    <row r="438" spans="33:34">
      <c r="AG438" s="759"/>
      <c r="AH438" s="759"/>
    </row>
    <row r="439" spans="33:34">
      <c r="AG439" s="759"/>
      <c r="AH439" s="759"/>
    </row>
    <row r="440" spans="33:34">
      <c r="AG440" s="759"/>
      <c r="AH440" s="759"/>
    </row>
    <row r="441" spans="33:34">
      <c r="AG441" s="759"/>
      <c r="AH441" s="759"/>
    </row>
    <row r="442" spans="33:34">
      <c r="AG442" s="759"/>
      <c r="AH442" s="759"/>
    </row>
    <row r="443" spans="33:34">
      <c r="AG443" s="759"/>
      <c r="AH443" s="759"/>
    </row>
    <row r="444" spans="33:34">
      <c r="AG444" s="759"/>
      <c r="AH444" s="759"/>
    </row>
    <row r="445" spans="33:34">
      <c r="AG445" s="759"/>
      <c r="AH445" s="759"/>
    </row>
    <row r="446" spans="33:34">
      <c r="AG446" s="759"/>
      <c r="AH446" s="759"/>
    </row>
    <row r="447" spans="33:34">
      <c r="AG447" s="759"/>
      <c r="AH447" s="759"/>
    </row>
    <row r="448" spans="33:34">
      <c r="AG448" s="759"/>
      <c r="AH448" s="759"/>
    </row>
    <row r="449" spans="33:34">
      <c r="AG449" s="759"/>
      <c r="AH449" s="759"/>
    </row>
    <row r="450" spans="33:34">
      <c r="AG450" s="759"/>
      <c r="AH450" s="759"/>
    </row>
    <row r="451" spans="33:34">
      <c r="AG451" s="759"/>
      <c r="AH451" s="759"/>
    </row>
    <row r="452" spans="33:34">
      <c r="AG452" s="759"/>
      <c r="AH452" s="759"/>
    </row>
    <row r="453" spans="33:34">
      <c r="AG453" s="759"/>
      <c r="AH453" s="759"/>
    </row>
    <row r="454" spans="33:34">
      <c r="AG454" s="759"/>
      <c r="AH454" s="759"/>
    </row>
    <row r="455" spans="33:34">
      <c r="AG455" s="759"/>
      <c r="AH455" s="759"/>
    </row>
    <row r="456" spans="33:34">
      <c r="AG456" s="759"/>
      <c r="AH456" s="759"/>
    </row>
    <row r="457" spans="33:34">
      <c r="AG457" s="759"/>
      <c r="AH457" s="759"/>
    </row>
    <row r="458" spans="33:34">
      <c r="AG458" s="759"/>
      <c r="AH458" s="759"/>
    </row>
    <row r="459" spans="33:34">
      <c r="AG459" s="759"/>
      <c r="AH459" s="759"/>
    </row>
    <row r="460" spans="33:34">
      <c r="AG460" s="759"/>
      <c r="AH460" s="759"/>
    </row>
    <row r="461" spans="33:34">
      <c r="AG461" s="759"/>
      <c r="AH461" s="759"/>
    </row>
    <row r="462" spans="33:34">
      <c r="AG462" s="759"/>
      <c r="AH462" s="759"/>
    </row>
    <row r="463" spans="33:34">
      <c r="AG463" s="759"/>
      <c r="AH463" s="759"/>
    </row>
    <row r="464" spans="33:34">
      <c r="AG464" s="759"/>
      <c r="AH464" s="759"/>
    </row>
    <row r="465" spans="33:34">
      <c r="AG465" s="759"/>
      <c r="AH465" s="759"/>
    </row>
    <row r="466" spans="33:34">
      <c r="AG466" s="759"/>
      <c r="AH466" s="759"/>
    </row>
    <row r="467" spans="33:34">
      <c r="AG467" s="759"/>
      <c r="AH467" s="759"/>
    </row>
    <row r="468" spans="33:34">
      <c r="AG468" s="759"/>
      <c r="AH468" s="759"/>
    </row>
    <row r="469" spans="33:34">
      <c r="AG469" s="759"/>
      <c r="AH469" s="759"/>
    </row>
    <row r="470" spans="33:34">
      <c r="AG470" s="759"/>
      <c r="AH470" s="759"/>
    </row>
    <row r="471" spans="33:34">
      <c r="AG471" s="759"/>
      <c r="AH471" s="759"/>
    </row>
    <row r="472" spans="33:34">
      <c r="AG472" s="759"/>
      <c r="AH472" s="759"/>
    </row>
    <row r="473" spans="33:34">
      <c r="AG473" s="759"/>
      <c r="AH473" s="759"/>
    </row>
    <row r="474" spans="33:34">
      <c r="AG474" s="759"/>
      <c r="AH474" s="759"/>
    </row>
    <row r="475" spans="33:34">
      <c r="AG475" s="759"/>
      <c r="AH475" s="759"/>
    </row>
    <row r="476" spans="33:34">
      <c r="AG476" s="759"/>
      <c r="AH476" s="759"/>
    </row>
    <row r="477" spans="33:34">
      <c r="AG477" s="759"/>
      <c r="AH477" s="759"/>
    </row>
    <row r="478" spans="33:34">
      <c r="AG478" s="759"/>
      <c r="AH478" s="759"/>
    </row>
    <row r="479" spans="33:34">
      <c r="AG479" s="759"/>
      <c r="AH479" s="759"/>
    </row>
    <row r="480" spans="33:34">
      <c r="AG480" s="759"/>
      <c r="AH480" s="759"/>
    </row>
    <row r="481" spans="33:34">
      <c r="AG481" s="759"/>
      <c r="AH481" s="759"/>
    </row>
    <row r="482" spans="33:34">
      <c r="AG482" s="759"/>
      <c r="AH482" s="759"/>
    </row>
    <row r="483" spans="33:34">
      <c r="AG483" s="759"/>
      <c r="AH483" s="759"/>
    </row>
    <row r="484" spans="33:34">
      <c r="AG484" s="759"/>
      <c r="AH484" s="759"/>
    </row>
    <row r="485" spans="33:34">
      <c r="AG485" s="759"/>
      <c r="AH485" s="759"/>
    </row>
    <row r="486" spans="33:34">
      <c r="AG486" s="759"/>
      <c r="AH486" s="759"/>
    </row>
    <row r="487" spans="33:34">
      <c r="AG487" s="759"/>
      <c r="AH487" s="759"/>
    </row>
    <row r="488" spans="33:34">
      <c r="AG488" s="759"/>
      <c r="AH488" s="759"/>
    </row>
    <row r="489" spans="33:34">
      <c r="AG489" s="759"/>
      <c r="AH489" s="759"/>
    </row>
    <row r="490" spans="33:34">
      <c r="AG490" s="759"/>
      <c r="AH490" s="759"/>
    </row>
    <row r="491" spans="33:34">
      <c r="AG491" s="759"/>
      <c r="AH491" s="759"/>
    </row>
    <row r="492" spans="33:34">
      <c r="AG492" s="759"/>
      <c r="AH492" s="759"/>
    </row>
    <row r="493" spans="33:34">
      <c r="AG493" s="759"/>
      <c r="AH493" s="759"/>
    </row>
    <row r="494" spans="33:34">
      <c r="AG494" s="759"/>
      <c r="AH494" s="759"/>
    </row>
    <row r="495" spans="33:34">
      <c r="AG495" s="759"/>
      <c r="AH495" s="759"/>
    </row>
    <row r="496" spans="33:34">
      <c r="AG496" s="759"/>
      <c r="AH496" s="759"/>
    </row>
    <row r="497" spans="33:34">
      <c r="AG497" s="759"/>
      <c r="AH497" s="759"/>
    </row>
    <row r="498" spans="33:34">
      <c r="AG498" s="759"/>
      <c r="AH498" s="759"/>
    </row>
    <row r="499" spans="33:34">
      <c r="AG499" s="759"/>
      <c r="AH499" s="759"/>
    </row>
    <row r="500" spans="33:34">
      <c r="AG500" s="759"/>
      <c r="AH500" s="759"/>
    </row>
    <row r="501" spans="33:34">
      <c r="AG501" s="759"/>
      <c r="AH501" s="759"/>
    </row>
    <row r="502" spans="33:34">
      <c r="AG502" s="759"/>
      <c r="AH502" s="759"/>
    </row>
    <row r="503" spans="33:34">
      <c r="AG503" s="759"/>
      <c r="AH503" s="759"/>
    </row>
    <row r="504" spans="33:34">
      <c r="AG504" s="759"/>
      <c r="AH504" s="759"/>
    </row>
    <row r="505" spans="33:34">
      <c r="AG505" s="759"/>
      <c r="AH505" s="759"/>
    </row>
    <row r="506" spans="33:34">
      <c r="AG506" s="759"/>
      <c r="AH506" s="759"/>
    </row>
    <row r="507" spans="33:34">
      <c r="AG507" s="759"/>
      <c r="AH507" s="759"/>
    </row>
    <row r="508" spans="33:34">
      <c r="AG508" s="759"/>
      <c r="AH508" s="759"/>
    </row>
    <row r="509" spans="33:34">
      <c r="AG509" s="759"/>
      <c r="AH509" s="759"/>
    </row>
    <row r="510" spans="33:34">
      <c r="AG510" s="759"/>
      <c r="AH510" s="759"/>
    </row>
    <row r="511" spans="33:34">
      <c r="AG511" s="759"/>
      <c r="AH511" s="759"/>
    </row>
    <row r="512" spans="33:34">
      <c r="AG512" s="759"/>
      <c r="AH512" s="759"/>
    </row>
    <row r="513" spans="33:34">
      <c r="AG513" s="759"/>
      <c r="AH513" s="759"/>
    </row>
    <row r="514" spans="33:34">
      <c r="AG514" s="759"/>
      <c r="AH514" s="759"/>
    </row>
    <row r="515" spans="33:34">
      <c r="AG515" s="759"/>
      <c r="AH515" s="759"/>
    </row>
    <row r="516" spans="33:34">
      <c r="AG516" s="759"/>
      <c r="AH516" s="759"/>
    </row>
    <row r="517" spans="33:34">
      <c r="AG517" s="759"/>
      <c r="AH517" s="759"/>
    </row>
    <row r="518" spans="33:34">
      <c r="AG518" s="759"/>
      <c r="AH518" s="759"/>
    </row>
    <row r="519" spans="33:34">
      <c r="AG519" s="759"/>
      <c r="AH519" s="759"/>
    </row>
    <row r="520" spans="33:34">
      <c r="AG520" s="759"/>
      <c r="AH520" s="759"/>
    </row>
    <row r="521" spans="33:34">
      <c r="AG521" s="759"/>
      <c r="AH521" s="759"/>
    </row>
    <row r="522" spans="33:34">
      <c r="AG522" s="759"/>
      <c r="AH522" s="759"/>
    </row>
    <row r="523" spans="33:34">
      <c r="AG523" s="759"/>
      <c r="AH523" s="759"/>
    </row>
    <row r="524" spans="33:34">
      <c r="AG524" s="759"/>
      <c r="AH524" s="759"/>
    </row>
    <row r="525" spans="33:34">
      <c r="AG525" s="759"/>
      <c r="AH525" s="759"/>
    </row>
    <row r="526" spans="33:34">
      <c r="AG526" s="759"/>
      <c r="AH526" s="759"/>
    </row>
    <row r="527" spans="33:34">
      <c r="AG527" s="759"/>
      <c r="AH527" s="759"/>
    </row>
    <row r="528" spans="33:34">
      <c r="AG528" s="759"/>
      <c r="AH528" s="759"/>
    </row>
    <row r="529" spans="33:34">
      <c r="AG529" s="759"/>
      <c r="AH529" s="759"/>
    </row>
    <row r="530" spans="33:34">
      <c r="AG530" s="759"/>
      <c r="AH530" s="759"/>
    </row>
    <row r="531" spans="33:34">
      <c r="AG531" s="759"/>
      <c r="AH531" s="759"/>
    </row>
    <row r="532" spans="33:34">
      <c r="AG532" s="759"/>
      <c r="AH532" s="759"/>
    </row>
    <row r="533" spans="33:34">
      <c r="AG533" s="759"/>
      <c r="AH533" s="759"/>
    </row>
    <row r="534" spans="33:34">
      <c r="AG534" s="759"/>
      <c r="AH534" s="759"/>
    </row>
    <row r="535" spans="33:34">
      <c r="AG535" s="759"/>
      <c r="AH535" s="759"/>
    </row>
    <row r="536" spans="33:34">
      <c r="AG536" s="759"/>
      <c r="AH536" s="759"/>
    </row>
    <row r="537" spans="33:34">
      <c r="AG537" s="759"/>
      <c r="AH537" s="759"/>
    </row>
    <row r="538" spans="33:34">
      <c r="AG538" s="759"/>
      <c r="AH538" s="759"/>
    </row>
    <row r="539" spans="33:34">
      <c r="AG539" s="759"/>
      <c r="AH539" s="759"/>
    </row>
    <row r="540" spans="33:34">
      <c r="AG540" s="759"/>
      <c r="AH540" s="759"/>
    </row>
    <row r="541" spans="33:34">
      <c r="AG541" s="759"/>
      <c r="AH541" s="759"/>
    </row>
    <row r="542" spans="33:34">
      <c r="AG542" s="759"/>
      <c r="AH542" s="759"/>
    </row>
    <row r="543" spans="33:34">
      <c r="AG543" s="759"/>
      <c r="AH543" s="759"/>
    </row>
    <row r="544" spans="33:34">
      <c r="AG544" s="759"/>
      <c r="AH544" s="759"/>
    </row>
    <row r="545" spans="33:34">
      <c r="AG545" s="759"/>
      <c r="AH545" s="759"/>
    </row>
    <row r="546" spans="33:34">
      <c r="AG546" s="759"/>
      <c r="AH546" s="759"/>
    </row>
    <row r="547" spans="33:34">
      <c r="AG547" s="759"/>
      <c r="AH547" s="759"/>
    </row>
    <row r="548" spans="33:34">
      <c r="AG548" s="759"/>
      <c r="AH548" s="759"/>
    </row>
    <row r="549" spans="33:34">
      <c r="AG549" s="759"/>
      <c r="AH549" s="759"/>
    </row>
    <row r="550" spans="33:34">
      <c r="AG550" s="759"/>
      <c r="AH550" s="759"/>
    </row>
    <row r="551" spans="33:34">
      <c r="AG551" s="759"/>
      <c r="AH551" s="759"/>
    </row>
    <row r="552" spans="33:34">
      <c r="AG552" s="759"/>
      <c r="AH552" s="759"/>
    </row>
    <row r="553" spans="33:34">
      <c r="AG553" s="759"/>
      <c r="AH553" s="759"/>
    </row>
    <row r="554" spans="33:34">
      <c r="AG554" s="759"/>
      <c r="AH554" s="759"/>
    </row>
    <row r="555" spans="33:34">
      <c r="AG555" s="759"/>
      <c r="AH555" s="759"/>
    </row>
    <row r="556" spans="33:34">
      <c r="AG556" s="759"/>
      <c r="AH556" s="759"/>
    </row>
    <row r="557" spans="33:34">
      <c r="AG557" s="759"/>
      <c r="AH557" s="759"/>
    </row>
    <row r="558" spans="33:34">
      <c r="AG558" s="759"/>
      <c r="AH558" s="759"/>
    </row>
    <row r="559" spans="33:34">
      <c r="AG559" s="759"/>
      <c r="AH559" s="759"/>
    </row>
    <row r="560" spans="33:34">
      <c r="AG560" s="759"/>
      <c r="AH560" s="759"/>
    </row>
    <row r="561" spans="33:34">
      <c r="AG561" s="759"/>
      <c r="AH561" s="759"/>
    </row>
    <row r="562" spans="33:34">
      <c r="AG562" s="759"/>
      <c r="AH562" s="759"/>
    </row>
    <row r="563" spans="33:34">
      <c r="AG563" s="759"/>
      <c r="AH563" s="759"/>
    </row>
    <row r="564" spans="33:34">
      <c r="AG564" s="759"/>
      <c r="AH564" s="759"/>
    </row>
    <row r="565" spans="33:34">
      <c r="AG565" s="759"/>
      <c r="AH565" s="759"/>
    </row>
    <row r="566" spans="33:34">
      <c r="AG566" s="759"/>
      <c r="AH566" s="759"/>
    </row>
    <row r="567" spans="33:34">
      <c r="AG567" s="759"/>
      <c r="AH567" s="759"/>
    </row>
    <row r="568" spans="33:34">
      <c r="AG568" s="759"/>
      <c r="AH568" s="759"/>
    </row>
    <row r="569" spans="33:34">
      <c r="AG569" s="759"/>
      <c r="AH569" s="759"/>
    </row>
    <row r="570" spans="33:34">
      <c r="AG570" s="759"/>
      <c r="AH570" s="759"/>
    </row>
    <row r="571" spans="33:34">
      <c r="AG571" s="759"/>
      <c r="AH571" s="759"/>
    </row>
    <row r="572" spans="33:34">
      <c r="AG572" s="759"/>
      <c r="AH572" s="759"/>
    </row>
    <row r="573" spans="33:34">
      <c r="AG573" s="759"/>
      <c r="AH573" s="759"/>
    </row>
    <row r="574" spans="33:34">
      <c r="AG574" s="759"/>
      <c r="AH574" s="759"/>
    </row>
    <row r="575" spans="33:34">
      <c r="AG575" s="759"/>
      <c r="AH575" s="759"/>
    </row>
    <row r="576" spans="33:34">
      <c r="AG576" s="759"/>
      <c r="AH576" s="759"/>
    </row>
    <row r="577" spans="33:34">
      <c r="AG577" s="759"/>
      <c r="AH577" s="759"/>
    </row>
    <row r="578" spans="33:34">
      <c r="AG578" s="759"/>
      <c r="AH578" s="759"/>
    </row>
    <row r="579" spans="33:34">
      <c r="AG579" s="759"/>
      <c r="AH579" s="759"/>
    </row>
    <row r="580" spans="33:34">
      <c r="AG580" s="759"/>
      <c r="AH580" s="759"/>
    </row>
    <row r="581" spans="33:34">
      <c r="AG581" s="759"/>
      <c r="AH581" s="759"/>
    </row>
    <row r="582" spans="33:34">
      <c r="AG582" s="759"/>
      <c r="AH582" s="759"/>
    </row>
    <row r="583" spans="33:34">
      <c r="AG583" s="759"/>
      <c r="AH583" s="759"/>
    </row>
    <row r="584" spans="33:34">
      <c r="AG584" s="759"/>
      <c r="AH584" s="759"/>
    </row>
    <row r="585" spans="33:34">
      <c r="AG585" s="759"/>
      <c r="AH585" s="759"/>
    </row>
    <row r="586" spans="33:34">
      <c r="AG586" s="759"/>
      <c r="AH586" s="759"/>
    </row>
    <row r="587" spans="33:34">
      <c r="AG587" s="759"/>
      <c r="AH587" s="759"/>
    </row>
    <row r="588" spans="33:34">
      <c r="AG588" s="759"/>
      <c r="AH588" s="759"/>
    </row>
    <row r="589" spans="33:34">
      <c r="AG589" s="759"/>
      <c r="AH589" s="759"/>
    </row>
    <row r="590" spans="33:34">
      <c r="AG590" s="759"/>
      <c r="AH590" s="759"/>
    </row>
    <row r="591" spans="33:34">
      <c r="AG591" s="759"/>
      <c r="AH591" s="759"/>
    </row>
    <row r="592" spans="33:34">
      <c r="AG592" s="759"/>
      <c r="AH592" s="759"/>
    </row>
    <row r="593" spans="33:34">
      <c r="AG593" s="759"/>
      <c r="AH593" s="759"/>
    </row>
    <row r="594" spans="33:34">
      <c r="AG594" s="759"/>
      <c r="AH594" s="759"/>
    </row>
    <row r="595" spans="33:34">
      <c r="AG595" s="759"/>
      <c r="AH595" s="759"/>
    </row>
    <row r="596" spans="33:34">
      <c r="AG596" s="759"/>
      <c r="AH596" s="759"/>
    </row>
    <row r="597" spans="33:34">
      <c r="AG597" s="759"/>
      <c r="AH597" s="759"/>
    </row>
    <row r="598" spans="33:34">
      <c r="AG598" s="759"/>
      <c r="AH598" s="759"/>
    </row>
    <row r="599" spans="33:34">
      <c r="AG599" s="759"/>
      <c r="AH599" s="759"/>
    </row>
    <row r="600" spans="33:34">
      <c r="AG600" s="759"/>
      <c r="AH600" s="759"/>
    </row>
    <row r="601" spans="33:34">
      <c r="AG601" s="759"/>
      <c r="AH601" s="759"/>
    </row>
    <row r="602" spans="33:34">
      <c r="AG602" s="759"/>
      <c r="AH602" s="759"/>
    </row>
    <row r="603" spans="33:34">
      <c r="AG603" s="759"/>
      <c r="AH603" s="759"/>
    </row>
    <row r="604" spans="33:34">
      <c r="AG604" s="759"/>
      <c r="AH604" s="759"/>
    </row>
    <row r="605" spans="33:34">
      <c r="AG605" s="759"/>
      <c r="AH605" s="759"/>
    </row>
    <row r="606" spans="33:34">
      <c r="AG606" s="759"/>
      <c r="AH606" s="759"/>
    </row>
    <row r="607" spans="33:34">
      <c r="AG607" s="759"/>
      <c r="AH607" s="759"/>
    </row>
    <row r="608" spans="33:34">
      <c r="AG608" s="759"/>
      <c r="AH608" s="759"/>
    </row>
    <row r="609" spans="33:34">
      <c r="AG609" s="759"/>
      <c r="AH609" s="759"/>
    </row>
    <row r="610" spans="33:34">
      <c r="AG610" s="759"/>
      <c r="AH610" s="759"/>
    </row>
    <row r="611" spans="33:34">
      <c r="AG611" s="759"/>
      <c r="AH611" s="759"/>
    </row>
    <row r="612" spans="33:34">
      <c r="AG612" s="759"/>
      <c r="AH612" s="759"/>
    </row>
    <row r="613" spans="33:34">
      <c r="AG613" s="759"/>
      <c r="AH613" s="759"/>
    </row>
    <row r="614" spans="33:34">
      <c r="AG614" s="759"/>
      <c r="AH614" s="759"/>
    </row>
    <row r="615" spans="33:34">
      <c r="AG615" s="759"/>
      <c r="AH615" s="759"/>
    </row>
    <row r="616" spans="33:34">
      <c r="AG616" s="759"/>
      <c r="AH616" s="759"/>
    </row>
    <row r="617" spans="33:34">
      <c r="AG617" s="759"/>
      <c r="AH617" s="759"/>
    </row>
    <row r="618" spans="33:34">
      <c r="AG618" s="759"/>
      <c r="AH618" s="759"/>
    </row>
    <row r="619" spans="33:34">
      <c r="AG619" s="759"/>
      <c r="AH619" s="759"/>
    </row>
    <row r="620" spans="33:34">
      <c r="AG620" s="759"/>
      <c r="AH620" s="759"/>
    </row>
    <row r="621" spans="33:34">
      <c r="AG621" s="759"/>
      <c r="AH621" s="759"/>
    </row>
    <row r="622" spans="33:34">
      <c r="AG622" s="759"/>
      <c r="AH622" s="759"/>
    </row>
    <row r="623" spans="33:34">
      <c r="AG623" s="759"/>
      <c r="AH623" s="759"/>
    </row>
    <row r="624" spans="33:34">
      <c r="AG624" s="759"/>
      <c r="AH624" s="759"/>
    </row>
    <row r="625" spans="33:34">
      <c r="AG625" s="759"/>
      <c r="AH625" s="759"/>
    </row>
    <row r="626" spans="33:34">
      <c r="AG626" s="759"/>
      <c r="AH626" s="759"/>
    </row>
    <row r="627" spans="33:34">
      <c r="AG627" s="759"/>
      <c r="AH627" s="759"/>
    </row>
    <row r="628" spans="33:34">
      <c r="AG628" s="759"/>
      <c r="AH628" s="759"/>
    </row>
    <row r="629" spans="33:34">
      <c r="AG629" s="759"/>
      <c r="AH629" s="759"/>
    </row>
    <row r="630" spans="33:34">
      <c r="AG630" s="759"/>
      <c r="AH630" s="759"/>
    </row>
    <row r="631" spans="33:34">
      <c r="AG631" s="759"/>
      <c r="AH631" s="759"/>
    </row>
    <row r="632" spans="33:34">
      <c r="AG632" s="759"/>
      <c r="AH632" s="759"/>
    </row>
    <row r="633" spans="33:34">
      <c r="AG633" s="759"/>
      <c r="AH633" s="759"/>
    </row>
    <row r="634" spans="33:34">
      <c r="AG634" s="759"/>
      <c r="AH634" s="759"/>
    </row>
    <row r="635" spans="33:34">
      <c r="AG635" s="759"/>
      <c r="AH635" s="759"/>
    </row>
    <row r="636" spans="33:34">
      <c r="AG636" s="759"/>
      <c r="AH636" s="759"/>
    </row>
    <row r="637" spans="33:34">
      <c r="AG637" s="759"/>
      <c r="AH637" s="759"/>
    </row>
    <row r="638" spans="33:34">
      <c r="AG638" s="759"/>
      <c r="AH638" s="759"/>
    </row>
    <row r="639" spans="33:34">
      <c r="AG639" s="759"/>
      <c r="AH639" s="759"/>
    </row>
    <row r="640" spans="33:34">
      <c r="AG640" s="759"/>
      <c r="AH640" s="759"/>
    </row>
    <row r="641" spans="33:34">
      <c r="AG641" s="759"/>
      <c r="AH641" s="759"/>
    </row>
    <row r="642" spans="33:34">
      <c r="AG642" s="759"/>
      <c r="AH642" s="759"/>
    </row>
    <row r="643" spans="33:34">
      <c r="AG643" s="759"/>
      <c r="AH643" s="759"/>
    </row>
    <row r="644" spans="33:34">
      <c r="AG644" s="759"/>
      <c r="AH644" s="759"/>
    </row>
    <row r="645" spans="33:34">
      <c r="AG645" s="759"/>
      <c r="AH645" s="759"/>
    </row>
    <row r="646" spans="33:34">
      <c r="AG646" s="759"/>
      <c r="AH646" s="759"/>
    </row>
    <row r="647" spans="33:34">
      <c r="AG647" s="759"/>
      <c r="AH647" s="759"/>
    </row>
    <row r="648" spans="33:34">
      <c r="AG648" s="759"/>
      <c r="AH648" s="759"/>
    </row>
    <row r="649" spans="33:34">
      <c r="AG649" s="759"/>
      <c r="AH649" s="759"/>
    </row>
    <row r="650" spans="33:34">
      <c r="AG650" s="759"/>
      <c r="AH650" s="759"/>
    </row>
    <row r="651" spans="33:34">
      <c r="AG651" s="759"/>
      <c r="AH651" s="759"/>
    </row>
    <row r="652" spans="33:34">
      <c r="AG652" s="759"/>
      <c r="AH652" s="759"/>
    </row>
    <row r="653" spans="33:34">
      <c r="AG653" s="759"/>
      <c r="AH653" s="759"/>
    </row>
    <row r="654" spans="33:34">
      <c r="AG654" s="759"/>
      <c r="AH654" s="759"/>
    </row>
    <row r="655" spans="33:34">
      <c r="AG655" s="759"/>
      <c r="AH655" s="759"/>
    </row>
    <row r="656" spans="33:34">
      <c r="AG656" s="759"/>
      <c r="AH656" s="759"/>
    </row>
    <row r="657" spans="33:34">
      <c r="AG657" s="759"/>
      <c r="AH657" s="759"/>
    </row>
    <row r="658" spans="33:34">
      <c r="AG658" s="759"/>
      <c r="AH658" s="759"/>
    </row>
    <row r="659" spans="33:34">
      <c r="AG659" s="759"/>
      <c r="AH659" s="759"/>
    </row>
    <row r="660" spans="33:34">
      <c r="AG660" s="759"/>
      <c r="AH660" s="759"/>
    </row>
    <row r="661" spans="33:34">
      <c r="AG661" s="759"/>
      <c r="AH661" s="759"/>
    </row>
    <row r="662" spans="33:34">
      <c r="AG662" s="759"/>
      <c r="AH662" s="759"/>
    </row>
    <row r="663" spans="33:34">
      <c r="AG663" s="759"/>
      <c r="AH663" s="759"/>
    </row>
    <row r="664" spans="33:34">
      <c r="AG664" s="759"/>
      <c r="AH664" s="759"/>
    </row>
    <row r="665" spans="33:34">
      <c r="AG665" s="759"/>
      <c r="AH665" s="759"/>
    </row>
    <row r="666" spans="33:34">
      <c r="AG666" s="759"/>
      <c r="AH666" s="759"/>
    </row>
    <row r="667" spans="33:34">
      <c r="AG667" s="759"/>
      <c r="AH667" s="759"/>
    </row>
    <row r="668" spans="33:34">
      <c r="AG668" s="759"/>
      <c r="AH668" s="759"/>
    </row>
    <row r="669" spans="33:34">
      <c r="AG669" s="759"/>
      <c r="AH669" s="759"/>
    </row>
    <row r="670" spans="33:34">
      <c r="AG670" s="759"/>
      <c r="AH670" s="759"/>
    </row>
    <row r="671" spans="33:34">
      <c r="AG671" s="759"/>
      <c r="AH671" s="759"/>
    </row>
    <row r="672" spans="33:34">
      <c r="AG672" s="759"/>
      <c r="AH672" s="759"/>
    </row>
    <row r="673" spans="33:34">
      <c r="AG673" s="759"/>
      <c r="AH673" s="759"/>
    </row>
    <row r="674" spans="33:34">
      <c r="AG674" s="759"/>
      <c r="AH674" s="759"/>
    </row>
    <row r="675" spans="33:34">
      <c r="AG675" s="759"/>
      <c r="AH675" s="759"/>
    </row>
    <row r="676" spans="33:34">
      <c r="AG676" s="759"/>
      <c r="AH676" s="759"/>
    </row>
    <row r="677" spans="33:34">
      <c r="AG677" s="759"/>
      <c r="AH677" s="759"/>
    </row>
    <row r="678" spans="33:34">
      <c r="AG678" s="759"/>
      <c r="AH678" s="759"/>
    </row>
    <row r="679" spans="33:34">
      <c r="AG679" s="759"/>
      <c r="AH679" s="759"/>
    </row>
    <row r="680" spans="33:34">
      <c r="AG680" s="759"/>
      <c r="AH680" s="759"/>
    </row>
    <row r="681" spans="33:34">
      <c r="AG681" s="759"/>
      <c r="AH681" s="759"/>
    </row>
    <row r="682" spans="33:34">
      <c r="AG682" s="759"/>
      <c r="AH682" s="759"/>
    </row>
    <row r="683" spans="33:34">
      <c r="AG683" s="759"/>
      <c r="AH683" s="759"/>
    </row>
    <row r="684" spans="33:34">
      <c r="AG684" s="759"/>
      <c r="AH684" s="759"/>
    </row>
    <row r="685" spans="33:34">
      <c r="AG685" s="759"/>
      <c r="AH685" s="759"/>
    </row>
    <row r="686" spans="33:34">
      <c r="AG686" s="759"/>
      <c r="AH686" s="759"/>
    </row>
    <row r="687" spans="33:34">
      <c r="AG687" s="759"/>
      <c r="AH687" s="759"/>
    </row>
    <row r="688" spans="33:34">
      <c r="AG688" s="759"/>
      <c r="AH688" s="759"/>
    </row>
    <row r="689" spans="33:34">
      <c r="AG689" s="759"/>
      <c r="AH689" s="759"/>
    </row>
    <row r="690" spans="33:34">
      <c r="AG690" s="759"/>
      <c r="AH690" s="759"/>
    </row>
    <row r="691" spans="33:34">
      <c r="AG691" s="759"/>
      <c r="AH691" s="759"/>
    </row>
    <row r="692" spans="33:34">
      <c r="AG692" s="759"/>
      <c r="AH692" s="759"/>
    </row>
    <row r="693" spans="33:34">
      <c r="AG693" s="759"/>
      <c r="AH693" s="759"/>
    </row>
    <row r="694" spans="33:34">
      <c r="AG694" s="759"/>
      <c r="AH694" s="759"/>
    </row>
    <row r="695" spans="33:34">
      <c r="AG695" s="759"/>
      <c r="AH695" s="759"/>
    </row>
    <row r="696" spans="33:34">
      <c r="AG696" s="759"/>
      <c r="AH696" s="759"/>
    </row>
    <row r="697" spans="33:34">
      <c r="AG697" s="759"/>
      <c r="AH697" s="759"/>
    </row>
    <row r="698" spans="33:34">
      <c r="AG698" s="759"/>
      <c r="AH698" s="759"/>
    </row>
    <row r="699" spans="33:34">
      <c r="AG699" s="759"/>
      <c r="AH699" s="759"/>
    </row>
    <row r="700" spans="33:34">
      <c r="AG700" s="759"/>
      <c r="AH700" s="759"/>
    </row>
    <row r="701" spans="33:34">
      <c r="AG701" s="759"/>
      <c r="AH701" s="759"/>
    </row>
    <row r="702" spans="33:34">
      <c r="AG702" s="759"/>
      <c r="AH702" s="759"/>
    </row>
    <row r="703" spans="33:34">
      <c r="AG703" s="759"/>
      <c r="AH703" s="759"/>
    </row>
    <row r="704" spans="33:34">
      <c r="AG704" s="759"/>
      <c r="AH704" s="759"/>
    </row>
    <row r="705" spans="33:34">
      <c r="AG705" s="759"/>
      <c r="AH705" s="759"/>
    </row>
    <row r="706" spans="33:34">
      <c r="AG706" s="759"/>
      <c r="AH706" s="759"/>
    </row>
    <row r="707" spans="33:34">
      <c r="AG707" s="759"/>
      <c r="AH707" s="759"/>
    </row>
    <row r="708" spans="33:34">
      <c r="AG708" s="759"/>
      <c r="AH708" s="759"/>
    </row>
    <row r="709" spans="33:34">
      <c r="AG709" s="759"/>
      <c r="AH709" s="759"/>
    </row>
    <row r="710" spans="33:34">
      <c r="AG710" s="759"/>
      <c r="AH710" s="759"/>
    </row>
    <row r="711" spans="33:34">
      <c r="AG711" s="759"/>
      <c r="AH711" s="759"/>
    </row>
    <row r="712" spans="33:34">
      <c r="AG712" s="759"/>
      <c r="AH712" s="759"/>
    </row>
    <row r="713" spans="33:34">
      <c r="AG713" s="759"/>
      <c r="AH713" s="759"/>
    </row>
    <row r="714" spans="33:34">
      <c r="AG714" s="759"/>
      <c r="AH714" s="759"/>
    </row>
    <row r="715" spans="33:34">
      <c r="AG715" s="759"/>
      <c r="AH715" s="759"/>
    </row>
    <row r="716" spans="33:34">
      <c r="AG716" s="759"/>
      <c r="AH716" s="759"/>
    </row>
    <row r="717" spans="33:34">
      <c r="AG717" s="759"/>
      <c r="AH717" s="759"/>
    </row>
    <row r="718" spans="33:34">
      <c r="AG718" s="759"/>
      <c r="AH718" s="759"/>
    </row>
    <row r="719" spans="33:34">
      <c r="AG719" s="759"/>
      <c r="AH719" s="759"/>
    </row>
    <row r="720" spans="33:34">
      <c r="AG720" s="759"/>
      <c r="AH720" s="759"/>
    </row>
    <row r="721" spans="33:34">
      <c r="AG721" s="759"/>
      <c r="AH721" s="759"/>
    </row>
    <row r="722" spans="33:34">
      <c r="AG722" s="759"/>
      <c r="AH722" s="759"/>
    </row>
    <row r="723" spans="33:34">
      <c r="AG723" s="759"/>
      <c r="AH723" s="759"/>
    </row>
    <row r="724" spans="33:34">
      <c r="AG724" s="759"/>
      <c r="AH724" s="759"/>
    </row>
    <row r="725" spans="33:34">
      <c r="AG725" s="759"/>
      <c r="AH725" s="759"/>
    </row>
    <row r="726" spans="33:34">
      <c r="AG726" s="759"/>
      <c r="AH726" s="759"/>
    </row>
    <row r="727" spans="33:34">
      <c r="AG727" s="759"/>
      <c r="AH727" s="759"/>
    </row>
    <row r="728" spans="33:34">
      <c r="AG728" s="759"/>
      <c r="AH728" s="759"/>
    </row>
    <row r="729" spans="33:34">
      <c r="AG729" s="759"/>
      <c r="AH729" s="759"/>
    </row>
    <row r="730" spans="33:34">
      <c r="AG730" s="759"/>
      <c r="AH730" s="759"/>
    </row>
    <row r="731" spans="33:34">
      <c r="AG731" s="759"/>
      <c r="AH731" s="759"/>
    </row>
    <row r="732" spans="33:34">
      <c r="AG732" s="759"/>
      <c r="AH732" s="759"/>
    </row>
    <row r="733" spans="33:34">
      <c r="AG733" s="759"/>
      <c r="AH733" s="759"/>
    </row>
    <row r="734" spans="33:34">
      <c r="AG734" s="759"/>
      <c r="AH734" s="759"/>
    </row>
    <row r="735" spans="33:34">
      <c r="AG735" s="759"/>
      <c r="AH735" s="759"/>
    </row>
    <row r="736" spans="33:34">
      <c r="AG736" s="759"/>
      <c r="AH736" s="759"/>
    </row>
    <row r="737" spans="33:34">
      <c r="AG737" s="759"/>
      <c r="AH737" s="759"/>
    </row>
    <row r="738" spans="33:34">
      <c r="AG738" s="759"/>
      <c r="AH738" s="759"/>
    </row>
    <row r="739" spans="33:34">
      <c r="AG739" s="759"/>
      <c r="AH739" s="759"/>
    </row>
    <row r="740" spans="33:34">
      <c r="AG740" s="759"/>
      <c r="AH740" s="759"/>
    </row>
    <row r="741" spans="33:34">
      <c r="AG741" s="759"/>
      <c r="AH741" s="759"/>
    </row>
    <row r="742" spans="33:34">
      <c r="AG742" s="759"/>
      <c r="AH742" s="759"/>
    </row>
    <row r="743" spans="33:34">
      <c r="AG743" s="759"/>
      <c r="AH743" s="759"/>
    </row>
    <row r="744" spans="33:34">
      <c r="AG744" s="759"/>
      <c r="AH744" s="759"/>
    </row>
    <row r="745" spans="33:34">
      <c r="AG745" s="759"/>
      <c r="AH745" s="759"/>
    </row>
    <row r="746" spans="33:34">
      <c r="AG746" s="759"/>
      <c r="AH746" s="759"/>
    </row>
    <row r="747" spans="33:34">
      <c r="AG747" s="759"/>
      <c r="AH747" s="759"/>
    </row>
    <row r="748" spans="33:34">
      <c r="AG748" s="759"/>
      <c r="AH748" s="759"/>
    </row>
    <row r="749" spans="33:34">
      <c r="AG749" s="759"/>
      <c r="AH749" s="759"/>
    </row>
    <row r="750" spans="33:34">
      <c r="AG750" s="759"/>
      <c r="AH750" s="759"/>
    </row>
    <row r="751" spans="33:34">
      <c r="AG751" s="759"/>
      <c r="AH751" s="759"/>
    </row>
    <row r="752" spans="33:34">
      <c r="AG752" s="759"/>
      <c r="AH752" s="759"/>
    </row>
    <row r="753" spans="33:34">
      <c r="AG753" s="759"/>
      <c r="AH753" s="759"/>
    </row>
    <row r="754" spans="33:34">
      <c r="AG754" s="759"/>
      <c r="AH754" s="759"/>
    </row>
    <row r="755" spans="33:34">
      <c r="AG755" s="759"/>
      <c r="AH755" s="759"/>
    </row>
    <row r="756" spans="33:34">
      <c r="AG756" s="759"/>
      <c r="AH756" s="759"/>
    </row>
    <row r="757" spans="33:34">
      <c r="AG757" s="759"/>
      <c r="AH757" s="759"/>
    </row>
    <row r="758" spans="33:34">
      <c r="AG758" s="759"/>
      <c r="AH758" s="759"/>
    </row>
    <row r="759" spans="33:34">
      <c r="AG759" s="759"/>
      <c r="AH759" s="759"/>
    </row>
    <row r="760" spans="33:34">
      <c r="AG760" s="759"/>
      <c r="AH760" s="759"/>
    </row>
    <row r="761" spans="33:34">
      <c r="AG761" s="759"/>
      <c r="AH761" s="759"/>
    </row>
    <row r="762" spans="33:34">
      <c r="AG762" s="759"/>
      <c r="AH762" s="759"/>
    </row>
    <row r="763" spans="33:34">
      <c r="AG763" s="759"/>
      <c r="AH763" s="759"/>
    </row>
    <row r="764" spans="33:34">
      <c r="AG764" s="759"/>
      <c r="AH764" s="759"/>
    </row>
    <row r="765" spans="33:34">
      <c r="AG765" s="759"/>
      <c r="AH765" s="759"/>
    </row>
    <row r="766" spans="33:34">
      <c r="AG766" s="759"/>
      <c r="AH766" s="759"/>
    </row>
    <row r="767" spans="33:34">
      <c r="AG767" s="759"/>
      <c r="AH767" s="759"/>
    </row>
    <row r="768" spans="33:34">
      <c r="AG768" s="759"/>
      <c r="AH768" s="759"/>
    </row>
    <row r="769" spans="33:34">
      <c r="AG769" s="759"/>
      <c r="AH769" s="759"/>
    </row>
    <row r="770" spans="33:34">
      <c r="AG770" s="759"/>
      <c r="AH770" s="759"/>
    </row>
    <row r="771" spans="33:34">
      <c r="AG771" s="759"/>
      <c r="AH771" s="759"/>
    </row>
    <row r="772" spans="33:34">
      <c r="AG772" s="759"/>
      <c r="AH772" s="759"/>
    </row>
    <row r="773" spans="33:34">
      <c r="AG773" s="759"/>
      <c r="AH773" s="759"/>
    </row>
    <row r="774" spans="33:34">
      <c r="AG774" s="759"/>
      <c r="AH774" s="759"/>
    </row>
    <row r="775" spans="33:34">
      <c r="AG775" s="759"/>
      <c r="AH775" s="759"/>
    </row>
    <row r="776" spans="33:34">
      <c r="AG776" s="759"/>
      <c r="AH776" s="759"/>
    </row>
    <row r="777" spans="33:34">
      <c r="AG777" s="759"/>
      <c r="AH777" s="759"/>
    </row>
    <row r="778" spans="33:34">
      <c r="AG778" s="759"/>
      <c r="AH778" s="759"/>
    </row>
    <row r="779" spans="33:34">
      <c r="AG779" s="759"/>
      <c r="AH779" s="759"/>
    </row>
    <row r="780" spans="33:34">
      <c r="AG780" s="759"/>
      <c r="AH780" s="759"/>
    </row>
    <row r="781" spans="33:34">
      <c r="AG781" s="759"/>
      <c r="AH781" s="759"/>
    </row>
    <row r="782" spans="33:34">
      <c r="AG782" s="759"/>
      <c r="AH782" s="759"/>
    </row>
    <row r="783" spans="33:34">
      <c r="AG783" s="759"/>
      <c r="AH783" s="759"/>
    </row>
    <row r="784" spans="33:34">
      <c r="AG784" s="759"/>
      <c r="AH784" s="759"/>
    </row>
    <row r="785" spans="33:34">
      <c r="AG785" s="759"/>
      <c r="AH785" s="759"/>
    </row>
    <row r="786" spans="33:34">
      <c r="AG786" s="759"/>
      <c r="AH786" s="759"/>
    </row>
    <row r="787" spans="33:34">
      <c r="AG787" s="759"/>
      <c r="AH787" s="759"/>
    </row>
    <row r="788" spans="33:34">
      <c r="AG788" s="759"/>
      <c r="AH788" s="759"/>
    </row>
    <row r="789" spans="33:34">
      <c r="AG789" s="759"/>
      <c r="AH789" s="759"/>
    </row>
    <row r="790" spans="33:34">
      <c r="AG790" s="759"/>
      <c r="AH790" s="759"/>
    </row>
    <row r="791" spans="33:34">
      <c r="AG791" s="759"/>
      <c r="AH791" s="759"/>
    </row>
    <row r="792" spans="33:34">
      <c r="AG792" s="759"/>
      <c r="AH792" s="759"/>
    </row>
    <row r="793" spans="33:34">
      <c r="AG793" s="759"/>
      <c r="AH793" s="759"/>
    </row>
    <row r="794" spans="33:34">
      <c r="AG794" s="759"/>
      <c r="AH794" s="759"/>
    </row>
    <row r="795" spans="33:34">
      <c r="AG795" s="759"/>
      <c r="AH795" s="759"/>
    </row>
    <row r="796" spans="33:34">
      <c r="AG796" s="759"/>
      <c r="AH796" s="759"/>
    </row>
    <row r="797" spans="33:34">
      <c r="AG797" s="759"/>
      <c r="AH797" s="759"/>
    </row>
    <row r="798" spans="33:34">
      <c r="AG798" s="759"/>
      <c r="AH798" s="759"/>
    </row>
    <row r="799" spans="33:34">
      <c r="AG799" s="759"/>
      <c r="AH799" s="759"/>
    </row>
    <row r="800" spans="33:34">
      <c r="AG800" s="759"/>
      <c r="AH800" s="759"/>
    </row>
    <row r="801" spans="33:34">
      <c r="AG801" s="759"/>
      <c r="AH801" s="759"/>
    </row>
    <row r="802" spans="33:34">
      <c r="AG802" s="759"/>
      <c r="AH802" s="759"/>
    </row>
    <row r="803" spans="33:34">
      <c r="AG803" s="759"/>
      <c r="AH803" s="759"/>
    </row>
    <row r="804" spans="33:34">
      <c r="AG804" s="759"/>
      <c r="AH804" s="759"/>
    </row>
    <row r="805" spans="33:34">
      <c r="AG805" s="759"/>
      <c r="AH805" s="759"/>
    </row>
    <row r="806" spans="33:34">
      <c r="AG806" s="759"/>
      <c r="AH806" s="759"/>
    </row>
    <row r="807" spans="33:34">
      <c r="AG807" s="759"/>
      <c r="AH807" s="759"/>
    </row>
    <row r="808" spans="33:34">
      <c r="AG808" s="759"/>
      <c r="AH808" s="759"/>
    </row>
    <row r="809" spans="33:34">
      <c r="AG809" s="759"/>
      <c r="AH809" s="759"/>
    </row>
    <row r="810" spans="33:34">
      <c r="AG810" s="759"/>
      <c r="AH810" s="759"/>
    </row>
    <row r="811" spans="33:34">
      <c r="AG811" s="759"/>
      <c r="AH811" s="759"/>
    </row>
    <row r="812" spans="33:34">
      <c r="AG812" s="759"/>
      <c r="AH812" s="759"/>
    </row>
    <row r="813" spans="33:34">
      <c r="AG813" s="759"/>
      <c r="AH813" s="759"/>
    </row>
    <row r="814" spans="33:34">
      <c r="AG814" s="759"/>
      <c r="AH814" s="759"/>
    </row>
    <row r="815" spans="33:34">
      <c r="AG815" s="759"/>
      <c r="AH815" s="759"/>
    </row>
    <row r="816" spans="33:34">
      <c r="AG816" s="759"/>
      <c r="AH816" s="759"/>
    </row>
    <row r="817" spans="33:34">
      <c r="AG817" s="759"/>
      <c r="AH817" s="759"/>
    </row>
    <row r="818" spans="33:34">
      <c r="AG818" s="759"/>
      <c r="AH818" s="759"/>
    </row>
    <row r="819" spans="33:34">
      <c r="AG819" s="759"/>
      <c r="AH819" s="759"/>
    </row>
    <row r="820" spans="33:34">
      <c r="AG820" s="759"/>
      <c r="AH820" s="759"/>
    </row>
    <row r="821" spans="33:34">
      <c r="AG821" s="759"/>
      <c r="AH821" s="759"/>
    </row>
    <row r="822" spans="33:34">
      <c r="AG822" s="759"/>
      <c r="AH822" s="759"/>
    </row>
    <row r="823" spans="33:34">
      <c r="AG823" s="759"/>
      <c r="AH823" s="759"/>
    </row>
    <row r="824" spans="33:34">
      <c r="AG824" s="759"/>
      <c r="AH824" s="759"/>
    </row>
    <row r="825" spans="33:34">
      <c r="AG825" s="759"/>
      <c r="AH825" s="759"/>
    </row>
    <row r="826" spans="33:34">
      <c r="AG826" s="759"/>
      <c r="AH826" s="759"/>
    </row>
    <row r="827" spans="33:34">
      <c r="AG827" s="759"/>
      <c r="AH827" s="759"/>
    </row>
    <row r="828" spans="33:34">
      <c r="AG828" s="759"/>
      <c r="AH828" s="759"/>
    </row>
    <row r="829" spans="33:34">
      <c r="AG829" s="759"/>
      <c r="AH829" s="759"/>
    </row>
    <row r="830" spans="33:34">
      <c r="AG830" s="759"/>
      <c r="AH830" s="759"/>
    </row>
    <row r="831" spans="33:34">
      <c r="AG831" s="759"/>
      <c r="AH831" s="759"/>
    </row>
    <row r="832" spans="33:34">
      <c r="AG832" s="759"/>
      <c r="AH832" s="759"/>
    </row>
    <row r="833" spans="33:34">
      <c r="AG833" s="759"/>
      <c r="AH833" s="759"/>
    </row>
    <row r="834" spans="33:34">
      <c r="AG834" s="759"/>
      <c r="AH834" s="759"/>
    </row>
    <row r="835" spans="33:34">
      <c r="AG835" s="759"/>
      <c r="AH835" s="759"/>
    </row>
    <row r="836" spans="33:34">
      <c r="AG836" s="759"/>
      <c r="AH836" s="759"/>
    </row>
    <row r="837" spans="33:34">
      <c r="AG837" s="759"/>
      <c r="AH837" s="759"/>
    </row>
    <row r="838" spans="33:34">
      <c r="AG838" s="759"/>
      <c r="AH838" s="759"/>
    </row>
    <row r="839" spans="33:34">
      <c r="AG839" s="759"/>
      <c r="AH839" s="759"/>
    </row>
    <row r="840" spans="33:34">
      <c r="AG840" s="759"/>
      <c r="AH840" s="759"/>
    </row>
    <row r="841" spans="33:34">
      <c r="AG841" s="759"/>
      <c r="AH841" s="759"/>
    </row>
    <row r="842" spans="33:34">
      <c r="AG842" s="759"/>
      <c r="AH842" s="759"/>
    </row>
    <row r="843" spans="33:34">
      <c r="AG843" s="759"/>
      <c r="AH843" s="759"/>
    </row>
    <row r="844" spans="33:34">
      <c r="AG844" s="759"/>
      <c r="AH844" s="759"/>
    </row>
    <row r="845" spans="33:34">
      <c r="AG845" s="759"/>
      <c r="AH845" s="759"/>
    </row>
    <row r="846" spans="33:34">
      <c r="AG846" s="759"/>
      <c r="AH846" s="759"/>
    </row>
    <row r="847" spans="33:34">
      <c r="AG847" s="759"/>
      <c r="AH847" s="759"/>
    </row>
    <row r="848" spans="33:34">
      <c r="AG848" s="759"/>
      <c r="AH848" s="759"/>
    </row>
    <row r="849" spans="33:34">
      <c r="AG849" s="759"/>
      <c r="AH849" s="759"/>
    </row>
    <row r="850" spans="33:34">
      <c r="AG850" s="759"/>
      <c r="AH850" s="759"/>
    </row>
    <row r="851" spans="33:34">
      <c r="AG851" s="759"/>
      <c r="AH851" s="759"/>
    </row>
    <row r="852" spans="33:34">
      <c r="AG852" s="759"/>
      <c r="AH852" s="759"/>
    </row>
    <row r="853" spans="33:34">
      <c r="AG853" s="759"/>
      <c r="AH853" s="759"/>
    </row>
    <row r="854" spans="33:34">
      <c r="AG854" s="759"/>
      <c r="AH854" s="759"/>
    </row>
    <row r="855" spans="33:34">
      <c r="AG855" s="759"/>
      <c r="AH855" s="759"/>
    </row>
    <row r="856" spans="33:34">
      <c r="AG856" s="759"/>
      <c r="AH856" s="759"/>
    </row>
    <row r="857" spans="33:34">
      <c r="AG857" s="759"/>
      <c r="AH857" s="759"/>
    </row>
    <row r="858" spans="33:34">
      <c r="AG858" s="759"/>
      <c r="AH858" s="759"/>
    </row>
    <row r="859" spans="33:34">
      <c r="AG859" s="759"/>
      <c r="AH859" s="759"/>
    </row>
    <row r="860" spans="33:34">
      <c r="AG860" s="759"/>
      <c r="AH860" s="759"/>
    </row>
    <row r="861" spans="33:34">
      <c r="AG861" s="759"/>
      <c r="AH861" s="759"/>
    </row>
    <row r="862" spans="33:34">
      <c r="AG862" s="759"/>
      <c r="AH862" s="759"/>
    </row>
    <row r="863" spans="33:34">
      <c r="AG863" s="759"/>
      <c r="AH863" s="759"/>
    </row>
    <row r="864" spans="33:34">
      <c r="AG864" s="759"/>
      <c r="AH864" s="759"/>
    </row>
    <row r="865" spans="33:34">
      <c r="AG865" s="759"/>
      <c r="AH865" s="759"/>
    </row>
    <row r="866" spans="33:34">
      <c r="AG866" s="759"/>
      <c r="AH866" s="759"/>
    </row>
    <row r="867" spans="33:34">
      <c r="AG867" s="759"/>
      <c r="AH867" s="759"/>
    </row>
    <row r="868" spans="33:34">
      <c r="AG868" s="759"/>
      <c r="AH868" s="759"/>
    </row>
    <row r="869" spans="33:34">
      <c r="AG869" s="759"/>
      <c r="AH869" s="759"/>
    </row>
    <row r="870" spans="33:34">
      <c r="AG870" s="759"/>
      <c r="AH870" s="759"/>
    </row>
    <row r="871" spans="33:34">
      <c r="AG871" s="759"/>
      <c r="AH871" s="759"/>
    </row>
    <row r="872" spans="33:34">
      <c r="AG872" s="759"/>
      <c r="AH872" s="759"/>
    </row>
    <row r="873" spans="33:34">
      <c r="AG873" s="759"/>
      <c r="AH873" s="759"/>
    </row>
    <row r="874" spans="33:34">
      <c r="AG874" s="759"/>
      <c r="AH874" s="759"/>
    </row>
    <row r="875" spans="33:34">
      <c r="AG875" s="759"/>
      <c r="AH875" s="759"/>
    </row>
    <row r="876" spans="33:34">
      <c r="AG876" s="759"/>
      <c r="AH876" s="759"/>
    </row>
    <row r="877" spans="33:34">
      <c r="AG877" s="759"/>
      <c r="AH877" s="759"/>
    </row>
    <row r="878" spans="33:34">
      <c r="AG878" s="759"/>
      <c r="AH878" s="759"/>
    </row>
    <row r="879" spans="33:34">
      <c r="AG879" s="759"/>
      <c r="AH879" s="759"/>
    </row>
    <row r="880" spans="33:34">
      <c r="AG880" s="759"/>
      <c r="AH880" s="759"/>
    </row>
    <row r="881" spans="33:34">
      <c r="AG881" s="759"/>
      <c r="AH881" s="759"/>
    </row>
    <row r="882" spans="33:34">
      <c r="AG882" s="759"/>
      <c r="AH882" s="759"/>
    </row>
    <row r="883" spans="33:34">
      <c r="AG883" s="759"/>
      <c r="AH883" s="759"/>
    </row>
    <row r="884" spans="33:34">
      <c r="AG884" s="759"/>
      <c r="AH884" s="759"/>
    </row>
    <row r="885" spans="33:34">
      <c r="AG885" s="759"/>
      <c r="AH885" s="759"/>
    </row>
    <row r="886" spans="33:34">
      <c r="AG886" s="759"/>
      <c r="AH886" s="759"/>
    </row>
    <row r="887" spans="33:34">
      <c r="AG887" s="759"/>
      <c r="AH887" s="759"/>
    </row>
    <row r="888" spans="33:34">
      <c r="AG888" s="759"/>
      <c r="AH888" s="759"/>
    </row>
    <row r="889" spans="33:34">
      <c r="AG889" s="759"/>
      <c r="AH889" s="759"/>
    </row>
    <row r="890" spans="33:34">
      <c r="AG890" s="759"/>
      <c r="AH890" s="759"/>
    </row>
    <row r="891" spans="33:34">
      <c r="AG891" s="759"/>
      <c r="AH891" s="759"/>
    </row>
    <row r="892" spans="33:34">
      <c r="AG892" s="759"/>
      <c r="AH892" s="759"/>
    </row>
    <row r="893" spans="33:34">
      <c r="AG893" s="759"/>
      <c r="AH893" s="759"/>
    </row>
    <row r="894" spans="33:34">
      <c r="AG894" s="759"/>
      <c r="AH894" s="759"/>
    </row>
    <row r="895" spans="33:34">
      <c r="AG895" s="759"/>
      <c r="AH895" s="759"/>
    </row>
    <row r="896" spans="33:34">
      <c r="AG896" s="759"/>
      <c r="AH896" s="759"/>
    </row>
    <row r="897" spans="33:34">
      <c r="AG897" s="759"/>
      <c r="AH897" s="759"/>
    </row>
    <row r="898" spans="33:34">
      <c r="AG898" s="759"/>
      <c r="AH898" s="759"/>
    </row>
    <row r="899" spans="33:34">
      <c r="AG899" s="759"/>
      <c r="AH899" s="759"/>
    </row>
    <row r="900" spans="33:34">
      <c r="AG900" s="759"/>
      <c r="AH900" s="759"/>
    </row>
    <row r="901" spans="33:34">
      <c r="AG901" s="759"/>
      <c r="AH901" s="759"/>
    </row>
    <row r="902" spans="33:34">
      <c r="AG902" s="759"/>
      <c r="AH902" s="759"/>
    </row>
    <row r="903" spans="33:34">
      <c r="AG903" s="759"/>
      <c r="AH903" s="759"/>
    </row>
    <row r="904" spans="33:34">
      <c r="AG904" s="759"/>
      <c r="AH904" s="759"/>
    </row>
    <row r="905" spans="33:34">
      <c r="AG905" s="759"/>
      <c r="AH905" s="759"/>
    </row>
    <row r="906" spans="33:34">
      <c r="AG906" s="759"/>
      <c r="AH906" s="759"/>
    </row>
    <row r="907" spans="33:34">
      <c r="AG907" s="759"/>
      <c r="AH907" s="759"/>
    </row>
    <row r="908" spans="33:34">
      <c r="AG908" s="759"/>
      <c r="AH908" s="759"/>
    </row>
    <row r="909" spans="33:34">
      <c r="AG909" s="759"/>
      <c r="AH909" s="759"/>
    </row>
    <row r="910" spans="33:34">
      <c r="AG910" s="759"/>
      <c r="AH910" s="759"/>
    </row>
    <row r="911" spans="33:34">
      <c r="AG911" s="759"/>
      <c r="AH911" s="759"/>
    </row>
    <row r="912" spans="33:34">
      <c r="AG912" s="759"/>
      <c r="AH912" s="759"/>
    </row>
    <row r="913" spans="33:34">
      <c r="AG913" s="759"/>
      <c r="AH913" s="759"/>
    </row>
    <row r="914" spans="33:34">
      <c r="AG914" s="759"/>
      <c r="AH914" s="759"/>
    </row>
    <row r="915" spans="33:34">
      <c r="AG915" s="759"/>
      <c r="AH915" s="759"/>
    </row>
    <row r="916" spans="33:34">
      <c r="AG916" s="759"/>
      <c r="AH916" s="759"/>
    </row>
    <row r="917" spans="33:34">
      <c r="AG917" s="759"/>
      <c r="AH917" s="759"/>
    </row>
    <row r="918" spans="33:34">
      <c r="AG918" s="759"/>
      <c r="AH918" s="759"/>
    </row>
    <row r="919" spans="33:34">
      <c r="AG919" s="759"/>
      <c r="AH919" s="759"/>
    </row>
    <row r="920" spans="33:34">
      <c r="AG920" s="759"/>
      <c r="AH920" s="759"/>
    </row>
    <row r="921" spans="33:34">
      <c r="AG921" s="759"/>
      <c r="AH921" s="759"/>
    </row>
    <row r="922" spans="33:34">
      <c r="AG922" s="759"/>
      <c r="AH922" s="759"/>
    </row>
    <row r="923" spans="33:34">
      <c r="AG923" s="759"/>
      <c r="AH923" s="759"/>
    </row>
    <row r="924" spans="33:34">
      <c r="AG924" s="759"/>
      <c r="AH924" s="759"/>
    </row>
    <row r="925" spans="33:34">
      <c r="AG925" s="759"/>
      <c r="AH925" s="759"/>
    </row>
    <row r="926" spans="33:34">
      <c r="AG926" s="759"/>
      <c r="AH926" s="759"/>
    </row>
    <row r="927" spans="33:34">
      <c r="AG927" s="759"/>
      <c r="AH927" s="759"/>
    </row>
    <row r="928" spans="33:34">
      <c r="AG928" s="759"/>
      <c r="AH928" s="759"/>
    </row>
    <row r="929" spans="33:34">
      <c r="AG929" s="759"/>
      <c r="AH929" s="759"/>
    </row>
    <row r="930" spans="33:34">
      <c r="AG930" s="759"/>
      <c r="AH930" s="759"/>
    </row>
    <row r="931" spans="33:34">
      <c r="AG931" s="759"/>
      <c r="AH931" s="759"/>
    </row>
    <row r="932" spans="33:34">
      <c r="AG932" s="759"/>
      <c r="AH932" s="759"/>
    </row>
    <row r="933" spans="33:34">
      <c r="AG933" s="759"/>
      <c r="AH933" s="759"/>
    </row>
    <row r="934" spans="33:34">
      <c r="AG934" s="759"/>
      <c r="AH934" s="759"/>
    </row>
    <row r="935" spans="33:34">
      <c r="AG935" s="759"/>
      <c r="AH935" s="759"/>
    </row>
    <row r="936" spans="33:34">
      <c r="AG936" s="759"/>
      <c r="AH936" s="759"/>
    </row>
    <row r="937" spans="33:34">
      <c r="AG937" s="759"/>
      <c r="AH937" s="759"/>
    </row>
    <row r="938" spans="33:34">
      <c r="AG938" s="759"/>
      <c r="AH938" s="759"/>
    </row>
    <row r="939" spans="33:34">
      <c r="AG939" s="759"/>
      <c r="AH939" s="759"/>
    </row>
    <row r="940" spans="33:34">
      <c r="AG940" s="759"/>
      <c r="AH940" s="759"/>
    </row>
    <row r="941" spans="33:34">
      <c r="AG941" s="759"/>
      <c r="AH941" s="759"/>
    </row>
    <row r="942" spans="33:34">
      <c r="AG942" s="759"/>
      <c r="AH942" s="759"/>
    </row>
    <row r="943" spans="33:34">
      <c r="AG943" s="759"/>
      <c r="AH943" s="759"/>
    </row>
    <row r="944" spans="33:34">
      <c r="AG944" s="759"/>
      <c r="AH944" s="759"/>
    </row>
    <row r="945" spans="33:34">
      <c r="AG945" s="759"/>
      <c r="AH945" s="759"/>
    </row>
    <row r="946" spans="33:34">
      <c r="AG946" s="759"/>
      <c r="AH946" s="759"/>
    </row>
    <row r="947" spans="33:34">
      <c r="AG947" s="759"/>
      <c r="AH947" s="759"/>
    </row>
    <row r="948" spans="33:34">
      <c r="AG948" s="759"/>
      <c r="AH948" s="759"/>
    </row>
    <row r="949" spans="33:34">
      <c r="AG949" s="759"/>
      <c r="AH949" s="759"/>
    </row>
    <row r="950" spans="33:34">
      <c r="AG950" s="759"/>
      <c r="AH950" s="759"/>
    </row>
    <row r="951" spans="33:34">
      <c r="AG951" s="759"/>
      <c r="AH951" s="759"/>
    </row>
    <row r="952" spans="33:34">
      <c r="AG952" s="759"/>
      <c r="AH952" s="759"/>
    </row>
    <row r="953" spans="33:34">
      <c r="AG953" s="759"/>
      <c r="AH953" s="759"/>
    </row>
    <row r="954" spans="33:34">
      <c r="AG954" s="759"/>
      <c r="AH954" s="759"/>
    </row>
    <row r="955" spans="33:34">
      <c r="AG955" s="759"/>
      <c r="AH955" s="759"/>
    </row>
    <row r="956" spans="33:34">
      <c r="AG956" s="759"/>
      <c r="AH956" s="759"/>
    </row>
    <row r="957" spans="33:34">
      <c r="AG957" s="759"/>
      <c r="AH957" s="759"/>
    </row>
    <row r="958" spans="33:34">
      <c r="AG958" s="759"/>
      <c r="AH958" s="759"/>
    </row>
    <row r="959" spans="33:34">
      <c r="AG959" s="759"/>
      <c r="AH959" s="759"/>
    </row>
    <row r="960" spans="33:34">
      <c r="AG960" s="759"/>
      <c r="AH960" s="759"/>
    </row>
    <row r="961" spans="33:34">
      <c r="AG961" s="759"/>
      <c r="AH961" s="759"/>
    </row>
    <row r="962" spans="33:34">
      <c r="AG962" s="759"/>
      <c r="AH962" s="759"/>
    </row>
    <row r="963" spans="33:34">
      <c r="AG963" s="759"/>
      <c r="AH963" s="759"/>
    </row>
    <row r="964" spans="33:34">
      <c r="AG964" s="759"/>
      <c r="AH964" s="759"/>
    </row>
    <row r="965" spans="33:34">
      <c r="AG965" s="759"/>
      <c r="AH965" s="759"/>
    </row>
    <row r="966" spans="33:34">
      <c r="AG966" s="759"/>
      <c r="AH966" s="759"/>
    </row>
    <row r="967" spans="33:34">
      <c r="AG967" s="759"/>
      <c r="AH967" s="759"/>
    </row>
    <row r="968" spans="33:34">
      <c r="AG968" s="759"/>
      <c r="AH968" s="759"/>
    </row>
    <row r="969" spans="33:34">
      <c r="AG969" s="759"/>
      <c r="AH969" s="759"/>
    </row>
    <row r="970" spans="33:34">
      <c r="AG970" s="759"/>
      <c r="AH970" s="759"/>
    </row>
    <row r="971" spans="33:34">
      <c r="AG971" s="759"/>
      <c r="AH971" s="759"/>
    </row>
    <row r="972" spans="33:34">
      <c r="AG972" s="759"/>
      <c r="AH972" s="759"/>
    </row>
    <row r="973" spans="33:34">
      <c r="AG973" s="759"/>
      <c r="AH973" s="759"/>
    </row>
    <row r="974" spans="33:34">
      <c r="AG974" s="759"/>
      <c r="AH974" s="759"/>
    </row>
    <row r="975" spans="33:34">
      <c r="AG975" s="759"/>
      <c r="AH975" s="759"/>
    </row>
    <row r="976" spans="33:34">
      <c r="AG976" s="759"/>
      <c r="AH976" s="759"/>
    </row>
    <row r="977" spans="33:34">
      <c r="AG977" s="759"/>
      <c r="AH977" s="759"/>
    </row>
    <row r="978" spans="33:34">
      <c r="AG978" s="759"/>
      <c r="AH978" s="759"/>
    </row>
    <row r="979" spans="33:34">
      <c r="AG979" s="759"/>
      <c r="AH979" s="759"/>
    </row>
    <row r="980" spans="33:34">
      <c r="AG980" s="759"/>
      <c r="AH980" s="759"/>
    </row>
    <row r="981" spans="33:34">
      <c r="AG981" s="759"/>
      <c r="AH981" s="759"/>
    </row>
    <row r="982" spans="33:34">
      <c r="AG982" s="759"/>
      <c r="AH982" s="759"/>
    </row>
    <row r="983" spans="33:34">
      <c r="AG983" s="759"/>
      <c r="AH983" s="759"/>
    </row>
    <row r="984" spans="33:34">
      <c r="AG984" s="759"/>
      <c r="AH984" s="759"/>
    </row>
    <row r="985" spans="33:34">
      <c r="AG985" s="759"/>
      <c r="AH985" s="759"/>
    </row>
    <row r="986" spans="33:34">
      <c r="AG986" s="759"/>
      <c r="AH986" s="759"/>
    </row>
    <row r="987" spans="33:34">
      <c r="AG987" s="759"/>
      <c r="AH987" s="759"/>
    </row>
    <row r="988" spans="33:34">
      <c r="AG988" s="759"/>
      <c r="AH988" s="759"/>
    </row>
    <row r="989" spans="33:34">
      <c r="AG989" s="759"/>
      <c r="AH989" s="759"/>
    </row>
    <row r="990" spans="33:34">
      <c r="AG990" s="759"/>
      <c r="AH990" s="759"/>
    </row>
    <row r="991" spans="33:34">
      <c r="AG991" s="759"/>
      <c r="AH991" s="759"/>
    </row>
    <row r="992" spans="33:34">
      <c r="AG992" s="759"/>
      <c r="AH992" s="759"/>
    </row>
    <row r="993" spans="33:34">
      <c r="AG993" s="759"/>
      <c r="AH993" s="759"/>
    </row>
    <row r="994" spans="33:34">
      <c r="AG994" s="759"/>
      <c r="AH994" s="759"/>
    </row>
    <row r="995" spans="33:34">
      <c r="AG995" s="759"/>
      <c r="AH995" s="759"/>
    </row>
    <row r="996" spans="33:34">
      <c r="AG996" s="759"/>
      <c r="AH996" s="759"/>
    </row>
    <row r="997" spans="33:34">
      <c r="AG997" s="759"/>
      <c r="AH997" s="759"/>
    </row>
    <row r="998" spans="33:34">
      <c r="AG998" s="759"/>
      <c r="AH998" s="759"/>
    </row>
    <row r="999" spans="33:34">
      <c r="AG999" s="759"/>
      <c r="AH999" s="759"/>
    </row>
    <row r="1000" spans="33:34">
      <c r="AG1000" s="759"/>
      <c r="AH1000" s="759"/>
    </row>
    <row r="1001" spans="33:34">
      <c r="AG1001" s="759"/>
      <c r="AH1001" s="759"/>
    </row>
    <row r="1002" spans="33:34">
      <c r="AG1002" s="759"/>
      <c r="AH1002" s="759"/>
    </row>
    <row r="1003" spans="33:34">
      <c r="AG1003" s="759"/>
      <c r="AH1003" s="759"/>
    </row>
    <row r="1004" spans="33:34">
      <c r="AG1004" s="759"/>
      <c r="AH1004" s="759"/>
    </row>
    <row r="1005" spans="33:34">
      <c r="AG1005" s="759"/>
      <c r="AH1005" s="759"/>
    </row>
    <row r="1006" spans="33:34">
      <c r="AG1006" s="759"/>
      <c r="AH1006" s="759"/>
    </row>
    <row r="1007" spans="33:34">
      <c r="AG1007" s="759"/>
      <c r="AH1007" s="759"/>
    </row>
    <row r="1008" spans="33:34">
      <c r="AG1008" s="759"/>
      <c r="AH1008" s="759"/>
    </row>
    <row r="1009" spans="33:34">
      <c r="AG1009" s="759"/>
      <c r="AH1009" s="759"/>
    </row>
    <row r="1010" spans="33:34">
      <c r="AG1010" s="759"/>
      <c r="AH1010" s="759"/>
    </row>
    <row r="1011" spans="33:34">
      <c r="AG1011" s="759"/>
      <c r="AH1011" s="759"/>
    </row>
    <row r="1012" spans="33:34">
      <c r="AG1012" s="759"/>
      <c r="AH1012" s="759"/>
    </row>
    <row r="1013" spans="33:34">
      <c r="AG1013" s="759"/>
      <c r="AH1013" s="759"/>
    </row>
    <row r="1014" spans="33:34">
      <c r="AG1014" s="759"/>
      <c r="AH1014" s="759"/>
    </row>
    <row r="1015" spans="33:34">
      <c r="AG1015" s="759"/>
      <c r="AH1015" s="759"/>
    </row>
    <row r="1016" spans="33:34">
      <c r="AG1016" s="759"/>
      <c r="AH1016" s="759"/>
    </row>
    <row r="1017" spans="33:34">
      <c r="AG1017" s="759"/>
      <c r="AH1017" s="759"/>
    </row>
    <row r="1018" spans="33:34">
      <c r="AG1018" s="759"/>
      <c r="AH1018" s="759"/>
    </row>
    <row r="1019" spans="33:34">
      <c r="AG1019" s="759"/>
      <c r="AH1019" s="759"/>
    </row>
    <row r="1020" spans="33:34">
      <c r="AG1020" s="759"/>
      <c r="AH1020" s="759"/>
    </row>
    <row r="1021" spans="33:34">
      <c r="AG1021" s="759"/>
      <c r="AH1021" s="759"/>
    </row>
    <row r="1022" spans="33:34">
      <c r="AG1022" s="759"/>
      <c r="AH1022" s="759"/>
    </row>
    <row r="1023" spans="33:34">
      <c r="AG1023" s="759"/>
      <c r="AH1023" s="759"/>
    </row>
    <row r="1024" spans="33:34">
      <c r="AG1024" s="759"/>
      <c r="AH1024" s="759"/>
    </row>
    <row r="1025" spans="33:34">
      <c r="AG1025" s="759"/>
      <c r="AH1025" s="759"/>
    </row>
    <row r="1026" spans="33:34">
      <c r="AG1026" s="759"/>
      <c r="AH1026" s="759"/>
    </row>
    <row r="1027" spans="33:34">
      <c r="AG1027" s="759"/>
      <c r="AH1027" s="759"/>
    </row>
    <row r="1028" spans="33:34">
      <c r="AG1028" s="759"/>
      <c r="AH1028" s="759"/>
    </row>
    <row r="1029" spans="33:34">
      <c r="AG1029" s="759"/>
      <c r="AH1029" s="759"/>
    </row>
    <row r="1030" spans="33:34">
      <c r="AG1030" s="759"/>
      <c r="AH1030" s="759"/>
    </row>
    <row r="1031" spans="33:34">
      <c r="AG1031" s="759"/>
      <c r="AH1031" s="759"/>
    </row>
    <row r="1032" spans="33:34">
      <c r="AG1032" s="759"/>
      <c r="AH1032" s="759"/>
    </row>
    <row r="1033" spans="33:34">
      <c r="AG1033" s="759"/>
      <c r="AH1033" s="759"/>
    </row>
    <row r="1034" spans="33:34">
      <c r="AG1034" s="759"/>
      <c r="AH1034" s="759"/>
    </row>
    <row r="1035" spans="33:34">
      <c r="AG1035" s="759"/>
      <c r="AH1035" s="759"/>
    </row>
    <row r="1036" spans="33:34">
      <c r="AG1036" s="759"/>
      <c r="AH1036" s="759"/>
    </row>
    <row r="1037" spans="33:34">
      <c r="AG1037" s="759"/>
      <c r="AH1037" s="759"/>
    </row>
    <row r="1038" spans="33:34">
      <c r="AG1038" s="759"/>
      <c r="AH1038" s="759"/>
    </row>
    <row r="1039" spans="33:34">
      <c r="AG1039" s="759"/>
      <c r="AH1039" s="759"/>
    </row>
    <row r="1040" spans="33:34">
      <c r="AG1040" s="759"/>
      <c r="AH1040" s="759"/>
    </row>
    <row r="1041" spans="33:34">
      <c r="AG1041" s="759"/>
      <c r="AH1041" s="759"/>
    </row>
    <row r="1042" spans="33:34">
      <c r="AG1042" s="759"/>
      <c r="AH1042" s="759"/>
    </row>
    <row r="1043" spans="33:34">
      <c r="AG1043" s="759"/>
      <c r="AH1043" s="759"/>
    </row>
    <row r="1044" spans="33:34">
      <c r="AG1044" s="759"/>
      <c r="AH1044" s="759"/>
    </row>
    <row r="1045" spans="33:34">
      <c r="AG1045" s="759"/>
      <c r="AH1045" s="759"/>
    </row>
    <row r="1046" spans="33:34">
      <c r="AG1046" s="759"/>
      <c r="AH1046" s="759"/>
    </row>
    <row r="1047" spans="33:34">
      <c r="AG1047" s="759"/>
      <c r="AH1047" s="759"/>
    </row>
    <row r="1048" spans="33:34">
      <c r="AG1048" s="759"/>
      <c r="AH1048" s="759"/>
    </row>
    <row r="1049" spans="33:34">
      <c r="AG1049" s="759"/>
      <c r="AH1049" s="759"/>
    </row>
    <row r="1050" spans="33:34">
      <c r="AG1050" s="759"/>
      <c r="AH1050" s="759"/>
    </row>
    <row r="1051" spans="33:34">
      <c r="AG1051" s="759"/>
      <c r="AH1051" s="759"/>
    </row>
    <row r="1052" spans="33:34">
      <c r="AG1052" s="759"/>
      <c r="AH1052" s="759"/>
    </row>
    <row r="1053" spans="33:34">
      <c r="AG1053" s="759"/>
      <c r="AH1053" s="759"/>
    </row>
    <row r="1054" spans="33:34">
      <c r="AG1054" s="759"/>
      <c r="AH1054" s="759"/>
    </row>
    <row r="1055" spans="33:34">
      <c r="AG1055" s="759"/>
      <c r="AH1055" s="759"/>
    </row>
    <row r="1056" spans="33:34">
      <c r="AG1056" s="759"/>
      <c r="AH1056" s="759"/>
    </row>
    <row r="1057" spans="33:34">
      <c r="AG1057" s="759"/>
      <c r="AH1057" s="759"/>
    </row>
    <row r="1058" spans="33:34">
      <c r="AG1058" s="759"/>
      <c r="AH1058" s="759"/>
    </row>
    <row r="1059" spans="33:34">
      <c r="AG1059" s="759"/>
      <c r="AH1059" s="759"/>
    </row>
    <row r="1060" spans="33:34">
      <c r="AG1060" s="759"/>
      <c r="AH1060" s="759"/>
    </row>
    <row r="1061" spans="33:34">
      <c r="AG1061" s="759"/>
      <c r="AH1061" s="759"/>
    </row>
    <row r="1062" spans="33:34">
      <c r="AG1062" s="759"/>
      <c r="AH1062" s="759"/>
    </row>
    <row r="1063" spans="33:34">
      <c r="AG1063" s="759"/>
      <c r="AH1063" s="759"/>
    </row>
    <row r="1064" spans="33:34">
      <c r="AG1064" s="759"/>
      <c r="AH1064" s="759"/>
    </row>
    <row r="1065" spans="33:34">
      <c r="AG1065" s="759"/>
      <c r="AH1065" s="759"/>
    </row>
    <row r="1066" spans="33:34">
      <c r="AG1066" s="759"/>
      <c r="AH1066" s="759"/>
    </row>
    <row r="1067" spans="33:34">
      <c r="AG1067" s="759"/>
      <c r="AH1067" s="759"/>
    </row>
    <row r="1068" spans="33:34">
      <c r="AG1068" s="759"/>
      <c r="AH1068" s="759"/>
    </row>
    <row r="1069" spans="33:34">
      <c r="AG1069" s="759"/>
      <c r="AH1069" s="759"/>
    </row>
    <row r="1070" spans="33:34">
      <c r="AG1070" s="759"/>
      <c r="AH1070" s="759"/>
    </row>
    <row r="1071" spans="33:34">
      <c r="AG1071" s="759"/>
      <c r="AH1071" s="759"/>
    </row>
    <row r="1072" spans="33:34">
      <c r="AG1072" s="759"/>
      <c r="AH1072" s="759"/>
    </row>
    <row r="1073" spans="33:34">
      <c r="AG1073" s="759"/>
      <c r="AH1073" s="759"/>
    </row>
    <row r="1074" spans="33:34">
      <c r="AG1074" s="759"/>
      <c r="AH1074" s="759"/>
    </row>
    <row r="1075" spans="33:34">
      <c r="AG1075" s="759"/>
      <c r="AH1075" s="759"/>
    </row>
    <row r="1076" spans="33:34">
      <c r="AG1076" s="759"/>
      <c r="AH1076" s="759"/>
    </row>
    <row r="1077" spans="33:34">
      <c r="AG1077" s="759"/>
      <c r="AH1077" s="759"/>
    </row>
    <row r="1078" spans="33:34">
      <c r="AG1078" s="759"/>
      <c r="AH1078" s="759"/>
    </row>
    <row r="1079" spans="33:34">
      <c r="AG1079" s="759"/>
      <c r="AH1079" s="759"/>
    </row>
    <row r="1080" spans="33:34">
      <c r="AG1080" s="759"/>
      <c r="AH1080" s="759"/>
    </row>
    <row r="1081" spans="33:34">
      <c r="AG1081" s="759"/>
      <c r="AH1081" s="759"/>
    </row>
    <row r="1082" spans="33:34">
      <c r="AG1082" s="759"/>
      <c r="AH1082" s="759"/>
    </row>
    <row r="1083" spans="33:34">
      <c r="AG1083" s="759"/>
      <c r="AH1083" s="759"/>
    </row>
    <row r="1084" spans="33:34">
      <c r="AG1084" s="759"/>
      <c r="AH1084" s="759"/>
    </row>
    <row r="1085" spans="33:34">
      <c r="AG1085" s="759"/>
      <c r="AH1085" s="759"/>
    </row>
    <row r="1086" spans="33:34">
      <c r="AG1086" s="759"/>
      <c r="AH1086" s="759"/>
    </row>
    <row r="1087" spans="33:34">
      <c r="AG1087" s="759"/>
      <c r="AH1087" s="759"/>
    </row>
    <row r="1088" spans="33:34">
      <c r="AG1088" s="759"/>
      <c r="AH1088" s="759"/>
    </row>
    <row r="1089" spans="33:34">
      <c r="AG1089" s="759"/>
      <c r="AH1089" s="759"/>
    </row>
    <row r="1090" spans="33:34">
      <c r="AG1090" s="759"/>
      <c r="AH1090" s="759"/>
    </row>
    <row r="1091" spans="33:34">
      <c r="AG1091" s="759"/>
      <c r="AH1091" s="759"/>
    </row>
    <row r="1092" spans="33:34">
      <c r="AG1092" s="759"/>
      <c r="AH1092" s="759"/>
    </row>
    <row r="1093" spans="33:34">
      <c r="AG1093" s="759"/>
      <c r="AH1093" s="759"/>
    </row>
    <row r="1094" spans="33:34">
      <c r="AG1094" s="759"/>
      <c r="AH1094" s="759"/>
    </row>
    <row r="1095" spans="33:34">
      <c r="AG1095" s="759"/>
      <c r="AH1095" s="759"/>
    </row>
    <row r="1096" spans="33:34">
      <c r="AG1096" s="759"/>
      <c r="AH1096" s="759"/>
    </row>
    <row r="1097" spans="33:34">
      <c r="AG1097" s="759"/>
      <c r="AH1097" s="759"/>
    </row>
    <row r="1098" spans="33:34">
      <c r="AG1098" s="759"/>
      <c r="AH1098" s="759"/>
    </row>
    <row r="1099" spans="33:34">
      <c r="AG1099" s="759"/>
      <c r="AH1099" s="759"/>
    </row>
    <row r="1100" spans="33:34">
      <c r="AG1100" s="759"/>
      <c r="AH1100" s="759"/>
    </row>
    <row r="1101" spans="33:34">
      <c r="AG1101" s="759"/>
      <c r="AH1101" s="759"/>
    </row>
    <row r="1102" spans="33:34">
      <c r="AG1102" s="759"/>
      <c r="AH1102" s="759"/>
    </row>
    <row r="1103" spans="33:34">
      <c r="AG1103" s="759"/>
      <c r="AH1103" s="759"/>
    </row>
    <row r="1104" spans="33:34">
      <c r="AG1104" s="759"/>
      <c r="AH1104" s="759"/>
    </row>
    <row r="1105" spans="33:34">
      <c r="AG1105" s="759"/>
      <c r="AH1105" s="759"/>
    </row>
    <row r="1106" spans="33:34">
      <c r="AG1106" s="759"/>
      <c r="AH1106" s="759"/>
    </row>
    <row r="1107" spans="33:34">
      <c r="AG1107" s="759"/>
      <c r="AH1107" s="759"/>
    </row>
    <row r="1108" spans="33:34">
      <c r="AG1108" s="759"/>
      <c r="AH1108" s="759"/>
    </row>
    <row r="1109" spans="33:34">
      <c r="AG1109" s="759"/>
      <c r="AH1109" s="759"/>
    </row>
    <row r="1110" spans="33:34">
      <c r="AG1110" s="759"/>
      <c r="AH1110" s="759"/>
    </row>
    <row r="1111" spans="33:34">
      <c r="AG1111" s="759"/>
      <c r="AH1111" s="759"/>
    </row>
    <row r="1112" spans="33:34">
      <c r="AG1112" s="759"/>
      <c r="AH1112" s="759"/>
    </row>
    <row r="1113" spans="33:34">
      <c r="AG1113" s="759"/>
      <c r="AH1113" s="759"/>
    </row>
    <row r="1114" spans="33:34">
      <c r="AG1114" s="759"/>
      <c r="AH1114" s="759"/>
    </row>
    <row r="1115" spans="33:34">
      <c r="AG1115" s="759"/>
      <c r="AH1115" s="759"/>
    </row>
    <row r="1116" spans="33:34">
      <c r="AG1116" s="759"/>
      <c r="AH1116" s="759"/>
    </row>
    <row r="1117" spans="33:34">
      <c r="AG1117" s="759"/>
      <c r="AH1117" s="759"/>
    </row>
    <row r="1118" spans="33:34">
      <c r="AG1118" s="759"/>
      <c r="AH1118" s="759"/>
    </row>
    <row r="1119" spans="33:34">
      <c r="AG1119" s="759"/>
      <c r="AH1119" s="759"/>
    </row>
    <row r="1120" spans="33:34">
      <c r="AG1120" s="759"/>
      <c r="AH1120" s="759"/>
    </row>
    <row r="1121" spans="33:34">
      <c r="AG1121" s="759"/>
      <c r="AH1121" s="759"/>
    </row>
    <row r="1122" spans="33:34">
      <c r="AG1122" s="759"/>
      <c r="AH1122" s="759"/>
    </row>
    <row r="1123" spans="33:34">
      <c r="AG1123" s="759"/>
      <c r="AH1123" s="759"/>
    </row>
    <row r="1124" spans="33:34">
      <c r="AG1124" s="759"/>
      <c r="AH1124" s="759"/>
    </row>
    <row r="1125" spans="33:34">
      <c r="AG1125" s="759"/>
      <c r="AH1125" s="759"/>
    </row>
    <row r="1126" spans="33:34">
      <c r="AG1126" s="759"/>
      <c r="AH1126" s="759"/>
    </row>
    <row r="1127" spans="33:34">
      <c r="AG1127" s="759"/>
      <c r="AH1127" s="759"/>
    </row>
    <row r="1128" spans="33:34">
      <c r="AG1128" s="759"/>
      <c r="AH1128" s="759"/>
    </row>
    <row r="1129" spans="33:34">
      <c r="AG1129" s="759"/>
      <c r="AH1129" s="759"/>
    </row>
    <row r="1130" spans="33:34">
      <c r="AG1130" s="759"/>
      <c r="AH1130" s="759"/>
    </row>
    <row r="1131" spans="33:34">
      <c r="AG1131" s="759"/>
      <c r="AH1131" s="759"/>
    </row>
    <row r="1132" spans="33:34">
      <c r="AG1132" s="759"/>
      <c r="AH1132" s="759"/>
    </row>
    <row r="1133" spans="33:34">
      <c r="AG1133" s="759"/>
      <c r="AH1133" s="759"/>
    </row>
    <row r="1134" spans="33:34">
      <c r="AG1134" s="759"/>
      <c r="AH1134" s="759"/>
    </row>
    <row r="1135" spans="33:34">
      <c r="AG1135" s="759"/>
      <c r="AH1135" s="759"/>
    </row>
    <row r="1136" spans="33:34">
      <c r="AG1136" s="759"/>
      <c r="AH1136" s="759"/>
    </row>
    <row r="1137" spans="33:34">
      <c r="AG1137" s="759"/>
      <c r="AH1137" s="759"/>
    </row>
    <row r="1138" spans="33:34">
      <c r="AG1138" s="759"/>
      <c r="AH1138" s="759"/>
    </row>
    <row r="1139" spans="33:34">
      <c r="AG1139" s="759"/>
      <c r="AH1139" s="759"/>
    </row>
    <row r="1140" spans="33:34">
      <c r="AG1140" s="759"/>
      <c r="AH1140" s="759"/>
    </row>
    <row r="1141" spans="33:34">
      <c r="AG1141" s="759"/>
      <c r="AH1141" s="759"/>
    </row>
    <row r="1142" spans="33:34">
      <c r="AG1142" s="759"/>
      <c r="AH1142" s="759"/>
    </row>
    <row r="1143" spans="33:34">
      <c r="AG1143" s="759"/>
      <c r="AH1143" s="759"/>
    </row>
    <row r="1144" spans="33:34">
      <c r="AG1144" s="759"/>
      <c r="AH1144" s="759"/>
    </row>
    <row r="1145" spans="33:34">
      <c r="AG1145" s="759"/>
      <c r="AH1145" s="759"/>
    </row>
    <row r="1146" spans="33:34">
      <c r="AG1146" s="759"/>
      <c r="AH1146" s="759"/>
    </row>
    <row r="1147" spans="33:34">
      <c r="AG1147" s="759"/>
      <c r="AH1147" s="759"/>
    </row>
    <row r="1148" spans="33:34">
      <c r="AG1148" s="759"/>
      <c r="AH1148" s="759"/>
    </row>
    <row r="1149" spans="33:34">
      <c r="AG1149" s="759"/>
      <c r="AH1149" s="759"/>
    </row>
    <row r="1150" spans="33:34">
      <c r="AG1150" s="759"/>
      <c r="AH1150" s="759"/>
    </row>
    <row r="1151" spans="33:34">
      <c r="AG1151" s="759"/>
      <c r="AH1151" s="759"/>
    </row>
    <row r="1152" spans="33:34">
      <c r="AG1152" s="759"/>
      <c r="AH1152" s="759"/>
    </row>
    <row r="1153" spans="33:34">
      <c r="AG1153" s="759"/>
      <c r="AH1153" s="759"/>
    </row>
    <row r="1154" spans="33:34">
      <c r="AG1154" s="759"/>
      <c r="AH1154" s="759"/>
    </row>
    <row r="1155" spans="33:34">
      <c r="AG1155" s="759"/>
      <c r="AH1155" s="759"/>
    </row>
    <row r="1156" spans="33:34">
      <c r="AG1156" s="759"/>
      <c r="AH1156" s="759"/>
    </row>
    <row r="1157" spans="33:34">
      <c r="AG1157" s="759"/>
      <c r="AH1157" s="759"/>
    </row>
    <row r="1158" spans="33:34">
      <c r="AG1158" s="759"/>
      <c r="AH1158" s="759"/>
    </row>
    <row r="1159" spans="33:34">
      <c r="AG1159" s="759"/>
      <c r="AH1159" s="759"/>
    </row>
    <row r="1160" spans="33:34">
      <c r="AG1160" s="759"/>
      <c r="AH1160" s="759"/>
    </row>
    <row r="1161" spans="33:34">
      <c r="AG1161" s="759"/>
      <c r="AH1161" s="759"/>
    </row>
    <row r="1162" spans="33:34">
      <c r="AG1162" s="759"/>
      <c r="AH1162" s="759"/>
    </row>
    <row r="1163" spans="33:34">
      <c r="AG1163" s="759"/>
      <c r="AH1163" s="759"/>
    </row>
    <row r="1164" spans="33:34">
      <c r="AG1164" s="759"/>
      <c r="AH1164" s="759"/>
    </row>
    <row r="1165" spans="33:34">
      <c r="AG1165" s="759"/>
      <c r="AH1165" s="759"/>
    </row>
    <row r="1166" spans="33:34">
      <c r="AG1166" s="759"/>
      <c r="AH1166" s="759"/>
    </row>
    <row r="1167" spans="33:34">
      <c r="AG1167" s="759"/>
      <c r="AH1167" s="759"/>
    </row>
    <row r="1168" spans="33:34">
      <c r="AG1168" s="759"/>
      <c r="AH1168" s="759"/>
    </row>
    <row r="1169" spans="33:34">
      <c r="AG1169" s="759"/>
      <c r="AH1169" s="759"/>
    </row>
    <row r="1170" spans="33:34">
      <c r="AG1170" s="759"/>
      <c r="AH1170" s="759"/>
    </row>
    <row r="1171" spans="33:34">
      <c r="AG1171" s="759"/>
      <c r="AH1171" s="759"/>
    </row>
    <row r="1172" spans="33:34">
      <c r="AG1172" s="759"/>
      <c r="AH1172" s="759"/>
    </row>
    <row r="1173" spans="33:34">
      <c r="AG1173" s="759"/>
      <c r="AH1173" s="759"/>
    </row>
    <row r="1174" spans="33:34">
      <c r="AG1174" s="759"/>
      <c r="AH1174" s="759"/>
    </row>
    <row r="1175" spans="33:34">
      <c r="AG1175" s="759"/>
      <c r="AH1175" s="759"/>
    </row>
    <row r="1176" spans="33:34">
      <c r="AG1176" s="759"/>
      <c r="AH1176" s="759"/>
    </row>
    <row r="1177" spans="33:34">
      <c r="AG1177" s="759"/>
      <c r="AH1177" s="759"/>
    </row>
    <row r="1178" spans="33:34">
      <c r="AG1178" s="759"/>
      <c r="AH1178" s="759"/>
    </row>
    <row r="1179" spans="33:34">
      <c r="AG1179" s="759"/>
      <c r="AH1179" s="759"/>
    </row>
    <row r="1180" spans="33:34">
      <c r="AG1180" s="759"/>
      <c r="AH1180" s="759"/>
    </row>
    <row r="1181" spans="33:34">
      <c r="AG1181" s="759"/>
      <c r="AH1181" s="759"/>
    </row>
    <row r="1182" spans="33:34">
      <c r="AG1182" s="759"/>
      <c r="AH1182" s="759"/>
    </row>
    <row r="1183" spans="33:34">
      <c r="AG1183" s="759"/>
      <c r="AH1183" s="759"/>
    </row>
    <row r="1184" spans="33:34">
      <c r="AG1184" s="759"/>
      <c r="AH1184" s="759"/>
    </row>
    <row r="1185" spans="33:34">
      <c r="AG1185" s="759"/>
      <c r="AH1185" s="759"/>
    </row>
    <row r="1186" spans="33:34">
      <c r="AG1186" s="759"/>
      <c r="AH1186" s="759"/>
    </row>
    <row r="1187" spans="33:34">
      <c r="AG1187" s="759"/>
      <c r="AH1187" s="759"/>
    </row>
    <row r="1188" spans="33:34">
      <c r="AG1188" s="759"/>
      <c r="AH1188" s="759"/>
    </row>
    <row r="1189" spans="33:34">
      <c r="AG1189" s="759"/>
      <c r="AH1189" s="759"/>
    </row>
    <row r="1190" spans="33:34">
      <c r="AG1190" s="759"/>
      <c r="AH1190" s="759"/>
    </row>
    <row r="1191" spans="33:34">
      <c r="AG1191" s="759"/>
      <c r="AH1191" s="759"/>
    </row>
    <row r="1192" spans="33:34">
      <c r="AG1192" s="759"/>
      <c r="AH1192" s="759"/>
    </row>
    <row r="1193" spans="33:34">
      <c r="AG1193" s="759"/>
      <c r="AH1193" s="759"/>
    </row>
    <row r="1194" spans="33:34">
      <c r="AG1194" s="759"/>
      <c r="AH1194" s="759"/>
    </row>
    <row r="1195" spans="33:34">
      <c r="AG1195" s="759"/>
      <c r="AH1195" s="759"/>
    </row>
    <row r="1196" spans="33:34">
      <c r="AG1196" s="759"/>
      <c r="AH1196" s="759"/>
    </row>
    <row r="1197" spans="33:34">
      <c r="AG1197" s="759"/>
      <c r="AH1197" s="759"/>
    </row>
    <row r="1198" spans="33:34">
      <c r="AG1198" s="759"/>
      <c r="AH1198" s="759"/>
    </row>
    <row r="1199" spans="33:34">
      <c r="AG1199" s="759"/>
      <c r="AH1199" s="759"/>
    </row>
    <row r="1200" spans="33:34">
      <c r="AG1200" s="759"/>
      <c r="AH1200" s="759"/>
    </row>
    <row r="1201" spans="33:34">
      <c r="AG1201" s="759"/>
      <c r="AH1201" s="759"/>
    </row>
    <row r="1202" spans="33:34">
      <c r="AG1202" s="759"/>
      <c r="AH1202" s="759"/>
    </row>
    <row r="1203" spans="33:34">
      <c r="AG1203" s="759"/>
      <c r="AH1203" s="759"/>
    </row>
    <row r="1204" spans="33:34">
      <c r="AG1204" s="759"/>
      <c r="AH1204" s="759"/>
    </row>
    <row r="1205" spans="33:34">
      <c r="AG1205" s="759"/>
      <c r="AH1205" s="759"/>
    </row>
    <row r="1206" spans="33:34">
      <c r="AG1206" s="759"/>
      <c r="AH1206" s="759"/>
    </row>
    <row r="1207" spans="33:34">
      <c r="AG1207" s="759"/>
      <c r="AH1207" s="759"/>
    </row>
    <row r="1208" spans="33:34">
      <c r="AG1208" s="759"/>
      <c r="AH1208" s="759"/>
    </row>
    <row r="1209" spans="33:34">
      <c r="AG1209" s="759"/>
      <c r="AH1209" s="759"/>
    </row>
    <row r="1210" spans="33:34">
      <c r="AG1210" s="759"/>
      <c r="AH1210" s="759"/>
    </row>
    <row r="1211" spans="33:34">
      <c r="AG1211" s="759"/>
      <c r="AH1211" s="759"/>
    </row>
    <row r="1212" spans="33:34">
      <c r="AG1212" s="759"/>
      <c r="AH1212" s="759"/>
    </row>
    <row r="1213" spans="33:34">
      <c r="AG1213" s="759"/>
      <c r="AH1213" s="759"/>
    </row>
    <row r="1214" spans="33:34">
      <c r="AG1214" s="759"/>
      <c r="AH1214" s="759"/>
    </row>
    <row r="1215" spans="33:34">
      <c r="AG1215" s="759"/>
      <c r="AH1215" s="759"/>
    </row>
    <row r="1216" spans="33:34">
      <c r="AG1216" s="759"/>
      <c r="AH1216" s="759"/>
    </row>
    <row r="1217" spans="33:34">
      <c r="AG1217" s="759"/>
      <c r="AH1217" s="759"/>
    </row>
    <row r="1218" spans="33:34">
      <c r="AG1218" s="759"/>
      <c r="AH1218" s="759"/>
    </row>
    <row r="1219" spans="33:34">
      <c r="AG1219" s="759"/>
      <c r="AH1219" s="759"/>
    </row>
    <row r="1220" spans="33:34">
      <c r="AG1220" s="759"/>
      <c r="AH1220" s="759"/>
    </row>
    <row r="1221" spans="33:34">
      <c r="AG1221" s="759"/>
      <c r="AH1221" s="759"/>
    </row>
    <row r="1222" spans="33:34">
      <c r="AG1222" s="759"/>
      <c r="AH1222" s="759"/>
    </row>
    <row r="1223" spans="33:34">
      <c r="AG1223" s="759"/>
      <c r="AH1223" s="759"/>
    </row>
    <row r="1224" spans="33:34">
      <c r="AG1224" s="759"/>
      <c r="AH1224" s="759"/>
    </row>
    <row r="1225" spans="33:34">
      <c r="AG1225" s="759"/>
      <c r="AH1225" s="759"/>
    </row>
    <row r="1226" spans="33:34">
      <c r="AG1226" s="759"/>
      <c r="AH1226" s="759"/>
    </row>
    <row r="1227" spans="33:34">
      <c r="AG1227" s="759"/>
      <c r="AH1227" s="759"/>
    </row>
    <row r="1228" spans="33:34">
      <c r="AG1228" s="759"/>
      <c r="AH1228" s="759"/>
    </row>
    <row r="1229" spans="33:34">
      <c r="AG1229" s="759"/>
      <c r="AH1229" s="759"/>
    </row>
    <row r="1230" spans="33:34">
      <c r="AG1230" s="759"/>
      <c r="AH1230" s="759"/>
    </row>
    <row r="1231" spans="33:34">
      <c r="AG1231" s="759"/>
      <c r="AH1231" s="759"/>
    </row>
    <row r="1232" spans="33:34">
      <c r="AG1232" s="759"/>
      <c r="AH1232" s="759"/>
    </row>
    <row r="1233" spans="33:34">
      <c r="AG1233" s="759"/>
      <c r="AH1233" s="759"/>
    </row>
    <row r="1234" spans="33:34">
      <c r="AG1234" s="759"/>
      <c r="AH1234" s="759"/>
    </row>
    <row r="1235" spans="33:34">
      <c r="AG1235" s="759"/>
      <c r="AH1235" s="759"/>
    </row>
    <row r="1236" spans="33:34">
      <c r="AG1236" s="759"/>
      <c r="AH1236" s="759"/>
    </row>
    <row r="1237" spans="33:34">
      <c r="AG1237" s="759"/>
      <c r="AH1237" s="759"/>
    </row>
    <row r="1238" spans="33:34">
      <c r="AG1238" s="759"/>
      <c r="AH1238" s="759"/>
    </row>
    <row r="1239" spans="33:34">
      <c r="AG1239" s="759"/>
      <c r="AH1239" s="759"/>
    </row>
    <row r="1240" spans="33:34">
      <c r="AG1240" s="759"/>
      <c r="AH1240" s="759"/>
    </row>
    <row r="1241" spans="33:34">
      <c r="AG1241" s="759"/>
      <c r="AH1241" s="759"/>
    </row>
    <row r="1242" spans="33:34">
      <c r="AG1242" s="759"/>
      <c r="AH1242" s="759"/>
    </row>
    <row r="1243" spans="33:34">
      <c r="AG1243" s="759"/>
      <c r="AH1243" s="759"/>
    </row>
    <row r="1244" spans="33:34">
      <c r="AG1244" s="759"/>
      <c r="AH1244" s="759"/>
    </row>
    <row r="1245" spans="33:34">
      <c r="AG1245" s="759"/>
      <c r="AH1245" s="759"/>
    </row>
    <row r="1246" spans="33:34">
      <c r="AG1246" s="759"/>
      <c r="AH1246" s="759"/>
    </row>
    <row r="1247" spans="33:34">
      <c r="AG1247" s="759"/>
      <c r="AH1247" s="759"/>
    </row>
    <row r="1248" spans="33:34">
      <c r="AG1248" s="759"/>
      <c r="AH1248" s="759"/>
    </row>
    <row r="1249" spans="33:34">
      <c r="AG1249" s="759"/>
      <c r="AH1249" s="759"/>
    </row>
    <row r="1250" spans="33:34">
      <c r="AG1250" s="759"/>
      <c r="AH1250" s="759"/>
    </row>
    <row r="1251" spans="33:34">
      <c r="AG1251" s="759"/>
      <c r="AH1251" s="759"/>
    </row>
    <row r="1252" spans="33:34">
      <c r="AG1252" s="759"/>
      <c r="AH1252" s="759"/>
    </row>
    <row r="1253" spans="33:34">
      <c r="AG1253" s="759"/>
      <c r="AH1253" s="759"/>
    </row>
    <row r="1254" spans="33:34">
      <c r="AG1254" s="759"/>
      <c r="AH1254" s="759"/>
    </row>
    <row r="1255" spans="33:34">
      <c r="AG1255" s="759"/>
      <c r="AH1255" s="759"/>
    </row>
    <row r="1256" spans="33:34">
      <c r="AG1256" s="759"/>
      <c r="AH1256" s="759"/>
    </row>
    <row r="1257" spans="33:34">
      <c r="AG1257" s="759"/>
      <c r="AH1257" s="759"/>
    </row>
    <row r="1258" spans="33:34">
      <c r="AG1258" s="759"/>
      <c r="AH1258" s="759"/>
    </row>
    <row r="1259" spans="33:34">
      <c r="AG1259" s="759"/>
      <c r="AH1259" s="759"/>
    </row>
    <row r="1260" spans="33:34">
      <c r="AG1260" s="759"/>
      <c r="AH1260" s="759"/>
    </row>
    <row r="1261" spans="33:34">
      <c r="AG1261" s="759"/>
      <c r="AH1261" s="759"/>
    </row>
    <row r="1262" spans="33:34">
      <c r="AG1262" s="759"/>
      <c r="AH1262" s="759"/>
    </row>
    <row r="1263" spans="33:34">
      <c r="AG1263" s="759"/>
      <c r="AH1263" s="759"/>
    </row>
    <row r="1264" spans="33:34">
      <c r="AG1264" s="759"/>
      <c r="AH1264" s="759"/>
    </row>
    <row r="1265" spans="33:34">
      <c r="AG1265" s="759"/>
      <c r="AH1265" s="759"/>
    </row>
    <row r="1266" spans="33:34">
      <c r="AG1266" s="759"/>
      <c r="AH1266" s="759"/>
    </row>
    <row r="1267" spans="33:34">
      <c r="AG1267" s="759"/>
      <c r="AH1267" s="759"/>
    </row>
    <row r="1268" spans="33:34">
      <c r="AG1268" s="759"/>
      <c r="AH1268" s="759"/>
    </row>
    <row r="1269" spans="33:34">
      <c r="AG1269" s="759"/>
      <c r="AH1269" s="759"/>
    </row>
    <row r="1270" spans="33:34">
      <c r="AG1270" s="759"/>
      <c r="AH1270" s="759"/>
    </row>
    <row r="1271" spans="33:34">
      <c r="AG1271" s="759"/>
      <c r="AH1271" s="759"/>
    </row>
    <row r="1272" spans="33:34">
      <c r="AG1272" s="759"/>
      <c r="AH1272" s="759"/>
    </row>
    <row r="1273" spans="33:34">
      <c r="AG1273" s="759"/>
      <c r="AH1273" s="759"/>
    </row>
    <row r="1274" spans="33:34">
      <c r="AG1274" s="759"/>
      <c r="AH1274" s="759"/>
    </row>
    <row r="1275" spans="33:34">
      <c r="AG1275" s="759"/>
      <c r="AH1275" s="759"/>
    </row>
    <row r="1276" spans="33:34">
      <c r="AG1276" s="759"/>
      <c r="AH1276" s="759"/>
    </row>
    <row r="1277" spans="33:34">
      <c r="AG1277" s="759"/>
      <c r="AH1277" s="759"/>
    </row>
    <row r="1278" spans="33:34">
      <c r="AG1278" s="759"/>
      <c r="AH1278" s="759"/>
    </row>
    <row r="1279" spans="33:34">
      <c r="AG1279" s="759"/>
      <c r="AH1279" s="759"/>
    </row>
    <row r="1280" spans="33:34">
      <c r="AG1280" s="759"/>
      <c r="AH1280" s="759"/>
    </row>
    <row r="1281" spans="33:34">
      <c r="AG1281" s="759"/>
      <c r="AH1281" s="759"/>
    </row>
    <row r="1282" spans="33:34">
      <c r="AG1282" s="759"/>
      <c r="AH1282" s="759"/>
    </row>
    <row r="1283" spans="33:34">
      <c r="AG1283" s="759"/>
      <c r="AH1283" s="759"/>
    </row>
    <row r="1284" spans="33:34">
      <c r="AG1284" s="759"/>
      <c r="AH1284" s="759"/>
    </row>
    <row r="1285" spans="33:34">
      <c r="AG1285" s="759"/>
      <c r="AH1285" s="759"/>
    </row>
    <row r="1286" spans="33:34">
      <c r="AG1286" s="759"/>
      <c r="AH1286" s="759"/>
    </row>
    <row r="1287" spans="33:34">
      <c r="AG1287" s="759"/>
      <c r="AH1287" s="759"/>
    </row>
    <row r="1288" spans="33:34">
      <c r="AG1288" s="759"/>
      <c r="AH1288" s="759"/>
    </row>
    <row r="1289" spans="33:34">
      <c r="AG1289" s="759"/>
      <c r="AH1289" s="759"/>
    </row>
    <row r="1290" spans="33:34">
      <c r="AG1290" s="759"/>
      <c r="AH1290" s="759"/>
    </row>
    <row r="1291" spans="33:34">
      <c r="AG1291" s="759"/>
      <c r="AH1291" s="759"/>
    </row>
    <row r="1292" spans="33:34">
      <c r="AG1292" s="759"/>
      <c r="AH1292" s="759"/>
    </row>
    <row r="1293" spans="33:34">
      <c r="AG1293" s="759"/>
      <c r="AH1293" s="759"/>
    </row>
    <row r="1294" spans="33:34">
      <c r="AG1294" s="759"/>
      <c r="AH1294" s="759"/>
    </row>
    <row r="1295" spans="33:34">
      <c r="AG1295" s="759"/>
      <c r="AH1295" s="759"/>
    </row>
    <row r="1296" spans="33:34">
      <c r="AG1296" s="759"/>
      <c r="AH1296" s="759"/>
    </row>
    <row r="1297" spans="33:34">
      <c r="AG1297" s="759"/>
      <c r="AH1297" s="759"/>
    </row>
    <row r="1298" spans="33:34">
      <c r="AG1298" s="759"/>
      <c r="AH1298" s="759"/>
    </row>
    <row r="1299" spans="33:34">
      <c r="AG1299" s="759"/>
      <c r="AH1299" s="759"/>
    </row>
    <row r="1300" spans="33:34">
      <c r="AG1300" s="759"/>
      <c r="AH1300" s="759"/>
    </row>
    <row r="1301" spans="33:34">
      <c r="AG1301" s="759"/>
      <c r="AH1301" s="759"/>
    </row>
    <row r="1302" spans="33:34">
      <c r="AG1302" s="759"/>
      <c r="AH1302" s="759"/>
    </row>
    <row r="1303" spans="33:34">
      <c r="AG1303" s="759"/>
      <c r="AH1303" s="759"/>
    </row>
    <row r="1304" spans="33:34">
      <c r="AG1304" s="759"/>
      <c r="AH1304" s="759"/>
    </row>
    <row r="1305" spans="33:34">
      <c r="AG1305" s="759"/>
      <c r="AH1305" s="759"/>
    </row>
    <row r="1306" spans="33:34">
      <c r="AG1306" s="759"/>
      <c r="AH1306" s="759"/>
    </row>
    <row r="1307" spans="33:34">
      <c r="AG1307" s="759"/>
      <c r="AH1307" s="759"/>
    </row>
    <row r="1308" spans="33:34">
      <c r="AG1308" s="759"/>
      <c r="AH1308" s="759"/>
    </row>
    <row r="1309" spans="33:34">
      <c r="AG1309" s="759"/>
      <c r="AH1309" s="759"/>
    </row>
    <row r="1310" spans="33:34">
      <c r="AG1310" s="759"/>
      <c r="AH1310" s="759"/>
    </row>
    <row r="1311" spans="33:34">
      <c r="AG1311" s="759"/>
      <c r="AH1311" s="759"/>
    </row>
    <row r="1312" spans="33:34">
      <c r="AG1312" s="759"/>
      <c r="AH1312" s="759"/>
    </row>
    <row r="1313" spans="33:34">
      <c r="AG1313" s="759"/>
      <c r="AH1313" s="759"/>
    </row>
    <row r="1314" spans="33:34">
      <c r="AG1314" s="759"/>
      <c r="AH1314" s="759"/>
    </row>
    <row r="1315" spans="33:34">
      <c r="AG1315" s="759"/>
      <c r="AH1315" s="759"/>
    </row>
    <row r="1316" spans="33:34">
      <c r="AG1316" s="759"/>
      <c r="AH1316" s="759"/>
    </row>
    <row r="1317" spans="33:34">
      <c r="AG1317" s="759"/>
      <c r="AH1317" s="759"/>
    </row>
    <row r="1318" spans="33:34">
      <c r="AG1318" s="759"/>
      <c r="AH1318" s="759"/>
    </row>
    <row r="1319" spans="33:34">
      <c r="AG1319" s="759"/>
      <c r="AH1319" s="759"/>
    </row>
    <row r="1320" spans="33:34">
      <c r="AG1320" s="759"/>
      <c r="AH1320" s="759"/>
    </row>
    <row r="1321" spans="33:34">
      <c r="AG1321" s="759"/>
      <c r="AH1321" s="759"/>
    </row>
    <row r="1322" spans="33:34">
      <c r="AG1322" s="759"/>
      <c r="AH1322" s="759"/>
    </row>
    <row r="1323" spans="33:34">
      <c r="AG1323" s="759"/>
      <c r="AH1323" s="759"/>
    </row>
    <row r="1324" spans="33:34">
      <c r="AG1324" s="759"/>
      <c r="AH1324" s="759"/>
    </row>
    <row r="1325" spans="33:34">
      <c r="AG1325" s="759"/>
      <c r="AH1325" s="759"/>
    </row>
    <row r="1326" spans="33:34">
      <c r="AG1326" s="759"/>
      <c r="AH1326" s="759"/>
    </row>
    <row r="1327" spans="33:34">
      <c r="AG1327" s="759"/>
      <c r="AH1327" s="759"/>
    </row>
    <row r="1328" spans="33:34">
      <c r="AG1328" s="759"/>
      <c r="AH1328" s="759"/>
    </row>
    <row r="1329" spans="33:34">
      <c r="AG1329" s="759"/>
      <c r="AH1329" s="759"/>
    </row>
    <row r="1330" spans="33:34">
      <c r="AG1330" s="759"/>
      <c r="AH1330" s="759"/>
    </row>
    <row r="1331" spans="33:34">
      <c r="AG1331" s="759"/>
      <c r="AH1331" s="759"/>
    </row>
    <row r="1332" spans="33:34">
      <c r="AG1332" s="759"/>
      <c r="AH1332" s="759"/>
    </row>
    <row r="1333" spans="33:34">
      <c r="AG1333" s="759"/>
      <c r="AH1333" s="759"/>
    </row>
    <row r="1334" spans="33:34">
      <c r="AG1334" s="759"/>
      <c r="AH1334" s="759"/>
    </row>
    <row r="1335" spans="33:34">
      <c r="AG1335" s="759"/>
      <c r="AH1335" s="759"/>
    </row>
    <row r="1336" spans="33:34">
      <c r="AG1336" s="759"/>
      <c r="AH1336" s="759"/>
    </row>
    <row r="1337" spans="33:34">
      <c r="AG1337" s="759"/>
      <c r="AH1337" s="759"/>
    </row>
    <row r="1338" spans="33:34">
      <c r="AG1338" s="759"/>
      <c r="AH1338" s="759"/>
    </row>
    <row r="1339" spans="33:34">
      <c r="AG1339" s="759"/>
      <c r="AH1339" s="759"/>
    </row>
    <row r="1340" spans="33:34">
      <c r="AG1340" s="759"/>
      <c r="AH1340" s="759"/>
    </row>
    <row r="1341" spans="33:34">
      <c r="AG1341" s="759"/>
      <c r="AH1341" s="759"/>
    </row>
    <row r="1342" spans="33:34">
      <c r="AG1342" s="759"/>
      <c r="AH1342" s="759"/>
    </row>
    <row r="1343" spans="33:34">
      <c r="AG1343" s="759"/>
      <c r="AH1343" s="759"/>
    </row>
    <row r="1344" spans="33:34">
      <c r="AG1344" s="759"/>
      <c r="AH1344" s="759"/>
    </row>
    <row r="1345" spans="33:34">
      <c r="AG1345" s="759"/>
      <c r="AH1345" s="759"/>
    </row>
    <row r="1346" spans="33:34">
      <c r="AG1346" s="759"/>
      <c r="AH1346" s="759"/>
    </row>
    <row r="1347" spans="33:34">
      <c r="AG1347" s="759"/>
      <c r="AH1347" s="759"/>
    </row>
    <row r="1348" spans="33:34">
      <c r="AG1348" s="759"/>
      <c r="AH1348" s="759"/>
    </row>
    <row r="1349" spans="33:34">
      <c r="AG1349" s="759"/>
      <c r="AH1349" s="759"/>
    </row>
    <row r="1350" spans="33:34">
      <c r="AG1350" s="759"/>
      <c r="AH1350" s="759"/>
    </row>
    <row r="1351" spans="33:34">
      <c r="AG1351" s="759"/>
      <c r="AH1351" s="759"/>
    </row>
    <row r="1352" spans="33:34">
      <c r="AG1352" s="759"/>
      <c r="AH1352" s="759"/>
    </row>
    <row r="1353" spans="33:34">
      <c r="AG1353" s="759"/>
      <c r="AH1353" s="759"/>
    </row>
    <row r="1354" spans="33:34">
      <c r="AG1354" s="759"/>
      <c r="AH1354" s="759"/>
    </row>
    <row r="1355" spans="33:34">
      <c r="AG1355" s="759"/>
      <c r="AH1355" s="759"/>
    </row>
    <row r="1356" spans="33:34">
      <c r="AG1356" s="759"/>
      <c r="AH1356" s="759"/>
    </row>
    <row r="1357" spans="33:34">
      <c r="AG1357" s="759"/>
      <c r="AH1357" s="759"/>
    </row>
    <row r="1358" spans="33:34">
      <c r="AG1358" s="759"/>
      <c r="AH1358" s="759"/>
    </row>
    <row r="1359" spans="33:34">
      <c r="AG1359" s="759"/>
      <c r="AH1359" s="759"/>
    </row>
    <row r="1360" spans="33:34">
      <c r="AG1360" s="759"/>
      <c r="AH1360" s="759"/>
    </row>
    <row r="1361" spans="33:34">
      <c r="AG1361" s="759"/>
      <c r="AH1361" s="759"/>
    </row>
    <row r="1362" spans="33:34">
      <c r="AG1362" s="759"/>
      <c r="AH1362" s="759"/>
    </row>
    <row r="1363" spans="33:34">
      <c r="AG1363" s="759"/>
      <c r="AH1363" s="759"/>
    </row>
    <row r="1364" spans="33:34">
      <c r="AG1364" s="759"/>
      <c r="AH1364" s="759"/>
    </row>
    <row r="1365" spans="33:34">
      <c r="AG1365" s="759"/>
      <c r="AH1365" s="759"/>
    </row>
    <row r="1366" spans="33:34">
      <c r="AG1366" s="759"/>
      <c r="AH1366" s="759"/>
    </row>
    <row r="1367" spans="33:34">
      <c r="AG1367" s="759"/>
      <c r="AH1367" s="759"/>
    </row>
    <row r="1368" spans="33:34">
      <c r="AG1368" s="759"/>
      <c r="AH1368" s="759"/>
    </row>
    <row r="1369" spans="33:34">
      <c r="AG1369" s="759"/>
      <c r="AH1369" s="759"/>
    </row>
    <row r="1370" spans="33:34">
      <c r="AG1370" s="759"/>
      <c r="AH1370" s="759"/>
    </row>
    <row r="1371" spans="33:34">
      <c r="AG1371" s="759"/>
      <c r="AH1371" s="759"/>
    </row>
    <row r="1372" spans="33:34">
      <c r="AG1372" s="759"/>
      <c r="AH1372" s="759"/>
    </row>
    <row r="1373" spans="33:34">
      <c r="AG1373" s="759"/>
      <c r="AH1373" s="759"/>
    </row>
    <row r="1374" spans="33:34">
      <c r="AG1374" s="759"/>
      <c r="AH1374" s="759"/>
    </row>
    <row r="1375" spans="33:34">
      <c r="AG1375" s="759"/>
      <c r="AH1375" s="759"/>
    </row>
    <row r="1376" spans="33:34">
      <c r="AG1376" s="759"/>
      <c r="AH1376" s="759"/>
    </row>
    <row r="1377" spans="33:34">
      <c r="AG1377" s="759"/>
      <c r="AH1377" s="759"/>
    </row>
    <row r="1378" spans="33:34">
      <c r="AG1378" s="759"/>
      <c r="AH1378" s="759"/>
    </row>
    <row r="1379" spans="33:34">
      <c r="AG1379" s="759"/>
      <c r="AH1379" s="759"/>
    </row>
    <row r="1380" spans="33:34">
      <c r="AG1380" s="759"/>
      <c r="AH1380" s="759"/>
    </row>
    <row r="1381" spans="33:34">
      <c r="AG1381" s="759"/>
      <c r="AH1381" s="759"/>
    </row>
    <row r="1382" spans="33:34">
      <c r="AG1382" s="759"/>
      <c r="AH1382" s="759"/>
    </row>
    <row r="1383" spans="33:34">
      <c r="AG1383" s="759"/>
      <c r="AH1383" s="759"/>
    </row>
    <row r="1384" spans="33:34">
      <c r="AG1384" s="759"/>
      <c r="AH1384" s="759"/>
    </row>
    <row r="1385" spans="33:34">
      <c r="AG1385" s="759"/>
      <c r="AH1385" s="759"/>
    </row>
    <row r="1386" spans="33:34">
      <c r="AG1386" s="759"/>
      <c r="AH1386" s="759"/>
    </row>
    <row r="1387" spans="33:34">
      <c r="AG1387" s="759"/>
      <c r="AH1387" s="759"/>
    </row>
    <row r="1388" spans="33:34">
      <c r="AG1388" s="759"/>
      <c r="AH1388" s="759"/>
    </row>
    <row r="1389" spans="33:34">
      <c r="AG1389" s="759"/>
      <c r="AH1389" s="759"/>
    </row>
    <row r="1390" spans="33:34">
      <c r="AG1390" s="759"/>
      <c r="AH1390" s="759"/>
    </row>
    <row r="1391" spans="33:34">
      <c r="AG1391" s="759"/>
      <c r="AH1391" s="759"/>
    </row>
    <row r="1392" spans="33:34">
      <c r="AG1392" s="759"/>
      <c r="AH1392" s="759"/>
    </row>
    <row r="1393" spans="33:34">
      <c r="AG1393" s="759"/>
      <c r="AH1393" s="759"/>
    </row>
    <row r="1394" spans="33:34">
      <c r="AG1394" s="759"/>
      <c r="AH1394" s="759"/>
    </row>
    <row r="1395" spans="33:34">
      <c r="AG1395" s="759"/>
      <c r="AH1395" s="759"/>
    </row>
    <row r="1396" spans="33:34">
      <c r="AG1396" s="759"/>
      <c r="AH1396" s="759"/>
    </row>
    <row r="1397" spans="33:34">
      <c r="AG1397" s="759"/>
      <c r="AH1397" s="759"/>
    </row>
    <row r="1398" spans="33:34">
      <c r="AG1398" s="759"/>
      <c r="AH1398" s="759"/>
    </row>
    <row r="1399" spans="33:34">
      <c r="AG1399" s="759"/>
      <c r="AH1399" s="759"/>
    </row>
    <row r="1400" spans="33:34">
      <c r="AG1400" s="759"/>
      <c r="AH1400" s="759"/>
    </row>
    <row r="1401" spans="33:34">
      <c r="AG1401" s="759"/>
      <c r="AH1401" s="759"/>
    </row>
    <row r="1402" spans="33:34">
      <c r="AG1402" s="759"/>
      <c r="AH1402" s="759"/>
    </row>
    <row r="1403" spans="33:34">
      <c r="AG1403" s="759"/>
      <c r="AH1403" s="759"/>
    </row>
    <row r="1404" spans="33:34">
      <c r="AG1404" s="759"/>
      <c r="AH1404" s="759"/>
    </row>
    <row r="1405" spans="33:34">
      <c r="AG1405" s="759"/>
      <c r="AH1405" s="759"/>
    </row>
    <row r="1406" spans="33:34">
      <c r="AG1406" s="759"/>
      <c r="AH1406" s="759"/>
    </row>
    <row r="1407" spans="33:34">
      <c r="AG1407" s="759"/>
      <c r="AH1407" s="759"/>
    </row>
    <row r="1408" spans="33:34">
      <c r="AG1408" s="759"/>
      <c r="AH1408" s="759"/>
    </row>
    <row r="1409" spans="33:34">
      <c r="AG1409" s="759"/>
      <c r="AH1409" s="759"/>
    </row>
    <row r="1410" spans="33:34">
      <c r="AG1410" s="759"/>
      <c r="AH1410" s="759"/>
    </row>
    <row r="1411" spans="33:34">
      <c r="AG1411" s="759"/>
      <c r="AH1411" s="759"/>
    </row>
    <row r="1412" spans="33:34">
      <c r="AG1412" s="759"/>
      <c r="AH1412" s="759"/>
    </row>
    <row r="1413" spans="33:34">
      <c r="AG1413" s="759"/>
      <c r="AH1413" s="759"/>
    </row>
    <row r="1414" spans="33:34">
      <c r="AG1414" s="759"/>
      <c r="AH1414" s="759"/>
    </row>
    <row r="1415" spans="33:34">
      <c r="AG1415" s="759"/>
      <c r="AH1415" s="759"/>
    </row>
    <row r="1416" spans="33:34">
      <c r="AG1416" s="759"/>
      <c r="AH1416" s="759"/>
    </row>
    <row r="1417" spans="33:34">
      <c r="AG1417" s="759"/>
      <c r="AH1417" s="759"/>
    </row>
    <row r="1418" spans="33:34">
      <c r="AG1418" s="759"/>
      <c r="AH1418" s="759"/>
    </row>
    <row r="1419" spans="33:34">
      <c r="AG1419" s="759"/>
      <c r="AH1419" s="759"/>
    </row>
    <row r="1420" spans="33:34">
      <c r="AG1420" s="759"/>
      <c r="AH1420" s="759"/>
    </row>
    <row r="1421" spans="33:34">
      <c r="AG1421" s="759"/>
      <c r="AH1421" s="759"/>
    </row>
    <row r="1422" spans="33:34">
      <c r="AG1422" s="759"/>
      <c r="AH1422" s="759"/>
    </row>
    <row r="1423" spans="33:34">
      <c r="AG1423" s="759"/>
      <c r="AH1423" s="759"/>
    </row>
    <row r="1424" spans="33:34">
      <c r="AG1424" s="759"/>
      <c r="AH1424" s="759"/>
    </row>
    <row r="1425" spans="33:34">
      <c r="AG1425" s="759"/>
      <c r="AH1425" s="759"/>
    </row>
    <row r="1426" spans="33:34">
      <c r="AG1426" s="759"/>
      <c r="AH1426" s="759"/>
    </row>
    <row r="1427" spans="33:34">
      <c r="AG1427" s="759"/>
      <c r="AH1427" s="759"/>
    </row>
    <row r="1428" spans="33:34">
      <c r="AG1428" s="759"/>
      <c r="AH1428" s="759"/>
    </row>
    <row r="1429" spans="33:34">
      <c r="AG1429" s="759"/>
      <c r="AH1429" s="759"/>
    </row>
    <row r="1430" spans="33:34">
      <c r="AG1430" s="759"/>
      <c r="AH1430" s="759"/>
    </row>
    <row r="1431" spans="33:34">
      <c r="AG1431" s="759"/>
      <c r="AH1431" s="759"/>
    </row>
    <row r="1432" spans="33:34">
      <c r="AG1432" s="759"/>
      <c r="AH1432" s="759"/>
    </row>
    <row r="1433" spans="33:34">
      <c r="AG1433" s="759"/>
      <c r="AH1433" s="759"/>
    </row>
    <row r="1434" spans="33:34">
      <c r="AG1434" s="759"/>
      <c r="AH1434" s="759"/>
    </row>
    <row r="1435" spans="33:34">
      <c r="AG1435" s="759"/>
      <c r="AH1435" s="759"/>
    </row>
    <row r="1436" spans="33:34">
      <c r="AG1436" s="759"/>
      <c r="AH1436" s="759"/>
    </row>
    <row r="1437" spans="33:34">
      <c r="AG1437" s="759"/>
    </row>
    <row r="1438" spans="33:34">
      <c r="AG1438" s="759"/>
    </row>
    <row r="1439" spans="33:34">
      <c r="AG1439" s="759"/>
    </row>
    <row r="1440" spans="33:34">
      <c r="AG1440" s="759"/>
    </row>
    <row r="1441" spans="33:33">
      <c r="AG1441" s="759"/>
    </row>
    <row r="1442" spans="33:33">
      <c r="AG1442" s="759"/>
    </row>
    <row r="1443" spans="33:33">
      <c r="AG1443" s="759"/>
    </row>
    <row r="1444" spans="33:33">
      <c r="AG1444" s="759"/>
    </row>
    <row r="1445" spans="33:33">
      <c r="AG1445" s="759"/>
    </row>
    <row r="1446" spans="33:33">
      <c r="AG1446" s="759"/>
    </row>
    <row r="1447" spans="33:33">
      <c r="AG1447" s="759"/>
    </row>
    <row r="1448" spans="33:33">
      <c r="AG1448" s="759"/>
    </row>
    <row r="1449" spans="33:33">
      <c r="AG1449" s="759"/>
    </row>
    <row r="1450" spans="33:33">
      <c r="AG1450" s="759"/>
    </row>
    <row r="1451" spans="33:33">
      <c r="AG1451" s="759"/>
    </row>
    <row r="1452" spans="33:33">
      <c r="AG1452" s="759"/>
    </row>
    <row r="1453" spans="33:33">
      <c r="AG1453" s="759"/>
    </row>
    <row r="1454" spans="33:33">
      <c r="AG1454" s="759"/>
    </row>
    <row r="1455" spans="33:33">
      <c r="AG1455" s="759"/>
    </row>
    <row r="1456" spans="33:33">
      <c r="AG1456" s="759"/>
    </row>
    <row r="1457" spans="33:33">
      <c r="AG1457" s="759"/>
    </row>
    <row r="1458" spans="33:33">
      <c r="AG1458" s="759"/>
    </row>
    <row r="1459" spans="33:33">
      <c r="AG1459" s="759"/>
    </row>
    <row r="1460" spans="33:33">
      <c r="AG1460" s="759"/>
    </row>
    <row r="1461" spans="33:33">
      <c r="AG1461" s="759"/>
    </row>
    <row r="1462" spans="33:33">
      <c r="AG1462" s="759"/>
    </row>
    <row r="1463" spans="33:33">
      <c r="AG1463" s="759"/>
    </row>
    <row r="1464" spans="33:33">
      <c r="AG1464" s="759"/>
    </row>
    <row r="1465" spans="33:33">
      <c r="AG1465" s="759"/>
    </row>
    <row r="1466" spans="33:33">
      <c r="AG1466" s="759"/>
    </row>
    <row r="1467" spans="33:33">
      <c r="AG1467" s="759"/>
    </row>
    <row r="1468" spans="33:33">
      <c r="AG1468" s="759"/>
    </row>
    <row r="1469" spans="33:33">
      <c r="AG1469" s="759"/>
    </row>
    <row r="1470" spans="33:33">
      <c r="AG1470" s="759"/>
    </row>
    <row r="1471" spans="33:33">
      <c r="AG1471" s="759"/>
    </row>
    <row r="1472" spans="33:33">
      <c r="AG1472" s="759"/>
    </row>
    <row r="1473" spans="33:33">
      <c r="AG1473" s="759"/>
    </row>
    <row r="1474" spans="33:33">
      <c r="AG1474" s="759"/>
    </row>
    <row r="1475" spans="33:33">
      <c r="AG1475" s="759"/>
    </row>
    <row r="1476" spans="33:33">
      <c r="AG1476" s="759"/>
    </row>
    <row r="1477" spans="33:33">
      <c r="AG1477" s="759"/>
    </row>
    <row r="1478" spans="33:33">
      <c r="AG1478" s="759"/>
    </row>
    <row r="1479" spans="33:33">
      <c r="AG1479" s="759"/>
    </row>
    <row r="1480" spans="33:33">
      <c r="AG1480" s="759"/>
    </row>
    <row r="1481" spans="33:33">
      <c r="AG1481" s="759"/>
    </row>
    <row r="1482" spans="33:33">
      <c r="AG1482" s="759"/>
    </row>
    <row r="1483" spans="33:33">
      <c r="AG1483" s="759"/>
    </row>
    <row r="1484" spans="33:33">
      <c r="AG1484" s="759"/>
    </row>
    <row r="1485" spans="33:33">
      <c r="AG1485" s="759"/>
    </row>
    <row r="1486" spans="33:33">
      <c r="AG1486" s="759"/>
    </row>
    <row r="1487" spans="33:33">
      <c r="AG1487" s="759"/>
    </row>
    <row r="1488" spans="33:33">
      <c r="AG1488" s="759"/>
    </row>
    <row r="1489" spans="33:33">
      <c r="AG1489" s="759"/>
    </row>
    <row r="1490" spans="33:33">
      <c r="AG1490" s="759"/>
    </row>
    <row r="1491" spans="33:33">
      <c r="AG1491" s="759"/>
    </row>
    <row r="1492" spans="33:33">
      <c r="AG1492" s="759"/>
    </row>
    <row r="1493" spans="33:33">
      <c r="AG1493" s="759"/>
    </row>
    <row r="1494" spans="33:33">
      <c r="AG1494" s="759"/>
    </row>
    <row r="1495" spans="33:33">
      <c r="AG1495" s="759"/>
    </row>
    <row r="1496" spans="33:33">
      <c r="AG1496" s="759"/>
    </row>
    <row r="1497" spans="33:33">
      <c r="AG1497" s="759"/>
    </row>
    <row r="1498" spans="33:33">
      <c r="AG1498" s="759"/>
    </row>
    <row r="1499" spans="33:33">
      <c r="AG1499" s="759"/>
    </row>
    <row r="1500" spans="33:33">
      <c r="AG1500" s="759"/>
    </row>
    <row r="1501" spans="33:33">
      <c r="AG1501" s="759"/>
    </row>
    <row r="1502" spans="33:33">
      <c r="AG1502" s="759"/>
    </row>
    <row r="1503" spans="33:33">
      <c r="AG1503" s="759"/>
    </row>
    <row r="1504" spans="33:33">
      <c r="AG1504" s="759"/>
    </row>
    <row r="1505" spans="33:33">
      <c r="AG1505" s="759"/>
    </row>
    <row r="1506" spans="33:33">
      <c r="AG1506" s="759"/>
    </row>
    <row r="1507" spans="33:33">
      <c r="AG1507" s="759"/>
    </row>
    <row r="1508" spans="33:33">
      <c r="AG1508" s="759"/>
    </row>
    <row r="1509" spans="33:33">
      <c r="AG1509" s="759"/>
    </row>
    <row r="1510" spans="33:33">
      <c r="AG1510" s="759"/>
    </row>
    <row r="1511" spans="33:33">
      <c r="AG1511" s="759"/>
    </row>
    <row r="1512" spans="33:33">
      <c r="AG1512" s="759"/>
    </row>
    <row r="1513" spans="33:33">
      <c r="AG1513" s="759"/>
    </row>
    <row r="1514" spans="33:33">
      <c r="AG1514" s="759"/>
    </row>
    <row r="1515" spans="33:33">
      <c r="AG1515" s="759"/>
    </row>
    <row r="1516" spans="33:33">
      <c r="AG1516" s="759"/>
    </row>
    <row r="1517" spans="33:33">
      <c r="AG1517" s="759"/>
    </row>
    <row r="1518" spans="33:33">
      <c r="AG1518" s="759"/>
    </row>
    <row r="1519" spans="33:33">
      <c r="AG1519" s="759"/>
    </row>
    <row r="1520" spans="33:33">
      <c r="AG1520" s="759"/>
    </row>
    <row r="1521" spans="33:33">
      <c r="AG1521" s="759"/>
    </row>
    <row r="1522" spans="33:33">
      <c r="AG1522" s="759"/>
    </row>
    <row r="1523" spans="33:33">
      <c r="AG1523" s="759"/>
    </row>
    <row r="1524" spans="33:33">
      <c r="AG1524" s="759"/>
    </row>
    <row r="1525" spans="33:33">
      <c r="AG1525" s="759"/>
    </row>
    <row r="1526" spans="33:33">
      <c r="AG1526" s="759"/>
    </row>
    <row r="1527" spans="33:33">
      <c r="AG1527" s="759"/>
    </row>
    <row r="1528" spans="33:33">
      <c r="AG1528" s="759"/>
    </row>
    <row r="1529" spans="33:33">
      <c r="AG1529" s="759"/>
    </row>
    <row r="1530" spans="33:33">
      <c r="AG1530" s="759"/>
    </row>
    <row r="1531" spans="33:33">
      <c r="AG1531" s="759"/>
    </row>
    <row r="1532" spans="33:33">
      <c r="AG1532" s="759"/>
    </row>
    <row r="1533" spans="33:33">
      <c r="AG1533" s="759"/>
    </row>
    <row r="1534" spans="33:33">
      <c r="AG1534" s="759"/>
    </row>
    <row r="1535" spans="33:33">
      <c r="AG1535" s="759"/>
    </row>
    <row r="1536" spans="33:33">
      <c r="AG1536" s="759"/>
    </row>
    <row r="1537" spans="33:33">
      <c r="AG1537" s="759"/>
    </row>
    <row r="1538" spans="33:33">
      <c r="AG1538" s="759"/>
    </row>
    <row r="1539" spans="33:33">
      <c r="AG1539" s="759"/>
    </row>
    <row r="1540" spans="33:33">
      <c r="AG1540" s="759"/>
    </row>
    <row r="1541" spans="33:33">
      <c r="AG1541" s="759"/>
    </row>
    <row r="1542" spans="33:33">
      <c r="AG1542" s="759"/>
    </row>
    <row r="1543" spans="33:33">
      <c r="AG1543" s="759"/>
    </row>
    <row r="1544" spans="33:33">
      <c r="AG1544" s="759"/>
    </row>
    <row r="1545" spans="33:33">
      <c r="AG1545" s="759"/>
    </row>
    <row r="1546" spans="33:33">
      <c r="AG1546" s="759"/>
    </row>
    <row r="1547" spans="33:33">
      <c r="AG1547" s="759"/>
    </row>
    <row r="1548" spans="33:33">
      <c r="AG1548" s="759"/>
    </row>
    <row r="1549" spans="33:33">
      <c r="AG1549" s="759"/>
    </row>
    <row r="1550" spans="33:33">
      <c r="AG1550" s="759"/>
    </row>
    <row r="1551" spans="33:33">
      <c r="AG1551" s="759"/>
    </row>
    <row r="1552" spans="33:33">
      <c r="AG1552" s="759"/>
    </row>
    <row r="1553" spans="33:33">
      <c r="AG1553" s="759"/>
    </row>
    <row r="1554" spans="33:33">
      <c r="AG1554" s="759"/>
    </row>
    <row r="1555" spans="33:33">
      <c r="AG1555" s="759"/>
    </row>
    <row r="1556" spans="33:33">
      <c r="AG1556" s="759"/>
    </row>
    <row r="1557" spans="33:33">
      <c r="AG1557" s="759"/>
    </row>
    <row r="1558" spans="33:33">
      <c r="AG1558" s="759"/>
    </row>
    <row r="1559" spans="33:33">
      <c r="AG1559" s="759"/>
    </row>
    <row r="1560" spans="33:33">
      <c r="AG1560" s="759"/>
    </row>
    <row r="1561" spans="33:33">
      <c r="AG1561" s="759"/>
    </row>
    <row r="1562" spans="33:33">
      <c r="AG1562" s="759"/>
    </row>
    <row r="1563" spans="33:33">
      <c r="AG1563" s="759"/>
    </row>
    <row r="1564" spans="33:33">
      <c r="AG1564" s="759"/>
    </row>
    <row r="1565" spans="33:33">
      <c r="AG1565" s="759"/>
    </row>
    <row r="1566" spans="33:33">
      <c r="AG1566" s="759"/>
    </row>
    <row r="1567" spans="33:33">
      <c r="AG1567" s="759"/>
    </row>
    <row r="1568" spans="33:33">
      <c r="AG1568" s="759"/>
    </row>
    <row r="1569" spans="33:33">
      <c r="AG1569" s="759"/>
    </row>
    <row r="1570" spans="33:33">
      <c r="AG1570" s="759"/>
    </row>
    <row r="1571" spans="33:33">
      <c r="AG1571" s="759"/>
    </row>
    <row r="1572" spans="33:33">
      <c r="AG1572" s="759"/>
    </row>
    <row r="1573" spans="33:33">
      <c r="AG1573" s="759"/>
    </row>
    <row r="1574" spans="33:33">
      <c r="AG1574" s="759"/>
    </row>
    <row r="1575" spans="33:33">
      <c r="AG1575" s="759"/>
    </row>
    <row r="1576" spans="33:33">
      <c r="AG1576" s="759"/>
    </row>
    <row r="1577" spans="33:33">
      <c r="AG1577" s="759"/>
    </row>
    <row r="1578" spans="33:33">
      <c r="AG1578" s="759"/>
    </row>
  </sheetData>
  <sheetProtection algorithmName="SHA-512" hashValue="eV2v00CVRedm4ONYIY3SlUv88p/QxJP525yqwv5lwTsK7nA8voB5kfHtYjKQydHbSucNhegvN7yQf/ez4wxA2A==" saltValue="EWM0A943zuB98N/uhFursg==" spinCount="100000" sheet="1"/>
  <dataConsolidate/>
  <mergeCells count="5">
    <mergeCell ref="C15:U15"/>
    <mergeCell ref="C3:W3"/>
    <mergeCell ref="C5:W5"/>
    <mergeCell ref="J8:L8"/>
    <mergeCell ref="M8:O8"/>
  </mergeCells>
  <conditionalFormatting sqref="N10">
    <cfRule type="expression" dxfId="35" priority="5">
      <formula>$M10=""</formula>
    </cfRule>
  </conditionalFormatting>
  <dataValidations count="4">
    <dataValidation type="list" allowBlank="1" showInputMessage="1" showErrorMessage="1" sqref="F11" xr:uid="{3F628AB2-BF71-4CFD-BDA3-98246473EFFC}">
      <formula1>"Principal and Interest,Interest Only,Interest in Advance, Line of Credit"</formula1>
    </dataValidation>
    <dataValidation type="list" allowBlank="1" showInputMessage="1" showErrorMessage="1" sqref="G11" xr:uid="{1E6746BA-4603-43F7-A4B5-F1850A64263D}">
      <formula1>"Variable, Fixed, Simplicity PLUS"</formula1>
    </dataValidation>
    <dataValidation type="list" allowBlank="1" showInputMessage="1" showErrorMessage="1" sqref="P10" xr:uid="{BAEF8FED-9260-4306-A916-F4D624C44B85}">
      <formula1>"Weekly, Fortnightly, Monthly"</formula1>
    </dataValidation>
    <dataValidation type="list" allowBlank="1" showInputMessage="1" showErrorMessage="1" sqref="E10:E11" xr:uid="{87884702-C229-4567-B5A0-3F47BC0A6CB4}">
      <formula1>"TRUE,FALSE"</formula1>
    </dataValidation>
  </dataValidations>
  <pageMargins left="0" right="0" top="0" bottom="0" header="0" footer="0"/>
  <pageSetup paperSize="9" scale="7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70" r:id="rId4" name="Check Box 58">
              <controlPr defaultSize="0" autoFill="0" autoLine="0" autoPict="0">
                <anchor moveWithCells="1">
                  <from>
                    <xdr:col>4</xdr:col>
                    <xdr:colOff>330200</xdr:colOff>
                    <xdr:row>9</xdr:row>
                    <xdr:rowOff>25400</xdr:rowOff>
                  </from>
                  <to>
                    <xdr:col>4</xdr:col>
                    <xdr:colOff>635000</xdr:colOff>
                    <xdr:row>9</xdr:row>
                    <xdr:rowOff>177800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076" id="{7B554D7F-B5DC-4D39-9246-AB0AEDCBEB30}">
            <xm:f>AND(VLOOKUP($F10,'Configurable Items'!$D$4807:$G$4815,4,FALSE),$G10=0)</xm:f>
            <x14:dxf>
              <fill>
                <patternFill>
                  <bgColor rgb="FFF6C2C2"/>
                </patternFill>
              </fill>
            </x14:dxf>
          </x14:cfRule>
          <x14:cfRule type="expression" priority="5077" id="{CF751298-5ABE-469D-AF15-DCE7D9B4F849}">
            <xm:f>AND(VLOOKUP($F10,'Configurable Items'!$D$4807:$G$4815,4,FALSE),$G10&gt;10)</xm:f>
            <x14:dxf>
              <fill>
                <patternFill>
                  <bgColor rgb="FFF6C2C2"/>
                </patternFill>
              </fill>
            </x14:dxf>
          </x14:cfRule>
          <x14:cfRule type="expression" priority="5078" id="{8741C34D-D0EF-4E93-966B-9563A677FD6C}">
            <xm:f>AND(VLOOKUP($F10,'Configurable Items'!$D$4807:$G$4815,4,FALSE),$G10="")</xm:f>
            <x14:dxf>
              <fill>
                <patternFill>
                  <bgColor rgb="FFF6C2C2"/>
                </patternFill>
              </fill>
            </x14:dxf>
          </x14:cfRule>
          <xm:sqref>G10</xm:sqref>
        </x14:conditionalFormatting>
        <x14:conditionalFormatting xmlns:xm="http://schemas.microsoft.com/office/excel/2006/main">
          <x14:cfRule type="expression" priority="5079" id="{C14ADBAA-0FDC-4D46-8300-E96231F9AB53}">
            <xm:f>VLOOKUP($F10,'Configurable Items'!$D$4807:$G$4815,4,FALSE)</xm:f>
            <x14:dxf>
              <fill>
                <patternFill patternType="none">
                  <bgColor auto="1"/>
                </patternFill>
              </fill>
            </x14:dxf>
          </x14:cfRule>
          <xm:sqref>G10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658C3C3-0A37-415C-99C3-E6863D8FD07E}">
          <x14:formula1>
            <xm:f>'Configurable Items'!$D$4807:$D$4815</xm:f>
          </x14:formula1>
          <xm:sqref>F10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F29FF-E611-4A08-8FA0-D6A6AAD112BF}">
  <sheetPr codeName="Sheet7">
    <pageSetUpPr fitToPage="1"/>
  </sheetPr>
  <dimension ref="B1:AP175"/>
  <sheetViews>
    <sheetView showGridLines="0" showRowColHeaders="0" zoomScaleNormal="100" workbookViewId="0">
      <selection activeCell="E9" sqref="E9:G9"/>
    </sheetView>
  </sheetViews>
  <sheetFormatPr baseColWidth="10" defaultColWidth="9" defaultRowHeight="15"/>
  <cols>
    <col min="1" max="2" width="0.83203125" style="2" customWidth="1"/>
    <col min="3" max="3" width="2.33203125" style="2" customWidth="1"/>
    <col min="4" max="4" width="20.1640625" style="2" customWidth="1"/>
    <col min="5" max="5" width="15.5" style="2" customWidth="1"/>
    <col min="6" max="6" width="16.1640625" style="2" customWidth="1"/>
    <col min="7" max="7" width="17.6640625" style="2" customWidth="1"/>
    <col min="8" max="8" width="6.6640625" style="2" customWidth="1"/>
    <col min="9" max="9" width="2.5" style="2" customWidth="1"/>
    <col min="10" max="10" width="1.1640625" style="2" customWidth="1"/>
    <col min="11" max="11" width="2.6640625" style="2" customWidth="1"/>
    <col min="12" max="12" width="2.33203125" style="2" customWidth="1"/>
    <col min="13" max="13" width="15.83203125" style="2" customWidth="1"/>
    <col min="14" max="14" width="20.6640625" style="2" customWidth="1"/>
    <col min="15" max="15" width="17.1640625" style="2" customWidth="1"/>
    <col min="16" max="16" width="5.6640625" style="2" customWidth="1"/>
    <col min="17" max="17" width="6.33203125" style="2" customWidth="1"/>
    <col min="18" max="18" width="3.33203125" style="2" hidden="1" customWidth="1"/>
    <col min="19" max="19" width="0.83203125" style="2" customWidth="1"/>
    <col min="20" max="20" width="12.1640625" style="2" bestFit="1" customWidth="1"/>
    <col min="21" max="21" width="12.5" style="2" bestFit="1" customWidth="1"/>
    <col min="22" max="22" width="12.1640625" style="2" bestFit="1" customWidth="1"/>
    <col min="23" max="16384" width="9" style="2"/>
  </cols>
  <sheetData>
    <row r="1" spans="2:19" ht="5.25" customHeight="1"/>
    <row r="2" spans="2:19" ht="5.25" customHeight="1">
      <c r="B2" s="730"/>
      <c r="C2" s="986"/>
      <c r="D2" s="986"/>
      <c r="E2" s="986"/>
      <c r="F2" s="986"/>
      <c r="G2" s="986"/>
      <c r="H2" s="986"/>
      <c r="I2" s="986"/>
      <c r="J2" s="986"/>
      <c r="K2" s="986"/>
      <c r="L2" s="986"/>
      <c r="M2" s="986"/>
      <c r="N2" s="986"/>
      <c r="O2" s="986"/>
      <c r="P2" s="986"/>
      <c r="Q2" s="986"/>
      <c r="R2" s="986"/>
      <c r="S2" s="732"/>
    </row>
    <row r="3" spans="2:19" ht="30.75" customHeight="1">
      <c r="B3" s="733"/>
      <c r="C3" s="1472" t="s">
        <v>756</v>
      </c>
      <c r="D3" s="1472"/>
      <c r="E3" s="1472"/>
      <c r="F3" s="1472"/>
      <c r="G3" s="1472"/>
      <c r="H3" s="1472"/>
      <c r="I3" s="1472"/>
      <c r="J3" s="1472"/>
      <c r="K3" s="1472"/>
      <c r="L3" s="1472"/>
      <c r="M3" s="1472"/>
      <c r="N3" s="1472"/>
      <c r="O3" s="1472"/>
      <c r="P3" s="1472"/>
      <c r="Q3" s="1472"/>
      <c r="R3" s="1472"/>
      <c r="S3" s="736"/>
    </row>
    <row r="4" spans="2:19" ht="8.25" customHeight="1">
      <c r="B4" s="733"/>
      <c r="C4" s="735"/>
      <c r="D4" s="735"/>
      <c r="E4" s="735"/>
      <c r="F4" s="735"/>
      <c r="G4" s="735"/>
      <c r="H4" s="735"/>
      <c r="I4" s="735"/>
      <c r="J4" s="735"/>
      <c r="K4" s="735"/>
      <c r="L4" s="735"/>
      <c r="M4" s="735"/>
      <c r="N4" s="735"/>
      <c r="O4" s="735"/>
      <c r="P4" s="735"/>
      <c r="Q4" s="735"/>
      <c r="R4" s="735"/>
      <c r="S4" s="736"/>
    </row>
    <row r="5" spans="2:19" ht="18.75" customHeight="1">
      <c r="B5" s="733"/>
      <c r="C5" s="735"/>
      <c r="D5" s="735"/>
      <c r="E5" s="735"/>
      <c r="F5" s="735"/>
      <c r="G5" s="735"/>
      <c r="H5" s="735"/>
      <c r="I5" s="735"/>
      <c r="J5" s="735"/>
      <c r="K5" s="735"/>
      <c r="L5" s="735"/>
      <c r="M5" s="735"/>
      <c r="N5" s="735"/>
      <c r="O5" s="735"/>
      <c r="P5" s="735"/>
      <c r="Q5" s="735"/>
      <c r="R5" s="735"/>
      <c r="S5" s="736"/>
    </row>
    <row r="6" spans="2:19" ht="17.25" customHeight="1">
      <c r="B6" s="733"/>
      <c r="C6" s="1078">
        <v>1</v>
      </c>
      <c r="D6" s="1515" t="s">
        <v>757</v>
      </c>
      <c r="E6" s="1515"/>
      <c r="F6" s="1515"/>
      <c r="G6" s="1515"/>
      <c r="H6" s="1515"/>
      <c r="I6" s="1515"/>
      <c r="J6" s="1515"/>
      <c r="K6" s="832"/>
      <c r="L6" s="1078">
        <v>2</v>
      </c>
      <c r="M6" s="1515" t="s">
        <v>758</v>
      </c>
      <c r="N6" s="1515"/>
      <c r="O6" s="1515"/>
      <c r="P6" s="1515"/>
      <c r="Q6" s="1515"/>
      <c r="R6" s="28"/>
      <c r="S6" s="736"/>
    </row>
    <row r="7" spans="2:19" ht="5.25" customHeight="1">
      <c r="B7" s="733"/>
      <c r="C7" s="735"/>
      <c r="D7" s="735"/>
      <c r="E7" s="735"/>
      <c r="F7" s="735"/>
      <c r="G7" s="735"/>
      <c r="H7" s="735"/>
      <c r="I7" s="735"/>
      <c r="J7" s="735"/>
      <c r="K7" s="735"/>
      <c r="L7" s="735"/>
      <c r="M7" s="735"/>
      <c r="N7" s="735"/>
      <c r="O7" s="735"/>
      <c r="P7" s="735"/>
      <c r="Q7" s="735"/>
      <c r="R7" s="27"/>
      <c r="S7" s="736"/>
    </row>
    <row r="8" spans="2:19" ht="6.75" customHeight="1">
      <c r="B8" s="733"/>
      <c r="C8" s="711"/>
      <c r="D8" s="712"/>
      <c r="E8" s="712"/>
      <c r="F8" s="712"/>
      <c r="G8" s="712"/>
      <c r="H8" s="712"/>
      <c r="I8" s="712"/>
      <c r="J8" s="708"/>
      <c r="K8" s="735"/>
      <c r="L8" s="711"/>
      <c r="M8" s="712"/>
      <c r="N8" s="712"/>
      <c r="O8" s="712"/>
      <c r="P8" s="712"/>
      <c r="Q8" s="708"/>
      <c r="R8" s="21"/>
      <c r="S8" s="736"/>
    </row>
    <row r="9" spans="2:19">
      <c r="B9" s="733"/>
      <c r="C9" s="742"/>
      <c r="D9" s="1034" t="s">
        <v>759</v>
      </c>
      <c r="E9" s="1538"/>
      <c r="F9" s="1539"/>
      <c r="G9" s="1540"/>
      <c r="J9" s="714"/>
      <c r="K9" s="735"/>
      <c r="L9" s="742"/>
      <c r="M9" s="833" t="s">
        <v>759</v>
      </c>
      <c r="N9" s="1538"/>
      <c r="O9" s="1540"/>
      <c r="Q9" s="714"/>
      <c r="R9" s="22"/>
      <c r="S9" s="736"/>
    </row>
    <row r="10" spans="2:19">
      <c r="B10" s="733"/>
      <c r="C10" s="742"/>
      <c r="F10" s="1224" t="s">
        <v>170</v>
      </c>
      <c r="G10" s="1276">
        <v>2024</v>
      </c>
      <c r="H10" s="34"/>
      <c r="I10" s="34"/>
      <c r="J10" s="714"/>
      <c r="K10" s="735"/>
      <c r="L10" s="742"/>
      <c r="N10" s="1002" t="s">
        <v>170</v>
      </c>
      <c r="O10" s="1276"/>
      <c r="Q10" s="714"/>
      <c r="R10" s="22"/>
      <c r="S10" s="736"/>
    </row>
    <row r="11" spans="2:19">
      <c r="B11" s="733"/>
      <c r="C11" s="742"/>
      <c r="F11" s="1224" t="s">
        <v>760</v>
      </c>
      <c r="G11" s="1277" t="str">
        <f>IF(ISBLANK(G10),"",Postcode_Lookup(IF(LEN(G10)=3,"0" &amp; G10,G10), "State"))</f>
        <v>NSW</v>
      </c>
      <c r="H11" s="34"/>
      <c r="I11" s="34"/>
      <c r="J11" s="714"/>
      <c r="K11" s="735"/>
      <c r="L11" s="742"/>
      <c r="N11" s="1002" t="s">
        <v>760</v>
      </c>
      <c r="O11" s="1277" t="str">
        <f>IF(ISBLANK(O10),"",Postcode_Lookup(IF(LEN(O10)=3,"0" &amp; O10,O10), "State"))</f>
        <v/>
      </c>
      <c r="Q11" s="714"/>
      <c r="R11" s="22"/>
      <c r="S11" s="736"/>
    </row>
    <row r="12" spans="2:19">
      <c r="B12" s="733"/>
      <c r="C12" s="742"/>
      <c r="H12" s="34"/>
      <c r="I12" s="34"/>
      <c r="J12" s="714"/>
      <c r="K12" s="735"/>
      <c r="L12" s="742"/>
      <c r="N12" s="1225"/>
      <c r="O12" s="191"/>
      <c r="Q12" s="714"/>
      <c r="R12" s="22"/>
      <c r="S12" s="736"/>
    </row>
    <row r="13" spans="2:19">
      <c r="B13" s="733"/>
      <c r="C13" s="742"/>
      <c r="D13" s="1034" t="s">
        <v>174</v>
      </c>
      <c r="E13" s="1034"/>
      <c r="F13" s="1536" t="s">
        <v>761</v>
      </c>
      <c r="G13" s="1537"/>
      <c r="H13" s="34"/>
      <c r="I13" s="34"/>
      <c r="J13" s="714"/>
      <c r="K13" s="735"/>
      <c r="L13" s="742"/>
      <c r="M13" s="833" t="s">
        <v>174</v>
      </c>
      <c r="N13" s="1533" t="s">
        <v>761</v>
      </c>
      <c r="O13" s="1534"/>
      <c r="Q13" s="714"/>
      <c r="R13" s="22"/>
      <c r="S13" s="736"/>
    </row>
    <row r="14" spans="2:19">
      <c r="B14" s="733"/>
      <c r="C14" s="742"/>
      <c r="D14" s="1034" t="e" cm="1">
        <f t="array" ref="D14">IF(LVR_Without_LMI(NP_Property_Type,VLOOKUP(NP_Property_Type,'Configurable Items'!$F$4957:$H$4967,2,FALSE),VLOOKUP(NP_Property_Type,'Configurable Items'!$F$4957:$H$4967,3,FALSE),  G11, G10,G17+NP_LandPrice,0,"")="","Max LVR without LMI","Max LVR without LMI " &amp; LVR_Without_LMI(NP_Property_Type,VLOOKUP(NP_Property_Type,'Configurable Items'!$F$4957:$H$4967,2,FALSE),VLOOKUP(NP_Property_Type,'Configurable Items'!$F$4957:$H$4967,3,FALSE),  G11, G10,G17+NP_LandPrice,0,""))</f>
        <v>#VALUE!</v>
      </c>
      <c r="E14" s="1034"/>
      <c r="F14" s="1034"/>
      <c r="G14" s="1259" t="str" cm="1">
        <f t="array" ref="G14">IF(ISERR(LVR_Without_LMI(NP_Property_Type,VLOOKUP(NP_Property_Type,'Configurable Items'!$F$4957:$H$4967,2,FALSE),VLOOKUP(NP_Property_Type,'Configurable Items'!$F$4957:$H$4967,3,FALSE),  G11, G10,G17+NP_LandPrice,0,"LVR")),"",LVR_Without_LMI(NP_Property_Type,VLOOKUP(NP_Property_Type,'Configurable Items'!$F$4957:$H$4967,2,FALSE),VLOOKUP(NP_Property_Type,'Configurable Items'!$F$4957:$H$4967,3,FALSE),  G11, G10,G17+NP_LandPrice,0,"LVR"))</f>
        <v/>
      </c>
      <c r="H14" s="34"/>
      <c r="I14" s="34"/>
      <c r="J14" s="714"/>
      <c r="K14" s="735"/>
      <c r="L14" s="742"/>
      <c r="M14" s="833" t="str" cm="1">
        <f t="array" ref="M14">IF(LVR_Without_LMI(CP_Property_Type,VLOOKUP(CP_Property_Type,'Configurable Items'!$F$4957:$H$4967,2,FALSE),VLOOKUP(CP_Property_Type,'Configurable Items'!$F$4957:$H$4967,3,FALSE),  O11, O10,CP_Sale_Price,0,"")="","Max LVR without LMI","Max LVR without LMI " &amp; LVR_Without_LMI(CP_Property_Type,VLOOKUP(CP_Property_Type,'Configurable Items'!$F$4957:$H$4967,2,FALSE),VLOOKUP(CP_Property_Type,'Configurable Items'!$F$4957:$H$4967,3,FALSE),  O11, O10,CP_Sale_Price,0,""))</f>
        <v>Max LVR without LMI for Standard (RSTD)</v>
      </c>
      <c r="N14" s="1034"/>
      <c r="O14" s="1278" cm="1">
        <f t="array" ref="O14">IF(ISERR(LVR_Without_LMI(CP_Property_Type,VLOOKUP(CP_Property_Type,'Configurable Items'!$F$4957:$H$4967,2,FALSE),VLOOKUP(CP_Property_Type,'Configurable Items'!$F$4957:$H$4967,3,FALSE),  O11, O10,CP_Sale_Price,0,"LVR")),"",LVR_Without_LMI(CP_Property_Type,VLOOKUP(CP_Property_Type,'Configurable Items'!$F$4957:$H$4967,2,FALSE),VLOOKUP(CP_Property_Type,'Configurable Items'!$F$4957:$H$4967,3,FALSE),  O11, O10,CP_Sale_Price,0,"LVR"))</f>
        <v>0.8</v>
      </c>
      <c r="Q14" s="714"/>
      <c r="R14" s="22"/>
      <c r="S14" s="736"/>
    </row>
    <row r="15" spans="2:19">
      <c r="B15" s="733"/>
      <c r="C15" s="742"/>
      <c r="D15" s="1034" t="s">
        <v>199</v>
      </c>
      <c r="E15" s="1034"/>
      <c r="F15" s="1533" t="s">
        <v>209</v>
      </c>
      <c r="G15" s="1534"/>
      <c r="H15" s="34"/>
      <c r="I15" s="34"/>
      <c r="J15" s="714"/>
      <c r="K15" s="735"/>
      <c r="L15" s="742"/>
      <c r="M15" s="1535" t="s">
        <v>762</v>
      </c>
      <c r="N15" s="1535"/>
      <c r="O15" s="1258" t="b">
        <v>0</v>
      </c>
      <c r="Q15" s="714"/>
      <c r="R15" s="22"/>
      <c r="S15" s="736"/>
    </row>
    <row r="16" spans="2:19" ht="15" customHeight="1">
      <c r="B16" s="733"/>
      <c r="C16" s="742"/>
      <c r="D16" s="1034"/>
      <c r="G16" s="1260" t="b">
        <v>0</v>
      </c>
      <c r="H16" s="34"/>
      <c r="I16" s="34"/>
      <c r="J16" s="714"/>
      <c r="K16" s="735"/>
      <c r="L16" s="742"/>
      <c r="M16" s="1535"/>
      <c r="N16" s="1535"/>
      <c r="Q16" s="714"/>
      <c r="R16" s="22"/>
      <c r="S16" s="736"/>
    </row>
    <row r="17" spans="2:19">
      <c r="B17" s="733"/>
      <c r="C17" s="742"/>
      <c r="D17" s="1034" t="s">
        <v>8359</v>
      </c>
      <c r="E17" s="1034"/>
      <c r="F17" s="1034"/>
      <c r="G17" s="1274"/>
      <c r="H17" s="192"/>
      <c r="I17" s="192"/>
      <c r="J17" s="714"/>
      <c r="K17" s="735"/>
      <c r="L17" s="742"/>
      <c r="M17" s="833" t="s">
        <v>8525</v>
      </c>
      <c r="N17" s="1034"/>
      <c r="O17" s="1264"/>
      <c r="Q17" s="714"/>
      <c r="R17" s="22"/>
      <c r="S17" s="736"/>
    </row>
    <row r="18" spans="2:19">
      <c r="B18" s="733"/>
      <c r="C18" s="742"/>
      <c r="D18" s="1034"/>
      <c r="E18" s="1034"/>
      <c r="F18" s="1034"/>
      <c r="G18" s="1372"/>
      <c r="H18" s="192"/>
      <c r="I18" s="192"/>
      <c r="J18" s="714"/>
      <c r="K18" s="735"/>
      <c r="L18" s="742"/>
      <c r="M18" s="1521" t="str">
        <f>"less sale costs allowance"</f>
        <v>less sale costs allowance</v>
      </c>
      <c r="N18" s="1521"/>
      <c r="O18" s="1262">
        <f>IF(CP_COS=TRUE,CP_Sale_Price*0.05,CP_Sale_Price*0.1)</f>
        <v>0</v>
      </c>
      <c r="Q18" s="714"/>
      <c r="R18" s="22"/>
      <c r="S18" s="736"/>
    </row>
    <row r="19" spans="2:19">
      <c r="B19" s="733"/>
      <c r="C19" s="742"/>
      <c r="D19" s="1034" t="s">
        <v>763</v>
      </c>
      <c r="E19" s="1034"/>
      <c r="F19" s="1034"/>
      <c r="G19" s="1279">
        <f>PURCHASE_COSTS(Dwelling, NP_Purchase_Price, NP_LandPrice, NP_State, FALSE, TRUE, FALSE, FALSE, FALSE, FALSE, 0, FALSE, TRUE)</f>
        <v>0</v>
      </c>
      <c r="H19" s="192"/>
      <c r="I19" s="192"/>
      <c r="J19" s="714"/>
      <c r="K19" s="735"/>
      <c r="L19" s="742"/>
      <c r="M19" s="833" t="s">
        <v>764</v>
      </c>
      <c r="N19" s="1034"/>
      <c r="O19" s="1226">
        <f>O17-O18</f>
        <v>0</v>
      </c>
      <c r="Q19" s="714"/>
      <c r="R19" s="22"/>
      <c r="S19" s="736"/>
    </row>
    <row r="20" spans="2:19">
      <c r="B20" s="733"/>
      <c r="C20" s="742"/>
      <c r="D20" s="1227" t="s">
        <v>765</v>
      </c>
      <c r="E20" s="1034"/>
      <c r="F20" s="1034"/>
      <c r="G20" s="1274"/>
      <c r="H20" s="192"/>
      <c r="I20" s="192"/>
      <c r="J20" s="714"/>
      <c r="K20" s="735"/>
      <c r="L20" s="742"/>
      <c r="Q20" s="714"/>
      <c r="R20" s="22"/>
      <c r="S20" s="736"/>
    </row>
    <row r="21" spans="2:19" ht="15" customHeight="1">
      <c r="B21" s="733"/>
      <c r="C21" s="742"/>
      <c r="D21" s="1034" t="s">
        <v>766</v>
      </c>
      <c r="E21" s="1034"/>
      <c r="F21" s="1034"/>
      <c r="G21" s="1226">
        <f>IF(Dwelling="Construct on Existing Land",SUM(G18:G19)-G20,SUM(G17:G19)-G20)</f>
        <v>0</v>
      </c>
      <c r="H21" s="193"/>
      <c r="I21" s="193"/>
      <c r="J21" s="714"/>
      <c r="K21" s="735"/>
      <c r="L21" s="742"/>
      <c r="M21" s="1522"/>
      <c r="N21" s="1522"/>
      <c r="O21" s="194"/>
      <c r="Q21" s="714"/>
      <c r="R21" s="22"/>
      <c r="S21" s="736"/>
    </row>
    <row r="22" spans="2:19">
      <c r="B22" s="733"/>
      <c r="C22" s="709"/>
      <c r="D22" s="727"/>
      <c r="E22" s="727"/>
      <c r="F22" s="727"/>
      <c r="G22" s="727"/>
      <c r="H22" s="727"/>
      <c r="I22" s="727"/>
      <c r="J22" s="716"/>
      <c r="K22" s="735"/>
      <c r="L22" s="709"/>
      <c r="M22" s="727"/>
      <c r="N22" s="727"/>
      <c r="O22" s="727"/>
      <c r="P22" s="727"/>
      <c r="Q22" s="716"/>
      <c r="R22" s="22"/>
      <c r="S22" s="736"/>
    </row>
    <row r="23" spans="2:19" ht="5.25" customHeight="1">
      <c r="B23" s="733"/>
      <c r="C23" s="735"/>
      <c r="D23" s="735"/>
      <c r="E23" s="735"/>
      <c r="F23" s="735"/>
      <c r="G23" s="735"/>
      <c r="H23" s="735"/>
      <c r="I23" s="735"/>
      <c r="J23" s="735"/>
      <c r="K23" s="893"/>
      <c r="L23" s="1249"/>
      <c r="M23" s="1249"/>
      <c r="N23" s="1249"/>
      <c r="O23" s="1249"/>
      <c r="P23" s="1249"/>
      <c r="Q23" s="1249"/>
      <c r="R23" s="1079"/>
      <c r="S23" s="1082"/>
    </row>
    <row r="24" spans="2:19" ht="17.25" customHeight="1">
      <c r="B24" s="733"/>
      <c r="C24" s="1078">
        <v>3</v>
      </c>
      <c r="D24" s="1515" t="s">
        <v>767</v>
      </c>
      <c r="E24" s="1515"/>
      <c r="F24" s="1515"/>
      <c r="G24" s="1515"/>
      <c r="H24" s="1515"/>
      <c r="I24" s="1515"/>
      <c r="J24" s="832"/>
      <c r="K24" s="1084"/>
      <c r="L24" s="1250">
        <v>4</v>
      </c>
      <c r="M24" s="1523" t="s">
        <v>768</v>
      </c>
      <c r="N24" s="1523"/>
      <c r="O24" s="1523"/>
      <c r="P24" s="1523"/>
      <c r="Q24" s="1523"/>
      <c r="R24" s="1223"/>
      <c r="S24" s="1082"/>
    </row>
    <row r="25" spans="2:19" ht="5.25" customHeight="1">
      <c r="B25" s="733"/>
      <c r="C25" s="735"/>
      <c r="D25" s="735"/>
      <c r="E25" s="735"/>
      <c r="F25" s="735"/>
      <c r="G25" s="735"/>
      <c r="H25" s="735"/>
      <c r="I25" s="735"/>
      <c r="J25" s="735"/>
      <c r="K25" s="893"/>
      <c r="L25" s="1249"/>
      <c r="M25" s="1249"/>
      <c r="N25" s="1249"/>
      <c r="O25" s="1249"/>
      <c r="P25" s="1249"/>
      <c r="Q25" s="1249"/>
      <c r="R25" s="1079"/>
      <c r="S25" s="1082"/>
    </row>
    <row r="26" spans="2:19" ht="7.5" customHeight="1">
      <c r="B26" s="733"/>
      <c r="C26" s="711"/>
      <c r="D26" s="712"/>
      <c r="E26" s="712"/>
      <c r="F26" s="712"/>
      <c r="G26" s="712"/>
      <c r="H26" s="712"/>
      <c r="I26" s="712"/>
      <c r="J26" s="708"/>
      <c r="K26" s="893"/>
      <c r="L26" s="1249"/>
      <c r="M26" s="1249"/>
      <c r="N26" s="1249"/>
      <c r="O26" s="1249"/>
      <c r="P26" s="1249"/>
      <c r="Q26" s="1249"/>
      <c r="R26" s="70"/>
      <c r="S26" s="1082"/>
    </row>
    <row r="27" spans="2:19" ht="15" customHeight="1">
      <c r="B27" s="733"/>
      <c r="C27" s="742"/>
      <c r="D27" s="1526" t="s">
        <v>769</v>
      </c>
      <c r="E27" s="1526"/>
      <c r="F27" s="1526"/>
      <c r="G27" s="1275" t="s">
        <v>770</v>
      </c>
      <c r="J27" s="714"/>
      <c r="K27" s="893"/>
      <c r="L27" s="1249"/>
      <c r="M27" s="1527" t="s">
        <v>771</v>
      </c>
      <c r="N27" s="1527"/>
      <c r="O27" s="1527"/>
      <c r="P27" s="1527"/>
      <c r="Q27" s="1249"/>
      <c r="R27" s="38"/>
      <c r="S27" s="1082"/>
    </row>
    <row r="28" spans="2:19" ht="12" customHeight="1">
      <c r="B28" s="733"/>
      <c r="C28" s="742"/>
      <c r="J28" s="714"/>
      <c r="K28" s="893"/>
      <c r="L28" s="1249"/>
      <c r="M28" s="1527"/>
      <c r="N28" s="1527"/>
      <c r="O28" s="1527"/>
      <c r="P28" s="1527"/>
      <c r="Q28" s="1249"/>
      <c r="R28" s="38"/>
      <c r="S28" s="1082"/>
    </row>
    <row r="29" spans="2:19" ht="15" customHeight="1">
      <c r="B29" s="733"/>
      <c r="C29" s="742"/>
      <c r="D29" s="1273" t="s">
        <v>772</v>
      </c>
      <c r="E29" s="195"/>
      <c r="F29" s="195"/>
      <c r="G29" s="1274"/>
      <c r="J29" s="714"/>
      <c r="K29" s="893"/>
      <c r="L29" s="1249"/>
      <c r="M29" s="1251" t="s">
        <v>773</v>
      </c>
      <c r="N29" s="1251"/>
      <c r="O29" s="1252">
        <v>0.8</v>
      </c>
      <c r="P29" s="1249"/>
      <c r="Q29" s="1249"/>
      <c r="R29" s="38"/>
      <c r="S29" s="1082"/>
    </row>
    <row r="30" spans="2:19" ht="7.5" customHeight="1">
      <c r="B30" s="733"/>
      <c r="C30" s="742"/>
      <c r="J30" s="714"/>
      <c r="K30" s="893"/>
      <c r="L30" s="1249"/>
      <c r="M30" s="1251"/>
      <c r="N30" s="1251"/>
      <c r="O30" s="1251"/>
      <c r="P30" s="1249"/>
      <c r="Q30" s="1249"/>
      <c r="R30" s="38"/>
      <c r="S30" s="1082"/>
    </row>
    <row r="31" spans="2:19" ht="13.5" customHeight="1">
      <c r="B31" s="733"/>
      <c r="C31" s="742"/>
      <c r="D31" s="1273" t="s">
        <v>774</v>
      </c>
      <c r="E31" s="195"/>
      <c r="F31" s="1528" t="s">
        <v>775</v>
      </c>
      <c r="G31" s="1529"/>
      <c r="J31" s="714"/>
      <c r="K31" s="893"/>
      <c r="L31" s="1249"/>
      <c r="M31" s="1530" t="s">
        <v>776</v>
      </c>
      <c r="N31" s="1530"/>
      <c r="O31" s="1253">
        <v>1</v>
      </c>
      <c r="P31" s="1249"/>
      <c r="Q31" s="1249"/>
      <c r="R31" s="38"/>
      <c r="S31" s="1082"/>
    </row>
    <row r="32" spans="2:19" ht="7.5" customHeight="1">
      <c r="B32" s="733"/>
      <c r="C32" s="742"/>
      <c r="D32" s="195"/>
      <c r="E32" s="195"/>
      <c r="F32" s="195"/>
      <c r="J32" s="714"/>
      <c r="K32" s="893"/>
      <c r="L32" s="1249"/>
      <c r="M32" s="1254"/>
      <c r="N32" s="1254"/>
      <c r="O32" s="1254"/>
      <c r="P32" s="1249"/>
      <c r="Q32" s="1249"/>
      <c r="R32" s="38"/>
      <c r="S32" s="1082"/>
    </row>
    <row r="33" spans="2:24" ht="15" customHeight="1">
      <c r="B33" s="733"/>
      <c r="C33" s="742"/>
      <c r="D33" s="1273" t="s">
        <v>777</v>
      </c>
      <c r="E33" s="195"/>
      <c r="F33" s="195"/>
      <c r="G33" s="196" t="b">
        <v>0</v>
      </c>
      <c r="J33" s="714"/>
      <c r="K33" s="893"/>
      <c r="L33" s="1249"/>
      <c r="M33" s="1255" t="s">
        <v>778</v>
      </c>
      <c r="N33" s="1255"/>
      <c r="O33" s="1256">
        <v>0</v>
      </c>
      <c r="P33" s="1249"/>
      <c r="Q33" s="1249"/>
      <c r="R33" s="38"/>
      <c r="S33" s="1082"/>
      <c r="U33" s="195"/>
      <c r="V33" s="195"/>
      <c r="W33" s="195"/>
      <c r="X33" s="197"/>
    </row>
    <row r="34" spans="2:24" ht="7.5" customHeight="1">
      <c r="B34" s="733"/>
      <c r="C34" s="742"/>
      <c r="J34" s="714"/>
      <c r="K34" s="893"/>
      <c r="L34" s="1249"/>
      <c r="M34" s="1251"/>
      <c r="N34" s="1251"/>
      <c r="O34" s="1251"/>
      <c r="P34" s="1249"/>
      <c r="Q34" s="1249"/>
      <c r="R34" s="38"/>
      <c r="S34" s="1082"/>
    </row>
    <row r="35" spans="2:24" ht="15" customHeight="1">
      <c r="B35" s="733"/>
      <c r="C35" s="742"/>
      <c r="D35" s="1273" t="s">
        <v>779</v>
      </c>
      <c r="F35" s="1531" t="s">
        <v>770</v>
      </c>
      <c r="G35" s="1532"/>
      <c r="J35" s="714"/>
      <c r="K35" s="893"/>
      <c r="L35" s="1249"/>
      <c r="M35" s="1255" t="s">
        <v>780</v>
      </c>
      <c r="N35" s="1255"/>
      <c r="O35" s="1256">
        <v>0</v>
      </c>
      <c r="P35" s="1249"/>
      <c r="Q35" s="1249"/>
      <c r="R35" s="38"/>
      <c r="S35" s="1082"/>
    </row>
    <row r="36" spans="2:24" ht="7.5" customHeight="1">
      <c r="B36" s="733"/>
      <c r="C36" s="742"/>
      <c r="G36" s="1228" t="b">
        <v>0</v>
      </c>
      <c r="J36" s="714"/>
      <c r="K36" s="893"/>
      <c r="L36" s="1249"/>
      <c r="M36" s="1249"/>
      <c r="N36" s="1249"/>
      <c r="O36" s="1249"/>
      <c r="P36" s="1249"/>
      <c r="Q36" s="1249"/>
      <c r="R36" s="38"/>
      <c r="S36" s="1082"/>
    </row>
    <row r="37" spans="2:24">
      <c r="B37" s="733"/>
      <c r="C37" s="742"/>
      <c r="D37" s="195"/>
      <c r="E37" s="195"/>
      <c r="F37" s="1229"/>
      <c r="G37" s="1256"/>
      <c r="J37" s="714"/>
      <c r="K37" s="893"/>
      <c r="L37" s="1249"/>
      <c r="M37" s="1255" t="s">
        <v>781</v>
      </c>
      <c r="N37" s="1255"/>
      <c r="O37" s="1257">
        <f>(O33*IF(ISNUMBER(O29),O29,0))-O35</f>
        <v>0</v>
      </c>
      <c r="P37" s="1249"/>
      <c r="Q37" s="1249"/>
      <c r="R37" s="38"/>
      <c r="S37" s="1082"/>
    </row>
    <row r="38" spans="2:24" ht="13.5" customHeight="1">
      <c r="B38" s="733"/>
      <c r="C38" s="742"/>
      <c r="D38" s="195"/>
      <c r="E38" s="195"/>
      <c r="F38" s="195"/>
      <c r="G38" s="1230"/>
      <c r="J38" s="714"/>
      <c r="K38" s="893"/>
      <c r="L38" s="1249"/>
      <c r="M38" s="1374"/>
      <c r="N38" s="1374"/>
      <c r="O38" s="1374"/>
      <c r="P38" s="1249"/>
      <c r="Q38" s="1249"/>
      <c r="R38" s="38"/>
      <c r="S38" s="1082"/>
    </row>
    <row r="39" spans="2:24">
      <c r="B39" s="733"/>
      <c r="C39" s="742"/>
      <c r="D39" s="195"/>
      <c r="E39" s="195"/>
      <c r="F39" s="195"/>
      <c r="G39" s="1256"/>
      <c r="J39" s="714"/>
      <c r="K39" s="893"/>
      <c r="L39" s="1249"/>
      <c r="M39" s="1525" t="s">
        <v>782</v>
      </c>
      <c r="N39" s="1525"/>
      <c r="O39" s="1525"/>
      <c r="P39" s="1525"/>
      <c r="Q39" s="1249"/>
      <c r="R39" s="38"/>
      <c r="S39" s="1082"/>
    </row>
    <row r="40" spans="2:24" ht="18" customHeight="1">
      <c r="B40" s="733"/>
      <c r="C40" s="709"/>
      <c r="D40" s="727"/>
      <c r="E40" s="727"/>
      <c r="F40" s="727"/>
      <c r="G40" s="1373"/>
      <c r="H40" s="727"/>
      <c r="I40" s="727"/>
      <c r="J40" s="716"/>
      <c r="K40" s="893"/>
      <c r="L40" s="1249"/>
      <c r="M40" s="1525"/>
      <c r="N40" s="1525"/>
      <c r="O40" s="1525"/>
      <c r="P40" s="1525"/>
      <c r="Q40" s="1249"/>
      <c r="R40" s="38"/>
      <c r="S40" s="1082"/>
    </row>
    <row r="41" spans="2:24" ht="5.25" customHeight="1">
      <c r="B41" s="733"/>
      <c r="C41" s="735"/>
      <c r="D41" s="735"/>
      <c r="E41" s="735"/>
      <c r="F41" s="735"/>
      <c r="G41" s="735"/>
      <c r="H41" s="735"/>
      <c r="I41" s="735"/>
      <c r="J41" s="735"/>
      <c r="K41" s="893"/>
      <c r="L41" s="893"/>
      <c r="M41" s="893"/>
      <c r="N41" s="893"/>
      <c r="O41" s="893"/>
      <c r="P41" s="893"/>
      <c r="Q41" s="893"/>
      <c r="R41" s="1079"/>
      <c r="S41" s="1082"/>
    </row>
    <row r="42" spans="2:24" ht="17.25" customHeight="1">
      <c r="B42" s="733"/>
      <c r="C42" s="1078">
        <v>4</v>
      </c>
      <c r="D42" s="1515" t="s">
        <v>783</v>
      </c>
      <c r="E42" s="1515"/>
      <c r="F42" s="1515"/>
      <c r="G42" s="1515"/>
      <c r="H42" s="1515"/>
      <c r="I42" s="1515"/>
      <c r="J42" s="1515"/>
      <c r="K42" s="832"/>
      <c r="L42" s="1078">
        <v>5</v>
      </c>
      <c r="M42" s="1515" t="s">
        <v>784</v>
      </c>
      <c r="N42" s="1515"/>
      <c r="O42" s="1515"/>
      <c r="P42" s="1515"/>
      <c r="Q42" s="1515"/>
      <c r="R42" s="28"/>
      <c r="S42" s="736"/>
    </row>
    <row r="43" spans="2:24" ht="5.25" customHeight="1">
      <c r="B43" s="733"/>
      <c r="C43" s="735"/>
      <c r="D43" s="735"/>
      <c r="E43" s="735"/>
      <c r="F43" s="735"/>
      <c r="G43" s="735"/>
      <c r="H43" s="735"/>
      <c r="I43" s="735"/>
      <c r="J43" s="735"/>
      <c r="K43" s="735"/>
      <c r="L43" s="735"/>
      <c r="M43" s="735"/>
      <c r="N43" s="735"/>
      <c r="O43" s="735"/>
      <c r="P43" s="735"/>
      <c r="Q43" s="735"/>
      <c r="R43" s="27"/>
      <c r="S43" s="736"/>
    </row>
    <row r="44" spans="2:24" ht="6.75" customHeight="1">
      <c r="B44" s="733"/>
      <c r="C44" s="711"/>
      <c r="D44" s="712"/>
      <c r="E44" s="712"/>
      <c r="F44" s="712"/>
      <c r="G44" s="712"/>
      <c r="H44" s="825"/>
      <c r="I44" s="825"/>
      <c r="J44" s="947"/>
      <c r="K44" s="735"/>
      <c r="L44" s="711"/>
      <c r="M44" s="712"/>
      <c r="N44" s="712"/>
      <c r="O44" s="712"/>
      <c r="P44" s="712"/>
      <c r="Q44" s="708"/>
      <c r="R44" s="21"/>
      <c r="S44" s="736"/>
    </row>
    <row r="45" spans="2:24">
      <c r="B45" s="733"/>
      <c r="C45" s="742"/>
      <c r="D45" s="858" t="s">
        <v>785</v>
      </c>
      <c r="E45" s="858"/>
      <c r="F45" s="858"/>
      <c r="H45" s="40"/>
      <c r="I45" s="40"/>
      <c r="J45" s="901"/>
      <c r="K45" s="735"/>
      <c r="L45" s="742"/>
      <c r="M45" s="858" t="s">
        <v>786</v>
      </c>
      <c r="N45" s="1225"/>
      <c r="Q45" s="714"/>
      <c r="R45" s="22"/>
      <c r="S45" s="736"/>
    </row>
    <row r="46" spans="2:24" ht="15" customHeight="1">
      <c r="B46" s="733"/>
      <c r="C46" s="742"/>
      <c r="F46" s="1268" t="s">
        <v>787</v>
      </c>
      <c r="G46" s="1262">
        <f>G29</f>
        <v>0</v>
      </c>
      <c r="H46" s="199"/>
      <c r="I46" s="199"/>
      <c r="J46" s="901"/>
      <c r="K46" s="735"/>
      <c r="L46" s="742"/>
      <c r="M46" s="1265" t="s">
        <v>8952</v>
      </c>
      <c r="P46" s="1231"/>
      <c r="Q46" s="714"/>
      <c r="R46" s="22"/>
      <c r="S46" s="736"/>
    </row>
    <row r="47" spans="2:24">
      <c r="B47" s="733"/>
      <c r="C47" s="742"/>
      <c r="F47" s="1268" t="s">
        <v>8944</v>
      </c>
      <c r="G47" s="1267">
        <f>G21</f>
        <v>0</v>
      </c>
      <c r="H47" s="200"/>
      <c r="I47" s="200"/>
      <c r="J47" s="901"/>
      <c r="K47" s="735"/>
      <c r="L47" s="742"/>
      <c r="Q47" s="714"/>
      <c r="R47" s="22"/>
      <c r="S47" s="736"/>
    </row>
    <row r="48" spans="2:24" ht="15" customHeight="1">
      <c r="B48" s="733"/>
      <c r="C48" s="742"/>
      <c r="F48" s="1269" t="s">
        <v>785</v>
      </c>
      <c r="G48" s="1309">
        <f>G46+G47</f>
        <v>0</v>
      </c>
      <c r="H48" s="1307" t="str">
        <f>IF((NP_Purchase_Price+NP_LandPrice+CP_Sale_Price+AS_TotalSecurity)&gt;0,((Peak_Debt+AS_TotalLoans)/(NP_Purchase_Price+NP_LandPrice+CP_Sale_Price+AS_TotalSecurity)),"-")</f>
        <v>-</v>
      </c>
      <c r="I48" s="1308" t="s">
        <v>788</v>
      </c>
      <c r="J48" s="901"/>
      <c r="K48" s="735"/>
      <c r="L48" s="742"/>
      <c r="M48" s="833" t="s">
        <v>789</v>
      </c>
      <c r="N48" s="1034"/>
      <c r="O48" s="1266" t="s">
        <v>770</v>
      </c>
      <c r="P48" s="40"/>
      <c r="Q48" s="714"/>
      <c r="R48" s="22"/>
      <c r="S48" s="736"/>
    </row>
    <row r="49" spans="2:20" ht="15" customHeight="1">
      <c r="B49" s="733"/>
      <c r="C49" s="742"/>
      <c r="F49" s="1270" t="s">
        <v>790</v>
      </c>
      <c r="G49" s="201">
        <f>IF((NP_Purchase_Price+NP_LandPrice+CP_Sale_Price+AS_TotalSecurity)&gt;0,MIN(((NP_Purchase_Price+NP_LandPrice)*NP_MaxLVR)+(CP_Sale_Price*O14)+(AS_Available),((NP_Purchase_Price+NP_LandPrice+CP_Sale_Price+AS_TotalSecurity)*0.8)),0)</f>
        <v>0</v>
      </c>
      <c r="H49" s="1233"/>
      <c r="I49" s="1233"/>
      <c r="J49" s="901"/>
      <c r="K49" s="735"/>
      <c r="L49" s="742"/>
      <c r="M49" s="1516" t="s">
        <v>791</v>
      </c>
      <c r="N49" s="1516"/>
      <c r="O49" s="1516"/>
      <c r="P49" s="1234"/>
      <c r="Q49" s="714"/>
      <c r="R49" s="22"/>
      <c r="S49" s="736"/>
    </row>
    <row r="50" spans="2:20" ht="19.5" customHeight="1">
      <c r="B50" s="733"/>
      <c r="C50" s="742"/>
      <c r="F50" s="1232"/>
      <c r="G50" s="1235"/>
      <c r="H50" s="1233"/>
      <c r="I50" s="1233"/>
      <c r="J50" s="901"/>
      <c r="K50" s="735"/>
      <c r="L50" s="742"/>
      <c r="M50" s="1516"/>
      <c r="N50" s="1516"/>
      <c r="O50" s="1516"/>
      <c r="P50" s="1236"/>
      <c r="Q50" s="714"/>
      <c r="R50" s="22"/>
      <c r="S50" s="736"/>
    </row>
    <row r="51" spans="2:20" ht="11.25" customHeight="1">
      <c r="B51" s="733"/>
      <c r="C51" s="742"/>
      <c r="G51" s="40"/>
      <c r="H51" s="40"/>
      <c r="I51" s="40"/>
      <c r="J51" s="901"/>
      <c r="K51" s="735"/>
      <c r="L51" s="742"/>
      <c r="M51" s="1517" t="str">
        <f>IF(O48="no","The customer must be able to service all residual debt to proceed with the bridging loan application.","")</f>
        <v/>
      </c>
      <c r="N51" s="1517"/>
      <c r="O51" s="1517"/>
      <c r="P51" s="1236"/>
      <c r="Q51" s="714"/>
      <c r="R51" s="22"/>
      <c r="S51" s="736"/>
    </row>
    <row r="52" spans="2:20">
      <c r="B52" s="733"/>
      <c r="C52" s="742"/>
      <c r="D52" s="858" t="s">
        <v>792</v>
      </c>
      <c r="E52" s="858"/>
      <c r="F52" s="858"/>
      <c r="G52" s="40"/>
      <c r="H52" s="40"/>
      <c r="I52" s="40"/>
      <c r="J52" s="901"/>
      <c r="K52" s="735"/>
      <c r="L52" s="742"/>
      <c r="M52" s="1517"/>
      <c r="N52" s="1517"/>
      <c r="O52" s="1517"/>
      <c r="P52" s="1236"/>
      <c r="Q52" s="714"/>
      <c r="R52" s="22"/>
      <c r="S52" s="736"/>
    </row>
    <row r="53" spans="2:20" ht="15" customHeight="1">
      <c r="B53" s="733"/>
      <c r="C53" s="742"/>
      <c r="F53" s="1268" t="s">
        <v>793</v>
      </c>
      <c r="G53" s="1262" t="str">
        <f>IF(AI_Structure="Maximise Residual Component",MIN(MAX(Peak_Debt - R_Current_loan - B_Current_loan - R_Loan_Amount,0),(Peak_Debt - B_Current_loan - R_Current_loan)),
IF(AI_Structure="Minimise Residual Component",MAX(IF((Peak_Debt+AI_RetainAmount+AI_Cus_Res)&gt;=Max_Bridging,MIN((Max_Bridging-AI_RetainAmount-AI_Cus_Res-B_Current_loan),(Peak_Debt-B_Current_loan-R_Current_loan)),(Peak_Debt-B_Current_loan-R_Current_loan)),0),
IF(AI_Structure="Customise Residual Component",MIN(MAX(Peak_Debt - R_Current_loan - B_Current_loan - R_Loan_Amount,0),(Peak_Debt - B_Current_loan - R_Current_loan)),"SELECT STRUCTURE")))</f>
        <v>SELECT STRUCTURE</v>
      </c>
      <c r="H53" s="1237"/>
      <c r="I53" s="1237"/>
      <c r="J53" s="901"/>
      <c r="K53" s="735"/>
      <c r="L53" s="742"/>
      <c r="M53" s="833" t="s">
        <v>794</v>
      </c>
      <c r="N53" s="1034"/>
      <c r="O53" s="1264"/>
      <c r="Q53" s="714"/>
      <c r="R53" s="22"/>
      <c r="S53" s="736"/>
    </row>
    <row r="54" spans="2:20" ht="15" customHeight="1">
      <c r="B54" s="733"/>
      <c r="C54" s="742"/>
      <c r="D54" s="1238"/>
      <c r="E54" s="1238"/>
      <c r="F54" s="1268" t="s">
        <v>795</v>
      </c>
      <c r="G54" s="1272">
        <f>IF(F31="Keep separate and pay out on sale",G29,0)</f>
        <v>0</v>
      </c>
      <c r="H54" s="202"/>
      <c r="I54" s="202"/>
      <c r="J54" s="901"/>
      <c r="K54" s="735"/>
      <c r="L54" s="742"/>
      <c r="M54" s="1518" t="s">
        <v>796</v>
      </c>
      <c r="N54" s="1518"/>
      <c r="O54" s="1518"/>
      <c r="Q54" s="714"/>
      <c r="R54" s="22"/>
      <c r="S54" s="736"/>
    </row>
    <row r="55" spans="2:20" ht="15" customHeight="1">
      <c r="B55" s="733"/>
      <c r="C55" s="742"/>
      <c r="F55" s="1269" t="s">
        <v>797</v>
      </c>
      <c r="G55" s="1309">
        <f>SUM(G53:G54)</f>
        <v>0</v>
      </c>
      <c r="H55" s="40"/>
      <c r="I55" s="40"/>
      <c r="J55" s="901"/>
      <c r="K55" s="735"/>
      <c r="L55" s="742"/>
      <c r="M55" s="1516" t="s">
        <v>798</v>
      </c>
      <c r="N55" s="1516"/>
      <c r="O55" s="1516"/>
      <c r="Q55" s="714"/>
      <c r="R55" s="22"/>
      <c r="S55" s="736"/>
    </row>
    <row r="56" spans="2:20" ht="15" customHeight="1">
      <c r="B56" s="733"/>
      <c r="C56" s="742"/>
      <c r="F56" s="1269" t="s">
        <v>8945</v>
      </c>
      <c r="G56" s="201">
        <f>O19</f>
        <v>0</v>
      </c>
      <c r="H56" s="202"/>
      <c r="I56" s="202"/>
      <c r="J56" s="901"/>
      <c r="K56" s="735"/>
      <c r="L56" s="742"/>
      <c r="M56" s="1516"/>
      <c r="N56" s="1516"/>
      <c r="O56" s="1516"/>
      <c r="Q56" s="714"/>
      <c r="R56" s="22"/>
      <c r="S56" s="736"/>
    </row>
    <row r="57" spans="2:20" ht="15" customHeight="1">
      <c r="B57" s="733"/>
      <c r="C57" s="742"/>
      <c r="G57" s="40"/>
      <c r="H57" s="203"/>
      <c r="I57" s="203"/>
      <c r="J57" s="901"/>
      <c r="K57" s="735"/>
      <c r="L57" s="742"/>
      <c r="M57" s="1517" t="str">
        <f>IF(O53&gt;0,"Bridging is normally used where Total Peak Debt has a negative UMI. Please provide justification in the Lenders Note section as to why Bridging Finance is the most suitable product for this customer.","")</f>
        <v/>
      </c>
      <c r="N57" s="1517"/>
      <c r="O57" s="1517"/>
      <c r="Q57" s="714"/>
      <c r="R57" s="22"/>
      <c r="S57" s="736"/>
    </row>
    <row r="58" spans="2:20">
      <c r="B58" s="733"/>
      <c r="C58" s="742"/>
      <c r="D58" s="858" t="str">
        <f>IF(AND(Max_Bridging-Total_Bridging_Component&gt;0,AI_RetainAmount&gt;=(CP_NetProceeds-Total_Bridging_Component)),"Funds to be retained",IF(AND(Max_Bridging-Total_Bridging_Component&gt;0,AI_RetainAmount&lt;(CP_NetProceeds-Total_Bridging_Component)),"Surplus funds after sale",""))</f>
        <v/>
      </c>
      <c r="F58" s="1239"/>
      <c r="G58" s="198" t="str">
        <f>IF(Total_Bridging_Component&gt;0,IF(Max_Bridging-Total_Bridging_Component&gt;0,MAX(CP_NetProceeds-Total_Bridging_Component,0),""),"")</f>
        <v/>
      </c>
      <c r="H58" s="203"/>
      <c r="I58" s="203"/>
      <c r="J58" s="901"/>
      <c r="K58" s="735"/>
      <c r="L58" s="742"/>
      <c r="M58" s="1517"/>
      <c r="N58" s="1517"/>
      <c r="O58" s="1517"/>
      <c r="Q58" s="714"/>
      <c r="R58" s="22"/>
      <c r="S58" s="736"/>
    </row>
    <row r="59" spans="2:20">
      <c r="B59" s="733"/>
      <c r="C59" s="742"/>
      <c r="F59" s="1240"/>
      <c r="G59" s="40"/>
      <c r="H59" s="40"/>
      <c r="I59" s="40"/>
      <c r="J59" s="901"/>
      <c r="K59" s="735"/>
      <c r="L59" s="742"/>
      <c r="M59" s="1517"/>
      <c r="N59" s="1517"/>
      <c r="O59" s="1517"/>
      <c r="P59" s="1241"/>
      <c r="Q59" s="714"/>
      <c r="R59" s="22"/>
      <c r="S59" s="736"/>
    </row>
    <row r="60" spans="2:20">
      <c r="B60" s="733"/>
      <c r="C60" s="742"/>
      <c r="D60" s="858" t="s">
        <v>799</v>
      </c>
      <c r="E60" s="858"/>
      <c r="F60" s="858"/>
      <c r="G60" s="40"/>
      <c r="H60" s="40"/>
      <c r="I60" s="40"/>
      <c r="J60" s="901"/>
      <c r="K60" s="735"/>
      <c r="L60" s="742"/>
      <c r="M60" s="858" t="s">
        <v>800</v>
      </c>
      <c r="P60" s="1241"/>
      <c r="Q60" s="714"/>
      <c r="R60" s="22"/>
      <c r="S60" s="736"/>
      <c r="T60" s="204"/>
    </row>
    <row r="61" spans="2:20">
      <c r="B61" s="733"/>
      <c r="C61" s="742"/>
      <c r="F61" s="1268" t="s">
        <v>801</v>
      </c>
      <c r="G61" s="1262" t="str">
        <f>IF(AI_Structure="Maximise Residual Component",MIN(MAX(MAX_Residual - R_Current_loan,0),(Peak_Debt - B_Current_loan - R_Current_loan)),
IF(AI_Structure="Minimise Residual Component",MAX(Peak_Debt - R_Current_loan - B_Current_loan - B_Loan_Amount,0),
IF(AI_Structure="Customise Residual Component",MAX((AI_Cus_Res) - R_Current_loan,0),"SELECT STRUCTURE")))</f>
        <v>SELECT STRUCTURE</v>
      </c>
      <c r="H61" s="202"/>
      <c r="I61" s="202"/>
      <c r="J61" s="901"/>
      <c r="K61" s="735"/>
      <c r="L61" s="742"/>
      <c r="M61" s="1261" t="s">
        <v>802</v>
      </c>
      <c r="O61" s="1262">
        <f>O53</f>
        <v>0</v>
      </c>
      <c r="P61" s="1241"/>
      <c r="Q61" s="714"/>
      <c r="R61" s="22"/>
      <c r="S61" s="736"/>
    </row>
    <row r="62" spans="2:20" ht="15" customHeight="1">
      <c r="B62" s="733"/>
      <c r="C62" s="742"/>
      <c r="D62" s="1238"/>
      <c r="E62" s="1238"/>
      <c r="F62" s="1268" t="s">
        <v>803</v>
      </c>
      <c r="G62" s="1267">
        <f>IF(F31="Keep separate and retain as residual lending",G29,0)</f>
        <v>0</v>
      </c>
      <c r="H62" s="202"/>
      <c r="I62" s="40"/>
      <c r="J62" s="901"/>
      <c r="K62" s="735"/>
      <c r="L62" s="742"/>
      <c r="M62" s="1261" t="s">
        <v>804</v>
      </c>
      <c r="O62" s="1263" t="str">
        <f>IF(AI_Period="- Please select -","",AI_Period)</f>
        <v/>
      </c>
      <c r="P62" s="1241"/>
      <c r="Q62" s="714"/>
      <c r="R62" s="22"/>
      <c r="S62" s="736"/>
    </row>
    <row r="63" spans="2:20">
      <c r="B63" s="733"/>
      <c r="C63" s="742"/>
      <c r="F63" s="1269" t="s">
        <v>805</v>
      </c>
      <c r="G63" s="1309">
        <f>SUM(G61,G62)</f>
        <v>0</v>
      </c>
      <c r="H63" s="1307" t="str">
        <f>IF((NP_Purchase_Price+NP_LandPrice+AS_TotalSecurity)&gt;0,(TotalResidual+AS_TotalLoans)/(NP_Purchase_Price+NP_LandPrice+AS_TotalSecurity),"-")</f>
        <v>-</v>
      </c>
      <c r="I63" s="1308" t="s">
        <v>788</v>
      </c>
      <c r="J63" s="901"/>
      <c r="K63" s="735"/>
      <c r="L63" s="742"/>
      <c r="M63" s="1261" t="s">
        <v>806</v>
      </c>
      <c r="O63" s="1309">
        <f>IF(AI_Period="- Please Select -",0,MAX(IFERROR(-O61*O62,""),0))</f>
        <v>0</v>
      </c>
      <c r="Q63" s="714"/>
      <c r="R63" s="22"/>
      <c r="S63" s="736"/>
    </row>
    <row r="64" spans="2:20">
      <c r="B64" s="733"/>
      <c r="C64" s="742"/>
      <c r="F64" s="1269" t="s">
        <v>807</v>
      </c>
      <c r="G64" s="1271">
        <f>IF((NP_Purchase_Price+NP_LandPrice+AS_TotalSecurity)&gt;0,((NP_Purchase_Price+NP_LandPrice)*NP_MaxLVR)+(AS_Available),0)</f>
        <v>0</v>
      </c>
      <c r="H64" s="1242"/>
      <c r="I64" s="1242"/>
      <c r="J64" s="901"/>
      <c r="K64" s="735"/>
      <c r="L64" s="742"/>
      <c r="Q64" s="714"/>
      <c r="R64" s="22"/>
      <c r="S64" s="736"/>
    </row>
    <row r="65" spans="2:19" ht="12.75" customHeight="1">
      <c r="B65" s="733"/>
      <c r="C65" s="742"/>
      <c r="H65" s="203"/>
      <c r="I65" s="203"/>
      <c r="J65" s="901"/>
      <c r="K65" s="735"/>
      <c r="L65" s="742"/>
      <c r="M65" s="1520" t="s">
        <v>808</v>
      </c>
      <c r="N65" s="1520"/>
      <c r="O65" s="1520"/>
      <c r="P65" s="1243"/>
      <c r="Q65" s="714"/>
      <c r="R65" s="22"/>
      <c r="S65" s="736"/>
    </row>
    <row r="66" spans="2:19" ht="15" customHeight="1">
      <c r="B66" s="733"/>
      <c r="C66" s="742"/>
      <c r="D66" s="858" t="str">
        <f>IF(Peak_Debt-G49&gt;0,"Customer Contribution required","")</f>
        <v/>
      </c>
      <c r="G66" s="1244" t="str">
        <f>IF(Peak_Debt-G49&gt;0,MAX(Peak_Debt-G49,0),"")</f>
        <v/>
      </c>
      <c r="H66" s="203"/>
      <c r="I66" s="203"/>
      <c r="J66" s="901"/>
      <c r="K66" s="735"/>
      <c r="L66" s="742"/>
      <c r="M66" s="1520"/>
      <c r="N66" s="1520"/>
      <c r="O66" s="1520"/>
      <c r="P66" s="1243"/>
      <c r="Q66" s="714"/>
      <c r="R66" s="22"/>
      <c r="S66" s="736"/>
    </row>
    <row r="67" spans="2:19" ht="19.5" customHeight="1">
      <c r="B67" s="733"/>
      <c r="C67" s="742"/>
      <c r="E67" s="858"/>
      <c r="F67" s="858"/>
      <c r="H67" s="40"/>
      <c r="I67" s="40"/>
      <c r="J67" s="901"/>
      <c r="K67" s="735"/>
      <c r="L67" s="742"/>
      <c r="M67" s="1520"/>
      <c r="N67" s="1520"/>
      <c r="O67" s="1520"/>
      <c r="P67" s="1243"/>
      <c r="Q67" s="714"/>
      <c r="R67" s="22"/>
      <c r="S67" s="736"/>
    </row>
    <row r="68" spans="2:19">
      <c r="B68" s="733"/>
      <c r="C68" s="742"/>
      <c r="D68" s="1519" t="str">
        <f>IF(AND(Peak_Debt=0,Total_Bridging_Component=0),"",IF(Peak_Debt&gt;G49,"Peak Debt exceeds Max LVR. Customer contribution is required",IF(AND(Total_Bridging_Component&lt;=Max_Bridging,TotalResidual&lt;=MAX_Residual),"Loan structure meets criteria",IF(Total_Bridging_Component&gt;Max_Bridging,"Total Bridging component exceeds Net proceeds from sale",IF(AND(Total_Bridging_Component&lt;=Max_Bridging,TotalResidual&gt;MAX_Residual),"Max residual component has been exceeded")))))</f>
        <v/>
      </c>
      <c r="E68" s="1519"/>
      <c r="F68" s="1519"/>
      <c r="G68" s="1519"/>
      <c r="H68" s="40"/>
      <c r="I68" s="40"/>
      <c r="J68" s="901"/>
      <c r="K68" s="735"/>
      <c r="L68" s="742"/>
      <c r="M68" s="1520"/>
      <c r="N68" s="1520"/>
      <c r="O68" s="1520"/>
      <c r="P68" s="1243"/>
      <c r="Q68" s="714"/>
      <c r="R68" s="22"/>
      <c r="S68" s="736"/>
    </row>
    <row r="69" spans="2:19">
      <c r="B69" s="733"/>
      <c r="C69" s="709"/>
      <c r="D69" s="727"/>
      <c r="E69" s="727"/>
      <c r="F69" s="727"/>
      <c r="G69" s="727"/>
      <c r="H69" s="944"/>
      <c r="I69" s="944"/>
      <c r="J69" s="908"/>
      <c r="K69" s="735"/>
      <c r="L69" s="709"/>
      <c r="M69" s="727"/>
      <c r="N69" s="727"/>
      <c r="O69" s="727"/>
      <c r="P69" s="727"/>
      <c r="Q69" s="716"/>
      <c r="R69" s="22"/>
      <c r="S69" s="736"/>
    </row>
    <row r="70" spans="2:19" ht="5.25" customHeight="1">
      <c r="B70" s="733"/>
      <c r="C70" s="735"/>
      <c r="D70" s="735"/>
      <c r="E70" s="735"/>
      <c r="F70" s="735"/>
      <c r="G70" s="735"/>
      <c r="H70" s="735"/>
      <c r="I70" s="735"/>
      <c r="J70" s="735"/>
      <c r="K70" s="735"/>
      <c r="L70" s="735"/>
      <c r="M70" s="735"/>
      <c r="N70" s="735"/>
      <c r="O70" s="735"/>
      <c r="P70" s="735"/>
      <c r="Q70" s="735"/>
      <c r="R70" s="27"/>
      <c r="S70" s="736"/>
    </row>
    <row r="71" spans="2:19" ht="6.75" customHeight="1">
      <c r="B71" s="733"/>
      <c r="C71" s="945"/>
      <c r="D71" s="743"/>
      <c r="E71" s="743"/>
      <c r="F71" s="743"/>
      <c r="G71" s="743"/>
      <c r="H71" s="743"/>
      <c r="I71" s="743"/>
      <c r="J71" s="743"/>
      <c r="K71" s="743"/>
      <c r="L71" s="743"/>
      <c r="M71" s="743"/>
      <c r="N71" s="743"/>
      <c r="O71" s="743"/>
      <c r="P71" s="743"/>
      <c r="Q71" s="744"/>
      <c r="R71" s="21"/>
      <c r="S71" s="736"/>
    </row>
    <row r="72" spans="2:19" ht="69.75" customHeight="1">
      <c r="B72" s="733"/>
      <c r="C72" s="713"/>
      <c r="D72" s="1524" t="s">
        <v>8943</v>
      </c>
      <c r="E72" s="1524"/>
      <c r="F72" s="1524"/>
      <c r="G72" s="1524"/>
      <c r="H72" s="1524"/>
      <c r="I72" s="1524"/>
      <c r="J72" s="1524"/>
      <c r="K72" s="1524"/>
      <c r="L72" s="1524"/>
      <c r="M72" s="1524"/>
      <c r="N72" s="1524"/>
      <c r="O72" s="1524"/>
      <c r="P72" s="1524"/>
      <c r="Q72" s="1245"/>
      <c r="R72" s="27"/>
      <c r="S72" s="736"/>
    </row>
    <row r="73" spans="2:19" ht="6.75" customHeight="1">
      <c r="B73" s="733"/>
      <c r="C73" s="807"/>
      <c r="D73" s="727"/>
      <c r="E73" s="727"/>
      <c r="F73" s="727"/>
      <c r="G73" s="727"/>
      <c r="H73" s="727"/>
      <c r="I73" s="727"/>
      <c r="J73" s="727"/>
      <c r="K73" s="727"/>
      <c r="L73" s="727"/>
      <c r="M73" s="727"/>
      <c r="N73" s="727"/>
      <c r="O73" s="727"/>
      <c r="P73" s="727"/>
      <c r="Q73" s="1246"/>
      <c r="R73" s="27"/>
      <c r="S73" s="736"/>
    </row>
    <row r="74" spans="2:19" ht="4.5" customHeight="1">
      <c r="B74" s="733"/>
      <c r="C74" s="735"/>
      <c r="D74" s="735"/>
      <c r="E74" s="735"/>
      <c r="F74" s="735"/>
      <c r="G74" s="735"/>
      <c r="H74" s="735"/>
      <c r="I74" s="735"/>
      <c r="J74" s="735"/>
      <c r="K74" s="735"/>
      <c r="L74" s="735"/>
      <c r="M74" s="735"/>
      <c r="N74" s="735"/>
      <c r="O74" s="735"/>
      <c r="P74" s="735"/>
      <c r="Q74" s="735"/>
      <c r="R74" s="27"/>
      <c r="S74" s="736"/>
    </row>
    <row r="75" spans="2:19" ht="24.75" customHeight="1">
      <c r="B75" s="733"/>
      <c r="C75" s="1473" t="s">
        <v>809</v>
      </c>
      <c r="D75" s="1473"/>
      <c r="E75" s="1473"/>
      <c r="F75" s="1473"/>
      <c r="G75" s="1473"/>
      <c r="H75" s="1473"/>
      <c r="I75" s="1473"/>
      <c r="J75" s="1473"/>
      <c r="K75" s="1473"/>
      <c r="L75" s="735"/>
      <c r="M75" s="735"/>
      <c r="N75" s="735"/>
      <c r="O75" s="735"/>
      <c r="P75" s="735"/>
      <c r="Q75" s="735"/>
      <c r="S75" s="736"/>
    </row>
    <row r="76" spans="2:19" ht="5.25" customHeight="1">
      <c r="B76" s="733"/>
      <c r="C76" s="735"/>
      <c r="D76" s="735"/>
      <c r="E76" s="735"/>
      <c r="F76" s="735"/>
      <c r="G76" s="735"/>
      <c r="H76" s="735"/>
      <c r="I76" s="735"/>
      <c r="J76" s="735"/>
      <c r="K76" s="735"/>
      <c r="L76" s="735"/>
      <c r="M76" s="735"/>
      <c r="N76" s="735"/>
      <c r="O76" s="735"/>
      <c r="P76" s="735"/>
      <c r="Q76" s="735"/>
      <c r="R76" s="27"/>
      <c r="S76" s="736"/>
    </row>
    <row r="77" spans="2:19" ht="6.75" customHeight="1">
      <c r="B77" s="733"/>
      <c r="C77" s="1506"/>
      <c r="D77" s="1507"/>
      <c r="E77" s="1507"/>
      <c r="F77" s="1507"/>
      <c r="G77" s="1507"/>
      <c r="H77" s="1507"/>
      <c r="I77" s="1507"/>
      <c r="J77" s="1507"/>
      <c r="K77" s="1507"/>
      <c r="L77" s="1507"/>
      <c r="M77" s="1507"/>
      <c r="N77" s="1507"/>
      <c r="O77" s="1507"/>
      <c r="P77" s="1507"/>
      <c r="Q77" s="1508"/>
      <c r="R77" s="21"/>
      <c r="S77" s="736"/>
    </row>
    <row r="78" spans="2:19">
      <c r="B78" s="733"/>
      <c r="C78" s="1509"/>
      <c r="D78" s="1510"/>
      <c r="E78" s="1510"/>
      <c r="F78" s="1510"/>
      <c r="G78" s="1510"/>
      <c r="H78" s="1510"/>
      <c r="I78" s="1510"/>
      <c r="J78" s="1510"/>
      <c r="K78" s="1510"/>
      <c r="L78" s="1510"/>
      <c r="M78" s="1510"/>
      <c r="N78" s="1510"/>
      <c r="O78" s="1510"/>
      <c r="P78" s="1510"/>
      <c r="Q78" s="1511"/>
      <c r="R78" s="22"/>
      <c r="S78" s="736"/>
    </row>
    <row r="79" spans="2:19">
      <c r="B79" s="733"/>
      <c r="C79" s="1509"/>
      <c r="D79" s="1510"/>
      <c r="E79" s="1510"/>
      <c r="F79" s="1510"/>
      <c r="G79" s="1510"/>
      <c r="H79" s="1510"/>
      <c r="I79" s="1510"/>
      <c r="J79" s="1510"/>
      <c r="K79" s="1510"/>
      <c r="L79" s="1510"/>
      <c r="M79" s="1510"/>
      <c r="N79" s="1510"/>
      <c r="O79" s="1510"/>
      <c r="P79" s="1510"/>
      <c r="Q79" s="1511"/>
      <c r="R79" s="22"/>
      <c r="S79" s="736"/>
    </row>
    <row r="80" spans="2:19">
      <c r="B80" s="733"/>
      <c r="C80" s="1509"/>
      <c r="D80" s="1510"/>
      <c r="E80" s="1510"/>
      <c r="F80" s="1510"/>
      <c r="G80" s="1510"/>
      <c r="H80" s="1510"/>
      <c r="I80" s="1510"/>
      <c r="J80" s="1510"/>
      <c r="K80" s="1510"/>
      <c r="L80" s="1510"/>
      <c r="M80" s="1510"/>
      <c r="N80" s="1510"/>
      <c r="O80" s="1510"/>
      <c r="P80" s="1510"/>
      <c r="Q80" s="1511"/>
      <c r="R80" s="22"/>
      <c r="S80" s="736"/>
    </row>
    <row r="81" spans="2:27">
      <c r="B81" s="733"/>
      <c r="C81" s="1509"/>
      <c r="D81" s="1510"/>
      <c r="E81" s="1510"/>
      <c r="F81" s="1510"/>
      <c r="G81" s="1510"/>
      <c r="H81" s="1510"/>
      <c r="I81" s="1510"/>
      <c r="J81" s="1510"/>
      <c r="K81" s="1510"/>
      <c r="L81" s="1510"/>
      <c r="M81" s="1510"/>
      <c r="N81" s="1510"/>
      <c r="O81" s="1510"/>
      <c r="P81" s="1510"/>
      <c r="Q81" s="1511"/>
      <c r="R81" s="22"/>
      <c r="S81" s="736"/>
    </row>
    <row r="82" spans="2:27">
      <c r="B82" s="733"/>
      <c r="C82" s="1509"/>
      <c r="D82" s="1510"/>
      <c r="E82" s="1510"/>
      <c r="F82" s="1510"/>
      <c r="G82" s="1510"/>
      <c r="H82" s="1510"/>
      <c r="I82" s="1510"/>
      <c r="J82" s="1510"/>
      <c r="K82" s="1510"/>
      <c r="L82" s="1510"/>
      <c r="M82" s="1510"/>
      <c r="N82" s="1510"/>
      <c r="O82" s="1510"/>
      <c r="P82" s="1510"/>
      <c r="Q82" s="1511"/>
      <c r="R82" s="22"/>
      <c r="S82" s="736"/>
    </row>
    <row r="83" spans="2:27">
      <c r="B83" s="733"/>
      <c r="C83" s="1509"/>
      <c r="D83" s="1510"/>
      <c r="E83" s="1510"/>
      <c r="F83" s="1510"/>
      <c r="G83" s="1510"/>
      <c r="H83" s="1510"/>
      <c r="I83" s="1510"/>
      <c r="J83" s="1510"/>
      <c r="K83" s="1510"/>
      <c r="L83" s="1510"/>
      <c r="M83" s="1510"/>
      <c r="N83" s="1510"/>
      <c r="O83" s="1510"/>
      <c r="P83" s="1510"/>
      <c r="Q83" s="1511"/>
      <c r="R83" s="22"/>
      <c r="S83" s="736"/>
    </row>
    <row r="84" spans="2:27">
      <c r="B84" s="733"/>
      <c r="C84" s="1509"/>
      <c r="D84" s="1510"/>
      <c r="E84" s="1510"/>
      <c r="F84" s="1510"/>
      <c r="G84" s="1510"/>
      <c r="H84" s="1510"/>
      <c r="I84" s="1510"/>
      <c r="J84" s="1510"/>
      <c r="K84" s="1510"/>
      <c r="L84" s="1510"/>
      <c r="M84" s="1510"/>
      <c r="N84" s="1510"/>
      <c r="O84" s="1510"/>
      <c r="P84" s="1510"/>
      <c r="Q84" s="1511"/>
      <c r="R84" s="22"/>
      <c r="S84" s="736"/>
    </row>
    <row r="85" spans="2:27">
      <c r="B85" s="733"/>
      <c r="C85" s="1509"/>
      <c r="D85" s="1510"/>
      <c r="E85" s="1510"/>
      <c r="F85" s="1510"/>
      <c r="G85" s="1510"/>
      <c r="H85" s="1510"/>
      <c r="I85" s="1510"/>
      <c r="J85" s="1510"/>
      <c r="K85" s="1510"/>
      <c r="L85" s="1510"/>
      <c r="M85" s="1510"/>
      <c r="N85" s="1510"/>
      <c r="O85" s="1510"/>
      <c r="P85" s="1510"/>
      <c r="Q85" s="1511"/>
      <c r="R85" s="22"/>
      <c r="S85" s="736"/>
    </row>
    <row r="86" spans="2:27">
      <c r="B86" s="733"/>
      <c r="C86" s="1509"/>
      <c r="D86" s="1510"/>
      <c r="E86" s="1510"/>
      <c r="F86" s="1510"/>
      <c r="G86" s="1510"/>
      <c r="H86" s="1510"/>
      <c r="I86" s="1510"/>
      <c r="J86" s="1510"/>
      <c r="K86" s="1510"/>
      <c r="L86" s="1510"/>
      <c r="M86" s="1510"/>
      <c r="N86" s="1510"/>
      <c r="O86" s="1510"/>
      <c r="P86" s="1510"/>
      <c r="Q86" s="1511"/>
      <c r="R86" s="22"/>
      <c r="S86" s="736"/>
    </row>
    <row r="87" spans="2:27">
      <c r="B87" s="733"/>
      <c r="C87" s="1512"/>
      <c r="D87" s="1513"/>
      <c r="E87" s="1513"/>
      <c r="F87" s="1513"/>
      <c r="G87" s="1513"/>
      <c r="H87" s="1513"/>
      <c r="I87" s="1513"/>
      <c r="J87" s="1513"/>
      <c r="K87" s="1513"/>
      <c r="L87" s="1513"/>
      <c r="M87" s="1513"/>
      <c r="N87" s="1513"/>
      <c r="O87" s="1513"/>
      <c r="P87" s="1513"/>
      <c r="Q87" s="1514"/>
      <c r="R87" s="22"/>
      <c r="S87" s="736"/>
    </row>
    <row r="88" spans="2:27" ht="5.25" customHeight="1">
      <c r="B88" s="733"/>
      <c r="C88" s="735"/>
      <c r="D88" s="735"/>
      <c r="E88" s="735"/>
      <c r="F88" s="735"/>
      <c r="G88" s="735"/>
      <c r="H88" s="735"/>
      <c r="I88" s="735"/>
      <c r="J88" s="735"/>
      <c r="K88" s="735"/>
      <c r="L88" s="735"/>
      <c r="M88" s="735"/>
      <c r="N88" s="735"/>
      <c r="O88" s="735"/>
      <c r="P88" s="735"/>
      <c r="Q88" s="735"/>
      <c r="R88" s="735"/>
      <c r="S88" s="736"/>
      <c r="X88" s="31"/>
      <c r="Y88" s="31"/>
      <c r="AA88" s="31"/>
    </row>
    <row r="89" spans="2:27" ht="21" customHeight="1">
      <c r="B89" s="733"/>
      <c r="C89" s="774" t="s">
        <v>160</v>
      </c>
      <c r="D89" s="735"/>
      <c r="E89" s="983"/>
      <c r="F89" s="983"/>
      <c r="G89" s="735"/>
      <c r="H89" s="735"/>
      <c r="I89" s="735"/>
      <c r="J89" s="735"/>
      <c r="K89" s="735"/>
      <c r="L89" s="735"/>
      <c r="M89" s="735"/>
      <c r="N89" s="735"/>
      <c r="O89" s="735"/>
      <c r="P89" s="735"/>
      <c r="Q89" s="735"/>
      <c r="R89" s="735"/>
      <c r="S89" s="736"/>
      <c r="X89" s="31"/>
      <c r="Y89" s="31"/>
      <c r="AA89" s="31"/>
    </row>
    <row r="90" spans="2:27" ht="33.75" customHeight="1">
      <c r="B90" s="733"/>
      <c r="C90" s="1496" t="s">
        <v>810</v>
      </c>
      <c r="D90" s="1496"/>
      <c r="E90" s="1496"/>
      <c r="F90" s="1496"/>
      <c r="G90" s="1496"/>
      <c r="H90" s="1496"/>
      <c r="I90" s="1496"/>
      <c r="J90" s="1496"/>
      <c r="K90" s="1496"/>
      <c r="L90" s="1496"/>
      <c r="M90" s="1496"/>
      <c r="N90" s="1496"/>
      <c r="O90" s="1496"/>
      <c r="P90" s="1496"/>
      <c r="Q90" s="735"/>
      <c r="R90" s="735"/>
      <c r="S90" s="736"/>
      <c r="X90" s="31"/>
      <c r="Y90" s="31"/>
      <c r="AA90" s="31"/>
    </row>
    <row r="91" spans="2:27" ht="11.25" customHeight="1">
      <c r="B91" s="734"/>
      <c r="C91" s="1247"/>
      <c r="D91" s="738"/>
      <c r="E91" s="1248"/>
      <c r="F91" s="738"/>
      <c r="G91" s="738"/>
      <c r="H91" s="738"/>
      <c r="I91" s="738"/>
      <c r="J91" s="738"/>
      <c r="K91" s="738"/>
      <c r="L91" s="738"/>
      <c r="M91" s="738"/>
      <c r="N91" s="738"/>
      <c r="O91" s="738"/>
      <c r="P91" s="738"/>
      <c r="Q91" s="818" t="str">
        <f>ML_CALC_VERSION</f>
        <v>HL_Calc_V54_250405</v>
      </c>
      <c r="R91" s="738"/>
      <c r="S91" s="737"/>
      <c r="X91" s="31"/>
      <c r="Y91" s="31"/>
      <c r="AA91" s="31"/>
    </row>
    <row r="120" spans="39:42">
      <c r="AM120" s="2">
        <v>0</v>
      </c>
      <c r="AN120" s="2">
        <v>443980.55675444897</v>
      </c>
      <c r="AO120" s="2" t="b">
        <v>0</v>
      </c>
      <c r="AP120" s="2" t="b">
        <v>0</v>
      </c>
    </row>
    <row r="121" spans="39:42">
      <c r="AN121" s="2">
        <v>568915.738338575</v>
      </c>
      <c r="AP121" s="2" t="b">
        <v>0</v>
      </c>
    </row>
    <row r="122" spans="39:42">
      <c r="AM122" s="2">
        <v>2278.7399999999998</v>
      </c>
      <c r="AN122" s="2">
        <v>309009.40123205801</v>
      </c>
      <c r="AO122" s="2" t="b">
        <v>0</v>
      </c>
      <c r="AP122" s="2" t="b">
        <v>0</v>
      </c>
    </row>
    <row r="126" spans="39:42">
      <c r="AN126" s="2">
        <v>0</v>
      </c>
      <c r="AP126" s="2" t="b">
        <v>0</v>
      </c>
    </row>
    <row r="130" spans="40:42">
      <c r="AN130" s="2">
        <v>333663.40171675902</v>
      </c>
      <c r="AP130" s="2" t="b">
        <v>1</v>
      </c>
    </row>
    <row r="131" spans="40:42">
      <c r="AN131" s="2">
        <v>188098.667590486</v>
      </c>
      <c r="AP131" s="2" t="b">
        <v>0</v>
      </c>
    </row>
    <row r="134" spans="40:42">
      <c r="AN134" s="2">
        <v>1225.8567635696099</v>
      </c>
      <c r="AP134" s="2" t="b">
        <v>1</v>
      </c>
    </row>
    <row r="136" spans="40:42">
      <c r="AN136" s="2">
        <v>686175.52101015404</v>
      </c>
      <c r="AP136" s="2" t="b">
        <v>0</v>
      </c>
    </row>
    <row r="150" spans="40:42">
      <c r="AN150" s="2">
        <v>1565874.4767638801</v>
      </c>
      <c r="AP150" s="2" t="b">
        <v>0</v>
      </c>
    </row>
    <row r="151" spans="40:42">
      <c r="AN151" s="2">
        <v>0</v>
      </c>
      <c r="AP151" s="2" t="b">
        <v>1</v>
      </c>
    </row>
    <row r="161" spans="40:42">
      <c r="AN161" s="2">
        <v>431618.61017838301</v>
      </c>
      <c r="AP161" s="2" t="b">
        <v>0</v>
      </c>
    </row>
    <row r="165" spans="40:42">
      <c r="AN165" s="2">
        <v>0</v>
      </c>
      <c r="AP165" s="2" t="b">
        <v>1</v>
      </c>
    </row>
    <row r="175" spans="40:42">
      <c r="AN175" s="2">
        <v>2170053.5048541999</v>
      </c>
      <c r="AP175" s="2" t="b">
        <v>1</v>
      </c>
    </row>
  </sheetData>
  <sheetProtection algorithmName="SHA-512" hashValue="M6x/3oFzacK60XT1hYLQY0X7yIRBS1gF9dkC2NIvB7Coc4+iJ2mfRexIeNWK70/wFzzJwHIfL3wce2NSrrMlSA==" saltValue="t4jy9mhCpGbjhPietf0cjg==" spinCount="100000" sheet="1" selectLockedCells="1"/>
  <mergeCells count="32">
    <mergeCell ref="F15:G15"/>
    <mergeCell ref="M15:N16"/>
    <mergeCell ref="F13:G13"/>
    <mergeCell ref="N13:O13"/>
    <mergeCell ref="C3:R3"/>
    <mergeCell ref="D6:J6"/>
    <mergeCell ref="M6:Q6"/>
    <mergeCell ref="E9:G9"/>
    <mergeCell ref="N9:O9"/>
    <mergeCell ref="M18:N18"/>
    <mergeCell ref="M21:N21"/>
    <mergeCell ref="D24:I24"/>
    <mergeCell ref="M24:Q24"/>
    <mergeCell ref="D72:P72"/>
    <mergeCell ref="M39:P40"/>
    <mergeCell ref="D42:J42"/>
    <mergeCell ref="D27:F27"/>
    <mergeCell ref="M27:P28"/>
    <mergeCell ref="F31:G31"/>
    <mergeCell ref="M31:N31"/>
    <mergeCell ref="F35:G35"/>
    <mergeCell ref="C75:K75"/>
    <mergeCell ref="C77:Q87"/>
    <mergeCell ref="C90:P90"/>
    <mergeCell ref="M42:Q42"/>
    <mergeCell ref="M49:O50"/>
    <mergeCell ref="M51:O52"/>
    <mergeCell ref="M54:O54"/>
    <mergeCell ref="D68:G68"/>
    <mergeCell ref="M57:O59"/>
    <mergeCell ref="M65:O68"/>
    <mergeCell ref="M55:O56"/>
  </mergeCells>
  <conditionalFormatting sqref="H53:I53">
    <cfRule type="expression" dxfId="30" priority="24">
      <formula>$G$53&gt;$G$54</formula>
    </cfRule>
  </conditionalFormatting>
  <conditionalFormatting sqref="G48">
    <cfRule type="cellIs" dxfId="29" priority="22" operator="lessThan">
      <formula>$G$49</formula>
    </cfRule>
    <cfRule type="cellIs" dxfId="28" priority="23" operator="greaterThan">
      <formula>$G$49</formula>
    </cfRule>
  </conditionalFormatting>
  <conditionalFormatting sqref="H48:I48">
    <cfRule type="expression" dxfId="27" priority="21">
      <formula>$G$48&gt;$G$49</formula>
    </cfRule>
  </conditionalFormatting>
  <conditionalFormatting sqref="H63:I63">
    <cfRule type="expression" dxfId="26" priority="20">
      <formula>$G$63&gt;$G$64</formula>
    </cfRule>
  </conditionalFormatting>
  <conditionalFormatting sqref="G11">
    <cfRule type="cellIs" dxfId="25" priority="19" operator="equal">
      <formula>"- Please select -"</formula>
    </cfRule>
  </conditionalFormatting>
  <conditionalFormatting sqref="D68:G68">
    <cfRule type="cellIs" dxfId="24" priority="5" operator="equal">
      <formula>"Max residual component has been exceeded"</formula>
    </cfRule>
    <cfRule type="cellIs" dxfId="23" priority="15" operator="equal">
      <formula>"Peak Debt exceeds max LVR. Customer contribution is required"</formula>
    </cfRule>
    <cfRule type="cellIs" dxfId="22" priority="16" operator="equal">
      <formula>"Bridging and Residual component not acceptable"</formula>
    </cfRule>
    <cfRule type="cellIs" dxfId="21" priority="17" operator="equal">
      <formula>"Total Bridging component exceeds net proceeds from sale"</formula>
    </cfRule>
    <cfRule type="cellIs" dxfId="20" priority="18" operator="equal">
      <formula>"Loan structure meets criteria"</formula>
    </cfRule>
  </conditionalFormatting>
  <conditionalFormatting sqref="O11">
    <cfRule type="cellIs" dxfId="19" priority="13" operator="equal">
      <formula>"- Please select -"</formula>
    </cfRule>
  </conditionalFormatting>
  <conditionalFormatting sqref="G55">
    <cfRule type="cellIs" dxfId="18" priority="10" operator="lessThan">
      <formula>$G$56</formula>
    </cfRule>
    <cfRule type="cellIs" dxfId="17" priority="11" operator="greaterThan">
      <formula>$G$56</formula>
    </cfRule>
  </conditionalFormatting>
  <conditionalFormatting sqref="G63">
    <cfRule type="cellIs" dxfId="16" priority="8" operator="lessThan">
      <formula>$G$64</formula>
    </cfRule>
    <cfRule type="cellIs" dxfId="15" priority="9" operator="greaterThan">
      <formula>$G$64</formula>
    </cfRule>
  </conditionalFormatting>
  <conditionalFormatting sqref="O63">
    <cfRule type="cellIs" dxfId="14" priority="6" operator="lessThan">
      <formula>$G$49</formula>
    </cfRule>
    <cfRule type="cellIs" dxfId="13" priority="7" operator="greaterThan">
      <formula>$G$49</formula>
    </cfRule>
  </conditionalFormatting>
  <conditionalFormatting sqref="G58">
    <cfRule type="cellIs" dxfId="12" priority="4" operator="equal">
      <formula>""</formula>
    </cfRule>
  </conditionalFormatting>
  <conditionalFormatting sqref="G66">
    <cfRule type="expression" dxfId="11" priority="3">
      <formula>$G$66&lt;&gt;""</formula>
    </cfRule>
  </conditionalFormatting>
  <conditionalFormatting sqref="G10">
    <cfRule type="expression" dxfId="10" priority="2">
      <formula>AND($G$10="",$F$13="Leasehold (LHOR)")</formula>
    </cfRule>
  </conditionalFormatting>
  <conditionalFormatting sqref="O10">
    <cfRule type="expression" dxfId="9" priority="1">
      <formula>AND($O$10="",$N$13="Leasehold (LHOR)")</formula>
    </cfRule>
  </conditionalFormatting>
  <dataValidations count="13">
    <dataValidation type="list" allowBlank="1" showInputMessage="1" showErrorMessage="1" errorTitle="Error" error="Please ensure Max LVR &amp; dwelling type are selected. _x000a_Please enter positive whole numbers in this field only." sqref="O14" xr:uid="{463E6A7C-F82D-495E-BD1E-44A192B9FF77}">
      <formula1>IF(NP_Property_Type="Other",MaxLVR80)</formula1>
    </dataValidation>
    <dataValidation type="decimal" operator="greaterThanOrEqual" allowBlank="1" showInputMessage="1" showErrorMessage="1" error="Please enter postive numbers only" sqref="G19" xr:uid="{B6C91F65-BB3F-4614-B021-FDD8404A413D}">
      <formula1>0</formula1>
    </dataValidation>
    <dataValidation type="custom" allowBlank="1" showInputMessage="1" showErrorMessage="1" error="Please enter whole numbers only" sqref="O53" xr:uid="{792AFC51-372A-47C5-A983-686F15DA8C9C}">
      <formula1>ISNUMBER(O53)</formula1>
    </dataValidation>
    <dataValidation type="whole" operator="greaterThanOrEqual" allowBlank="1" showInputMessage="1" showErrorMessage="1" sqref="O18" xr:uid="{DB6F2A64-EF8E-43F8-A10E-2CC5210CDC29}">
      <formula1>0</formula1>
    </dataValidation>
    <dataValidation type="whole" operator="greaterThanOrEqual" allowBlank="1" showInputMessage="1" showErrorMessage="1" error="Please enter postive whole numbers only" sqref="G18" xr:uid="{6DC93848-AAB4-4E4A-A2A5-C216588FF4FD}">
      <formula1>0</formula1>
    </dataValidation>
    <dataValidation operator="greaterThanOrEqual" showInputMessage="1" showErrorMessage="1" errorTitle="Interest Rate validation" error="Please ensure UMI for Residentual Lending value is populated above._x000a_Please enter a valid Interest Rate value" sqref="O62" xr:uid="{4F415026-79BB-490B-A034-DEF42B7DEAB6}"/>
    <dataValidation type="whole" operator="greaterThanOrEqual" allowBlank="1" showInputMessage="1" showErrorMessage="1" errorTitle="Error" error="Please enter postive whole numbers only" sqref="G20 O35 X33 O21 G29" xr:uid="{23D25169-357C-47B5-A9A5-23BDB97AEB23}">
      <formula1>0</formula1>
    </dataValidation>
    <dataValidation type="whole" allowBlank="1" showInputMessage="1" showErrorMessage="1" errorTitle="Error" error="Please enter a valid Postcode value" sqref="G10 G16" xr:uid="{57F94A8B-D0AB-44CA-87CA-88AB69F0AF52}">
      <formula1>0</formula1>
      <formula2>9999</formula2>
    </dataValidation>
    <dataValidation type="whole" allowBlank="1" showInputMessage="1" showErrorMessage="1" errorTitle="Postcode Validation" error="Please enter a valid Postcode" sqref="O10" xr:uid="{246FBBE4-A1C1-4080-B2DA-76226AE75F0D}">
      <formula1>0</formula1>
      <formula2>9999</formula2>
    </dataValidation>
    <dataValidation type="whole" allowBlank="1" showInputMessage="1" showErrorMessage="1" errorTitle="Residual Component Exceeds Max" error="Review residual component amount before proceeding" sqref="G63" xr:uid="{D5CA7D9C-E860-46E6-9F3C-35D26550D0AD}">
      <formula1>0</formula1>
      <formula2>G64</formula2>
    </dataValidation>
    <dataValidation allowBlank="1" showInputMessage="1" showErrorMessage="1" promptTitle="Application 2" prompt="test text" sqref="F53" xr:uid="{00A0FC1F-D90D-44DF-A702-A0EA18A47F00}"/>
    <dataValidation type="custom" showInputMessage="1" showErrorMessage="1" errorTitle="Error" error="Please ensure Max LVR is selected. Please enter postive whole numbers only" sqref="O33" xr:uid="{06A3FEB7-CF82-4AC4-8B55-9AE9F107D889}">
      <formula1>AND(ISNUMBER(O33),O29&lt;&gt;"- Please select -",O29&lt;&gt;"",O33&gt;=0)</formula1>
    </dataValidation>
    <dataValidation type="whole" operator="greaterThanOrEqual" showInputMessage="1" showErrorMessage="1" errorTitle="Error" error="Please enter postive whole numbers only" sqref="G17 O17" xr:uid="{82B92C2A-CE6C-4C1C-87DF-AA493BE480A1}">
      <formula1>0</formula1>
    </dataValidation>
  </dataValidations>
  <pageMargins left="0" right="0" top="0" bottom="0" header="0" footer="0"/>
  <pageSetup scale="60" orientation="portrait" r:id="rId1"/>
  <colBreaks count="1" manualBreakCount="1">
    <brk id="19" max="1048575" man="1"/>
  </colBreaks>
  <drawing r:id="rId2"/>
  <extLst>
    <ext xmlns:x14="http://schemas.microsoft.com/office/spreadsheetml/2009/9/main" uri="{CCE6A557-97BC-4b89-ADB6-D9C93CAAB3DF}">
      <x14:dataValidations xmlns:xm="http://schemas.microsoft.com/office/excel/2006/main" count="7">
        <x14:dataValidation type="list" allowBlank="1" showInputMessage="1" showErrorMessage="1" error="Please select one of the values from the  drop down list" xr:uid="{A8D90535-E11F-401A-BDFB-29E75729961E}">
          <x14:formula1>
            <xm:f>'Configurable Items'!$J$4957:$J$4960</xm:f>
          </x14:formula1>
          <xm:sqref>F35:G35</xm:sqref>
        </x14:dataValidation>
        <x14:dataValidation type="list" allowBlank="1" showInputMessage="1" showErrorMessage="1" error="Please select one of the values from the  drop down list" xr:uid="{09C3B3A5-83D8-4312-98B7-DA131160C400}">
          <x14:formula1>
            <xm:f>'Configurable Items'!$K$4957:$K$4959</xm:f>
          </x14:formula1>
          <xm:sqref>O48</xm:sqref>
        </x14:dataValidation>
        <x14:dataValidation type="list" allowBlank="1" showInputMessage="1" showErrorMessage="1" errorTitle="Error" error="Please select one of the values from the  drop down list" xr:uid="{1FBECCD0-6CFF-4741-8F26-A784FD631D21}">
          <x14:formula1>
            <xm:f>'Configurable Items'!$L$4957:$L$4961</xm:f>
          </x14:formula1>
          <xm:sqref>O29</xm:sqref>
        </x14:dataValidation>
        <x14:dataValidation type="list" allowBlank="1" showInputMessage="1" showErrorMessage="1" error="Please select one of the values from the  drop down list" xr:uid="{3DF8B220-C075-42F7-BB04-B3DA2FD13DE0}">
          <x14:formula1>
            <xm:f>'Configurable Items'!$E$4957:$E$4960</xm:f>
          </x14:formula1>
          <xm:sqref>F15:G15</xm:sqref>
        </x14:dataValidation>
        <x14:dataValidation type="list" allowBlank="1" showInputMessage="1" showErrorMessage="1" error="Please select one of the values from the  drop down list" xr:uid="{A9CCCDA1-315A-4907-8C1A-663E99B5A997}">
          <x14:formula1>
            <xm:f>'Configurable Items'!$I$4957:$I$4959</xm:f>
          </x14:formula1>
          <xm:sqref>F31:G31</xm:sqref>
        </x14:dataValidation>
        <x14:dataValidation type="list" allowBlank="1" showInputMessage="1" showErrorMessage="1" errorTitle="Error" error="Please select one of the values from the  drop down list" xr:uid="{CE78BE11-0153-4979-8A12-9C69EC7F72DB}">
          <x14:formula1>
            <xm:f>'Configurable Items'!$F$4957:$F$4964</xm:f>
          </x14:formula1>
          <xm:sqref>N13:O13 F13:G13</xm:sqref>
        </x14:dataValidation>
        <x14:dataValidation type="list" allowBlank="1" showInputMessage="1" showErrorMessage="1" errorTitle="Error" error="Please select one of the values from the  drop down list" xr:uid="{5088A7F3-063C-47E8-803D-90D126D66DFF}">
          <x14:formula1>
            <xm:f>'Configurable Items'!$D$4957:$D$4969</xm:f>
          </x14:formula1>
          <xm:sqref>G27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74B4F-B046-4314-AA5F-E5734459277B}">
  <sheetPr codeName="Sheet17">
    <tabColor rgb="FFFFC000"/>
    <pageSetUpPr fitToPage="1"/>
  </sheetPr>
  <dimension ref="B1:AF42"/>
  <sheetViews>
    <sheetView showGridLines="0" showRowColHeaders="0" showRuler="0" showWhiteSpace="0" zoomScaleNormal="100" zoomScaleSheetLayoutView="100" workbookViewId="0">
      <selection activeCell="E88" sqref="E88"/>
    </sheetView>
  </sheetViews>
  <sheetFormatPr baseColWidth="10" defaultColWidth="6.1640625" defaultRowHeight="13"/>
  <cols>
    <col min="1" max="1" width="2.5" style="398" customWidth="1"/>
    <col min="2" max="2" width="6.1640625" style="398" customWidth="1"/>
    <col min="3" max="3" width="3.1640625" style="398" customWidth="1"/>
    <col min="4" max="4" width="7.1640625" style="398" customWidth="1"/>
    <col min="5" max="5" width="9" style="398" customWidth="1"/>
    <col min="6" max="6" width="2.1640625" style="398" customWidth="1"/>
    <col min="7" max="7" width="3.1640625" style="398" customWidth="1"/>
    <col min="8" max="8" width="2.5" style="398" customWidth="1"/>
    <col min="9" max="9" width="11.6640625" style="398" customWidth="1"/>
    <col min="10" max="10" width="1.5" style="398" customWidth="1"/>
    <col min="11" max="11" width="1.1640625" style="398" customWidth="1"/>
    <col min="12" max="12" width="4" style="398" customWidth="1"/>
    <col min="13" max="13" width="5.33203125" style="398" customWidth="1"/>
    <col min="14" max="14" width="1.83203125" style="398" customWidth="1"/>
    <col min="15" max="15" width="5.5" style="398" customWidth="1"/>
    <col min="16" max="16" width="3.1640625" style="398" customWidth="1"/>
    <col min="17" max="17" width="8" style="398" customWidth="1"/>
    <col min="18" max="18" width="2.1640625" style="398" customWidth="1"/>
    <col min="19" max="19" width="4.6640625" style="398" customWidth="1"/>
    <col min="20" max="20" width="1.1640625" style="398" customWidth="1"/>
    <col min="21" max="21" width="2" style="398" customWidth="1"/>
    <col min="22" max="22" width="3.83203125" style="398" customWidth="1"/>
    <col min="23" max="23" width="5.1640625" style="398" customWidth="1"/>
    <col min="24" max="24" width="1.5" style="398" customWidth="1"/>
    <col min="25" max="25" width="2.1640625" style="398" customWidth="1"/>
    <col min="26" max="26" width="8.5" style="398" customWidth="1"/>
    <col min="27" max="27" width="2.1640625" style="398" customWidth="1"/>
    <col min="28" max="28" width="4.6640625" style="398" customWidth="1"/>
    <col min="29" max="29" width="3.6640625" style="398" customWidth="1"/>
    <col min="30" max="30" width="6" style="398" customWidth="1"/>
    <col min="31" max="31" width="4.33203125" style="398" customWidth="1"/>
    <col min="32" max="32" width="6.33203125" style="398" customWidth="1"/>
    <col min="33" max="33" width="12" style="398" customWidth="1"/>
    <col min="34" max="16384" width="6.1640625" style="398"/>
  </cols>
  <sheetData>
    <row r="1" spans="2:31" ht="54" customHeight="1">
      <c r="E1" s="1541" t="s">
        <v>8370</v>
      </c>
      <c r="F1" s="1541"/>
      <c r="G1" s="1541"/>
      <c r="H1" s="1541"/>
      <c r="I1" s="1541"/>
      <c r="J1" s="1541"/>
      <c r="K1" s="1541"/>
      <c r="L1" s="1541"/>
      <c r="M1" s="1541"/>
      <c r="N1" s="1541"/>
      <c r="O1" s="1541"/>
      <c r="P1" s="1541"/>
      <c r="Q1" s="1541"/>
      <c r="R1" s="1541"/>
      <c r="S1" s="1541"/>
      <c r="T1" s="1541"/>
      <c r="U1" s="1541"/>
      <c r="V1" s="1541"/>
      <c r="W1" s="1541"/>
      <c r="X1" s="1541"/>
      <c r="Y1" s="1541"/>
      <c r="Z1" s="1541"/>
      <c r="AA1" s="1541"/>
      <c r="AB1" s="1541"/>
      <c r="AC1" s="1541"/>
      <c r="AD1" s="1541"/>
    </row>
    <row r="2" spans="2:31" ht="12" customHeight="1"/>
    <row r="3" spans="2:31" ht="23.25" customHeight="1">
      <c r="B3" s="375"/>
      <c r="C3" s="399" t="s">
        <v>8134</v>
      </c>
      <c r="D3" s="399"/>
      <c r="E3" s="1564">
        <f>'Internal Ref'!B75</f>
        <v>0</v>
      </c>
      <c r="F3" s="1564"/>
      <c r="G3" s="1564"/>
      <c r="H3" s="1564"/>
      <c r="I3" s="1564"/>
      <c r="J3" s="400"/>
      <c r="K3" s="1565" t="s">
        <v>8145</v>
      </c>
      <c r="L3" s="1565"/>
      <c r="M3" s="1564">
        <f>'Internal Ref'!B77</f>
        <v>0</v>
      </c>
      <c r="N3" s="1564"/>
      <c r="O3" s="1564"/>
      <c r="P3" s="1564"/>
      <c r="Q3" s="1564"/>
      <c r="R3" s="1564"/>
      <c r="S3" s="1564"/>
      <c r="U3" s="424" t="s">
        <v>8144</v>
      </c>
      <c r="V3" s="424"/>
      <c r="W3" s="1564">
        <f>'Internal Ref'!B76</f>
        <v>0</v>
      </c>
      <c r="X3" s="1564"/>
      <c r="Y3" s="1564"/>
      <c r="Z3" s="1564"/>
      <c r="AB3" s="424" t="s">
        <v>8143</v>
      </c>
      <c r="AC3" s="1562">
        <f ca="1">TODAY()</f>
        <v>45811</v>
      </c>
      <c r="AD3" s="1562"/>
      <c r="AE3" s="1562"/>
    </row>
    <row r="4" spans="2:31" ht="6" customHeight="1"/>
    <row r="5" spans="2:31" ht="13.5" customHeight="1">
      <c r="C5" s="1563" t="s">
        <v>8365</v>
      </c>
      <c r="D5" s="1563"/>
      <c r="E5" s="1563"/>
      <c r="F5" s="1563"/>
      <c r="G5" s="1563"/>
      <c r="H5" s="1563"/>
      <c r="I5" s="1563"/>
      <c r="J5" s="1563"/>
      <c r="K5" s="1563"/>
      <c r="L5" s="1563"/>
      <c r="M5" s="1563"/>
      <c r="N5" s="1563"/>
      <c r="O5" s="1563"/>
      <c r="P5" s="1563"/>
      <c r="Q5" s="1563"/>
      <c r="R5" s="1563"/>
      <c r="S5" s="1563"/>
      <c r="T5" s="1563"/>
      <c r="U5" s="1563"/>
      <c r="V5" s="1563"/>
      <c r="W5" s="1563"/>
      <c r="X5" s="1563"/>
      <c r="Y5" s="1563"/>
      <c r="Z5" s="1563"/>
      <c r="AA5" s="1563"/>
      <c r="AB5" s="1563"/>
      <c r="AC5" s="1563"/>
      <c r="AD5" s="1563"/>
      <c r="AE5" s="1563"/>
    </row>
    <row r="6" spans="2:31" ht="4.5" customHeight="1"/>
    <row r="7" spans="2:31" ht="27.75" customHeight="1">
      <c r="B7" s="401"/>
      <c r="C7" s="1561" t="s">
        <v>8348</v>
      </c>
      <c r="D7" s="1561"/>
      <c r="E7" s="1561"/>
      <c r="F7" s="1561"/>
      <c r="G7" s="1561"/>
      <c r="H7" s="1561"/>
      <c r="I7" s="402"/>
      <c r="J7" s="402"/>
      <c r="K7" s="402"/>
      <c r="L7" s="402"/>
      <c r="M7" s="402"/>
      <c r="N7" s="402"/>
      <c r="O7" s="402"/>
      <c r="Q7" s="1547" t="s">
        <v>8349</v>
      </c>
      <c r="R7" s="1547"/>
      <c r="S7" s="1547"/>
      <c r="T7" s="1547"/>
      <c r="U7" s="1547"/>
      <c r="V7" s="1547"/>
      <c r="W7" s="1547"/>
      <c r="X7" s="426"/>
      <c r="Y7" s="425"/>
      <c r="Z7" s="402"/>
      <c r="AA7" s="402"/>
      <c r="AB7" s="402"/>
      <c r="AC7" s="402"/>
      <c r="AD7" s="402"/>
      <c r="AE7" s="402"/>
    </row>
    <row r="8" spans="2:31" ht="7.5" customHeight="1">
      <c r="B8" s="403"/>
      <c r="C8" s="402"/>
      <c r="D8" s="402"/>
      <c r="E8" s="402"/>
      <c r="F8" s="402"/>
      <c r="G8" s="402"/>
      <c r="H8" s="402"/>
      <c r="I8" s="402"/>
      <c r="J8" s="402"/>
      <c r="K8" s="402"/>
      <c r="L8" s="402"/>
      <c r="M8" s="402"/>
      <c r="N8" s="402"/>
      <c r="O8" s="402"/>
      <c r="Q8" s="402"/>
      <c r="R8" s="402"/>
      <c r="S8" s="402"/>
      <c r="T8" s="402"/>
      <c r="U8" s="402"/>
      <c r="V8" s="402"/>
      <c r="W8" s="402"/>
      <c r="X8" s="402"/>
      <c r="Y8" s="402"/>
      <c r="Z8" s="402"/>
      <c r="AA8" s="402"/>
      <c r="AB8" s="402"/>
      <c r="AC8" s="402"/>
      <c r="AD8" s="402"/>
      <c r="AE8" s="402"/>
    </row>
    <row r="9" spans="2:31" ht="22.5" customHeight="1">
      <c r="C9" s="402"/>
      <c r="D9" s="402"/>
      <c r="E9" s="1548" t="s">
        <v>8185</v>
      </c>
      <c r="F9" s="1548"/>
      <c r="G9" s="1548"/>
      <c r="H9" s="420" t="s">
        <v>8129</v>
      </c>
      <c r="I9" s="1546" t="str">
        <f>TEXT('Bridging Loan Calculator'!O17,"#,#")</f>
        <v/>
      </c>
      <c r="J9" s="1546"/>
      <c r="K9" s="1546"/>
      <c r="L9" s="1546"/>
      <c r="M9" s="402"/>
      <c r="N9" s="402"/>
      <c r="O9" s="402"/>
      <c r="Q9" s="402"/>
      <c r="R9" s="402"/>
      <c r="S9" s="402"/>
      <c r="T9" s="402"/>
      <c r="U9" s="1548" t="s">
        <v>8358</v>
      </c>
      <c r="V9" s="1548"/>
      <c r="W9" s="1548"/>
      <c r="X9" s="1548"/>
      <c r="Y9" s="415" t="s">
        <v>8129</v>
      </c>
      <c r="Z9" s="1546" t="str">
        <f>IF('Bridging Loan Calculator'!F15="Construct on Existing Land",TEXT('Bridging Loan Calculator'!G18,"#,#"),TEXT('Bridging Loan Calculator'!G17+'Bridging Loan Calculator'!G18,"#,#"))</f>
        <v/>
      </c>
      <c r="AA9" s="1546"/>
      <c r="AB9" s="1546"/>
      <c r="AC9" s="1546"/>
      <c r="AD9" s="404"/>
      <c r="AE9" s="402"/>
    </row>
    <row r="10" spans="2:31" ht="3" customHeight="1">
      <c r="C10" s="402"/>
      <c r="D10" s="402"/>
      <c r="E10" s="402"/>
      <c r="F10" s="406"/>
      <c r="G10" s="406"/>
      <c r="H10" s="402"/>
      <c r="I10" s="407"/>
      <c r="J10" s="407"/>
      <c r="K10" s="407"/>
      <c r="L10" s="407"/>
      <c r="M10" s="402"/>
      <c r="N10" s="402"/>
      <c r="O10" s="402"/>
      <c r="Q10" s="402"/>
      <c r="R10" s="402"/>
      <c r="S10" s="402"/>
      <c r="T10" s="402"/>
      <c r="U10" s="402"/>
      <c r="V10" s="406"/>
      <c r="W10" s="406"/>
      <c r="X10" s="406"/>
      <c r="Y10" s="432"/>
      <c r="Z10" s="402"/>
      <c r="AA10" s="402"/>
      <c r="AB10" s="402"/>
      <c r="AC10" s="402"/>
      <c r="AD10" s="402"/>
      <c r="AE10" s="402"/>
    </row>
    <row r="11" spans="2:31" ht="22.5" customHeight="1">
      <c r="C11" s="402"/>
      <c r="D11" s="402"/>
      <c r="E11" s="1548" t="s">
        <v>8363</v>
      </c>
      <c r="F11" s="1548"/>
      <c r="G11" s="1548"/>
      <c r="H11" s="420" t="s">
        <v>8129</v>
      </c>
      <c r="I11" s="1546" t="str">
        <f>TEXT('Bridging Loan Calculator'!O18,"#,#")</f>
        <v/>
      </c>
      <c r="J11" s="1546"/>
      <c r="K11" s="1546"/>
      <c r="L11" s="1546"/>
      <c r="M11" s="402"/>
      <c r="N11" s="402"/>
      <c r="O11" s="402"/>
      <c r="Q11" s="402"/>
      <c r="R11" s="402"/>
      <c r="S11" s="402"/>
      <c r="T11" s="402"/>
      <c r="U11" s="1549" t="s">
        <v>8371</v>
      </c>
      <c r="V11" s="1549"/>
      <c r="W11" s="1549"/>
      <c r="X11" s="1549"/>
      <c r="Y11" s="415" t="s">
        <v>8129</v>
      </c>
      <c r="Z11" s="1546">
        <f>IF('Bridging Loan Calculator'!G19 = "", "",IF('Bridging Loan Calculator'!G19=0,0,TEXT('Bridging Loan Calculator'!G19,"#,#")))</f>
        <v>0</v>
      </c>
      <c r="AA11" s="1546"/>
      <c r="AB11" s="1546"/>
      <c r="AC11" s="1546"/>
      <c r="AD11" s="404"/>
      <c r="AE11" s="402"/>
    </row>
    <row r="12" spans="2:31" ht="3" customHeight="1">
      <c r="C12" s="402"/>
      <c r="D12" s="402"/>
      <c r="E12" s="402"/>
      <c r="F12" s="406"/>
      <c r="G12" s="406"/>
      <c r="H12" s="402"/>
      <c r="I12" s="407"/>
      <c r="J12" s="407"/>
      <c r="K12" s="407"/>
      <c r="L12" s="407"/>
      <c r="M12" s="402"/>
      <c r="N12" s="402"/>
      <c r="O12" s="402"/>
      <c r="Q12" s="402"/>
      <c r="R12" s="402"/>
      <c r="S12" s="402"/>
      <c r="T12" s="402"/>
      <c r="U12" s="402"/>
      <c r="V12" s="406"/>
      <c r="W12" s="406"/>
      <c r="X12" s="406"/>
      <c r="Y12" s="432"/>
      <c r="Z12" s="402"/>
      <c r="AA12" s="402"/>
      <c r="AB12" s="402"/>
      <c r="AC12" s="402"/>
      <c r="AD12" s="402"/>
      <c r="AE12" s="402"/>
    </row>
    <row r="13" spans="2:31" ht="22.5" customHeight="1">
      <c r="C13" s="402"/>
      <c r="D13" s="402"/>
      <c r="E13" s="1551" t="s">
        <v>8350</v>
      </c>
      <c r="F13" s="1551"/>
      <c r="G13" s="1551"/>
      <c r="H13" s="420" t="s">
        <v>8129</v>
      </c>
      <c r="I13" s="1546" t="str">
        <f>TEXT('Bridging Loan Calculator'!O19,"#,#")</f>
        <v/>
      </c>
      <c r="J13" s="1546"/>
      <c r="K13" s="1546"/>
      <c r="L13" s="1546"/>
      <c r="M13" s="402"/>
      <c r="N13" s="402"/>
      <c r="O13" s="402"/>
      <c r="Q13" s="402"/>
      <c r="R13" s="402"/>
      <c r="S13" s="402"/>
      <c r="T13" s="402"/>
      <c r="U13" s="1550" t="s">
        <v>8362</v>
      </c>
      <c r="V13" s="1550"/>
      <c r="W13" s="1550"/>
      <c r="X13" s="1550"/>
      <c r="Y13" s="415" t="s">
        <v>8129</v>
      </c>
      <c r="Z13" s="1546">
        <f>IF('Bridging Loan Calculator'!G20 = "", 0,IF('Bridging Loan Calculator'!G20=0,0,TEXT('Bridging Loan Calculator'!G20,"#,#")))</f>
        <v>0</v>
      </c>
      <c r="AA13" s="1546"/>
      <c r="AB13" s="1546"/>
      <c r="AC13" s="1546"/>
      <c r="AD13" s="404"/>
      <c r="AE13" s="402"/>
    </row>
    <row r="14" spans="2:31" ht="4.5" customHeight="1">
      <c r="C14" s="402"/>
      <c r="D14" s="402"/>
      <c r="E14" s="402"/>
      <c r="F14" s="406"/>
      <c r="G14" s="406"/>
      <c r="H14" s="402"/>
      <c r="I14" s="407"/>
      <c r="J14" s="407"/>
      <c r="K14" s="407"/>
      <c r="L14" s="407"/>
      <c r="M14" s="402"/>
      <c r="N14" s="402"/>
      <c r="O14" s="402"/>
      <c r="Q14" s="402"/>
      <c r="R14" s="402"/>
      <c r="S14" s="402"/>
      <c r="T14" s="402"/>
      <c r="U14" s="402"/>
      <c r="V14" s="406"/>
      <c r="W14" s="406"/>
      <c r="X14" s="406"/>
      <c r="Y14" s="432"/>
      <c r="Z14" s="402"/>
      <c r="AA14" s="402"/>
      <c r="AB14" s="402"/>
      <c r="AC14" s="402"/>
      <c r="AD14" s="402"/>
      <c r="AE14" s="402"/>
    </row>
    <row r="15" spans="2:31" ht="24" customHeight="1">
      <c r="C15" s="402"/>
      <c r="D15" s="402"/>
      <c r="E15" s="1551"/>
      <c r="F15" s="1551"/>
      <c r="G15" s="414"/>
      <c r="H15" s="404"/>
      <c r="I15" s="1554"/>
      <c r="J15" s="1554"/>
      <c r="K15" s="1554"/>
      <c r="L15" s="404"/>
      <c r="M15" s="402"/>
      <c r="N15" s="402"/>
      <c r="O15" s="402"/>
      <c r="Q15" s="402"/>
      <c r="R15" s="402"/>
      <c r="S15" s="402"/>
      <c r="T15" s="402"/>
      <c r="U15" s="1551" t="s">
        <v>8375</v>
      </c>
      <c r="V15" s="1551"/>
      <c r="W15" s="1551"/>
      <c r="X15" s="1551"/>
      <c r="Y15" s="415" t="s">
        <v>8129</v>
      </c>
      <c r="Z15" s="1546" t="str">
        <f>TEXT('Bridging Loan Calculator'!G21,"#,#")</f>
        <v/>
      </c>
      <c r="AA15" s="1546"/>
      <c r="AB15" s="1546"/>
      <c r="AC15" s="1546"/>
      <c r="AD15" s="404"/>
      <c r="AE15" s="402"/>
    </row>
    <row r="16" spans="2:31" ht="11.25" customHeight="1">
      <c r="C16" s="402"/>
      <c r="D16" s="402"/>
      <c r="E16" s="402"/>
      <c r="F16" s="402"/>
      <c r="G16" s="402"/>
      <c r="H16" s="402"/>
      <c r="I16" s="402"/>
      <c r="J16" s="402"/>
      <c r="K16" s="402"/>
      <c r="L16" s="402"/>
      <c r="M16" s="402"/>
      <c r="N16" s="402"/>
      <c r="O16" s="402"/>
      <c r="Q16" s="402"/>
      <c r="R16" s="402"/>
      <c r="S16" s="402"/>
      <c r="T16" s="402"/>
      <c r="U16" s="402"/>
      <c r="V16" s="402"/>
      <c r="W16" s="402"/>
      <c r="X16" s="402"/>
      <c r="Y16" s="402"/>
      <c r="Z16" s="402"/>
      <c r="AA16" s="402"/>
      <c r="AB16" s="402"/>
      <c r="AC16" s="402"/>
      <c r="AD16" s="402"/>
      <c r="AE16" s="402"/>
    </row>
    <row r="17" spans="2:31" ht="7.5" customHeight="1"/>
    <row r="18" spans="2:31" ht="27.75" customHeight="1">
      <c r="B18" s="405"/>
      <c r="C18" s="1561" t="s">
        <v>8351</v>
      </c>
      <c r="D18" s="1561"/>
      <c r="E18" s="1561"/>
      <c r="F18" s="1561"/>
      <c r="G18" s="1561"/>
      <c r="H18" s="1561"/>
      <c r="I18" s="402"/>
      <c r="J18" s="402"/>
      <c r="K18" s="402"/>
      <c r="L18" s="402"/>
      <c r="M18" s="402"/>
      <c r="N18" s="402"/>
      <c r="O18" s="402"/>
      <c r="P18" s="402"/>
      <c r="Q18" s="402"/>
      <c r="R18" s="402"/>
      <c r="S18" s="402"/>
      <c r="T18" s="402"/>
      <c r="U18" s="402"/>
      <c r="V18" s="402"/>
      <c r="W18" s="402"/>
      <c r="X18" s="402"/>
      <c r="Y18" s="402"/>
      <c r="Z18" s="402"/>
      <c r="AA18" s="402"/>
      <c r="AB18" s="402"/>
      <c r="AC18" s="402"/>
      <c r="AD18" s="402"/>
      <c r="AE18" s="402"/>
    </row>
    <row r="19" spans="2:31" ht="9.75" customHeight="1">
      <c r="B19" s="403"/>
      <c r="C19" s="402"/>
      <c r="D19" s="402"/>
      <c r="E19" s="402"/>
      <c r="F19" s="402"/>
      <c r="G19" s="402"/>
      <c r="H19" s="402"/>
      <c r="I19" s="402"/>
      <c r="J19" s="402"/>
      <c r="K19" s="402"/>
      <c r="L19" s="402"/>
      <c r="M19" s="402"/>
      <c r="N19" s="402"/>
      <c r="O19" s="402"/>
      <c r="P19" s="402"/>
      <c r="Q19" s="402"/>
      <c r="R19" s="402"/>
      <c r="S19" s="402"/>
      <c r="T19" s="402"/>
      <c r="U19" s="402"/>
      <c r="V19" s="402"/>
      <c r="W19" s="402"/>
      <c r="X19" s="402"/>
      <c r="Y19" s="402"/>
      <c r="Z19" s="402"/>
      <c r="AA19" s="402"/>
      <c r="AB19" s="402"/>
      <c r="AC19" s="402"/>
      <c r="AD19" s="402"/>
      <c r="AE19" s="402"/>
    </row>
    <row r="20" spans="2:31" ht="22.5" customHeight="1">
      <c r="B20" s="403"/>
      <c r="C20" s="402"/>
      <c r="D20" s="1550" t="s">
        <v>8364</v>
      </c>
      <c r="E20" s="1550"/>
      <c r="F20" s="415" t="s">
        <v>8129</v>
      </c>
      <c r="G20" s="1542" t="str">
        <f>IF('Bridging Loan Calculator'!G29 = "", "",IF('Bridging Loan Calculator'!G29=0,0,TEXT('Bridging Loan Calculator'!G29,"#,#")))</f>
        <v/>
      </c>
      <c r="H20" s="1542"/>
      <c r="I20" s="1542"/>
      <c r="J20" s="1560" t="s">
        <v>239</v>
      </c>
      <c r="K20" s="1560"/>
      <c r="L20" s="1550" t="s">
        <v>8352</v>
      </c>
      <c r="M20" s="1550"/>
      <c r="N20" s="415" t="s">
        <v>8129</v>
      </c>
      <c r="O20" s="1542" t="str">
        <f>TEXT('Bridging Loan Calculator'!G21,"#,#")</f>
        <v/>
      </c>
      <c r="P20" s="1542"/>
      <c r="Q20" s="1542"/>
      <c r="R20" s="422" t="s">
        <v>237</v>
      </c>
      <c r="S20" s="1558" t="s">
        <v>8366</v>
      </c>
      <c r="T20" s="1558"/>
      <c r="U20" s="1558"/>
      <c r="V20" s="1558"/>
      <c r="W20" s="1558"/>
      <c r="X20" s="1558"/>
      <c r="Y20" s="415" t="s">
        <v>8129</v>
      </c>
      <c r="Z20" s="1542" t="str">
        <f>TEXT('Bridging Loan Calculator'!G48,"#,#")</f>
        <v/>
      </c>
      <c r="AA20" s="1542"/>
      <c r="AB20" s="1542"/>
      <c r="AC20" s="1542"/>
      <c r="AD20" s="404"/>
      <c r="AE20" s="402"/>
    </row>
    <row r="21" spans="2:31" ht="12.75" customHeight="1">
      <c r="C21" s="402"/>
      <c r="D21" s="402"/>
      <c r="E21" s="402"/>
      <c r="F21" s="402"/>
      <c r="G21" s="402"/>
      <c r="H21" s="402"/>
      <c r="I21" s="402"/>
      <c r="J21" s="402"/>
      <c r="K21" s="402"/>
      <c r="L21" s="402"/>
      <c r="M21" s="402"/>
      <c r="N21" s="402"/>
      <c r="O21" s="402"/>
      <c r="P21" s="402"/>
      <c r="Q21" s="402"/>
      <c r="R21" s="402"/>
      <c r="S21" s="402"/>
      <c r="T21" s="402"/>
      <c r="U21" s="402"/>
      <c r="V21" s="402"/>
      <c r="W21" s="402"/>
      <c r="X21" s="402"/>
      <c r="Y21" s="432"/>
      <c r="Z21" s="402"/>
      <c r="AA21" s="402"/>
      <c r="AB21" s="402"/>
      <c r="AC21" s="402"/>
      <c r="AD21" s="402"/>
      <c r="AE21" s="402"/>
    </row>
    <row r="22" spans="2:31" ht="21" customHeight="1">
      <c r="C22" s="408"/>
      <c r="D22" s="408"/>
      <c r="E22" s="408"/>
      <c r="F22" s="408"/>
      <c r="G22" s="408"/>
      <c r="H22" s="408"/>
      <c r="I22" s="408"/>
      <c r="J22" s="408"/>
      <c r="K22" s="408"/>
      <c r="L22" s="408"/>
      <c r="M22" s="408"/>
      <c r="N22" s="408"/>
      <c r="O22" s="408"/>
      <c r="P22" s="408"/>
      <c r="Q22" s="408"/>
      <c r="R22" s="408"/>
      <c r="S22" s="408"/>
      <c r="T22" s="408"/>
      <c r="U22" s="408"/>
      <c r="V22" s="408"/>
      <c r="W22" s="408"/>
      <c r="X22" s="408"/>
      <c r="Y22" s="423"/>
      <c r="Z22" s="408"/>
      <c r="AA22" s="408"/>
      <c r="AB22" s="408"/>
      <c r="AC22" s="408"/>
      <c r="AD22" s="408"/>
      <c r="AE22" s="408"/>
    </row>
    <row r="23" spans="2:31" ht="24" customHeight="1">
      <c r="C23" s="408"/>
      <c r="D23" s="408"/>
      <c r="E23" s="408"/>
      <c r="F23" s="408"/>
      <c r="G23" s="408"/>
      <c r="H23" s="408"/>
      <c r="I23" s="410"/>
      <c r="J23" s="1559" t="s">
        <v>8353</v>
      </c>
      <c r="K23" s="1559"/>
      <c r="L23" s="1559"/>
      <c r="M23" s="1559"/>
      <c r="N23" s="431" t="s">
        <v>8129</v>
      </c>
      <c r="O23" s="1542" t="str">
        <f>IF('Bridging Loan Calculator'!G53="SELECT STRUCTURE","",IF('Bridging Loan Calculator'!G53 = "", "",IF('Bridging Loan Calculator'!G53=0,0,TEXT('Bridging Loan Calculator'!G53,"#,#"))))</f>
        <v/>
      </c>
      <c r="P23" s="1542"/>
      <c r="Q23" s="1542"/>
      <c r="R23" s="1556"/>
      <c r="S23" s="1556"/>
      <c r="T23" s="1556"/>
      <c r="U23" s="417"/>
      <c r="V23" s="1556" t="s">
        <v>8355</v>
      </c>
      <c r="W23" s="1556"/>
      <c r="X23" s="1556"/>
      <c r="Y23" s="431" t="s">
        <v>8354</v>
      </c>
      <c r="Z23" s="1542" t="str">
        <f>IF('Bridging Loan Calculator'!G61="SELECT STRUCTURE","",IF('Bridging Loan Calculator'!G61 = "", "",IF('Bridging Loan Calculator'!G61=0,0,TEXT('Bridging Loan Calculator'!G61,"#,#"))))</f>
        <v/>
      </c>
      <c r="AA23" s="1542"/>
      <c r="AB23" s="1542"/>
      <c r="AC23" s="1542"/>
      <c r="AD23" s="408"/>
      <c r="AE23" s="408"/>
    </row>
    <row r="24" spans="2:31" ht="5.25" customHeight="1">
      <c r="C24" s="408"/>
      <c r="D24" s="408"/>
      <c r="E24" s="408"/>
      <c r="F24" s="408"/>
      <c r="G24" s="408"/>
      <c r="H24" s="408"/>
      <c r="I24" s="408"/>
      <c r="J24" s="408"/>
      <c r="K24" s="408"/>
      <c r="L24" s="408"/>
      <c r="M24" s="408"/>
      <c r="N24" s="408"/>
      <c r="O24" s="408"/>
      <c r="P24" s="408"/>
      <c r="Q24" s="408"/>
      <c r="R24" s="418"/>
      <c r="S24" s="418"/>
      <c r="T24" s="418"/>
      <c r="U24" s="418"/>
      <c r="V24" s="418"/>
      <c r="W24" s="418"/>
      <c r="X24" s="418"/>
      <c r="Y24" s="418"/>
      <c r="Z24" s="418"/>
      <c r="AA24" s="418"/>
      <c r="AB24" s="408"/>
      <c r="AC24" s="408"/>
      <c r="AD24" s="408"/>
      <c r="AE24" s="408"/>
    </row>
    <row r="25" spans="2:31" ht="19.5" customHeight="1">
      <c r="C25" s="408"/>
      <c r="D25" s="408"/>
      <c r="E25" s="408"/>
      <c r="F25" s="408"/>
      <c r="G25" s="408"/>
      <c r="H25" s="408"/>
      <c r="I25" s="408"/>
      <c r="J25" s="408"/>
      <c r="K25" s="408"/>
      <c r="L25" s="408"/>
      <c r="M25" s="408"/>
      <c r="N25" s="408"/>
      <c r="O25" s="408"/>
      <c r="P25" s="408"/>
      <c r="Q25" s="408"/>
      <c r="R25" s="419"/>
      <c r="S25" s="419"/>
      <c r="T25" s="419"/>
      <c r="U25" s="419"/>
      <c r="V25" s="1552" t="s">
        <v>8361</v>
      </c>
      <c r="W25" s="1552"/>
      <c r="X25" s="1552"/>
      <c r="Y25" s="1552"/>
      <c r="Z25" s="1552"/>
      <c r="AA25" s="1552"/>
      <c r="AB25" s="1552"/>
      <c r="AC25" s="1552"/>
      <c r="AD25" s="428"/>
      <c r="AE25" s="408"/>
    </row>
    <row r="26" spans="2:31" ht="42" customHeight="1">
      <c r="C26" s="408"/>
      <c r="D26" s="1543" t="s">
        <v>8374</v>
      </c>
      <c r="E26" s="1543"/>
      <c r="F26" s="1543"/>
      <c r="G26" s="1543"/>
      <c r="H26" s="1543"/>
      <c r="I26" s="1543"/>
      <c r="J26" s="1543"/>
      <c r="K26" s="1543"/>
      <c r="L26" s="1543"/>
      <c r="M26" s="1543"/>
      <c r="N26" s="1543"/>
      <c r="O26" s="1543"/>
      <c r="P26" s="1543"/>
      <c r="Q26" s="1543"/>
      <c r="R26" s="1543"/>
      <c r="S26" s="1543"/>
      <c r="T26" s="1543"/>
      <c r="U26" s="1543"/>
      <c r="V26" s="1543"/>
      <c r="W26" s="1543"/>
      <c r="X26" s="1543"/>
      <c r="Y26" s="1543"/>
      <c r="Z26" s="1543"/>
      <c r="AA26" s="1543"/>
      <c r="AB26" s="1543"/>
      <c r="AC26" s="1543"/>
      <c r="AD26" s="1543"/>
      <c r="AE26" s="418"/>
    </row>
    <row r="27" spans="2:31" ht="11.25" customHeight="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row>
    <row r="28" spans="2:31" ht="7.5" customHeight="1"/>
    <row r="29" spans="2:31" ht="27.75" customHeight="1">
      <c r="B29" s="405"/>
      <c r="C29" s="1561" t="s">
        <v>8356</v>
      </c>
      <c r="D29" s="1561"/>
      <c r="E29" s="1561"/>
      <c r="F29" s="1561"/>
      <c r="G29" s="1561"/>
      <c r="H29" s="1561"/>
      <c r="I29" s="402"/>
      <c r="J29" s="402"/>
      <c r="K29" s="402"/>
      <c r="L29" s="402"/>
      <c r="M29" s="402"/>
      <c r="N29" s="402"/>
      <c r="O29" s="402"/>
      <c r="P29" s="402"/>
      <c r="Q29" s="402"/>
      <c r="R29" s="402"/>
      <c r="S29" s="402"/>
      <c r="T29" s="402"/>
      <c r="U29" s="402"/>
      <c r="V29" s="402"/>
      <c r="W29" s="402"/>
      <c r="X29" s="402"/>
      <c r="Y29" s="402"/>
      <c r="Z29" s="402"/>
      <c r="AA29" s="402"/>
      <c r="AB29" s="402"/>
      <c r="AC29" s="402"/>
      <c r="AD29" s="402"/>
      <c r="AE29" s="402"/>
    </row>
    <row r="30" spans="2:31" ht="24.75" customHeight="1">
      <c r="B30" s="403"/>
      <c r="C30" s="402"/>
      <c r="D30" s="402"/>
      <c r="E30" s="1553"/>
      <c r="F30" s="1553"/>
      <c r="G30" s="412"/>
      <c r="H30" s="404"/>
      <c r="I30" s="429"/>
      <c r="J30" s="1545" t="s">
        <v>8367</v>
      </c>
      <c r="K30" s="1545"/>
      <c r="L30" s="1545"/>
      <c r="M30" s="1545"/>
      <c r="N30" s="413"/>
      <c r="O30" s="1557" t="str">
        <f>TEXT('Bridging Loan Calculator'!O62,"#,#")</f>
        <v/>
      </c>
      <c r="P30" s="1557"/>
      <c r="Q30" s="430" t="s">
        <v>8368</v>
      </c>
      <c r="R30" s="429"/>
      <c r="S30" s="1545" t="s">
        <v>8357</v>
      </c>
      <c r="T30" s="1545"/>
      <c r="U30" s="1545"/>
      <c r="V30" s="1545"/>
      <c r="W30" s="1545"/>
      <c r="X30" s="1545"/>
      <c r="Y30" s="421" t="s">
        <v>8354</v>
      </c>
      <c r="Z30" s="1542" t="str">
        <f>IF('Bridging Loan Calculator'!O53 = "", "",IF('Bridging Loan Calculator'!O63=0,0,TEXT('Bridging Loan Calculator'!O63,"#,#")))</f>
        <v/>
      </c>
      <c r="AA30" s="1542"/>
      <c r="AB30" s="1542"/>
      <c r="AC30" s="1542"/>
      <c r="AD30" s="416"/>
      <c r="AE30" s="416"/>
    </row>
    <row r="31" spans="2:31" ht="8.25" customHeight="1">
      <c r="C31" s="402"/>
      <c r="D31" s="402"/>
      <c r="E31" s="402"/>
      <c r="F31" s="402"/>
      <c r="G31" s="402"/>
      <c r="H31" s="402"/>
      <c r="I31" s="402"/>
      <c r="J31" s="402"/>
      <c r="K31" s="402"/>
      <c r="L31" s="402"/>
      <c r="M31" s="402"/>
      <c r="N31" s="402"/>
      <c r="O31" s="402"/>
      <c r="P31" s="402"/>
      <c r="Q31" s="402"/>
      <c r="R31" s="402"/>
      <c r="S31" s="402"/>
      <c r="T31" s="402"/>
      <c r="U31" s="402"/>
      <c r="V31" s="402"/>
      <c r="W31" s="402"/>
      <c r="X31" s="402"/>
      <c r="Y31" s="402"/>
      <c r="Z31" s="402"/>
      <c r="AA31" s="402"/>
      <c r="AB31" s="402"/>
      <c r="AC31" s="402"/>
      <c r="AD31" s="402"/>
      <c r="AE31" s="402"/>
    </row>
    <row r="32" spans="2:31" ht="24.75" customHeight="1">
      <c r="C32" s="427"/>
      <c r="D32" s="1544" t="s">
        <v>8369</v>
      </c>
      <c r="E32" s="1544"/>
      <c r="F32" s="1544"/>
      <c r="G32" s="1544"/>
      <c r="H32" s="1544"/>
      <c r="I32" s="1544"/>
      <c r="J32" s="1544"/>
      <c r="K32" s="1544"/>
      <c r="L32" s="1544"/>
      <c r="M32" s="1544"/>
      <c r="N32" s="1544"/>
      <c r="O32" s="1544"/>
      <c r="P32" s="1544"/>
      <c r="Q32" s="1544"/>
      <c r="R32" s="1544"/>
      <c r="S32" s="1544"/>
      <c r="T32" s="1544"/>
      <c r="U32" s="1544"/>
      <c r="V32" s="1544"/>
      <c r="W32" s="1544"/>
      <c r="X32" s="1544"/>
      <c r="Y32" s="1544"/>
      <c r="Z32" s="1544"/>
      <c r="AA32" s="1544"/>
      <c r="AB32" s="1544"/>
      <c r="AC32" s="1544"/>
      <c r="AD32" s="1544"/>
      <c r="AE32" s="427"/>
    </row>
    <row r="33" spans="3:32" ht="11.25" customHeight="1">
      <c r="C33" s="402"/>
      <c r="D33" s="402"/>
      <c r="E33" s="402"/>
      <c r="F33" s="402"/>
      <c r="G33" s="402"/>
      <c r="H33" s="402"/>
      <c r="I33" s="402"/>
      <c r="J33" s="402"/>
      <c r="K33" s="402"/>
      <c r="L33" s="402"/>
      <c r="M33" s="402"/>
      <c r="N33" s="402"/>
      <c r="O33" s="402"/>
      <c r="P33" s="402"/>
      <c r="Q33" s="402"/>
      <c r="R33" s="402"/>
      <c r="S33" s="402"/>
      <c r="T33" s="402"/>
      <c r="U33" s="402"/>
      <c r="V33" s="402"/>
      <c r="W33" s="402"/>
      <c r="X33" s="402"/>
      <c r="Y33" s="402"/>
      <c r="Z33" s="402"/>
      <c r="AA33" s="402"/>
      <c r="AB33" s="402"/>
      <c r="AC33" s="402"/>
      <c r="AD33" s="402"/>
      <c r="AE33" s="402"/>
    </row>
    <row r="34" spans="3:32" ht="71.25" customHeight="1">
      <c r="C34" s="1555" t="s">
        <v>8360</v>
      </c>
      <c r="D34" s="1555"/>
      <c r="E34" s="1555"/>
      <c r="F34" s="1555"/>
      <c r="G34" s="1555"/>
      <c r="H34" s="1555"/>
      <c r="I34" s="1555"/>
      <c r="J34" s="1555"/>
      <c r="K34" s="1555"/>
      <c r="L34" s="1555"/>
      <c r="M34" s="1555"/>
      <c r="N34" s="1555"/>
      <c r="O34" s="1555"/>
      <c r="P34" s="1555"/>
      <c r="Q34" s="1555"/>
      <c r="R34" s="1555"/>
      <c r="S34" s="1555"/>
      <c r="T34" s="1555"/>
      <c r="U34" s="1555"/>
      <c r="V34" s="1555"/>
      <c r="W34" s="1555"/>
      <c r="X34" s="1555"/>
      <c r="Y34" s="1555"/>
      <c r="Z34" s="1555"/>
      <c r="AA34" s="1555"/>
      <c r="AB34" s="1555"/>
      <c r="AC34" s="1555"/>
      <c r="AD34" s="1555"/>
      <c r="AE34" s="1555"/>
    </row>
    <row r="35" spans="3:32">
      <c r="C35" s="409"/>
      <c r="D35" s="409"/>
      <c r="E35" s="409"/>
      <c r="F35" s="409"/>
      <c r="G35" s="409"/>
      <c r="H35" s="409"/>
      <c r="I35" s="409"/>
      <c r="J35" s="409"/>
      <c r="K35" s="409"/>
      <c r="L35" s="409"/>
      <c r="M35" s="409"/>
      <c r="N35" s="409"/>
      <c r="O35" s="409"/>
      <c r="P35" s="409"/>
      <c r="Q35" s="409"/>
      <c r="R35" s="409"/>
      <c r="S35" s="409"/>
      <c r="T35" s="409"/>
      <c r="U35" s="409"/>
      <c r="V35" s="409"/>
      <c r="W35" s="409"/>
      <c r="X35" s="409"/>
      <c r="Y35" s="409"/>
      <c r="Z35" s="409"/>
      <c r="AA35" s="409"/>
      <c r="AB35" s="409"/>
      <c r="AC35" s="409"/>
      <c r="AD35" s="409"/>
      <c r="AE35" s="409"/>
      <c r="AF35" s="409"/>
    </row>
    <row r="36" spans="3:32">
      <c r="C36" s="409"/>
      <c r="D36" s="409"/>
      <c r="E36" s="409"/>
      <c r="F36" s="409"/>
      <c r="G36" s="409"/>
      <c r="H36" s="409"/>
      <c r="I36" s="409"/>
      <c r="J36" s="409"/>
      <c r="K36" s="409"/>
      <c r="L36" s="409"/>
      <c r="M36" s="409"/>
      <c r="N36" s="409"/>
      <c r="O36" s="409"/>
      <c r="P36" s="409"/>
      <c r="Q36" s="409"/>
      <c r="R36" s="409"/>
      <c r="S36" s="409"/>
      <c r="T36" s="409"/>
      <c r="U36" s="409"/>
      <c r="V36" s="409"/>
      <c r="W36" s="409"/>
      <c r="X36" s="409"/>
      <c r="Y36" s="409"/>
      <c r="Z36" s="409"/>
      <c r="AA36" s="409"/>
      <c r="AB36" s="409"/>
      <c r="AC36" s="409"/>
      <c r="AD36" s="409"/>
      <c r="AE36" s="409"/>
      <c r="AF36" s="409"/>
    </row>
    <row r="37" spans="3:32">
      <c r="C37" s="409"/>
      <c r="D37" s="409"/>
      <c r="E37" s="409"/>
      <c r="F37" s="409"/>
      <c r="G37" s="409"/>
      <c r="H37" s="409"/>
      <c r="I37" s="409"/>
      <c r="J37" s="409"/>
      <c r="K37" s="409"/>
      <c r="L37" s="409"/>
      <c r="M37" s="409"/>
      <c r="N37" s="409"/>
      <c r="O37" s="409"/>
      <c r="P37" s="409"/>
      <c r="Q37" s="409"/>
      <c r="R37" s="409"/>
      <c r="S37" s="409"/>
      <c r="T37" s="409"/>
      <c r="U37" s="409"/>
      <c r="V37" s="409"/>
      <c r="W37" s="409"/>
      <c r="X37" s="409"/>
      <c r="Y37" s="409"/>
      <c r="Z37" s="409"/>
      <c r="AA37" s="409"/>
      <c r="AB37" s="409"/>
      <c r="AC37" s="409"/>
      <c r="AD37" s="409"/>
      <c r="AE37" s="409"/>
      <c r="AF37" s="409"/>
    </row>
    <row r="38" spans="3:32">
      <c r="C38" s="409"/>
      <c r="D38" s="409"/>
      <c r="E38" s="409"/>
      <c r="F38" s="409"/>
      <c r="G38" s="409"/>
      <c r="H38" s="409"/>
      <c r="I38" s="409"/>
      <c r="J38" s="409"/>
      <c r="K38" s="409"/>
      <c r="L38" s="409"/>
      <c r="M38" s="409"/>
      <c r="N38" s="409"/>
      <c r="O38" s="409"/>
      <c r="P38" s="409"/>
      <c r="Q38" s="409"/>
      <c r="R38" s="409"/>
      <c r="S38" s="409"/>
      <c r="T38" s="409"/>
      <c r="U38" s="409"/>
      <c r="V38" s="409"/>
      <c r="W38" s="409"/>
      <c r="X38" s="409"/>
      <c r="Y38" s="409"/>
      <c r="Z38" s="409"/>
      <c r="AA38" s="409"/>
      <c r="AB38" s="409"/>
      <c r="AC38" s="409"/>
      <c r="AD38" s="409"/>
      <c r="AE38" s="409"/>
      <c r="AF38" s="409"/>
    </row>
    <row r="39" spans="3:32">
      <c r="C39" s="409"/>
      <c r="D39" s="409"/>
      <c r="E39" s="409"/>
      <c r="F39" s="409"/>
      <c r="G39" s="409"/>
      <c r="H39" s="409"/>
      <c r="I39" s="409"/>
      <c r="J39" s="409"/>
      <c r="K39" s="409"/>
      <c r="L39" s="409"/>
      <c r="M39" s="409"/>
      <c r="N39" s="409"/>
      <c r="O39" s="409"/>
      <c r="P39" s="409"/>
      <c r="Q39" s="409"/>
      <c r="R39" s="409"/>
      <c r="S39" s="409"/>
      <c r="T39" s="409"/>
      <c r="U39" s="409"/>
      <c r="V39" s="409"/>
      <c r="W39" s="409"/>
      <c r="X39" s="409"/>
      <c r="Y39" s="409"/>
      <c r="Z39" s="409"/>
      <c r="AA39" s="409"/>
      <c r="AB39" s="409"/>
      <c r="AC39" s="409"/>
      <c r="AD39" s="409"/>
      <c r="AE39" s="409"/>
      <c r="AF39" s="409"/>
    </row>
    <row r="40" spans="3:32">
      <c r="C40" s="409"/>
      <c r="D40" s="409"/>
      <c r="E40" s="409"/>
      <c r="F40" s="409"/>
      <c r="G40" s="409"/>
      <c r="H40" s="409"/>
      <c r="I40" s="409"/>
      <c r="J40" s="409"/>
      <c r="K40" s="409"/>
      <c r="L40" s="409"/>
      <c r="M40" s="409"/>
      <c r="N40" s="409"/>
      <c r="O40" s="409"/>
      <c r="P40" s="409"/>
      <c r="Q40" s="409"/>
      <c r="R40" s="409"/>
      <c r="S40" s="409"/>
      <c r="T40" s="409"/>
      <c r="U40" s="409"/>
      <c r="V40" s="409"/>
      <c r="W40" s="409"/>
      <c r="X40" s="409"/>
      <c r="Y40" s="409"/>
      <c r="Z40" s="409"/>
      <c r="AA40" s="409"/>
      <c r="AB40" s="409"/>
      <c r="AC40" s="409"/>
      <c r="AD40" s="409"/>
      <c r="AE40" s="409"/>
      <c r="AF40" s="409"/>
    </row>
    <row r="41" spans="3:32">
      <c r="C41" s="409"/>
      <c r="D41" s="409"/>
      <c r="E41" s="409"/>
      <c r="F41" s="409"/>
      <c r="G41" s="409"/>
      <c r="H41" s="409"/>
      <c r="I41" s="409"/>
      <c r="J41" s="409"/>
      <c r="K41" s="409"/>
      <c r="L41" s="409"/>
      <c r="M41" s="409"/>
      <c r="N41" s="409"/>
      <c r="O41" s="409"/>
      <c r="P41" s="409"/>
      <c r="Q41" s="409"/>
      <c r="R41" s="409"/>
      <c r="S41" s="409"/>
      <c r="T41" s="409"/>
      <c r="U41" s="409"/>
      <c r="V41" s="409"/>
      <c r="W41" s="409"/>
      <c r="X41" s="409"/>
      <c r="Y41" s="409"/>
      <c r="Z41" s="409"/>
      <c r="AA41" s="409"/>
      <c r="AB41" s="409"/>
      <c r="AC41" s="409"/>
      <c r="AD41" s="409"/>
      <c r="AE41" s="409"/>
      <c r="AF41" s="409"/>
    </row>
    <row r="42" spans="3:32">
      <c r="C42" s="409"/>
      <c r="D42" s="409"/>
      <c r="E42" s="409"/>
      <c r="F42" s="409"/>
      <c r="G42" s="409"/>
      <c r="H42" s="409"/>
      <c r="I42" s="409"/>
      <c r="J42" s="409"/>
      <c r="K42" s="409"/>
      <c r="L42" s="409"/>
      <c r="M42" s="409"/>
      <c r="N42" s="409"/>
      <c r="O42" s="409"/>
      <c r="P42" s="409"/>
      <c r="Q42" s="409"/>
      <c r="R42" s="409"/>
      <c r="S42" s="409"/>
      <c r="T42" s="409"/>
      <c r="U42" s="409"/>
      <c r="V42" s="409"/>
      <c r="W42" s="409"/>
      <c r="X42" s="409"/>
      <c r="Y42" s="409"/>
      <c r="Z42" s="409"/>
      <c r="AA42" s="409"/>
      <c r="AB42" s="409"/>
      <c r="AC42" s="409"/>
      <c r="AD42" s="409"/>
      <c r="AE42" s="409"/>
      <c r="AF42" s="409"/>
    </row>
  </sheetData>
  <sheetProtection algorithmName="SHA-512" hashValue="ntNMT8Q10tJhF/iPgRwhid7qWrT4joqdOb9xfkWsGaTyhUq1cAki0gK7PEN/c3y6tmnV/laYUNK9UHSUOwM+NQ==" saltValue="IkF/FrMFUEwK3BYZc2GQhw==" spinCount="100000" sheet="1"/>
  <mergeCells count="48">
    <mergeCell ref="AC3:AE3"/>
    <mergeCell ref="C5:AE5"/>
    <mergeCell ref="E3:I3"/>
    <mergeCell ref="W3:Z3"/>
    <mergeCell ref="C7:H7"/>
    <mergeCell ref="M3:S3"/>
    <mergeCell ref="K3:L3"/>
    <mergeCell ref="V25:AC25"/>
    <mergeCell ref="E30:F30"/>
    <mergeCell ref="E15:F15"/>
    <mergeCell ref="I15:K15"/>
    <mergeCell ref="C34:AE34"/>
    <mergeCell ref="R23:T23"/>
    <mergeCell ref="O30:P30"/>
    <mergeCell ref="S20:X20"/>
    <mergeCell ref="Z23:AC23"/>
    <mergeCell ref="V23:X23"/>
    <mergeCell ref="O23:Q23"/>
    <mergeCell ref="J23:M23"/>
    <mergeCell ref="L20:M20"/>
    <mergeCell ref="J20:K20"/>
    <mergeCell ref="C18:H18"/>
    <mergeCell ref="C29:H29"/>
    <mergeCell ref="D20:E20"/>
    <mergeCell ref="G20:I20"/>
    <mergeCell ref="U15:X15"/>
    <mergeCell ref="E9:G9"/>
    <mergeCell ref="E11:G11"/>
    <mergeCell ref="E13:G13"/>
    <mergeCell ref="I9:L9"/>
    <mergeCell ref="I11:L11"/>
    <mergeCell ref="I13:L13"/>
    <mergeCell ref="E1:AD1"/>
    <mergeCell ref="O20:Q20"/>
    <mergeCell ref="D26:AD26"/>
    <mergeCell ref="D32:AD32"/>
    <mergeCell ref="Z30:AC30"/>
    <mergeCell ref="S30:X30"/>
    <mergeCell ref="J30:M30"/>
    <mergeCell ref="Z9:AC9"/>
    <mergeCell ref="Z11:AC11"/>
    <mergeCell ref="Z13:AC13"/>
    <mergeCell ref="Z15:AC15"/>
    <mergeCell ref="Z20:AC20"/>
    <mergeCell ref="Q7:W7"/>
    <mergeCell ref="U9:X9"/>
    <mergeCell ref="U11:X11"/>
    <mergeCell ref="U13:X13"/>
  </mergeCells>
  <pageMargins left="0" right="0" top="0" bottom="0" header="0" footer="0"/>
  <pageSetup paperSize="9" scale="9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F5F6-58F7-4515-94F7-88303A58B8DF}">
  <sheetPr codeName="Sheet2">
    <pageSetUpPr fitToPage="1"/>
  </sheetPr>
  <dimension ref="B1:AP175"/>
  <sheetViews>
    <sheetView showGridLines="0" showRowColHeaders="0" zoomScaleNormal="100" workbookViewId="0">
      <selection activeCell="G10" sqref="G10"/>
    </sheetView>
  </sheetViews>
  <sheetFormatPr baseColWidth="10" defaultColWidth="8.83203125" defaultRowHeight="13"/>
  <cols>
    <col min="1" max="3" width="0.83203125" customWidth="1"/>
    <col min="4" max="4" width="2.6640625" customWidth="1"/>
    <col min="5" max="5" width="3.1640625" customWidth="1"/>
    <col min="6" max="6" width="10.83203125" customWidth="1"/>
    <col min="7" max="7" width="22.33203125" customWidth="1"/>
    <col min="8" max="8" width="21.5" customWidth="1"/>
    <col min="9" max="9" width="20.6640625" customWidth="1"/>
    <col min="10" max="10" width="22" customWidth="1"/>
    <col min="11" max="11" width="23.1640625" customWidth="1"/>
    <col min="12" max="12" width="1.1640625" customWidth="1"/>
    <col min="13" max="13" width="0.83203125" customWidth="1"/>
    <col min="39" max="42" width="0" hidden="1" customWidth="1"/>
  </cols>
  <sheetData>
    <row r="1" spans="2:13" ht="5.25" customHeight="1"/>
    <row r="2" spans="2:13" ht="5.25" customHeight="1">
      <c r="B2" s="1193"/>
      <c r="C2" s="1194"/>
      <c r="D2" s="1194"/>
      <c r="E2" s="1194"/>
      <c r="F2" s="1194"/>
      <c r="G2" s="1194"/>
      <c r="H2" s="1194"/>
      <c r="I2" s="1194"/>
      <c r="J2" s="1194"/>
      <c r="K2" s="1194"/>
      <c r="L2" s="1194"/>
      <c r="M2" s="1195"/>
    </row>
    <row r="3" spans="2:13" ht="32" customHeight="1">
      <c r="B3" s="1196"/>
      <c r="C3" s="1160"/>
      <c r="D3" s="1160"/>
      <c r="E3" s="1160"/>
      <c r="F3" s="1161" t="s">
        <v>8067</v>
      </c>
      <c r="G3" s="1162"/>
      <c r="H3" s="1162"/>
      <c r="I3" s="1160"/>
      <c r="J3" s="1160"/>
      <c r="K3" s="1163"/>
      <c r="L3" s="1164"/>
      <c r="M3" s="1199"/>
    </row>
    <row r="4" spans="2:13" ht="1.5" customHeight="1">
      <c r="B4" s="1196"/>
      <c r="C4" s="1198"/>
      <c r="D4" s="1198"/>
      <c r="E4" s="1198"/>
      <c r="F4" s="1198"/>
      <c r="G4" s="1198"/>
      <c r="H4" s="1198"/>
      <c r="I4" s="1198"/>
      <c r="J4" s="1198"/>
      <c r="K4" s="1198"/>
      <c r="L4" s="1198"/>
      <c r="M4" s="1199"/>
    </row>
    <row r="5" spans="2:13" ht="1.5" customHeight="1">
      <c r="B5" s="1196"/>
      <c r="C5" s="1566"/>
      <c r="D5" s="1566"/>
      <c r="E5" s="1566"/>
      <c r="F5" s="1566"/>
      <c r="G5" s="1566"/>
      <c r="H5" s="1566"/>
      <c r="I5" s="1566"/>
      <c r="J5" s="1566"/>
      <c r="K5" s="1566"/>
      <c r="L5" s="1198"/>
      <c r="M5" s="1199"/>
    </row>
    <row r="6" spans="2:13" ht="1.5" customHeight="1">
      <c r="B6" s="1196"/>
      <c r="C6" s="1198"/>
      <c r="D6" s="1198"/>
      <c r="E6" s="1198"/>
      <c r="F6" s="1198"/>
      <c r="G6" s="1198"/>
      <c r="H6" s="1198"/>
      <c r="I6" s="1198"/>
      <c r="J6" s="1198"/>
      <c r="K6" s="1198"/>
      <c r="L6" s="1198"/>
      <c r="M6" s="1199"/>
    </row>
    <row r="7" spans="2:13" ht="19.5" customHeight="1">
      <c r="B7" s="1196"/>
      <c r="C7" s="1570" t="s">
        <v>8068</v>
      </c>
      <c r="D7" s="1570"/>
      <c r="E7" s="1570"/>
      <c r="F7" s="1570"/>
      <c r="G7" s="1570"/>
      <c r="H7" s="1570"/>
      <c r="I7" s="1570"/>
      <c r="J7" s="1200"/>
      <c r="K7" s="1570"/>
      <c r="L7" s="1570"/>
      <c r="M7" s="1199"/>
    </row>
    <row r="8" spans="2:13" ht="4.5" customHeight="1">
      <c r="B8" s="1196"/>
      <c r="C8" s="1198"/>
      <c r="D8" s="1198"/>
      <c r="E8" s="1198"/>
      <c r="F8" s="1198"/>
      <c r="G8" s="1198"/>
      <c r="H8" s="1198"/>
      <c r="I8" s="1198"/>
      <c r="J8" s="1198"/>
      <c r="K8" s="1198"/>
      <c r="L8" s="1198"/>
      <c r="M8" s="1199"/>
    </row>
    <row r="9" spans="2:13" ht="8.5" customHeight="1">
      <c r="B9" s="1196"/>
      <c r="C9" s="1177"/>
      <c r="D9" s="1178"/>
      <c r="E9" s="1178"/>
      <c r="F9" s="1178"/>
      <c r="G9" s="1178"/>
      <c r="H9" s="1178"/>
      <c r="I9" s="1178"/>
      <c r="J9" s="1178"/>
      <c r="K9" s="1178"/>
      <c r="L9" s="1179"/>
      <c r="M9" s="1199"/>
    </row>
    <row r="10" spans="2:13" ht="21" customHeight="1">
      <c r="B10" s="1196"/>
      <c r="C10" s="1186"/>
      <c r="D10" s="1209" t="s">
        <v>8069</v>
      </c>
      <c r="E10" s="1210"/>
      <c r="F10" s="1211"/>
      <c r="G10" s="1216"/>
      <c r="H10" s="1212" t="s">
        <v>8070</v>
      </c>
      <c r="I10" s="1165" t="b">
        <v>0</v>
      </c>
      <c r="J10" s="1304" t="s">
        <v>8054</v>
      </c>
      <c r="K10" s="1305">
        <f>G10</f>
        <v>0</v>
      </c>
      <c r="L10" s="1043"/>
      <c r="M10" s="1199"/>
    </row>
    <row r="11" spans="2:13" ht="7.5" customHeight="1">
      <c r="B11" s="1196"/>
      <c r="C11" s="1042"/>
      <c r="F11" s="1166"/>
      <c r="H11" s="1166"/>
      <c r="L11" s="1043"/>
      <c r="M11" s="1199"/>
    </row>
    <row r="12" spans="2:13" ht="21" customHeight="1">
      <c r="B12" s="1196"/>
      <c r="C12" s="1042"/>
      <c r="D12" s="1567" t="s">
        <v>8071</v>
      </c>
      <c r="E12" s="1568"/>
      <c r="F12" s="1568"/>
      <c r="G12" s="1569"/>
      <c r="H12" s="1188">
        <v>1</v>
      </c>
      <c r="L12" s="1043"/>
      <c r="M12" s="1199"/>
    </row>
    <row r="13" spans="2:13" ht="21" customHeight="1">
      <c r="B13" s="1196"/>
      <c r="C13" s="1042"/>
      <c r="D13" s="1567" t="s">
        <v>8072</v>
      </c>
      <c r="E13" s="1568"/>
      <c r="F13" s="1568"/>
      <c r="G13" s="1569"/>
      <c r="H13" s="1188" t="s">
        <v>8060</v>
      </c>
      <c r="L13" s="1043"/>
      <c r="M13" s="1199"/>
    </row>
    <row r="14" spans="2:13" ht="21" customHeight="1">
      <c r="B14" s="1196"/>
      <c r="C14" s="1187">
        <v>1</v>
      </c>
      <c r="D14" s="1567" t="s">
        <v>8073</v>
      </c>
      <c r="E14" s="1568"/>
      <c r="F14" s="1568"/>
      <c r="G14" s="1569"/>
      <c r="H14" s="1188" t="s">
        <v>497</v>
      </c>
      <c r="L14" s="1043"/>
      <c r="M14" s="1199"/>
    </row>
    <row r="15" spans="2:13" ht="21" customHeight="1">
      <c r="B15" s="1196"/>
      <c r="C15" s="1042"/>
      <c r="D15" s="1567" t="s">
        <v>5994</v>
      </c>
      <c r="E15" s="1568"/>
      <c r="F15" s="1568"/>
      <c r="G15" s="1569"/>
      <c r="H15" s="1188" t="s">
        <v>8064</v>
      </c>
      <c r="L15" s="1043"/>
      <c r="M15" s="1199"/>
    </row>
    <row r="16" spans="2:13" ht="5.25" customHeight="1">
      <c r="B16" s="1196"/>
      <c r="C16" s="1042"/>
      <c r="L16" s="1043"/>
      <c r="M16" s="1199"/>
    </row>
    <row r="17" spans="2:19" ht="14">
      <c r="B17" s="1196"/>
      <c r="C17" s="1042"/>
      <c r="D17" s="1170" t="s">
        <v>8074</v>
      </c>
      <c r="H17" s="1213" cm="1">
        <f t="array" ref="H17">INDEX(Table5[RATE],MATCH(H12&amp;H13&amp;H14&amp;H15,Table5[TERM]&amp;Table5[PURPOSE]&amp;Table5[REPAYMENT]&amp;Table5[LVR],0))</f>
        <v>5.8899999999999994E-2</v>
      </c>
      <c r="L17" s="1043"/>
      <c r="M17" s="1199"/>
    </row>
    <row r="18" spans="2:19" ht="5.25" customHeight="1">
      <c r="B18" s="1196"/>
      <c r="C18" s="1042"/>
      <c r="F18" s="356"/>
      <c r="H18" s="1215"/>
      <c r="L18" s="1043"/>
      <c r="M18" s="1199"/>
    </row>
    <row r="19" spans="2:19" ht="16">
      <c r="B19" s="1196"/>
      <c r="C19" s="1042"/>
      <c r="D19" s="1170" t="s">
        <v>8075</v>
      </c>
      <c r="E19" s="1167"/>
      <c r="H19" s="1214">
        <f>ROUNDUP(K10/1000000,0)*LOCK_RATE_FEE</f>
        <v>0</v>
      </c>
      <c r="I19" s="1168"/>
      <c r="L19" s="1043"/>
      <c r="M19" s="1199"/>
    </row>
    <row r="20" spans="2:19" ht="5.25" customHeight="1">
      <c r="B20" s="1196"/>
      <c r="C20" s="1180"/>
      <c r="D20" s="1181"/>
      <c r="E20" s="1181"/>
      <c r="F20" s="1181"/>
      <c r="G20" s="1181"/>
      <c r="H20" s="1181"/>
      <c r="I20" s="1181"/>
      <c r="J20" s="1181"/>
      <c r="K20" s="1181"/>
      <c r="L20" s="1182"/>
      <c r="M20" s="1199"/>
    </row>
    <row r="21" spans="2:19" ht="5.25" customHeight="1">
      <c r="B21" s="1196"/>
      <c r="C21" s="1198"/>
      <c r="D21" s="1198"/>
      <c r="E21" s="1198"/>
      <c r="F21" s="1198"/>
      <c r="G21" s="1198"/>
      <c r="H21" s="1198"/>
      <c r="I21" s="1198"/>
      <c r="J21" s="1198"/>
      <c r="K21" s="1198"/>
      <c r="L21" s="1198"/>
      <c r="M21" s="1199"/>
    </row>
    <row r="22" spans="2:19" ht="17.25" customHeight="1">
      <c r="B22" s="1196"/>
      <c r="C22" s="1204" t="s">
        <v>8076</v>
      </c>
      <c r="D22" s="1204"/>
      <c r="E22" s="1204"/>
      <c r="F22" s="1204"/>
      <c r="G22" s="1200"/>
      <c r="H22" s="1200"/>
      <c r="I22" s="1200"/>
      <c r="J22" s="1200"/>
      <c r="K22" s="1200"/>
      <c r="L22" s="1200"/>
      <c r="M22" s="1199"/>
      <c r="S22" s="357"/>
    </row>
    <row r="23" spans="2:19" ht="4.5" customHeight="1">
      <c r="B23" s="1196"/>
      <c r="C23" s="1198"/>
      <c r="D23" s="1198"/>
      <c r="E23" s="1198"/>
      <c r="F23" s="1198"/>
      <c r="G23" s="1198"/>
      <c r="H23" s="1198"/>
      <c r="I23" s="1198"/>
      <c r="J23" s="1198"/>
      <c r="K23" s="1198"/>
      <c r="L23" s="1198"/>
      <c r="M23" s="1199"/>
    </row>
    <row r="24" spans="2:19" ht="5.25" customHeight="1">
      <c r="B24" s="1196"/>
      <c r="C24" s="1177"/>
      <c r="D24" s="1178"/>
      <c r="E24" s="1178"/>
      <c r="F24" s="1178"/>
      <c r="G24" s="1178"/>
      <c r="H24" s="1178"/>
      <c r="I24" s="1178"/>
      <c r="J24" s="1178"/>
      <c r="K24" s="1178"/>
      <c r="L24" s="1179"/>
      <c r="M24" s="1199"/>
    </row>
    <row r="25" spans="2:19" ht="18" customHeight="1">
      <c r="B25" s="1196"/>
      <c r="C25" s="1042"/>
      <c r="D25" s="1170" t="s">
        <v>8077</v>
      </c>
      <c r="E25" s="1169"/>
      <c r="H25" s="1213">
        <f>$H$17</f>
        <v>5.8899999999999994E-2</v>
      </c>
      <c r="L25" s="1043"/>
      <c r="M25" s="1199"/>
    </row>
    <row r="26" spans="2:19" ht="18" customHeight="1">
      <c r="B26" s="1196"/>
      <c r="C26" s="1042"/>
      <c r="D26" s="1170" t="s">
        <v>8078</v>
      </c>
      <c r="E26" s="1169"/>
      <c r="H26" s="1214">
        <f>IF(G10="",0,ROUNDUP(IF(H14="Principal and Interest",CUMIPMT(H17/12,360,G10,1,H12*12,0)*-1,H12*G10*H17),0))</f>
        <v>0</v>
      </c>
      <c r="L26" s="1043"/>
      <c r="M26" s="1199"/>
    </row>
    <row r="27" spans="2:19" ht="18" customHeight="1">
      <c r="B27" s="1196"/>
      <c r="C27" s="1042"/>
      <c r="D27" s="1170" t="str">
        <f>"Estimated "&amp;IF(H14="Interest in Advance","Annual","Monthly")&amp;" Repayment:"</f>
        <v>Estimated Monthly Repayment:</v>
      </c>
      <c r="E27" s="1169"/>
      <c r="H27" s="1214">
        <f>ROUNDUP(IF($H$14="Principal and Interest",PMT(H17/12,360,-G10),IF($H$14="Interest in Advance",G10*H17,G10*H17/12)),0)</f>
        <v>0</v>
      </c>
      <c r="I27" s="1168"/>
      <c r="L27" s="1043"/>
      <c r="M27" s="1199"/>
    </row>
    <row r="28" spans="2:19" ht="5.25" customHeight="1">
      <c r="B28" s="1196"/>
      <c r="C28" s="1180"/>
      <c r="D28" s="1181"/>
      <c r="E28" s="1181"/>
      <c r="F28" s="1181"/>
      <c r="G28" s="1181"/>
      <c r="H28" s="1181"/>
      <c r="I28" s="1181"/>
      <c r="J28" s="1181"/>
      <c r="K28" s="1181"/>
      <c r="L28" s="1182"/>
      <c r="M28" s="1199"/>
    </row>
    <row r="29" spans="2:19" ht="5.25" customHeight="1">
      <c r="B29" s="1196"/>
      <c r="C29" s="1198"/>
      <c r="D29" s="1198"/>
      <c r="E29" s="1198"/>
      <c r="F29" s="1198"/>
      <c r="G29" s="1198"/>
      <c r="H29" s="1198"/>
      <c r="I29" s="1198"/>
      <c r="J29" s="1198"/>
      <c r="K29" s="1198"/>
      <c r="L29" s="1198"/>
      <c r="M29" s="1199"/>
    </row>
    <row r="30" spans="2:19" ht="17.25" customHeight="1">
      <c r="B30" s="1196"/>
      <c r="C30" s="1204" t="s">
        <v>8079</v>
      </c>
      <c r="D30" s="1204"/>
      <c r="E30" s="1204"/>
      <c r="F30" s="1204"/>
      <c r="G30" s="1200"/>
      <c r="H30" s="1200"/>
      <c r="I30" s="1200"/>
      <c r="J30" s="1200"/>
      <c r="K30" s="1200"/>
      <c r="L30" s="1200"/>
      <c r="M30" s="1199"/>
      <c r="S30" s="357"/>
    </row>
    <row r="31" spans="2:19" ht="4.5" customHeight="1">
      <c r="B31" s="1196"/>
      <c r="C31" s="1198"/>
      <c r="D31" s="1198"/>
      <c r="E31" s="1198"/>
      <c r="F31" s="1198"/>
      <c r="G31" s="1198"/>
      <c r="H31" s="1198"/>
      <c r="I31" s="1198"/>
      <c r="J31" s="1198"/>
      <c r="K31" s="1198"/>
      <c r="L31" s="1198"/>
      <c r="M31" s="1199"/>
    </row>
    <row r="32" spans="2:19" ht="8.5" customHeight="1">
      <c r="B32" s="1196"/>
      <c r="C32" s="1177"/>
      <c r="D32" s="1178"/>
      <c r="E32" s="1178"/>
      <c r="F32" s="1178"/>
      <c r="G32" s="1178"/>
      <c r="H32" s="1178"/>
      <c r="I32" s="1178"/>
      <c r="J32" s="1178"/>
      <c r="K32" s="1178"/>
      <c r="L32" s="1179"/>
      <c r="M32" s="1199"/>
    </row>
    <row r="33" spans="2:19" ht="39" customHeight="1">
      <c r="B33" s="1196"/>
      <c r="C33" s="1042"/>
      <c r="D33" s="1190"/>
      <c r="E33" s="1573" t="s">
        <v>8080</v>
      </c>
      <c r="F33" s="1573"/>
      <c r="G33" s="1191" t="s">
        <v>8081</v>
      </c>
      <c r="H33" s="1191" t="str">
        <f>"Your estimated new "&amp;IF(H14="Interest in Advance","Annual","Monthly")&amp;" repayment"</f>
        <v>Your estimated new Monthly repayment</v>
      </c>
      <c r="I33" s="1191" t="str">
        <f>"Estimated "&amp;IF(H14="Interest in Advance","Annual","Monthly")&amp;" repayment increase"</f>
        <v>Estimated Monthly repayment increase</v>
      </c>
      <c r="J33" s="1192" t="s">
        <v>8082</v>
      </c>
      <c r="K33" s="1192" t="s">
        <v>8083</v>
      </c>
      <c r="L33" s="1043"/>
      <c r="M33" s="1199"/>
    </row>
    <row r="34" spans="2:19">
      <c r="B34" s="1196"/>
      <c r="C34" s="1042"/>
      <c r="D34" s="1205" t="s">
        <v>239</v>
      </c>
      <c r="E34" s="1571">
        <v>5.0000000000000001E-4</v>
      </c>
      <c r="F34" s="1571"/>
      <c r="G34" s="1206">
        <f>$H$17+E34</f>
        <v>5.9399999999999994E-2</v>
      </c>
      <c r="H34" s="1207">
        <f>ROUNDUP(IF($H$14="Principal and Interest",PMT(G34/12,360,-$G$10),IF($H$14="Interest in Advance",$G$10*G34,$G$10*G34/12)),0)</f>
        <v>0</v>
      </c>
      <c r="I34" s="1208">
        <f>H34-$H$27</f>
        <v>0</v>
      </c>
      <c r="J34" s="1208">
        <f>IF($H$14="Interest in Advance", I34*$H$12, I34*$H$12*12)</f>
        <v>0</v>
      </c>
      <c r="K34" s="1222">
        <f>IF($H$14="Interest in Advance", I34*$H$12, I34*$H$12*12)-$H$19</f>
        <v>0</v>
      </c>
      <c r="L34" s="1043"/>
      <c r="M34" s="1199"/>
    </row>
    <row r="35" spans="2:19">
      <c r="B35" s="1196"/>
      <c r="C35" s="1042"/>
      <c r="D35" s="1205" t="s">
        <v>239</v>
      </c>
      <c r="E35" s="1571">
        <v>1E-3</v>
      </c>
      <c r="F35" s="1571"/>
      <c r="G35" s="1206">
        <f>$H$17+E35</f>
        <v>5.9899999999999995E-2</v>
      </c>
      <c r="H35" s="1207">
        <f>ROUNDUP(IF($H$14="Principal and Interest",PMT(G35/12,360,-$G$10),IF($H$14="Interest in Advance",$G$10*G35,$G$10*G35/12)),0)</f>
        <v>0</v>
      </c>
      <c r="I35" s="1208">
        <f>H35-$H$27</f>
        <v>0</v>
      </c>
      <c r="J35" s="1208">
        <f>IF($H$14="Interest in Advance", I35*$H$12, I35*$H$12*12)</f>
        <v>0</v>
      </c>
      <c r="K35" s="1222">
        <f>IF($H$14="Interest in Advance", I35*$H$12, I35*$H$12*12)-$H$19</f>
        <v>0</v>
      </c>
      <c r="L35" s="1043"/>
      <c r="M35" s="1199"/>
    </row>
    <row r="36" spans="2:19">
      <c r="B36" s="1196"/>
      <c r="C36" s="1042"/>
      <c r="D36" s="1205" t="s">
        <v>239</v>
      </c>
      <c r="E36" s="1571">
        <v>2E-3</v>
      </c>
      <c r="F36" s="1571"/>
      <c r="G36" s="1206">
        <f>$H$17+E36</f>
        <v>6.0899999999999996E-2</v>
      </c>
      <c r="H36" s="1207">
        <f>ROUNDUP(IF($H$14="Principal and Interest",PMT(G36/12,360,-$G$10),IF($H$14="Interest in Advance",$G$10*G36,$G$10*G36/12)),0)</f>
        <v>0</v>
      </c>
      <c r="I36" s="1208">
        <f>H36-$H$27</f>
        <v>0</v>
      </c>
      <c r="J36" s="1208">
        <f>IF($H$14="Interest in Advance", I36*$H$12, I36*$H$12*12)</f>
        <v>0</v>
      </c>
      <c r="K36" s="1222">
        <f>IF($H$14="Interest in Advance", I36*$H$12, I36*$H$12*12)-$H$19</f>
        <v>0</v>
      </c>
      <c r="L36" s="1043"/>
      <c r="M36" s="1199"/>
    </row>
    <row r="37" spans="2:19">
      <c r="B37" s="1196"/>
      <c r="C37" s="1042"/>
      <c r="D37" s="1205" t="s">
        <v>239</v>
      </c>
      <c r="E37" s="1571">
        <v>3.0000000000000001E-3</v>
      </c>
      <c r="F37" s="1571"/>
      <c r="G37" s="1206">
        <f>$H$17+E37</f>
        <v>6.1899999999999997E-2</v>
      </c>
      <c r="H37" s="1207">
        <f>ROUNDUP(IF($H$14="Principal and Interest",PMT(G37/12,360,-$G$10),IF($H$14="Interest in Advance",$G$10*G37,$G$10*G37/12)),0)</f>
        <v>0</v>
      </c>
      <c r="I37" s="1208">
        <f>H37-$H$27</f>
        <v>0</v>
      </c>
      <c r="J37" s="1208">
        <f>IF($H$14="Interest in Advance", I37*$H$12, I37*$H$12*12)</f>
        <v>0</v>
      </c>
      <c r="K37" s="1222">
        <f>IF($H$14="Interest in Advance", I37*$H$12, I37*$H$12*12)-$H$19</f>
        <v>0</v>
      </c>
      <c r="L37" s="1043"/>
      <c r="M37" s="1199"/>
    </row>
    <row r="38" spans="2:19">
      <c r="B38" s="1196"/>
      <c r="C38" s="1042"/>
      <c r="D38" s="1205" t="s">
        <v>239</v>
      </c>
      <c r="E38" s="1571">
        <v>4.0000000000000001E-3</v>
      </c>
      <c r="F38" s="1571"/>
      <c r="G38" s="1206">
        <f>$H$17+E38</f>
        <v>6.2899999999999998E-2</v>
      </c>
      <c r="H38" s="1207">
        <f>ROUNDUP(IF($H$14="Principal and Interest",PMT(G38/12,360,-$G$10),IF($H$14="Interest in Advance",$G$10*G38,$G$10*G38/12)),0)</f>
        <v>0</v>
      </c>
      <c r="I38" s="1208">
        <f>H38-$H$27</f>
        <v>0</v>
      </c>
      <c r="J38" s="1208">
        <f>IF($H$14="Interest in Advance", I38*$H$12, I38*$H$12*12)</f>
        <v>0</v>
      </c>
      <c r="K38" s="1222">
        <f>IF($H$14="Interest in Advance", I38*$H$12, I38*$H$12*12)-$H$19</f>
        <v>0</v>
      </c>
      <c r="L38" s="1043"/>
      <c r="M38" s="1199"/>
    </row>
    <row r="39" spans="2:19" ht="8.5" customHeight="1">
      <c r="B39" s="1196"/>
      <c r="C39" s="1180"/>
      <c r="D39" s="1181"/>
      <c r="E39" s="1181"/>
      <c r="F39" s="1181"/>
      <c r="G39" s="1181"/>
      <c r="H39" s="1181"/>
      <c r="I39" s="1181"/>
      <c r="J39" s="1181"/>
      <c r="K39" s="1181"/>
      <c r="L39" s="1182"/>
      <c r="M39" s="1199"/>
    </row>
    <row r="40" spans="2:19" ht="5.25" customHeight="1">
      <c r="B40" s="1196"/>
      <c r="C40" s="1198"/>
      <c r="D40" s="1198"/>
      <c r="E40" s="1198"/>
      <c r="F40" s="1198"/>
      <c r="G40" s="1198"/>
      <c r="H40" s="1198"/>
      <c r="I40" s="1198"/>
      <c r="J40" s="1198"/>
      <c r="K40" s="1198"/>
      <c r="L40" s="1198"/>
      <c r="M40" s="1199"/>
    </row>
    <row r="41" spans="2:19" ht="17.25" customHeight="1">
      <c r="B41" s="1196"/>
      <c r="C41" s="1204" t="s">
        <v>8084</v>
      </c>
      <c r="D41" s="1204"/>
      <c r="E41" s="1204"/>
      <c r="F41" s="1204"/>
      <c r="G41" s="1200"/>
      <c r="H41" s="1200"/>
      <c r="I41" s="1200"/>
      <c r="J41" s="1200"/>
      <c r="K41" s="1200"/>
      <c r="L41" s="1200"/>
      <c r="M41" s="1199"/>
      <c r="S41" s="357"/>
    </row>
    <row r="42" spans="2:19" ht="4.5" customHeight="1">
      <c r="B42" s="1196"/>
      <c r="C42" s="1198"/>
      <c r="D42" s="1198"/>
      <c r="E42" s="1198"/>
      <c r="F42" s="1198"/>
      <c r="G42" s="1198"/>
      <c r="H42" s="1198"/>
      <c r="I42" s="1198"/>
      <c r="J42" s="1198"/>
      <c r="K42" s="1198"/>
      <c r="L42" s="1198"/>
      <c r="M42" s="1199"/>
    </row>
    <row r="43" spans="2:19" ht="5.25" customHeight="1">
      <c r="B43" s="1196"/>
      <c r="C43" s="1177"/>
      <c r="D43" s="1178"/>
      <c r="E43" s="1178"/>
      <c r="F43" s="1178"/>
      <c r="G43" s="1178"/>
      <c r="H43" s="1178"/>
      <c r="I43" s="1178"/>
      <c r="J43" s="1178"/>
      <c r="K43" s="1178"/>
      <c r="L43" s="1179"/>
      <c r="M43" s="1199"/>
    </row>
    <row r="44" spans="2:19" ht="17.25" customHeight="1">
      <c r="B44" s="1196"/>
      <c r="C44" s="1183"/>
      <c r="D44" s="1217" t="s">
        <v>8085</v>
      </c>
      <c r="E44" s="1171"/>
      <c r="F44" s="1171"/>
      <c r="G44" s="1172"/>
      <c r="H44" s="1173"/>
      <c r="I44" s="1173"/>
      <c r="J44" s="1173"/>
      <c r="K44" s="1306">
        <f>IF($H$14="Interest in Advance", I44*$H$12, I44*$H$12*12)-$H$19</f>
        <v>0</v>
      </c>
      <c r="L44" s="1043"/>
      <c r="M44" s="1199"/>
    </row>
    <row r="45" spans="2:19" ht="5.25" customHeight="1">
      <c r="B45" s="1196"/>
      <c r="C45" s="1180"/>
      <c r="D45" s="1181"/>
      <c r="E45" s="1181"/>
      <c r="F45" s="1181"/>
      <c r="G45" s="1181"/>
      <c r="H45" s="1181"/>
      <c r="I45" s="1181"/>
      <c r="J45" s="1181"/>
      <c r="K45" s="1181"/>
      <c r="L45" s="1182"/>
      <c r="M45" s="1199"/>
    </row>
    <row r="46" spans="2:19" ht="5.25" customHeight="1">
      <c r="B46" s="1196"/>
      <c r="C46" s="1198"/>
      <c r="D46" s="1198"/>
      <c r="E46" s="1198"/>
      <c r="F46" s="1198"/>
      <c r="G46" s="1198"/>
      <c r="H46" s="1198"/>
      <c r="I46" s="1198"/>
      <c r="J46" s="1198"/>
      <c r="K46" s="1198"/>
      <c r="L46" s="1198"/>
      <c r="M46" s="1199"/>
    </row>
    <row r="47" spans="2:19" ht="4.5" customHeight="1">
      <c r="B47" s="1196"/>
      <c r="C47" s="1198"/>
      <c r="D47" s="1198"/>
      <c r="E47" s="1198"/>
      <c r="F47" s="1198"/>
      <c r="G47" s="1198"/>
      <c r="H47" s="1198"/>
      <c r="I47" s="1198"/>
      <c r="J47" s="1198"/>
      <c r="K47" s="1198"/>
      <c r="L47" s="1198"/>
      <c r="M47" s="1199"/>
    </row>
    <row r="48" spans="2:19" ht="5.25" customHeight="1">
      <c r="B48" s="1196"/>
      <c r="C48" s="1177"/>
      <c r="D48" s="1178"/>
      <c r="E48" s="1178"/>
      <c r="F48" s="1178"/>
      <c r="G48" s="1178"/>
      <c r="H48" s="1178"/>
      <c r="I48" s="1178"/>
      <c r="J48" s="1178"/>
      <c r="K48" s="1178"/>
      <c r="L48" s="1179"/>
      <c r="M48" s="1199"/>
    </row>
    <row r="49" spans="2:31" ht="23.25" customHeight="1">
      <c r="B49" s="1196"/>
      <c r="C49" s="1184"/>
      <c r="D49" s="1174" t="s">
        <v>8086</v>
      </c>
      <c r="E49" s="1175"/>
      <c r="F49" s="1175"/>
      <c r="G49" s="1175"/>
      <c r="H49" s="1175"/>
      <c r="I49" s="1176"/>
      <c r="J49" s="1176"/>
      <c r="K49" s="1176"/>
      <c r="L49" s="1185"/>
      <c r="M49" s="1199"/>
      <c r="AB49" s="350"/>
      <c r="AC49" s="350"/>
      <c r="AE49" s="350"/>
    </row>
    <row r="50" spans="2:31" ht="18.75" customHeight="1">
      <c r="B50" s="1196"/>
      <c r="C50" s="1183"/>
      <c r="D50" s="1189" t="str">
        <f ca="1">"Interest rates are current as at "&amp;TEXT(TODAY(),"dd/mm/yyyy")&amp;" are subject to change"</f>
        <v>Interest rates are current as at 03/06/2025 are subject to change</v>
      </c>
      <c r="E50" s="1219"/>
      <c r="F50" s="1218"/>
      <c r="G50" s="1220"/>
      <c r="H50" s="1221"/>
      <c r="I50" s="1221"/>
      <c r="J50" s="1221"/>
      <c r="K50" s="1221"/>
      <c r="L50" s="1043"/>
      <c r="M50" s="1199"/>
    </row>
    <row r="51" spans="2:31" ht="288" customHeight="1">
      <c r="B51" s="1196"/>
      <c r="C51" s="1180"/>
      <c r="D51" s="1572" t="s">
        <v>8087</v>
      </c>
      <c r="E51" s="1572"/>
      <c r="F51" s="1572"/>
      <c r="G51" s="1572"/>
      <c r="H51" s="1572"/>
      <c r="I51" s="1572"/>
      <c r="J51" s="1572"/>
      <c r="K51" s="1572"/>
      <c r="L51" s="1048"/>
      <c r="M51" s="1199"/>
    </row>
    <row r="52" spans="2:31" ht="11.25" customHeight="1">
      <c r="B52" s="1197"/>
      <c r="C52" s="1202"/>
      <c r="D52" s="1202"/>
      <c r="E52" s="1202"/>
      <c r="F52" s="1202"/>
      <c r="G52" s="1202"/>
      <c r="H52" s="1202"/>
      <c r="I52" s="1202"/>
      <c r="J52" s="1202"/>
      <c r="K52" s="1202"/>
      <c r="L52" s="1203" t="str">
        <f>ML_CALC_VERSION</f>
        <v>HL_Calc_V54_250405</v>
      </c>
      <c r="M52" s="1201"/>
      <c r="AB52" s="350"/>
      <c r="AC52" s="350"/>
      <c r="AE52" s="350"/>
    </row>
    <row r="120" spans="39:42">
      <c r="AM120">
        <v>0</v>
      </c>
      <c r="AN120">
        <v>443980.55675444897</v>
      </c>
      <c r="AO120" t="b">
        <v>0</v>
      </c>
      <c r="AP120" t="b">
        <v>0</v>
      </c>
    </row>
    <row r="126" spans="39:42">
      <c r="AN126">
        <v>0</v>
      </c>
      <c r="AP126" t="b">
        <v>0</v>
      </c>
    </row>
    <row r="130" spans="40:42">
      <c r="AN130">
        <v>333663.40171675902</v>
      </c>
      <c r="AP130" t="b">
        <v>1</v>
      </c>
    </row>
    <row r="131" spans="40:42">
      <c r="AN131">
        <v>188098.667590486</v>
      </c>
      <c r="AP131" t="b">
        <v>0</v>
      </c>
    </row>
    <row r="134" spans="40:42">
      <c r="AN134">
        <v>1225.8567635696099</v>
      </c>
      <c r="AP134" t="b">
        <v>1</v>
      </c>
    </row>
    <row r="136" spans="40:42">
      <c r="AN136">
        <v>706970.57065663103</v>
      </c>
      <c r="AP136" t="b">
        <v>1</v>
      </c>
    </row>
    <row r="150" spans="40:42">
      <c r="AN150">
        <v>1565874.4767638801</v>
      </c>
      <c r="AP150" t="b">
        <v>0</v>
      </c>
    </row>
    <row r="165" spans="40:42">
      <c r="AN165">
        <v>0</v>
      </c>
      <c r="AP165" t="b">
        <v>1</v>
      </c>
    </row>
    <row r="175" spans="40:42">
      <c r="AN175">
        <v>2170053.5048541999</v>
      </c>
      <c r="AP175" t="b">
        <v>1</v>
      </c>
    </row>
  </sheetData>
  <protectedRanges>
    <protectedRange sqref="H45:H46 H19:H22 H24 H28:H30 H32 H39:H41 H43 H48:H49 H12:H15 G10 K10" name="Range1_1"/>
  </protectedRanges>
  <mergeCells count="14">
    <mergeCell ref="E38:F38"/>
    <mergeCell ref="D51:K51"/>
    <mergeCell ref="D15:G15"/>
    <mergeCell ref="E33:F33"/>
    <mergeCell ref="E34:F34"/>
    <mergeCell ref="E35:F35"/>
    <mergeCell ref="E36:F36"/>
    <mergeCell ref="E37:F37"/>
    <mergeCell ref="C5:K5"/>
    <mergeCell ref="D14:G14"/>
    <mergeCell ref="C7:I7"/>
    <mergeCell ref="K7:L7"/>
    <mergeCell ref="D12:G12"/>
    <mergeCell ref="D13:G13"/>
  </mergeCells>
  <conditionalFormatting sqref="K34:K38">
    <cfRule type="cellIs" dxfId="8" priority="1" operator="lessThan">
      <formula>0</formula>
    </cfRule>
    <cfRule type="cellIs" dxfId="7" priority="3" operator="greaterThan">
      <formula>0</formula>
    </cfRule>
  </conditionalFormatting>
  <conditionalFormatting sqref="J10:K10">
    <cfRule type="expression" dxfId="6" priority="2">
      <formula>$I$10=FALSE</formula>
    </cfRule>
  </conditionalFormatting>
  <pageMargins left="0" right="0" top="0" bottom="0" header="0" footer="0"/>
  <pageSetup scale="73"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C8863-8FB0-400A-A629-F37AD9591AA3}">
  <sheetPr codeName="Sheet121">
    <pageSetUpPr autoPageBreaks="0" fitToPage="1"/>
  </sheetPr>
  <dimension ref="A1:AP175"/>
  <sheetViews>
    <sheetView showGridLines="0" showRowColHeaders="0" zoomScaleNormal="100" workbookViewId="0">
      <selection activeCell="F9" sqref="F9"/>
    </sheetView>
  </sheetViews>
  <sheetFormatPr baseColWidth="10" defaultColWidth="9" defaultRowHeight="13"/>
  <cols>
    <col min="1" max="2" width="0.83203125" style="356" customWidth="1"/>
    <col min="3" max="3" width="2.5" style="356" customWidth="1"/>
    <col min="4" max="4" width="20.1640625" style="356" customWidth="1"/>
    <col min="5" max="5" width="3.1640625" style="356" customWidth="1"/>
    <col min="6" max="6" width="17.6640625" style="356" customWidth="1"/>
    <col min="7" max="7" width="1.83203125" style="356" customWidth="1"/>
    <col min="8" max="8" width="4.6640625" style="356" customWidth="1"/>
    <col min="9" max="9" width="4.1640625" style="356" customWidth="1"/>
    <col min="10" max="10" width="1.1640625" style="356" customWidth="1"/>
    <col min="11" max="11" width="2.6640625" style="356" customWidth="1"/>
    <col min="12" max="13" width="2.5" style="356" customWidth="1"/>
    <col min="14" max="14" width="8.1640625" style="356" customWidth="1"/>
    <col min="15" max="15" width="8.33203125" style="362" customWidth="1"/>
    <col min="16" max="16" width="11.6640625" style="356" customWidth="1"/>
    <col min="17" max="17" width="10.1640625" style="356" customWidth="1"/>
    <col min="18" max="18" width="12.1640625" style="356" customWidth="1"/>
    <col min="19" max="19" width="11.83203125" style="356" customWidth="1"/>
    <col min="20" max="20" width="14.6640625" style="356" customWidth="1"/>
    <col min="21" max="21" width="11.6640625" style="356" customWidth="1"/>
    <col min="22" max="22" width="9.6640625" style="356" customWidth="1"/>
    <col min="23" max="23" width="2.6640625" style="356" customWidth="1"/>
    <col min="24" max="24" width="0.83203125" style="356" customWidth="1"/>
    <col min="25" max="38" width="9" style="356"/>
    <col min="39" max="42" width="0" style="356" hidden="1" customWidth="1"/>
    <col min="43" max="16384" width="9" style="356"/>
  </cols>
  <sheetData>
    <row r="1" spans="1:24" ht="5.25" customHeight="1">
      <c r="A1" s="40"/>
      <c r="B1" s="40"/>
      <c r="C1" s="40"/>
      <c r="D1" s="40"/>
      <c r="E1" s="40"/>
      <c r="F1" s="40"/>
      <c r="G1" s="40"/>
      <c r="H1" s="40"/>
      <c r="I1" s="40"/>
      <c r="J1" s="40"/>
      <c r="K1" s="40"/>
      <c r="L1" s="40"/>
      <c r="M1" s="40"/>
      <c r="N1" s="40"/>
      <c r="O1" s="359"/>
      <c r="P1" s="40"/>
      <c r="Q1" s="40"/>
      <c r="R1" s="40"/>
      <c r="S1" s="40"/>
      <c r="T1" s="40"/>
      <c r="U1" s="40"/>
      <c r="V1" s="40"/>
      <c r="W1" s="40"/>
      <c r="X1" s="40"/>
    </row>
    <row r="2" spans="1:24" ht="5.25" customHeight="1">
      <c r="A2" s="1144"/>
      <c r="B2" s="1145"/>
      <c r="C2" s="952"/>
      <c r="D2" s="952"/>
      <c r="E2" s="952"/>
      <c r="F2" s="952"/>
      <c r="G2" s="952"/>
      <c r="H2" s="952"/>
      <c r="I2" s="952"/>
      <c r="J2" s="952"/>
      <c r="K2" s="952"/>
      <c r="L2" s="952"/>
      <c r="M2" s="952"/>
      <c r="N2" s="952"/>
      <c r="O2" s="1146"/>
      <c r="P2" s="952"/>
      <c r="Q2" s="952"/>
      <c r="R2" s="952"/>
      <c r="S2" s="952"/>
      <c r="T2" s="952"/>
      <c r="U2" s="952"/>
      <c r="V2" s="952"/>
      <c r="W2" s="952"/>
      <c r="X2" s="1083"/>
    </row>
    <row r="3" spans="1:24" s="40" customFormat="1" ht="30.75" customHeight="1">
      <c r="A3" s="1117"/>
      <c r="B3" s="1086"/>
      <c r="C3" s="1574" t="s">
        <v>8091</v>
      </c>
      <c r="D3" s="1574"/>
      <c r="E3" s="1574"/>
      <c r="F3" s="1574"/>
      <c r="G3" s="1574"/>
      <c r="H3" s="1574"/>
      <c r="I3" s="1574"/>
      <c r="J3" s="1574"/>
      <c r="K3" s="1574"/>
      <c r="L3" s="1574"/>
      <c r="M3" s="1574"/>
      <c r="N3" s="1574"/>
      <c r="O3" s="1574"/>
      <c r="P3" s="1574"/>
      <c r="Q3" s="1574"/>
      <c r="R3" s="1574"/>
      <c r="S3" s="1574"/>
      <c r="T3" s="1574"/>
      <c r="U3" s="1574"/>
      <c r="V3" s="1574"/>
      <c r="W3" s="1574"/>
      <c r="X3" s="1082"/>
    </row>
    <row r="4" spans="1:24" s="40" customFormat="1" ht="8.25" customHeight="1">
      <c r="A4" s="1147"/>
      <c r="B4" s="1086"/>
      <c r="C4" s="893"/>
      <c r="D4" s="893"/>
      <c r="E4" s="893"/>
      <c r="F4" s="893"/>
      <c r="G4" s="893"/>
      <c r="H4" s="893"/>
      <c r="I4" s="893"/>
      <c r="J4" s="893"/>
      <c r="K4" s="893"/>
      <c r="L4" s="893"/>
      <c r="M4" s="893"/>
      <c r="N4" s="893"/>
      <c r="O4" s="1148"/>
      <c r="P4" s="893"/>
      <c r="Q4" s="893"/>
      <c r="R4" s="893"/>
      <c r="S4" s="893"/>
      <c r="T4" s="893"/>
      <c r="U4" s="893"/>
      <c r="V4" s="893"/>
      <c r="W4" s="893"/>
      <c r="X4" s="1082"/>
    </row>
    <row r="5" spans="1:24" s="40" customFormat="1" ht="11.25" customHeight="1">
      <c r="A5" s="1147"/>
      <c r="B5" s="1086"/>
      <c r="C5" s="893"/>
      <c r="D5" s="893"/>
      <c r="E5" s="893"/>
      <c r="F5" s="893"/>
      <c r="G5" s="893"/>
      <c r="H5" s="893"/>
      <c r="I5" s="893"/>
      <c r="J5" s="893"/>
      <c r="K5" s="893"/>
      <c r="L5" s="893"/>
      <c r="M5" s="893"/>
      <c r="N5" s="893"/>
      <c r="O5" s="1148"/>
      <c r="P5" s="893"/>
      <c r="Q5" s="893"/>
      <c r="R5" s="893"/>
      <c r="S5" s="893"/>
      <c r="T5" s="893"/>
      <c r="U5" s="893"/>
      <c r="V5" s="893"/>
      <c r="W5" s="893"/>
      <c r="X5" s="1082"/>
    </row>
    <row r="6" spans="1:24" s="40" customFormat="1" ht="17.25" customHeight="1">
      <c r="A6" s="1147"/>
      <c r="B6" s="1086"/>
      <c r="C6" s="1149">
        <v>1</v>
      </c>
      <c r="D6" s="1575" t="s">
        <v>8092</v>
      </c>
      <c r="E6" s="1575"/>
      <c r="F6" s="1575"/>
      <c r="G6" s="1575"/>
      <c r="H6" s="1575"/>
      <c r="I6" s="1575"/>
      <c r="J6" s="1575"/>
      <c r="K6" s="1084"/>
      <c r="L6" s="1149">
        <v>2</v>
      </c>
      <c r="M6" s="1575" t="s">
        <v>8093</v>
      </c>
      <c r="N6" s="1575"/>
      <c r="O6" s="1575"/>
      <c r="P6" s="1575"/>
      <c r="Q6" s="1575"/>
      <c r="R6" s="1575"/>
      <c r="S6" s="1575"/>
      <c r="T6" s="1575"/>
      <c r="U6" s="1575"/>
      <c r="V6" s="1575"/>
      <c r="W6" s="1084"/>
      <c r="X6" s="1082"/>
    </row>
    <row r="7" spans="1:24" s="40" customFormat="1" ht="5.25" customHeight="1">
      <c r="A7" s="1147"/>
      <c r="B7" s="1086"/>
      <c r="C7" s="893"/>
      <c r="D7" s="893"/>
      <c r="E7" s="893"/>
      <c r="F7" s="893"/>
      <c r="G7" s="893"/>
      <c r="H7" s="893"/>
      <c r="I7" s="893"/>
      <c r="J7" s="893"/>
      <c r="K7" s="893"/>
      <c r="L7" s="1079"/>
      <c r="M7" s="893"/>
      <c r="N7" s="893"/>
      <c r="O7" s="1148"/>
      <c r="P7" s="893"/>
      <c r="Q7" s="893"/>
      <c r="R7" s="893"/>
      <c r="S7" s="893"/>
      <c r="T7" s="893"/>
      <c r="U7" s="893"/>
      <c r="V7" s="893"/>
      <c r="W7" s="893"/>
      <c r="X7" s="1082"/>
    </row>
    <row r="8" spans="1:24" s="40" customFormat="1" ht="6.75" customHeight="1">
      <c r="A8" s="1147"/>
      <c r="B8" s="1086"/>
      <c r="C8" s="1080"/>
      <c r="D8" s="825"/>
      <c r="E8" s="825"/>
      <c r="F8" s="825"/>
      <c r="G8" s="825"/>
      <c r="H8" s="825"/>
      <c r="I8" s="825"/>
      <c r="J8" s="947"/>
      <c r="K8" s="893"/>
      <c r="L8" s="1080"/>
      <c r="M8" s="825"/>
      <c r="N8" s="825"/>
      <c r="O8" s="1091"/>
      <c r="P8" s="825"/>
      <c r="Q8" s="825"/>
      <c r="R8" s="825"/>
      <c r="S8" s="825"/>
      <c r="T8" s="825"/>
      <c r="U8" s="825"/>
      <c r="V8" s="825"/>
      <c r="W8" s="947"/>
      <c r="X8" s="1082"/>
    </row>
    <row r="9" spans="1:24" s="40" customFormat="1" ht="15">
      <c r="A9" s="1147"/>
      <c r="B9" s="1086"/>
      <c r="C9" s="1081"/>
      <c r="D9" s="1066" t="s">
        <v>8094</v>
      </c>
      <c r="E9" s="1116" t="s">
        <v>239</v>
      </c>
      <c r="F9" s="1073">
        <v>0</v>
      </c>
      <c r="G9" s="864"/>
      <c r="J9" s="901"/>
      <c r="K9" s="893"/>
      <c r="L9" s="1092"/>
      <c r="M9" s="1035"/>
      <c r="N9" s="1576" t="s">
        <v>8095</v>
      </c>
      <c r="O9" s="359"/>
      <c r="P9" s="1577" t="s">
        <v>8096</v>
      </c>
      <c r="Q9" s="1577" t="s">
        <v>8097</v>
      </c>
      <c r="R9" s="1577" t="s">
        <v>8098</v>
      </c>
      <c r="S9" s="1577" t="s">
        <v>8099</v>
      </c>
      <c r="T9" s="1577" t="s">
        <v>8100</v>
      </c>
      <c r="U9" s="1577" t="s">
        <v>8101</v>
      </c>
      <c r="V9" s="1577" t="s">
        <v>8102</v>
      </c>
      <c r="W9" s="901"/>
      <c r="X9" s="1082"/>
    </row>
    <row r="10" spans="1:24" s="40" customFormat="1" ht="15">
      <c r="A10" s="1150">
        <v>1</v>
      </c>
      <c r="B10" s="1086"/>
      <c r="C10" s="1081"/>
      <c r="D10" s="1066" t="s">
        <v>8103</v>
      </c>
      <c r="E10" s="1077" t="s">
        <v>8104</v>
      </c>
      <c r="F10" s="1073">
        <v>0</v>
      </c>
      <c r="G10" s="864"/>
      <c r="H10" s="1035"/>
      <c r="I10" s="360"/>
      <c r="J10" s="901"/>
      <c r="K10" s="893"/>
      <c r="L10" s="1092"/>
      <c r="M10" s="1035"/>
      <c r="N10" s="1576"/>
      <c r="O10" s="1129">
        <v>1</v>
      </c>
      <c r="P10" s="1578"/>
      <c r="Q10" s="1578"/>
      <c r="R10" s="1578"/>
      <c r="S10" s="1578"/>
      <c r="T10" s="1578"/>
      <c r="U10" s="1578"/>
      <c r="V10" s="1578"/>
      <c r="W10" s="901"/>
      <c r="X10" s="1082"/>
    </row>
    <row r="11" spans="1:24" s="40" customFormat="1" ht="15">
      <c r="A11" s="1150"/>
      <c r="B11" s="1086"/>
      <c r="C11" s="1081"/>
      <c r="D11" s="1066" t="s">
        <v>8098</v>
      </c>
      <c r="E11" s="1116" t="s">
        <v>239</v>
      </c>
      <c r="F11" s="1073">
        <v>0</v>
      </c>
      <c r="G11" s="864"/>
      <c r="J11" s="901"/>
      <c r="K11" s="893"/>
      <c r="L11" s="1092"/>
      <c r="M11" s="1133"/>
      <c r="N11" s="1134" t="b">
        <v>1</v>
      </c>
      <c r="O11" s="1135" t="s">
        <v>8130</v>
      </c>
      <c r="P11" s="1136" t="s">
        <v>8129</v>
      </c>
      <c r="Q11" s="957"/>
      <c r="R11" s="957"/>
      <c r="S11" s="1134">
        <f>IF(CL2_PP1&gt;0,1,IF(CL2_PP2&gt;0,2,IF(CL2_PP3&gt;0,3,IF(CL2_PP4&gt;0,4,IF(CL2_PP5&gt;0,5,6)))))</f>
        <v>6</v>
      </c>
      <c r="T11" s="1137"/>
      <c r="U11" s="957"/>
      <c r="V11" s="957"/>
      <c r="W11" s="901"/>
      <c r="X11" s="1082"/>
    </row>
    <row r="12" spans="1:24" s="40" customFormat="1" ht="15">
      <c r="A12" s="1150"/>
      <c r="B12" s="1086"/>
      <c r="C12" s="1081"/>
      <c r="D12" s="1066" t="s">
        <v>234</v>
      </c>
      <c r="E12" s="1116" t="s">
        <v>239</v>
      </c>
      <c r="F12" s="1073">
        <v>0</v>
      </c>
      <c r="G12" s="864"/>
      <c r="J12" s="901"/>
      <c r="K12" s="893"/>
      <c r="L12" s="1092"/>
      <c r="M12" s="1035"/>
      <c r="N12" s="1066" t="s">
        <v>8105</v>
      </c>
      <c r="O12" s="1334">
        <v>0.05</v>
      </c>
      <c r="P12" s="1434">
        <f>CL1_vContract*PP_P1</f>
        <v>0</v>
      </c>
      <c r="Q12" s="1093">
        <f>IF(CL1_vCustCont&gt;=PP_D1,PP_D1,CL1_vCustCont)</f>
        <v>0</v>
      </c>
      <c r="R12" s="1128"/>
      <c r="S12" s="1094">
        <f>PP_D1-Q12</f>
        <v>0</v>
      </c>
      <c r="T12" s="1095">
        <f>F13-CL1_LMI-S12-PP_FB1</f>
        <v>0</v>
      </c>
      <c r="U12" s="1095">
        <f>IFERROR(SUM(P_A3,0),0)+PP_FB1+CL2_PP1+0</f>
        <v>0</v>
      </c>
      <c r="V12" s="1096">
        <f t="shared" ref="V12:V17" si="0">U12*$F$19/12</f>
        <v>0</v>
      </c>
      <c r="W12" s="901"/>
      <c r="X12" s="1082"/>
    </row>
    <row r="13" spans="1:24" s="40" customFormat="1" ht="15">
      <c r="A13" s="1150"/>
      <c r="B13" s="1086"/>
      <c r="C13" s="1081"/>
      <c r="D13" s="1124" t="s">
        <v>8106</v>
      </c>
      <c r="E13" s="1125"/>
      <c r="F13" s="1126">
        <f>CL1_vContract-CL1_vCustCont+CL1_vAddBorrow+F12</f>
        <v>0</v>
      </c>
      <c r="G13" s="864"/>
      <c r="J13" s="901"/>
      <c r="K13" s="893"/>
      <c r="L13" s="1092"/>
      <c r="M13" s="1035"/>
      <c r="N13" s="1066" t="s">
        <v>8107</v>
      </c>
      <c r="O13" s="1334">
        <v>0.1</v>
      </c>
      <c r="P13" s="1434">
        <f>CL1_vContract*PP_P2</f>
        <v>0</v>
      </c>
      <c r="Q13" s="1093">
        <f>IF(CL1_vCustCont-SUM(PP_CC1:PP_CC1)&gt;=PP_D2,PP_D2,CL1_vCustCont-SUM(PP_CC1:PP_CC1))</f>
        <v>0</v>
      </c>
      <c r="R13" s="1128"/>
      <c r="S13" s="1094">
        <f>PP_D2-PP_CC2</f>
        <v>0</v>
      </c>
      <c r="T13" s="1096">
        <f>T12-S13-PP_FB2</f>
        <v>0</v>
      </c>
      <c r="U13" s="1096">
        <f>U12+CL2_PP2+PP_FB2+0</f>
        <v>0</v>
      </c>
      <c r="V13" s="1096">
        <f t="shared" si="0"/>
        <v>0</v>
      </c>
      <c r="W13" s="901"/>
      <c r="X13" s="1082"/>
    </row>
    <row r="14" spans="1:24" s="40" customFormat="1" ht="15" customHeight="1">
      <c r="A14" s="1150"/>
      <c r="B14" s="1086"/>
      <c r="C14" s="1081"/>
      <c r="G14" s="834"/>
      <c r="H14" s="834"/>
      <c r="I14" s="834"/>
      <c r="J14" s="901"/>
      <c r="K14" s="893"/>
      <c r="L14" s="1092"/>
      <c r="M14" s="1035"/>
      <c r="N14" s="1066" t="s">
        <v>8108</v>
      </c>
      <c r="O14" s="1334">
        <v>0.15</v>
      </c>
      <c r="P14" s="1434">
        <f>CL1_vContract*PP_P3</f>
        <v>0</v>
      </c>
      <c r="Q14" s="1093">
        <f>IF(CL1_vCustCont-SUM(PP_CC1:PP_CC2)&gt;=PP_D3,PP_D3,CL1_vCustCont-SUM(PP_CC1:PP_CC2))</f>
        <v>0</v>
      </c>
      <c r="R14" s="1128"/>
      <c r="S14" s="1094">
        <f>PP_D3-PP_CC3</f>
        <v>0</v>
      </c>
      <c r="T14" s="1096">
        <f>T13-S14-PP_FB3</f>
        <v>0</v>
      </c>
      <c r="U14" s="1096">
        <f>U13+CL2_PP3+PP_FB3+0</f>
        <v>0</v>
      </c>
      <c r="V14" s="1096">
        <f t="shared" si="0"/>
        <v>0</v>
      </c>
      <c r="W14" s="901"/>
      <c r="X14" s="1082"/>
    </row>
    <row r="15" spans="1:24" s="40" customFormat="1" ht="15" customHeight="1">
      <c r="A15" s="1151"/>
      <c r="B15" s="1086"/>
      <c r="C15" s="1117"/>
      <c r="D15" s="1118" t="s">
        <v>8109</v>
      </c>
      <c r="E15" s="356"/>
      <c r="F15" s="363" t="b">
        <v>0</v>
      </c>
      <c r="J15" s="1119"/>
      <c r="K15" s="893"/>
      <c r="L15" s="1092"/>
      <c r="M15" s="1035"/>
      <c r="N15" s="1066" t="s">
        <v>8110</v>
      </c>
      <c r="O15" s="1334">
        <v>0.35</v>
      </c>
      <c r="P15" s="1434">
        <f>CL1_vContract*PP_P4</f>
        <v>0</v>
      </c>
      <c r="Q15" s="1093">
        <f>IF(CL1_vCustCont-SUM(PP_CC1:PP_CC3)&gt;=PP_D4,PP_D4,CL1_vCustCont-SUM(PP_CC1:PP_CC3))</f>
        <v>0</v>
      </c>
      <c r="R15" s="1128"/>
      <c r="S15" s="1094">
        <f>PP_D4-PP_CC4</f>
        <v>0</v>
      </c>
      <c r="T15" s="1096">
        <f>T14-S15-PP_FB4</f>
        <v>0</v>
      </c>
      <c r="U15" s="1096">
        <f>U14+CL2_PP4+PP_FB4+0</f>
        <v>0</v>
      </c>
      <c r="V15" s="1096">
        <f t="shared" si="0"/>
        <v>0</v>
      </c>
      <c r="W15" s="901"/>
      <c r="X15" s="1082"/>
    </row>
    <row r="16" spans="1:24" ht="15" customHeight="1">
      <c r="A16" s="1151"/>
      <c r="B16" s="1086"/>
      <c r="C16" s="1097"/>
      <c r="D16" s="1120" t="s">
        <v>8174</v>
      </c>
      <c r="F16" s="363" t="b">
        <v>0</v>
      </c>
      <c r="J16" s="1121"/>
      <c r="K16" s="1087"/>
      <c r="L16" s="1092"/>
      <c r="M16" s="1035"/>
      <c r="N16" s="1066" t="s">
        <v>8111</v>
      </c>
      <c r="O16" s="1333">
        <v>0.25</v>
      </c>
      <c r="P16" s="1434">
        <f>CL1_vContract*PP_P5</f>
        <v>0</v>
      </c>
      <c r="Q16" s="1093">
        <f>IF(CL1_vCustCont-SUM(PP_CC1:PP_CC4)&gt;=PP_D5,PP_D5,CL1_vCustCont-SUM(PP_CC1:PP_CC4))</f>
        <v>0</v>
      </c>
      <c r="R16" s="1128"/>
      <c r="S16" s="1094">
        <f>PP_D5-PP_CC5</f>
        <v>0</v>
      </c>
      <c r="T16" s="1096">
        <f>T15-S16-PP_FB5</f>
        <v>0</v>
      </c>
      <c r="U16" s="1096">
        <f>U15+CL2_PP5+PP_FB5+0</f>
        <v>0</v>
      </c>
      <c r="V16" s="1096">
        <f t="shared" si="0"/>
        <v>0</v>
      </c>
      <c r="W16" s="901"/>
      <c r="X16" s="1152"/>
    </row>
    <row r="17" spans="1:24" ht="15" customHeight="1">
      <c r="A17" s="1150"/>
      <c r="B17" s="1086"/>
      <c r="C17" s="1097"/>
      <c r="J17" s="1121"/>
      <c r="K17" s="1087"/>
      <c r="L17" s="1097"/>
      <c r="M17" s="1105"/>
      <c r="N17" s="1138" t="s">
        <v>8112</v>
      </c>
      <c r="O17" s="1139">
        <f>1-SUM(O12:O16)</f>
        <v>9.9999999999999978E-2</v>
      </c>
      <c r="P17" s="1140">
        <f>CL1_vContract-SUM(P12:P16)</f>
        <v>0</v>
      </c>
      <c r="Q17" s="1141">
        <f>IF(CL1_vCustCont-SUM(PP_CC1:PP_CC5)&gt;=PP_D6,PP_D6,CL1_vCustCont-SUM(PP_CC1:PP_CC5))</f>
        <v>0</v>
      </c>
      <c r="R17" s="1142">
        <f>MAX(CL1_vAddBorrow-SUM(R12:R16),0)</f>
        <v>0</v>
      </c>
      <c r="S17" s="1143">
        <f>PP_D6-PP_CC6</f>
        <v>0</v>
      </c>
      <c r="T17" s="1142">
        <f>ROUND(T16-S17-PP_FB6,0)</f>
        <v>0</v>
      </c>
      <c r="U17" s="1142">
        <f>U16+CL2_PP6+PP_FB6+0</f>
        <v>0</v>
      </c>
      <c r="V17" s="1142">
        <f t="shared" si="0"/>
        <v>0</v>
      </c>
      <c r="W17" s="901"/>
      <c r="X17" s="1152"/>
    </row>
    <row r="18" spans="1:24" ht="15" customHeight="1">
      <c r="A18" s="1153"/>
      <c r="B18" s="1086"/>
      <c r="C18" s="1097"/>
      <c r="D18" s="1035"/>
      <c r="F18" s="1332"/>
      <c r="J18" s="1121"/>
      <c r="K18" s="1087"/>
      <c r="L18" s="1097"/>
      <c r="M18" s="1098"/>
      <c r="N18" s="1130" t="s">
        <v>21</v>
      </c>
      <c r="O18" s="1131">
        <f>SUM(O12:O17)</f>
        <v>1</v>
      </c>
      <c r="P18" s="1132">
        <f>SUM(P12:P17)</f>
        <v>0</v>
      </c>
      <c r="Q18" s="1095"/>
      <c r="R18" s="1095">
        <f>SUM(R12:R17)</f>
        <v>0</v>
      </c>
      <c r="S18" s="1095">
        <f>SUM(S12:S17)</f>
        <v>0</v>
      </c>
      <c r="T18" s="1099" t="str">
        <f>IF(T17&gt;0,"Surplus",IF(T17&lt;0,"Shortfall",""))&amp;" "&amp;TEXT(T17,"$0,#")</f>
        <v xml:space="preserve"> $0</v>
      </c>
      <c r="U18" s="1095">
        <f>F13+IFERROR(P_A3,0)</f>
        <v>0</v>
      </c>
      <c r="V18" s="1100"/>
      <c r="W18" s="901"/>
      <c r="X18" s="1152"/>
    </row>
    <row r="19" spans="1:24" ht="15" customHeight="1">
      <c r="A19" s="1153"/>
      <c r="B19" s="1090"/>
      <c r="C19" s="1097"/>
      <c r="D19" s="1066" t="s">
        <v>6318</v>
      </c>
      <c r="F19" s="1127"/>
      <c r="G19" s="1122">
        <f>F19*100</f>
        <v>0</v>
      </c>
      <c r="J19" s="1121"/>
      <c r="K19" s="1087"/>
      <c r="L19" s="1097"/>
      <c r="M19" s="1098"/>
      <c r="N19" s="1101"/>
      <c r="O19" s="356"/>
      <c r="R19" s="1102" t="str">
        <f>IF(CL1_vAddBorrow&lt;&gt;R18,"The sum of Additional Funds to Borrow values does not match.","")</f>
        <v/>
      </c>
      <c r="V19" s="1103"/>
      <c r="W19" s="901"/>
      <c r="X19" s="1152"/>
    </row>
    <row r="20" spans="1:24" ht="15" customHeight="1">
      <c r="A20" s="1153"/>
      <c r="B20" s="1087"/>
      <c r="C20" s="1097"/>
      <c r="D20" s="1035"/>
      <c r="F20" s="360"/>
      <c r="G20" s="1122"/>
      <c r="J20" s="1121"/>
      <c r="K20" s="1087"/>
      <c r="L20" s="1097"/>
      <c r="M20" s="1098"/>
      <c r="N20" s="1580" t="str">
        <f>IF(CL1_vContract&gt;2000000,"Please note contracts exceeding $2m will require a Quantity Surveyor (QS) report in addition to a Tentative on Completion (TOC) valuation. Please allow 10-15 business days for QS report completion.","")</f>
        <v/>
      </c>
      <c r="O20" s="1580"/>
      <c r="P20" s="1580"/>
      <c r="Q20" s="1580"/>
      <c r="R20" s="1580"/>
      <c r="S20" s="1580"/>
      <c r="T20" s="1580"/>
      <c r="U20" s="1580"/>
      <c r="V20" s="1580"/>
      <c r="W20" s="901"/>
      <c r="X20" s="1152"/>
    </row>
    <row r="21" spans="1:24" ht="10.5" customHeight="1">
      <c r="A21" s="1153"/>
      <c r="B21" s="1087"/>
      <c r="C21" s="1112"/>
      <c r="D21" s="1113"/>
      <c r="E21" s="1113"/>
      <c r="F21" s="1113"/>
      <c r="G21" s="1113"/>
      <c r="H21" s="1113"/>
      <c r="I21" s="1113"/>
      <c r="J21" s="1123"/>
      <c r="K21" s="1087"/>
      <c r="L21" s="1104"/>
      <c r="M21" s="1105"/>
      <c r="N21" s="1581"/>
      <c r="O21" s="1581"/>
      <c r="P21" s="1581"/>
      <c r="Q21" s="1581"/>
      <c r="R21" s="1581"/>
      <c r="S21" s="1581"/>
      <c r="T21" s="1581"/>
      <c r="U21" s="1581"/>
      <c r="V21" s="1581"/>
      <c r="W21" s="908"/>
      <c r="X21" s="1152"/>
    </row>
    <row r="22" spans="1:24" ht="11.25" customHeight="1">
      <c r="A22" s="1154"/>
      <c r="B22" s="1087"/>
      <c r="C22" s="1087"/>
      <c r="D22" s="1106"/>
      <c r="E22" s="1087"/>
      <c r="F22" s="1115"/>
      <c r="G22" s="1087"/>
      <c r="H22" s="1087"/>
      <c r="I22" s="1087"/>
      <c r="J22" s="1087"/>
      <c r="K22" s="1087"/>
      <c r="L22" s="1087"/>
      <c r="M22" s="1087"/>
      <c r="N22" s="1087"/>
      <c r="O22" s="1155"/>
      <c r="P22" s="1087"/>
      <c r="Q22" s="1087"/>
      <c r="R22" s="1087"/>
      <c r="S22" s="1087"/>
      <c r="T22" s="1087"/>
      <c r="U22" s="1087"/>
      <c r="V22" s="1087"/>
      <c r="W22" s="1087"/>
      <c r="X22" s="1152"/>
    </row>
    <row r="23" spans="1:24" ht="18" customHeight="1">
      <c r="A23" s="1154"/>
      <c r="B23" s="1087"/>
      <c r="C23" s="1149">
        <v>3</v>
      </c>
      <c r="D23" s="1575" t="s">
        <v>8113</v>
      </c>
      <c r="E23" s="1575"/>
      <c r="F23" s="1575"/>
      <c r="G23" s="1575"/>
      <c r="H23" s="1575"/>
      <c r="I23" s="1575"/>
      <c r="J23" s="1575"/>
      <c r="K23" s="1087"/>
      <c r="L23" s="893"/>
      <c r="M23" s="893"/>
      <c r="N23" s="893"/>
      <c r="O23" s="893"/>
      <c r="P23" s="893"/>
      <c r="Q23" s="893"/>
      <c r="R23" s="893"/>
      <c r="S23" s="1087"/>
      <c r="T23" s="1084"/>
      <c r="U23" s="1087"/>
      <c r="V23" s="1087"/>
      <c r="W23" s="1087"/>
      <c r="X23" s="1152"/>
    </row>
    <row r="24" spans="1:24" ht="7.5" customHeight="1">
      <c r="A24" s="1154"/>
      <c r="B24" s="1087"/>
      <c r="C24" s="1106"/>
      <c r="D24" s="1106"/>
      <c r="E24" s="1106"/>
      <c r="F24" s="1106"/>
      <c r="G24" s="1106"/>
      <c r="H24" s="1106"/>
      <c r="I24" s="1106"/>
      <c r="J24" s="1106"/>
      <c r="K24" s="1087"/>
      <c r="L24" s="893"/>
      <c r="M24" s="893"/>
      <c r="N24" s="893"/>
      <c r="O24" s="893"/>
      <c r="P24" s="893"/>
      <c r="Q24" s="893"/>
      <c r="R24" s="893"/>
      <c r="S24" s="1087"/>
      <c r="T24" s="1106"/>
      <c r="U24" s="1106"/>
      <c r="V24" s="1106"/>
      <c r="W24" s="1087"/>
      <c r="X24" s="1152"/>
    </row>
    <row r="25" spans="1:24" ht="5.25" customHeight="1">
      <c r="A25" s="1154"/>
      <c r="B25" s="1087"/>
      <c r="C25" s="1107"/>
      <c r="D25" s="1108"/>
      <c r="E25" s="1108"/>
      <c r="F25" s="1109"/>
      <c r="G25" s="1109"/>
      <c r="H25" s="1109"/>
      <c r="I25" s="1109"/>
      <c r="J25" s="1110"/>
      <c r="K25" s="893"/>
      <c r="L25" s="893"/>
      <c r="M25" s="893"/>
      <c r="N25" s="893"/>
      <c r="O25" s="893"/>
      <c r="P25" s="893"/>
      <c r="Q25" s="893"/>
      <c r="R25" s="1087"/>
      <c r="S25" s="1084"/>
      <c r="T25" s="1087"/>
      <c r="U25" s="1087"/>
      <c r="V25" s="1087"/>
      <c r="W25" s="893"/>
      <c r="X25" s="1152"/>
    </row>
    <row r="26" spans="1:24" ht="38.25" customHeight="1">
      <c r="A26" s="1156">
        <v>1</v>
      </c>
      <c r="B26" s="1090"/>
      <c r="C26" s="1097"/>
      <c r="D26" s="1582" t="str" cm="1">
        <f t="array" ref="D26">"Based on the 30 year term, the estimated monthly repayment is "&amp;CHAR(10)&amp;CHAR(32)&amp;CHAR(32)&amp;"* "&amp;TEXT(IFERROR(Repayment_calc($U$18,$F$19,30,"Monthly"),0),"$0,#")&amp;" if Principal &amp; Interest, or"&amp;CHAR(10)&amp;CHAR(32)&amp;CHAR(32)&amp;"* "&amp;TEXT(IFERROR($U$18*$F$19/12,0),"$0,#")&amp;" if Interest Only."</f>
        <v>Based on the 30 year term, the estimated monthly repayment is 
  * $0 if Principal &amp; Interest, or
  * $0 if Interest Only.</v>
      </c>
      <c r="E26" s="1582"/>
      <c r="F26" s="1582"/>
      <c r="G26" s="1582"/>
      <c r="H26" s="1582"/>
      <c r="I26" s="1582"/>
      <c r="J26" s="1111" t="str" cm="1">
        <f t="array" ref="J26">TEXT(IFERROR(Repayment_calc($U$18,$F$19,30,"Monthly"),0),"$0,#")</f>
        <v>$0</v>
      </c>
      <c r="K26" s="893"/>
      <c r="L26" s="893"/>
      <c r="M26" s="893"/>
      <c r="N26" s="893"/>
      <c r="O26" s="893"/>
      <c r="P26" s="893"/>
      <c r="Q26" s="893"/>
      <c r="R26" s="1087"/>
      <c r="S26" s="1084"/>
      <c r="T26" s="1087"/>
      <c r="U26" s="1087"/>
      <c r="V26" s="1087"/>
      <c r="W26" s="893"/>
      <c r="X26" s="1152"/>
    </row>
    <row r="27" spans="1:24" ht="5.25" customHeight="1">
      <c r="A27" s="1154"/>
      <c r="B27" s="1087"/>
      <c r="C27" s="1112"/>
      <c r="D27" s="1113"/>
      <c r="E27" s="1113"/>
      <c r="F27" s="1113"/>
      <c r="G27" s="1113"/>
      <c r="H27" s="1113"/>
      <c r="I27" s="1113"/>
      <c r="J27" s="1114" t="str">
        <f>TEXT(IFERROR($U$18*$F$19/12,0),"$0,#")</f>
        <v>$0</v>
      </c>
      <c r="K27" s="893"/>
      <c r="L27" s="893"/>
      <c r="M27" s="893"/>
      <c r="N27" s="893"/>
      <c r="O27" s="893"/>
      <c r="P27" s="893"/>
      <c r="Q27" s="893"/>
      <c r="R27" s="1087"/>
      <c r="S27" s="1084"/>
      <c r="T27" s="1087"/>
      <c r="U27" s="1087"/>
      <c r="V27" s="1087"/>
      <c r="W27" s="893"/>
      <c r="X27" s="1152"/>
    </row>
    <row r="28" spans="1:24" ht="5.25" customHeight="1">
      <c r="A28" s="1154"/>
      <c r="B28" s="1087"/>
      <c r="C28" s="893"/>
      <c r="D28" s="893"/>
      <c r="E28" s="893"/>
      <c r="F28" s="893"/>
      <c r="G28" s="893"/>
      <c r="H28" s="893"/>
      <c r="I28" s="893"/>
      <c r="J28" s="893"/>
      <c r="K28" s="893"/>
      <c r="L28" s="893"/>
      <c r="M28" s="893"/>
      <c r="N28" s="893"/>
      <c r="O28" s="893"/>
      <c r="P28" s="893"/>
      <c r="Q28" s="893"/>
      <c r="R28" s="1087"/>
      <c r="S28" s="1087"/>
      <c r="T28" s="1087"/>
      <c r="U28" s="1087"/>
      <c r="V28" s="1087"/>
      <c r="W28" s="1087"/>
      <c r="X28" s="1152"/>
    </row>
    <row r="29" spans="1:24" ht="21" customHeight="1">
      <c r="A29" s="1154"/>
      <c r="B29" s="1087"/>
      <c r="C29" s="1088" t="s">
        <v>160</v>
      </c>
      <c r="D29" s="1087"/>
      <c r="E29" s="1089"/>
      <c r="F29" s="1089"/>
      <c r="G29" s="893"/>
      <c r="H29" s="893"/>
      <c r="I29" s="893"/>
      <c r="J29" s="893"/>
      <c r="K29" s="893"/>
      <c r="L29" s="893"/>
      <c r="M29" s="893"/>
      <c r="N29" s="893"/>
      <c r="O29" s="893"/>
      <c r="P29" s="893"/>
      <c r="Q29" s="1087"/>
      <c r="R29" s="1087"/>
      <c r="S29" s="1087"/>
      <c r="T29" s="1087"/>
      <c r="U29" s="1087"/>
      <c r="V29" s="1087"/>
      <c r="W29" s="893"/>
      <c r="X29" s="1152"/>
    </row>
    <row r="30" spans="1:24" ht="33.75" customHeight="1">
      <c r="A30" s="1154"/>
      <c r="B30" s="1087"/>
      <c r="C30" s="1583" t="s">
        <v>810</v>
      </c>
      <c r="D30" s="1583"/>
      <c r="E30" s="1583"/>
      <c r="F30" s="1583"/>
      <c r="G30" s="1583"/>
      <c r="H30" s="1583"/>
      <c r="I30" s="1583"/>
      <c r="J30" s="1583"/>
      <c r="K30" s="1583"/>
      <c r="L30" s="1583"/>
      <c r="M30" s="1583"/>
      <c r="N30" s="1583"/>
      <c r="O30" s="1583"/>
      <c r="P30" s="1583"/>
      <c r="Q30" s="1583"/>
      <c r="R30" s="1583"/>
      <c r="S30" s="1583"/>
      <c r="T30" s="1583"/>
      <c r="U30" s="1583"/>
      <c r="V30" s="1583"/>
      <c r="W30" s="1087"/>
      <c r="X30" s="1152"/>
    </row>
    <row r="31" spans="1:24" ht="11.25" customHeight="1">
      <c r="A31" s="1157"/>
      <c r="B31" s="1158"/>
      <c r="C31" s="1085"/>
      <c r="D31" s="956"/>
      <c r="E31" s="1579"/>
      <c r="F31" s="1579"/>
      <c r="G31" s="1579"/>
      <c r="H31" s="1579"/>
      <c r="I31" s="1579"/>
      <c r="J31" s="956"/>
      <c r="K31" s="956"/>
      <c r="L31" s="956"/>
      <c r="M31" s="956"/>
      <c r="N31" s="956"/>
      <c r="O31" s="956"/>
      <c r="P31" s="956"/>
      <c r="Q31" s="1158"/>
      <c r="R31" s="1158"/>
      <c r="S31" s="1158"/>
      <c r="T31" s="1158"/>
      <c r="U31" s="1158"/>
      <c r="V31" s="1158"/>
      <c r="W31" s="1056" t="str">
        <f>ML_CALC_VERSION</f>
        <v>HL_Calc_V54_250405</v>
      </c>
      <c r="X31" s="1159"/>
    </row>
    <row r="120" spans="39:42">
      <c r="AM120" s="356">
        <v>0</v>
      </c>
      <c r="AN120" s="356">
        <v>443980.55675444897</v>
      </c>
      <c r="AO120" s="356" t="b">
        <v>0</v>
      </c>
      <c r="AP120" s="356" t="b">
        <v>0</v>
      </c>
    </row>
    <row r="121" spans="39:42">
      <c r="AN121" s="356">
        <v>568915.738338575</v>
      </c>
      <c r="AP121" s="356" t="b">
        <v>0</v>
      </c>
    </row>
    <row r="122" spans="39:42">
      <c r="AN122" s="356">
        <v>309009.40123205801</v>
      </c>
      <c r="AP122" s="356" t="b">
        <v>0</v>
      </c>
    </row>
    <row r="126" spans="39:42">
      <c r="AN126" s="356">
        <v>0</v>
      </c>
      <c r="AP126" s="356" t="b">
        <v>0</v>
      </c>
    </row>
    <row r="130" spans="40:42">
      <c r="AN130" s="356">
        <v>333663.40171675902</v>
      </c>
      <c r="AP130" s="356" t="b">
        <v>1</v>
      </c>
    </row>
    <row r="131" spans="40:42">
      <c r="AN131" s="356">
        <v>188098.667590486</v>
      </c>
      <c r="AP131" s="356" t="b">
        <v>0</v>
      </c>
    </row>
    <row r="134" spans="40:42">
      <c r="AN134" s="356">
        <v>1225.8567635696099</v>
      </c>
      <c r="AP134" s="356" t="b">
        <v>1</v>
      </c>
    </row>
    <row r="136" spans="40:42">
      <c r="AN136" s="356">
        <v>686175.52101015404</v>
      </c>
      <c r="AP136" s="356" t="b">
        <v>0</v>
      </c>
    </row>
    <row r="150" spans="40:42">
      <c r="AN150" s="356">
        <v>1565874.4767638801</v>
      </c>
      <c r="AP150" s="356" t="b">
        <v>0</v>
      </c>
    </row>
    <row r="161" spans="40:42">
      <c r="AN161" s="356">
        <v>431618.61017838301</v>
      </c>
      <c r="AP161" s="356" t="b">
        <v>0</v>
      </c>
    </row>
    <row r="165" spans="40:42">
      <c r="AN165" s="356">
        <v>0</v>
      </c>
      <c r="AP165" s="356" t="b">
        <v>1</v>
      </c>
    </row>
    <row r="175" spans="40:42">
      <c r="AN175" s="356">
        <v>2170053.5048541999</v>
      </c>
      <c r="AP175" s="356" t="b">
        <v>1</v>
      </c>
    </row>
  </sheetData>
  <sheetProtection algorithmName="SHA-512" hashValue="TWOYLRhHrj72bG38SZTxmi0a0VsASKSuou/CPtI0KeoRMHgwebdbXn5Fl60W4XkaAhAZ1UqYM1plUWQNIhOkCQ==" saltValue="Cl+0VEwWFGfUpwAdWRYodA==" spinCount="100000" sheet="1" selectLockedCells="1"/>
  <dataConsolidate/>
  <mergeCells count="16">
    <mergeCell ref="E31:I31"/>
    <mergeCell ref="V9:V10"/>
    <mergeCell ref="N20:V21"/>
    <mergeCell ref="D23:J23"/>
    <mergeCell ref="D26:I26"/>
    <mergeCell ref="C30:V30"/>
    <mergeCell ref="C3:W3"/>
    <mergeCell ref="D6:J6"/>
    <mergeCell ref="M6:V6"/>
    <mergeCell ref="N9:N10"/>
    <mergeCell ref="P9:P10"/>
    <mergeCell ref="Q9:Q10"/>
    <mergeCell ref="R9:R10"/>
    <mergeCell ref="S9:S10"/>
    <mergeCell ref="T9:T10"/>
    <mergeCell ref="U9:U10"/>
  </mergeCells>
  <conditionalFormatting sqref="T18">
    <cfRule type="containsText" dxfId="5" priority="3" operator="containsText" text="Shortfall">
      <formula>NOT(ISERROR(SEARCH("Shortfall",T18)))</formula>
    </cfRule>
    <cfRule type="containsText" dxfId="4" priority="4" operator="containsText" text="Surplus">
      <formula>NOT(ISERROR(SEARCH("Surplus",T18)))</formula>
    </cfRule>
  </conditionalFormatting>
  <conditionalFormatting sqref="R18">
    <cfRule type="cellIs" dxfId="3" priority="2" operator="notEqual">
      <formula>$F$11</formula>
    </cfRule>
  </conditionalFormatting>
  <conditionalFormatting sqref="F19">
    <cfRule type="expression" dxfId="2" priority="1">
      <formula>$F$19=""</formula>
    </cfRule>
  </conditionalFormatting>
  <dataValidations count="16">
    <dataValidation type="decimal" allowBlank="1" showInputMessage="1" showErrorMessage="1" errorTitle="Error" error="Please enter a valid Interest Rate value" sqref="F19:F20" xr:uid="{C99F8334-A279-4065-915E-E5D6870EEBEA}">
      <formula1>0</formula1>
      <formula2>1</formula2>
    </dataValidation>
    <dataValidation type="whole" operator="greaterThanOrEqual" allowBlank="1" showInputMessage="1" showErrorMessage="1" errorTitle="Error" error="Please enter postive whole numbers only" sqref="F9:F12" xr:uid="{03B3FBC9-8E7E-42F1-AE1E-96C11C3188F1}">
      <formula1>0</formula1>
    </dataValidation>
    <dataValidation type="custom" allowBlank="1" showInputMessage="1" showErrorMessage="1" errorTitle="Error" error="Please ensure that the total Progress Payment amount doesnt exceeds 100% of the Building Contract Value." sqref="O16" xr:uid="{6833878C-F079-42C2-B204-B202ADF360B0}">
      <formula1>AND($O$16 &gt;=0, SUM($O$12:$O$16)&lt;=1)</formula1>
    </dataValidation>
    <dataValidation type="custom" allowBlank="1" showInputMessage="1" showErrorMessage="1" errorTitle="Error" error="Please ensure that the Progress Payment amount doesn’t exceed 80% up to and including Lockup stage and the total Progress Payment amount doesn’t exceed 100% of the Building Contract Value." sqref="O15" xr:uid="{3FA97A74-D7BE-4804-AAE1-8E224F35EA2E}">
      <formula1>AND($O$15 &gt;=0, SUM($O$12:$O$15)&lt;=0.8, SUM($O$12:$O$16)&lt;=1)</formula1>
    </dataValidation>
    <dataValidation type="custom" allowBlank="1" showInputMessage="1" showErrorMessage="1" errorTitle="Error" error="Please ensure that the Progress Payment amount doesn’t exceed 80% up to and including Lockup stage and the total Progress Payment amount doesn’t exceed 100% of the Building Contract Value." sqref="O14" xr:uid="{C4245B8D-141A-4E86-B3FD-11546E1497C7}">
      <formula1>AND($O$14 &gt;=0, SUM($O$12:$O$15)&lt;=0.8, SUM($O$12:$O$16)&lt;=1)</formula1>
    </dataValidation>
    <dataValidation type="custom" allowBlank="1" showInputMessage="1" showErrorMessage="1" errorTitle="Error" error="Please ensure that the Progress Payment amount doesn’t exceed 80% up to and including Lockup stage and the total Progress Payment amount doesn’t exceed 100% of the Building Contract Value." sqref="O13" xr:uid="{DEA64C9E-589E-4CA0-ADAA-948040886C85}">
      <formula1>AND($O$13 &gt;=0, SUM($O$12:$O$15)&lt;=0.8, SUM($O$12:$O$16)&lt;=1)</formula1>
    </dataValidation>
    <dataValidation type="custom" allowBlank="1" showInputMessage="1" showErrorMessage="1" errorTitle="Error" error="Please ensure that the Progress Payment amount doesn’t exceed 80% up to and including Lockup stage and the total Progress Payment amount doesn’t exceed 100% of the Building Contract Value." sqref="O12" xr:uid="{F0CA9767-2917-48FF-B5E4-564846AE1C0E}">
      <formula1>AND($O$12 &gt;=0, SUM($O$12:$O$15)&lt;=0.8, SUM($O$12:$O$16)&lt;=1)</formula1>
    </dataValidation>
    <dataValidation type="whole" allowBlank="1" showInputMessage="1" showErrorMessage="1" errorTitle="Error" error="1 or 2 only." sqref="A10 A26 O10" xr:uid="{C5D02B60-2875-40C1-9BD1-03D4442ECDC8}">
      <formula1>1</formula1>
      <formula2>2</formula2>
    </dataValidation>
    <dataValidation type="custom" allowBlank="1" showInputMessage="1" showErrorMessage="1" error="Please enter positive whole numbers only and value cannot exceed the total Additional Funds to Borrow" sqref="R15" xr:uid="{A5470A98-9D51-4867-A83E-1E9786C0A01D}">
      <formula1>AND($R$15&gt;=0,(SUM($R$12:$R$16)&lt;=$F$11))</formula1>
    </dataValidation>
    <dataValidation type="custom" allowBlank="1" showInputMessage="1" showErrorMessage="1" error="Please enter positive whole numbers only and value cannot exceed the total Additional Funds to Borrow" sqref="R14" xr:uid="{AD5F58B1-B0E7-4DC0-8684-AA4678CCB7F8}">
      <formula1>AND($R$14&gt;=0,(SUM($R$12:$R$16)&lt;=$F$11))</formula1>
    </dataValidation>
    <dataValidation type="custom" allowBlank="1" showInputMessage="1" showErrorMessage="1" error="Please enter positive whole numbers only and value cannot exceed the total Additional Funds to Borrow" sqref="R13" xr:uid="{9A96BB03-A5DD-4F1D-B0F4-D0D547E65077}">
      <formula1>AND($R$13&gt;=0,(SUM($R$12:$R$16)&lt;=$F$11))</formula1>
    </dataValidation>
    <dataValidation type="custom" allowBlank="1" showInputMessage="1" showErrorMessage="1" error="Please enter positive whole numbers only and value cannot exceed the total Additional Funds to Borrow" sqref="R16" xr:uid="{C46133F9-4206-478C-B72A-0868C8052C6D}">
      <formula1>AND($R$16&gt;=0,(SUM($R$12:$R$16)&lt;=$F$11))</formula1>
    </dataValidation>
    <dataValidation type="custom" allowBlank="1" showInputMessage="1" showErrorMessage="1" error="Please enter positive whole numbers only and value cannot exceed the total Additional Funds to Borrow" sqref="R12" xr:uid="{22EAD4BA-8648-46CC-A7E1-A8C1E19C577E}">
      <formula1>AND($R$12&gt;=0,(SUM($R$12:$R$16)&lt;=$F$11))</formula1>
    </dataValidation>
    <dataValidation type="custom" allowBlank="1" showInputMessage="1" showErrorMessage="1" errorTitle="Error" error="Please ensure that the total Progress Payment amount doesnt exceeds 100% of the Building Contract Value." sqref="P16" xr:uid="{0C5DA5E5-B751-42DE-9847-DBEB8E05D078}">
      <formula1>AND(P16&gt;=0, SUM($P$12:$P$16)&lt;=$F$9)</formula1>
    </dataValidation>
    <dataValidation type="custom" allowBlank="1" showInputMessage="1" showErrorMessage="1" errorTitle="Error" error="Please ensure that the Progress Payment amount doesnt exceeds 80% up to and including Lock Up stage and the total Progress Payment amount doesnt exceeds 100% of the Building Contract Value._x000a_" sqref="P13:P15" xr:uid="{DE29BC28-4463-42DF-8B5E-2BCEF14A762C}">
      <formula1>AND(P13&gt;=0, SUM($P$12:$P$15)&lt;=$F$9*0.8, SUM($P$12:$P$16)&lt;=$F$9)</formula1>
    </dataValidation>
    <dataValidation type="custom" allowBlank="1" showInputMessage="1" showErrorMessage="1" errorTitle="Error" error="Please ensure that the Progress Payment amount doesnt exceeds 80% up to and including Lock Up stage and the total Progress Payment amount doesnt exceeds 100% of the Building Contract Value._x000a_" sqref="P12" xr:uid="{A15CC83B-88B8-4FB0-8AB7-5D326BC4FC4C}">
      <formula1>AND(P12&gt;=0, SUM($P$12:$P$15)&lt;=$F$9*0.8, SUM($P$12:$P$16)&lt;=$F$9)</formula1>
    </dataValidation>
  </dataValidations>
  <pageMargins left="0" right="0" top="0" bottom="0" header="0" footer="0"/>
  <pageSetup orientation="portrait" r:id="rId1"/>
  <colBreaks count="1" manualBreakCount="1">
    <brk id="24" max="31"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697C2-7CFF-42CB-AD97-BC3EB65BA61A}">
  <sheetPr codeName="Sheet11">
    <tabColor rgb="FFFFC000"/>
    <pageSetUpPr fitToPage="1"/>
  </sheetPr>
  <dimension ref="B1:AV42"/>
  <sheetViews>
    <sheetView showGridLines="0" showRowColHeaders="0" zoomScaleNormal="100" workbookViewId="0">
      <selection activeCell="E88" sqref="E88"/>
    </sheetView>
  </sheetViews>
  <sheetFormatPr baseColWidth="10" defaultColWidth="8.6640625" defaultRowHeight="12.75" customHeight="1"/>
  <cols>
    <col min="1" max="1" width="2.5" customWidth="1"/>
    <col min="2" max="2" width="6" customWidth="1"/>
    <col min="3" max="3" width="2.33203125" customWidth="1"/>
    <col min="4" max="4" width="9.1640625" customWidth="1"/>
    <col min="5" max="5" width="9.6640625" customWidth="1"/>
    <col min="6" max="7" width="1.6640625" customWidth="1"/>
    <col min="8" max="8" width="0.6640625" customWidth="1"/>
    <col min="9" max="9" width="1.33203125" customWidth="1"/>
    <col min="10" max="10" width="5.6640625" customWidth="1"/>
    <col min="11" max="11" width="2.6640625" customWidth="1"/>
    <col min="12" max="12" width="2.1640625" customWidth="1"/>
    <col min="13" max="13" width="4.1640625" customWidth="1"/>
    <col min="14" max="14" width="0.6640625" customWidth="1"/>
    <col min="15" max="15" width="3.6640625" customWidth="1"/>
    <col min="16" max="16" width="2.33203125" customWidth="1"/>
    <col min="17" max="17" width="1.33203125" customWidth="1"/>
    <col min="18" max="18" width="1.1640625" customWidth="1"/>
    <col min="19" max="19" width="3.1640625" customWidth="1"/>
    <col min="20" max="20" width="9.6640625" customWidth="1"/>
    <col min="21" max="21" width="2.5" customWidth="1"/>
    <col min="22" max="22" width="1.6640625" customWidth="1"/>
    <col min="23" max="23" width="2.1640625" customWidth="1"/>
    <col min="24" max="24" width="1.83203125" customWidth="1"/>
    <col min="25" max="25" width="7.33203125" customWidth="1"/>
    <col min="26" max="26" width="0.83203125" customWidth="1"/>
    <col min="27" max="27" width="1.5" customWidth="1"/>
    <col min="28" max="28" width="3.6640625" customWidth="1"/>
    <col min="29" max="29" width="3.1640625" customWidth="1"/>
    <col min="30" max="30" width="2.1640625" customWidth="1"/>
    <col min="31" max="31" width="4" customWidth="1"/>
    <col min="32" max="32" width="1.1640625" customWidth="1"/>
    <col min="33" max="33" width="1.33203125" customWidth="1"/>
    <col min="34" max="34" width="7.33203125" customWidth="1"/>
    <col min="35" max="35" width="0.33203125" customWidth="1"/>
    <col min="36" max="36" width="0.6640625" customWidth="1"/>
    <col min="37" max="37" width="3.5" customWidth="1"/>
    <col min="38" max="38" width="1" customWidth="1"/>
    <col min="39" max="39" width="1.6640625" customWidth="1"/>
    <col min="40" max="40" width="0.83203125" customWidth="1"/>
    <col min="41" max="41" width="3.1640625" customWidth="1"/>
    <col min="42" max="42" width="9.6640625" customWidth="1"/>
    <col min="43" max="43" width="2.1640625" customWidth="1"/>
    <col min="44" max="44" width="6" customWidth="1"/>
    <col min="45" max="45" width="2.5" customWidth="1"/>
    <col min="46" max="46" width="10.6640625" customWidth="1"/>
    <col min="47" max="47" width="12" customWidth="1"/>
  </cols>
  <sheetData>
    <row r="1" spans="2:48" ht="30" customHeight="1">
      <c r="B1" s="364"/>
      <c r="C1" s="364"/>
      <c r="D1" s="364"/>
      <c r="E1" s="364"/>
      <c r="F1" s="364"/>
      <c r="G1" s="364"/>
      <c r="H1" s="364"/>
      <c r="I1" s="364"/>
      <c r="J1" s="364"/>
      <c r="K1" s="364"/>
      <c r="L1" s="364"/>
      <c r="M1" s="364"/>
      <c r="N1" s="364"/>
      <c r="O1" s="364"/>
      <c r="P1" s="364"/>
      <c r="Q1" s="364"/>
      <c r="R1" s="364"/>
      <c r="S1" s="364"/>
      <c r="T1" s="364"/>
      <c r="U1" s="364"/>
      <c r="V1" s="364"/>
      <c r="W1" s="364"/>
      <c r="X1" s="364"/>
      <c r="Y1" s="364"/>
      <c r="Z1" s="364"/>
      <c r="AA1" s="364"/>
      <c r="AB1" s="364"/>
      <c r="AC1" s="364"/>
      <c r="AD1" s="364"/>
      <c r="AE1" s="364"/>
      <c r="AF1" s="364"/>
      <c r="AG1" s="364"/>
      <c r="AH1" s="364"/>
      <c r="AI1" s="364"/>
      <c r="AJ1" s="364"/>
      <c r="AK1" s="364"/>
      <c r="AL1" s="364"/>
      <c r="AM1" s="364"/>
      <c r="AN1" s="364"/>
      <c r="AO1" s="364"/>
      <c r="AP1" s="364"/>
      <c r="AQ1" s="364"/>
      <c r="AR1" s="364"/>
      <c r="AS1" s="366"/>
      <c r="AT1" s="366"/>
      <c r="AU1" s="366"/>
      <c r="AV1" s="366"/>
    </row>
    <row r="2" spans="2:48" ht="14.25" customHeight="1">
      <c r="B2" s="364"/>
      <c r="C2" s="364"/>
      <c r="D2" s="364"/>
      <c r="E2" s="373"/>
      <c r="F2" s="364"/>
      <c r="G2" s="364"/>
      <c r="H2" s="364"/>
      <c r="I2" s="364"/>
      <c r="J2" s="364"/>
      <c r="K2" s="364"/>
      <c r="L2" s="364"/>
      <c r="M2" s="364"/>
      <c r="N2" s="364"/>
      <c r="O2" s="364"/>
      <c r="P2" s="364"/>
      <c r="Q2" s="364"/>
      <c r="R2" s="364"/>
      <c r="S2" s="364"/>
      <c r="T2" s="364"/>
      <c r="U2" s="364"/>
      <c r="V2" s="364"/>
      <c r="W2" s="364"/>
      <c r="X2" s="364"/>
      <c r="Y2" s="364"/>
      <c r="Z2" s="364"/>
      <c r="AA2" s="364"/>
      <c r="AB2" s="364"/>
      <c r="AC2" s="364"/>
      <c r="AD2" s="364"/>
      <c r="AE2" s="364"/>
      <c r="AF2" s="364"/>
      <c r="AG2" s="364"/>
      <c r="AH2" s="364"/>
      <c r="AI2" s="364"/>
      <c r="AJ2" s="364"/>
      <c r="AK2" s="364"/>
      <c r="AL2" s="364"/>
      <c r="AM2" s="364"/>
      <c r="AN2" s="364"/>
      <c r="AO2" s="364"/>
      <c r="AP2" s="364"/>
      <c r="AQ2" s="364"/>
      <c r="AR2" s="364"/>
      <c r="AS2" s="366"/>
      <c r="AT2" s="366"/>
      <c r="AU2" s="366"/>
      <c r="AV2" s="366"/>
    </row>
    <row r="3" spans="2:48" ht="12" customHeight="1">
      <c r="B3" s="364"/>
      <c r="C3" s="364"/>
      <c r="D3" s="364"/>
      <c r="E3" s="364"/>
      <c r="F3" s="364"/>
      <c r="G3" s="364"/>
      <c r="H3" s="364"/>
      <c r="I3" s="364"/>
      <c r="J3" s="364"/>
      <c r="K3" s="364"/>
      <c r="L3" s="364"/>
      <c r="M3" s="364"/>
      <c r="N3" s="364"/>
      <c r="O3" s="364"/>
      <c r="P3" s="364"/>
      <c r="Q3" s="364"/>
      <c r="R3" s="364"/>
      <c r="S3" s="364"/>
      <c r="T3" s="364"/>
      <c r="U3" s="364"/>
      <c r="V3" s="364"/>
      <c r="W3" s="364"/>
      <c r="X3" s="364"/>
      <c r="Y3" s="364"/>
      <c r="Z3" s="364"/>
      <c r="AA3" s="364"/>
      <c r="AB3" s="364"/>
      <c r="AC3" s="364"/>
      <c r="AD3" s="364"/>
      <c r="AE3" s="364"/>
      <c r="AF3" s="364"/>
      <c r="AG3" s="364"/>
      <c r="AH3" s="364"/>
      <c r="AI3" s="364"/>
      <c r="AJ3" s="364"/>
      <c r="AK3" s="364"/>
      <c r="AL3" s="364"/>
      <c r="AM3" s="364"/>
      <c r="AN3" s="364"/>
      <c r="AO3" s="364"/>
      <c r="AP3" s="364"/>
      <c r="AQ3" s="364"/>
      <c r="AR3" s="364"/>
      <c r="AS3" s="366"/>
      <c r="AT3" s="366"/>
      <c r="AU3" s="366"/>
      <c r="AV3" s="366"/>
    </row>
    <row r="4" spans="2:48" ht="16.5" customHeight="1"/>
    <row r="5" spans="2:48" ht="20.25" customHeight="1">
      <c r="B5" s="375"/>
      <c r="C5" s="375"/>
      <c r="D5" s="374" t="s">
        <v>8134</v>
      </c>
      <c r="E5" s="1597">
        <f>'Internal Ref'!B75</f>
        <v>0</v>
      </c>
      <c r="F5" s="1597"/>
      <c r="G5" s="1597"/>
      <c r="H5" s="1597"/>
      <c r="I5" s="1597"/>
      <c r="J5" s="1597"/>
      <c r="K5" s="1597"/>
      <c r="L5" s="1597"/>
      <c r="M5" s="1597"/>
      <c r="N5" s="1599" t="s">
        <v>8145</v>
      </c>
      <c r="O5" s="1599"/>
      <c r="P5" s="1599"/>
      <c r="Q5" s="1599"/>
      <c r="R5" s="1597">
        <f>'Internal Ref'!B77</f>
        <v>0</v>
      </c>
      <c r="S5" s="1597"/>
      <c r="T5" s="1597"/>
      <c r="U5" s="1597"/>
      <c r="V5" s="1597"/>
      <c r="W5" s="1597"/>
      <c r="X5" s="1597"/>
      <c r="Y5" s="1597"/>
      <c r="Z5" s="1597"/>
      <c r="AA5" s="377"/>
      <c r="AB5" s="377"/>
      <c r="AC5" s="377" t="s">
        <v>8144</v>
      </c>
      <c r="AD5" s="1607">
        <f>'Internal Ref'!B76</f>
        <v>0</v>
      </c>
      <c r="AE5" s="1607"/>
      <c r="AF5" s="1607"/>
      <c r="AG5" s="1607"/>
      <c r="AH5" s="1607"/>
      <c r="AI5" s="1610" t="s">
        <v>8143</v>
      </c>
      <c r="AJ5" s="1610"/>
      <c r="AK5" s="1610"/>
      <c r="AL5" s="1610"/>
      <c r="AN5" s="1609">
        <f ca="1">TODAY()</f>
        <v>45811</v>
      </c>
      <c r="AO5" s="1609"/>
      <c r="AP5" s="1609"/>
      <c r="AQ5" s="1609"/>
      <c r="AR5" s="376"/>
      <c r="AS5" s="366"/>
      <c r="AT5" s="366"/>
      <c r="AU5" s="366"/>
    </row>
    <row r="6" spans="2:48" ht="9.75" customHeight="1">
      <c r="N6">
        <v>8</v>
      </c>
      <c r="AR6" s="366"/>
      <c r="AS6" s="366"/>
      <c r="AT6" s="366"/>
      <c r="AU6" s="366"/>
    </row>
    <row r="7" spans="2:48" ht="24.75" customHeight="1">
      <c r="B7" s="364"/>
      <c r="C7" s="378" t="s">
        <v>8131</v>
      </c>
      <c r="D7" s="378"/>
      <c r="E7" s="364"/>
      <c r="F7" s="364"/>
      <c r="G7" s="379"/>
      <c r="H7" s="379"/>
      <c r="I7" s="379"/>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66"/>
      <c r="AS7" s="366"/>
      <c r="AU7" s="366"/>
    </row>
    <row r="8" spans="2:48" ht="15" customHeight="1">
      <c r="B8" s="366"/>
      <c r="C8" s="379"/>
      <c r="D8" s="379"/>
      <c r="E8" s="379"/>
      <c r="F8" s="379"/>
      <c r="G8" s="379"/>
      <c r="H8" s="379"/>
      <c r="I8" s="379"/>
      <c r="J8" s="379"/>
      <c r="K8" s="379"/>
      <c r="L8" s="379"/>
      <c r="M8" s="379"/>
      <c r="N8" s="379"/>
      <c r="O8" s="379"/>
      <c r="P8" s="379"/>
      <c r="Q8" s="379"/>
      <c r="R8" s="379"/>
      <c r="S8" s="379"/>
      <c r="T8" s="379"/>
      <c r="U8" s="379"/>
      <c r="V8" s="379"/>
      <c r="W8" s="379"/>
      <c r="X8" s="379"/>
      <c r="Y8" s="379"/>
      <c r="Z8" s="379"/>
      <c r="AA8" s="379"/>
      <c r="AB8" s="379"/>
      <c r="AC8" s="379"/>
      <c r="AD8" s="379"/>
      <c r="AE8" s="379"/>
      <c r="AF8" s="379"/>
      <c r="AG8" s="379"/>
      <c r="AH8" s="379"/>
      <c r="AI8" s="379"/>
      <c r="AJ8" s="379"/>
      <c r="AK8" s="379"/>
      <c r="AL8" s="379"/>
      <c r="AM8" s="379"/>
      <c r="AN8" s="379"/>
      <c r="AO8" s="379"/>
      <c r="AP8" s="379"/>
      <c r="AQ8" s="379"/>
      <c r="AR8" s="366"/>
      <c r="AS8" s="366"/>
      <c r="AT8" s="366"/>
      <c r="AU8" s="366"/>
    </row>
    <row r="9" spans="2:48" ht="5.25" customHeight="1">
      <c r="C9" s="379"/>
      <c r="D9" s="1593" t="s">
        <v>8137</v>
      </c>
      <c r="E9" s="379"/>
      <c r="F9" s="383"/>
      <c r="G9" s="379"/>
      <c r="H9" s="1593" t="s">
        <v>8135</v>
      </c>
      <c r="I9" s="1593"/>
      <c r="J9" s="1593"/>
      <c r="K9" s="379"/>
      <c r="L9" s="379"/>
      <c r="M9" s="379"/>
      <c r="N9" s="379"/>
      <c r="O9" s="379"/>
      <c r="P9" s="1593" t="s">
        <v>8146</v>
      </c>
      <c r="Q9" s="1593"/>
      <c r="R9" s="1593"/>
      <c r="S9" s="1593"/>
      <c r="T9" s="379"/>
      <c r="U9" s="379"/>
      <c r="V9" s="379"/>
      <c r="W9" s="379"/>
      <c r="X9" s="379"/>
      <c r="Y9" s="379"/>
      <c r="Z9" s="379"/>
      <c r="AA9" s="379"/>
      <c r="AB9" s="379"/>
      <c r="AC9" s="379"/>
      <c r="AD9" s="379"/>
      <c r="AE9" s="379"/>
      <c r="AF9" s="379"/>
      <c r="AG9" s="379"/>
      <c r="AH9" s="379"/>
      <c r="AI9" s="379"/>
      <c r="AJ9" s="379"/>
      <c r="AK9" s="379"/>
      <c r="AL9" s="379"/>
      <c r="AM9" s="379"/>
      <c r="AN9" s="379"/>
      <c r="AO9" s="379"/>
      <c r="AP9" s="379"/>
      <c r="AQ9" s="379"/>
      <c r="AR9" s="366"/>
      <c r="AS9" s="366"/>
      <c r="AT9" s="366"/>
      <c r="AU9" s="366"/>
    </row>
    <row r="10" spans="2:48" ht="20.25" customHeight="1">
      <c r="C10" s="379"/>
      <c r="D10" s="1593"/>
      <c r="E10" s="388">
        <f>P_A3</f>
        <v>0</v>
      </c>
      <c r="F10" s="1591" t="s">
        <v>239</v>
      </c>
      <c r="G10" s="1592"/>
      <c r="H10" s="1593"/>
      <c r="I10" s="1593"/>
      <c r="J10" s="1593"/>
      <c r="K10" s="1584">
        <f>'Construction Loan Calculator'!F9</f>
        <v>0</v>
      </c>
      <c r="L10" s="1584"/>
      <c r="M10" s="1584"/>
      <c r="N10" s="1584"/>
      <c r="O10" s="385" t="s">
        <v>239</v>
      </c>
      <c r="P10" s="1593"/>
      <c r="Q10" s="1593"/>
      <c r="R10" s="1593"/>
      <c r="S10" s="1593"/>
      <c r="T10" s="388">
        <f>CL1_vAddBorrow</f>
        <v>0</v>
      </c>
      <c r="U10" s="1592" t="s">
        <v>239</v>
      </c>
      <c r="V10" s="1592"/>
      <c r="W10" s="1588" t="s">
        <v>234</v>
      </c>
      <c r="X10" s="1588"/>
      <c r="Y10" s="1584">
        <f>'Construction Loan Calculator'!F12</f>
        <v>0</v>
      </c>
      <c r="Z10" s="1584"/>
      <c r="AA10" s="1584"/>
      <c r="AB10" s="385" t="s">
        <v>241</v>
      </c>
      <c r="AC10" s="1593" t="s">
        <v>8141</v>
      </c>
      <c r="AD10" s="1593"/>
      <c r="AE10" s="1593"/>
      <c r="AF10" s="1593"/>
      <c r="AG10" s="1608">
        <f>'Construction Loan Calculator'!F10</f>
        <v>0</v>
      </c>
      <c r="AH10" s="1608"/>
      <c r="AI10" s="1608"/>
      <c r="AJ10" s="1608"/>
      <c r="AK10" s="385" t="s">
        <v>237</v>
      </c>
      <c r="AL10" s="1593" t="s">
        <v>8053</v>
      </c>
      <c r="AM10" s="1593"/>
      <c r="AN10" s="1593"/>
      <c r="AO10" s="1593"/>
      <c r="AP10" s="393">
        <f>'Construction Loan Calculator'!U18</f>
        <v>0</v>
      </c>
      <c r="AQ10" s="379"/>
      <c r="AR10" s="366"/>
      <c r="AS10" s="366"/>
      <c r="AT10" s="366"/>
      <c r="AU10" s="366"/>
    </row>
    <row r="11" spans="2:48" ht="6" customHeight="1">
      <c r="C11" s="379"/>
      <c r="D11" s="1593"/>
      <c r="E11" s="379"/>
      <c r="F11" s="383"/>
      <c r="G11" s="384"/>
      <c r="H11" s="1593"/>
      <c r="I11" s="1593"/>
      <c r="J11" s="1593"/>
      <c r="K11" s="379"/>
      <c r="L11" s="379"/>
      <c r="M11" s="379"/>
      <c r="N11" s="379"/>
      <c r="O11" s="379"/>
      <c r="P11" s="1593"/>
      <c r="Q11" s="1593"/>
      <c r="R11" s="1593"/>
      <c r="S11" s="1593"/>
      <c r="T11" s="379"/>
      <c r="U11" s="379"/>
      <c r="V11" s="379"/>
      <c r="W11" s="379"/>
      <c r="X11" s="379"/>
      <c r="Y11" s="379"/>
      <c r="Z11" s="379"/>
      <c r="AA11" s="379"/>
      <c r="AB11" s="379"/>
      <c r="AC11" s="379"/>
      <c r="AD11" s="379"/>
      <c r="AE11" s="379"/>
      <c r="AF11" s="379"/>
      <c r="AG11" s="379"/>
      <c r="AH11" s="379"/>
      <c r="AI11" s="379"/>
      <c r="AJ11" s="379"/>
      <c r="AK11" s="379"/>
      <c r="AL11" s="379"/>
      <c r="AM11" s="379"/>
      <c r="AN11" s="379"/>
      <c r="AO11" s="379"/>
      <c r="AP11" s="379"/>
      <c r="AQ11" s="379"/>
      <c r="AR11" s="366"/>
      <c r="AS11" s="366"/>
      <c r="AT11" s="366"/>
      <c r="AU11" s="366"/>
    </row>
    <row r="12" spans="2:48" ht="12" customHeight="1">
      <c r="C12" s="379"/>
      <c r="D12" s="379"/>
      <c r="E12" s="379"/>
      <c r="F12" s="379"/>
      <c r="G12" s="379"/>
      <c r="H12" s="379"/>
      <c r="I12" s="379"/>
      <c r="J12" s="379"/>
      <c r="K12" s="379"/>
      <c r="L12" s="379"/>
      <c r="M12" s="379"/>
      <c r="N12" s="379"/>
      <c r="O12" s="379"/>
      <c r="P12" s="379"/>
      <c r="Q12" s="379"/>
      <c r="R12" s="379"/>
      <c r="S12" s="379"/>
      <c r="T12" s="379"/>
      <c r="U12" s="379"/>
      <c r="V12" s="379"/>
      <c r="W12" s="379"/>
      <c r="X12" s="379"/>
      <c r="Y12" s="379"/>
      <c r="Z12" s="379"/>
      <c r="AA12" s="379"/>
      <c r="AB12" s="379"/>
      <c r="AC12" s="379"/>
      <c r="AD12" s="379"/>
      <c r="AE12" s="379"/>
      <c r="AF12" s="379"/>
      <c r="AG12" s="379"/>
      <c r="AH12" s="379"/>
      <c r="AI12" s="379"/>
      <c r="AJ12" s="379"/>
      <c r="AK12" s="379"/>
      <c r="AL12" s="379"/>
      <c r="AM12" s="379"/>
      <c r="AN12" s="379"/>
      <c r="AO12" s="379"/>
      <c r="AP12" s="379"/>
      <c r="AQ12" s="379"/>
      <c r="AR12" s="366"/>
      <c r="AS12" s="366"/>
      <c r="AT12" s="366"/>
      <c r="AU12" s="366"/>
    </row>
    <row r="13" spans="2:48" ht="20.25" customHeight="1">
      <c r="C13" s="379"/>
      <c r="D13" s="391" t="s">
        <v>8147</v>
      </c>
      <c r="E13" s="394">
        <f>'Construction Loan Calculator'!F19*100</f>
        <v>0</v>
      </c>
      <c r="F13" s="389" t="s">
        <v>8136</v>
      </c>
      <c r="G13" s="379"/>
      <c r="H13" s="379"/>
      <c r="I13" s="379"/>
      <c r="J13" s="379"/>
      <c r="K13" s="379"/>
      <c r="L13" s="379"/>
      <c r="M13" s="379"/>
      <c r="N13" s="379"/>
      <c r="O13" s="379"/>
      <c r="P13" s="379"/>
      <c r="Q13" s="379"/>
      <c r="R13" s="379"/>
      <c r="S13" s="379"/>
      <c r="T13" s="379"/>
      <c r="U13" s="379"/>
      <c r="V13" s="379"/>
      <c r="W13" s="379"/>
      <c r="X13" s="379"/>
      <c r="Y13" s="379"/>
      <c r="Z13" s="379"/>
      <c r="AA13" s="379"/>
      <c r="AB13" s="379"/>
      <c r="AC13" s="379"/>
      <c r="AD13" s="379"/>
      <c r="AE13" s="379"/>
      <c r="AF13" s="379"/>
      <c r="AG13" s="379"/>
      <c r="AH13" s="379"/>
      <c r="AI13" s="379"/>
      <c r="AJ13" s="379"/>
      <c r="AK13" s="379"/>
      <c r="AL13" s="379"/>
      <c r="AM13" s="379"/>
      <c r="AN13" s="379"/>
      <c r="AO13" s="379"/>
      <c r="AP13" s="379"/>
      <c r="AQ13" s="379"/>
      <c r="AR13" s="366"/>
      <c r="AS13" s="366"/>
      <c r="AT13" s="366"/>
      <c r="AU13" s="366"/>
    </row>
    <row r="14" spans="2:48" ht="12" customHeight="1">
      <c r="C14" s="379"/>
      <c r="D14" s="382"/>
      <c r="E14" s="379"/>
      <c r="F14" s="379"/>
      <c r="G14" s="379"/>
      <c r="H14" s="379"/>
      <c r="I14" s="379"/>
      <c r="J14" s="379"/>
      <c r="K14" s="379"/>
      <c r="L14" s="379"/>
      <c r="M14" s="379"/>
      <c r="N14" s="379"/>
      <c r="O14" s="379"/>
      <c r="P14" s="379"/>
      <c r="Q14" s="379"/>
      <c r="R14" s="379"/>
      <c r="S14" s="379"/>
      <c r="T14" s="379"/>
      <c r="U14" s="379"/>
      <c r="V14" s="379"/>
      <c r="W14" s="379"/>
      <c r="X14" s="379"/>
      <c r="Y14" s="379"/>
      <c r="Z14" s="379"/>
      <c r="AA14" s="379"/>
      <c r="AB14" s="379"/>
      <c r="AC14" s="379"/>
      <c r="AD14" s="379"/>
      <c r="AE14" s="379"/>
      <c r="AF14" s="379"/>
      <c r="AG14" s="379"/>
      <c r="AH14" s="379"/>
      <c r="AI14" s="379"/>
      <c r="AJ14" s="379"/>
      <c r="AK14" s="379"/>
      <c r="AL14" s="379"/>
      <c r="AM14" s="379"/>
      <c r="AN14" s="379"/>
      <c r="AO14" s="379"/>
      <c r="AP14" s="379"/>
      <c r="AQ14" s="379"/>
      <c r="AR14" s="366"/>
      <c r="AS14" s="366"/>
      <c r="AT14" s="366"/>
      <c r="AU14" s="366"/>
    </row>
    <row r="15" spans="2:48" ht="11.25" customHeight="1">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B15" s="366"/>
      <c r="AC15" s="366"/>
      <c r="AD15" s="366"/>
      <c r="AE15" s="366"/>
      <c r="AF15" s="366"/>
      <c r="AG15" s="366"/>
      <c r="AH15" s="366"/>
      <c r="AI15" s="366"/>
      <c r="AJ15" s="366"/>
      <c r="AK15" s="366"/>
      <c r="AL15" s="366"/>
      <c r="AM15" s="366"/>
      <c r="AN15" s="366"/>
      <c r="AO15" s="366"/>
      <c r="AP15" s="366"/>
      <c r="AQ15" s="366"/>
      <c r="AR15" s="366"/>
      <c r="AS15" s="366"/>
      <c r="AT15" s="366"/>
      <c r="AU15" s="366"/>
      <c r="AV15" s="366"/>
    </row>
    <row r="16" spans="2:48" ht="36" customHeight="1">
      <c r="B16" s="367"/>
      <c r="C16" s="1598" t="s">
        <v>8132</v>
      </c>
      <c r="D16" s="1598"/>
      <c r="E16" s="1598"/>
      <c r="F16" s="1598"/>
      <c r="G16" s="1598"/>
      <c r="H16" s="1598"/>
      <c r="I16" s="369"/>
      <c r="J16" s="379"/>
      <c r="K16" s="379"/>
      <c r="L16" s="379"/>
      <c r="M16" s="379"/>
      <c r="N16" s="379"/>
      <c r="O16" s="379"/>
      <c r="P16" s="379"/>
      <c r="Q16" s="379"/>
      <c r="R16" s="379"/>
      <c r="S16" s="379"/>
      <c r="T16" s="379"/>
      <c r="U16" s="379"/>
      <c r="V16" s="379"/>
      <c r="W16" s="379"/>
      <c r="X16" s="379"/>
      <c r="Y16" s="379"/>
      <c r="Z16" s="379"/>
      <c r="AA16" s="379"/>
      <c r="AB16" s="379"/>
      <c r="AC16" s="379"/>
      <c r="AD16" s="379"/>
      <c r="AE16" s="379"/>
      <c r="AF16" s="379"/>
      <c r="AG16" s="379"/>
      <c r="AH16" s="379"/>
      <c r="AI16" s="379"/>
      <c r="AJ16" s="379"/>
      <c r="AK16" s="379"/>
      <c r="AL16" s="379"/>
      <c r="AM16" s="379"/>
      <c r="AN16" s="379"/>
      <c r="AO16" s="379"/>
      <c r="AP16" s="379"/>
      <c r="AQ16" s="379"/>
      <c r="AR16" s="366"/>
      <c r="AS16" s="366"/>
      <c r="AT16" s="366"/>
      <c r="AU16" s="366"/>
    </row>
    <row r="17" spans="2:47" ht="12.75" customHeight="1">
      <c r="B17" s="366"/>
      <c r="C17" s="379"/>
      <c r="D17" s="379"/>
      <c r="E17" s="379"/>
      <c r="F17" s="379"/>
      <c r="G17" s="379"/>
      <c r="H17" s="379"/>
      <c r="I17" s="379"/>
      <c r="J17" s="379"/>
      <c r="K17" s="379"/>
      <c r="L17" s="1604" t="s">
        <v>8105</v>
      </c>
      <c r="M17" s="1604"/>
      <c r="N17" s="1604"/>
      <c r="O17" s="1604"/>
      <c r="P17" s="1604"/>
      <c r="Q17" s="380"/>
      <c r="R17" s="380"/>
      <c r="S17" s="1604" t="s">
        <v>8107</v>
      </c>
      <c r="T17" s="1604"/>
      <c r="U17" s="380"/>
      <c r="V17" s="1604" t="s">
        <v>8108</v>
      </c>
      <c r="W17" s="1604"/>
      <c r="X17" s="1604"/>
      <c r="Y17" s="1604"/>
      <c r="Z17" s="380"/>
      <c r="AA17" s="380"/>
      <c r="AB17" s="1604" t="s">
        <v>8110</v>
      </c>
      <c r="AC17" s="1604"/>
      <c r="AD17" s="1604"/>
      <c r="AE17" s="1604"/>
      <c r="AF17" s="380"/>
      <c r="AG17" s="380"/>
      <c r="AH17" s="1604" t="s">
        <v>8111</v>
      </c>
      <c r="AI17" s="1604"/>
      <c r="AJ17" s="1604"/>
      <c r="AK17" s="1604"/>
      <c r="AL17" s="1604"/>
      <c r="AM17" s="380"/>
      <c r="AN17" s="380"/>
      <c r="AO17" s="1604" t="s">
        <v>8112</v>
      </c>
      <c r="AP17" s="1604"/>
      <c r="AQ17" s="380"/>
      <c r="AR17" s="366"/>
      <c r="AS17" s="366"/>
      <c r="AT17" s="366"/>
      <c r="AU17" s="366"/>
    </row>
    <row r="18" spans="2:47" ht="6" customHeight="1">
      <c r="B18" s="366"/>
      <c r="C18" s="379"/>
      <c r="D18" s="379"/>
      <c r="E18" s="379"/>
      <c r="F18" s="379"/>
      <c r="G18" s="379"/>
      <c r="H18" s="379"/>
      <c r="I18" s="379"/>
      <c r="J18" s="379"/>
      <c r="K18" s="379"/>
      <c r="L18" s="379"/>
      <c r="M18" s="379"/>
      <c r="N18" s="379"/>
      <c r="O18" s="379"/>
      <c r="P18" s="379"/>
      <c r="Q18" s="379"/>
      <c r="R18" s="379"/>
      <c r="S18" s="379"/>
      <c r="T18" s="379"/>
      <c r="U18" s="379"/>
      <c r="V18" s="379"/>
      <c r="W18" s="379"/>
      <c r="X18" s="379"/>
      <c r="Y18" s="379"/>
      <c r="Z18" s="379"/>
      <c r="AA18" s="379"/>
      <c r="AB18" s="379"/>
      <c r="AC18" s="379"/>
      <c r="AD18" s="379"/>
      <c r="AE18" s="379"/>
      <c r="AF18" s="379"/>
      <c r="AG18" s="379"/>
      <c r="AH18" s="379"/>
      <c r="AI18" s="379"/>
      <c r="AJ18" s="379"/>
      <c r="AK18" s="379"/>
      <c r="AL18" s="379"/>
      <c r="AM18" s="379"/>
      <c r="AN18" s="379"/>
      <c r="AO18" s="379"/>
      <c r="AP18" s="379"/>
      <c r="AQ18" s="379"/>
      <c r="AR18" s="366"/>
      <c r="AS18" s="366"/>
      <c r="AT18" s="366"/>
      <c r="AU18" s="366"/>
    </row>
    <row r="19" spans="2:47" ht="20.25" customHeight="1">
      <c r="B19" s="366"/>
      <c r="C19" s="379"/>
      <c r="D19" s="379"/>
      <c r="E19" s="379"/>
      <c r="F19" s="379"/>
      <c r="G19" s="379"/>
      <c r="H19" s="379"/>
      <c r="I19" s="379"/>
      <c r="J19" s="379"/>
      <c r="K19" s="381" t="s">
        <v>8138</v>
      </c>
      <c r="L19" s="1594">
        <f>'Construction Loan Calculator'!O12</f>
        <v>0.05</v>
      </c>
      <c r="M19" s="1595"/>
      <c r="N19" s="1595"/>
      <c r="O19" s="1595"/>
      <c r="P19" s="1595"/>
      <c r="Q19" s="379"/>
      <c r="R19" s="379"/>
      <c r="S19" s="1594">
        <f>'Construction Loan Calculator'!O13</f>
        <v>0.1</v>
      </c>
      <c r="T19" s="1595"/>
      <c r="U19" s="379"/>
      <c r="V19" s="1594">
        <f>'Construction Loan Calculator'!O14</f>
        <v>0.15</v>
      </c>
      <c r="W19" s="1595"/>
      <c r="X19" s="1595"/>
      <c r="Y19" s="1595"/>
      <c r="Z19" s="379"/>
      <c r="AA19" s="379"/>
      <c r="AB19" s="1594">
        <f>'Construction Loan Calculator'!O15</f>
        <v>0.35</v>
      </c>
      <c r="AC19" s="1595"/>
      <c r="AD19" s="1595"/>
      <c r="AE19" s="1595"/>
      <c r="AF19" s="379"/>
      <c r="AG19" s="379"/>
      <c r="AH19" s="1594">
        <f>'Construction Loan Calculator'!O16</f>
        <v>0.25</v>
      </c>
      <c r="AI19" s="1594"/>
      <c r="AJ19" s="1594"/>
      <c r="AK19" s="1594"/>
      <c r="AL19" s="1594"/>
      <c r="AM19" s="379"/>
      <c r="AN19" s="379"/>
      <c r="AO19" s="1594">
        <f>'Construction Loan Calculator'!O17</f>
        <v>9.9999999999999978E-2</v>
      </c>
      <c r="AP19" s="1594"/>
      <c r="AQ19" s="379"/>
      <c r="AR19" s="366"/>
      <c r="AS19" s="366"/>
      <c r="AT19" s="366"/>
      <c r="AU19" s="366"/>
    </row>
    <row r="20" spans="2:47" ht="7.5" customHeight="1">
      <c r="C20" s="379"/>
      <c r="D20" s="379"/>
      <c r="E20" s="379"/>
      <c r="F20" s="379"/>
      <c r="G20" s="379"/>
      <c r="H20" s="379"/>
      <c r="I20" s="379"/>
      <c r="J20" s="379"/>
      <c r="K20" s="379"/>
      <c r="L20" s="379"/>
      <c r="M20" s="379"/>
      <c r="N20" s="379"/>
      <c r="O20" s="379"/>
      <c r="P20" s="379"/>
      <c r="Q20" s="379"/>
      <c r="R20" s="379"/>
      <c r="S20" s="379"/>
      <c r="T20" s="379"/>
      <c r="U20" s="379"/>
      <c r="V20" s="379"/>
      <c r="W20" s="379"/>
      <c r="X20" s="379"/>
      <c r="Y20" s="379"/>
      <c r="Z20" s="379"/>
      <c r="AA20" s="379"/>
      <c r="AB20" s="379"/>
      <c r="AC20" s="379"/>
      <c r="AD20" s="379"/>
      <c r="AE20" s="379"/>
      <c r="AF20" s="379"/>
      <c r="AG20" s="379"/>
      <c r="AH20" s="379"/>
      <c r="AI20" s="379"/>
      <c r="AJ20" s="379"/>
      <c r="AK20" s="379"/>
      <c r="AL20" s="379"/>
      <c r="AM20" s="379"/>
      <c r="AN20" s="379"/>
      <c r="AO20" s="379"/>
      <c r="AP20" s="379"/>
      <c r="AQ20" s="379"/>
      <c r="AR20" s="366"/>
      <c r="AS20" s="366"/>
      <c r="AT20" s="366"/>
      <c r="AU20" s="366"/>
    </row>
    <row r="21" spans="2:47" ht="11.25" customHeight="1">
      <c r="C21" s="368"/>
      <c r="D21" s="368"/>
      <c r="E21" s="368"/>
      <c r="F21" s="368"/>
      <c r="G21" s="368"/>
      <c r="H21" s="368"/>
      <c r="I21" s="368"/>
      <c r="J21" s="368"/>
      <c r="K21" s="368"/>
      <c r="L21" s="368"/>
      <c r="M21" s="368"/>
      <c r="N21" s="368"/>
      <c r="O21" s="368"/>
      <c r="P21" s="368"/>
      <c r="Q21" s="368"/>
      <c r="R21" s="368"/>
      <c r="S21" s="368"/>
      <c r="T21" s="368"/>
      <c r="U21" s="368"/>
      <c r="V21" s="368"/>
      <c r="W21" s="368"/>
      <c r="X21" s="368"/>
      <c r="Y21" s="368"/>
      <c r="Z21" s="368"/>
      <c r="AA21" s="368"/>
      <c r="AB21" s="368"/>
      <c r="AC21" s="368"/>
      <c r="AD21" s="368"/>
      <c r="AE21" s="368"/>
      <c r="AF21" s="368"/>
      <c r="AG21" s="368"/>
      <c r="AH21" s="368"/>
      <c r="AI21" s="368"/>
      <c r="AJ21" s="368"/>
      <c r="AK21" s="368"/>
      <c r="AL21" s="368"/>
      <c r="AM21" s="368"/>
      <c r="AN21" s="368"/>
      <c r="AO21" s="368"/>
      <c r="AP21" s="368"/>
      <c r="AQ21" s="368"/>
      <c r="AR21" s="366"/>
      <c r="AS21" s="366"/>
      <c r="AT21" s="366"/>
      <c r="AU21" s="366"/>
    </row>
    <row r="22" spans="2:47" ht="20.25" customHeight="1">
      <c r="B22" s="366"/>
      <c r="C22" s="371"/>
      <c r="D22" s="387" t="s">
        <v>8142</v>
      </c>
      <c r="E22" s="368"/>
      <c r="F22" s="368"/>
      <c r="G22" s="1600" t="s">
        <v>8140</v>
      </c>
      <c r="H22" s="1600"/>
      <c r="I22" s="1600"/>
      <c r="J22" s="1600"/>
      <c r="K22" s="370" t="s">
        <v>8139</v>
      </c>
      <c r="L22" s="1605">
        <f>'Construction Loan Calculator'!S12</f>
        <v>0</v>
      </c>
      <c r="M22" s="1606"/>
      <c r="N22" s="1606"/>
      <c r="O22" s="1606"/>
      <c r="P22" s="1606"/>
      <c r="Q22" s="368"/>
      <c r="R22" s="368"/>
      <c r="S22" s="1584">
        <f>'Construction Loan Calculator'!S13</f>
        <v>0</v>
      </c>
      <c r="T22" s="1585"/>
      <c r="U22" s="368"/>
      <c r="V22" s="1584">
        <f>'Construction Loan Calculator'!S14</f>
        <v>0</v>
      </c>
      <c r="W22" s="1585"/>
      <c r="X22" s="1585"/>
      <c r="Y22" s="1585"/>
      <c r="Z22" s="368"/>
      <c r="AA22" s="368"/>
      <c r="AB22" s="1584">
        <f>'Construction Loan Calculator'!S15</f>
        <v>0</v>
      </c>
      <c r="AC22" s="1584"/>
      <c r="AD22" s="1584"/>
      <c r="AE22" s="1584"/>
      <c r="AF22" s="368"/>
      <c r="AG22" s="368"/>
      <c r="AH22" s="1584">
        <f>'Construction Loan Calculator'!S16</f>
        <v>0</v>
      </c>
      <c r="AI22" s="1584"/>
      <c r="AJ22" s="1584"/>
      <c r="AK22" s="1584"/>
      <c r="AL22" s="1584"/>
      <c r="AM22" s="368"/>
      <c r="AN22" s="368"/>
      <c r="AO22" s="1584">
        <f>'Construction Loan Calculator'!S17</f>
        <v>0</v>
      </c>
      <c r="AP22" s="1584"/>
      <c r="AQ22" s="368"/>
      <c r="AR22" s="366"/>
      <c r="AS22" s="366"/>
      <c r="AT22" s="366"/>
      <c r="AU22" s="366"/>
    </row>
    <row r="23" spans="2:47" ht="4.5" customHeight="1">
      <c r="C23" s="368"/>
      <c r="D23" s="368"/>
      <c r="E23" s="368"/>
      <c r="F23" s="368"/>
      <c r="G23" s="372"/>
      <c r="H23" s="372"/>
      <c r="I23" s="372"/>
      <c r="J23" s="372"/>
      <c r="K23" s="368"/>
      <c r="L23" s="368"/>
      <c r="M23" s="368"/>
      <c r="N23" s="368"/>
      <c r="O23" s="368"/>
      <c r="P23" s="368"/>
      <c r="Q23" s="368"/>
      <c r="R23" s="368"/>
      <c r="S23" s="368"/>
      <c r="T23" s="368"/>
      <c r="U23" s="368"/>
      <c r="V23" s="368"/>
      <c r="W23" s="368"/>
      <c r="X23" s="368"/>
      <c r="Y23" s="368"/>
      <c r="Z23" s="368"/>
      <c r="AA23" s="368"/>
      <c r="AB23" s="368"/>
      <c r="AC23" s="368"/>
      <c r="AD23" s="368"/>
      <c r="AE23" s="368"/>
      <c r="AF23" s="368"/>
      <c r="AG23" s="368"/>
      <c r="AH23" s="368"/>
      <c r="AI23" s="368"/>
      <c r="AJ23" s="368"/>
      <c r="AK23" s="368"/>
      <c r="AL23" s="368"/>
      <c r="AM23" s="368"/>
      <c r="AN23" s="368"/>
      <c r="AO23" s="368"/>
      <c r="AP23" s="368"/>
      <c r="AQ23" s="368"/>
      <c r="AR23" s="366"/>
      <c r="AS23" s="366"/>
      <c r="AT23" s="366"/>
      <c r="AU23" s="366"/>
    </row>
    <row r="24" spans="2:47" ht="20.25" customHeight="1">
      <c r="B24" s="366"/>
      <c r="C24" s="368"/>
      <c r="D24" s="368"/>
      <c r="E24" s="368"/>
      <c r="F24" s="368"/>
      <c r="G24" s="1601" t="s">
        <v>8141</v>
      </c>
      <c r="H24" s="1601"/>
      <c r="I24" s="1601"/>
      <c r="J24" s="1601"/>
      <c r="K24" s="370" t="s">
        <v>8139</v>
      </c>
      <c r="L24" s="1584" t="str">
        <f>IF('Construction Loan Calculator'!Q12=0,"",'Construction Loan Calculator'!Q12)</f>
        <v/>
      </c>
      <c r="M24" s="1585"/>
      <c r="N24" s="1585"/>
      <c r="O24" s="1585"/>
      <c r="P24" s="1585"/>
      <c r="Q24" s="368"/>
      <c r="R24" s="368"/>
      <c r="S24" s="1584" t="str">
        <f>IF('Construction Loan Calculator'!Q13=0,"",'Construction Loan Calculator'!Q13)</f>
        <v/>
      </c>
      <c r="T24" s="1585"/>
      <c r="U24" s="368"/>
      <c r="V24" s="1584" t="str">
        <f>IF('Construction Loan Calculator'!Q14=0,"",'Construction Loan Calculator'!Q14)</f>
        <v/>
      </c>
      <c r="W24" s="1585"/>
      <c r="X24" s="1585"/>
      <c r="Y24" s="1585"/>
      <c r="Z24" s="368"/>
      <c r="AA24" s="368"/>
      <c r="AB24" s="1584" t="str">
        <f>IF('Construction Loan Calculator'!Q15=0,"",'Construction Loan Calculator'!Q15)</f>
        <v/>
      </c>
      <c r="AC24" s="1584"/>
      <c r="AD24" s="1584"/>
      <c r="AE24" s="1584"/>
      <c r="AF24" s="368"/>
      <c r="AG24" s="368"/>
      <c r="AH24" s="1584" t="str">
        <f>IF('Construction Loan Calculator'!Q16=0,"",'Construction Loan Calculator'!Q16)</f>
        <v/>
      </c>
      <c r="AI24" s="1584"/>
      <c r="AJ24" s="1584"/>
      <c r="AK24" s="1584"/>
      <c r="AL24" s="1584"/>
      <c r="AM24" s="368"/>
      <c r="AN24" s="368"/>
      <c r="AO24" s="1584" t="str">
        <f>IF('Construction Loan Calculator'!Q17=0,"",'Construction Loan Calculator'!Q17)</f>
        <v/>
      </c>
      <c r="AP24" s="1584"/>
      <c r="AQ24" s="368"/>
      <c r="AR24" s="366"/>
      <c r="AS24" s="366"/>
      <c r="AT24" s="366"/>
      <c r="AU24" s="366"/>
    </row>
    <row r="25" spans="2:47" ht="21" customHeight="1">
      <c r="C25" s="368"/>
      <c r="D25" s="368"/>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8"/>
      <c r="AI25" s="368"/>
      <c r="AJ25" s="368"/>
      <c r="AK25" s="368"/>
      <c r="AL25" s="368"/>
      <c r="AM25" s="368"/>
      <c r="AN25" s="368"/>
      <c r="AO25" s="368"/>
      <c r="AP25" s="368"/>
      <c r="AQ25" s="368"/>
      <c r="AR25" s="366"/>
      <c r="AS25" s="366"/>
      <c r="AT25" s="366"/>
      <c r="AU25" s="366"/>
    </row>
    <row r="26" spans="2:47" ht="10.5" customHeight="1">
      <c r="B26" s="366"/>
      <c r="C26" s="368"/>
      <c r="D26" s="1602" t="s">
        <v>8148</v>
      </c>
      <c r="E26" s="1602"/>
      <c r="F26" s="1602"/>
      <c r="G26" s="1602"/>
      <c r="H26" s="1602"/>
      <c r="I26" s="1602"/>
      <c r="J26" s="1602"/>
      <c r="K26" s="1587" t="s">
        <v>8139</v>
      </c>
      <c r="L26" s="1584">
        <f>'Construction Loan Calculator'!U12</f>
        <v>0</v>
      </c>
      <c r="M26" s="1585"/>
      <c r="N26" s="1585"/>
      <c r="O26" s="1585"/>
      <c r="P26" s="1585"/>
      <c r="Q26" s="368"/>
      <c r="R26" s="368"/>
      <c r="S26" s="1584">
        <f>'Construction Loan Calculator'!U13</f>
        <v>0</v>
      </c>
      <c r="T26" s="1585"/>
      <c r="U26" s="368"/>
      <c r="V26" s="1584">
        <f>'Construction Loan Calculator'!U14</f>
        <v>0</v>
      </c>
      <c r="W26" s="1585"/>
      <c r="X26" s="1585"/>
      <c r="Y26" s="1585"/>
      <c r="Z26" s="368"/>
      <c r="AA26" s="368"/>
      <c r="AB26" s="1584">
        <f>'Construction Loan Calculator'!U15</f>
        <v>0</v>
      </c>
      <c r="AC26" s="1584"/>
      <c r="AD26" s="1584"/>
      <c r="AE26" s="1584"/>
      <c r="AF26" s="368"/>
      <c r="AG26" s="368"/>
      <c r="AH26" s="1584">
        <f>'Construction Loan Calculator'!U16</f>
        <v>0</v>
      </c>
      <c r="AI26" s="1584"/>
      <c r="AJ26" s="1584"/>
      <c r="AK26" s="1584"/>
      <c r="AL26" s="1584"/>
      <c r="AM26" s="368"/>
      <c r="AN26" s="368"/>
      <c r="AO26" s="1584">
        <f>'Construction Loan Calculator'!U17</f>
        <v>0</v>
      </c>
      <c r="AP26" s="1584"/>
      <c r="AQ26" s="368"/>
      <c r="AR26" s="366"/>
      <c r="AS26" s="366"/>
      <c r="AT26" s="366"/>
      <c r="AU26" s="366"/>
    </row>
    <row r="27" spans="2:47" ht="9.75" customHeight="1">
      <c r="B27" s="366"/>
      <c r="C27" s="368"/>
      <c r="D27" s="1603" t="s">
        <v>8149</v>
      </c>
      <c r="E27" s="1603"/>
      <c r="F27" s="1603"/>
      <c r="G27" s="1603"/>
      <c r="H27" s="1603"/>
      <c r="I27" s="1603"/>
      <c r="J27" s="1603"/>
      <c r="K27" s="1587"/>
      <c r="L27" s="1585"/>
      <c r="M27" s="1585"/>
      <c r="N27" s="1585"/>
      <c r="O27" s="1585"/>
      <c r="P27" s="1585"/>
      <c r="Q27" s="368"/>
      <c r="R27" s="368"/>
      <c r="S27" s="1585"/>
      <c r="T27" s="1585"/>
      <c r="U27" s="368"/>
      <c r="V27" s="1585"/>
      <c r="W27" s="1585"/>
      <c r="X27" s="1585"/>
      <c r="Y27" s="1585"/>
      <c r="Z27" s="368"/>
      <c r="AA27" s="368"/>
      <c r="AB27" s="1584"/>
      <c r="AC27" s="1584"/>
      <c r="AD27" s="1584"/>
      <c r="AE27" s="1584"/>
      <c r="AF27" s="368"/>
      <c r="AG27" s="368"/>
      <c r="AH27" s="1584"/>
      <c r="AI27" s="1584"/>
      <c r="AJ27" s="1584"/>
      <c r="AK27" s="1584"/>
      <c r="AL27" s="1584"/>
      <c r="AM27" s="368"/>
      <c r="AN27" s="368"/>
      <c r="AO27" s="1584"/>
      <c r="AP27" s="1584"/>
      <c r="AQ27" s="368"/>
      <c r="AR27" s="366"/>
      <c r="AS27" s="366"/>
      <c r="AT27" s="366"/>
      <c r="AU27" s="366"/>
    </row>
    <row r="28" spans="2:47" ht="4.5" customHeight="1">
      <c r="C28" s="368"/>
      <c r="D28" s="1586" t="s">
        <v>8150</v>
      </c>
      <c r="E28" s="1586"/>
      <c r="F28" s="1586"/>
      <c r="G28" s="1586"/>
      <c r="H28" s="1586"/>
      <c r="I28" s="1586"/>
      <c r="J28" s="1586"/>
      <c r="K28" s="368"/>
      <c r="L28" s="368"/>
      <c r="M28" s="368"/>
      <c r="N28" s="368"/>
      <c r="O28" s="368"/>
      <c r="P28" s="368"/>
      <c r="Q28" s="368"/>
      <c r="R28" s="368"/>
      <c r="S28" s="368"/>
      <c r="T28" s="368"/>
      <c r="U28" s="368"/>
      <c r="V28" s="368"/>
      <c r="W28" s="368"/>
      <c r="X28" s="368"/>
      <c r="Y28" s="368"/>
      <c r="Z28" s="368"/>
      <c r="AA28" s="368"/>
      <c r="AB28" s="368"/>
      <c r="AC28" s="368"/>
      <c r="AD28" s="368"/>
      <c r="AE28" s="368"/>
      <c r="AF28" s="368"/>
      <c r="AG28" s="368"/>
      <c r="AH28" s="368"/>
      <c r="AI28" s="368"/>
      <c r="AJ28" s="368"/>
      <c r="AK28" s="368"/>
      <c r="AL28" s="368"/>
      <c r="AM28" s="368"/>
      <c r="AN28" s="368"/>
      <c r="AO28" s="368"/>
      <c r="AP28" s="368"/>
      <c r="AQ28" s="368"/>
      <c r="AR28" s="366"/>
      <c r="AS28" s="366"/>
      <c r="AT28" s="366"/>
      <c r="AU28" s="366"/>
    </row>
    <row r="29" spans="2:47" ht="20.25" customHeight="1">
      <c r="C29" s="368"/>
      <c r="D29" s="1586"/>
      <c r="E29" s="1586"/>
      <c r="F29" s="1586"/>
      <c r="G29" s="1586"/>
      <c r="H29" s="1586"/>
      <c r="I29" s="1586"/>
      <c r="J29" s="1586"/>
      <c r="K29" s="370" t="s">
        <v>8139</v>
      </c>
      <c r="L29" s="1584">
        <f>'Construction Loan Calculator'!V12</f>
        <v>0</v>
      </c>
      <c r="M29" s="1585"/>
      <c r="N29" s="1585"/>
      <c r="O29" s="1585"/>
      <c r="P29" s="1585"/>
      <c r="Q29" s="368"/>
      <c r="R29" s="368"/>
      <c r="S29" s="1584">
        <f>'Construction Loan Calculator'!V13</f>
        <v>0</v>
      </c>
      <c r="T29" s="1585"/>
      <c r="U29" s="368"/>
      <c r="V29" s="1584">
        <f>'Construction Loan Calculator'!V14</f>
        <v>0</v>
      </c>
      <c r="W29" s="1585"/>
      <c r="X29" s="1585"/>
      <c r="Y29" s="1585"/>
      <c r="Z29" s="368"/>
      <c r="AA29" s="368"/>
      <c r="AB29" s="1584">
        <f>'Construction Loan Calculator'!V15</f>
        <v>0</v>
      </c>
      <c r="AC29" s="1584"/>
      <c r="AD29" s="1584"/>
      <c r="AE29" s="1584"/>
      <c r="AF29" s="368"/>
      <c r="AG29" s="368"/>
      <c r="AH29" s="1584">
        <f>'Construction Loan Calculator'!V16</f>
        <v>0</v>
      </c>
      <c r="AI29" s="1584"/>
      <c r="AJ29" s="1584"/>
      <c r="AK29" s="1584"/>
      <c r="AL29" s="1584"/>
      <c r="AM29" s="368"/>
      <c r="AN29" s="368"/>
      <c r="AO29" s="1584">
        <f>'Construction Loan Calculator'!V17</f>
        <v>0</v>
      </c>
      <c r="AP29" s="1584"/>
      <c r="AQ29" s="368"/>
      <c r="AR29" s="366"/>
      <c r="AS29" s="366"/>
      <c r="AT29" s="366"/>
      <c r="AU29" s="366"/>
    </row>
    <row r="30" spans="2:47" ht="11.25" customHeight="1">
      <c r="C30" s="368"/>
      <c r="D30" s="368"/>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8"/>
      <c r="AI30" s="368"/>
      <c r="AJ30" s="368"/>
      <c r="AK30" s="368"/>
      <c r="AL30" s="368"/>
      <c r="AM30" s="368"/>
      <c r="AN30" s="368"/>
      <c r="AO30" s="368"/>
      <c r="AP30" s="368"/>
      <c r="AQ30" s="368"/>
      <c r="AR30" s="366"/>
      <c r="AS30" s="366"/>
      <c r="AT30" s="366"/>
      <c r="AU30" s="366"/>
    </row>
    <row r="31" spans="2:47" ht="12" customHeight="1">
      <c r="AR31" s="366"/>
      <c r="AS31" s="366"/>
      <c r="AT31" s="366"/>
      <c r="AU31" s="366"/>
    </row>
    <row r="32" spans="2:47" ht="24.75" customHeight="1">
      <c r="B32" s="367"/>
      <c r="C32" s="1596" t="s">
        <v>8133</v>
      </c>
      <c r="D32" s="1596"/>
      <c r="E32" s="1596"/>
      <c r="F32" s="1596"/>
      <c r="G32" s="1596"/>
      <c r="H32" s="1596"/>
      <c r="I32" s="1596"/>
      <c r="J32" s="1596"/>
      <c r="K32" s="1596"/>
      <c r="L32" s="1596"/>
      <c r="M32" s="379"/>
      <c r="N32" s="379"/>
      <c r="O32" s="379"/>
      <c r="P32" s="379"/>
      <c r="Q32" s="379"/>
      <c r="R32" s="379"/>
      <c r="S32" s="379"/>
      <c r="T32" s="379"/>
      <c r="U32" s="379"/>
      <c r="V32" s="379"/>
      <c r="W32" s="379"/>
      <c r="X32" s="379"/>
      <c r="Y32" s="379"/>
      <c r="Z32" s="379"/>
      <c r="AA32" s="379"/>
      <c r="AB32" s="379"/>
      <c r="AC32" s="379"/>
      <c r="AD32" s="379"/>
      <c r="AE32" s="379"/>
      <c r="AF32" s="379"/>
      <c r="AG32" s="379"/>
      <c r="AH32" s="379"/>
      <c r="AI32" s="379"/>
      <c r="AJ32" s="379"/>
      <c r="AK32" s="379"/>
      <c r="AL32" s="379"/>
      <c r="AM32" s="379"/>
      <c r="AN32" s="379"/>
      <c r="AO32" s="379"/>
      <c r="AP32" s="379"/>
      <c r="AQ32" s="379"/>
      <c r="AR32" s="366"/>
      <c r="AS32" s="366"/>
      <c r="AT32" s="366"/>
      <c r="AU32" s="366"/>
    </row>
    <row r="33" spans="2:47" ht="9.75" customHeight="1">
      <c r="B33" s="366"/>
      <c r="C33" s="379"/>
      <c r="D33" s="379"/>
      <c r="E33" s="379"/>
      <c r="F33" s="379"/>
      <c r="G33" s="379"/>
      <c r="H33" s="379"/>
      <c r="I33" s="379"/>
      <c r="J33" s="379"/>
      <c r="K33" s="379"/>
      <c r="L33" s="365"/>
      <c r="M33" s="379"/>
      <c r="N33" s="379"/>
      <c r="O33" s="379"/>
      <c r="P33" s="379"/>
      <c r="Q33" s="379"/>
      <c r="R33" s="379"/>
      <c r="S33" s="379"/>
      <c r="T33" s="379"/>
      <c r="U33" s="379"/>
      <c r="V33" s="379"/>
      <c r="W33" s="379"/>
      <c r="X33" s="379"/>
      <c r="Y33" s="379"/>
      <c r="Z33" s="379"/>
      <c r="AA33" s="379"/>
      <c r="AB33" s="379"/>
      <c r="AC33" s="379"/>
      <c r="AD33" s="379"/>
      <c r="AE33" s="379"/>
      <c r="AF33" s="379"/>
      <c r="AG33" s="379"/>
      <c r="AH33" s="379"/>
      <c r="AI33" s="379"/>
      <c r="AJ33" s="379"/>
      <c r="AK33" s="379"/>
      <c r="AL33" s="379"/>
      <c r="AM33" s="379"/>
      <c r="AN33" s="379"/>
      <c r="AO33" s="379"/>
      <c r="AP33" s="379"/>
      <c r="AQ33" s="379"/>
      <c r="AR33" s="366"/>
      <c r="AS33" s="366"/>
      <c r="AT33" s="366"/>
      <c r="AU33" s="366"/>
    </row>
    <row r="34" spans="2:47" ht="20.25" customHeight="1">
      <c r="B34" s="366"/>
      <c r="C34" s="379"/>
      <c r="D34" s="1588" t="s">
        <v>8151</v>
      </c>
      <c r="E34" s="1588"/>
      <c r="F34" s="1588"/>
      <c r="G34" s="1588"/>
      <c r="H34" s="1584">
        <f>'Construction Loan Calculator'!U17</f>
        <v>0</v>
      </c>
      <c r="I34" s="1584"/>
      <c r="J34" s="1584"/>
      <c r="K34" s="1584"/>
      <c r="L34" s="1584"/>
      <c r="M34" s="1584"/>
      <c r="N34" s="1584"/>
      <c r="O34" s="1584"/>
      <c r="P34" s="1584"/>
      <c r="Q34" s="379"/>
      <c r="R34" s="379"/>
      <c r="S34" s="379"/>
      <c r="T34" s="379"/>
      <c r="U34" s="379"/>
      <c r="V34" s="379"/>
      <c r="W34" s="379"/>
      <c r="X34" s="379"/>
      <c r="Y34" s="379"/>
      <c r="Z34" s="379"/>
      <c r="AA34" s="379"/>
      <c r="AB34" s="379"/>
      <c r="AC34" s="379"/>
      <c r="AD34" s="379"/>
      <c r="AE34" s="379"/>
      <c r="AF34" s="379"/>
      <c r="AG34" s="379"/>
      <c r="AH34" s="379"/>
      <c r="AI34" s="379"/>
      <c r="AJ34" s="379"/>
      <c r="AK34" s="379"/>
      <c r="AL34" s="379"/>
      <c r="AM34" s="379"/>
      <c r="AN34" s="379"/>
      <c r="AO34" s="379"/>
      <c r="AP34" s="379"/>
      <c r="AQ34" s="379"/>
      <c r="AR34" s="366"/>
      <c r="AS34" s="366"/>
      <c r="AT34" s="366"/>
      <c r="AU34" s="366"/>
    </row>
    <row r="35" spans="2:47" ht="4.5" customHeight="1">
      <c r="B35" s="366"/>
      <c r="C35" s="379"/>
      <c r="D35" s="379"/>
      <c r="E35" s="379"/>
      <c r="F35" s="379"/>
      <c r="G35" s="379"/>
      <c r="H35" s="379"/>
      <c r="I35" s="379"/>
      <c r="J35" s="379"/>
      <c r="K35" s="379"/>
      <c r="L35" s="379"/>
      <c r="M35" s="379"/>
      <c r="N35" s="379"/>
      <c r="O35" s="379"/>
      <c r="P35" s="379"/>
      <c r="Q35" s="379"/>
      <c r="R35" s="379"/>
      <c r="S35" s="379"/>
      <c r="T35" s="379"/>
      <c r="U35" s="379"/>
      <c r="V35" s="379"/>
      <c r="W35" s="379"/>
      <c r="X35" s="379"/>
      <c r="Y35" s="379"/>
      <c r="Z35" s="379"/>
      <c r="AA35" s="379"/>
      <c r="AB35" s="379"/>
      <c r="AC35" s="379"/>
      <c r="AD35" s="379"/>
      <c r="AE35" s="379"/>
      <c r="AF35" s="379"/>
      <c r="AG35" s="379"/>
      <c r="AH35" s="379"/>
      <c r="AI35" s="379"/>
      <c r="AJ35" s="379"/>
      <c r="AK35" s="379"/>
      <c r="AL35" s="379"/>
      <c r="AM35" s="379"/>
      <c r="AN35" s="379"/>
      <c r="AO35" s="379"/>
      <c r="AP35" s="379"/>
      <c r="AQ35" s="379"/>
      <c r="AR35" s="366"/>
      <c r="AS35" s="366"/>
      <c r="AT35" s="366"/>
      <c r="AU35" s="366"/>
    </row>
    <row r="36" spans="2:47" ht="20.25" customHeight="1">
      <c r="B36" s="366"/>
      <c r="C36" s="379"/>
      <c r="D36" s="386" t="s">
        <v>8152</v>
      </c>
      <c r="E36" s="379"/>
      <c r="F36" s="379"/>
      <c r="G36" s="379"/>
      <c r="H36" s="379"/>
      <c r="I36" s="379"/>
      <c r="J36" s="379"/>
      <c r="K36" s="379"/>
      <c r="L36" s="379"/>
      <c r="M36" s="379"/>
      <c r="N36" s="379"/>
      <c r="O36" s="379"/>
      <c r="P36" s="379"/>
      <c r="Q36" s="379"/>
      <c r="R36" s="379"/>
      <c r="S36" s="379"/>
      <c r="T36" s="379"/>
      <c r="U36" s="379"/>
      <c r="V36" s="379"/>
      <c r="W36" s="381" t="s">
        <v>8153</v>
      </c>
      <c r="X36" s="1546" t="str" cm="1">
        <f t="array" ref="X36">TEXT(IFERROR(Repayment_calc('Construction Loan Calculator'!$U$18,'Construction Loan Calculator'!$F$19,30,"Monthly"),0),"$0,#")</f>
        <v>$0</v>
      </c>
      <c r="Y36" s="1546"/>
      <c r="Z36" s="1546"/>
      <c r="AA36" s="1546"/>
      <c r="AB36" s="1546"/>
      <c r="AC36" s="1546"/>
      <c r="AD36" s="1546"/>
      <c r="AE36" s="379"/>
      <c r="AF36" s="379"/>
      <c r="AG36" s="379"/>
      <c r="AH36" s="379"/>
      <c r="AI36" s="381" t="s">
        <v>8154</v>
      </c>
      <c r="AJ36" s="1546" t="str">
        <f>TEXT(IFERROR('Construction Loan Calculator'!$U$18*'Construction Loan Calculator'!$F$19/12,0),"$0,#")</f>
        <v>$0</v>
      </c>
      <c r="AK36" s="1546"/>
      <c r="AL36" s="1546"/>
      <c r="AM36" s="1546"/>
      <c r="AN36" s="1546"/>
      <c r="AO36" s="1546"/>
      <c r="AP36" s="1546"/>
      <c r="AQ36" s="379"/>
      <c r="AR36" s="366"/>
      <c r="AS36" s="366"/>
      <c r="AT36" s="366"/>
      <c r="AU36" s="366"/>
    </row>
    <row r="37" spans="2:47" ht="14.25" customHeight="1">
      <c r="B37" s="366"/>
      <c r="C37" s="379"/>
      <c r="D37" s="379"/>
      <c r="E37" s="379"/>
      <c r="F37" s="379"/>
      <c r="G37" s="379"/>
      <c r="H37" s="379"/>
      <c r="I37" s="379"/>
      <c r="J37" s="379"/>
      <c r="K37" s="379"/>
      <c r="L37" s="379"/>
      <c r="M37" s="379"/>
      <c r="N37" s="379"/>
      <c r="O37" s="379"/>
      <c r="P37" s="379"/>
      <c r="Q37" s="379"/>
      <c r="R37" s="379"/>
      <c r="S37" s="379"/>
      <c r="T37" s="379"/>
      <c r="U37" s="379"/>
      <c r="V37" s="379"/>
      <c r="W37" s="379"/>
      <c r="X37" s="379"/>
      <c r="Y37" s="379"/>
      <c r="Z37" s="379"/>
      <c r="AA37" s="379"/>
      <c r="AB37" s="379"/>
      <c r="AC37" s="379"/>
      <c r="AD37" s="379"/>
      <c r="AE37" s="379"/>
      <c r="AF37" s="379"/>
      <c r="AG37" s="379"/>
      <c r="AH37" s="379"/>
      <c r="AI37" s="379"/>
      <c r="AJ37" s="379"/>
      <c r="AK37" s="379"/>
      <c r="AL37" s="379"/>
      <c r="AM37" s="379"/>
      <c r="AN37" s="379"/>
      <c r="AO37" s="379"/>
      <c r="AP37" s="379"/>
      <c r="AQ37" s="379"/>
      <c r="AR37" s="366"/>
      <c r="AS37" s="366"/>
      <c r="AT37" s="366"/>
      <c r="AU37" s="366"/>
    </row>
    <row r="38" spans="2:47" ht="20.25" customHeight="1">
      <c r="C38" s="1589" t="s">
        <v>8298</v>
      </c>
      <c r="D38" s="1589"/>
      <c r="E38" s="1589"/>
      <c r="F38" s="1589"/>
      <c r="G38" s="1589"/>
      <c r="H38" s="1589"/>
      <c r="I38" s="1589"/>
      <c r="J38" s="1589"/>
      <c r="K38" s="1589"/>
      <c r="L38" s="1589"/>
      <c r="M38" s="1589"/>
      <c r="N38" s="1589"/>
      <c r="O38" s="1589"/>
      <c r="P38" s="1589"/>
      <c r="Q38" s="1589"/>
      <c r="R38" s="1589"/>
      <c r="S38" s="1589"/>
      <c r="T38" s="1589"/>
      <c r="U38" s="1589"/>
      <c r="V38" s="1589"/>
      <c r="W38" s="1589"/>
      <c r="X38" s="1589"/>
      <c r="Y38" s="1589"/>
      <c r="Z38" s="1589"/>
      <c r="AA38" s="1589"/>
      <c r="AB38" s="1589"/>
      <c r="AC38" s="1589"/>
      <c r="AD38" s="1589"/>
      <c r="AE38" s="1589"/>
      <c r="AF38" s="1589"/>
      <c r="AG38" s="1589"/>
      <c r="AH38" s="1589"/>
      <c r="AI38" s="1589"/>
      <c r="AJ38" s="1589"/>
      <c r="AK38" s="1589"/>
      <c r="AL38" s="1589"/>
      <c r="AM38" s="1589"/>
      <c r="AN38" s="1589"/>
      <c r="AO38" s="1589"/>
      <c r="AP38" s="1589"/>
      <c r="AQ38" s="1589"/>
      <c r="AR38" s="366"/>
      <c r="AS38" s="366"/>
      <c r="AT38" s="366"/>
      <c r="AU38" s="366"/>
    </row>
    <row r="39" spans="2:47" ht="30.75" customHeight="1">
      <c r="C39" s="1590" t="s">
        <v>8155</v>
      </c>
      <c r="D39" s="1590"/>
      <c r="E39" s="1590"/>
      <c r="F39" s="1590"/>
      <c r="G39" s="1590"/>
      <c r="H39" s="1590"/>
      <c r="I39" s="1590"/>
      <c r="J39" s="1590"/>
      <c r="K39" s="1590"/>
      <c r="L39" s="1590"/>
      <c r="M39" s="1590"/>
      <c r="N39" s="1590"/>
      <c r="O39" s="1590"/>
      <c r="P39" s="1590"/>
      <c r="Q39" s="1590"/>
      <c r="R39" s="1590"/>
      <c r="S39" s="1590"/>
      <c r="T39" s="1590"/>
      <c r="U39" s="1590"/>
      <c r="V39" s="1590"/>
      <c r="W39" s="1590"/>
      <c r="X39" s="1590"/>
      <c r="Y39" s="1590"/>
      <c r="Z39" s="1590"/>
      <c r="AA39" s="1590"/>
      <c r="AB39" s="1590"/>
      <c r="AC39" s="1590"/>
      <c r="AD39" s="1590"/>
      <c r="AE39" s="1590"/>
      <c r="AF39" s="1590"/>
      <c r="AG39" s="1590"/>
      <c r="AH39" s="1590"/>
      <c r="AI39" s="1590"/>
      <c r="AJ39" s="1590"/>
      <c r="AK39" s="1590"/>
      <c r="AL39" s="1590"/>
      <c r="AM39" s="1590"/>
      <c r="AN39" s="1590"/>
      <c r="AO39" s="1590"/>
      <c r="AP39" s="1590"/>
      <c r="AQ39" s="1590"/>
      <c r="AR39" s="366"/>
      <c r="AS39" s="366"/>
      <c r="AT39" s="366"/>
      <c r="AU39" s="366"/>
    </row>
    <row r="40" spans="2:47" ht="13">
      <c r="AR40" s="366"/>
      <c r="AS40" s="366"/>
      <c r="AT40" s="366"/>
      <c r="AU40" s="366"/>
    </row>
    <row r="41" spans="2:47" ht="13.5" customHeight="1">
      <c r="AR41" s="366"/>
      <c r="AS41" s="366"/>
      <c r="AT41" s="366"/>
      <c r="AU41" s="366"/>
    </row>
    <row r="42" spans="2:47" ht="13.5" customHeight="1"/>
  </sheetData>
  <sheetProtection algorithmName="SHA-512" hashValue="rTVNYEvOkl7DFis5alGm7PBiaonanMdf5vUOJ80DeS82e0oZio7mSPAUHOGT/veYKHcTOtvM36JqWCY8EMjmng==" saltValue="2mWaOJrpaGrWn0RHqPqqxA==" spinCount="100000" sheet="1"/>
  <mergeCells count="67">
    <mergeCell ref="AC10:AF10"/>
    <mergeCell ref="AO17:AP17"/>
    <mergeCell ref="AD5:AH5"/>
    <mergeCell ref="AG10:AJ10"/>
    <mergeCell ref="AN5:AQ5"/>
    <mergeCell ref="AL10:AO10"/>
    <mergeCell ref="AI5:AL5"/>
    <mergeCell ref="AH17:AL17"/>
    <mergeCell ref="AJ36:AP36"/>
    <mergeCell ref="AB26:AE27"/>
    <mergeCell ref="AB24:AE24"/>
    <mergeCell ref="AB17:AE17"/>
    <mergeCell ref="X36:AD36"/>
    <mergeCell ref="AH19:AL19"/>
    <mergeCell ref="AH22:AL22"/>
    <mergeCell ref="AH24:AL24"/>
    <mergeCell ref="AH26:AL27"/>
    <mergeCell ref="AH29:AL29"/>
    <mergeCell ref="AO22:AP22"/>
    <mergeCell ref="AO24:AP24"/>
    <mergeCell ref="AO26:AP27"/>
    <mergeCell ref="AO29:AP29"/>
    <mergeCell ref="AO19:AP19"/>
    <mergeCell ref="L17:P17"/>
    <mergeCell ref="S17:T17"/>
    <mergeCell ref="V17:Y17"/>
    <mergeCell ref="S24:T24"/>
    <mergeCell ref="W10:X10"/>
    <mergeCell ref="V19:Y19"/>
    <mergeCell ref="S19:T19"/>
    <mergeCell ref="L19:P19"/>
    <mergeCell ref="L22:P22"/>
    <mergeCell ref="S22:T22"/>
    <mergeCell ref="G22:J22"/>
    <mergeCell ref="G24:J24"/>
    <mergeCell ref="D26:J26"/>
    <mergeCell ref="D27:J27"/>
    <mergeCell ref="L24:P24"/>
    <mergeCell ref="E5:M5"/>
    <mergeCell ref="R5:Z5"/>
    <mergeCell ref="C16:H16"/>
    <mergeCell ref="D9:D11"/>
    <mergeCell ref="N5:Q5"/>
    <mergeCell ref="H9:J11"/>
    <mergeCell ref="U10:V10"/>
    <mergeCell ref="D34:G34"/>
    <mergeCell ref="C38:AQ38"/>
    <mergeCell ref="C39:AQ39"/>
    <mergeCell ref="Y10:AA10"/>
    <mergeCell ref="K10:N10"/>
    <mergeCell ref="H34:P34"/>
    <mergeCell ref="F10:G10"/>
    <mergeCell ref="P9:S11"/>
    <mergeCell ref="AB19:AE19"/>
    <mergeCell ref="AB22:AE22"/>
    <mergeCell ref="AB29:AE29"/>
    <mergeCell ref="V29:Y29"/>
    <mergeCell ref="V26:Y27"/>
    <mergeCell ref="V24:Y24"/>
    <mergeCell ref="V22:Y22"/>
    <mergeCell ref="C32:L32"/>
    <mergeCell ref="S26:T27"/>
    <mergeCell ref="S29:T29"/>
    <mergeCell ref="L26:P27"/>
    <mergeCell ref="L29:P29"/>
    <mergeCell ref="D28:J29"/>
    <mergeCell ref="K26:K27"/>
  </mergeCells>
  <pageMargins left="0" right="0" top="0" bottom="0" header="0" footer="0"/>
  <pageSetup paperSize="9" scale="90"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716CF-161F-4B90-8EB9-CA65FB734E92}">
  <sheetPr codeName="Sheet15">
    <pageSetUpPr autoPageBreaks="0" fitToPage="1"/>
  </sheetPr>
  <dimension ref="A1:AP175"/>
  <sheetViews>
    <sheetView showGridLines="0" showRowColHeaders="0" zoomScaleNormal="100" workbookViewId="0">
      <selection activeCell="F9" sqref="F9"/>
    </sheetView>
  </sheetViews>
  <sheetFormatPr baseColWidth="10" defaultColWidth="9" defaultRowHeight="13"/>
  <cols>
    <col min="1" max="2" width="0.83203125" customWidth="1"/>
    <col min="3" max="3" width="2.5" customWidth="1"/>
    <col min="4" max="4" width="22.1640625" customWidth="1"/>
    <col min="5" max="5" width="3.1640625" customWidth="1"/>
    <col min="6" max="6" width="17.6640625" customWidth="1"/>
    <col min="7" max="7" width="3.6640625" customWidth="1"/>
    <col min="8" max="8" width="1.1640625" customWidth="1"/>
    <col min="9" max="9" width="2.6640625" customWidth="1"/>
    <col min="10" max="10" width="2.5" customWidth="1"/>
    <col min="11" max="11" width="22.1640625" customWidth="1"/>
    <col min="12" max="12" width="3.1640625" customWidth="1"/>
    <col min="13" max="13" width="17.6640625" style="434" customWidth="1"/>
    <col min="14" max="14" width="3.6640625" customWidth="1"/>
    <col min="15" max="15" width="1.1640625" customWidth="1"/>
    <col min="16" max="16" width="0.83203125" customWidth="1"/>
    <col min="17" max="17" width="1.1640625" customWidth="1"/>
  </cols>
  <sheetData>
    <row r="1" spans="1:16" ht="5.25" customHeight="1">
      <c r="A1" s="23">
        <f>SS_CC_Sale_Price*0.05</f>
        <v>0</v>
      </c>
      <c r="B1" s="23"/>
      <c r="C1" s="2"/>
      <c r="D1" s="2"/>
      <c r="E1" s="2"/>
      <c r="F1" s="2"/>
      <c r="G1" s="2"/>
      <c r="H1" s="2"/>
      <c r="I1" s="2"/>
      <c r="J1" s="2"/>
      <c r="K1" s="2"/>
      <c r="L1" s="2"/>
      <c r="M1" s="67"/>
      <c r="N1" s="2"/>
      <c r="O1" s="2"/>
      <c r="P1" s="2"/>
    </row>
    <row r="2" spans="1:16" ht="5.25" customHeight="1">
      <c r="A2" s="2"/>
      <c r="B2" s="730"/>
      <c r="C2" s="731"/>
      <c r="D2" s="731"/>
      <c r="E2" s="731"/>
      <c r="F2" s="731"/>
      <c r="G2" s="731"/>
      <c r="H2" s="731"/>
      <c r="I2" s="731"/>
      <c r="J2" s="731"/>
      <c r="K2" s="731"/>
      <c r="L2" s="731"/>
      <c r="M2" s="1052"/>
      <c r="N2" s="731"/>
      <c r="O2" s="731"/>
      <c r="P2" s="732"/>
    </row>
    <row r="3" spans="1:16" s="2" customFormat="1" ht="30.75" customHeight="1">
      <c r="B3" s="733"/>
      <c r="C3" s="1472" t="s">
        <v>8376</v>
      </c>
      <c r="D3" s="1472"/>
      <c r="E3" s="1472"/>
      <c r="F3" s="1472"/>
      <c r="G3" s="1472"/>
      <c r="H3" s="1472"/>
      <c r="I3" s="1472"/>
      <c r="J3" s="1472"/>
      <c r="K3" s="1472"/>
      <c r="L3" s="1472"/>
      <c r="M3" s="1472"/>
      <c r="N3" s="1472"/>
      <c r="O3" s="1472"/>
      <c r="P3" s="736"/>
    </row>
    <row r="4" spans="1:16" s="2" customFormat="1" ht="8.25" customHeight="1">
      <c r="A4" s="361"/>
      <c r="B4" s="733"/>
      <c r="C4" s="735"/>
      <c r="D4" s="735"/>
      <c r="E4" s="735"/>
      <c r="F4" s="735"/>
      <c r="G4" s="735"/>
      <c r="H4" s="735"/>
      <c r="I4" s="735"/>
      <c r="J4" s="735"/>
      <c r="K4" s="735"/>
      <c r="L4" s="735"/>
      <c r="M4" s="1062"/>
      <c r="N4" s="735"/>
      <c r="O4" s="735"/>
      <c r="P4" s="736"/>
    </row>
    <row r="5" spans="1:16" s="2" customFormat="1" ht="11.25" customHeight="1">
      <c r="A5" s="361"/>
      <c r="B5" s="733"/>
      <c r="C5" s="735"/>
      <c r="D5" s="735"/>
      <c r="E5" s="735"/>
      <c r="F5" s="735"/>
      <c r="G5" s="735"/>
      <c r="H5" s="735"/>
      <c r="I5" s="735"/>
      <c r="J5" s="735"/>
      <c r="K5" s="735"/>
      <c r="L5" s="735"/>
      <c r="M5" s="1062"/>
      <c r="N5" s="735"/>
      <c r="O5" s="735"/>
      <c r="P5" s="736"/>
    </row>
    <row r="6" spans="1:16" s="2" customFormat="1" ht="17.25" customHeight="1">
      <c r="A6" s="361"/>
      <c r="B6" s="733"/>
      <c r="C6" s="1078">
        <v>1</v>
      </c>
      <c r="D6" s="1613" t="s">
        <v>8377</v>
      </c>
      <c r="E6" s="1613"/>
      <c r="F6" s="1613"/>
      <c r="G6" s="1613"/>
      <c r="H6" s="1613"/>
      <c r="I6" s="832"/>
      <c r="J6" s="735"/>
      <c r="K6" s="1057"/>
      <c r="L6" s="1057"/>
      <c r="M6" s="1057"/>
      <c r="N6" s="1057"/>
      <c r="O6" s="1057"/>
      <c r="P6" s="736"/>
    </row>
    <row r="7" spans="1:16" s="2" customFormat="1" ht="5.25" customHeight="1">
      <c r="A7" s="361"/>
      <c r="B7" s="733"/>
      <c r="C7" s="735"/>
      <c r="D7" s="735"/>
      <c r="E7" s="735"/>
      <c r="F7" s="735"/>
      <c r="G7" s="735"/>
      <c r="H7" s="735"/>
      <c r="I7" s="735"/>
      <c r="J7" s="735"/>
      <c r="K7" s="1057"/>
      <c r="L7" s="1057"/>
      <c r="M7" s="1057"/>
      <c r="N7" s="1057"/>
      <c r="O7" s="1057"/>
      <c r="P7" s="736"/>
    </row>
    <row r="8" spans="1:16" s="2" customFormat="1" ht="6.75" customHeight="1">
      <c r="A8" s="361"/>
      <c r="B8" s="733"/>
      <c r="C8" s="711"/>
      <c r="D8" s="712"/>
      <c r="E8" s="712"/>
      <c r="F8" s="712"/>
      <c r="G8" s="712"/>
      <c r="H8" s="708"/>
      <c r="I8" s="735"/>
      <c r="J8" s="735"/>
      <c r="K8" s="1057"/>
      <c r="L8" s="1057"/>
      <c r="M8" s="1057"/>
      <c r="N8" s="1057"/>
      <c r="O8" s="1057"/>
      <c r="P8" s="736"/>
    </row>
    <row r="9" spans="1:16" s="2" customFormat="1" ht="15" customHeight="1">
      <c r="A9" s="361"/>
      <c r="B9" s="733"/>
      <c r="C9" s="742"/>
      <c r="D9" s="1065" t="s">
        <v>8378</v>
      </c>
      <c r="E9" s="1033"/>
      <c r="F9" s="1074">
        <v>0</v>
      </c>
      <c r="G9" s="1034"/>
      <c r="H9" s="714"/>
      <c r="I9" s="735"/>
      <c r="J9" s="1057"/>
      <c r="K9" s="1057"/>
      <c r="L9" s="1057"/>
      <c r="M9" s="1057"/>
      <c r="N9" s="1057"/>
      <c r="O9" s="1057"/>
      <c r="P9" s="736"/>
    </row>
    <row r="10" spans="1:16" ht="6.75" customHeight="1">
      <c r="A10" s="1032"/>
      <c r="B10" s="1053"/>
      <c r="C10" s="1045"/>
      <c r="D10" s="1046"/>
      <c r="E10" s="1046"/>
      <c r="F10" s="1046"/>
      <c r="G10" s="1046"/>
      <c r="H10" s="1048"/>
      <c r="I10" s="1058"/>
      <c r="J10" s="1057"/>
      <c r="K10" s="1057"/>
      <c r="L10" s="1057"/>
      <c r="M10" s="1057"/>
      <c r="N10" s="1057"/>
      <c r="O10" s="1057"/>
      <c r="P10" s="736"/>
    </row>
    <row r="11" spans="1:16" ht="11.25" customHeight="1">
      <c r="B11" s="1053"/>
      <c r="C11" s="1058"/>
      <c r="D11" s="1059"/>
      <c r="E11" s="1058"/>
      <c r="F11" s="1060"/>
      <c r="G11" s="1058"/>
      <c r="H11" s="1058"/>
      <c r="I11" s="1058"/>
      <c r="J11" s="1058"/>
      <c r="K11" s="1058"/>
      <c r="L11" s="1058"/>
      <c r="M11" s="1061"/>
      <c r="N11" s="1058"/>
      <c r="O11" s="1058"/>
      <c r="P11" s="1050"/>
    </row>
    <row r="12" spans="1:16" ht="17.25" customHeight="1">
      <c r="B12" s="1053"/>
      <c r="C12" s="1078">
        <v>2</v>
      </c>
      <c r="D12" s="1613" t="s">
        <v>8379</v>
      </c>
      <c r="E12" s="1613"/>
      <c r="F12" s="1613"/>
      <c r="G12" s="1613"/>
      <c r="H12" s="1613"/>
      <c r="I12" s="1058"/>
      <c r="J12" s="1078">
        <v>3</v>
      </c>
      <c r="K12" s="1613" t="s">
        <v>8380</v>
      </c>
      <c r="L12" s="1613"/>
      <c r="M12" s="1613"/>
      <c r="N12" s="1613"/>
      <c r="O12" s="1613"/>
      <c r="P12" s="1050"/>
    </row>
    <row r="13" spans="1:16" ht="7.5" customHeight="1">
      <c r="B13" s="1053"/>
      <c r="C13" s="1059"/>
      <c r="D13" s="1059"/>
      <c r="E13" s="1059"/>
      <c r="F13" s="1059"/>
      <c r="G13" s="1059"/>
      <c r="H13" s="1059"/>
      <c r="I13" s="1058"/>
      <c r="J13" s="735"/>
      <c r="K13" s="735"/>
      <c r="L13" s="735"/>
      <c r="M13" s="735"/>
      <c r="N13" s="735"/>
      <c r="O13" s="735"/>
      <c r="P13" s="1050"/>
    </row>
    <row r="14" spans="1:16" ht="5.25" customHeight="1">
      <c r="B14" s="1053"/>
      <c r="C14" s="1038"/>
      <c r="D14" s="1039"/>
      <c r="E14" s="1039"/>
      <c r="F14" s="1040"/>
      <c r="G14" s="1040"/>
      <c r="H14" s="1041"/>
      <c r="I14" s="735"/>
      <c r="J14" s="1038"/>
      <c r="K14" s="1039"/>
      <c r="L14" s="1039"/>
      <c r="M14" s="1040"/>
      <c r="N14" s="1040"/>
      <c r="O14" s="1041"/>
      <c r="P14" s="1050"/>
    </row>
    <row r="15" spans="1:16" ht="15" customHeight="1">
      <c r="B15" s="1053"/>
      <c r="C15" s="1042"/>
      <c r="D15" s="1066" t="s">
        <v>8381</v>
      </c>
      <c r="E15" s="1036" t="s">
        <v>8382</v>
      </c>
      <c r="F15" s="1073">
        <v>0</v>
      </c>
      <c r="G15" s="434"/>
      <c r="H15" s="1043"/>
      <c r="I15" s="735"/>
      <c r="J15" s="1042"/>
      <c r="K15" s="1066" t="s">
        <v>8383</v>
      </c>
      <c r="L15" s="1077" t="s">
        <v>8382</v>
      </c>
      <c r="M15" s="1073">
        <v>0</v>
      </c>
      <c r="N15" s="434"/>
      <c r="O15" s="1043"/>
      <c r="P15" s="1050"/>
    </row>
    <row r="16" spans="1:16" ht="15" customHeight="1">
      <c r="B16" s="1053"/>
      <c r="C16" s="1042"/>
      <c r="D16" s="1066" t="s">
        <v>8384</v>
      </c>
      <c r="E16" s="1036" t="s">
        <v>8104</v>
      </c>
      <c r="F16" s="1073">
        <v>0</v>
      </c>
      <c r="G16" s="434"/>
      <c r="H16" s="1043"/>
      <c r="I16" s="735"/>
      <c r="J16" s="1042"/>
      <c r="K16" s="1066" t="s">
        <v>8385</v>
      </c>
      <c r="L16" s="1077" t="s">
        <v>8382</v>
      </c>
      <c r="M16" s="1073">
        <v>0</v>
      </c>
      <c r="N16" s="434"/>
      <c r="O16" s="1043"/>
      <c r="P16" s="1050"/>
    </row>
    <row r="17" spans="1:20" ht="15" customHeight="1">
      <c r="B17" s="1053"/>
      <c r="C17" s="1042"/>
      <c r="D17" s="1066" t="s">
        <v>8053</v>
      </c>
      <c r="E17" s="1036" t="s">
        <v>8104</v>
      </c>
      <c r="F17" s="1072">
        <f>SS_LD_Loan_Amount</f>
        <v>0</v>
      </c>
      <c r="G17" s="434"/>
      <c r="H17" s="1043"/>
      <c r="I17" s="735"/>
      <c r="J17" s="1042"/>
      <c r="K17" s="1066" t="s">
        <v>8386</v>
      </c>
      <c r="L17" s="1077" t="s">
        <v>8104</v>
      </c>
      <c r="M17" s="1072">
        <f>F18</f>
        <v>0</v>
      </c>
      <c r="N17" s="434"/>
      <c r="O17" s="1043"/>
      <c r="P17" s="1050"/>
    </row>
    <row r="18" spans="1:20" ht="15" customHeight="1">
      <c r="B18" s="1053"/>
      <c r="C18" s="1042"/>
      <c r="D18" s="1075" t="s">
        <v>8386</v>
      </c>
      <c r="E18" s="1037"/>
      <c r="F18" s="1071">
        <f>SS_CC_Sale_Price-SS_CC_Sale_Costs-F17</f>
        <v>0</v>
      </c>
      <c r="G18" s="434"/>
      <c r="H18" s="1043"/>
      <c r="I18" s="735"/>
      <c r="J18" s="1042"/>
      <c r="K18" s="1075" t="s">
        <v>8387</v>
      </c>
      <c r="L18" s="1037"/>
      <c r="M18" s="1071">
        <f>SS_CC_Prch_Price+SS_CC_Prch_Costs-M17</f>
        <v>0</v>
      </c>
      <c r="N18" s="434"/>
      <c r="O18" s="1043"/>
      <c r="P18" s="1050"/>
    </row>
    <row r="19" spans="1:20" ht="15" customHeight="1">
      <c r="B19" s="1053"/>
      <c r="C19" s="1042"/>
      <c r="D19" s="1035"/>
      <c r="E19" s="1037"/>
      <c r="F19" s="1049"/>
      <c r="G19" s="434"/>
      <c r="H19" s="1043"/>
      <c r="I19" s="735"/>
      <c r="J19" s="1042"/>
      <c r="K19" s="1035"/>
      <c r="L19" s="1037"/>
      <c r="M19" s="1049"/>
      <c r="N19" s="434"/>
      <c r="O19" s="1043"/>
      <c r="P19" s="1050"/>
    </row>
    <row r="20" spans="1:20" ht="15" customHeight="1">
      <c r="B20" s="1053"/>
      <c r="C20" s="1042"/>
      <c r="D20" s="1076" t="s">
        <v>8388</v>
      </c>
      <c r="E20" s="1037"/>
      <c r="F20" s="1070">
        <f>IFERROR(SS_LD_Loan_Amount/SS_CC_Sale_Price,0)</f>
        <v>0</v>
      </c>
      <c r="G20" s="434"/>
      <c r="H20" s="1043"/>
      <c r="I20" s="735"/>
      <c r="J20" s="1042"/>
      <c r="K20" s="1076" t="s">
        <v>8389</v>
      </c>
      <c r="L20" s="1037"/>
      <c r="M20" s="1070">
        <f>IFERROR(SS_LD_Loan_Amount/SS_CC_Prch_Price,0)</f>
        <v>0</v>
      </c>
      <c r="N20" s="434"/>
      <c r="O20" s="1043"/>
      <c r="P20" s="1050"/>
    </row>
    <row r="21" spans="1:20" ht="5.25" customHeight="1">
      <c r="B21" s="1053"/>
      <c r="C21" s="1042"/>
      <c r="H21" s="1044"/>
      <c r="I21" s="735"/>
      <c r="J21" s="1042"/>
      <c r="M21"/>
      <c r="O21" s="1044"/>
      <c r="P21" s="1050"/>
    </row>
    <row r="22" spans="1:20" ht="15" customHeight="1">
      <c r="B22" s="1053"/>
      <c r="C22" s="1042"/>
      <c r="D22" s="435"/>
      <c r="E22" s="1037"/>
      <c r="F22" s="436"/>
      <c r="G22" s="434"/>
      <c r="H22" s="1043"/>
      <c r="I22" s="735"/>
      <c r="J22" s="1042"/>
      <c r="K22" s="1614" t="str">
        <f>IF(OR(SS_CUR_LVR=0,SS_NEW_LVR=0),"",IF(AND(SS_CUR_LVR&lt;=80%,SS_NEW_LVR&gt;80%),"LVR cannot move from non-LMI to LMI. Loan reduction of "&amp;TEXT((SS_LD_Loan_Amount-SS_CC_Prch_Price*0.8),"$#,#")&amp;" required to reduce LVR below thresholds.",IF(AND(SS_CUR_LVR&gt;80%,SS_NEW_LVR&gt;SS_CUR_LVR),"LVR cannot increase within the LMI space. Loan reduction of "&amp;TEXT((SS_LD_Loan_Amount-SS_CC_Prch_Price*SS_CUR_LVR),"$#,#")&amp;" required to reduce LVR below thresholds.","")))</f>
        <v/>
      </c>
      <c r="L22" s="1614"/>
      <c r="M22" s="1614"/>
      <c r="N22" s="434"/>
      <c r="O22" s="1043"/>
      <c r="P22" s="1050"/>
      <c r="Q22" s="435"/>
    </row>
    <row r="23" spans="1:20" ht="15" customHeight="1">
      <c r="B23" s="1053"/>
      <c r="C23" s="1042"/>
      <c r="D23" s="435"/>
      <c r="E23" s="1037"/>
      <c r="F23" s="436"/>
      <c r="G23" s="434"/>
      <c r="H23" s="1043"/>
      <c r="I23" s="735"/>
      <c r="J23" s="1042"/>
      <c r="K23" s="1614"/>
      <c r="L23" s="1614"/>
      <c r="M23" s="1614"/>
      <c r="N23" s="434"/>
      <c r="O23" s="1043"/>
      <c r="P23" s="1050"/>
      <c r="Q23" s="435"/>
    </row>
    <row r="24" spans="1:20" ht="5.25" customHeight="1">
      <c r="B24" s="1053"/>
      <c r="C24" s="1045"/>
      <c r="D24" s="1046"/>
      <c r="E24" s="1046"/>
      <c r="F24" s="1046"/>
      <c r="G24" s="1046"/>
      <c r="H24" s="1047"/>
      <c r="I24" s="735"/>
      <c r="J24" s="1045"/>
      <c r="K24" s="1046"/>
      <c r="L24" s="1046"/>
      <c r="M24" s="1046"/>
      <c r="N24" s="1046"/>
      <c r="O24" s="1047"/>
      <c r="P24" s="1050"/>
    </row>
    <row r="25" spans="1:20" ht="11.25" customHeight="1">
      <c r="B25" s="1053"/>
      <c r="C25" s="735"/>
      <c r="D25" s="735"/>
      <c r="E25" s="735"/>
      <c r="F25" s="735"/>
      <c r="G25" s="735"/>
      <c r="H25" s="735"/>
      <c r="I25" s="735"/>
      <c r="J25" s="735"/>
      <c r="K25" s="735"/>
      <c r="L25" s="735"/>
      <c r="M25" s="735"/>
      <c r="N25" s="735"/>
      <c r="O25" s="735"/>
      <c r="P25" s="1050"/>
    </row>
    <row r="26" spans="1:20" s="2" customFormat="1" ht="17.25" customHeight="1">
      <c r="A26" s="361"/>
      <c r="B26" s="733"/>
      <c r="C26" s="1078">
        <v>4</v>
      </c>
      <c r="D26" s="1613" t="s">
        <v>739</v>
      </c>
      <c r="E26" s="1613"/>
      <c r="F26" s="1613"/>
      <c r="G26" s="1613"/>
      <c r="H26" s="1613"/>
      <c r="I26" s="832"/>
      <c r="J26" s="735"/>
      <c r="K26" s="1057"/>
      <c r="L26" s="1057"/>
      <c r="M26" s="1057"/>
      <c r="N26" s="1057"/>
      <c r="O26" s="1057"/>
      <c r="P26" s="736"/>
      <c r="Q26" s="69"/>
    </row>
    <row r="27" spans="1:20" s="2" customFormat="1" ht="5.25" customHeight="1">
      <c r="A27" s="361"/>
      <c r="B27" s="733"/>
      <c r="C27" s="735"/>
      <c r="D27" s="735"/>
      <c r="E27" s="735"/>
      <c r="F27" s="735"/>
      <c r="G27" s="735"/>
      <c r="H27" s="735"/>
      <c r="I27" s="735"/>
      <c r="J27" s="735"/>
      <c r="K27" s="1057"/>
      <c r="L27" s="1057"/>
      <c r="M27" s="1057"/>
      <c r="N27" s="1057"/>
      <c r="O27" s="1057"/>
      <c r="P27" s="736"/>
    </row>
    <row r="28" spans="1:20" s="2" customFormat="1" ht="6.75" customHeight="1">
      <c r="A28" s="361"/>
      <c r="B28" s="733"/>
      <c r="C28" s="711"/>
      <c r="D28" s="712"/>
      <c r="E28" s="712"/>
      <c r="F28" s="712"/>
      <c r="G28" s="712"/>
      <c r="H28" s="708"/>
      <c r="I28" s="735"/>
      <c r="J28" s="735"/>
      <c r="K28" s="1057"/>
      <c r="L28" s="1057"/>
      <c r="M28" s="1057"/>
      <c r="N28" s="1057"/>
      <c r="O28" s="1057"/>
      <c r="P28" s="736"/>
    </row>
    <row r="29" spans="1:20" s="2" customFormat="1" ht="15" customHeight="1">
      <c r="A29" s="361"/>
      <c r="B29" s="733"/>
      <c r="C29" s="742"/>
      <c r="D29" s="1065" t="s">
        <v>8378</v>
      </c>
      <c r="E29" s="1033" t="s">
        <v>239</v>
      </c>
      <c r="F29" s="1069">
        <f>SS_LD_Loan_Amount</f>
        <v>0</v>
      </c>
      <c r="G29" s="34"/>
      <c r="H29" s="714"/>
      <c r="I29" s="735"/>
      <c r="J29" s="735"/>
      <c r="K29" s="1057"/>
      <c r="L29" s="1057"/>
      <c r="M29" s="1057"/>
      <c r="N29" s="1057"/>
      <c r="O29" s="1057"/>
      <c r="P29" s="736"/>
      <c r="Q29" s="69"/>
      <c r="R29" s="259"/>
    </row>
    <row r="30" spans="1:20" s="2" customFormat="1" ht="15" customHeight="1">
      <c r="A30" s="361"/>
      <c r="B30" s="733"/>
      <c r="C30" s="742"/>
      <c r="D30" s="1066" t="s">
        <v>8387</v>
      </c>
      <c r="E30" s="881" t="s">
        <v>241</v>
      </c>
      <c r="F30" s="1069">
        <f>M18</f>
        <v>0</v>
      </c>
      <c r="G30" s="34"/>
      <c r="H30" s="714"/>
      <c r="I30" s="735"/>
      <c r="J30" s="735"/>
      <c r="K30" s="1057"/>
      <c r="L30" s="1057"/>
      <c r="M30" s="1057"/>
      <c r="N30" s="1057"/>
      <c r="O30" s="1057"/>
      <c r="P30" s="736"/>
    </row>
    <row r="31" spans="1:20" s="2" customFormat="1" ht="15" customHeight="1">
      <c r="A31" s="361"/>
      <c r="B31" s="733"/>
      <c r="C31" s="742"/>
      <c r="D31" s="1067" t="s">
        <v>8390</v>
      </c>
      <c r="E31" s="1033"/>
      <c r="F31" s="1068">
        <f>F29-F30</f>
        <v>0</v>
      </c>
      <c r="G31" s="1034"/>
      <c r="H31" s="714"/>
      <c r="I31" s="735"/>
      <c r="J31" s="1057"/>
      <c r="K31" s="1057"/>
      <c r="L31" s="1057"/>
      <c r="M31" s="1057"/>
      <c r="N31" s="1057"/>
      <c r="O31" s="1057"/>
      <c r="P31" s="736"/>
    </row>
    <row r="32" spans="1:20" s="2" customFormat="1" ht="18.75" customHeight="1">
      <c r="A32" s="361"/>
      <c r="B32" s="733"/>
      <c r="C32" s="742"/>
      <c r="D32" s="1611" t="str">
        <f>IF(F31&lt;0,"Customers can contribute their own funds to cover the shortfall.","")</f>
        <v/>
      </c>
      <c r="E32" s="1611"/>
      <c r="F32" s="1611"/>
      <c r="G32" s="1611"/>
      <c r="H32" s="714"/>
      <c r="I32" s="735"/>
      <c r="J32" s="1057"/>
      <c r="K32" s="1057"/>
      <c r="L32" s="1057"/>
      <c r="M32" s="1057"/>
      <c r="N32" s="1057"/>
      <c r="O32" s="1057"/>
      <c r="P32" s="736"/>
      <c r="T32" s="69"/>
    </row>
    <row r="33" spans="1:20" ht="6.75" customHeight="1">
      <c r="A33" s="1032"/>
      <c r="B33" s="1053"/>
      <c r="C33" s="1045"/>
      <c r="D33" s="1046"/>
      <c r="E33" s="1046"/>
      <c r="F33" s="1046"/>
      <c r="G33" s="1046"/>
      <c r="H33" s="1048"/>
      <c r="I33" s="1058"/>
      <c r="J33" s="1057"/>
      <c r="K33" s="1057"/>
      <c r="L33" s="1057"/>
      <c r="M33" s="1057"/>
      <c r="N33" s="1057"/>
      <c r="O33" s="1057"/>
      <c r="P33" s="736"/>
    </row>
    <row r="34" spans="1:20" ht="5.25" customHeight="1">
      <c r="B34" s="1053"/>
      <c r="C34" s="735"/>
      <c r="D34" s="735"/>
      <c r="E34" s="735"/>
      <c r="F34" s="735"/>
      <c r="G34" s="735"/>
      <c r="H34" s="735"/>
      <c r="I34" s="735"/>
      <c r="J34" s="735"/>
      <c r="K34" s="735"/>
      <c r="L34" s="735"/>
      <c r="M34" s="735"/>
      <c r="N34" s="735"/>
      <c r="O34" s="735"/>
      <c r="P34" s="1050"/>
    </row>
    <row r="35" spans="1:20" ht="21" customHeight="1">
      <c r="B35" s="1053"/>
      <c r="C35" s="774" t="s">
        <v>160</v>
      </c>
      <c r="D35" s="1058"/>
      <c r="E35" s="983"/>
      <c r="F35" s="983"/>
      <c r="G35" s="735"/>
      <c r="H35" s="735"/>
      <c r="I35" s="735"/>
      <c r="J35" s="735"/>
      <c r="K35" s="735"/>
      <c r="L35" s="735"/>
      <c r="M35" s="735"/>
      <c r="N35" s="735"/>
      <c r="O35" s="1058"/>
      <c r="P35" s="1050"/>
      <c r="T35" s="437"/>
    </row>
    <row r="36" spans="1:20" ht="44.25" customHeight="1">
      <c r="B36" s="1053"/>
      <c r="C36" s="1615" t="s">
        <v>810</v>
      </c>
      <c r="D36" s="1615"/>
      <c r="E36" s="1615"/>
      <c r="F36" s="1615"/>
      <c r="G36" s="1615"/>
      <c r="H36" s="1615"/>
      <c r="I36" s="1615"/>
      <c r="J36" s="1615"/>
      <c r="K36" s="1615"/>
      <c r="L36" s="1615"/>
      <c r="M36" s="1615"/>
      <c r="N36" s="1615"/>
      <c r="O36" s="1063"/>
      <c r="P36" s="1050"/>
    </row>
    <row r="37" spans="1:20" ht="11.25" customHeight="1">
      <c r="B37" s="1054"/>
      <c r="C37" s="1055"/>
      <c r="D37" s="738"/>
      <c r="E37" s="1612"/>
      <c r="F37" s="1612"/>
      <c r="G37" s="1612"/>
      <c r="H37" s="738"/>
      <c r="I37" s="738"/>
      <c r="J37" s="738"/>
      <c r="K37" s="738"/>
      <c r="L37" s="738"/>
      <c r="M37" s="738"/>
      <c r="N37" s="738"/>
      <c r="O37" s="1064" t="str">
        <f>ML_CALC_VERSION</f>
        <v>HL_Calc_V54_250405</v>
      </c>
      <c r="P37" s="1051"/>
    </row>
    <row r="120" spans="31:42">
      <c r="AM120">
        <v>0</v>
      </c>
      <c r="AN120">
        <v>443980.55675444897</v>
      </c>
      <c r="AO120" t="b">
        <v>0</v>
      </c>
      <c r="AP120" t="b">
        <v>0</v>
      </c>
    </row>
    <row r="126" spans="31:42">
      <c r="AE126">
        <v>0</v>
      </c>
      <c r="AF126">
        <v>0</v>
      </c>
      <c r="AG126" t="b">
        <v>0</v>
      </c>
      <c r="AN126">
        <v>0</v>
      </c>
      <c r="AP126" t="b">
        <v>0</v>
      </c>
    </row>
    <row r="130" spans="40:42">
      <c r="AN130">
        <v>333663.40171675902</v>
      </c>
      <c r="AP130" t="b">
        <v>1</v>
      </c>
    </row>
    <row r="131" spans="40:42">
      <c r="AN131">
        <v>188098.667590486</v>
      </c>
      <c r="AP131" t="b">
        <v>0</v>
      </c>
    </row>
    <row r="134" spans="40:42">
      <c r="AN134">
        <v>1225.8567635696099</v>
      </c>
      <c r="AP134" t="b">
        <v>1</v>
      </c>
    </row>
    <row r="161" spans="40:42">
      <c r="AN161">
        <v>431618.61017838301</v>
      </c>
      <c r="AP161" t="b">
        <v>0</v>
      </c>
    </row>
    <row r="165" spans="40:42">
      <c r="AN165">
        <v>0</v>
      </c>
      <c r="AP165" t="b">
        <v>1</v>
      </c>
    </row>
    <row r="175" spans="40:42">
      <c r="AN175">
        <v>2170053.5048541999</v>
      </c>
      <c r="AP175" t="b">
        <v>1</v>
      </c>
    </row>
  </sheetData>
  <sheetProtection selectLockedCells="1"/>
  <dataConsolidate/>
  <mergeCells count="9">
    <mergeCell ref="D32:G32"/>
    <mergeCell ref="E37:G37"/>
    <mergeCell ref="C3:O3"/>
    <mergeCell ref="D6:H6"/>
    <mergeCell ref="D12:H12"/>
    <mergeCell ref="K12:O12"/>
    <mergeCell ref="K22:M23"/>
    <mergeCell ref="D26:H26"/>
    <mergeCell ref="C36:N36"/>
  </mergeCells>
  <conditionalFormatting sqref="F31">
    <cfRule type="cellIs" dxfId="1" priority="1" operator="lessThan">
      <formula>0</formula>
    </cfRule>
    <cfRule type="cellIs" dxfId="0" priority="2" operator="greaterThan">
      <formula>0</formula>
    </cfRule>
  </conditionalFormatting>
  <dataValidations count="1">
    <dataValidation type="whole" operator="greaterThanOrEqual" allowBlank="1" showInputMessage="1" showErrorMessage="1" errorTitle="Error" error="Please enter postive whole numbers only" sqref="F9 F29:F30 M15:M19 F15:F19" xr:uid="{C6F4F06F-5205-48D9-858B-66923D30E4BE}">
      <formula1>0</formula1>
    </dataValidation>
  </dataValidations>
  <pageMargins left="0" right="0" top="0" bottom="0" header="0" footer="0"/>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4CC7-0FF0-4C39-B791-88CA8CAE697A}">
  <sheetPr codeName="Sheet18">
    <tabColor rgb="FFFFC000"/>
    <pageSetUpPr fitToPage="1"/>
  </sheetPr>
  <dimension ref="B1:Y44"/>
  <sheetViews>
    <sheetView showGridLines="0" showRowColHeaders="0" showRuler="0" showWhiteSpace="0" zoomScaleNormal="100" zoomScaleSheetLayoutView="100" workbookViewId="0">
      <selection activeCell="E88" sqref="E88"/>
    </sheetView>
  </sheetViews>
  <sheetFormatPr baseColWidth="10" defaultColWidth="6.1640625" defaultRowHeight="13"/>
  <cols>
    <col min="1" max="1" width="2.5" style="398" customWidth="1"/>
    <col min="2" max="2" width="6.1640625" style="398" customWidth="1"/>
    <col min="3" max="3" width="11.33203125" style="398" customWidth="1"/>
    <col min="4" max="4" width="5.33203125" style="398" customWidth="1"/>
    <col min="5" max="5" width="13.33203125" style="398" customWidth="1"/>
    <col min="6" max="6" width="3.33203125" style="398" customWidth="1"/>
    <col min="7" max="7" width="8.1640625" style="398" customWidth="1"/>
    <col min="8" max="8" width="1.83203125" style="398" customWidth="1"/>
    <col min="9" max="9" width="6" style="398" customWidth="1"/>
    <col min="10" max="10" width="3.6640625" style="398" customWidth="1"/>
    <col min="11" max="11" width="6.33203125" style="398" customWidth="1"/>
    <col min="12" max="12" width="2.1640625" style="398" customWidth="1"/>
    <col min="13" max="13" width="2.33203125" style="398" customWidth="1"/>
    <col min="14" max="14" width="4.5" style="398" customWidth="1"/>
    <col min="15" max="15" width="11.6640625" style="398" customWidth="1"/>
    <col min="16" max="16" width="2.1640625" style="398" customWidth="1"/>
    <col min="17" max="17" width="9.1640625" style="398" customWidth="1"/>
    <col min="18" max="18" width="6.1640625" style="398" customWidth="1"/>
    <col min="19" max="19" width="2.1640625" style="398" customWidth="1"/>
    <col min="20" max="20" width="9.6640625" style="398" customWidth="1"/>
    <col min="21" max="21" width="6.1640625" style="398" customWidth="1"/>
    <col min="22" max="22" width="3.83203125" style="398" customWidth="1"/>
    <col min="23" max="23" width="9.5" style="398" customWidth="1"/>
    <col min="24" max="24" width="4.6640625" style="398" customWidth="1"/>
    <col min="25" max="25" width="2.33203125" style="398" customWidth="1"/>
    <col min="26" max="26" width="2.5" style="398" customWidth="1"/>
    <col min="27" max="27" width="10.6640625" style="398" customWidth="1"/>
    <col min="28" max="28" width="12" style="398" customWidth="1"/>
    <col min="29" max="16384" width="6.1640625" style="398"/>
  </cols>
  <sheetData>
    <row r="1" spans="2:25" ht="56.25" customHeight="1"/>
    <row r="2" spans="2:25" ht="10.5" customHeight="1"/>
    <row r="3" spans="2:25" ht="20.25" customHeight="1">
      <c r="B3" s="375"/>
      <c r="C3" s="399" t="s">
        <v>8134</v>
      </c>
      <c r="D3" s="1564">
        <f>'Internal Ref'!B75</f>
        <v>0</v>
      </c>
      <c r="E3" s="1564"/>
      <c r="F3" s="1564"/>
      <c r="G3" s="1564"/>
      <c r="H3" s="400"/>
      <c r="I3" s="374" t="s">
        <v>8145</v>
      </c>
      <c r="J3" s="1564">
        <f>'Internal Ref'!B77</f>
        <v>0</v>
      </c>
      <c r="K3" s="1564"/>
      <c r="L3" s="1564"/>
      <c r="M3" s="1564"/>
      <c r="N3" s="1564"/>
      <c r="O3" s="1564"/>
      <c r="Q3" s="377" t="s">
        <v>8144</v>
      </c>
      <c r="R3" s="1625">
        <f>'Internal Ref'!B76</f>
        <v>0</v>
      </c>
      <c r="S3" s="1564"/>
      <c r="T3" s="1564"/>
      <c r="U3" s="377" t="s">
        <v>8143</v>
      </c>
      <c r="V3" s="1562">
        <f ca="1">TODAY()</f>
        <v>45811</v>
      </c>
      <c r="W3" s="1562"/>
      <c r="Y3" s="375"/>
    </row>
    <row r="4" spans="2:25" ht="9.75" customHeight="1"/>
    <row r="5" spans="2:25" ht="26.25" customHeight="1">
      <c r="C5" s="1626" t="s">
        <v>8391</v>
      </c>
      <c r="D5" s="1626"/>
      <c r="E5" s="1626"/>
      <c r="F5" s="1626"/>
      <c r="G5" s="1626"/>
      <c r="H5" s="1626"/>
      <c r="I5" s="1626"/>
      <c r="J5" s="1626"/>
      <c r="K5" s="1626"/>
      <c r="L5" s="1626"/>
      <c r="M5" s="1626"/>
      <c r="N5" s="1626"/>
      <c r="O5" s="1626"/>
      <c r="P5" s="1626"/>
      <c r="Q5" s="1626"/>
      <c r="R5" s="1626"/>
      <c r="S5" s="1626"/>
      <c r="T5" s="1626"/>
      <c r="U5" s="1626"/>
      <c r="V5" s="1626"/>
      <c r="W5" s="1626"/>
    </row>
    <row r="6" spans="2:25" ht="9.75" customHeight="1"/>
    <row r="7" spans="2:25" ht="24.75" customHeight="1">
      <c r="B7" s="401"/>
      <c r="C7" s="1561" t="s">
        <v>8392</v>
      </c>
      <c r="D7" s="1561"/>
      <c r="E7" s="1561"/>
      <c r="F7" s="402"/>
      <c r="G7" s="402"/>
      <c r="H7" s="402"/>
      <c r="I7" s="402"/>
      <c r="J7" s="402"/>
      <c r="K7" s="402"/>
      <c r="L7" s="402"/>
      <c r="M7" s="402"/>
      <c r="N7" s="402"/>
      <c r="O7" s="402"/>
      <c r="P7" s="402"/>
      <c r="Q7" s="402"/>
      <c r="R7" s="402"/>
      <c r="S7" s="402"/>
      <c r="T7" s="402"/>
      <c r="U7" s="402"/>
      <c r="V7" s="402"/>
      <c r="W7" s="402"/>
    </row>
    <row r="8" spans="2:25" ht="24" customHeight="1">
      <c r="B8" s="403"/>
      <c r="C8" s="402"/>
      <c r="D8" s="402"/>
      <c r="E8" s="402"/>
      <c r="F8" s="404" t="s">
        <v>8129</v>
      </c>
      <c r="G8" s="1617">
        <f>'Security Swap Calculator'!$F$9</f>
        <v>0</v>
      </c>
      <c r="H8" s="1617"/>
      <c r="I8" s="1617"/>
      <c r="J8" s="402"/>
      <c r="K8" s="402"/>
      <c r="L8" s="402"/>
      <c r="M8" s="402"/>
      <c r="N8" s="402"/>
      <c r="O8" s="402"/>
      <c r="P8" s="402"/>
      <c r="Q8" s="402"/>
      <c r="R8" s="402"/>
      <c r="S8" s="402"/>
      <c r="T8" s="402"/>
      <c r="U8" s="402"/>
      <c r="V8" s="402"/>
      <c r="W8" s="402"/>
    </row>
    <row r="9" spans="2:25" ht="9" customHeight="1">
      <c r="C9" s="402"/>
      <c r="D9" s="402"/>
      <c r="E9" s="402"/>
      <c r="F9" s="402"/>
      <c r="G9" s="402"/>
      <c r="H9" s="402"/>
      <c r="I9" s="402"/>
      <c r="J9" s="402"/>
      <c r="K9" s="402"/>
      <c r="L9" s="402"/>
      <c r="M9" s="402"/>
      <c r="N9" s="402"/>
      <c r="O9" s="402"/>
      <c r="P9" s="402"/>
      <c r="Q9" s="402"/>
      <c r="R9" s="402"/>
      <c r="S9" s="402"/>
      <c r="T9" s="402"/>
      <c r="U9" s="402"/>
      <c r="V9" s="402"/>
      <c r="W9" s="402"/>
    </row>
    <row r="10" spans="2:25" ht="7" customHeight="1"/>
    <row r="11" spans="2:25" ht="24.75" customHeight="1">
      <c r="B11" s="401"/>
      <c r="C11" s="1627" t="s">
        <v>8348</v>
      </c>
      <c r="D11" s="1627"/>
      <c r="E11" s="1627"/>
      <c r="F11" s="402"/>
      <c r="G11" s="402"/>
      <c r="H11" s="402"/>
      <c r="I11" s="402"/>
      <c r="J11" s="402"/>
      <c r="K11" s="402"/>
      <c r="N11" s="405"/>
      <c r="O11" s="1627" t="s">
        <v>8349</v>
      </c>
      <c r="P11" s="1627"/>
      <c r="Q11" s="1627"/>
      <c r="R11" s="1627"/>
      <c r="S11" s="1627"/>
      <c r="T11" s="402"/>
      <c r="U11" s="402"/>
      <c r="V11" s="402"/>
      <c r="W11" s="402"/>
    </row>
    <row r="12" spans="2:25" ht="9" customHeight="1">
      <c r="B12" s="403"/>
      <c r="C12" s="402"/>
      <c r="D12" s="402"/>
      <c r="E12" s="402"/>
      <c r="F12" s="402"/>
      <c r="G12" s="402"/>
      <c r="H12" s="402"/>
      <c r="I12" s="402"/>
      <c r="J12" s="402"/>
      <c r="K12" s="402"/>
      <c r="N12" s="402"/>
      <c r="O12" s="402"/>
      <c r="P12" s="402"/>
      <c r="Q12" s="402"/>
      <c r="R12" s="402"/>
      <c r="S12" s="402"/>
      <c r="T12" s="402"/>
      <c r="U12" s="402"/>
      <c r="V12" s="402"/>
      <c r="W12" s="402"/>
    </row>
    <row r="13" spans="2:25" ht="24" customHeight="1">
      <c r="C13" s="402"/>
      <c r="D13" s="402"/>
      <c r="E13" s="433" t="s">
        <v>8381</v>
      </c>
      <c r="F13" s="404" t="s">
        <v>8129</v>
      </c>
      <c r="G13" s="1617">
        <f>'Security Swap Calculator'!$F$15</f>
        <v>0</v>
      </c>
      <c r="H13" s="1617"/>
      <c r="I13" s="1617"/>
      <c r="J13" s="402"/>
      <c r="K13" s="402"/>
      <c r="N13" s="402"/>
      <c r="O13" s="402"/>
      <c r="P13" s="402"/>
      <c r="Q13" s="1548" t="s">
        <v>8383</v>
      </c>
      <c r="R13" s="1548"/>
      <c r="S13" s="404" t="s">
        <v>8129</v>
      </c>
      <c r="T13" s="1617">
        <f>'Security Swap Calculator'!$M$15</f>
        <v>0</v>
      </c>
      <c r="U13" s="1617"/>
      <c r="V13" s="402"/>
      <c r="W13" s="402"/>
    </row>
    <row r="14" spans="2:25" ht="4.5" customHeight="1">
      <c r="C14" s="402"/>
      <c r="D14" s="402"/>
      <c r="E14" s="406"/>
      <c r="F14" s="402"/>
      <c r="G14" s="407"/>
      <c r="H14" s="407"/>
      <c r="I14" s="407"/>
      <c r="J14" s="402"/>
      <c r="K14" s="402"/>
      <c r="N14" s="402"/>
      <c r="O14" s="402"/>
      <c r="P14" s="402"/>
      <c r="Q14" s="406"/>
      <c r="R14" s="406"/>
      <c r="S14" s="402"/>
      <c r="T14" s="402"/>
      <c r="U14" s="402"/>
      <c r="V14" s="402"/>
      <c r="W14" s="402"/>
    </row>
    <row r="15" spans="2:25" ht="24" customHeight="1">
      <c r="C15" s="402"/>
      <c r="D15" s="402"/>
      <c r="E15" s="433" t="s">
        <v>8393</v>
      </c>
      <c r="F15" s="404" t="s">
        <v>8129</v>
      </c>
      <c r="G15" s="1617">
        <f>'Security Swap Calculator'!$F$16</f>
        <v>0</v>
      </c>
      <c r="H15" s="1617"/>
      <c r="I15" s="1617"/>
      <c r="J15" s="402"/>
      <c r="K15" s="402"/>
      <c r="N15" s="402"/>
      <c r="O15" s="402"/>
      <c r="P15" s="402"/>
      <c r="Q15" s="1624" t="s">
        <v>8394</v>
      </c>
      <c r="R15" s="1624"/>
      <c r="S15" s="404" t="s">
        <v>8129</v>
      </c>
      <c r="T15" s="1617">
        <f>'Security Swap Calculator'!$M$16</f>
        <v>0</v>
      </c>
      <c r="U15" s="1617"/>
      <c r="V15" s="402"/>
      <c r="W15" s="402"/>
    </row>
    <row r="16" spans="2:25" ht="4.5" customHeight="1">
      <c r="C16" s="402"/>
      <c r="D16" s="402"/>
      <c r="E16" s="406"/>
      <c r="F16" s="402"/>
      <c r="G16" s="407"/>
      <c r="H16" s="407"/>
      <c r="I16" s="407"/>
      <c r="J16" s="402"/>
      <c r="K16" s="402"/>
      <c r="N16" s="402"/>
      <c r="O16" s="402"/>
      <c r="P16" s="402"/>
      <c r="Q16" s="406"/>
      <c r="R16" s="406"/>
      <c r="S16" s="402"/>
      <c r="T16" s="402"/>
      <c r="U16" s="402"/>
      <c r="V16" s="402"/>
      <c r="W16" s="402"/>
    </row>
    <row r="17" spans="2:23" ht="24" customHeight="1">
      <c r="C17" s="402"/>
      <c r="D17" s="402"/>
      <c r="E17" s="433" t="s">
        <v>8395</v>
      </c>
      <c r="F17" s="404" t="s">
        <v>8129</v>
      </c>
      <c r="G17" s="1617">
        <f>'Security Swap Calculator'!$F$17</f>
        <v>0</v>
      </c>
      <c r="H17" s="1617"/>
      <c r="I17" s="1617"/>
      <c r="J17" s="402"/>
      <c r="K17" s="402"/>
      <c r="N17" s="402"/>
      <c r="O17" s="402"/>
      <c r="P17" s="402"/>
      <c r="Q17" s="1548" t="s">
        <v>8396</v>
      </c>
      <c r="R17" s="1548"/>
      <c r="S17" s="404" t="s">
        <v>8129</v>
      </c>
      <c r="T17" s="1617">
        <f>'Security Swap Calculator'!$M$17</f>
        <v>0</v>
      </c>
      <c r="U17" s="1617"/>
      <c r="V17" s="402"/>
      <c r="W17" s="402"/>
    </row>
    <row r="18" spans="2:23" ht="4.5" customHeight="1">
      <c r="C18" s="402"/>
      <c r="D18" s="402"/>
      <c r="E18" s="406"/>
      <c r="F18" s="402"/>
      <c r="G18" s="407"/>
      <c r="H18" s="407"/>
      <c r="I18" s="407"/>
      <c r="J18" s="402"/>
      <c r="K18" s="402"/>
      <c r="N18" s="402"/>
      <c r="O18" s="402"/>
      <c r="P18" s="402"/>
      <c r="Q18" s="406"/>
      <c r="R18" s="406"/>
      <c r="S18" s="402"/>
      <c r="T18" s="402"/>
      <c r="U18" s="402"/>
      <c r="V18" s="402"/>
      <c r="W18" s="402"/>
    </row>
    <row r="19" spans="2:23" ht="24" customHeight="1">
      <c r="C19" s="402"/>
      <c r="D19" s="402"/>
      <c r="E19" s="414" t="s">
        <v>8397</v>
      </c>
      <c r="F19" s="404" t="s">
        <v>8129</v>
      </c>
      <c r="G19" s="1617">
        <f>'Security Swap Calculator'!$F$18</f>
        <v>0</v>
      </c>
      <c r="H19" s="1617"/>
      <c r="I19" s="1617"/>
      <c r="J19" s="402"/>
      <c r="K19" s="402"/>
      <c r="N19" s="402"/>
      <c r="O19" s="402"/>
      <c r="P19" s="402"/>
      <c r="Q19" s="1551" t="s">
        <v>8398</v>
      </c>
      <c r="R19" s="1551"/>
      <c r="S19" s="404" t="s">
        <v>8129</v>
      </c>
      <c r="T19" s="1617">
        <f>'Security Swap Calculator'!$M$18</f>
        <v>0</v>
      </c>
      <c r="U19" s="1617"/>
      <c r="V19" s="402"/>
      <c r="W19" s="402"/>
    </row>
    <row r="20" spans="2:23" ht="8.25" customHeight="1">
      <c r="C20" s="402"/>
      <c r="D20" s="402"/>
      <c r="E20" s="402"/>
      <c r="F20" s="402"/>
      <c r="G20" s="402"/>
      <c r="H20" s="402"/>
      <c r="I20" s="402"/>
      <c r="J20" s="402"/>
      <c r="K20" s="402"/>
      <c r="N20" s="402"/>
      <c r="O20" s="402"/>
      <c r="P20" s="402"/>
      <c r="Q20" s="402"/>
      <c r="R20" s="402"/>
      <c r="S20" s="402"/>
      <c r="T20" s="402"/>
      <c r="U20" s="402"/>
      <c r="V20" s="402"/>
      <c r="W20" s="402"/>
    </row>
    <row r="21" spans="2:23" ht="9" customHeight="1">
      <c r="C21" s="408"/>
      <c r="D21" s="408"/>
      <c r="E21" s="408"/>
      <c r="F21" s="408"/>
      <c r="G21" s="408"/>
      <c r="H21" s="408"/>
      <c r="I21" s="408"/>
      <c r="J21" s="408"/>
      <c r="K21" s="408"/>
      <c r="N21" s="408"/>
      <c r="O21" s="408"/>
      <c r="P21" s="408"/>
      <c r="Q21" s="408"/>
      <c r="R21" s="408"/>
      <c r="S21" s="408"/>
      <c r="T21" s="408"/>
      <c r="U21" s="408"/>
      <c r="V21" s="408"/>
      <c r="W21" s="408"/>
    </row>
    <row r="22" spans="2:23" ht="24" customHeight="1">
      <c r="C22" s="408"/>
      <c r="D22" s="408"/>
      <c r="E22" s="438" t="s">
        <v>8399</v>
      </c>
      <c r="F22" s="438"/>
      <c r="G22" s="1622">
        <f>ROUND('Security Swap Calculator'!$F$20*100,1)</f>
        <v>0</v>
      </c>
      <c r="H22" s="1622"/>
      <c r="I22" s="1622"/>
      <c r="J22" s="439" t="s">
        <v>8130</v>
      </c>
      <c r="K22" s="408"/>
      <c r="N22" s="408"/>
      <c r="O22" s="408"/>
      <c r="P22" s="408"/>
      <c r="Q22" s="1623" t="s">
        <v>8400</v>
      </c>
      <c r="R22" s="1623"/>
      <c r="S22" s="408"/>
      <c r="T22" s="1622">
        <f>ROUND('Security Swap Calculator'!$M$20*100,1)</f>
        <v>0</v>
      </c>
      <c r="U22" s="1622"/>
      <c r="V22" s="439" t="s">
        <v>8130</v>
      </c>
      <c r="W22" s="408"/>
    </row>
    <row r="23" spans="2:23" ht="8.25" customHeight="1">
      <c r="C23" s="408"/>
      <c r="D23" s="408"/>
      <c r="E23" s="408"/>
      <c r="F23" s="408"/>
      <c r="G23" s="408"/>
      <c r="H23" s="408"/>
      <c r="I23" s="408"/>
      <c r="J23" s="408"/>
      <c r="K23" s="408"/>
      <c r="N23" s="408"/>
      <c r="O23" s="408"/>
      <c r="P23" s="408"/>
      <c r="Q23" s="408"/>
      <c r="R23" s="408"/>
      <c r="S23" s="408"/>
      <c r="T23" s="408"/>
      <c r="U23" s="408"/>
      <c r="V23" s="408"/>
      <c r="W23" s="408"/>
    </row>
    <row r="24" spans="2:23" ht="7.25" customHeight="1"/>
    <row r="25" spans="2:23" ht="24.75" customHeight="1">
      <c r="B25" s="405"/>
      <c r="C25" s="1561" t="s">
        <v>8401</v>
      </c>
      <c r="D25" s="1561"/>
      <c r="E25" s="1561"/>
      <c r="F25" s="402"/>
      <c r="G25" s="402"/>
      <c r="H25" s="402"/>
      <c r="I25" s="402"/>
      <c r="J25" s="402"/>
      <c r="K25" s="402"/>
      <c r="L25" s="402"/>
      <c r="M25" s="402"/>
      <c r="N25" s="402"/>
      <c r="O25" s="402"/>
      <c r="P25" s="402"/>
      <c r="Q25" s="402"/>
      <c r="R25" s="402"/>
      <c r="S25" s="402"/>
      <c r="T25" s="402"/>
      <c r="U25" s="402"/>
      <c r="V25" s="402"/>
      <c r="W25" s="402"/>
    </row>
    <row r="26" spans="2:23" ht="24.75" customHeight="1">
      <c r="B26" s="403"/>
      <c r="C26" s="402"/>
      <c r="D26" s="402"/>
      <c r="E26" s="402"/>
      <c r="F26" s="1553" t="s">
        <v>8402</v>
      </c>
      <c r="G26" s="1553"/>
      <c r="H26" s="404" t="s">
        <v>8129</v>
      </c>
      <c r="I26" s="1620">
        <f>'Security Swap Calculator'!$F$29</f>
        <v>0</v>
      </c>
      <c r="J26" s="1620"/>
      <c r="K26" s="1620"/>
      <c r="L26" s="402"/>
      <c r="M26" s="402"/>
      <c r="N26" s="440" t="s">
        <v>8403</v>
      </c>
      <c r="O26" s="412" t="s">
        <v>8387</v>
      </c>
      <c r="P26" s="404" t="s">
        <v>8129</v>
      </c>
      <c r="Q26" s="1620">
        <f>'Security Swap Calculator'!$F$30</f>
        <v>0</v>
      </c>
      <c r="R26" s="1620"/>
      <c r="S26" s="402"/>
      <c r="T26" s="402"/>
      <c r="U26" s="402"/>
      <c r="V26" s="402"/>
      <c r="W26" s="402"/>
    </row>
    <row r="27" spans="2:23" ht="8.25" customHeight="1">
      <c r="C27" s="402"/>
      <c r="D27" s="402"/>
      <c r="E27" s="402"/>
      <c r="F27" s="402"/>
      <c r="G27" s="402"/>
      <c r="H27" s="402"/>
      <c r="I27" s="402"/>
      <c r="J27" s="402"/>
      <c r="K27" s="402"/>
      <c r="L27" s="402"/>
      <c r="M27" s="402"/>
      <c r="N27" s="402"/>
      <c r="O27" s="402"/>
      <c r="P27" s="402"/>
      <c r="Q27" s="402"/>
      <c r="R27" s="402"/>
      <c r="S27" s="402"/>
      <c r="T27" s="402"/>
      <c r="U27" s="402"/>
      <c r="V27" s="402"/>
      <c r="W27" s="402"/>
    </row>
    <row r="28" spans="2:23" ht="5.25" customHeight="1">
      <c r="C28" s="408"/>
      <c r="D28" s="408"/>
      <c r="E28" s="408"/>
      <c r="F28" s="408"/>
      <c r="G28" s="408"/>
      <c r="H28" s="408"/>
      <c r="I28" s="408"/>
      <c r="J28" s="408"/>
      <c r="K28" s="408"/>
      <c r="L28" s="408"/>
      <c r="M28" s="408"/>
      <c r="N28" s="408"/>
      <c r="O28" s="408"/>
      <c r="P28" s="408"/>
      <c r="Q28" s="408"/>
      <c r="R28" s="408"/>
      <c r="S28" s="408"/>
      <c r="T28" s="408"/>
      <c r="U28" s="408"/>
      <c r="V28" s="408"/>
      <c r="W28" s="408"/>
    </row>
    <row r="29" spans="2:23" ht="25.5" customHeight="1">
      <c r="C29" s="408"/>
      <c r="D29" s="408"/>
      <c r="E29" s="408"/>
      <c r="F29" s="408"/>
      <c r="G29" s="408"/>
      <c r="H29" s="408"/>
      <c r="I29" s="408"/>
      <c r="J29" s="1621" t="s">
        <v>8404</v>
      </c>
      <c r="K29" s="1621"/>
      <c r="L29" s="1621"/>
      <c r="M29" s="439" t="s">
        <v>8129</v>
      </c>
      <c r="N29" s="1620">
        <f>IF(Q26&gt;I26,0,I26-Q26)</f>
        <v>0</v>
      </c>
      <c r="O29" s="1620"/>
      <c r="P29" s="1620"/>
      <c r="Q29" s="408"/>
      <c r="R29" s="408"/>
      <c r="S29" s="408"/>
      <c r="T29" s="408"/>
      <c r="U29" s="408"/>
      <c r="V29" s="408"/>
      <c r="W29" s="408"/>
    </row>
    <row r="30" spans="2:23" ht="18" customHeight="1">
      <c r="C30" s="408"/>
      <c r="D30" s="408"/>
      <c r="E30" s="408"/>
      <c r="F30" s="408"/>
      <c r="G30" s="441" t="s">
        <v>8405</v>
      </c>
      <c r="H30" s="408"/>
      <c r="I30" s="408"/>
      <c r="J30" s="442" t="s">
        <v>8406</v>
      </c>
      <c r="K30" s="443"/>
      <c r="L30" s="408"/>
      <c r="M30" s="408"/>
      <c r="N30" s="408"/>
      <c r="O30" s="408"/>
      <c r="P30" s="408"/>
      <c r="Q30" s="408"/>
      <c r="R30" s="408"/>
      <c r="S30" s="408"/>
      <c r="T30" s="408"/>
      <c r="U30" s="408"/>
      <c r="V30" s="408"/>
      <c r="W30" s="408"/>
    </row>
    <row r="31" spans="2:23" ht="24.75" customHeight="1">
      <c r="C31" s="408"/>
      <c r="D31" s="408"/>
      <c r="E31" s="408"/>
      <c r="F31" s="408"/>
      <c r="G31" s="408"/>
      <c r="H31" s="408"/>
      <c r="I31" s="408"/>
      <c r="J31" s="1616" t="s">
        <v>8407</v>
      </c>
      <c r="K31" s="1616"/>
      <c r="L31" s="1616"/>
      <c r="M31" s="439" t="s">
        <v>8129</v>
      </c>
      <c r="N31" s="1617">
        <f>IF(Q26&gt;I26,Q26-I26,0)</f>
        <v>0</v>
      </c>
      <c r="O31" s="1617"/>
      <c r="P31" s="1617"/>
      <c r="Q31" s="408"/>
      <c r="R31" s="408"/>
      <c r="S31" s="408"/>
      <c r="T31" s="408"/>
      <c r="U31" s="408"/>
      <c r="V31" s="408"/>
      <c r="W31" s="408"/>
    </row>
    <row r="32" spans="2:23" ht="5.25" customHeight="1">
      <c r="C32" s="408"/>
      <c r="D32" s="408"/>
      <c r="E32" s="408"/>
      <c r="F32" s="408"/>
      <c r="G32" s="408"/>
      <c r="H32" s="408"/>
      <c r="I32" s="408"/>
      <c r="J32" s="408"/>
      <c r="K32" s="408"/>
      <c r="L32" s="408"/>
      <c r="M32" s="408"/>
      <c r="N32" s="408"/>
      <c r="O32" s="408"/>
      <c r="P32" s="408"/>
      <c r="Q32" s="408"/>
      <c r="R32" s="408"/>
      <c r="S32" s="408"/>
      <c r="T32" s="408"/>
      <c r="U32" s="408"/>
      <c r="V32" s="408"/>
      <c r="W32" s="408"/>
    </row>
    <row r="33" spans="3:24">
      <c r="C33" s="1618" t="s">
        <v>8408</v>
      </c>
      <c r="D33" s="1618"/>
      <c r="E33" s="1618"/>
      <c r="F33" s="1618"/>
      <c r="G33" s="1618"/>
      <c r="H33" s="1618"/>
      <c r="I33" s="1618"/>
      <c r="J33" s="1618"/>
      <c r="K33" s="1618"/>
      <c r="L33" s="1618"/>
      <c r="M33" s="1618"/>
      <c r="N33" s="1618"/>
      <c r="O33" s="1618"/>
      <c r="P33" s="1618"/>
      <c r="Q33" s="1618"/>
      <c r="R33" s="1618"/>
      <c r="S33" s="1618"/>
      <c r="T33" s="1618"/>
      <c r="U33" s="1618"/>
      <c r="V33" s="1618"/>
      <c r="W33" s="1618"/>
    </row>
    <row r="34" spans="3:24" ht="6" customHeight="1">
      <c r="C34" s="408"/>
      <c r="D34" s="408"/>
      <c r="E34" s="408"/>
      <c r="F34" s="408"/>
      <c r="G34" s="408"/>
      <c r="H34" s="408"/>
      <c r="I34" s="408"/>
      <c r="J34" s="408"/>
      <c r="K34" s="408"/>
      <c r="L34" s="408"/>
      <c r="M34" s="408"/>
      <c r="N34" s="408"/>
      <c r="O34" s="408"/>
      <c r="P34" s="408"/>
      <c r="Q34" s="408"/>
      <c r="R34" s="408"/>
      <c r="S34" s="408"/>
      <c r="T34" s="408"/>
      <c r="U34" s="408"/>
      <c r="V34" s="408"/>
      <c r="W34" s="408"/>
    </row>
    <row r="35" spans="3:24" ht="4.5" customHeight="1"/>
    <row r="36" spans="3:24" ht="71.25" customHeight="1">
      <c r="C36" s="1619" t="s">
        <v>8409</v>
      </c>
      <c r="D36" s="1619"/>
      <c r="E36" s="1619"/>
      <c r="F36" s="1619"/>
      <c r="G36" s="1619"/>
      <c r="H36" s="1619"/>
      <c r="I36" s="1619"/>
      <c r="J36" s="1619"/>
      <c r="K36" s="1619"/>
      <c r="L36" s="1619"/>
      <c r="M36" s="1619"/>
      <c r="N36" s="1619"/>
      <c r="O36" s="1619"/>
      <c r="P36" s="1619"/>
      <c r="Q36" s="1619"/>
      <c r="R36" s="1619"/>
      <c r="S36" s="1619"/>
      <c r="T36" s="1619"/>
      <c r="U36" s="1619"/>
      <c r="V36" s="1619"/>
      <c r="W36" s="1619"/>
    </row>
    <row r="37" spans="3:24">
      <c r="C37" s="409"/>
      <c r="D37" s="409"/>
      <c r="E37" s="409"/>
      <c r="F37" s="409"/>
      <c r="G37" s="409"/>
      <c r="H37" s="409"/>
      <c r="I37" s="409"/>
      <c r="J37" s="409"/>
      <c r="K37" s="409"/>
      <c r="L37" s="409"/>
      <c r="M37" s="409"/>
      <c r="N37" s="409"/>
      <c r="O37" s="409"/>
      <c r="P37" s="409"/>
      <c r="Q37" s="409"/>
      <c r="R37" s="409"/>
      <c r="S37" s="409"/>
      <c r="T37" s="409"/>
      <c r="U37" s="409"/>
      <c r="V37" s="409"/>
      <c r="W37" s="409"/>
      <c r="X37" s="409"/>
    </row>
    <row r="38" spans="3:24">
      <c r="C38" s="409"/>
      <c r="D38" s="409"/>
      <c r="E38" s="409"/>
      <c r="F38" s="409"/>
      <c r="G38" s="409"/>
      <c r="H38" s="409"/>
      <c r="I38" s="409"/>
      <c r="J38" s="409"/>
      <c r="K38" s="409"/>
      <c r="L38" s="409"/>
      <c r="M38" s="409"/>
      <c r="N38" s="409"/>
      <c r="O38" s="409"/>
      <c r="P38" s="409"/>
      <c r="Q38" s="409"/>
      <c r="R38" s="409"/>
      <c r="S38" s="409"/>
      <c r="T38" s="409"/>
      <c r="U38" s="409"/>
      <c r="V38" s="409"/>
      <c r="W38" s="409"/>
      <c r="X38" s="409"/>
    </row>
    <row r="39" spans="3:24">
      <c r="C39" s="409"/>
      <c r="D39" s="409"/>
      <c r="E39" s="409"/>
      <c r="F39" s="409"/>
      <c r="G39" s="409"/>
      <c r="H39" s="409"/>
      <c r="I39" s="409"/>
      <c r="J39" s="409"/>
      <c r="K39" s="409"/>
      <c r="L39" s="409"/>
      <c r="M39" s="409"/>
      <c r="N39" s="409"/>
      <c r="O39" s="409"/>
      <c r="P39" s="409"/>
      <c r="Q39" s="409"/>
      <c r="R39" s="409"/>
      <c r="S39" s="409"/>
      <c r="T39" s="409"/>
      <c r="U39" s="409"/>
      <c r="V39" s="409"/>
      <c r="W39" s="409"/>
      <c r="X39" s="409"/>
    </row>
    <row r="40" spans="3:24">
      <c r="C40" s="409"/>
      <c r="D40" s="409"/>
      <c r="E40" s="409"/>
      <c r="F40" s="409"/>
      <c r="G40" s="409"/>
      <c r="H40" s="409"/>
      <c r="I40" s="409"/>
      <c r="J40" s="409"/>
      <c r="K40" s="409"/>
      <c r="L40" s="409"/>
      <c r="M40" s="409"/>
      <c r="N40" s="409"/>
      <c r="O40" s="409"/>
      <c r="P40" s="409"/>
      <c r="Q40" s="409"/>
      <c r="R40" s="409"/>
      <c r="S40" s="409"/>
      <c r="T40" s="409"/>
      <c r="U40" s="409"/>
      <c r="V40" s="409"/>
      <c r="W40" s="409"/>
      <c r="X40" s="409"/>
    </row>
    <row r="41" spans="3:24">
      <c r="C41" s="409"/>
      <c r="D41" s="409"/>
      <c r="E41" s="409"/>
      <c r="F41" s="409"/>
      <c r="G41" s="409"/>
      <c r="H41" s="409"/>
      <c r="I41" s="409"/>
      <c r="J41" s="409"/>
      <c r="K41" s="409"/>
      <c r="L41" s="409"/>
      <c r="M41" s="409"/>
      <c r="N41" s="409"/>
      <c r="O41" s="409"/>
      <c r="P41" s="409"/>
      <c r="Q41" s="409"/>
      <c r="R41" s="409"/>
      <c r="S41" s="409"/>
      <c r="T41" s="409"/>
      <c r="U41" s="409"/>
      <c r="V41" s="409"/>
      <c r="W41" s="409"/>
      <c r="X41" s="409"/>
    </row>
    <row r="42" spans="3:24">
      <c r="C42" s="409"/>
      <c r="D42" s="409"/>
      <c r="E42" s="409"/>
      <c r="F42" s="409"/>
      <c r="G42" s="409"/>
      <c r="H42" s="409"/>
      <c r="I42" s="409"/>
      <c r="J42" s="409"/>
      <c r="K42" s="409"/>
      <c r="L42" s="409"/>
      <c r="M42" s="409"/>
      <c r="N42" s="409"/>
      <c r="O42" s="409"/>
      <c r="P42" s="409"/>
      <c r="Q42" s="409"/>
      <c r="R42" s="409"/>
      <c r="S42" s="409"/>
      <c r="T42" s="409"/>
      <c r="U42" s="409"/>
      <c r="V42" s="409"/>
      <c r="W42" s="409"/>
      <c r="X42" s="409"/>
    </row>
    <row r="43" spans="3:24">
      <c r="C43" s="409"/>
      <c r="D43" s="409"/>
      <c r="E43" s="409"/>
      <c r="F43" s="409"/>
      <c r="G43" s="409"/>
      <c r="H43" s="409"/>
      <c r="I43" s="409"/>
      <c r="J43" s="409"/>
      <c r="K43" s="409"/>
      <c r="L43" s="409"/>
      <c r="M43" s="409"/>
      <c r="N43" s="409"/>
      <c r="O43" s="409"/>
      <c r="P43" s="409"/>
      <c r="Q43" s="409"/>
      <c r="R43" s="409"/>
      <c r="S43" s="409"/>
      <c r="T43" s="409"/>
      <c r="U43" s="409"/>
      <c r="V43" s="409"/>
      <c r="W43" s="409"/>
      <c r="X43" s="409"/>
    </row>
    <row r="44" spans="3:24">
      <c r="C44" s="409"/>
      <c r="D44" s="409"/>
      <c r="E44" s="409"/>
      <c r="F44" s="409"/>
      <c r="G44" s="409"/>
      <c r="H44" s="409"/>
      <c r="I44" s="409"/>
      <c r="J44" s="409"/>
      <c r="K44" s="409"/>
      <c r="L44" s="409"/>
      <c r="M44" s="409"/>
      <c r="N44" s="409"/>
      <c r="O44" s="409"/>
      <c r="P44" s="409"/>
      <c r="Q44" s="409"/>
      <c r="R44" s="409"/>
      <c r="S44" s="409"/>
      <c r="T44" s="409"/>
      <c r="U44" s="409"/>
      <c r="V44" s="409"/>
      <c r="W44" s="409"/>
      <c r="X44" s="409"/>
    </row>
  </sheetData>
  <sheetProtection algorithmName="SHA-512" hashValue="znOGXzX7L5UlwSXcgjMenN8Gk1wbrIVEHk3Imgm7rm43UKLc51UNumIOdacbSA+pwCjemzr0SXe1oY/ArtqbLQ==" saltValue="aH1es6CyOH8xHRBxc+hBUA==" spinCount="100000" sheet="1"/>
  <mergeCells count="34">
    <mergeCell ref="T13:U13"/>
    <mergeCell ref="D3:G3"/>
    <mergeCell ref="J3:O3"/>
    <mergeCell ref="R3:T3"/>
    <mergeCell ref="V3:W3"/>
    <mergeCell ref="C5:W5"/>
    <mergeCell ref="C7:E7"/>
    <mergeCell ref="G8:I8"/>
    <mergeCell ref="C11:E11"/>
    <mergeCell ref="O11:S11"/>
    <mergeCell ref="G13:I13"/>
    <mergeCell ref="Q13:R13"/>
    <mergeCell ref="G15:I15"/>
    <mergeCell ref="Q15:R15"/>
    <mergeCell ref="T15:U15"/>
    <mergeCell ref="G17:I17"/>
    <mergeCell ref="Q17:R17"/>
    <mergeCell ref="T17:U17"/>
    <mergeCell ref="G19:I19"/>
    <mergeCell ref="Q19:R19"/>
    <mergeCell ref="T19:U19"/>
    <mergeCell ref="G22:I22"/>
    <mergeCell ref="Q22:R22"/>
    <mergeCell ref="T22:U22"/>
    <mergeCell ref="J31:L31"/>
    <mergeCell ref="N31:P31"/>
    <mergeCell ref="C33:W33"/>
    <mergeCell ref="C36:W36"/>
    <mergeCell ref="C25:E25"/>
    <mergeCell ref="F26:G26"/>
    <mergeCell ref="I26:K26"/>
    <mergeCell ref="Q26:R26"/>
    <mergeCell ref="J29:L29"/>
    <mergeCell ref="N29:P29"/>
  </mergeCells>
  <pageMargins left="0" right="0" top="0" bottom="0" header="0" footer="0"/>
  <pageSetup paperSize="9" scale="92"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C3B17-93FA-4DCA-841B-AC7672E57D14}">
  <sheetPr codeName="Sheet5">
    <tabColor theme="2" tint="-0.499984740745262"/>
  </sheetPr>
  <dimension ref="B2:AP173"/>
  <sheetViews>
    <sheetView zoomScale="85" zoomScaleNormal="85" workbookViewId="0">
      <pane ySplit="5" topLeftCell="A6" activePane="bottomLeft" state="frozen"/>
      <selection activeCell="E88" sqref="E88"/>
      <selection pane="bottomLeft" activeCell="E88" sqref="E88"/>
    </sheetView>
  </sheetViews>
  <sheetFormatPr baseColWidth="10" defaultColWidth="8" defaultRowHeight="13"/>
  <cols>
    <col min="1" max="2" width="8" style="322"/>
    <col min="3" max="3" width="11.1640625" style="322" bestFit="1" customWidth="1"/>
    <col min="4" max="4" width="10.33203125" style="322" bestFit="1" customWidth="1"/>
    <col min="5" max="5" width="10.83203125" style="322" bestFit="1" customWidth="1"/>
    <col min="6" max="6" width="8" style="322"/>
    <col min="7" max="7" width="19.33203125" style="322" bestFit="1" customWidth="1"/>
    <col min="8" max="9" width="10.1640625" style="322" bestFit="1" customWidth="1"/>
    <col min="10" max="10" width="8.5" style="322" bestFit="1" customWidth="1"/>
    <col min="11" max="11" width="10.1640625" style="322" bestFit="1" customWidth="1"/>
    <col min="12" max="12" width="10.83203125" style="322" bestFit="1" customWidth="1"/>
    <col min="13" max="13" width="8.6640625" style="322" bestFit="1" customWidth="1"/>
    <col min="14" max="14" width="10.1640625" style="322" bestFit="1" customWidth="1"/>
    <col min="15" max="23" width="8.5" style="322" bestFit="1" customWidth="1"/>
    <col min="24" max="24" width="9.83203125" style="322" bestFit="1" customWidth="1"/>
    <col min="25" max="25" width="13.1640625" style="322" bestFit="1" customWidth="1"/>
    <col min="26" max="26" width="15.6640625" style="322" bestFit="1" customWidth="1"/>
    <col min="27" max="28" width="11.1640625" style="322" bestFit="1" customWidth="1"/>
    <col min="29" max="39" width="9.83203125" style="322" bestFit="1" customWidth="1"/>
    <col min="40" max="16384" width="8" style="322"/>
  </cols>
  <sheetData>
    <row r="2" spans="7:39">
      <c r="I2" s="323">
        <v>0.45</v>
      </c>
      <c r="Z2" s="322" t="s">
        <v>5996</v>
      </c>
      <c r="AB2" s="322">
        <v>0</v>
      </c>
      <c r="AC2" s="324" t="s">
        <v>5997</v>
      </c>
    </row>
    <row r="3" spans="7:39">
      <c r="H3" s="322" t="s">
        <v>5998</v>
      </c>
      <c r="I3" s="322" t="s">
        <v>5999</v>
      </c>
      <c r="K3" s="323">
        <v>0</v>
      </c>
      <c r="AH3" s="325"/>
    </row>
    <row r="4" spans="7:39">
      <c r="L4" s="322" t="s">
        <v>6000</v>
      </c>
      <c r="AB4" s="322" t="s">
        <v>6001</v>
      </c>
    </row>
    <row r="5" spans="7:39" ht="14" thickBot="1">
      <c r="H5" s="326" t="s">
        <v>6002</v>
      </c>
      <c r="I5" s="326" t="s">
        <v>6003</v>
      </c>
      <c r="J5" s="326" t="s">
        <v>6004</v>
      </c>
      <c r="K5" s="326" t="s">
        <v>6005</v>
      </c>
      <c r="L5" s="326" t="s">
        <v>6006</v>
      </c>
      <c r="M5" s="326" t="s">
        <v>5998</v>
      </c>
      <c r="N5" s="326" t="s">
        <v>6007</v>
      </c>
      <c r="O5" s="326" t="s">
        <v>6008</v>
      </c>
      <c r="P5" s="326" t="s">
        <v>6009</v>
      </c>
      <c r="Q5" s="326" t="s">
        <v>6010</v>
      </c>
      <c r="R5" s="326" t="s">
        <v>6011</v>
      </c>
      <c r="S5" s="326" t="s">
        <v>6012</v>
      </c>
      <c r="T5" s="326" t="s">
        <v>6013</v>
      </c>
      <c r="U5" s="326" t="s">
        <v>6014</v>
      </c>
      <c r="V5" s="326" t="s">
        <v>6015</v>
      </c>
      <c r="W5" s="326" t="s">
        <v>6016</v>
      </c>
      <c r="Y5" s="326" t="s">
        <v>6017</v>
      </c>
      <c r="Z5" s="326" t="s">
        <v>6018</v>
      </c>
      <c r="AA5" s="326"/>
      <c r="AB5" s="326" t="s">
        <v>6006</v>
      </c>
      <c r="AC5" s="326" t="s">
        <v>5998</v>
      </c>
      <c r="AD5" s="326" t="s">
        <v>6007</v>
      </c>
      <c r="AE5" s="326" t="s">
        <v>6008</v>
      </c>
      <c r="AF5" s="326" t="s">
        <v>6009</v>
      </c>
      <c r="AG5" s="326" t="s">
        <v>6010</v>
      </c>
      <c r="AH5" s="326" t="s">
        <v>6011</v>
      </c>
      <c r="AI5" s="326" t="s">
        <v>6012</v>
      </c>
      <c r="AJ5" s="326" t="s">
        <v>6013</v>
      </c>
      <c r="AK5" s="326" t="s">
        <v>6014</v>
      </c>
      <c r="AL5" s="326" t="s">
        <v>6015</v>
      </c>
      <c r="AM5" s="326" t="s">
        <v>6016</v>
      </c>
    </row>
    <row r="6" spans="7:39" ht="15">
      <c r="G6" s="327"/>
      <c r="H6" s="332"/>
      <c r="I6" s="332"/>
      <c r="J6" s="332"/>
      <c r="K6" s="332"/>
      <c r="L6" s="327"/>
      <c r="M6" s="327"/>
      <c r="N6" s="327"/>
      <c r="O6" s="327"/>
      <c r="P6" s="327"/>
      <c r="Q6" s="327"/>
      <c r="R6" s="327"/>
      <c r="S6" s="327"/>
      <c r="T6" s="327"/>
      <c r="U6" s="327"/>
      <c r="V6" s="327"/>
      <c r="W6" s="327"/>
      <c r="Y6" s="327">
        <v>9999999999</v>
      </c>
      <c r="Z6" s="327"/>
      <c r="AA6" s="327"/>
      <c r="AB6" s="327"/>
      <c r="AC6" s="327"/>
      <c r="AD6" s="327"/>
      <c r="AE6" s="327"/>
      <c r="AF6" s="327"/>
      <c r="AG6" s="327"/>
      <c r="AH6" s="327"/>
      <c r="AI6" s="327"/>
      <c r="AJ6" s="327"/>
      <c r="AK6" s="327"/>
      <c r="AL6" s="327"/>
      <c r="AM6" s="327"/>
    </row>
    <row r="7" spans="7:39" ht="15">
      <c r="G7" s="328"/>
      <c r="H7" s="261"/>
      <c r="I7" s="261"/>
      <c r="J7" s="261"/>
      <c r="K7" s="261"/>
      <c r="L7" s="328"/>
      <c r="M7" s="328"/>
      <c r="N7" s="328"/>
      <c r="O7" s="328"/>
      <c r="P7" s="328"/>
      <c r="Q7" s="328"/>
      <c r="R7" s="328"/>
      <c r="S7" s="328"/>
      <c r="T7" s="328"/>
      <c r="U7" s="328"/>
      <c r="V7" s="328"/>
      <c r="W7" s="328"/>
      <c r="Y7" s="328"/>
      <c r="Z7" s="328">
        <v>9999999999</v>
      </c>
      <c r="AA7" s="328"/>
      <c r="AB7" s="328"/>
      <c r="AC7" s="328"/>
      <c r="AD7" s="328"/>
      <c r="AE7" s="328"/>
      <c r="AF7" s="328"/>
      <c r="AG7" s="328"/>
      <c r="AH7" s="328"/>
      <c r="AI7" s="328"/>
      <c r="AJ7" s="328"/>
      <c r="AK7" s="328"/>
      <c r="AL7" s="328"/>
      <c r="AM7" s="328"/>
    </row>
    <row r="8" spans="7:39" ht="15">
      <c r="G8" s="329"/>
      <c r="H8" s="244"/>
      <c r="I8" s="244"/>
      <c r="J8" s="244"/>
      <c r="K8" s="244"/>
      <c r="L8" s="147"/>
      <c r="M8" s="147"/>
      <c r="N8" s="147"/>
      <c r="O8" s="147"/>
      <c r="P8" s="147"/>
      <c r="Q8" s="147"/>
      <c r="R8" s="147"/>
      <c r="S8" s="147"/>
      <c r="T8" s="147"/>
      <c r="U8" s="147"/>
      <c r="V8" s="147"/>
      <c r="W8" s="147"/>
      <c r="Y8" s="329"/>
      <c r="Z8" s="329"/>
      <c r="AA8" s="329"/>
      <c r="AB8" s="329"/>
      <c r="AC8" s="329"/>
      <c r="AD8" s="329"/>
      <c r="AE8" s="329"/>
      <c r="AF8" s="329"/>
      <c r="AG8" s="329"/>
      <c r="AH8" s="329"/>
      <c r="AI8" s="329"/>
      <c r="AJ8" s="329"/>
      <c r="AK8" s="329"/>
      <c r="AL8" s="329"/>
      <c r="AM8" s="329"/>
    </row>
    <row r="9" spans="7:39" ht="16" thickBot="1">
      <c r="G9" s="330"/>
      <c r="H9" s="331"/>
      <c r="I9" s="331"/>
      <c r="J9" s="331"/>
      <c r="K9" s="331"/>
      <c r="L9" s="334"/>
      <c r="M9" s="334"/>
      <c r="N9" s="334"/>
      <c r="O9" s="334"/>
      <c r="P9" s="334"/>
      <c r="Q9" s="334"/>
      <c r="R9" s="334"/>
      <c r="S9" s="334"/>
      <c r="T9" s="334"/>
      <c r="U9" s="334"/>
      <c r="V9" s="334"/>
      <c r="W9" s="334"/>
      <c r="Y9" s="330"/>
      <c r="Z9" s="330"/>
      <c r="AA9" s="330"/>
      <c r="AB9" s="330"/>
      <c r="AC9" s="330"/>
      <c r="AD9" s="330"/>
      <c r="AE9" s="330"/>
      <c r="AF9" s="330"/>
      <c r="AG9" s="330"/>
      <c r="AH9" s="330"/>
      <c r="AI9" s="330"/>
      <c r="AJ9" s="330"/>
      <c r="AK9" s="330"/>
      <c r="AL9" s="330"/>
      <c r="AM9" s="330"/>
    </row>
    <row r="10" spans="7:39" ht="15">
      <c r="G10" s="327"/>
      <c r="H10" s="332">
        <f>H14+1500</f>
        <v>315500</v>
      </c>
      <c r="I10" s="332"/>
      <c r="J10" s="332"/>
      <c r="K10" s="332"/>
      <c r="L10" s="327"/>
      <c r="M10" s="327"/>
      <c r="N10" s="327"/>
      <c r="O10" s="327"/>
      <c r="P10" s="327"/>
      <c r="Q10" s="327"/>
      <c r="R10" s="327"/>
      <c r="S10" s="327"/>
      <c r="T10" s="327"/>
      <c r="U10" s="327"/>
      <c r="V10" s="327"/>
      <c r="W10" s="327"/>
      <c r="Y10" s="327">
        <f ca="1">OFFSET(AB10,0,$AB$2)</f>
        <v>315500</v>
      </c>
      <c r="Z10" s="327"/>
      <c r="AA10" s="333">
        <f t="shared" ref="AA10:AA17" ca="1" si="0">OFFSET(AB10,0,$AB$2)</f>
        <v>315500</v>
      </c>
      <c r="AB10" s="332">
        <f t="shared" ref="AB10:AM10" si="1">$H10</f>
        <v>315500</v>
      </c>
      <c r="AC10" s="333">
        <f t="shared" si="1"/>
        <v>315500</v>
      </c>
      <c r="AD10" s="333">
        <f t="shared" si="1"/>
        <v>315500</v>
      </c>
      <c r="AE10" s="333">
        <f t="shared" si="1"/>
        <v>315500</v>
      </c>
      <c r="AF10" s="333">
        <f t="shared" si="1"/>
        <v>315500</v>
      </c>
      <c r="AG10" s="333">
        <f t="shared" si="1"/>
        <v>315500</v>
      </c>
      <c r="AH10" s="333">
        <f t="shared" si="1"/>
        <v>315500</v>
      </c>
      <c r="AI10" s="333">
        <f t="shared" si="1"/>
        <v>315500</v>
      </c>
      <c r="AJ10" s="333">
        <f t="shared" si="1"/>
        <v>315500</v>
      </c>
      <c r="AK10" s="333">
        <f t="shared" si="1"/>
        <v>315500</v>
      </c>
      <c r="AL10" s="333">
        <f t="shared" si="1"/>
        <v>315500</v>
      </c>
      <c r="AM10" s="333">
        <f t="shared" si="1"/>
        <v>315500</v>
      </c>
    </row>
    <row r="11" spans="7:39" ht="15">
      <c r="G11" s="328"/>
      <c r="H11" s="261"/>
      <c r="I11" s="261"/>
      <c r="J11" s="261"/>
      <c r="K11" s="261"/>
      <c r="L11" s="328"/>
      <c r="M11" s="328"/>
      <c r="N11" s="328"/>
      <c r="O11" s="328"/>
      <c r="P11" s="328"/>
      <c r="Q11" s="328"/>
      <c r="R11" s="328"/>
      <c r="S11" s="328"/>
      <c r="T11" s="328"/>
      <c r="U11" s="328"/>
      <c r="V11" s="328"/>
      <c r="W11" s="328"/>
      <c r="Y11" s="328"/>
      <c r="Z11" s="328">
        <f ca="1">OFFSET(AB11,0,$AB$2)</f>
        <v>201077</v>
      </c>
      <c r="AA11" s="215">
        <f t="shared" ca="1" si="0"/>
        <v>201077</v>
      </c>
      <c r="AB11" s="215">
        <f>AB10-(AB16+(AB10-AB14)*AB17)</f>
        <v>201077</v>
      </c>
      <c r="AC11" s="215">
        <f t="shared" ref="AC11:AM11" si="2">AC10-(AC16+(AC10-AC14)*AC17)</f>
        <v>196344.5</v>
      </c>
      <c r="AD11" s="215">
        <f t="shared" si="2"/>
        <v>196344.5</v>
      </c>
      <c r="AE11" s="215">
        <f t="shared" si="2"/>
        <v>196344.5</v>
      </c>
      <c r="AF11" s="215">
        <f t="shared" si="2"/>
        <v>196344.5</v>
      </c>
      <c r="AG11" s="215">
        <f t="shared" si="2"/>
        <v>196344.5</v>
      </c>
      <c r="AH11" s="215">
        <f t="shared" si="2"/>
        <v>196344.5</v>
      </c>
      <c r="AI11" s="215">
        <f t="shared" si="2"/>
        <v>196344.5</v>
      </c>
      <c r="AJ11" s="215">
        <f t="shared" si="2"/>
        <v>196344.5</v>
      </c>
      <c r="AK11" s="215">
        <f t="shared" si="2"/>
        <v>196344.5</v>
      </c>
      <c r="AL11" s="215">
        <f t="shared" si="2"/>
        <v>196344.5</v>
      </c>
      <c r="AM11" s="215">
        <f t="shared" si="2"/>
        <v>197133.25</v>
      </c>
    </row>
    <row r="12" spans="7:39" ht="15">
      <c r="G12" s="329"/>
      <c r="H12" s="244"/>
      <c r="I12" s="244">
        <f>I16+($H10-$H14)*I17</f>
        <v>108113</v>
      </c>
      <c r="J12" s="244">
        <f>J16+($H10-$H14)*J17</f>
        <v>6310</v>
      </c>
      <c r="K12" s="244">
        <f>K16+($H10-$H14)*K17</f>
        <v>0</v>
      </c>
      <c r="L12" s="147">
        <v>0</v>
      </c>
      <c r="M12" s="147">
        <f>M16+($H10-$H14)*M17</f>
        <v>4732.5</v>
      </c>
      <c r="N12" s="147">
        <f t="shared" ref="N12:W12" si="3">$H10*N13</f>
        <v>4732.5</v>
      </c>
      <c r="O12" s="147">
        <f t="shared" si="3"/>
        <v>4732.5</v>
      </c>
      <c r="P12" s="147">
        <f t="shared" si="3"/>
        <v>4732.5</v>
      </c>
      <c r="Q12" s="147">
        <f t="shared" si="3"/>
        <v>4732.5</v>
      </c>
      <c r="R12" s="147">
        <f t="shared" si="3"/>
        <v>4732.5</v>
      </c>
      <c r="S12" s="147">
        <f t="shared" si="3"/>
        <v>4732.5</v>
      </c>
      <c r="T12" s="147">
        <f t="shared" si="3"/>
        <v>4732.5</v>
      </c>
      <c r="U12" s="147">
        <f t="shared" si="3"/>
        <v>4732.5</v>
      </c>
      <c r="V12" s="147">
        <f t="shared" si="3"/>
        <v>4732.5</v>
      </c>
      <c r="W12" s="147">
        <f t="shared" si="3"/>
        <v>4732.5</v>
      </c>
      <c r="Y12" s="329"/>
      <c r="Z12" s="329"/>
      <c r="AA12" s="147">
        <f t="shared" ca="1" si="0"/>
        <v>114423</v>
      </c>
      <c r="AB12" s="147">
        <f t="shared" ref="AB12:AM13" si="4">$I12+$J12+$K12+L12</f>
        <v>114423</v>
      </c>
      <c r="AC12" s="147">
        <f t="shared" si="4"/>
        <v>119155.5</v>
      </c>
      <c r="AD12" s="147">
        <f t="shared" si="4"/>
        <v>119155.5</v>
      </c>
      <c r="AE12" s="147">
        <f t="shared" si="4"/>
        <v>119155.5</v>
      </c>
      <c r="AF12" s="147">
        <f t="shared" si="4"/>
        <v>119155.5</v>
      </c>
      <c r="AG12" s="147">
        <f t="shared" si="4"/>
        <v>119155.5</v>
      </c>
      <c r="AH12" s="147">
        <f t="shared" si="4"/>
        <v>119155.5</v>
      </c>
      <c r="AI12" s="147">
        <f t="shared" si="4"/>
        <v>119155.5</v>
      </c>
      <c r="AJ12" s="147">
        <f t="shared" si="4"/>
        <v>119155.5</v>
      </c>
      <c r="AK12" s="147">
        <f t="shared" si="4"/>
        <v>119155.5</v>
      </c>
      <c r="AL12" s="147">
        <f t="shared" si="4"/>
        <v>119155.5</v>
      </c>
      <c r="AM12" s="147">
        <f t="shared" si="4"/>
        <v>119155.5</v>
      </c>
    </row>
    <row r="13" spans="7:39" ht="16" thickBot="1">
      <c r="G13" s="330"/>
      <c r="H13" s="331"/>
      <c r="I13" s="331">
        <f>$I$2</f>
        <v>0.45</v>
      </c>
      <c r="J13" s="331">
        <v>0.02</v>
      </c>
      <c r="K13" s="331">
        <f>$K$3</f>
        <v>0</v>
      </c>
      <c r="L13" s="334">
        <v>0</v>
      </c>
      <c r="M13" s="334">
        <v>1.4999999999999999E-2</v>
      </c>
      <c r="N13" s="334">
        <v>1.4999999999999999E-2</v>
      </c>
      <c r="O13" s="334">
        <v>1.4999999999999999E-2</v>
      </c>
      <c r="P13" s="334">
        <v>1.4999999999999999E-2</v>
      </c>
      <c r="Q13" s="334">
        <v>1.4999999999999999E-2</v>
      </c>
      <c r="R13" s="334">
        <v>1.4999999999999999E-2</v>
      </c>
      <c r="S13" s="334">
        <v>1.4999999999999999E-2</v>
      </c>
      <c r="T13" s="334">
        <v>1.4999999999999999E-2</v>
      </c>
      <c r="U13" s="334">
        <v>1.4999999999999999E-2</v>
      </c>
      <c r="V13" s="334">
        <v>1.4999999999999999E-2</v>
      </c>
      <c r="W13" s="334">
        <v>1.4999999999999999E-2</v>
      </c>
      <c r="Y13" s="330"/>
      <c r="Z13" s="330"/>
      <c r="AA13" s="334">
        <f t="shared" ca="1" si="0"/>
        <v>0.47000000000000003</v>
      </c>
      <c r="AB13" s="334">
        <f t="shared" si="4"/>
        <v>0.47000000000000003</v>
      </c>
      <c r="AC13" s="334">
        <f t="shared" si="4"/>
        <v>0.48500000000000004</v>
      </c>
      <c r="AD13" s="334">
        <f t="shared" si="4"/>
        <v>0.48500000000000004</v>
      </c>
      <c r="AE13" s="334">
        <f t="shared" si="4"/>
        <v>0.48500000000000004</v>
      </c>
      <c r="AF13" s="334">
        <f t="shared" si="4"/>
        <v>0.48500000000000004</v>
      </c>
      <c r="AG13" s="334">
        <f t="shared" si="4"/>
        <v>0.48500000000000004</v>
      </c>
      <c r="AH13" s="334">
        <f t="shared" si="4"/>
        <v>0.48500000000000004</v>
      </c>
      <c r="AI13" s="334">
        <f t="shared" si="4"/>
        <v>0.48500000000000004</v>
      </c>
      <c r="AJ13" s="334">
        <f t="shared" si="4"/>
        <v>0.48500000000000004</v>
      </c>
      <c r="AK13" s="334">
        <f t="shared" si="4"/>
        <v>0.48500000000000004</v>
      </c>
      <c r="AL13" s="334">
        <f t="shared" si="4"/>
        <v>0.48500000000000004</v>
      </c>
      <c r="AM13" s="334">
        <f t="shared" si="4"/>
        <v>0.48500000000000004</v>
      </c>
    </row>
    <row r="14" spans="7:39" ht="15">
      <c r="G14" s="327"/>
      <c r="H14" s="332">
        <f>H18+1500</f>
        <v>314000</v>
      </c>
      <c r="I14" s="332"/>
      <c r="J14" s="332"/>
      <c r="K14" s="332"/>
      <c r="L14" s="327"/>
      <c r="M14" s="327"/>
      <c r="N14" s="327"/>
      <c r="O14" s="327"/>
      <c r="P14" s="327"/>
      <c r="Q14" s="327"/>
      <c r="R14" s="327"/>
      <c r="S14" s="327"/>
      <c r="T14" s="327"/>
      <c r="U14" s="327"/>
      <c r="V14" s="327"/>
      <c r="W14" s="327"/>
      <c r="Y14" s="327">
        <f ca="1">OFFSET(AB14,0,$AB$2)</f>
        <v>314000</v>
      </c>
      <c r="Z14" s="327"/>
      <c r="AA14" s="333">
        <f t="shared" ca="1" si="0"/>
        <v>314000</v>
      </c>
      <c r="AB14" s="332">
        <f t="shared" ref="AB14:AM14" si="5">$H14</f>
        <v>314000</v>
      </c>
      <c r="AC14" s="333">
        <f t="shared" si="5"/>
        <v>314000</v>
      </c>
      <c r="AD14" s="333">
        <f t="shared" si="5"/>
        <v>314000</v>
      </c>
      <c r="AE14" s="333">
        <f t="shared" si="5"/>
        <v>314000</v>
      </c>
      <c r="AF14" s="333">
        <f t="shared" si="5"/>
        <v>314000</v>
      </c>
      <c r="AG14" s="333">
        <f t="shared" si="5"/>
        <v>314000</v>
      </c>
      <c r="AH14" s="333">
        <f t="shared" si="5"/>
        <v>314000</v>
      </c>
      <c r="AI14" s="333">
        <f t="shared" si="5"/>
        <v>314000</v>
      </c>
      <c r="AJ14" s="333">
        <f t="shared" si="5"/>
        <v>314000</v>
      </c>
      <c r="AK14" s="333">
        <f t="shared" si="5"/>
        <v>314000</v>
      </c>
      <c r="AL14" s="333">
        <f t="shared" si="5"/>
        <v>314000</v>
      </c>
      <c r="AM14" s="333">
        <f t="shared" si="5"/>
        <v>314000</v>
      </c>
    </row>
    <row r="15" spans="7:39" ht="15">
      <c r="G15" s="328"/>
      <c r="H15" s="261"/>
      <c r="I15" s="261"/>
      <c r="J15" s="261"/>
      <c r="K15" s="261"/>
      <c r="L15" s="328"/>
      <c r="M15" s="328"/>
      <c r="N15" s="328"/>
      <c r="O15" s="328"/>
      <c r="P15" s="328"/>
      <c r="Q15" s="328"/>
      <c r="R15" s="328"/>
      <c r="S15" s="328"/>
      <c r="T15" s="328"/>
      <c r="U15" s="328"/>
      <c r="V15" s="328"/>
      <c r="W15" s="328"/>
      <c r="Y15" s="328"/>
      <c r="Z15" s="328">
        <f ca="1">OFFSET(AB15,0,$AB$2)</f>
        <v>200282</v>
      </c>
      <c r="AA15" s="215">
        <f t="shared" ca="1" si="0"/>
        <v>200282</v>
      </c>
      <c r="AB15" s="215">
        <f>AB14-(AB20+(AB14-AB18)*AB21)</f>
        <v>200282</v>
      </c>
      <c r="AC15" s="215">
        <f t="shared" ref="AC15:AM15" si="6">AC14-(AC20+(AC14-AC18)*AC21)</f>
        <v>195572</v>
      </c>
      <c r="AD15" s="215">
        <f t="shared" si="6"/>
        <v>195572</v>
      </c>
      <c r="AE15" s="215">
        <f t="shared" si="6"/>
        <v>195572</v>
      </c>
      <c r="AF15" s="215">
        <f t="shared" si="6"/>
        <v>195572</v>
      </c>
      <c r="AG15" s="215">
        <f t="shared" si="6"/>
        <v>195572</v>
      </c>
      <c r="AH15" s="215">
        <f t="shared" si="6"/>
        <v>195572</v>
      </c>
      <c r="AI15" s="215">
        <f t="shared" si="6"/>
        <v>195572</v>
      </c>
      <c r="AJ15" s="215">
        <f t="shared" si="6"/>
        <v>195572</v>
      </c>
      <c r="AK15" s="215">
        <f t="shared" si="6"/>
        <v>195572</v>
      </c>
      <c r="AL15" s="215">
        <f t="shared" si="6"/>
        <v>196357</v>
      </c>
      <c r="AM15" s="215">
        <f t="shared" si="6"/>
        <v>196357</v>
      </c>
    </row>
    <row r="16" spans="7:39" ht="15">
      <c r="G16" s="329"/>
      <c r="H16" s="244"/>
      <c r="I16" s="244">
        <f>I20+($H14-$H18)*I21</f>
        <v>107438</v>
      </c>
      <c r="J16" s="244">
        <f>J20+($H14-$H18)*J21</f>
        <v>6280</v>
      </c>
      <c r="K16" s="244">
        <f>K20+($H14-$H18)*K21</f>
        <v>0</v>
      </c>
      <c r="L16" s="147">
        <v>0</v>
      </c>
      <c r="M16" s="147">
        <f>M20+($H14-$H18)*M21</f>
        <v>4710</v>
      </c>
      <c r="N16" s="147">
        <f t="shared" ref="N16:W16" si="7">$H14*N17</f>
        <v>4710</v>
      </c>
      <c r="O16" s="147">
        <f t="shared" si="7"/>
        <v>4710</v>
      </c>
      <c r="P16" s="147">
        <f t="shared" si="7"/>
        <v>4710</v>
      </c>
      <c r="Q16" s="147">
        <f t="shared" si="7"/>
        <v>4710</v>
      </c>
      <c r="R16" s="147">
        <f t="shared" si="7"/>
        <v>4710</v>
      </c>
      <c r="S16" s="147">
        <f t="shared" si="7"/>
        <v>4710</v>
      </c>
      <c r="T16" s="147">
        <f t="shared" si="7"/>
        <v>4710</v>
      </c>
      <c r="U16" s="147">
        <f t="shared" si="7"/>
        <v>4710</v>
      </c>
      <c r="V16" s="147">
        <f t="shared" si="7"/>
        <v>4710</v>
      </c>
      <c r="W16" s="147">
        <f t="shared" si="7"/>
        <v>3925</v>
      </c>
      <c r="Y16" s="329"/>
      <c r="Z16" s="329"/>
      <c r="AA16" s="147">
        <f t="shared" ca="1" si="0"/>
        <v>113718</v>
      </c>
      <c r="AB16" s="147">
        <f t="shared" ref="AB16:AM17" si="8">$I16+$J16+$K16+L16</f>
        <v>113718</v>
      </c>
      <c r="AC16" s="147">
        <f t="shared" si="8"/>
        <v>118428</v>
      </c>
      <c r="AD16" s="147">
        <f t="shared" si="8"/>
        <v>118428</v>
      </c>
      <c r="AE16" s="147">
        <f t="shared" si="8"/>
        <v>118428</v>
      </c>
      <c r="AF16" s="147">
        <f t="shared" si="8"/>
        <v>118428</v>
      </c>
      <c r="AG16" s="147">
        <f t="shared" si="8"/>
        <v>118428</v>
      </c>
      <c r="AH16" s="147">
        <f t="shared" si="8"/>
        <v>118428</v>
      </c>
      <c r="AI16" s="147">
        <f t="shared" si="8"/>
        <v>118428</v>
      </c>
      <c r="AJ16" s="147">
        <f t="shared" si="8"/>
        <v>118428</v>
      </c>
      <c r="AK16" s="147">
        <f t="shared" si="8"/>
        <v>118428</v>
      </c>
      <c r="AL16" s="147">
        <f t="shared" si="8"/>
        <v>118428</v>
      </c>
      <c r="AM16" s="147">
        <f t="shared" si="8"/>
        <v>117643</v>
      </c>
    </row>
    <row r="17" spans="7:39" ht="16" thickBot="1">
      <c r="G17" s="330"/>
      <c r="H17" s="331"/>
      <c r="I17" s="331">
        <f>$I$2</f>
        <v>0.45</v>
      </c>
      <c r="J17" s="331">
        <v>0.02</v>
      </c>
      <c r="K17" s="331">
        <f>$K$3</f>
        <v>0</v>
      </c>
      <c r="L17" s="334">
        <v>0</v>
      </c>
      <c r="M17" s="334">
        <v>1.4999999999999999E-2</v>
      </c>
      <c r="N17" s="334">
        <v>1.4999999999999999E-2</v>
      </c>
      <c r="O17" s="334">
        <v>1.4999999999999999E-2</v>
      </c>
      <c r="P17" s="334">
        <v>1.4999999999999999E-2</v>
      </c>
      <c r="Q17" s="334">
        <v>1.4999999999999999E-2</v>
      </c>
      <c r="R17" s="334">
        <v>1.4999999999999999E-2</v>
      </c>
      <c r="S17" s="334">
        <v>1.4999999999999999E-2</v>
      </c>
      <c r="T17" s="334">
        <v>1.4999999999999999E-2</v>
      </c>
      <c r="U17" s="334">
        <v>1.4999999999999999E-2</v>
      </c>
      <c r="V17" s="334">
        <v>1.4999999999999999E-2</v>
      </c>
      <c r="W17" s="334">
        <v>1.2500000000000001E-2</v>
      </c>
      <c r="Y17" s="330"/>
      <c r="Z17" s="330"/>
      <c r="AA17" s="334">
        <f t="shared" ca="1" si="0"/>
        <v>0.47000000000000003</v>
      </c>
      <c r="AB17" s="334">
        <f t="shared" si="8"/>
        <v>0.47000000000000003</v>
      </c>
      <c r="AC17" s="334">
        <f t="shared" si="8"/>
        <v>0.48500000000000004</v>
      </c>
      <c r="AD17" s="334">
        <f t="shared" si="8"/>
        <v>0.48500000000000004</v>
      </c>
      <c r="AE17" s="334">
        <f t="shared" si="8"/>
        <v>0.48500000000000004</v>
      </c>
      <c r="AF17" s="334">
        <f t="shared" si="8"/>
        <v>0.48500000000000004</v>
      </c>
      <c r="AG17" s="334">
        <f t="shared" si="8"/>
        <v>0.48500000000000004</v>
      </c>
      <c r="AH17" s="334">
        <f t="shared" si="8"/>
        <v>0.48500000000000004</v>
      </c>
      <c r="AI17" s="334">
        <f t="shared" si="8"/>
        <v>0.48500000000000004</v>
      </c>
      <c r="AJ17" s="334">
        <f t="shared" si="8"/>
        <v>0.48500000000000004</v>
      </c>
      <c r="AK17" s="334">
        <f t="shared" si="8"/>
        <v>0.48500000000000004</v>
      </c>
      <c r="AL17" s="334">
        <f t="shared" si="8"/>
        <v>0.48500000000000004</v>
      </c>
      <c r="AM17" s="334">
        <f t="shared" si="8"/>
        <v>0.48250000000000004</v>
      </c>
    </row>
    <row r="18" spans="7:39" ht="15">
      <c r="G18" s="327"/>
      <c r="H18" s="332">
        <f>H22+1500</f>
        <v>312500</v>
      </c>
      <c r="I18" s="332"/>
      <c r="J18" s="332"/>
      <c r="K18" s="332"/>
      <c r="L18" s="327"/>
      <c r="M18" s="327"/>
      <c r="N18" s="327"/>
      <c r="O18" s="327"/>
      <c r="P18" s="327"/>
      <c r="Q18" s="327"/>
      <c r="R18" s="327"/>
      <c r="S18" s="327"/>
      <c r="T18" s="327"/>
      <c r="U18" s="327"/>
      <c r="V18" s="327"/>
      <c r="W18" s="327"/>
      <c r="Y18" s="327">
        <f ca="1">OFFSET(AB18,0,$AB$2)</f>
        <v>312500</v>
      </c>
      <c r="Z18" s="327"/>
      <c r="AA18" s="333">
        <f t="shared" ref="AA18:AA80" ca="1" si="9">OFFSET(AB18,0,$AB$2)</f>
        <v>312500</v>
      </c>
      <c r="AB18" s="333">
        <f t="shared" ref="AB18:AM18" si="10">$H18</f>
        <v>312500</v>
      </c>
      <c r="AC18" s="333">
        <f t="shared" si="10"/>
        <v>312500</v>
      </c>
      <c r="AD18" s="333">
        <f t="shared" si="10"/>
        <v>312500</v>
      </c>
      <c r="AE18" s="333">
        <f t="shared" si="10"/>
        <v>312500</v>
      </c>
      <c r="AF18" s="333">
        <f t="shared" si="10"/>
        <v>312500</v>
      </c>
      <c r="AG18" s="333">
        <f t="shared" si="10"/>
        <v>312500</v>
      </c>
      <c r="AH18" s="333">
        <f t="shared" si="10"/>
        <v>312500</v>
      </c>
      <c r="AI18" s="333">
        <f t="shared" si="10"/>
        <v>312500</v>
      </c>
      <c r="AJ18" s="333">
        <f t="shared" si="10"/>
        <v>312500</v>
      </c>
      <c r="AK18" s="333">
        <f t="shared" si="10"/>
        <v>312500</v>
      </c>
      <c r="AL18" s="333">
        <f t="shared" si="10"/>
        <v>312500</v>
      </c>
      <c r="AM18" s="333">
        <f t="shared" si="10"/>
        <v>312500</v>
      </c>
    </row>
    <row r="19" spans="7:39" ht="15">
      <c r="G19" s="328"/>
      <c r="H19" s="261"/>
      <c r="I19" s="261"/>
      <c r="J19" s="261"/>
      <c r="K19" s="261"/>
      <c r="L19" s="328"/>
      <c r="M19" s="328"/>
      <c r="N19" s="328"/>
      <c r="O19" s="328"/>
      <c r="P19" s="328"/>
      <c r="Q19" s="328"/>
      <c r="R19" s="328"/>
      <c r="S19" s="328"/>
      <c r="T19" s="328"/>
      <c r="U19" s="328"/>
      <c r="V19" s="328"/>
      <c r="W19" s="328"/>
      <c r="Y19" s="328"/>
      <c r="Z19" s="328">
        <f ca="1">OFFSET(AB19,0,$AB$2)</f>
        <v>199487</v>
      </c>
      <c r="AA19" s="215">
        <f t="shared" ca="1" si="9"/>
        <v>199487</v>
      </c>
      <c r="AB19" s="215">
        <f>AB18-(AB24+(AB18-AB22)*AB25)</f>
        <v>199487</v>
      </c>
      <c r="AC19" s="215">
        <f t="shared" ref="AC19:AM19" si="11">AC18-(AC24+(AC18-AC22)*AC25)</f>
        <v>194799.5</v>
      </c>
      <c r="AD19" s="215">
        <f t="shared" si="11"/>
        <v>194799.5</v>
      </c>
      <c r="AE19" s="215">
        <f t="shared" si="11"/>
        <v>194799.5</v>
      </c>
      <c r="AF19" s="215">
        <f t="shared" si="11"/>
        <v>194799.5</v>
      </c>
      <c r="AG19" s="215">
        <f t="shared" si="11"/>
        <v>194799.5</v>
      </c>
      <c r="AH19" s="215">
        <f t="shared" si="11"/>
        <v>194799.5</v>
      </c>
      <c r="AI19" s="215">
        <f t="shared" si="11"/>
        <v>194799.5</v>
      </c>
      <c r="AJ19" s="215">
        <f t="shared" si="11"/>
        <v>194799.5</v>
      </c>
      <c r="AK19" s="215">
        <f t="shared" si="11"/>
        <v>195580.75</v>
      </c>
      <c r="AL19" s="215">
        <f t="shared" si="11"/>
        <v>195580.75</v>
      </c>
      <c r="AM19" s="215">
        <f t="shared" si="11"/>
        <v>195580.75</v>
      </c>
    </row>
    <row r="20" spans="7:39" ht="15">
      <c r="G20" s="329"/>
      <c r="H20" s="244"/>
      <c r="I20" s="244">
        <f>I24+($H18-$H22)*I25</f>
        <v>106763</v>
      </c>
      <c r="J20" s="244">
        <f>J24+($H18-$H22)*J25</f>
        <v>6250</v>
      </c>
      <c r="K20" s="244">
        <f>K24+($H18-$H22)*K25</f>
        <v>0</v>
      </c>
      <c r="L20" s="147">
        <v>0</v>
      </c>
      <c r="M20" s="147">
        <f>M24+($H18-$H22)*M25</f>
        <v>4687.5</v>
      </c>
      <c r="N20" s="147">
        <f t="shared" ref="N20:W20" si="12">$H18*N21</f>
        <v>4687.5</v>
      </c>
      <c r="O20" s="147">
        <f t="shared" si="12"/>
        <v>4687.5</v>
      </c>
      <c r="P20" s="147">
        <f t="shared" si="12"/>
        <v>4687.5</v>
      </c>
      <c r="Q20" s="147">
        <f t="shared" si="12"/>
        <v>4687.5</v>
      </c>
      <c r="R20" s="147">
        <f t="shared" si="12"/>
        <v>4687.5</v>
      </c>
      <c r="S20" s="147">
        <f t="shared" si="12"/>
        <v>4687.5</v>
      </c>
      <c r="T20" s="147">
        <f t="shared" si="12"/>
        <v>4687.5</v>
      </c>
      <c r="U20" s="147">
        <f t="shared" si="12"/>
        <v>4687.5</v>
      </c>
      <c r="V20" s="147">
        <f t="shared" si="12"/>
        <v>3906.25</v>
      </c>
      <c r="W20" s="147">
        <f t="shared" si="12"/>
        <v>3906.25</v>
      </c>
      <c r="Y20" s="329"/>
      <c r="Z20" s="329"/>
      <c r="AA20" s="147">
        <f t="shared" ca="1" si="9"/>
        <v>113013</v>
      </c>
      <c r="AB20" s="147">
        <f t="shared" ref="AB20:AM21" si="13">$I20+$J20+$K20+L20</f>
        <v>113013</v>
      </c>
      <c r="AC20" s="147">
        <f t="shared" si="13"/>
        <v>117700.5</v>
      </c>
      <c r="AD20" s="147">
        <f t="shared" si="13"/>
        <v>117700.5</v>
      </c>
      <c r="AE20" s="147">
        <f t="shared" si="13"/>
        <v>117700.5</v>
      </c>
      <c r="AF20" s="147">
        <f t="shared" si="13"/>
        <v>117700.5</v>
      </c>
      <c r="AG20" s="147">
        <f t="shared" si="13"/>
        <v>117700.5</v>
      </c>
      <c r="AH20" s="147">
        <f t="shared" si="13"/>
        <v>117700.5</v>
      </c>
      <c r="AI20" s="147">
        <f t="shared" si="13"/>
        <v>117700.5</v>
      </c>
      <c r="AJ20" s="147">
        <f t="shared" si="13"/>
        <v>117700.5</v>
      </c>
      <c r="AK20" s="147">
        <f t="shared" si="13"/>
        <v>117700.5</v>
      </c>
      <c r="AL20" s="147">
        <f t="shared" si="13"/>
        <v>116919.25</v>
      </c>
      <c r="AM20" s="147">
        <f t="shared" si="13"/>
        <v>116919.25</v>
      </c>
    </row>
    <row r="21" spans="7:39" ht="16" thickBot="1">
      <c r="G21" s="330"/>
      <c r="H21" s="331"/>
      <c r="I21" s="331">
        <f>$I$2</f>
        <v>0.45</v>
      </c>
      <c r="J21" s="331">
        <v>0.02</v>
      </c>
      <c r="K21" s="331">
        <f>$K$3</f>
        <v>0</v>
      </c>
      <c r="L21" s="334">
        <v>0</v>
      </c>
      <c r="M21" s="334">
        <v>1.4999999999999999E-2</v>
      </c>
      <c r="N21" s="334">
        <v>1.4999999999999999E-2</v>
      </c>
      <c r="O21" s="334">
        <v>1.4999999999999999E-2</v>
      </c>
      <c r="P21" s="334">
        <v>1.4999999999999999E-2</v>
      </c>
      <c r="Q21" s="334">
        <v>1.4999999999999999E-2</v>
      </c>
      <c r="R21" s="334">
        <v>1.4999999999999999E-2</v>
      </c>
      <c r="S21" s="334">
        <v>1.4999999999999999E-2</v>
      </c>
      <c r="T21" s="334">
        <v>1.4999999999999999E-2</v>
      </c>
      <c r="U21" s="334">
        <v>1.4999999999999999E-2</v>
      </c>
      <c r="V21" s="334">
        <v>1.2500000000000001E-2</v>
      </c>
      <c r="W21" s="334">
        <v>1.2500000000000001E-2</v>
      </c>
      <c r="Y21" s="330"/>
      <c r="Z21" s="330"/>
      <c r="AA21" s="334">
        <f t="shared" ca="1" si="9"/>
        <v>0.47000000000000003</v>
      </c>
      <c r="AB21" s="334">
        <f t="shared" si="13"/>
        <v>0.47000000000000003</v>
      </c>
      <c r="AC21" s="334">
        <f t="shared" si="13"/>
        <v>0.48500000000000004</v>
      </c>
      <c r="AD21" s="334">
        <f t="shared" si="13"/>
        <v>0.48500000000000004</v>
      </c>
      <c r="AE21" s="334">
        <f t="shared" si="13"/>
        <v>0.48500000000000004</v>
      </c>
      <c r="AF21" s="334">
        <f t="shared" si="13"/>
        <v>0.48500000000000004</v>
      </c>
      <c r="AG21" s="334">
        <f t="shared" si="13"/>
        <v>0.48500000000000004</v>
      </c>
      <c r="AH21" s="334">
        <f t="shared" si="13"/>
        <v>0.48500000000000004</v>
      </c>
      <c r="AI21" s="334">
        <f t="shared" si="13"/>
        <v>0.48500000000000004</v>
      </c>
      <c r="AJ21" s="334">
        <f t="shared" si="13"/>
        <v>0.48500000000000004</v>
      </c>
      <c r="AK21" s="334">
        <f t="shared" si="13"/>
        <v>0.48500000000000004</v>
      </c>
      <c r="AL21" s="334">
        <f t="shared" si="13"/>
        <v>0.48250000000000004</v>
      </c>
      <c r="AM21" s="334">
        <f t="shared" si="13"/>
        <v>0.48250000000000004</v>
      </c>
    </row>
    <row r="22" spans="7:39" ht="15">
      <c r="G22" s="327"/>
      <c r="H22" s="332">
        <f>H26+1500</f>
        <v>311000</v>
      </c>
      <c r="I22" s="332"/>
      <c r="J22" s="332"/>
      <c r="K22" s="332"/>
      <c r="L22" s="327"/>
      <c r="M22" s="327"/>
      <c r="N22" s="327"/>
      <c r="O22" s="327"/>
      <c r="P22" s="327"/>
      <c r="Q22" s="327"/>
      <c r="R22" s="327"/>
      <c r="S22" s="327"/>
      <c r="T22" s="327"/>
      <c r="U22" s="327"/>
      <c r="V22" s="327"/>
      <c r="W22" s="327"/>
      <c r="Y22" s="327">
        <f ca="1">OFFSET(AB22,0,$AB$2)</f>
        <v>311000</v>
      </c>
      <c r="Z22" s="327"/>
      <c r="AA22" s="333">
        <f t="shared" ca="1" si="9"/>
        <v>311000</v>
      </c>
      <c r="AB22" s="333">
        <f t="shared" ref="AB22:AM22" si="14">$H22</f>
        <v>311000</v>
      </c>
      <c r="AC22" s="333">
        <f t="shared" si="14"/>
        <v>311000</v>
      </c>
      <c r="AD22" s="333">
        <f t="shared" si="14"/>
        <v>311000</v>
      </c>
      <c r="AE22" s="333">
        <f t="shared" si="14"/>
        <v>311000</v>
      </c>
      <c r="AF22" s="333">
        <f t="shared" si="14"/>
        <v>311000</v>
      </c>
      <c r="AG22" s="333">
        <f t="shared" si="14"/>
        <v>311000</v>
      </c>
      <c r="AH22" s="333">
        <f t="shared" si="14"/>
        <v>311000</v>
      </c>
      <c r="AI22" s="333">
        <f t="shared" si="14"/>
        <v>311000</v>
      </c>
      <c r="AJ22" s="333">
        <f t="shared" si="14"/>
        <v>311000</v>
      </c>
      <c r="AK22" s="333">
        <f t="shared" si="14"/>
        <v>311000</v>
      </c>
      <c r="AL22" s="333">
        <f t="shared" si="14"/>
        <v>311000</v>
      </c>
      <c r="AM22" s="333">
        <f t="shared" si="14"/>
        <v>311000</v>
      </c>
    </row>
    <row r="23" spans="7:39" ht="15">
      <c r="G23" s="328"/>
      <c r="H23" s="261"/>
      <c r="I23" s="261"/>
      <c r="J23" s="261"/>
      <c r="K23" s="261"/>
      <c r="L23" s="328"/>
      <c r="M23" s="328"/>
      <c r="N23" s="328"/>
      <c r="O23" s="328"/>
      <c r="P23" s="328"/>
      <c r="Q23" s="328"/>
      <c r="R23" s="328"/>
      <c r="S23" s="328"/>
      <c r="T23" s="328"/>
      <c r="U23" s="328"/>
      <c r="V23" s="328"/>
      <c r="W23" s="328"/>
      <c r="Y23" s="328"/>
      <c r="Z23" s="328">
        <f ca="1">OFFSET(AB23,0,$AB$2)</f>
        <v>198692</v>
      </c>
      <c r="AA23" s="215">
        <f t="shared" ca="1" si="9"/>
        <v>198692</v>
      </c>
      <c r="AB23" s="215">
        <f>AB22-(AB28+(AB22-AB26)*AB29)</f>
        <v>198692</v>
      </c>
      <c r="AC23" s="215">
        <f t="shared" ref="AC23:AM23" si="15">AC22-(AC28+(AC22-AC26)*AC29)</f>
        <v>194027</v>
      </c>
      <c r="AD23" s="215">
        <f t="shared" si="15"/>
        <v>194027</v>
      </c>
      <c r="AE23" s="215">
        <f t="shared" si="15"/>
        <v>194027</v>
      </c>
      <c r="AF23" s="215">
        <f t="shared" si="15"/>
        <v>194027</v>
      </c>
      <c r="AG23" s="215">
        <f t="shared" si="15"/>
        <v>194027</v>
      </c>
      <c r="AH23" s="215">
        <f t="shared" si="15"/>
        <v>194027</v>
      </c>
      <c r="AI23" s="215">
        <f t="shared" si="15"/>
        <v>194027</v>
      </c>
      <c r="AJ23" s="215">
        <f t="shared" si="15"/>
        <v>194804.5</v>
      </c>
      <c r="AK23" s="215">
        <f t="shared" si="15"/>
        <v>194804.5</v>
      </c>
      <c r="AL23" s="215">
        <f t="shared" si="15"/>
        <v>194804.5</v>
      </c>
      <c r="AM23" s="215">
        <f t="shared" si="15"/>
        <v>194804.5</v>
      </c>
    </row>
    <row r="24" spans="7:39" ht="15">
      <c r="G24" s="329"/>
      <c r="H24" s="244"/>
      <c r="I24" s="244">
        <f>I28+($H22-$H26)*I29</f>
        <v>106088</v>
      </c>
      <c r="J24" s="244">
        <f>J28+($H22-$H26)*J29</f>
        <v>6220</v>
      </c>
      <c r="K24" s="244">
        <f>K28+($H22-$H26)*K29</f>
        <v>0</v>
      </c>
      <c r="L24" s="147">
        <v>0</v>
      </c>
      <c r="M24" s="147">
        <f>M28+($H22-$H26)*M29</f>
        <v>4665</v>
      </c>
      <c r="N24" s="147">
        <f t="shared" ref="N24:W24" si="16">$H22*N25</f>
        <v>4665</v>
      </c>
      <c r="O24" s="147">
        <f t="shared" si="16"/>
        <v>4665</v>
      </c>
      <c r="P24" s="147">
        <f t="shared" si="16"/>
        <v>4665</v>
      </c>
      <c r="Q24" s="147">
        <f t="shared" si="16"/>
        <v>4665</v>
      </c>
      <c r="R24" s="147">
        <f t="shared" si="16"/>
        <v>4665</v>
      </c>
      <c r="S24" s="147">
        <f t="shared" si="16"/>
        <v>4665</v>
      </c>
      <c r="T24" s="147">
        <f t="shared" si="16"/>
        <v>4665</v>
      </c>
      <c r="U24" s="147">
        <f t="shared" si="16"/>
        <v>3887.5</v>
      </c>
      <c r="V24" s="147">
        <f t="shared" si="16"/>
        <v>3887.5</v>
      </c>
      <c r="W24" s="147">
        <f t="shared" si="16"/>
        <v>3887.5</v>
      </c>
      <c r="Y24" s="329"/>
      <c r="Z24" s="329"/>
      <c r="AA24" s="147">
        <f t="shared" ca="1" si="9"/>
        <v>112308</v>
      </c>
      <c r="AB24" s="147">
        <f t="shared" ref="AB24:AM25" si="17">$I24+$J24+$K24+L24</f>
        <v>112308</v>
      </c>
      <c r="AC24" s="147">
        <f t="shared" si="17"/>
        <v>116973</v>
      </c>
      <c r="AD24" s="147">
        <f t="shared" si="17"/>
        <v>116973</v>
      </c>
      <c r="AE24" s="147">
        <f t="shared" si="17"/>
        <v>116973</v>
      </c>
      <c r="AF24" s="147">
        <f t="shared" si="17"/>
        <v>116973</v>
      </c>
      <c r="AG24" s="147">
        <f t="shared" si="17"/>
        <v>116973</v>
      </c>
      <c r="AH24" s="147">
        <f t="shared" si="17"/>
        <v>116973</v>
      </c>
      <c r="AI24" s="147">
        <f t="shared" si="17"/>
        <v>116973</v>
      </c>
      <c r="AJ24" s="147">
        <f t="shared" si="17"/>
        <v>116973</v>
      </c>
      <c r="AK24" s="147">
        <f t="shared" si="17"/>
        <v>116195.5</v>
      </c>
      <c r="AL24" s="147">
        <f t="shared" si="17"/>
        <v>116195.5</v>
      </c>
      <c r="AM24" s="147">
        <f t="shared" si="17"/>
        <v>116195.5</v>
      </c>
    </row>
    <row r="25" spans="7:39" ht="16" thickBot="1">
      <c r="G25" s="330"/>
      <c r="H25" s="331"/>
      <c r="I25" s="331">
        <f>$I$2</f>
        <v>0.45</v>
      </c>
      <c r="J25" s="331">
        <v>0.02</v>
      </c>
      <c r="K25" s="331">
        <f>$K$3</f>
        <v>0</v>
      </c>
      <c r="L25" s="334">
        <v>0</v>
      </c>
      <c r="M25" s="334">
        <v>1.4999999999999999E-2</v>
      </c>
      <c r="N25" s="334">
        <v>1.4999999999999999E-2</v>
      </c>
      <c r="O25" s="334">
        <v>1.4999999999999999E-2</v>
      </c>
      <c r="P25" s="334">
        <v>1.4999999999999999E-2</v>
      </c>
      <c r="Q25" s="334">
        <v>1.4999999999999999E-2</v>
      </c>
      <c r="R25" s="334">
        <v>1.4999999999999999E-2</v>
      </c>
      <c r="S25" s="334">
        <v>1.4999999999999999E-2</v>
      </c>
      <c r="T25" s="334">
        <v>1.4999999999999999E-2</v>
      </c>
      <c r="U25" s="334">
        <v>1.2500000000000001E-2</v>
      </c>
      <c r="V25" s="334">
        <v>1.2500000000000001E-2</v>
      </c>
      <c r="W25" s="334">
        <v>1.2500000000000001E-2</v>
      </c>
      <c r="Y25" s="330"/>
      <c r="Z25" s="330"/>
      <c r="AA25" s="334">
        <f t="shared" ca="1" si="9"/>
        <v>0.47000000000000003</v>
      </c>
      <c r="AB25" s="334">
        <f t="shared" si="17"/>
        <v>0.47000000000000003</v>
      </c>
      <c r="AC25" s="334">
        <f t="shared" si="17"/>
        <v>0.48500000000000004</v>
      </c>
      <c r="AD25" s="334">
        <f t="shared" si="17"/>
        <v>0.48500000000000004</v>
      </c>
      <c r="AE25" s="334">
        <f t="shared" si="17"/>
        <v>0.48500000000000004</v>
      </c>
      <c r="AF25" s="334">
        <f t="shared" si="17"/>
        <v>0.48500000000000004</v>
      </c>
      <c r="AG25" s="334">
        <f t="shared" si="17"/>
        <v>0.48500000000000004</v>
      </c>
      <c r="AH25" s="334">
        <f t="shared" si="17"/>
        <v>0.48500000000000004</v>
      </c>
      <c r="AI25" s="334">
        <f t="shared" si="17"/>
        <v>0.48500000000000004</v>
      </c>
      <c r="AJ25" s="334">
        <f t="shared" si="17"/>
        <v>0.48500000000000004</v>
      </c>
      <c r="AK25" s="334">
        <f t="shared" si="17"/>
        <v>0.48250000000000004</v>
      </c>
      <c r="AL25" s="334">
        <f t="shared" si="17"/>
        <v>0.48250000000000004</v>
      </c>
      <c r="AM25" s="334">
        <f t="shared" si="17"/>
        <v>0.48250000000000004</v>
      </c>
    </row>
    <row r="26" spans="7:39" ht="15">
      <c r="G26" s="327"/>
      <c r="H26" s="332">
        <f>H30+1500</f>
        <v>309500</v>
      </c>
      <c r="I26" s="332"/>
      <c r="J26" s="332"/>
      <c r="K26" s="332"/>
      <c r="L26" s="327"/>
      <c r="M26" s="327"/>
      <c r="N26" s="327"/>
      <c r="O26" s="327"/>
      <c r="P26" s="327"/>
      <c r="Q26" s="327"/>
      <c r="R26" s="327"/>
      <c r="S26" s="327"/>
      <c r="T26" s="327"/>
      <c r="U26" s="327"/>
      <c r="V26" s="327"/>
      <c r="W26" s="327"/>
      <c r="Y26" s="327">
        <f ca="1">OFFSET(AB26,0,$AB$2)</f>
        <v>309500</v>
      </c>
      <c r="Z26" s="327"/>
      <c r="AA26" s="333">
        <f t="shared" ca="1" si="9"/>
        <v>309500</v>
      </c>
      <c r="AB26" s="333">
        <f t="shared" ref="AB26:AM26" si="18">$H26</f>
        <v>309500</v>
      </c>
      <c r="AC26" s="333">
        <f t="shared" si="18"/>
        <v>309500</v>
      </c>
      <c r="AD26" s="333">
        <f t="shared" si="18"/>
        <v>309500</v>
      </c>
      <c r="AE26" s="333">
        <f t="shared" si="18"/>
        <v>309500</v>
      </c>
      <c r="AF26" s="333">
        <f t="shared" si="18"/>
        <v>309500</v>
      </c>
      <c r="AG26" s="333">
        <f t="shared" si="18"/>
        <v>309500</v>
      </c>
      <c r="AH26" s="333">
        <f t="shared" si="18"/>
        <v>309500</v>
      </c>
      <c r="AI26" s="333">
        <f t="shared" si="18"/>
        <v>309500</v>
      </c>
      <c r="AJ26" s="333">
        <f t="shared" si="18"/>
        <v>309500</v>
      </c>
      <c r="AK26" s="333">
        <f t="shared" si="18"/>
        <v>309500</v>
      </c>
      <c r="AL26" s="333">
        <f t="shared" si="18"/>
        <v>309500</v>
      </c>
      <c r="AM26" s="333">
        <f t="shared" si="18"/>
        <v>309500</v>
      </c>
    </row>
    <row r="27" spans="7:39" ht="15">
      <c r="G27" s="328"/>
      <c r="H27" s="261"/>
      <c r="I27" s="261"/>
      <c r="J27" s="261"/>
      <c r="K27" s="261"/>
      <c r="L27" s="328"/>
      <c r="M27" s="328"/>
      <c r="N27" s="328"/>
      <c r="O27" s="328"/>
      <c r="P27" s="328"/>
      <c r="Q27" s="328"/>
      <c r="R27" s="328"/>
      <c r="S27" s="328"/>
      <c r="T27" s="328"/>
      <c r="U27" s="328"/>
      <c r="V27" s="328"/>
      <c r="W27" s="328"/>
      <c r="Y27" s="328"/>
      <c r="Z27" s="328">
        <f ca="1">OFFSET(AB27,0,$AB$2)</f>
        <v>197897</v>
      </c>
      <c r="AA27" s="215">
        <f t="shared" ca="1" si="9"/>
        <v>197897</v>
      </c>
      <c r="AB27" s="215">
        <f>AB26-(AB32+(AB26-AB30)*AB33)</f>
        <v>197897</v>
      </c>
      <c r="AC27" s="215">
        <f t="shared" ref="AC27:AM27" si="19">AC26-(AC32+(AC26-AC30)*AC33)</f>
        <v>193254.5</v>
      </c>
      <c r="AD27" s="215">
        <f t="shared" si="19"/>
        <v>193254.5</v>
      </c>
      <c r="AE27" s="215">
        <f t="shared" si="19"/>
        <v>193254.5</v>
      </c>
      <c r="AF27" s="215">
        <f t="shared" si="19"/>
        <v>193254.5</v>
      </c>
      <c r="AG27" s="215">
        <f t="shared" si="19"/>
        <v>193254.5</v>
      </c>
      <c r="AH27" s="215">
        <f t="shared" si="19"/>
        <v>193254.5</v>
      </c>
      <c r="AI27" s="215">
        <f t="shared" si="19"/>
        <v>194028.25</v>
      </c>
      <c r="AJ27" s="215">
        <f t="shared" si="19"/>
        <v>194028.25</v>
      </c>
      <c r="AK27" s="215">
        <f t="shared" si="19"/>
        <v>194028.25</v>
      </c>
      <c r="AL27" s="215">
        <f t="shared" si="19"/>
        <v>194028.25</v>
      </c>
      <c r="AM27" s="215">
        <f t="shared" si="19"/>
        <v>194028.25</v>
      </c>
    </row>
    <row r="28" spans="7:39" ht="15">
      <c r="G28" s="329"/>
      <c r="H28" s="244"/>
      <c r="I28" s="244">
        <f>I32+($H26-$H30)*I33</f>
        <v>105413</v>
      </c>
      <c r="J28" s="244">
        <f>J32+($H26-$H30)*J33</f>
        <v>6190</v>
      </c>
      <c r="K28" s="244">
        <f>K32+($H26-$H30)*K33</f>
        <v>0</v>
      </c>
      <c r="L28" s="147">
        <v>0</v>
      </c>
      <c r="M28" s="147">
        <f>M32+($H26-$H30)*M33</f>
        <v>4642.5</v>
      </c>
      <c r="N28" s="147">
        <f t="shared" ref="N28:W28" si="20">$H26*N29</f>
        <v>4642.5</v>
      </c>
      <c r="O28" s="147">
        <f t="shared" si="20"/>
        <v>4642.5</v>
      </c>
      <c r="P28" s="147">
        <f t="shared" si="20"/>
        <v>4642.5</v>
      </c>
      <c r="Q28" s="147">
        <f t="shared" si="20"/>
        <v>4642.5</v>
      </c>
      <c r="R28" s="147">
        <f t="shared" si="20"/>
        <v>4642.5</v>
      </c>
      <c r="S28" s="147">
        <f t="shared" si="20"/>
        <v>4642.5</v>
      </c>
      <c r="T28" s="147">
        <f t="shared" si="20"/>
        <v>3868.75</v>
      </c>
      <c r="U28" s="147">
        <f t="shared" si="20"/>
        <v>3868.75</v>
      </c>
      <c r="V28" s="147">
        <f t="shared" si="20"/>
        <v>3868.75</v>
      </c>
      <c r="W28" s="147">
        <f t="shared" si="20"/>
        <v>3868.75</v>
      </c>
      <c r="Y28" s="329"/>
      <c r="Z28" s="329"/>
      <c r="AA28" s="147">
        <f t="shared" ca="1" si="9"/>
        <v>111603</v>
      </c>
      <c r="AB28" s="147">
        <f t="shared" ref="AB28:AM29" si="21">$I28+$J28+$K28+L28</f>
        <v>111603</v>
      </c>
      <c r="AC28" s="147">
        <f t="shared" si="21"/>
        <v>116245.5</v>
      </c>
      <c r="AD28" s="147">
        <f t="shared" si="21"/>
        <v>116245.5</v>
      </c>
      <c r="AE28" s="147">
        <f t="shared" si="21"/>
        <v>116245.5</v>
      </c>
      <c r="AF28" s="147">
        <f t="shared" si="21"/>
        <v>116245.5</v>
      </c>
      <c r="AG28" s="147">
        <f t="shared" si="21"/>
        <v>116245.5</v>
      </c>
      <c r="AH28" s="147">
        <f t="shared" si="21"/>
        <v>116245.5</v>
      </c>
      <c r="AI28" s="147">
        <f t="shared" si="21"/>
        <v>116245.5</v>
      </c>
      <c r="AJ28" s="147">
        <f t="shared" si="21"/>
        <v>115471.75</v>
      </c>
      <c r="AK28" s="147">
        <f t="shared" si="21"/>
        <v>115471.75</v>
      </c>
      <c r="AL28" s="147">
        <f t="shared" si="21"/>
        <v>115471.75</v>
      </c>
      <c r="AM28" s="147">
        <f t="shared" si="21"/>
        <v>115471.75</v>
      </c>
    </row>
    <row r="29" spans="7:39" ht="16" thickBot="1">
      <c r="G29" s="330"/>
      <c r="H29" s="331"/>
      <c r="I29" s="331">
        <f>$I$2</f>
        <v>0.45</v>
      </c>
      <c r="J29" s="331">
        <v>0.02</v>
      </c>
      <c r="K29" s="331">
        <f>$K$3</f>
        <v>0</v>
      </c>
      <c r="L29" s="334">
        <v>0</v>
      </c>
      <c r="M29" s="334">
        <v>1.4999999999999999E-2</v>
      </c>
      <c r="N29" s="334">
        <v>1.4999999999999999E-2</v>
      </c>
      <c r="O29" s="334">
        <v>1.4999999999999999E-2</v>
      </c>
      <c r="P29" s="334">
        <v>1.4999999999999999E-2</v>
      </c>
      <c r="Q29" s="334">
        <v>1.4999999999999999E-2</v>
      </c>
      <c r="R29" s="334">
        <v>1.4999999999999999E-2</v>
      </c>
      <c r="S29" s="334">
        <v>1.4999999999999999E-2</v>
      </c>
      <c r="T29" s="334">
        <v>1.2500000000000001E-2</v>
      </c>
      <c r="U29" s="334">
        <v>1.2500000000000001E-2</v>
      </c>
      <c r="V29" s="334">
        <v>1.2500000000000001E-2</v>
      </c>
      <c r="W29" s="334">
        <v>1.2500000000000001E-2</v>
      </c>
      <c r="Y29" s="330"/>
      <c r="Z29" s="330"/>
      <c r="AA29" s="334">
        <f t="shared" ca="1" si="9"/>
        <v>0.47000000000000003</v>
      </c>
      <c r="AB29" s="334">
        <f t="shared" si="21"/>
        <v>0.47000000000000003</v>
      </c>
      <c r="AC29" s="334">
        <f t="shared" si="21"/>
        <v>0.48500000000000004</v>
      </c>
      <c r="AD29" s="334">
        <f t="shared" si="21"/>
        <v>0.48500000000000004</v>
      </c>
      <c r="AE29" s="334">
        <f t="shared" si="21"/>
        <v>0.48500000000000004</v>
      </c>
      <c r="AF29" s="334">
        <f t="shared" si="21"/>
        <v>0.48500000000000004</v>
      </c>
      <c r="AG29" s="334">
        <f t="shared" si="21"/>
        <v>0.48500000000000004</v>
      </c>
      <c r="AH29" s="334">
        <f t="shared" si="21"/>
        <v>0.48500000000000004</v>
      </c>
      <c r="AI29" s="334">
        <f t="shared" si="21"/>
        <v>0.48500000000000004</v>
      </c>
      <c r="AJ29" s="334">
        <f t="shared" si="21"/>
        <v>0.48250000000000004</v>
      </c>
      <c r="AK29" s="334">
        <f t="shared" si="21"/>
        <v>0.48250000000000004</v>
      </c>
      <c r="AL29" s="334">
        <f t="shared" si="21"/>
        <v>0.48250000000000004</v>
      </c>
      <c r="AM29" s="334">
        <f t="shared" si="21"/>
        <v>0.48250000000000004</v>
      </c>
    </row>
    <row r="30" spans="7:39" ht="15">
      <c r="G30" s="327"/>
      <c r="H30" s="332">
        <f>H34+1500</f>
        <v>308000</v>
      </c>
      <c r="I30" s="332"/>
      <c r="J30" s="332"/>
      <c r="K30" s="332"/>
      <c r="L30" s="327"/>
      <c r="M30" s="327"/>
      <c r="N30" s="327"/>
      <c r="O30" s="327"/>
      <c r="P30" s="327"/>
      <c r="Q30" s="327"/>
      <c r="R30" s="327"/>
      <c r="S30" s="327"/>
      <c r="T30" s="327"/>
      <c r="U30" s="327"/>
      <c r="V30" s="327"/>
      <c r="W30" s="327"/>
      <c r="Y30" s="327">
        <f ca="1">OFFSET(AB30,0,$AB$2)</f>
        <v>308000</v>
      </c>
      <c r="Z30" s="327"/>
      <c r="AA30" s="333">
        <f t="shared" ca="1" si="9"/>
        <v>308000</v>
      </c>
      <c r="AB30" s="333">
        <f t="shared" ref="AB30:AM30" si="22">$H30</f>
        <v>308000</v>
      </c>
      <c r="AC30" s="333">
        <f t="shared" si="22"/>
        <v>308000</v>
      </c>
      <c r="AD30" s="333">
        <f t="shared" si="22"/>
        <v>308000</v>
      </c>
      <c r="AE30" s="333">
        <f t="shared" si="22"/>
        <v>308000</v>
      </c>
      <c r="AF30" s="333">
        <f t="shared" si="22"/>
        <v>308000</v>
      </c>
      <c r="AG30" s="333">
        <f t="shared" si="22"/>
        <v>308000</v>
      </c>
      <c r="AH30" s="333">
        <f t="shared" si="22"/>
        <v>308000</v>
      </c>
      <c r="AI30" s="333">
        <f t="shared" si="22"/>
        <v>308000</v>
      </c>
      <c r="AJ30" s="333">
        <f t="shared" si="22"/>
        <v>308000</v>
      </c>
      <c r="AK30" s="333">
        <f t="shared" si="22"/>
        <v>308000</v>
      </c>
      <c r="AL30" s="333">
        <f t="shared" si="22"/>
        <v>308000</v>
      </c>
      <c r="AM30" s="333">
        <f t="shared" si="22"/>
        <v>308000</v>
      </c>
    </row>
    <row r="31" spans="7:39" ht="15">
      <c r="G31" s="328"/>
      <c r="H31" s="261"/>
      <c r="I31" s="261"/>
      <c r="J31" s="261"/>
      <c r="K31" s="261"/>
      <c r="L31" s="328"/>
      <c r="M31" s="328"/>
      <c r="N31" s="328"/>
      <c r="O31" s="328"/>
      <c r="P31" s="328"/>
      <c r="Q31" s="328"/>
      <c r="R31" s="328"/>
      <c r="S31" s="328"/>
      <c r="T31" s="328"/>
      <c r="U31" s="328"/>
      <c r="V31" s="328"/>
      <c r="W31" s="328"/>
      <c r="Y31" s="328"/>
      <c r="Z31" s="328">
        <f ca="1">OFFSET(AB31,0,$AB$2)</f>
        <v>197102</v>
      </c>
      <c r="AA31" s="215">
        <f t="shared" ca="1" si="9"/>
        <v>197102</v>
      </c>
      <c r="AB31" s="215">
        <f>AB30-(AB36+(AB30-AB34)*AB37)</f>
        <v>197102</v>
      </c>
      <c r="AC31" s="215">
        <f t="shared" ref="AC31:AM31" si="23">AC30-(AC36+(AC30-AC34)*AC37)</f>
        <v>192482</v>
      </c>
      <c r="AD31" s="215">
        <f t="shared" si="23"/>
        <v>192482</v>
      </c>
      <c r="AE31" s="215">
        <f t="shared" si="23"/>
        <v>192482</v>
      </c>
      <c r="AF31" s="215">
        <f t="shared" si="23"/>
        <v>192482</v>
      </c>
      <c r="AG31" s="215">
        <f t="shared" si="23"/>
        <v>192482</v>
      </c>
      <c r="AH31" s="215">
        <f t="shared" si="23"/>
        <v>193252</v>
      </c>
      <c r="AI31" s="215">
        <f t="shared" si="23"/>
        <v>193252</v>
      </c>
      <c r="AJ31" s="215">
        <f t="shared" si="23"/>
        <v>193252</v>
      </c>
      <c r="AK31" s="215">
        <f t="shared" si="23"/>
        <v>193252</v>
      </c>
      <c r="AL31" s="215">
        <f t="shared" si="23"/>
        <v>193252</v>
      </c>
      <c r="AM31" s="215">
        <f t="shared" si="23"/>
        <v>193252</v>
      </c>
    </row>
    <row r="32" spans="7:39" ht="15">
      <c r="G32" s="329"/>
      <c r="H32" s="244"/>
      <c r="I32" s="244">
        <f>I36+($H30-$H34)*I37</f>
        <v>104738</v>
      </c>
      <c r="J32" s="244">
        <f>J36+($H30-$H34)*J37</f>
        <v>6160</v>
      </c>
      <c r="K32" s="244">
        <f>K36+($H30-$H34)*K37</f>
        <v>0</v>
      </c>
      <c r="L32" s="147">
        <v>0</v>
      </c>
      <c r="M32" s="147">
        <f>M36+($H30-$H34)*M37</f>
        <v>4620</v>
      </c>
      <c r="N32" s="147">
        <f t="shared" ref="N32:W32" si="24">$H30*N33</f>
        <v>4620</v>
      </c>
      <c r="O32" s="147">
        <f t="shared" si="24"/>
        <v>4620</v>
      </c>
      <c r="P32" s="147">
        <f t="shared" si="24"/>
        <v>4620</v>
      </c>
      <c r="Q32" s="147">
        <f t="shared" si="24"/>
        <v>4620</v>
      </c>
      <c r="R32" s="147">
        <f t="shared" si="24"/>
        <v>4620</v>
      </c>
      <c r="S32" s="147">
        <f t="shared" si="24"/>
        <v>3850</v>
      </c>
      <c r="T32" s="147">
        <f t="shared" si="24"/>
        <v>3850</v>
      </c>
      <c r="U32" s="147">
        <f t="shared" si="24"/>
        <v>3850</v>
      </c>
      <c r="V32" s="147">
        <f t="shared" si="24"/>
        <v>3850</v>
      </c>
      <c r="W32" s="147">
        <f t="shared" si="24"/>
        <v>3850</v>
      </c>
      <c r="Y32" s="329"/>
      <c r="Z32" s="329"/>
      <c r="AA32" s="147">
        <f t="shared" ca="1" si="9"/>
        <v>110898</v>
      </c>
      <c r="AB32" s="147">
        <f t="shared" ref="AB32:AM33" si="25">$I32+$J32+$K32+L32</f>
        <v>110898</v>
      </c>
      <c r="AC32" s="147">
        <f t="shared" si="25"/>
        <v>115518</v>
      </c>
      <c r="AD32" s="147">
        <f t="shared" si="25"/>
        <v>115518</v>
      </c>
      <c r="AE32" s="147">
        <f t="shared" si="25"/>
        <v>115518</v>
      </c>
      <c r="AF32" s="147">
        <f t="shared" si="25"/>
        <v>115518</v>
      </c>
      <c r="AG32" s="147">
        <f t="shared" si="25"/>
        <v>115518</v>
      </c>
      <c r="AH32" s="147">
        <f t="shared" si="25"/>
        <v>115518</v>
      </c>
      <c r="AI32" s="147">
        <f t="shared" si="25"/>
        <v>114748</v>
      </c>
      <c r="AJ32" s="147">
        <f t="shared" si="25"/>
        <v>114748</v>
      </c>
      <c r="AK32" s="147">
        <f t="shared" si="25"/>
        <v>114748</v>
      </c>
      <c r="AL32" s="147">
        <f t="shared" si="25"/>
        <v>114748</v>
      </c>
      <c r="AM32" s="147">
        <f t="shared" si="25"/>
        <v>114748</v>
      </c>
    </row>
    <row r="33" spans="7:39" ht="16" thickBot="1">
      <c r="G33" s="330"/>
      <c r="H33" s="331"/>
      <c r="I33" s="331">
        <f>$I$2</f>
        <v>0.45</v>
      </c>
      <c r="J33" s="331">
        <v>0.02</v>
      </c>
      <c r="K33" s="331">
        <f>$K$3</f>
        <v>0</v>
      </c>
      <c r="L33" s="334">
        <v>0</v>
      </c>
      <c r="M33" s="334">
        <v>1.4999999999999999E-2</v>
      </c>
      <c r="N33" s="334">
        <v>1.4999999999999999E-2</v>
      </c>
      <c r="O33" s="334">
        <v>1.4999999999999999E-2</v>
      </c>
      <c r="P33" s="334">
        <v>1.4999999999999999E-2</v>
      </c>
      <c r="Q33" s="334">
        <v>1.4999999999999999E-2</v>
      </c>
      <c r="R33" s="334">
        <v>1.4999999999999999E-2</v>
      </c>
      <c r="S33" s="334">
        <v>1.2500000000000001E-2</v>
      </c>
      <c r="T33" s="334">
        <v>1.2500000000000001E-2</v>
      </c>
      <c r="U33" s="334">
        <v>1.2500000000000001E-2</v>
      </c>
      <c r="V33" s="334">
        <v>1.2500000000000001E-2</v>
      </c>
      <c r="W33" s="334">
        <v>1.2500000000000001E-2</v>
      </c>
      <c r="Y33" s="330"/>
      <c r="Z33" s="330"/>
      <c r="AA33" s="334">
        <f t="shared" ca="1" si="9"/>
        <v>0.47000000000000003</v>
      </c>
      <c r="AB33" s="334">
        <f t="shared" si="25"/>
        <v>0.47000000000000003</v>
      </c>
      <c r="AC33" s="334">
        <f t="shared" si="25"/>
        <v>0.48500000000000004</v>
      </c>
      <c r="AD33" s="334">
        <f t="shared" si="25"/>
        <v>0.48500000000000004</v>
      </c>
      <c r="AE33" s="334">
        <f t="shared" si="25"/>
        <v>0.48500000000000004</v>
      </c>
      <c r="AF33" s="334">
        <f t="shared" si="25"/>
        <v>0.48500000000000004</v>
      </c>
      <c r="AG33" s="334">
        <f t="shared" si="25"/>
        <v>0.48500000000000004</v>
      </c>
      <c r="AH33" s="334">
        <f t="shared" si="25"/>
        <v>0.48500000000000004</v>
      </c>
      <c r="AI33" s="334">
        <f t="shared" si="25"/>
        <v>0.48250000000000004</v>
      </c>
      <c r="AJ33" s="334">
        <f t="shared" si="25"/>
        <v>0.48250000000000004</v>
      </c>
      <c r="AK33" s="334">
        <f t="shared" si="25"/>
        <v>0.48250000000000004</v>
      </c>
      <c r="AL33" s="334">
        <f t="shared" si="25"/>
        <v>0.48250000000000004</v>
      </c>
      <c r="AM33" s="334">
        <f t="shared" si="25"/>
        <v>0.48250000000000004</v>
      </c>
    </row>
    <row r="34" spans="7:39" ht="15">
      <c r="G34" s="327"/>
      <c r="H34" s="332">
        <f>H38+1500</f>
        <v>306500</v>
      </c>
      <c r="I34" s="332"/>
      <c r="J34" s="332"/>
      <c r="K34" s="332"/>
      <c r="L34" s="327"/>
      <c r="M34" s="327"/>
      <c r="N34" s="327"/>
      <c r="O34" s="327"/>
      <c r="P34" s="327"/>
      <c r="Q34" s="327"/>
      <c r="R34" s="327"/>
      <c r="S34" s="327"/>
      <c r="T34" s="327"/>
      <c r="U34" s="327"/>
      <c r="V34" s="327"/>
      <c r="W34" s="327"/>
      <c r="Y34" s="327">
        <f ca="1">OFFSET(AB34,0,$AB$2)</f>
        <v>306500</v>
      </c>
      <c r="Z34" s="327"/>
      <c r="AA34" s="333">
        <f t="shared" ca="1" si="9"/>
        <v>306500</v>
      </c>
      <c r="AB34" s="333">
        <f t="shared" ref="AB34:AM34" si="26">$H34</f>
        <v>306500</v>
      </c>
      <c r="AC34" s="333">
        <f t="shared" si="26"/>
        <v>306500</v>
      </c>
      <c r="AD34" s="333">
        <f t="shared" si="26"/>
        <v>306500</v>
      </c>
      <c r="AE34" s="333">
        <f t="shared" si="26"/>
        <v>306500</v>
      </c>
      <c r="AF34" s="333">
        <f t="shared" si="26"/>
        <v>306500</v>
      </c>
      <c r="AG34" s="333">
        <f t="shared" si="26"/>
        <v>306500</v>
      </c>
      <c r="AH34" s="333">
        <f t="shared" si="26"/>
        <v>306500</v>
      </c>
      <c r="AI34" s="333">
        <f t="shared" si="26"/>
        <v>306500</v>
      </c>
      <c r="AJ34" s="333">
        <f t="shared" si="26"/>
        <v>306500</v>
      </c>
      <c r="AK34" s="333">
        <f t="shared" si="26"/>
        <v>306500</v>
      </c>
      <c r="AL34" s="333">
        <f t="shared" si="26"/>
        <v>306500</v>
      </c>
      <c r="AM34" s="333">
        <f t="shared" si="26"/>
        <v>306500</v>
      </c>
    </row>
    <row r="35" spans="7:39" ht="15">
      <c r="G35" s="328"/>
      <c r="H35" s="261"/>
      <c r="I35" s="261"/>
      <c r="J35" s="261"/>
      <c r="K35" s="261"/>
      <c r="L35" s="328"/>
      <c r="M35" s="328"/>
      <c r="N35" s="328"/>
      <c r="O35" s="328"/>
      <c r="P35" s="328"/>
      <c r="Q35" s="328"/>
      <c r="R35" s="328"/>
      <c r="S35" s="328"/>
      <c r="T35" s="328"/>
      <c r="U35" s="328"/>
      <c r="V35" s="328"/>
      <c r="W35" s="328"/>
      <c r="Y35" s="328"/>
      <c r="Z35" s="328">
        <f ca="1">OFFSET(AB35,0,$AB$2)</f>
        <v>196307</v>
      </c>
      <c r="AA35" s="215">
        <f t="shared" ca="1" si="9"/>
        <v>196307</v>
      </c>
      <c r="AB35" s="215">
        <f>AB34-(AB40+(AB34-AB38)*AB41)</f>
        <v>196307</v>
      </c>
      <c r="AC35" s="215">
        <f t="shared" ref="AC35:AM35" si="27">AC34-(AC40+(AC34-AC38)*AC41)</f>
        <v>191709.5</v>
      </c>
      <c r="AD35" s="215">
        <f t="shared" si="27"/>
        <v>191709.5</v>
      </c>
      <c r="AE35" s="215">
        <f t="shared" si="27"/>
        <v>191709.5</v>
      </c>
      <c r="AF35" s="215">
        <f t="shared" si="27"/>
        <v>191709.5</v>
      </c>
      <c r="AG35" s="215">
        <f t="shared" si="27"/>
        <v>192475.75</v>
      </c>
      <c r="AH35" s="215">
        <f t="shared" si="27"/>
        <v>192475.75</v>
      </c>
      <c r="AI35" s="215">
        <f t="shared" si="27"/>
        <v>192475.75</v>
      </c>
      <c r="AJ35" s="215">
        <f t="shared" si="27"/>
        <v>192475.75</v>
      </c>
      <c r="AK35" s="215">
        <f t="shared" si="27"/>
        <v>192475.75</v>
      </c>
      <c r="AL35" s="215">
        <f t="shared" si="27"/>
        <v>192475.75</v>
      </c>
      <c r="AM35" s="215">
        <f t="shared" si="27"/>
        <v>192475.75</v>
      </c>
    </row>
    <row r="36" spans="7:39" ht="15">
      <c r="G36" s="329"/>
      <c r="H36" s="244"/>
      <c r="I36" s="244">
        <f>I40+($H34-$H38)*I41</f>
        <v>104063</v>
      </c>
      <c r="J36" s="244">
        <f>J40+($H34-$H38)*J41</f>
        <v>6130</v>
      </c>
      <c r="K36" s="244">
        <f>K40+($H34-$H38)*K41</f>
        <v>0</v>
      </c>
      <c r="L36" s="147">
        <v>0</v>
      </c>
      <c r="M36" s="147">
        <f>M40+($H34-$H38)*M41</f>
        <v>4597.5</v>
      </c>
      <c r="N36" s="147">
        <f t="shared" ref="N36:W36" si="28">$H34*N37</f>
        <v>4597.5</v>
      </c>
      <c r="O36" s="147">
        <f t="shared" si="28"/>
        <v>4597.5</v>
      </c>
      <c r="P36" s="147">
        <f t="shared" si="28"/>
        <v>4597.5</v>
      </c>
      <c r="Q36" s="147">
        <f t="shared" si="28"/>
        <v>4597.5</v>
      </c>
      <c r="R36" s="147">
        <f t="shared" si="28"/>
        <v>3831.25</v>
      </c>
      <c r="S36" s="147">
        <f t="shared" si="28"/>
        <v>3831.25</v>
      </c>
      <c r="T36" s="147">
        <f t="shared" si="28"/>
        <v>3831.25</v>
      </c>
      <c r="U36" s="147">
        <f t="shared" si="28"/>
        <v>3831.25</v>
      </c>
      <c r="V36" s="147">
        <f t="shared" si="28"/>
        <v>3831.25</v>
      </c>
      <c r="W36" s="147">
        <f t="shared" si="28"/>
        <v>3831.25</v>
      </c>
      <c r="Y36" s="329"/>
      <c r="Z36" s="329"/>
      <c r="AA36" s="147">
        <f t="shared" ca="1" si="9"/>
        <v>110193</v>
      </c>
      <c r="AB36" s="147">
        <f t="shared" ref="AB36:AM37" si="29">$I36+$J36+$K36+L36</f>
        <v>110193</v>
      </c>
      <c r="AC36" s="147">
        <f t="shared" si="29"/>
        <v>114790.5</v>
      </c>
      <c r="AD36" s="147">
        <f t="shared" si="29"/>
        <v>114790.5</v>
      </c>
      <c r="AE36" s="147">
        <f t="shared" si="29"/>
        <v>114790.5</v>
      </c>
      <c r="AF36" s="147">
        <f t="shared" si="29"/>
        <v>114790.5</v>
      </c>
      <c r="AG36" s="147">
        <f t="shared" si="29"/>
        <v>114790.5</v>
      </c>
      <c r="AH36" s="147">
        <f t="shared" si="29"/>
        <v>114024.25</v>
      </c>
      <c r="AI36" s="147">
        <f t="shared" si="29"/>
        <v>114024.25</v>
      </c>
      <c r="AJ36" s="147">
        <f t="shared" si="29"/>
        <v>114024.25</v>
      </c>
      <c r="AK36" s="147">
        <f t="shared" si="29"/>
        <v>114024.25</v>
      </c>
      <c r="AL36" s="147">
        <f t="shared" si="29"/>
        <v>114024.25</v>
      </c>
      <c r="AM36" s="147">
        <f t="shared" si="29"/>
        <v>114024.25</v>
      </c>
    </row>
    <row r="37" spans="7:39" ht="16" thickBot="1">
      <c r="G37" s="330"/>
      <c r="H37" s="331"/>
      <c r="I37" s="331">
        <f>$I$2</f>
        <v>0.45</v>
      </c>
      <c r="J37" s="331">
        <v>0.02</v>
      </c>
      <c r="K37" s="331">
        <f>$K$3</f>
        <v>0</v>
      </c>
      <c r="L37" s="334">
        <v>0</v>
      </c>
      <c r="M37" s="334">
        <v>1.4999999999999999E-2</v>
      </c>
      <c r="N37" s="334">
        <v>1.4999999999999999E-2</v>
      </c>
      <c r="O37" s="334">
        <v>1.4999999999999999E-2</v>
      </c>
      <c r="P37" s="334">
        <v>1.4999999999999999E-2</v>
      </c>
      <c r="Q37" s="334">
        <v>1.4999999999999999E-2</v>
      </c>
      <c r="R37" s="334">
        <v>1.2500000000000001E-2</v>
      </c>
      <c r="S37" s="334">
        <v>1.2500000000000001E-2</v>
      </c>
      <c r="T37" s="334">
        <v>1.2500000000000001E-2</v>
      </c>
      <c r="U37" s="334">
        <v>1.2500000000000001E-2</v>
      </c>
      <c r="V37" s="334">
        <v>1.2500000000000001E-2</v>
      </c>
      <c r="W37" s="334">
        <v>1.2500000000000001E-2</v>
      </c>
      <c r="Y37" s="330"/>
      <c r="Z37" s="330"/>
      <c r="AA37" s="334">
        <f t="shared" ca="1" si="9"/>
        <v>0.47000000000000003</v>
      </c>
      <c r="AB37" s="334">
        <f t="shared" si="29"/>
        <v>0.47000000000000003</v>
      </c>
      <c r="AC37" s="334">
        <f t="shared" si="29"/>
        <v>0.48500000000000004</v>
      </c>
      <c r="AD37" s="334">
        <f t="shared" si="29"/>
        <v>0.48500000000000004</v>
      </c>
      <c r="AE37" s="334">
        <f t="shared" si="29"/>
        <v>0.48500000000000004</v>
      </c>
      <c r="AF37" s="334">
        <f t="shared" si="29"/>
        <v>0.48500000000000004</v>
      </c>
      <c r="AG37" s="334">
        <f t="shared" si="29"/>
        <v>0.48500000000000004</v>
      </c>
      <c r="AH37" s="334">
        <f t="shared" si="29"/>
        <v>0.48250000000000004</v>
      </c>
      <c r="AI37" s="334">
        <f t="shared" si="29"/>
        <v>0.48250000000000004</v>
      </c>
      <c r="AJ37" s="334">
        <f t="shared" si="29"/>
        <v>0.48250000000000004</v>
      </c>
      <c r="AK37" s="334">
        <f t="shared" si="29"/>
        <v>0.48250000000000004</v>
      </c>
      <c r="AL37" s="334">
        <f t="shared" si="29"/>
        <v>0.48250000000000004</v>
      </c>
      <c r="AM37" s="334">
        <f t="shared" si="29"/>
        <v>0.48250000000000004</v>
      </c>
    </row>
    <row r="38" spans="7:39" ht="15">
      <c r="G38" s="327"/>
      <c r="H38" s="332">
        <f>H42+1500</f>
        <v>305000</v>
      </c>
      <c r="I38" s="332"/>
      <c r="J38" s="332"/>
      <c r="K38" s="332"/>
      <c r="L38" s="327"/>
      <c r="M38" s="327"/>
      <c r="N38" s="327"/>
      <c r="O38" s="327"/>
      <c r="P38" s="327"/>
      <c r="Q38" s="327"/>
      <c r="R38" s="327"/>
      <c r="S38" s="327"/>
      <c r="T38" s="327"/>
      <c r="U38" s="327"/>
      <c r="V38" s="327"/>
      <c r="W38" s="327"/>
      <c r="Y38" s="327">
        <f ca="1">OFFSET(AB38,0,$AB$2)</f>
        <v>305000</v>
      </c>
      <c r="Z38" s="327"/>
      <c r="AA38" s="333">
        <f t="shared" ca="1" si="9"/>
        <v>305000</v>
      </c>
      <c r="AB38" s="333">
        <f t="shared" ref="AB38:AM38" si="30">$H38</f>
        <v>305000</v>
      </c>
      <c r="AC38" s="333">
        <f t="shared" si="30"/>
        <v>305000</v>
      </c>
      <c r="AD38" s="333">
        <f t="shared" si="30"/>
        <v>305000</v>
      </c>
      <c r="AE38" s="333">
        <f t="shared" si="30"/>
        <v>305000</v>
      </c>
      <c r="AF38" s="333">
        <f t="shared" si="30"/>
        <v>305000</v>
      </c>
      <c r="AG38" s="333">
        <f t="shared" si="30"/>
        <v>305000</v>
      </c>
      <c r="AH38" s="333">
        <f t="shared" si="30"/>
        <v>305000</v>
      </c>
      <c r="AI38" s="333">
        <f t="shared" si="30"/>
        <v>305000</v>
      </c>
      <c r="AJ38" s="333">
        <f t="shared" si="30"/>
        <v>305000</v>
      </c>
      <c r="AK38" s="333">
        <f t="shared" si="30"/>
        <v>305000</v>
      </c>
      <c r="AL38" s="333">
        <f t="shared" si="30"/>
        <v>305000</v>
      </c>
      <c r="AM38" s="333">
        <f t="shared" si="30"/>
        <v>305000</v>
      </c>
    </row>
    <row r="39" spans="7:39" ht="15">
      <c r="G39" s="328"/>
      <c r="H39" s="261"/>
      <c r="I39" s="261"/>
      <c r="J39" s="261"/>
      <c r="K39" s="261"/>
      <c r="L39" s="328"/>
      <c r="M39" s="328"/>
      <c r="N39" s="328"/>
      <c r="O39" s="328"/>
      <c r="P39" s="328"/>
      <c r="Q39" s="328"/>
      <c r="R39" s="328"/>
      <c r="S39" s="328"/>
      <c r="T39" s="328"/>
      <c r="U39" s="328"/>
      <c r="V39" s="328"/>
      <c r="W39" s="328"/>
      <c r="Y39" s="328"/>
      <c r="Z39" s="328">
        <f ca="1">OFFSET(AB39,0,$AB$2)</f>
        <v>195512</v>
      </c>
      <c r="AA39" s="215">
        <f t="shared" ca="1" si="9"/>
        <v>195512</v>
      </c>
      <c r="AB39" s="215">
        <f>AB38-(AB44+(AB38-AB42)*AB45)</f>
        <v>195512</v>
      </c>
      <c r="AC39" s="215">
        <f t="shared" ref="AC39:AM39" si="31">AC38-(AC44+(AC38-AC42)*AC45)</f>
        <v>190937</v>
      </c>
      <c r="AD39" s="215">
        <f t="shared" si="31"/>
        <v>190937</v>
      </c>
      <c r="AE39" s="215">
        <f t="shared" si="31"/>
        <v>190937</v>
      </c>
      <c r="AF39" s="215">
        <f t="shared" si="31"/>
        <v>191699.5</v>
      </c>
      <c r="AG39" s="215">
        <f t="shared" si="31"/>
        <v>191699.5</v>
      </c>
      <c r="AH39" s="215">
        <f t="shared" si="31"/>
        <v>191699.5</v>
      </c>
      <c r="AI39" s="215">
        <f t="shared" si="31"/>
        <v>191699.5</v>
      </c>
      <c r="AJ39" s="215">
        <f t="shared" si="31"/>
        <v>191699.5</v>
      </c>
      <c r="AK39" s="215">
        <f t="shared" si="31"/>
        <v>191699.5</v>
      </c>
      <c r="AL39" s="215">
        <f t="shared" si="31"/>
        <v>191699.5</v>
      </c>
      <c r="AM39" s="215">
        <f t="shared" si="31"/>
        <v>191699.5</v>
      </c>
    </row>
    <row r="40" spans="7:39" ht="15">
      <c r="G40" s="329"/>
      <c r="H40" s="244"/>
      <c r="I40" s="244">
        <f>I44+($H38-$H42)*I45</f>
        <v>103388</v>
      </c>
      <c r="J40" s="244">
        <f>J44+($H38-$H42)*J45</f>
        <v>6100</v>
      </c>
      <c r="K40" s="244">
        <f>K44+($H38-$H42)*K45</f>
        <v>0</v>
      </c>
      <c r="L40" s="147">
        <v>0</v>
      </c>
      <c r="M40" s="147">
        <f>M44+($H38-$H42)*M45</f>
        <v>4575</v>
      </c>
      <c r="N40" s="147">
        <f t="shared" ref="N40:W40" si="32">$H38*N41</f>
        <v>4575</v>
      </c>
      <c r="O40" s="147">
        <f t="shared" si="32"/>
        <v>4575</v>
      </c>
      <c r="P40" s="147">
        <f t="shared" si="32"/>
        <v>4575</v>
      </c>
      <c r="Q40" s="147">
        <f t="shared" si="32"/>
        <v>3812.5</v>
      </c>
      <c r="R40" s="147">
        <f t="shared" si="32"/>
        <v>3812.5</v>
      </c>
      <c r="S40" s="147">
        <f t="shared" si="32"/>
        <v>3812.5</v>
      </c>
      <c r="T40" s="147">
        <f t="shared" si="32"/>
        <v>3812.5</v>
      </c>
      <c r="U40" s="147">
        <f t="shared" si="32"/>
        <v>3812.5</v>
      </c>
      <c r="V40" s="147">
        <f t="shared" si="32"/>
        <v>3812.5</v>
      </c>
      <c r="W40" s="147">
        <f t="shared" si="32"/>
        <v>3812.5</v>
      </c>
      <c r="Y40" s="329"/>
      <c r="Z40" s="329"/>
      <c r="AA40" s="147">
        <f t="shared" ca="1" si="9"/>
        <v>109488</v>
      </c>
      <c r="AB40" s="147">
        <f t="shared" ref="AB40:AM41" si="33">$I40+$J40+$K40+L40</f>
        <v>109488</v>
      </c>
      <c r="AC40" s="147">
        <f t="shared" si="33"/>
        <v>114063</v>
      </c>
      <c r="AD40" s="147">
        <f t="shared" si="33"/>
        <v>114063</v>
      </c>
      <c r="AE40" s="147">
        <f t="shared" si="33"/>
        <v>114063</v>
      </c>
      <c r="AF40" s="147">
        <f t="shared" si="33"/>
        <v>114063</v>
      </c>
      <c r="AG40" s="147">
        <f t="shared" si="33"/>
        <v>113300.5</v>
      </c>
      <c r="AH40" s="147">
        <f t="shared" si="33"/>
        <v>113300.5</v>
      </c>
      <c r="AI40" s="147">
        <f t="shared" si="33"/>
        <v>113300.5</v>
      </c>
      <c r="AJ40" s="147">
        <f t="shared" si="33"/>
        <v>113300.5</v>
      </c>
      <c r="AK40" s="147">
        <f t="shared" si="33"/>
        <v>113300.5</v>
      </c>
      <c r="AL40" s="147">
        <f t="shared" si="33"/>
        <v>113300.5</v>
      </c>
      <c r="AM40" s="147">
        <f t="shared" si="33"/>
        <v>113300.5</v>
      </c>
    </row>
    <row r="41" spans="7:39" ht="16" thickBot="1">
      <c r="G41" s="330"/>
      <c r="H41" s="331"/>
      <c r="I41" s="331">
        <f>$I$2</f>
        <v>0.45</v>
      </c>
      <c r="J41" s="331">
        <v>0.02</v>
      </c>
      <c r="K41" s="331">
        <f>$K$3</f>
        <v>0</v>
      </c>
      <c r="L41" s="334">
        <v>0</v>
      </c>
      <c r="M41" s="334">
        <v>1.4999999999999999E-2</v>
      </c>
      <c r="N41" s="334">
        <v>1.4999999999999999E-2</v>
      </c>
      <c r="O41" s="334">
        <v>1.4999999999999999E-2</v>
      </c>
      <c r="P41" s="334">
        <v>1.4999999999999999E-2</v>
      </c>
      <c r="Q41" s="334">
        <v>1.2500000000000001E-2</v>
      </c>
      <c r="R41" s="334">
        <v>1.2500000000000001E-2</v>
      </c>
      <c r="S41" s="334">
        <v>1.2500000000000001E-2</v>
      </c>
      <c r="T41" s="334">
        <v>1.2500000000000001E-2</v>
      </c>
      <c r="U41" s="334">
        <v>1.2500000000000001E-2</v>
      </c>
      <c r="V41" s="334">
        <v>1.2500000000000001E-2</v>
      </c>
      <c r="W41" s="334">
        <v>1.2500000000000001E-2</v>
      </c>
      <c r="Y41" s="330"/>
      <c r="Z41" s="330"/>
      <c r="AA41" s="334">
        <f t="shared" ca="1" si="9"/>
        <v>0.47000000000000003</v>
      </c>
      <c r="AB41" s="334">
        <f t="shared" si="33"/>
        <v>0.47000000000000003</v>
      </c>
      <c r="AC41" s="334">
        <f t="shared" si="33"/>
        <v>0.48500000000000004</v>
      </c>
      <c r="AD41" s="334">
        <f t="shared" si="33"/>
        <v>0.48500000000000004</v>
      </c>
      <c r="AE41" s="334">
        <f t="shared" si="33"/>
        <v>0.48500000000000004</v>
      </c>
      <c r="AF41" s="334">
        <f t="shared" si="33"/>
        <v>0.48500000000000004</v>
      </c>
      <c r="AG41" s="334">
        <f t="shared" si="33"/>
        <v>0.48250000000000004</v>
      </c>
      <c r="AH41" s="334">
        <f t="shared" si="33"/>
        <v>0.48250000000000004</v>
      </c>
      <c r="AI41" s="334">
        <f t="shared" si="33"/>
        <v>0.48250000000000004</v>
      </c>
      <c r="AJ41" s="334">
        <f t="shared" si="33"/>
        <v>0.48250000000000004</v>
      </c>
      <c r="AK41" s="334">
        <f t="shared" si="33"/>
        <v>0.48250000000000004</v>
      </c>
      <c r="AL41" s="334">
        <f t="shared" si="33"/>
        <v>0.48250000000000004</v>
      </c>
      <c r="AM41" s="334">
        <f t="shared" si="33"/>
        <v>0.48250000000000004</v>
      </c>
    </row>
    <row r="42" spans="7:39" ht="15">
      <c r="G42" s="327"/>
      <c r="H42" s="332">
        <f>H46+1500</f>
        <v>303500</v>
      </c>
      <c r="I42" s="332"/>
      <c r="J42" s="332"/>
      <c r="K42" s="332"/>
      <c r="L42" s="327"/>
      <c r="M42" s="327"/>
      <c r="N42" s="327"/>
      <c r="O42" s="327"/>
      <c r="P42" s="327"/>
      <c r="Q42" s="327"/>
      <c r="R42" s="327"/>
      <c r="S42" s="327"/>
      <c r="T42" s="327"/>
      <c r="U42" s="327"/>
      <c r="V42" s="327"/>
      <c r="W42" s="327"/>
      <c r="Y42" s="327">
        <f ca="1">OFFSET(AB42,0,$AB$2)</f>
        <v>303500</v>
      </c>
      <c r="Z42" s="327"/>
      <c r="AA42" s="333">
        <f t="shared" ca="1" si="9"/>
        <v>303500</v>
      </c>
      <c r="AB42" s="333">
        <f t="shared" ref="AB42:AM42" si="34">$H42</f>
        <v>303500</v>
      </c>
      <c r="AC42" s="333">
        <f t="shared" si="34"/>
        <v>303500</v>
      </c>
      <c r="AD42" s="333">
        <f t="shared" si="34"/>
        <v>303500</v>
      </c>
      <c r="AE42" s="333">
        <f t="shared" si="34"/>
        <v>303500</v>
      </c>
      <c r="AF42" s="333">
        <f t="shared" si="34"/>
        <v>303500</v>
      </c>
      <c r="AG42" s="333">
        <f t="shared" si="34"/>
        <v>303500</v>
      </c>
      <c r="AH42" s="333">
        <f t="shared" si="34"/>
        <v>303500</v>
      </c>
      <c r="AI42" s="333">
        <f t="shared" si="34"/>
        <v>303500</v>
      </c>
      <c r="AJ42" s="333">
        <f t="shared" si="34"/>
        <v>303500</v>
      </c>
      <c r="AK42" s="333">
        <f t="shared" si="34"/>
        <v>303500</v>
      </c>
      <c r="AL42" s="333">
        <f t="shared" si="34"/>
        <v>303500</v>
      </c>
      <c r="AM42" s="333">
        <f t="shared" si="34"/>
        <v>303500</v>
      </c>
    </row>
    <row r="43" spans="7:39" ht="15">
      <c r="G43" s="328"/>
      <c r="H43" s="261"/>
      <c r="I43" s="261"/>
      <c r="J43" s="261"/>
      <c r="K43" s="261"/>
      <c r="L43" s="328"/>
      <c r="M43" s="328"/>
      <c r="N43" s="328"/>
      <c r="O43" s="328"/>
      <c r="P43" s="328"/>
      <c r="Q43" s="328"/>
      <c r="R43" s="328"/>
      <c r="S43" s="328"/>
      <c r="T43" s="328"/>
      <c r="U43" s="328"/>
      <c r="V43" s="328"/>
      <c r="W43" s="328"/>
      <c r="Y43" s="328"/>
      <c r="Z43" s="328">
        <f ca="1">OFFSET(AB43,0,$AB$2)</f>
        <v>194717</v>
      </c>
      <c r="AA43" s="215">
        <f t="shared" ca="1" si="9"/>
        <v>194717</v>
      </c>
      <c r="AB43" s="215">
        <f>AB42-(AB48+(AB42-AB46)*AB49)</f>
        <v>194717</v>
      </c>
      <c r="AC43" s="215">
        <f t="shared" ref="AC43:AM43" si="35">AC42-(AC48+(AC42-AC46)*AC49)</f>
        <v>190164.5</v>
      </c>
      <c r="AD43" s="215">
        <f t="shared" si="35"/>
        <v>190164.5</v>
      </c>
      <c r="AE43" s="215">
        <f t="shared" si="35"/>
        <v>190923.25</v>
      </c>
      <c r="AF43" s="215">
        <f t="shared" si="35"/>
        <v>190923.25</v>
      </c>
      <c r="AG43" s="215">
        <f t="shared" si="35"/>
        <v>190923.25</v>
      </c>
      <c r="AH43" s="215">
        <f t="shared" si="35"/>
        <v>190923.25</v>
      </c>
      <c r="AI43" s="215">
        <f t="shared" si="35"/>
        <v>190923.25</v>
      </c>
      <c r="AJ43" s="215">
        <f t="shared" si="35"/>
        <v>190923.25</v>
      </c>
      <c r="AK43" s="215">
        <f t="shared" si="35"/>
        <v>190923.25</v>
      </c>
      <c r="AL43" s="215">
        <f t="shared" si="35"/>
        <v>190923.25</v>
      </c>
      <c r="AM43" s="215">
        <f t="shared" si="35"/>
        <v>190923.25</v>
      </c>
    </row>
    <row r="44" spans="7:39" ht="15">
      <c r="G44" s="329"/>
      <c r="H44" s="244"/>
      <c r="I44" s="244">
        <f>I48+($H42-$H46)*I49</f>
        <v>102713</v>
      </c>
      <c r="J44" s="244">
        <f>J48+($H42-$H46)*J49</f>
        <v>6070</v>
      </c>
      <c r="K44" s="244">
        <f>K48+($H42-$H46)*K49</f>
        <v>0</v>
      </c>
      <c r="L44" s="147">
        <v>0</v>
      </c>
      <c r="M44" s="147">
        <f>M48+($H42-$H46)*M49</f>
        <v>4552.5</v>
      </c>
      <c r="N44" s="147">
        <f t="shared" ref="N44:W44" si="36">$H42*N45</f>
        <v>4552.5</v>
      </c>
      <c r="O44" s="147">
        <f t="shared" si="36"/>
        <v>4552.5</v>
      </c>
      <c r="P44" s="147">
        <f t="shared" si="36"/>
        <v>3793.75</v>
      </c>
      <c r="Q44" s="147">
        <f t="shared" si="36"/>
        <v>3793.75</v>
      </c>
      <c r="R44" s="147">
        <f t="shared" si="36"/>
        <v>3793.75</v>
      </c>
      <c r="S44" s="147">
        <f t="shared" si="36"/>
        <v>3793.75</v>
      </c>
      <c r="T44" s="147">
        <f t="shared" si="36"/>
        <v>3793.75</v>
      </c>
      <c r="U44" s="147">
        <f t="shared" si="36"/>
        <v>3793.75</v>
      </c>
      <c r="V44" s="147">
        <f t="shared" si="36"/>
        <v>3793.75</v>
      </c>
      <c r="W44" s="147">
        <f t="shared" si="36"/>
        <v>3793.75</v>
      </c>
      <c r="Y44" s="329"/>
      <c r="Z44" s="329"/>
      <c r="AA44" s="147">
        <f t="shared" ca="1" si="9"/>
        <v>108783</v>
      </c>
      <c r="AB44" s="147">
        <f t="shared" ref="AB44:AM45" si="37">$I44+$J44+$K44+L44</f>
        <v>108783</v>
      </c>
      <c r="AC44" s="147">
        <f t="shared" si="37"/>
        <v>113335.5</v>
      </c>
      <c r="AD44" s="147">
        <f t="shared" si="37"/>
        <v>113335.5</v>
      </c>
      <c r="AE44" s="147">
        <f t="shared" si="37"/>
        <v>113335.5</v>
      </c>
      <c r="AF44" s="147">
        <f t="shared" si="37"/>
        <v>112576.75</v>
      </c>
      <c r="AG44" s="147">
        <f t="shared" si="37"/>
        <v>112576.75</v>
      </c>
      <c r="AH44" s="147">
        <f t="shared" si="37"/>
        <v>112576.75</v>
      </c>
      <c r="AI44" s="147">
        <f t="shared" si="37"/>
        <v>112576.75</v>
      </c>
      <c r="AJ44" s="147">
        <f t="shared" si="37"/>
        <v>112576.75</v>
      </c>
      <c r="AK44" s="147">
        <f t="shared" si="37"/>
        <v>112576.75</v>
      </c>
      <c r="AL44" s="147">
        <f t="shared" si="37"/>
        <v>112576.75</v>
      </c>
      <c r="AM44" s="147">
        <f t="shared" si="37"/>
        <v>112576.75</v>
      </c>
    </row>
    <row r="45" spans="7:39" ht="16" thickBot="1">
      <c r="G45" s="330"/>
      <c r="H45" s="331"/>
      <c r="I45" s="331">
        <f>$I$2</f>
        <v>0.45</v>
      </c>
      <c r="J45" s="331">
        <v>0.02</v>
      </c>
      <c r="K45" s="331">
        <f>$K$3</f>
        <v>0</v>
      </c>
      <c r="L45" s="334">
        <v>0</v>
      </c>
      <c r="M45" s="334">
        <v>1.4999999999999999E-2</v>
      </c>
      <c r="N45" s="334">
        <v>1.4999999999999999E-2</v>
      </c>
      <c r="O45" s="334">
        <v>1.4999999999999999E-2</v>
      </c>
      <c r="P45" s="334">
        <v>1.2500000000000001E-2</v>
      </c>
      <c r="Q45" s="334">
        <v>1.2500000000000001E-2</v>
      </c>
      <c r="R45" s="334">
        <v>1.2500000000000001E-2</v>
      </c>
      <c r="S45" s="334">
        <v>1.2500000000000001E-2</v>
      </c>
      <c r="T45" s="334">
        <v>1.2500000000000001E-2</v>
      </c>
      <c r="U45" s="334">
        <v>1.2500000000000001E-2</v>
      </c>
      <c r="V45" s="334">
        <v>1.2500000000000001E-2</v>
      </c>
      <c r="W45" s="334">
        <v>1.2500000000000001E-2</v>
      </c>
      <c r="Y45" s="330"/>
      <c r="Z45" s="330"/>
      <c r="AA45" s="334">
        <f t="shared" ca="1" si="9"/>
        <v>0.47000000000000003</v>
      </c>
      <c r="AB45" s="334">
        <f t="shared" si="37"/>
        <v>0.47000000000000003</v>
      </c>
      <c r="AC45" s="334">
        <f t="shared" si="37"/>
        <v>0.48500000000000004</v>
      </c>
      <c r="AD45" s="334">
        <f t="shared" si="37"/>
        <v>0.48500000000000004</v>
      </c>
      <c r="AE45" s="334">
        <f t="shared" si="37"/>
        <v>0.48500000000000004</v>
      </c>
      <c r="AF45" s="334">
        <f t="shared" si="37"/>
        <v>0.48250000000000004</v>
      </c>
      <c r="AG45" s="334">
        <f t="shared" si="37"/>
        <v>0.48250000000000004</v>
      </c>
      <c r="AH45" s="334">
        <f t="shared" si="37"/>
        <v>0.48250000000000004</v>
      </c>
      <c r="AI45" s="334">
        <f t="shared" si="37"/>
        <v>0.48250000000000004</v>
      </c>
      <c r="AJ45" s="334">
        <f t="shared" si="37"/>
        <v>0.48250000000000004</v>
      </c>
      <c r="AK45" s="334">
        <f t="shared" si="37"/>
        <v>0.48250000000000004</v>
      </c>
      <c r="AL45" s="334">
        <f t="shared" si="37"/>
        <v>0.48250000000000004</v>
      </c>
      <c r="AM45" s="334">
        <f t="shared" si="37"/>
        <v>0.48250000000000004</v>
      </c>
    </row>
    <row r="46" spans="7:39" ht="15">
      <c r="G46" s="327"/>
      <c r="H46" s="332">
        <v>302000</v>
      </c>
      <c r="I46" s="332"/>
      <c r="J46" s="332"/>
      <c r="K46" s="332"/>
      <c r="L46" s="333"/>
      <c r="M46" s="333"/>
      <c r="N46" s="333"/>
      <c r="O46" s="333"/>
      <c r="P46" s="333"/>
      <c r="Q46" s="333"/>
      <c r="R46" s="333"/>
      <c r="S46" s="333"/>
      <c r="T46" s="333"/>
      <c r="U46" s="333"/>
      <c r="V46" s="333"/>
      <c r="W46" s="333"/>
      <c r="Y46" s="327">
        <f>AB46</f>
        <v>302000</v>
      </c>
      <c r="Z46" s="327"/>
      <c r="AA46" s="333">
        <f t="shared" ca="1" si="9"/>
        <v>302000</v>
      </c>
      <c r="AB46" s="333">
        <f t="shared" ref="AB46:AM46" si="38">$H46</f>
        <v>302000</v>
      </c>
      <c r="AC46" s="333">
        <f t="shared" si="38"/>
        <v>302000</v>
      </c>
      <c r="AD46" s="333">
        <f t="shared" si="38"/>
        <v>302000</v>
      </c>
      <c r="AE46" s="333">
        <f t="shared" si="38"/>
        <v>302000</v>
      </c>
      <c r="AF46" s="333">
        <f t="shared" si="38"/>
        <v>302000</v>
      </c>
      <c r="AG46" s="333">
        <f t="shared" si="38"/>
        <v>302000</v>
      </c>
      <c r="AH46" s="333">
        <f t="shared" si="38"/>
        <v>302000</v>
      </c>
      <c r="AI46" s="333">
        <f t="shared" si="38"/>
        <v>302000</v>
      </c>
      <c r="AJ46" s="333">
        <f t="shared" si="38"/>
        <v>302000</v>
      </c>
      <c r="AK46" s="333">
        <f t="shared" si="38"/>
        <v>302000</v>
      </c>
      <c r="AL46" s="333">
        <f t="shared" si="38"/>
        <v>302000</v>
      </c>
      <c r="AM46" s="333">
        <f t="shared" si="38"/>
        <v>302000</v>
      </c>
    </row>
    <row r="47" spans="7:39" ht="15">
      <c r="G47" s="328"/>
      <c r="H47" s="261"/>
      <c r="I47" s="261"/>
      <c r="J47" s="261"/>
      <c r="K47" s="261"/>
      <c r="L47" s="215"/>
      <c r="M47" s="215"/>
      <c r="N47" s="215"/>
      <c r="O47" s="215"/>
      <c r="P47" s="215"/>
      <c r="Q47" s="215"/>
      <c r="R47" s="215"/>
      <c r="S47" s="215"/>
      <c r="T47" s="215"/>
      <c r="U47" s="215"/>
      <c r="V47" s="215"/>
      <c r="W47" s="215"/>
      <c r="Y47" s="328"/>
      <c r="Z47" s="328">
        <f ca="1">OFFSET(AB47,0,$AB$2)</f>
        <v>193922</v>
      </c>
      <c r="AA47" s="215">
        <f t="shared" ca="1" si="9"/>
        <v>193922</v>
      </c>
      <c r="AB47" s="215">
        <f>AB46-(AB52+(AB46-AB50)*AB53)</f>
        <v>193922</v>
      </c>
      <c r="AC47" s="215">
        <f t="shared" ref="AC47:AM47" si="39">AC46-(AC52+(AC46-AC50)*AC53)</f>
        <v>189392</v>
      </c>
      <c r="AD47" s="215">
        <f t="shared" si="39"/>
        <v>190147</v>
      </c>
      <c r="AE47" s="215">
        <f t="shared" si="39"/>
        <v>190147</v>
      </c>
      <c r="AF47" s="215">
        <f t="shared" si="39"/>
        <v>190147</v>
      </c>
      <c r="AG47" s="215">
        <f t="shared" si="39"/>
        <v>190147</v>
      </c>
      <c r="AH47" s="215">
        <f t="shared" si="39"/>
        <v>190147</v>
      </c>
      <c r="AI47" s="215">
        <f t="shared" si="39"/>
        <v>190147</v>
      </c>
      <c r="AJ47" s="215">
        <f t="shared" si="39"/>
        <v>190147</v>
      </c>
      <c r="AK47" s="215">
        <f t="shared" si="39"/>
        <v>190147</v>
      </c>
      <c r="AL47" s="215">
        <f t="shared" si="39"/>
        <v>190147</v>
      </c>
      <c r="AM47" s="215">
        <f t="shared" si="39"/>
        <v>190147</v>
      </c>
    </row>
    <row r="48" spans="7:39" ht="15">
      <c r="G48" s="329"/>
      <c r="H48" s="244"/>
      <c r="I48" s="244">
        <f>I52+($H46-$H50)*I53</f>
        <v>102038</v>
      </c>
      <c r="J48" s="244">
        <f>J52+($H46-$H50)*J53</f>
        <v>6040</v>
      </c>
      <c r="K48" s="244">
        <f>K52+($H46-$H50)*K53</f>
        <v>0</v>
      </c>
      <c r="L48" s="147">
        <v>0</v>
      </c>
      <c r="M48" s="147">
        <f>M52+($H46-$H50)*M53</f>
        <v>4530</v>
      </c>
      <c r="N48" s="147">
        <f t="shared" ref="N48:W48" si="40">$H46*N49</f>
        <v>4530</v>
      </c>
      <c r="O48" s="147">
        <f t="shared" si="40"/>
        <v>3775</v>
      </c>
      <c r="P48" s="147">
        <f t="shared" si="40"/>
        <v>3775</v>
      </c>
      <c r="Q48" s="147">
        <f t="shared" si="40"/>
        <v>3775</v>
      </c>
      <c r="R48" s="147">
        <f t="shared" si="40"/>
        <v>3775</v>
      </c>
      <c r="S48" s="147">
        <f t="shared" si="40"/>
        <v>3775</v>
      </c>
      <c r="T48" s="147">
        <f t="shared" si="40"/>
        <v>3775</v>
      </c>
      <c r="U48" s="147">
        <f t="shared" si="40"/>
        <v>3775</v>
      </c>
      <c r="V48" s="147">
        <f t="shared" si="40"/>
        <v>3775</v>
      </c>
      <c r="W48" s="147">
        <f t="shared" si="40"/>
        <v>3775</v>
      </c>
      <c r="Y48" s="329"/>
      <c r="Z48" s="329"/>
      <c r="AA48" s="147">
        <f t="shared" ca="1" si="9"/>
        <v>108078</v>
      </c>
      <c r="AB48" s="147">
        <f t="shared" ref="AB48:AM49" si="41">$I48+$J48+$K48+L48</f>
        <v>108078</v>
      </c>
      <c r="AC48" s="147">
        <f t="shared" si="41"/>
        <v>112608</v>
      </c>
      <c r="AD48" s="147">
        <f t="shared" si="41"/>
        <v>112608</v>
      </c>
      <c r="AE48" s="147">
        <f t="shared" si="41"/>
        <v>111853</v>
      </c>
      <c r="AF48" s="147">
        <f t="shared" si="41"/>
        <v>111853</v>
      </c>
      <c r="AG48" s="147">
        <f t="shared" si="41"/>
        <v>111853</v>
      </c>
      <c r="AH48" s="147">
        <f t="shared" si="41"/>
        <v>111853</v>
      </c>
      <c r="AI48" s="147">
        <f t="shared" si="41"/>
        <v>111853</v>
      </c>
      <c r="AJ48" s="147">
        <f t="shared" si="41"/>
        <v>111853</v>
      </c>
      <c r="AK48" s="147">
        <f t="shared" si="41"/>
        <v>111853</v>
      </c>
      <c r="AL48" s="147">
        <f t="shared" si="41"/>
        <v>111853</v>
      </c>
      <c r="AM48" s="147">
        <f t="shared" si="41"/>
        <v>111853</v>
      </c>
    </row>
    <row r="49" spans="7:39" ht="16" thickBot="1">
      <c r="G49" s="330"/>
      <c r="H49" s="331"/>
      <c r="I49" s="331">
        <f>$I$2</f>
        <v>0.45</v>
      </c>
      <c r="J49" s="331">
        <v>0.02</v>
      </c>
      <c r="K49" s="331">
        <f>$K$3</f>
        <v>0</v>
      </c>
      <c r="L49" s="334">
        <v>0</v>
      </c>
      <c r="M49" s="334">
        <v>1.4999999999999999E-2</v>
      </c>
      <c r="N49" s="334">
        <v>1.4999999999999999E-2</v>
      </c>
      <c r="O49" s="334">
        <v>1.2500000000000001E-2</v>
      </c>
      <c r="P49" s="334">
        <v>1.2500000000000001E-2</v>
      </c>
      <c r="Q49" s="334">
        <v>1.2500000000000001E-2</v>
      </c>
      <c r="R49" s="334">
        <v>1.2500000000000001E-2</v>
      </c>
      <c r="S49" s="334">
        <v>1.2500000000000001E-2</v>
      </c>
      <c r="T49" s="334">
        <v>1.2500000000000001E-2</v>
      </c>
      <c r="U49" s="334">
        <v>1.2500000000000001E-2</v>
      </c>
      <c r="V49" s="334">
        <v>1.2500000000000001E-2</v>
      </c>
      <c r="W49" s="334">
        <v>1.2500000000000001E-2</v>
      </c>
      <c r="Y49" s="330"/>
      <c r="Z49" s="330"/>
      <c r="AA49" s="334">
        <f t="shared" ca="1" si="9"/>
        <v>0.47000000000000003</v>
      </c>
      <c r="AB49" s="334">
        <f t="shared" si="41"/>
        <v>0.47000000000000003</v>
      </c>
      <c r="AC49" s="334">
        <f t="shared" si="41"/>
        <v>0.48500000000000004</v>
      </c>
      <c r="AD49" s="334">
        <f t="shared" si="41"/>
        <v>0.48500000000000004</v>
      </c>
      <c r="AE49" s="334">
        <f t="shared" si="41"/>
        <v>0.48250000000000004</v>
      </c>
      <c r="AF49" s="334">
        <f t="shared" si="41"/>
        <v>0.48250000000000004</v>
      </c>
      <c r="AG49" s="334">
        <f t="shared" si="41"/>
        <v>0.48250000000000004</v>
      </c>
      <c r="AH49" s="334">
        <f t="shared" si="41"/>
        <v>0.48250000000000004</v>
      </c>
      <c r="AI49" s="334">
        <f t="shared" si="41"/>
        <v>0.48250000000000004</v>
      </c>
      <c r="AJ49" s="334">
        <f t="shared" si="41"/>
        <v>0.48250000000000004</v>
      </c>
      <c r="AK49" s="334">
        <f t="shared" si="41"/>
        <v>0.48250000000000004</v>
      </c>
      <c r="AL49" s="334">
        <f t="shared" si="41"/>
        <v>0.48250000000000004</v>
      </c>
      <c r="AM49" s="334">
        <f t="shared" si="41"/>
        <v>0.48250000000000004</v>
      </c>
    </row>
    <row r="50" spans="7:39" ht="15">
      <c r="G50" s="327"/>
      <c r="H50" s="332">
        <f>H54+1500</f>
        <v>239500</v>
      </c>
      <c r="I50" s="332"/>
      <c r="J50" s="332"/>
      <c r="K50" s="332"/>
      <c r="L50" s="333"/>
      <c r="M50" s="333"/>
      <c r="N50" s="333"/>
      <c r="O50" s="333"/>
      <c r="P50" s="333"/>
      <c r="Q50" s="333"/>
      <c r="R50" s="333"/>
      <c r="S50" s="333"/>
      <c r="T50" s="333"/>
      <c r="U50" s="333"/>
      <c r="V50" s="333"/>
      <c r="W50" s="333"/>
      <c r="Y50" s="327">
        <f>AB50</f>
        <v>239500</v>
      </c>
      <c r="Z50" s="327"/>
      <c r="AA50" s="333">
        <f t="shared" ca="1" si="9"/>
        <v>239500</v>
      </c>
      <c r="AB50" s="333">
        <f t="shared" ref="AB50:AM50" si="42">$H50</f>
        <v>239500</v>
      </c>
      <c r="AC50" s="333">
        <f t="shared" si="42"/>
        <v>239500</v>
      </c>
      <c r="AD50" s="333">
        <f t="shared" si="42"/>
        <v>239500</v>
      </c>
      <c r="AE50" s="333">
        <f t="shared" si="42"/>
        <v>239500</v>
      </c>
      <c r="AF50" s="333">
        <f t="shared" si="42"/>
        <v>239500</v>
      </c>
      <c r="AG50" s="333">
        <f t="shared" si="42"/>
        <v>239500</v>
      </c>
      <c r="AH50" s="333">
        <f t="shared" si="42"/>
        <v>239500</v>
      </c>
      <c r="AI50" s="333">
        <f t="shared" si="42"/>
        <v>239500</v>
      </c>
      <c r="AJ50" s="333">
        <f t="shared" si="42"/>
        <v>239500</v>
      </c>
      <c r="AK50" s="333">
        <f t="shared" si="42"/>
        <v>239500</v>
      </c>
      <c r="AL50" s="333">
        <f t="shared" si="42"/>
        <v>239500</v>
      </c>
      <c r="AM50" s="333">
        <f t="shared" si="42"/>
        <v>239500</v>
      </c>
    </row>
    <row r="51" spans="7:39" ht="15">
      <c r="G51" s="328"/>
      <c r="H51" s="261"/>
      <c r="I51" s="261"/>
      <c r="J51" s="261"/>
      <c r="K51" s="261"/>
      <c r="L51" s="215"/>
      <c r="M51" s="215"/>
      <c r="N51" s="215"/>
      <c r="O51" s="215"/>
      <c r="P51" s="215"/>
      <c r="Q51" s="215"/>
      <c r="R51" s="215"/>
      <c r="S51" s="215"/>
      <c r="T51" s="215"/>
      <c r="U51" s="215"/>
      <c r="V51" s="215"/>
      <c r="W51" s="215"/>
      <c r="Y51" s="328"/>
      <c r="Z51" s="328">
        <f ca="1">OFFSET(AB51,0,$AB$2)</f>
        <v>160797</v>
      </c>
      <c r="AA51" s="215">
        <f t="shared" ca="1" si="9"/>
        <v>160797</v>
      </c>
      <c r="AB51" s="215">
        <f>AB50-(AB56+(AB50-AB54)*AB57)</f>
        <v>160797</v>
      </c>
      <c r="AC51" s="215">
        <f t="shared" ref="AC51:AM51" si="43">AC50-(AC56+(AC50-AC54)*AC57)</f>
        <v>157204.5</v>
      </c>
      <c r="AD51" s="215">
        <f t="shared" si="43"/>
        <v>157803.25</v>
      </c>
      <c r="AE51" s="215">
        <f t="shared" si="43"/>
        <v>157803.25</v>
      </c>
      <c r="AF51" s="215">
        <f t="shared" si="43"/>
        <v>157803.25</v>
      </c>
      <c r="AG51" s="215">
        <f t="shared" si="43"/>
        <v>157803.25</v>
      </c>
      <c r="AH51" s="215">
        <f t="shared" si="43"/>
        <v>157803.25</v>
      </c>
      <c r="AI51" s="215">
        <f t="shared" si="43"/>
        <v>157803.25</v>
      </c>
      <c r="AJ51" s="215">
        <f t="shared" si="43"/>
        <v>157803.25</v>
      </c>
      <c r="AK51" s="215">
        <f t="shared" si="43"/>
        <v>157803.25</v>
      </c>
      <c r="AL51" s="215">
        <f t="shared" si="43"/>
        <v>157803.25</v>
      </c>
      <c r="AM51" s="215">
        <f t="shared" si="43"/>
        <v>158402</v>
      </c>
    </row>
    <row r="52" spans="7:39" ht="15">
      <c r="G52" s="329"/>
      <c r="H52" s="244"/>
      <c r="I52" s="244">
        <f>I56+($H50-$H54)*I57</f>
        <v>73913</v>
      </c>
      <c r="J52" s="244">
        <f>J56+($H50-$H54)*J57</f>
        <v>4790</v>
      </c>
      <c r="K52" s="244">
        <f>K56+($H50-$H54)*K57</f>
        <v>0</v>
      </c>
      <c r="L52" s="147">
        <v>0</v>
      </c>
      <c r="M52" s="147">
        <f>M56+($H50-$H54)*M57</f>
        <v>3592.5</v>
      </c>
      <c r="N52" s="147">
        <f t="shared" ref="N52:W52" si="44">$H50*N53</f>
        <v>2993.75</v>
      </c>
      <c r="O52" s="147">
        <f t="shared" si="44"/>
        <v>2993.75</v>
      </c>
      <c r="P52" s="147">
        <f t="shared" si="44"/>
        <v>2993.75</v>
      </c>
      <c r="Q52" s="147">
        <f t="shared" si="44"/>
        <v>2993.75</v>
      </c>
      <c r="R52" s="147">
        <f t="shared" si="44"/>
        <v>2993.75</v>
      </c>
      <c r="S52" s="147">
        <f t="shared" si="44"/>
        <v>2993.75</v>
      </c>
      <c r="T52" s="147">
        <f t="shared" si="44"/>
        <v>2993.75</v>
      </c>
      <c r="U52" s="147">
        <f t="shared" si="44"/>
        <v>2993.75</v>
      </c>
      <c r="V52" s="147">
        <f t="shared" si="44"/>
        <v>2993.75</v>
      </c>
      <c r="W52" s="147">
        <f t="shared" si="44"/>
        <v>2993.75</v>
      </c>
      <c r="Y52" s="329"/>
      <c r="Z52" s="329"/>
      <c r="AA52" s="147">
        <f t="shared" ca="1" si="9"/>
        <v>78703</v>
      </c>
      <c r="AB52" s="147">
        <f t="shared" ref="AB52:AM53" si="45">$I52+$J52+$K52+L52</f>
        <v>78703</v>
      </c>
      <c r="AC52" s="147">
        <f t="shared" si="45"/>
        <v>82295.5</v>
      </c>
      <c r="AD52" s="147">
        <f t="shared" si="45"/>
        <v>81696.75</v>
      </c>
      <c r="AE52" s="147">
        <f t="shared" si="45"/>
        <v>81696.75</v>
      </c>
      <c r="AF52" s="147">
        <f t="shared" si="45"/>
        <v>81696.75</v>
      </c>
      <c r="AG52" s="147">
        <f t="shared" si="45"/>
        <v>81696.75</v>
      </c>
      <c r="AH52" s="147">
        <f t="shared" si="45"/>
        <v>81696.75</v>
      </c>
      <c r="AI52" s="147">
        <f t="shared" si="45"/>
        <v>81696.75</v>
      </c>
      <c r="AJ52" s="147">
        <f t="shared" si="45"/>
        <v>81696.75</v>
      </c>
      <c r="AK52" s="147">
        <f t="shared" si="45"/>
        <v>81696.75</v>
      </c>
      <c r="AL52" s="147">
        <f t="shared" si="45"/>
        <v>81696.75</v>
      </c>
      <c r="AM52" s="147">
        <f t="shared" si="45"/>
        <v>81696.75</v>
      </c>
    </row>
    <row r="53" spans="7:39" ht="16" thickBot="1">
      <c r="G53" s="330"/>
      <c r="H53" s="331"/>
      <c r="I53" s="331">
        <f>$I$2</f>
        <v>0.45</v>
      </c>
      <c r="J53" s="331">
        <v>0.02</v>
      </c>
      <c r="K53" s="331">
        <f>$K$3</f>
        <v>0</v>
      </c>
      <c r="L53" s="334">
        <v>0</v>
      </c>
      <c r="M53" s="334">
        <v>1.4999999999999999E-2</v>
      </c>
      <c r="N53" s="334">
        <v>1.2500000000000001E-2</v>
      </c>
      <c r="O53" s="334">
        <v>1.2500000000000001E-2</v>
      </c>
      <c r="P53" s="334">
        <v>1.2500000000000001E-2</v>
      </c>
      <c r="Q53" s="334">
        <v>1.2500000000000001E-2</v>
      </c>
      <c r="R53" s="334">
        <v>1.2500000000000001E-2</v>
      </c>
      <c r="S53" s="334">
        <v>1.2500000000000001E-2</v>
      </c>
      <c r="T53" s="334">
        <v>1.2500000000000001E-2</v>
      </c>
      <c r="U53" s="334">
        <v>1.2500000000000001E-2</v>
      </c>
      <c r="V53" s="334">
        <v>1.2500000000000001E-2</v>
      </c>
      <c r="W53" s="334">
        <v>1.2500000000000001E-2</v>
      </c>
      <c r="Y53" s="330"/>
      <c r="Z53" s="330"/>
      <c r="AA53" s="334">
        <f t="shared" ca="1" si="9"/>
        <v>0.47000000000000003</v>
      </c>
      <c r="AB53" s="334">
        <f t="shared" si="45"/>
        <v>0.47000000000000003</v>
      </c>
      <c r="AC53" s="334">
        <f t="shared" si="45"/>
        <v>0.48500000000000004</v>
      </c>
      <c r="AD53" s="334">
        <f t="shared" si="45"/>
        <v>0.48250000000000004</v>
      </c>
      <c r="AE53" s="334">
        <f t="shared" si="45"/>
        <v>0.48250000000000004</v>
      </c>
      <c r="AF53" s="334">
        <f t="shared" si="45"/>
        <v>0.48250000000000004</v>
      </c>
      <c r="AG53" s="334">
        <f t="shared" si="45"/>
        <v>0.48250000000000004</v>
      </c>
      <c r="AH53" s="334">
        <f t="shared" si="45"/>
        <v>0.48250000000000004</v>
      </c>
      <c r="AI53" s="334">
        <f t="shared" si="45"/>
        <v>0.48250000000000004</v>
      </c>
      <c r="AJ53" s="334">
        <f t="shared" si="45"/>
        <v>0.48250000000000004</v>
      </c>
      <c r="AK53" s="334">
        <f t="shared" si="45"/>
        <v>0.48250000000000004</v>
      </c>
      <c r="AL53" s="334">
        <f t="shared" si="45"/>
        <v>0.48250000000000004</v>
      </c>
      <c r="AM53" s="334">
        <f t="shared" si="45"/>
        <v>0.48250000000000004</v>
      </c>
    </row>
    <row r="54" spans="7:39" ht="15">
      <c r="G54" s="327"/>
      <c r="H54" s="332">
        <f>H58+1500</f>
        <v>238000</v>
      </c>
      <c r="I54" s="332"/>
      <c r="J54" s="332"/>
      <c r="K54" s="332"/>
      <c r="L54" s="333"/>
      <c r="M54" s="333"/>
      <c r="N54" s="333"/>
      <c r="O54" s="333"/>
      <c r="P54" s="333"/>
      <c r="Q54" s="333"/>
      <c r="R54" s="333"/>
      <c r="S54" s="333"/>
      <c r="T54" s="333"/>
      <c r="U54" s="333"/>
      <c r="V54" s="333"/>
      <c r="W54" s="333"/>
      <c r="Y54" s="327">
        <f>AB54</f>
        <v>238000</v>
      </c>
      <c r="Z54" s="327"/>
      <c r="AA54" s="333">
        <f t="shared" ca="1" si="9"/>
        <v>238000</v>
      </c>
      <c r="AB54" s="333">
        <f t="shared" ref="AB54:AM54" si="46">$H54</f>
        <v>238000</v>
      </c>
      <c r="AC54" s="333">
        <f t="shared" si="46"/>
        <v>238000</v>
      </c>
      <c r="AD54" s="333">
        <f t="shared" si="46"/>
        <v>238000</v>
      </c>
      <c r="AE54" s="333">
        <f t="shared" si="46"/>
        <v>238000</v>
      </c>
      <c r="AF54" s="333">
        <f t="shared" si="46"/>
        <v>238000</v>
      </c>
      <c r="AG54" s="333">
        <f t="shared" si="46"/>
        <v>238000</v>
      </c>
      <c r="AH54" s="333">
        <f t="shared" si="46"/>
        <v>238000</v>
      </c>
      <c r="AI54" s="333">
        <f t="shared" si="46"/>
        <v>238000</v>
      </c>
      <c r="AJ54" s="333">
        <f t="shared" si="46"/>
        <v>238000</v>
      </c>
      <c r="AK54" s="333">
        <f t="shared" si="46"/>
        <v>238000</v>
      </c>
      <c r="AL54" s="333">
        <f t="shared" si="46"/>
        <v>238000</v>
      </c>
      <c r="AM54" s="333">
        <f t="shared" si="46"/>
        <v>238000</v>
      </c>
    </row>
    <row r="55" spans="7:39" ht="15">
      <c r="G55" s="328"/>
      <c r="H55" s="261"/>
      <c r="I55" s="261"/>
      <c r="J55" s="261"/>
      <c r="K55" s="261"/>
      <c r="L55" s="215"/>
      <c r="M55" s="215"/>
      <c r="N55" s="215"/>
      <c r="O55" s="215"/>
      <c r="P55" s="215"/>
      <c r="Q55" s="215"/>
      <c r="R55" s="215"/>
      <c r="S55" s="215"/>
      <c r="T55" s="215"/>
      <c r="U55" s="215"/>
      <c r="V55" s="215"/>
      <c r="W55" s="215"/>
      <c r="Y55" s="328"/>
      <c r="Z55" s="328">
        <f ca="1">OFFSET(AB55,0,$AB$2)</f>
        <v>160002</v>
      </c>
      <c r="AA55" s="215">
        <f ca="1">OFFSET(AB55,0,$AB$2)</f>
        <v>160002</v>
      </c>
      <c r="AB55" s="215">
        <f>AB54-(AB60+(AB54-AB58)*AB61)</f>
        <v>160002</v>
      </c>
      <c r="AC55" s="215">
        <f t="shared" ref="AC55:AM55" si="47">AC54-(AC60+(AC54-AC58)*AC61)</f>
        <v>156432</v>
      </c>
      <c r="AD55" s="215">
        <f t="shared" si="47"/>
        <v>157027</v>
      </c>
      <c r="AE55" s="215">
        <f t="shared" si="47"/>
        <v>157027</v>
      </c>
      <c r="AF55" s="215">
        <f t="shared" si="47"/>
        <v>157027</v>
      </c>
      <c r="AG55" s="215">
        <f t="shared" si="47"/>
        <v>157027</v>
      </c>
      <c r="AH55" s="215">
        <f t="shared" si="47"/>
        <v>157027</v>
      </c>
      <c r="AI55" s="215">
        <f t="shared" si="47"/>
        <v>157027</v>
      </c>
      <c r="AJ55" s="215">
        <f t="shared" si="47"/>
        <v>157027</v>
      </c>
      <c r="AK55" s="215">
        <f t="shared" si="47"/>
        <v>157027</v>
      </c>
      <c r="AL55" s="215">
        <f t="shared" si="47"/>
        <v>157622</v>
      </c>
      <c r="AM55" s="215">
        <f t="shared" si="47"/>
        <v>157622</v>
      </c>
    </row>
    <row r="56" spans="7:39" ht="15">
      <c r="G56" s="329"/>
      <c r="H56" s="244"/>
      <c r="I56" s="244">
        <f>I60+($H54-$H58)*I61</f>
        <v>73238</v>
      </c>
      <c r="J56" s="244">
        <f>J60+($H54-$H58)*J61</f>
        <v>4760</v>
      </c>
      <c r="K56" s="244">
        <f>K60+($H54-$H58)*K61</f>
        <v>0</v>
      </c>
      <c r="L56" s="147">
        <v>0</v>
      </c>
      <c r="M56" s="147">
        <f>M60+($H54-$H58)*M61</f>
        <v>3570</v>
      </c>
      <c r="N56" s="147">
        <f t="shared" ref="N56:W56" si="48">$H54*N57</f>
        <v>2975</v>
      </c>
      <c r="O56" s="147">
        <f t="shared" si="48"/>
        <v>2975</v>
      </c>
      <c r="P56" s="147">
        <f t="shared" si="48"/>
        <v>2975</v>
      </c>
      <c r="Q56" s="147">
        <f t="shared" si="48"/>
        <v>2975</v>
      </c>
      <c r="R56" s="147">
        <f t="shared" si="48"/>
        <v>2975</v>
      </c>
      <c r="S56" s="147">
        <f t="shared" si="48"/>
        <v>2975</v>
      </c>
      <c r="T56" s="147">
        <f t="shared" si="48"/>
        <v>2975</v>
      </c>
      <c r="U56" s="147">
        <f t="shared" si="48"/>
        <v>2975</v>
      </c>
      <c r="V56" s="147">
        <f t="shared" si="48"/>
        <v>2975</v>
      </c>
      <c r="W56" s="147">
        <f t="shared" si="48"/>
        <v>2380</v>
      </c>
      <c r="Y56" s="329"/>
      <c r="Z56" s="329"/>
      <c r="AA56" s="147">
        <f t="shared" ca="1" si="9"/>
        <v>77998</v>
      </c>
      <c r="AB56" s="147">
        <f t="shared" ref="AB56:AM57" si="49">$I56+$J56+$K56+L56</f>
        <v>77998</v>
      </c>
      <c r="AC56" s="147">
        <f t="shared" si="49"/>
        <v>81568</v>
      </c>
      <c r="AD56" s="147">
        <f t="shared" si="49"/>
        <v>80973</v>
      </c>
      <c r="AE56" s="147">
        <f t="shared" si="49"/>
        <v>80973</v>
      </c>
      <c r="AF56" s="147">
        <f t="shared" si="49"/>
        <v>80973</v>
      </c>
      <c r="AG56" s="147">
        <f t="shared" si="49"/>
        <v>80973</v>
      </c>
      <c r="AH56" s="147">
        <f t="shared" si="49"/>
        <v>80973</v>
      </c>
      <c r="AI56" s="147">
        <f t="shared" si="49"/>
        <v>80973</v>
      </c>
      <c r="AJ56" s="147">
        <f t="shared" si="49"/>
        <v>80973</v>
      </c>
      <c r="AK56" s="147">
        <f t="shared" si="49"/>
        <v>80973</v>
      </c>
      <c r="AL56" s="147">
        <f t="shared" si="49"/>
        <v>80973</v>
      </c>
      <c r="AM56" s="147">
        <f t="shared" si="49"/>
        <v>80378</v>
      </c>
    </row>
    <row r="57" spans="7:39" ht="16" thickBot="1">
      <c r="G57" s="330"/>
      <c r="H57" s="331"/>
      <c r="I57" s="331">
        <f>$I$2</f>
        <v>0.45</v>
      </c>
      <c r="J57" s="331">
        <v>0.02</v>
      </c>
      <c r="K57" s="331">
        <f>$K$3</f>
        <v>0</v>
      </c>
      <c r="L57" s="334">
        <v>0</v>
      </c>
      <c r="M57" s="334">
        <v>1.4999999999999999E-2</v>
      </c>
      <c r="N57" s="334">
        <v>1.2500000000000001E-2</v>
      </c>
      <c r="O57" s="334">
        <v>1.2500000000000001E-2</v>
      </c>
      <c r="P57" s="334">
        <v>1.2500000000000001E-2</v>
      </c>
      <c r="Q57" s="334">
        <v>1.2500000000000001E-2</v>
      </c>
      <c r="R57" s="334">
        <v>1.2500000000000001E-2</v>
      </c>
      <c r="S57" s="334">
        <v>1.2500000000000001E-2</v>
      </c>
      <c r="T57" s="334">
        <v>1.2500000000000001E-2</v>
      </c>
      <c r="U57" s="334">
        <v>1.2500000000000001E-2</v>
      </c>
      <c r="V57" s="334">
        <v>1.2500000000000001E-2</v>
      </c>
      <c r="W57" s="334">
        <v>0.01</v>
      </c>
      <c r="Y57" s="330"/>
      <c r="Z57" s="330"/>
      <c r="AA57" s="334">
        <f t="shared" ca="1" si="9"/>
        <v>0.47000000000000003</v>
      </c>
      <c r="AB57" s="334">
        <f t="shared" si="49"/>
        <v>0.47000000000000003</v>
      </c>
      <c r="AC57" s="334">
        <f t="shared" si="49"/>
        <v>0.48500000000000004</v>
      </c>
      <c r="AD57" s="334">
        <f t="shared" si="49"/>
        <v>0.48250000000000004</v>
      </c>
      <c r="AE57" s="334">
        <f t="shared" si="49"/>
        <v>0.48250000000000004</v>
      </c>
      <c r="AF57" s="334">
        <f t="shared" si="49"/>
        <v>0.48250000000000004</v>
      </c>
      <c r="AG57" s="334">
        <f t="shared" si="49"/>
        <v>0.48250000000000004</v>
      </c>
      <c r="AH57" s="334">
        <f t="shared" si="49"/>
        <v>0.48250000000000004</v>
      </c>
      <c r="AI57" s="334">
        <f t="shared" si="49"/>
        <v>0.48250000000000004</v>
      </c>
      <c r="AJ57" s="334">
        <f t="shared" si="49"/>
        <v>0.48250000000000004</v>
      </c>
      <c r="AK57" s="334">
        <f t="shared" si="49"/>
        <v>0.48250000000000004</v>
      </c>
      <c r="AL57" s="334">
        <f t="shared" si="49"/>
        <v>0.48250000000000004</v>
      </c>
      <c r="AM57" s="334">
        <f t="shared" si="49"/>
        <v>0.48000000000000004</v>
      </c>
    </row>
    <row r="58" spans="7:39" ht="15">
      <c r="G58" s="327"/>
      <c r="H58" s="332">
        <f>H62+1500</f>
        <v>236500</v>
      </c>
      <c r="I58" s="332"/>
      <c r="J58" s="332"/>
      <c r="K58" s="332"/>
      <c r="L58" s="333"/>
      <c r="M58" s="333"/>
      <c r="N58" s="333"/>
      <c r="O58" s="333"/>
      <c r="P58" s="333"/>
      <c r="Q58" s="333"/>
      <c r="R58" s="333"/>
      <c r="S58" s="333"/>
      <c r="T58" s="333"/>
      <c r="U58" s="333"/>
      <c r="V58" s="333"/>
      <c r="W58" s="333"/>
      <c r="Y58" s="327">
        <f>AB58</f>
        <v>236500</v>
      </c>
      <c r="Z58" s="327"/>
      <c r="AA58" s="333">
        <f t="shared" ca="1" si="9"/>
        <v>236500</v>
      </c>
      <c r="AB58" s="333">
        <f t="shared" ref="AB58:AM58" si="50">$H58</f>
        <v>236500</v>
      </c>
      <c r="AC58" s="333">
        <f t="shared" si="50"/>
        <v>236500</v>
      </c>
      <c r="AD58" s="333">
        <f t="shared" si="50"/>
        <v>236500</v>
      </c>
      <c r="AE58" s="333">
        <f t="shared" si="50"/>
        <v>236500</v>
      </c>
      <c r="AF58" s="333">
        <f t="shared" si="50"/>
        <v>236500</v>
      </c>
      <c r="AG58" s="333">
        <f t="shared" si="50"/>
        <v>236500</v>
      </c>
      <c r="AH58" s="333">
        <f t="shared" si="50"/>
        <v>236500</v>
      </c>
      <c r="AI58" s="333">
        <f t="shared" si="50"/>
        <v>236500</v>
      </c>
      <c r="AJ58" s="333">
        <f t="shared" si="50"/>
        <v>236500</v>
      </c>
      <c r="AK58" s="333">
        <f t="shared" si="50"/>
        <v>236500</v>
      </c>
      <c r="AL58" s="333">
        <f t="shared" si="50"/>
        <v>236500</v>
      </c>
      <c r="AM58" s="333">
        <f t="shared" si="50"/>
        <v>236500</v>
      </c>
    </row>
    <row r="59" spans="7:39" ht="15">
      <c r="G59" s="328"/>
      <c r="H59" s="261"/>
      <c r="I59" s="261"/>
      <c r="J59" s="261"/>
      <c r="K59" s="261"/>
      <c r="L59" s="215"/>
      <c r="M59" s="215"/>
      <c r="N59" s="215"/>
      <c r="O59" s="215"/>
      <c r="P59" s="215"/>
      <c r="Q59" s="215"/>
      <c r="R59" s="215"/>
      <c r="S59" s="215"/>
      <c r="T59" s="215"/>
      <c r="U59" s="215"/>
      <c r="V59" s="215"/>
      <c r="W59" s="215"/>
      <c r="Y59" s="328"/>
      <c r="Z59" s="328">
        <f ca="1">OFFSET(AB59,0,$AB$2)</f>
        <v>159207</v>
      </c>
      <c r="AA59" s="215">
        <f t="shared" ca="1" si="9"/>
        <v>159207</v>
      </c>
      <c r="AB59" s="215">
        <f>AB58-(AB64+(AB58-AB62)*AB65)</f>
        <v>159207</v>
      </c>
      <c r="AC59" s="215">
        <f t="shared" ref="AC59:AM59" si="51">AC58-(AC64+(AC58-AC62)*AC65)</f>
        <v>155659.5</v>
      </c>
      <c r="AD59" s="215">
        <f t="shared" si="51"/>
        <v>156250.75</v>
      </c>
      <c r="AE59" s="215">
        <f t="shared" si="51"/>
        <v>156250.75</v>
      </c>
      <c r="AF59" s="215">
        <f t="shared" si="51"/>
        <v>156250.75</v>
      </c>
      <c r="AG59" s="215">
        <f t="shared" si="51"/>
        <v>156250.75</v>
      </c>
      <c r="AH59" s="215">
        <f t="shared" si="51"/>
        <v>156250.75</v>
      </c>
      <c r="AI59" s="215">
        <f t="shared" si="51"/>
        <v>156250.75</v>
      </c>
      <c r="AJ59" s="215">
        <f t="shared" si="51"/>
        <v>156250.75</v>
      </c>
      <c r="AK59" s="215">
        <f t="shared" si="51"/>
        <v>156842</v>
      </c>
      <c r="AL59" s="215">
        <f t="shared" si="51"/>
        <v>156842</v>
      </c>
      <c r="AM59" s="215">
        <f t="shared" si="51"/>
        <v>156842</v>
      </c>
    </row>
    <row r="60" spans="7:39" ht="15">
      <c r="G60" s="329"/>
      <c r="H60" s="244"/>
      <c r="I60" s="244">
        <f>I64+($H58-$H62)*I65</f>
        <v>72563</v>
      </c>
      <c r="J60" s="244">
        <f>J64+($H58-$H62)*J65</f>
        <v>4730</v>
      </c>
      <c r="K60" s="244">
        <f>K64+($H58-$H62)*K65</f>
        <v>0</v>
      </c>
      <c r="L60" s="147">
        <v>0</v>
      </c>
      <c r="M60" s="147">
        <f>M64+($H58-$H62)*M65</f>
        <v>3547.5</v>
      </c>
      <c r="N60" s="147">
        <f t="shared" ref="N60:W60" si="52">$H58*N61</f>
        <v>2956.25</v>
      </c>
      <c r="O60" s="147">
        <f t="shared" si="52"/>
        <v>2956.25</v>
      </c>
      <c r="P60" s="147">
        <f t="shared" si="52"/>
        <v>2956.25</v>
      </c>
      <c r="Q60" s="147">
        <f t="shared" si="52"/>
        <v>2956.25</v>
      </c>
      <c r="R60" s="147">
        <f t="shared" si="52"/>
        <v>2956.25</v>
      </c>
      <c r="S60" s="147">
        <f t="shared" si="52"/>
        <v>2956.25</v>
      </c>
      <c r="T60" s="147">
        <f t="shared" si="52"/>
        <v>2956.25</v>
      </c>
      <c r="U60" s="147">
        <f t="shared" si="52"/>
        <v>2956.25</v>
      </c>
      <c r="V60" s="147">
        <f t="shared" si="52"/>
        <v>2365</v>
      </c>
      <c r="W60" s="147">
        <f t="shared" si="52"/>
        <v>2365</v>
      </c>
      <c r="Y60" s="329"/>
      <c r="Z60" s="329"/>
      <c r="AA60" s="147">
        <f t="shared" ca="1" si="9"/>
        <v>77293</v>
      </c>
      <c r="AB60" s="147">
        <f t="shared" ref="AB60:AM61" si="53">$I60+$J60+$K60+L60</f>
        <v>77293</v>
      </c>
      <c r="AC60" s="147">
        <f t="shared" si="53"/>
        <v>80840.5</v>
      </c>
      <c r="AD60" s="147">
        <f t="shared" si="53"/>
        <v>80249.25</v>
      </c>
      <c r="AE60" s="147">
        <f t="shared" si="53"/>
        <v>80249.25</v>
      </c>
      <c r="AF60" s="147">
        <f t="shared" si="53"/>
        <v>80249.25</v>
      </c>
      <c r="AG60" s="147">
        <f t="shared" si="53"/>
        <v>80249.25</v>
      </c>
      <c r="AH60" s="147">
        <f t="shared" si="53"/>
        <v>80249.25</v>
      </c>
      <c r="AI60" s="147">
        <f t="shared" si="53"/>
        <v>80249.25</v>
      </c>
      <c r="AJ60" s="147">
        <f t="shared" si="53"/>
        <v>80249.25</v>
      </c>
      <c r="AK60" s="147">
        <f t="shared" si="53"/>
        <v>80249.25</v>
      </c>
      <c r="AL60" s="147">
        <f t="shared" si="53"/>
        <v>79658</v>
      </c>
      <c r="AM60" s="147">
        <f t="shared" si="53"/>
        <v>79658</v>
      </c>
    </row>
    <row r="61" spans="7:39" ht="16" thickBot="1">
      <c r="G61" s="330"/>
      <c r="H61" s="331"/>
      <c r="I61" s="331">
        <f>$I$2</f>
        <v>0.45</v>
      </c>
      <c r="J61" s="331">
        <v>0.02</v>
      </c>
      <c r="K61" s="331">
        <f>$K$3</f>
        <v>0</v>
      </c>
      <c r="L61" s="334">
        <v>0</v>
      </c>
      <c r="M61" s="334">
        <v>1.4999999999999999E-2</v>
      </c>
      <c r="N61" s="334">
        <v>1.2500000000000001E-2</v>
      </c>
      <c r="O61" s="334">
        <v>1.2500000000000001E-2</v>
      </c>
      <c r="P61" s="334">
        <v>1.2500000000000001E-2</v>
      </c>
      <c r="Q61" s="334">
        <v>1.2500000000000001E-2</v>
      </c>
      <c r="R61" s="334">
        <v>1.2500000000000001E-2</v>
      </c>
      <c r="S61" s="334">
        <v>1.2500000000000001E-2</v>
      </c>
      <c r="T61" s="334">
        <v>1.2500000000000001E-2</v>
      </c>
      <c r="U61" s="334">
        <v>1.2500000000000001E-2</v>
      </c>
      <c r="V61" s="334">
        <v>0.01</v>
      </c>
      <c r="W61" s="334">
        <v>0.01</v>
      </c>
      <c r="Y61" s="330"/>
      <c r="Z61" s="330"/>
      <c r="AA61" s="334">
        <f t="shared" ca="1" si="9"/>
        <v>0.47000000000000003</v>
      </c>
      <c r="AB61" s="334">
        <f t="shared" si="53"/>
        <v>0.47000000000000003</v>
      </c>
      <c r="AC61" s="334">
        <f t="shared" si="53"/>
        <v>0.48500000000000004</v>
      </c>
      <c r="AD61" s="334">
        <f t="shared" si="53"/>
        <v>0.48250000000000004</v>
      </c>
      <c r="AE61" s="334">
        <f t="shared" si="53"/>
        <v>0.48250000000000004</v>
      </c>
      <c r="AF61" s="334">
        <f t="shared" si="53"/>
        <v>0.48250000000000004</v>
      </c>
      <c r="AG61" s="334">
        <f t="shared" si="53"/>
        <v>0.48250000000000004</v>
      </c>
      <c r="AH61" s="334">
        <f t="shared" si="53"/>
        <v>0.48250000000000004</v>
      </c>
      <c r="AI61" s="334">
        <f t="shared" si="53"/>
        <v>0.48250000000000004</v>
      </c>
      <c r="AJ61" s="334">
        <f t="shared" si="53"/>
        <v>0.48250000000000004</v>
      </c>
      <c r="AK61" s="334">
        <f t="shared" si="53"/>
        <v>0.48250000000000004</v>
      </c>
      <c r="AL61" s="334">
        <f t="shared" si="53"/>
        <v>0.48000000000000004</v>
      </c>
      <c r="AM61" s="334">
        <f t="shared" si="53"/>
        <v>0.48000000000000004</v>
      </c>
    </row>
    <row r="62" spans="7:39" ht="15">
      <c r="G62" s="327"/>
      <c r="H62" s="332">
        <f>H66+1500</f>
        <v>235000</v>
      </c>
      <c r="I62" s="332"/>
      <c r="J62" s="332"/>
      <c r="K62" s="332"/>
      <c r="L62" s="333"/>
      <c r="M62" s="333"/>
      <c r="N62" s="333"/>
      <c r="O62" s="333"/>
      <c r="P62" s="333"/>
      <c r="Q62" s="333"/>
      <c r="R62" s="333"/>
      <c r="S62" s="333"/>
      <c r="T62" s="333"/>
      <c r="U62" s="333"/>
      <c r="V62" s="333"/>
      <c r="W62" s="333"/>
      <c r="Y62" s="327">
        <f>AB62</f>
        <v>235000</v>
      </c>
      <c r="Z62" s="327"/>
      <c r="AA62" s="333">
        <f t="shared" ca="1" si="9"/>
        <v>235000</v>
      </c>
      <c r="AB62" s="333">
        <f t="shared" ref="AB62:AM62" si="54">$H62</f>
        <v>235000</v>
      </c>
      <c r="AC62" s="333">
        <f t="shared" si="54"/>
        <v>235000</v>
      </c>
      <c r="AD62" s="333">
        <f t="shared" si="54"/>
        <v>235000</v>
      </c>
      <c r="AE62" s="333">
        <f t="shared" si="54"/>
        <v>235000</v>
      </c>
      <c r="AF62" s="333">
        <f t="shared" si="54"/>
        <v>235000</v>
      </c>
      <c r="AG62" s="333">
        <f t="shared" si="54"/>
        <v>235000</v>
      </c>
      <c r="AH62" s="333">
        <f t="shared" si="54"/>
        <v>235000</v>
      </c>
      <c r="AI62" s="333">
        <f t="shared" si="54"/>
        <v>235000</v>
      </c>
      <c r="AJ62" s="333">
        <f t="shared" si="54"/>
        <v>235000</v>
      </c>
      <c r="AK62" s="333">
        <f t="shared" si="54"/>
        <v>235000</v>
      </c>
      <c r="AL62" s="333">
        <f t="shared" si="54"/>
        <v>235000</v>
      </c>
      <c r="AM62" s="333">
        <f t="shared" si="54"/>
        <v>235000</v>
      </c>
    </row>
    <row r="63" spans="7:39" ht="15">
      <c r="G63" s="328"/>
      <c r="H63" s="261"/>
      <c r="I63" s="261"/>
      <c r="J63" s="261"/>
      <c r="K63" s="261"/>
      <c r="L63" s="215"/>
      <c r="M63" s="215"/>
      <c r="N63" s="215"/>
      <c r="O63" s="215"/>
      <c r="P63" s="215"/>
      <c r="Q63" s="215"/>
      <c r="R63" s="215"/>
      <c r="S63" s="215"/>
      <c r="T63" s="215"/>
      <c r="U63" s="215"/>
      <c r="V63" s="215"/>
      <c r="W63" s="215"/>
      <c r="Y63" s="328"/>
      <c r="Z63" s="328">
        <f ca="1">OFFSET(AB63,0,$AB$2)</f>
        <v>158412</v>
      </c>
      <c r="AA63" s="215">
        <f t="shared" ca="1" si="9"/>
        <v>158412</v>
      </c>
      <c r="AB63" s="215">
        <f>AB62-(AB68+(AB62-AB66)*AB69)</f>
        <v>158412</v>
      </c>
      <c r="AC63" s="215">
        <f t="shared" ref="AC63:AM63" si="55">AC62-(AC68+(AC62-AC66)*AC69)</f>
        <v>154887</v>
      </c>
      <c r="AD63" s="215">
        <f t="shared" si="55"/>
        <v>155474.5</v>
      </c>
      <c r="AE63" s="215">
        <f t="shared" si="55"/>
        <v>155474.5</v>
      </c>
      <c r="AF63" s="215">
        <f t="shared" si="55"/>
        <v>155474.5</v>
      </c>
      <c r="AG63" s="215">
        <f t="shared" si="55"/>
        <v>155474.5</v>
      </c>
      <c r="AH63" s="215">
        <f t="shared" si="55"/>
        <v>155474.5</v>
      </c>
      <c r="AI63" s="215">
        <f t="shared" si="55"/>
        <v>155474.5</v>
      </c>
      <c r="AJ63" s="215">
        <f t="shared" si="55"/>
        <v>156062</v>
      </c>
      <c r="AK63" s="215">
        <f t="shared" si="55"/>
        <v>156062</v>
      </c>
      <c r="AL63" s="215">
        <f t="shared" si="55"/>
        <v>156062</v>
      </c>
      <c r="AM63" s="215">
        <f t="shared" si="55"/>
        <v>156062</v>
      </c>
    </row>
    <row r="64" spans="7:39" ht="15">
      <c r="G64" s="329"/>
      <c r="H64" s="244"/>
      <c r="I64" s="244">
        <f>I68+($H62-$H66)*I69</f>
        <v>71888</v>
      </c>
      <c r="J64" s="244">
        <f>J68+($H62-$H66)*J69</f>
        <v>4700</v>
      </c>
      <c r="K64" s="244">
        <f>K68+($H62-$H66)*K69</f>
        <v>0</v>
      </c>
      <c r="L64" s="147">
        <v>0</v>
      </c>
      <c r="M64" s="147">
        <f>M68+($H62-$H66)*M69</f>
        <v>3525</v>
      </c>
      <c r="N64" s="147">
        <f t="shared" ref="N64:W64" si="56">$H62*N65</f>
        <v>2937.5</v>
      </c>
      <c r="O64" s="147">
        <f t="shared" si="56"/>
        <v>2937.5</v>
      </c>
      <c r="P64" s="147">
        <f t="shared" si="56"/>
        <v>2937.5</v>
      </c>
      <c r="Q64" s="147">
        <f t="shared" si="56"/>
        <v>2937.5</v>
      </c>
      <c r="R64" s="147">
        <f t="shared" si="56"/>
        <v>2937.5</v>
      </c>
      <c r="S64" s="147">
        <f t="shared" si="56"/>
        <v>2937.5</v>
      </c>
      <c r="T64" s="147">
        <f t="shared" si="56"/>
        <v>2937.5</v>
      </c>
      <c r="U64" s="147">
        <f t="shared" si="56"/>
        <v>2350</v>
      </c>
      <c r="V64" s="147">
        <f t="shared" si="56"/>
        <v>2350</v>
      </c>
      <c r="W64" s="147">
        <f t="shared" si="56"/>
        <v>2350</v>
      </c>
      <c r="Y64" s="329"/>
      <c r="Z64" s="329"/>
      <c r="AA64" s="147">
        <f t="shared" ca="1" si="9"/>
        <v>76588</v>
      </c>
      <c r="AB64" s="147">
        <f t="shared" ref="AB64:AM65" si="57">$I64+$J64+$K64+L64</f>
        <v>76588</v>
      </c>
      <c r="AC64" s="147">
        <f t="shared" si="57"/>
        <v>80113</v>
      </c>
      <c r="AD64" s="147">
        <f t="shared" si="57"/>
        <v>79525.5</v>
      </c>
      <c r="AE64" s="147">
        <f t="shared" si="57"/>
        <v>79525.5</v>
      </c>
      <c r="AF64" s="147">
        <f t="shared" si="57"/>
        <v>79525.5</v>
      </c>
      <c r="AG64" s="147">
        <f t="shared" si="57"/>
        <v>79525.5</v>
      </c>
      <c r="AH64" s="147">
        <f t="shared" si="57"/>
        <v>79525.5</v>
      </c>
      <c r="AI64" s="147">
        <f t="shared" si="57"/>
        <v>79525.5</v>
      </c>
      <c r="AJ64" s="147">
        <f t="shared" si="57"/>
        <v>79525.5</v>
      </c>
      <c r="AK64" s="147">
        <f t="shared" si="57"/>
        <v>78938</v>
      </c>
      <c r="AL64" s="147">
        <f t="shared" si="57"/>
        <v>78938</v>
      </c>
      <c r="AM64" s="147">
        <f t="shared" si="57"/>
        <v>78938</v>
      </c>
    </row>
    <row r="65" spans="7:39" ht="16" thickBot="1">
      <c r="G65" s="330"/>
      <c r="H65" s="331"/>
      <c r="I65" s="331">
        <f>$I$2</f>
        <v>0.45</v>
      </c>
      <c r="J65" s="331">
        <v>0.02</v>
      </c>
      <c r="K65" s="331">
        <f>$K$3</f>
        <v>0</v>
      </c>
      <c r="L65" s="334">
        <v>0</v>
      </c>
      <c r="M65" s="334">
        <v>1.4999999999999999E-2</v>
      </c>
      <c r="N65" s="334">
        <v>1.2500000000000001E-2</v>
      </c>
      <c r="O65" s="334">
        <v>1.2500000000000001E-2</v>
      </c>
      <c r="P65" s="334">
        <v>1.2500000000000001E-2</v>
      </c>
      <c r="Q65" s="334">
        <v>1.2500000000000001E-2</v>
      </c>
      <c r="R65" s="334">
        <v>1.2500000000000001E-2</v>
      </c>
      <c r="S65" s="334">
        <v>1.2500000000000001E-2</v>
      </c>
      <c r="T65" s="334">
        <v>1.2500000000000001E-2</v>
      </c>
      <c r="U65" s="334">
        <v>0.01</v>
      </c>
      <c r="V65" s="334">
        <v>0.01</v>
      </c>
      <c r="W65" s="334">
        <v>0.01</v>
      </c>
      <c r="Y65" s="330"/>
      <c r="Z65" s="330"/>
      <c r="AA65" s="334">
        <f t="shared" ca="1" si="9"/>
        <v>0.47000000000000003</v>
      </c>
      <c r="AB65" s="334">
        <f t="shared" si="57"/>
        <v>0.47000000000000003</v>
      </c>
      <c r="AC65" s="334">
        <f t="shared" si="57"/>
        <v>0.48500000000000004</v>
      </c>
      <c r="AD65" s="334">
        <f t="shared" si="57"/>
        <v>0.48250000000000004</v>
      </c>
      <c r="AE65" s="334">
        <f t="shared" si="57"/>
        <v>0.48250000000000004</v>
      </c>
      <c r="AF65" s="334">
        <f t="shared" si="57"/>
        <v>0.48250000000000004</v>
      </c>
      <c r="AG65" s="334">
        <f t="shared" si="57"/>
        <v>0.48250000000000004</v>
      </c>
      <c r="AH65" s="334">
        <f t="shared" si="57"/>
        <v>0.48250000000000004</v>
      </c>
      <c r="AI65" s="334">
        <f t="shared" si="57"/>
        <v>0.48250000000000004</v>
      </c>
      <c r="AJ65" s="334">
        <f t="shared" si="57"/>
        <v>0.48250000000000004</v>
      </c>
      <c r="AK65" s="334">
        <f t="shared" si="57"/>
        <v>0.48000000000000004</v>
      </c>
      <c r="AL65" s="334">
        <f t="shared" si="57"/>
        <v>0.48000000000000004</v>
      </c>
      <c r="AM65" s="334">
        <f t="shared" si="57"/>
        <v>0.48000000000000004</v>
      </c>
    </row>
    <row r="66" spans="7:39" ht="15">
      <c r="G66" s="327"/>
      <c r="H66" s="332">
        <f>H70+1500</f>
        <v>233500</v>
      </c>
      <c r="I66" s="332"/>
      <c r="J66" s="332"/>
      <c r="K66" s="332"/>
      <c r="L66" s="333"/>
      <c r="M66" s="333"/>
      <c r="N66" s="333"/>
      <c r="O66" s="333"/>
      <c r="P66" s="333"/>
      <c r="Q66" s="333"/>
      <c r="R66" s="333"/>
      <c r="S66" s="333"/>
      <c r="T66" s="333"/>
      <c r="U66" s="333"/>
      <c r="V66" s="333"/>
      <c r="W66" s="333"/>
      <c r="Y66" s="327">
        <f>AB66</f>
        <v>233500</v>
      </c>
      <c r="Z66" s="327"/>
      <c r="AA66" s="333">
        <f t="shared" ca="1" si="9"/>
        <v>233500</v>
      </c>
      <c r="AB66" s="333">
        <f t="shared" ref="AB66:AM66" si="58">$H66</f>
        <v>233500</v>
      </c>
      <c r="AC66" s="333">
        <f t="shared" si="58"/>
        <v>233500</v>
      </c>
      <c r="AD66" s="333">
        <f t="shared" si="58"/>
        <v>233500</v>
      </c>
      <c r="AE66" s="333">
        <f t="shared" si="58"/>
        <v>233500</v>
      </c>
      <c r="AF66" s="333">
        <f t="shared" si="58"/>
        <v>233500</v>
      </c>
      <c r="AG66" s="333">
        <f t="shared" si="58"/>
        <v>233500</v>
      </c>
      <c r="AH66" s="333">
        <f t="shared" si="58"/>
        <v>233500</v>
      </c>
      <c r="AI66" s="333">
        <f t="shared" si="58"/>
        <v>233500</v>
      </c>
      <c r="AJ66" s="333">
        <f t="shared" si="58"/>
        <v>233500</v>
      </c>
      <c r="AK66" s="333">
        <f t="shared" si="58"/>
        <v>233500</v>
      </c>
      <c r="AL66" s="333">
        <f t="shared" si="58"/>
        <v>233500</v>
      </c>
      <c r="AM66" s="333">
        <f t="shared" si="58"/>
        <v>233500</v>
      </c>
    </row>
    <row r="67" spans="7:39" ht="15">
      <c r="G67" s="328"/>
      <c r="H67" s="261"/>
      <c r="I67" s="261"/>
      <c r="J67" s="261"/>
      <c r="K67" s="261"/>
      <c r="L67" s="215"/>
      <c r="M67" s="215"/>
      <c r="N67" s="215"/>
      <c r="O67" s="215"/>
      <c r="P67" s="215"/>
      <c r="Q67" s="215"/>
      <c r="R67" s="215"/>
      <c r="S67" s="215"/>
      <c r="T67" s="215"/>
      <c r="U67" s="215"/>
      <c r="V67" s="215"/>
      <c r="W67" s="215"/>
      <c r="Y67" s="328"/>
      <c r="Z67" s="328">
        <f ca="1">OFFSET(AB67,0,$AB$2)</f>
        <v>157617</v>
      </c>
      <c r="AA67" s="215">
        <f t="shared" ca="1" si="9"/>
        <v>157617</v>
      </c>
      <c r="AB67" s="215">
        <f>AB66-(AB72+(AB66-AB70)*AB73)</f>
        <v>157617</v>
      </c>
      <c r="AC67" s="215">
        <f t="shared" ref="AC67:AM67" si="59">AC66-(AC72+(AC66-AC70)*AC73)</f>
        <v>154114.5</v>
      </c>
      <c r="AD67" s="215">
        <f t="shared" si="59"/>
        <v>154698.25</v>
      </c>
      <c r="AE67" s="215">
        <f t="shared" si="59"/>
        <v>154698.25</v>
      </c>
      <c r="AF67" s="215">
        <f t="shared" si="59"/>
        <v>154698.25</v>
      </c>
      <c r="AG67" s="215">
        <f t="shared" si="59"/>
        <v>154698.25</v>
      </c>
      <c r="AH67" s="215">
        <f t="shared" si="59"/>
        <v>154698.25</v>
      </c>
      <c r="AI67" s="215">
        <f t="shared" si="59"/>
        <v>155282</v>
      </c>
      <c r="AJ67" s="215">
        <f t="shared" si="59"/>
        <v>155282</v>
      </c>
      <c r="AK67" s="215">
        <f t="shared" si="59"/>
        <v>155282</v>
      </c>
      <c r="AL67" s="215">
        <f t="shared" si="59"/>
        <v>155282</v>
      </c>
      <c r="AM67" s="215">
        <f t="shared" si="59"/>
        <v>155282</v>
      </c>
    </row>
    <row r="68" spans="7:39" ht="15">
      <c r="G68" s="329"/>
      <c r="H68" s="244"/>
      <c r="I68" s="244">
        <f>I72+($H66-$H70)*I73</f>
        <v>71213</v>
      </c>
      <c r="J68" s="244">
        <f>J72+($H66-$H70)*J73</f>
        <v>4670</v>
      </c>
      <c r="K68" s="244">
        <f>K72+($H66-$H70)*K73</f>
        <v>0</v>
      </c>
      <c r="L68" s="147">
        <v>0</v>
      </c>
      <c r="M68" s="147">
        <f>M72+($H66-$H70)*M73</f>
        <v>3502.5</v>
      </c>
      <c r="N68" s="147">
        <f t="shared" ref="N68:W68" si="60">$H66*N69</f>
        <v>2918.75</v>
      </c>
      <c r="O68" s="147">
        <f t="shared" si="60"/>
        <v>2918.75</v>
      </c>
      <c r="P68" s="147">
        <f t="shared" si="60"/>
        <v>2918.75</v>
      </c>
      <c r="Q68" s="147">
        <f t="shared" si="60"/>
        <v>2918.75</v>
      </c>
      <c r="R68" s="147">
        <f t="shared" si="60"/>
        <v>2918.75</v>
      </c>
      <c r="S68" s="147">
        <f t="shared" si="60"/>
        <v>2918.75</v>
      </c>
      <c r="T68" s="147">
        <f t="shared" si="60"/>
        <v>2335</v>
      </c>
      <c r="U68" s="147">
        <f t="shared" si="60"/>
        <v>2335</v>
      </c>
      <c r="V68" s="147">
        <f t="shared" si="60"/>
        <v>2335</v>
      </c>
      <c r="W68" s="147">
        <f t="shared" si="60"/>
        <v>2335</v>
      </c>
      <c r="Y68" s="329"/>
      <c r="Z68" s="329"/>
      <c r="AA68" s="147">
        <f t="shared" ca="1" si="9"/>
        <v>75883</v>
      </c>
      <c r="AB68" s="147">
        <f t="shared" ref="AB68:AM69" si="61">$I68+$J68+$K68+L68</f>
        <v>75883</v>
      </c>
      <c r="AC68" s="147">
        <f t="shared" si="61"/>
        <v>79385.5</v>
      </c>
      <c r="AD68" s="147">
        <f t="shared" si="61"/>
        <v>78801.75</v>
      </c>
      <c r="AE68" s="147">
        <f t="shared" si="61"/>
        <v>78801.75</v>
      </c>
      <c r="AF68" s="147">
        <f t="shared" si="61"/>
        <v>78801.75</v>
      </c>
      <c r="AG68" s="147">
        <f t="shared" si="61"/>
        <v>78801.75</v>
      </c>
      <c r="AH68" s="147">
        <f t="shared" si="61"/>
        <v>78801.75</v>
      </c>
      <c r="AI68" s="147">
        <f t="shared" si="61"/>
        <v>78801.75</v>
      </c>
      <c r="AJ68" s="147">
        <f t="shared" si="61"/>
        <v>78218</v>
      </c>
      <c r="AK68" s="147">
        <f t="shared" si="61"/>
        <v>78218</v>
      </c>
      <c r="AL68" s="147">
        <f t="shared" si="61"/>
        <v>78218</v>
      </c>
      <c r="AM68" s="147">
        <f t="shared" si="61"/>
        <v>78218</v>
      </c>
    </row>
    <row r="69" spans="7:39" ht="16" thickBot="1">
      <c r="G69" s="330"/>
      <c r="H69" s="331"/>
      <c r="I69" s="331">
        <f>$I$2</f>
        <v>0.45</v>
      </c>
      <c r="J69" s="331">
        <v>0.02</v>
      </c>
      <c r="K69" s="331">
        <f>$K$3</f>
        <v>0</v>
      </c>
      <c r="L69" s="334">
        <v>0</v>
      </c>
      <c r="M69" s="334">
        <v>1.4999999999999999E-2</v>
      </c>
      <c r="N69" s="334">
        <v>1.2500000000000001E-2</v>
      </c>
      <c r="O69" s="334">
        <v>1.2500000000000001E-2</v>
      </c>
      <c r="P69" s="334">
        <v>1.2500000000000001E-2</v>
      </c>
      <c r="Q69" s="334">
        <v>1.2500000000000001E-2</v>
      </c>
      <c r="R69" s="334">
        <v>1.2500000000000001E-2</v>
      </c>
      <c r="S69" s="334">
        <v>1.2500000000000001E-2</v>
      </c>
      <c r="T69" s="334">
        <v>0.01</v>
      </c>
      <c r="U69" s="334">
        <v>0.01</v>
      </c>
      <c r="V69" s="334">
        <v>0.01</v>
      </c>
      <c r="W69" s="334">
        <v>0.01</v>
      </c>
      <c r="Y69" s="330"/>
      <c r="Z69" s="330"/>
      <c r="AA69" s="334">
        <f t="shared" ca="1" si="9"/>
        <v>0.47000000000000003</v>
      </c>
      <c r="AB69" s="334">
        <f t="shared" si="61"/>
        <v>0.47000000000000003</v>
      </c>
      <c r="AC69" s="334">
        <f t="shared" si="61"/>
        <v>0.48500000000000004</v>
      </c>
      <c r="AD69" s="334">
        <f t="shared" si="61"/>
        <v>0.48250000000000004</v>
      </c>
      <c r="AE69" s="334">
        <f t="shared" si="61"/>
        <v>0.48250000000000004</v>
      </c>
      <c r="AF69" s="334">
        <f t="shared" si="61"/>
        <v>0.48250000000000004</v>
      </c>
      <c r="AG69" s="334">
        <f t="shared" si="61"/>
        <v>0.48250000000000004</v>
      </c>
      <c r="AH69" s="334">
        <f t="shared" si="61"/>
        <v>0.48250000000000004</v>
      </c>
      <c r="AI69" s="334">
        <f t="shared" si="61"/>
        <v>0.48250000000000004</v>
      </c>
      <c r="AJ69" s="334">
        <f t="shared" si="61"/>
        <v>0.48000000000000004</v>
      </c>
      <c r="AK69" s="334">
        <f t="shared" si="61"/>
        <v>0.48000000000000004</v>
      </c>
      <c r="AL69" s="334">
        <f t="shared" si="61"/>
        <v>0.48000000000000004</v>
      </c>
      <c r="AM69" s="334">
        <f t="shared" si="61"/>
        <v>0.48000000000000004</v>
      </c>
    </row>
    <row r="70" spans="7:39" ht="15">
      <c r="G70" s="327"/>
      <c r="H70" s="332">
        <f>H74+1500</f>
        <v>232000</v>
      </c>
      <c r="I70" s="332"/>
      <c r="J70" s="332"/>
      <c r="K70" s="332"/>
      <c r="L70" s="333"/>
      <c r="M70" s="333"/>
      <c r="N70" s="333"/>
      <c r="O70" s="333"/>
      <c r="P70" s="333"/>
      <c r="Q70" s="333"/>
      <c r="R70" s="333"/>
      <c r="S70" s="333"/>
      <c r="T70" s="333"/>
      <c r="U70" s="333"/>
      <c r="V70" s="333"/>
      <c r="W70" s="333"/>
      <c r="Y70" s="327">
        <f>AB70</f>
        <v>232000</v>
      </c>
      <c r="Z70" s="327"/>
      <c r="AA70" s="333">
        <f t="shared" ca="1" si="9"/>
        <v>232000</v>
      </c>
      <c r="AB70" s="333">
        <f t="shared" ref="AB70:AM70" si="62">$H70</f>
        <v>232000</v>
      </c>
      <c r="AC70" s="333">
        <f t="shared" si="62"/>
        <v>232000</v>
      </c>
      <c r="AD70" s="333">
        <f t="shared" si="62"/>
        <v>232000</v>
      </c>
      <c r="AE70" s="333">
        <f t="shared" si="62"/>
        <v>232000</v>
      </c>
      <c r="AF70" s="333">
        <f t="shared" si="62"/>
        <v>232000</v>
      </c>
      <c r="AG70" s="333">
        <f t="shared" si="62"/>
        <v>232000</v>
      </c>
      <c r="AH70" s="333">
        <f t="shared" si="62"/>
        <v>232000</v>
      </c>
      <c r="AI70" s="333">
        <f t="shared" si="62"/>
        <v>232000</v>
      </c>
      <c r="AJ70" s="333">
        <f t="shared" si="62"/>
        <v>232000</v>
      </c>
      <c r="AK70" s="333">
        <f t="shared" si="62"/>
        <v>232000</v>
      </c>
      <c r="AL70" s="333">
        <f t="shared" si="62"/>
        <v>232000</v>
      </c>
      <c r="AM70" s="333">
        <f t="shared" si="62"/>
        <v>232000</v>
      </c>
    </row>
    <row r="71" spans="7:39" ht="15">
      <c r="G71" s="328"/>
      <c r="H71" s="261"/>
      <c r="I71" s="261"/>
      <c r="J71" s="261"/>
      <c r="K71" s="261"/>
      <c r="L71" s="215"/>
      <c r="M71" s="215"/>
      <c r="N71" s="215"/>
      <c r="O71" s="215"/>
      <c r="P71" s="215"/>
      <c r="Q71" s="215"/>
      <c r="R71" s="215"/>
      <c r="S71" s="215"/>
      <c r="T71" s="215"/>
      <c r="U71" s="215"/>
      <c r="V71" s="215"/>
      <c r="W71" s="215"/>
      <c r="Y71" s="328"/>
      <c r="Z71" s="328">
        <f ca="1">OFFSET(AB71,0,$AB$2)</f>
        <v>156822</v>
      </c>
      <c r="AA71" s="215">
        <f t="shared" ca="1" si="9"/>
        <v>156822</v>
      </c>
      <c r="AB71" s="215">
        <f>AB70-(AB76+(AB70-AB74)*AB77)</f>
        <v>156822</v>
      </c>
      <c r="AC71" s="215">
        <f t="shared" ref="AC71:AM71" si="63">AC70-(AC76+(AC70-AC74)*AC77)</f>
        <v>153342</v>
      </c>
      <c r="AD71" s="215">
        <f t="shared" si="63"/>
        <v>153922</v>
      </c>
      <c r="AE71" s="215">
        <f t="shared" si="63"/>
        <v>153922</v>
      </c>
      <c r="AF71" s="215">
        <f t="shared" si="63"/>
        <v>153922</v>
      </c>
      <c r="AG71" s="215">
        <f t="shared" si="63"/>
        <v>153922</v>
      </c>
      <c r="AH71" s="215">
        <f t="shared" si="63"/>
        <v>154502</v>
      </c>
      <c r="AI71" s="215">
        <f t="shared" si="63"/>
        <v>154502</v>
      </c>
      <c r="AJ71" s="215">
        <f t="shared" si="63"/>
        <v>154502</v>
      </c>
      <c r="AK71" s="215">
        <f t="shared" si="63"/>
        <v>154502</v>
      </c>
      <c r="AL71" s="215">
        <f t="shared" si="63"/>
        <v>154502</v>
      </c>
      <c r="AM71" s="215">
        <f t="shared" si="63"/>
        <v>154502</v>
      </c>
    </row>
    <row r="72" spans="7:39" ht="15">
      <c r="G72" s="329"/>
      <c r="H72" s="244"/>
      <c r="I72" s="244">
        <f>I76+($H70-$H74)*I77</f>
        <v>70538</v>
      </c>
      <c r="J72" s="244">
        <f>J76+($H70-$H74)*J77</f>
        <v>4640</v>
      </c>
      <c r="K72" s="244">
        <f>K76+($H70-$H74)*K77</f>
        <v>0</v>
      </c>
      <c r="L72" s="147">
        <v>0</v>
      </c>
      <c r="M72" s="147">
        <f>M76+($H70-$H74)*M77</f>
        <v>3480</v>
      </c>
      <c r="N72" s="147">
        <f t="shared" ref="N72:W72" si="64">$H70*N73</f>
        <v>2900</v>
      </c>
      <c r="O72" s="147">
        <f t="shared" si="64"/>
        <v>2900</v>
      </c>
      <c r="P72" s="147">
        <f t="shared" si="64"/>
        <v>2900</v>
      </c>
      <c r="Q72" s="147">
        <f t="shared" si="64"/>
        <v>2900</v>
      </c>
      <c r="R72" s="147">
        <f t="shared" si="64"/>
        <v>2900</v>
      </c>
      <c r="S72" s="147">
        <f t="shared" si="64"/>
        <v>2320</v>
      </c>
      <c r="T72" s="147">
        <f t="shared" si="64"/>
        <v>2320</v>
      </c>
      <c r="U72" s="147">
        <f t="shared" si="64"/>
        <v>2320</v>
      </c>
      <c r="V72" s="147">
        <f t="shared" si="64"/>
        <v>2320</v>
      </c>
      <c r="W72" s="147">
        <f t="shared" si="64"/>
        <v>2320</v>
      </c>
      <c r="Y72" s="329"/>
      <c r="Z72" s="329"/>
      <c r="AA72" s="147">
        <f ca="1">OFFSET(AB72,0,$AB$2)</f>
        <v>75178</v>
      </c>
      <c r="AB72" s="244">
        <f t="shared" ref="AB72:AM73" si="65">$I72+$J72+$K72+L72</f>
        <v>75178</v>
      </c>
      <c r="AC72" s="147">
        <f t="shared" si="65"/>
        <v>78658</v>
      </c>
      <c r="AD72" s="147">
        <f t="shared" si="65"/>
        <v>78078</v>
      </c>
      <c r="AE72" s="147">
        <f t="shared" si="65"/>
        <v>78078</v>
      </c>
      <c r="AF72" s="147">
        <f t="shared" si="65"/>
        <v>78078</v>
      </c>
      <c r="AG72" s="147">
        <f t="shared" si="65"/>
        <v>78078</v>
      </c>
      <c r="AH72" s="147">
        <f t="shared" si="65"/>
        <v>78078</v>
      </c>
      <c r="AI72" s="147">
        <f t="shared" si="65"/>
        <v>77498</v>
      </c>
      <c r="AJ72" s="147">
        <f t="shared" si="65"/>
        <v>77498</v>
      </c>
      <c r="AK72" s="147">
        <f t="shared" si="65"/>
        <v>77498</v>
      </c>
      <c r="AL72" s="147">
        <f t="shared" si="65"/>
        <v>77498</v>
      </c>
      <c r="AM72" s="147">
        <f t="shared" si="65"/>
        <v>77498</v>
      </c>
    </row>
    <row r="73" spans="7:39" ht="16" thickBot="1">
      <c r="G73" s="330"/>
      <c r="H73" s="331"/>
      <c r="I73" s="331">
        <f>$I$2</f>
        <v>0.45</v>
      </c>
      <c r="J73" s="331">
        <v>0.02</v>
      </c>
      <c r="K73" s="331">
        <f>$K$3</f>
        <v>0</v>
      </c>
      <c r="L73" s="334">
        <v>0</v>
      </c>
      <c r="M73" s="334">
        <v>1.4999999999999999E-2</v>
      </c>
      <c r="N73" s="334">
        <v>1.2500000000000001E-2</v>
      </c>
      <c r="O73" s="334">
        <v>1.2500000000000001E-2</v>
      </c>
      <c r="P73" s="334">
        <v>1.2500000000000001E-2</v>
      </c>
      <c r="Q73" s="334">
        <v>1.2500000000000001E-2</v>
      </c>
      <c r="R73" s="334">
        <v>1.2500000000000001E-2</v>
      </c>
      <c r="S73" s="334">
        <v>0.01</v>
      </c>
      <c r="T73" s="334">
        <v>0.01</v>
      </c>
      <c r="U73" s="334">
        <v>0.01</v>
      </c>
      <c r="V73" s="334">
        <v>0.01</v>
      </c>
      <c r="W73" s="334">
        <v>0.01</v>
      </c>
      <c r="Y73" s="330"/>
      <c r="Z73" s="330"/>
      <c r="AA73" s="334">
        <f t="shared" ca="1" si="9"/>
        <v>0.47000000000000003</v>
      </c>
      <c r="AB73" s="334">
        <f t="shared" si="65"/>
        <v>0.47000000000000003</v>
      </c>
      <c r="AC73" s="334">
        <f t="shared" si="65"/>
        <v>0.48500000000000004</v>
      </c>
      <c r="AD73" s="334">
        <f t="shared" si="65"/>
        <v>0.48250000000000004</v>
      </c>
      <c r="AE73" s="334">
        <f t="shared" si="65"/>
        <v>0.48250000000000004</v>
      </c>
      <c r="AF73" s="334">
        <f t="shared" si="65"/>
        <v>0.48250000000000004</v>
      </c>
      <c r="AG73" s="334">
        <f t="shared" si="65"/>
        <v>0.48250000000000004</v>
      </c>
      <c r="AH73" s="334">
        <f t="shared" si="65"/>
        <v>0.48250000000000004</v>
      </c>
      <c r="AI73" s="334">
        <f t="shared" si="65"/>
        <v>0.48000000000000004</v>
      </c>
      <c r="AJ73" s="334">
        <f t="shared" si="65"/>
        <v>0.48000000000000004</v>
      </c>
      <c r="AK73" s="334">
        <f t="shared" si="65"/>
        <v>0.48000000000000004</v>
      </c>
      <c r="AL73" s="334">
        <f t="shared" si="65"/>
        <v>0.48000000000000004</v>
      </c>
      <c r="AM73" s="334">
        <f t="shared" si="65"/>
        <v>0.48000000000000004</v>
      </c>
    </row>
    <row r="74" spans="7:39" ht="15">
      <c r="G74" s="327"/>
      <c r="H74" s="332">
        <f>H78+1500</f>
        <v>230500</v>
      </c>
      <c r="I74" s="332"/>
      <c r="J74" s="332"/>
      <c r="K74" s="332"/>
      <c r="L74" s="333"/>
      <c r="M74" s="333"/>
      <c r="N74" s="333"/>
      <c r="O74" s="333"/>
      <c r="P74" s="333"/>
      <c r="Q74" s="333"/>
      <c r="R74" s="333"/>
      <c r="S74" s="333"/>
      <c r="T74" s="333"/>
      <c r="U74" s="333"/>
      <c r="V74" s="333"/>
      <c r="W74" s="333"/>
      <c r="Y74" s="327">
        <f>AB74</f>
        <v>230500</v>
      </c>
      <c r="Z74" s="327"/>
      <c r="AA74" s="333">
        <f t="shared" ca="1" si="9"/>
        <v>230500</v>
      </c>
      <c r="AB74" s="333">
        <f t="shared" ref="AB74:AM74" si="66">$H74</f>
        <v>230500</v>
      </c>
      <c r="AC74" s="333">
        <f t="shared" si="66"/>
        <v>230500</v>
      </c>
      <c r="AD74" s="333">
        <f t="shared" si="66"/>
        <v>230500</v>
      </c>
      <c r="AE74" s="333">
        <f t="shared" si="66"/>
        <v>230500</v>
      </c>
      <c r="AF74" s="333">
        <f t="shared" si="66"/>
        <v>230500</v>
      </c>
      <c r="AG74" s="333">
        <f t="shared" si="66"/>
        <v>230500</v>
      </c>
      <c r="AH74" s="333">
        <f t="shared" si="66"/>
        <v>230500</v>
      </c>
      <c r="AI74" s="333">
        <f t="shared" si="66"/>
        <v>230500</v>
      </c>
      <c r="AJ74" s="333">
        <f t="shared" si="66"/>
        <v>230500</v>
      </c>
      <c r="AK74" s="333">
        <f t="shared" si="66"/>
        <v>230500</v>
      </c>
      <c r="AL74" s="333">
        <f t="shared" si="66"/>
        <v>230500</v>
      </c>
      <c r="AM74" s="333">
        <f t="shared" si="66"/>
        <v>230500</v>
      </c>
    </row>
    <row r="75" spans="7:39" ht="15">
      <c r="G75" s="328"/>
      <c r="H75" s="261"/>
      <c r="I75" s="261"/>
      <c r="J75" s="261"/>
      <c r="K75" s="261"/>
      <c r="L75" s="215"/>
      <c r="M75" s="215"/>
      <c r="N75" s="215"/>
      <c r="O75" s="215"/>
      <c r="P75" s="215"/>
      <c r="Q75" s="215"/>
      <c r="R75" s="215"/>
      <c r="S75" s="215"/>
      <c r="T75" s="215"/>
      <c r="U75" s="215"/>
      <c r="V75" s="215"/>
      <c r="W75" s="215"/>
      <c r="Y75" s="328"/>
      <c r="Z75" s="328">
        <f ca="1">OFFSET(AB75,0,$AB$2)</f>
        <v>156027</v>
      </c>
      <c r="AA75" s="215">
        <f t="shared" ca="1" si="9"/>
        <v>156027</v>
      </c>
      <c r="AB75" s="215">
        <f>AB74-(AB80+(AB74-AB78)*AB81)</f>
        <v>156027</v>
      </c>
      <c r="AC75" s="215">
        <f t="shared" ref="AC75:AM75" si="67">AC74-(AC80+(AC74-AC78)*AC81)</f>
        <v>152569.5</v>
      </c>
      <c r="AD75" s="215">
        <f t="shared" si="67"/>
        <v>153145.75</v>
      </c>
      <c r="AE75" s="215">
        <f t="shared" si="67"/>
        <v>153145.75</v>
      </c>
      <c r="AF75" s="215">
        <f t="shared" si="67"/>
        <v>153145.75</v>
      </c>
      <c r="AG75" s="215">
        <f t="shared" si="67"/>
        <v>153722</v>
      </c>
      <c r="AH75" s="215">
        <f t="shared" si="67"/>
        <v>153722</v>
      </c>
      <c r="AI75" s="215">
        <f t="shared" si="67"/>
        <v>153722</v>
      </c>
      <c r="AJ75" s="215">
        <f t="shared" si="67"/>
        <v>153722</v>
      </c>
      <c r="AK75" s="215">
        <f t="shared" si="67"/>
        <v>153722</v>
      </c>
      <c r="AL75" s="215">
        <f t="shared" si="67"/>
        <v>153722</v>
      </c>
      <c r="AM75" s="215">
        <f t="shared" si="67"/>
        <v>153722</v>
      </c>
    </row>
    <row r="76" spans="7:39" ht="15">
      <c r="G76" s="329"/>
      <c r="H76" s="244"/>
      <c r="I76" s="244">
        <f>I80+($H74-$H78)*I81</f>
        <v>69863</v>
      </c>
      <c r="J76" s="244">
        <f>J80+($H74-$H78)*J81</f>
        <v>4610</v>
      </c>
      <c r="K76" s="244">
        <f>K80+($H74-$H78)*K81</f>
        <v>0</v>
      </c>
      <c r="L76" s="147">
        <v>0</v>
      </c>
      <c r="M76" s="147">
        <f>M80+($H74-$H78)*M81</f>
        <v>3457.5</v>
      </c>
      <c r="N76" s="147">
        <f t="shared" ref="N76:V76" si="68">$H74*N77</f>
        <v>2881.25</v>
      </c>
      <c r="O76" s="147">
        <f t="shared" si="68"/>
        <v>2881.25</v>
      </c>
      <c r="P76" s="147">
        <f t="shared" si="68"/>
        <v>2881.25</v>
      </c>
      <c r="Q76" s="147">
        <f t="shared" si="68"/>
        <v>2881.25</v>
      </c>
      <c r="R76" s="147">
        <f t="shared" si="68"/>
        <v>2305</v>
      </c>
      <c r="S76" s="147">
        <f t="shared" si="68"/>
        <v>2305</v>
      </c>
      <c r="T76" s="147">
        <f t="shared" si="68"/>
        <v>2305</v>
      </c>
      <c r="U76" s="147">
        <f t="shared" si="68"/>
        <v>2305</v>
      </c>
      <c r="V76" s="147">
        <f t="shared" si="68"/>
        <v>2305</v>
      </c>
      <c r="W76" s="147">
        <f>$H74*W77</f>
        <v>2305</v>
      </c>
      <c r="Y76" s="329"/>
      <c r="Z76" s="329"/>
      <c r="AA76" s="147">
        <f t="shared" ca="1" si="9"/>
        <v>74473</v>
      </c>
      <c r="AB76" s="147">
        <f t="shared" ref="AB76:AM77" si="69">$I76+$J76+$K76+L76</f>
        <v>74473</v>
      </c>
      <c r="AC76" s="147">
        <f t="shared" si="69"/>
        <v>77930.5</v>
      </c>
      <c r="AD76" s="147">
        <f t="shared" si="69"/>
        <v>77354.25</v>
      </c>
      <c r="AE76" s="147">
        <f t="shared" si="69"/>
        <v>77354.25</v>
      </c>
      <c r="AF76" s="147">
        <f t="shared" si="69"/>
        <v>77354.25</v>
      </c>
      <c r="AG76" s="147">
        <f t="shared" si="69"/>
        <v>77354.25</v>
      </c>
      <c r="AH76" s="147">
        <f t="shared" si="69"/>
        <v>76778</v>
      </c>
      <c r="AI76" s="147">
        <f t="shared" si="69"/>
        <v>76778</v>
      </c>
      <c r="AJ76" s="147">
        <f t="shared" si="69"/>
        <v>76778</v>
      </c>
      <c r="AK76" s="147">
        <f t="shared" si="69"/>
        <v>76778</v>
      </c>
      <c r="AL76" s="147">
        <f t="shared" si="69"/>
        <v>76778</v>
      </c>
      <c r="AM76" s="147">
        <f t="shared" si="69"/>
        <v>76778</v>
      </c>
    </row>
    <row r="77" spans="7:39" ht="16" thickBot="1">
      <c r="G77" s="330"/>
      <c r="H77" s="331"/>
      <c r="I77" s="331">
        <f>$I$2</f>
        <v>0.45</v>
      </c>
      <c r="J77" s="331">
        <v>0.02</v>
      </c>
      <c r="K77" s="331">
        <f>$K$3</f>
        <v>0</v>
      </c>
      <c r="L77" s="334">
        <v>0</v>
      </c>
      <c r="M77" s="334">
        <v>1.4999999999999999E-2</v>
      </c>
      <c r="N77" s="334">
        <v>1.2500000000000001E-2</v>
      </c>
      <c r="O77" s="334">
        <v>1.2500000000000001E-2</v>
      </c>
      <c r="P77" s="334">
        <v>1.2500000000000001E-2</v>
      </c>
      <c r="Q77" s="334">
        <v>1.2500000000000001E-2</v>
      </c>
      <c r="R77" s="334">
        <v>0.01</v>
      </c>
      <c r="S77" s="334">
        <v>0.01</v>
      </c>
      <c r="T77" s="334">
        <v>0.01</v>
      </c>
      <c r="U77" s="334">
        <v>0.01</v>
      </c>
      <c r="V77" s="334">
        <v>0.01</v>
      </c>
      <c r="W77" s="334">
        <v>0.01</v>
      </c>
      <c r="Y77" s="330"/>
      <c r="Z77" s="330"/>
      <c r="AA77" s="334">
        <f t="shared" ca="1" si="9"/>
        <v>0.47000000000000003</v>
      </c>
      <c r="AB77" s="334">
        <f t="shared" si="69"/>
        <v>0.47000000000000003</v>
      </c>
      <c r="AC77" s="334">
        <f t="shared" si="69"/>
        <v>0.48500000000000004</v>
      </c>
      <c r="AD77" s="334">
        <f t="shared" si="69"/>
        <v>0.48250000000000004</v>
      </c>
      <c r="AE77" s="334">
        <f t="shared" si="69"/>
        <v>0.48250000000000004</v>
      </c>
      <c r="AF77" s="334">
        <f t="shared" si="69"/>
        <v>0.48250000000000004</v>
      </c>
      <c r="AG77" s="334">
        <f t="shared" si="69"/>
        <v>0.48250000000000004</v>
      </c>
      <c r="AH77" s="334">
        <f t="shared" si="69"/>
        <v>0.48000000000000004</v>
      </c>
      <c r="AI77" s="334">
        <f t="shared" si="69"/>
        <v>0.48000000000000004</v>
      </c>
      <c r="AJ77" s="334">
        <f t="shared" si="69"/>
        <v>0.48000000000000004</v>
      </c>
      <c r="AK77" s="334">
        <f t="shared" si="69"/>
        <v>0.48000000000000004</v>
      </c>
      <c r="AL77" s="334">
        <f t="shared" si="69"/>
        <v>0.48000000000000004</v>
      </c>
      <c r="AM77" s="334">
        <f t="shared" si="69"/>
        <v>0.48000000000000004</v>
      </c>
    </row>
    <row r="78" spans="7:39" ht="15">
      <c r="G78" s="327"/>
      <c r="H78" s="332">
        <f>H82+1500</f>
        <v>229000</v>
      </c>
      <c r="I78" s="332"/>
      <c r="J78" s="332"/>
      <c r="K78" s="332"/>
      <c r="L78" s="333"/>
      <c r="M78" s="333"/>
      <c r="N78" s="333"/>
      <c r="O78" s="333"/>
      <c r="P78" s="333"/>
      <c r="Q78" s="333"/>
      <c r="R78" s="333"/>
      <c r="S78" s="333"/>
      <c r="T78" s="333"/>
      <c r="U78" s="333"/>
      <c r="V78" s="333"/>
      <c r="W78" s="333"/>
      <c r="Y78" s="327">
        <f>AB78</f>
        <v>229000</v>
      </c>
      <c r="Z78" s="327"/>
      <c r="AA78" s="333">
        <f t="shared" ca="1" si="9"/>
        <v>229000</v>
      </c>
      <c r="AB78" s="333">
        <f t="shared" ref="AB78:AM78" si="70">$H78</f>
        <v>229000</v>
      </c>
      <c r="AC78" s="333">
        <f t="shared" si="70"/>
        <v>229000</v>
      </c>
      <c r="AD78" s="333">
        <f t="shared" si="70"/>
        <v>229000</v>
      </c>
      <c r="AE78" s="333">
        <f t="shared" si="70"/>
        <v>229000</v>
      </c>
      <c r="AF78" s="333">
        <f t="shared" si="70"/>
        <v>229000</v>
      </c>
      <c r="AG78" s="333">
        <f t="shared" si="70"/>
        <v>229000</v>
      </c>
      <c r="AH78" s="333">
        <f t="shared" si="70"/>
        <v>229000</v>
      </c>
      <c r="AI78" s="333">
        <f t="shared" si="70"/>
        <v>229000</v>
      </c>
      <c r="AJ78" s="333">
        <f t="shared" si="70"/>
        <v>229000</v>
      </c>
      <c r="AK78" s="333">
        <f t="shared" si="70"/>
        <v>229000</v>
      </c>
      <c r="AL78" s="333">
        <f t="shared" si="70"/>
        <v>229000</v>
      </c>
      <c r="AM78" s="333">
        <f t="shared" si="70"/>
        <v>229000</v>
      </c>
    </row>
    <row r="79" spans="7:39" ht="15">
      <c r="G79" s="328"/>
      <c r="H79" s="261"/>
      <c r="I79" s="261"/>
      <c r="J79" s="261"/>
      <c r="K79" s="261"/>
      <c r="L79" s="215"/>
      <c r="M79" s="215"/>
      <c r="N79" s="215"/>
      <c r="O79" s="215"/>
      <c r="P79" s="215"/>
      <c r="Q79" s="215"/>
      <c r="R79" s="215"/>
      <c r="S79" s="215"/>
      <c r="T79" s="215"/>
      <c r="U79" s="215"/>
      <c r="V79" s="215"/>
      <c r="W79" s="215"/>
      <c r="Y79" s="328"/>
      <c r="Z79" s="328">
        <f ca="1">OFFSET(AB79,0,$AB$2)</f>
        <v>155232</v>
      </c>
      <c r="AA79" s="215">
        <f t="shared" ca="1" si="9"/>
        <v>155232</v>
      </c>
      <c r="AB79" s="215">
        <f>AB78-(AB84+(AB78-AB82)*AB85)</f>
        <v>155232</v>
      </c>
      <c r="AC79" s="215">
        <f t="shared" ref="AC79:AM79" si="71">AC78-(AC84+(AC78-AC82)*AC85)</f>
        <v>151797</v>
      </c>
      <c r="AD79" s="215">
        <f t="shared" si="71"/>
        <v>152369.5</v>
      </c>
      <c r="AE79" s="215">
        <f t="shared" si="71"/>
        <v>152369.5</v>
      </c>
      <c r="AF79" s="215">
        <f t="shared" si="71"/>
        <v>152942</v>
      </c>
      <c r="AG79" s="215">
        <f t="shared" si="71"/>
        <v>152942</v>
      </c>
      <c r="AH79" s="215">
        <f t="shared" si="71"/>
        <v>152942</v>
      </c>
      <c r="AI79" s="215">
        <f t="shared" si="71"/>
        <v>152942</v>
      </c>
      <c r="AJ79" s="215">
        <f t="shared" si="71"/>
        <v>152942</v>
      </c>
      <c r="AK79" s="215">
        <f t="shared" si="71"/>
        <v>152942</v>
      </c>
      <c r="AL79" s="215">
        <f t="shared" si="71"/>
        <v>152942</v>
      </c>
      <c r="AM79" s="215">
        <f t="shared" si="71"/>
        <v>152942</v>
      </c>
    </row>
    <row r="80" spans="7:39" ht="15">
      <c r="G80" s="329"/>
      <c r="H80" s="244"/>
      <c r="I80" s="244">
        <f>I84+($H78-$H82)*I85</f>
        <v>69188</v>
      </c>
      <c r="J80" s="244">
        <f>J84+($H78-$H82)*J85</f>
        <v>4580</v>
      </c>
      <c r="K80" s="244">
        <f>K84+($H78-$H82)*K85</f>
        <v>0</v>
      </c>
      <c r="L80" s="147">
        <v>0</v>
      </c>
      <c r="M80" s="147">
        <f>M84+($H78-$H82)*M85</f>
        <v>3435</v>
      </c>
      <c r="N80" s="147">
        <f t="shared" ref="N80:U80" si="72">$H78*N81</f>
        <v>2862.5</v>
      </c>
      <c r="O80" s="147">
        <f t="shared" si="72"/>
        <v>2862.5</v>
      </c>
      <c r="P80" s="147">
        <f t="shared" si="72"/>
        <v>2862.5</v>
      </c>
      <c r="Q80" s="147">
        <f t="shared" si="72"/>
        <v>2290</v>
      </c>
      <c r="R80" s="147">
        <f t="shared" si="72"/>
        <v>2290</v>
      </c>
      <c r="S80" s="147">
        <f t="shared" si="72"/>
        <v>2290</v>
      </c>
      <c r="T80" s="147">
        <f t="shared" si="72"/>
        <v>2290</v>
      </c>
      <c r="U80" s="147">
        <f t="shared" si="72"/>
        <v>2290</v>
      </c>
      <c r="V80" s="147">
        <f>$H78*V81</f>
        <v>2290</v>
      </c>
      <c r="W80" s="147">
        <f>$H78*W81</f>
        <v>2290</v>
      </c>
      <c r="Y80" s="329"/>
      <c r="Z80" s="329"/>
      <c r="AA80" s="147">
        <f t="shared" ca="1" si="9"/>
        <v>73768</v>
      </c>
      <c r="AB80" s="147">
        <f t="shared" ref="AB80:AM81" si="73">$I80+$J80+$K80+L80</f>
        <v>73768</v>
      </c>
      <c r="AC80" s="147">
        <f t="shared" si="73"/>
        <v>77203</v>
      </c>
      <c r="AD80" s="147">
        <f t="shared" si="73"/>
        <v>76630.5</v>
      </c>
      <c r="AE80" s="147">
        <f t="shared" si="73"/>
        <v>76630.5</v>
      </c>
      <c r="AF80" s="147">
        <f t="shared" si="73"/>
        <v>76630.5</v>
      </c>
      <c r="AG80" s="147">
        <f t="shared" si="73"/>
        <v>76058</v>
      </c>
      <c r="AH80" s="147">
        <f t="shared" si="73"/>
        <v>76058</v>
      </c>
      <c r="AI80" s="147">
        <f t="shared" si="73"/>
        <v>76058</v>
      </c>
      <c r="AJ80" s="147">
        <f t="shared" si="73"/>
        <v>76058</v>
      </c>
      <c r="AK80" s="147">
        <f t="shared" si="73"/>
        <v>76058</v>
      </c>
      <c r="AL80" s="147">
        <f t="shared" si="73"/>
        <v>76058</v>
      </c>
      <c r="AM80" s="147">
        <f t="shared" si="73"/>
        <v>76058</v>
      </c>
    </row>
    <row r="81" spans="7:39" ht="16" thickBot="1">
      <c r="G81" s="330"/>
      <c r="H81" s="331"/>
      <c r="I81" s="331">
        <f>$I$2</f>
        <v>0.45</v>
      </c>
      <c r="J81" s="331">
        <v>0.02</v>
      </c>
      <c r="K81" s="331">
        <f>$K$3</f>
        <v>0</v>
      </c>
      <c r="L81" s="334">
        <v>0</v>
      </c>
      <c r="M81" s="334">
        <v>1.4999999999999999E-2</v>
      </c>
      <c r="N81" s="334">
        <v>1.2500000000000001E-2</v>
      </c>
      <c r="O81" s="334">
        <v>1.2500000000000001E-2</v>
      </c>
      <c r="P81" s="334">
        <v>1.2500000000000001E-2</v>
      </c>
      <c r="Q81" s="334">
        <v>0.01</v>
      </c>
      <c r="R81" s="334">
        <v>0.01</v>
      </c>
      <c r="S81" s="334">
        <v>0.01</v>
      </c>
      <c r="T81" s="334">
        <v>0.01</v>
      </c>
      <c r="U81" s="334">
        <v>0.01</v>
      </c>
      <c r="V81" s="334">
        <v>0.01</v>
      </c>
      <c r="W81" s="334">
        <v>0.01</v>
      </c>
      <c r="Y81" s="330"/>
      <c r="Z81" s="330"/>
      <c r="AA81" s="334">
        <f ca="1">OFFSET(AB81,0,$AB$2)</f>
        <v>0.47000000000000003</v>
      </c>
      <c r="AB81" s="334">
        <f t="shared" si="73"/>
        <v>0.47000000000000003</v>
      </c>
      <c r="AC81" s="334">
        <f t="shared" si="73"/>
        <v>0.48500000000000004</v>
      </c>
      <c r="AD81" s="334">
        <f t="shared" si="73"/>
        <v>0.48250000000000004</v>
      </c>
      <c r="AE81" s="334">
        <f t="shared" si="73"/>
        <v>0.48250000000000004</v>
      </c>
      <c r="AF81" s="334">
        <f t="shared" si="73"/>
        <v>0.48250000000000004</v>
      </c>
      <c r="AG81" s="334">
        <f t="shared" si="73"/>
        <v>0.48000000000000004</v>
      </c>
      <c r="AH81" s="334">
        <f t="shared" si="73"/>
        <v>0.48000000000000004</v>
      </c>
      <c r="AI81" s="334">
        <f t="shared" si="73"/>
        <v>0.48000000000000004</v>
      </c>
      <c r="AJ81" s="334">
        <f t="shared" si="73"/>
        <v>0.48000000000000004</v>
      </c>
      <c r="AK81" s="334">
        <f t="shared" si="73"/>
        <v>0.48000000000000004</v>
      </c>
      <c r="AL81" s="334">
        <f t="shared" si="73"/>
        <v>0.48000000000000004</v>
      </c>
      <c r="AM81" s="334">
        <f t="shared" si="73"/>
        <v>0.48000000000000004</v>
      </c>
    </row>
    <row r="82" spans="7:39" ht="15">
      <c r="G82" s="327"/>
      <c r="H82" s="332">
        <f>H86+1500</f>
        <v>227500</v>
      </c>
      <c r="I82" s="332"/>
      <c r="J82" s="332"/>
      <c r="K82" s="332"/>
      <c r="L82" s="333"/>
      <c r="M82" s="333"/>
      <c r="N82" s="333"/>
      <c r="O82" s="333"/>
      <c r="P82" s="333"/>
      <c r="Q82" s="333"/>
      <c r="R82" s="333"/>
      <c r="S82" s="333"/>
      <c r="T82" s="333"/>
      <c r="U82" s="333"/>
      <c r="V82" s="333"/>
      <c r="W82" s="333"/>
      <c r="Y82" s="327">
        <f>AB82</f>
        <v>227500</v>
      </c>
      <c r="Z82" s="327"/>
      <c r="AA82" s="333">
        <f t="shared" ref="AA82:AA145" ca="1" si="74">OFFSET(AB82,0,$AB$2)</f>
        <v>227500</v>
      </c>
      <c r="AB82" s="333">
        <f t="shared" ref="AB82:AM82" si="75">$H82</f>
        <v>227500</v>
      </c>
      <c r="AC82" s="333">
        <f t="shared" si="75"/>
        <v>227500</v>
      </c>
      <c r="AD82" s="333">
        <f t="shared" si="75"/>
        <v>227500</v>
      </c>
      <c r="AE82" s="333">
        <f t="shared" si="75"/>
        <v>227500</v>
      </c>
      <c r="AF82" s="333">
        <f t="shared" si="75"/>
        <v>227500</v>
      </c>
      <c r="AG82" s="333">
        <f t="shared" si="75"/>
        <v>227500</v>
      </c>
      <c r="AH82" s="333">
        <f t="shared" si="75"/>
        <v>227500</v>
      </c>
      <c r="AI82" s="333">
        <f t="shared" si="75"/>
        <v>227500</v>
      </c>
      <c r="AJ82" s="333">
        <f t="shared" si="75"/>
        <v>227500</v>
      </c>
      <c r="AK82" s="333">
        <f t="shared" si="75"/>
        <v>227500</v>
      </c>
      <c r="AL82" s="333">
        <f t="shared" si="75"/>
        <v>227500</v>
      </c>
      <c r="AM82" s="333">
        <f t="shared" si="75"/>
        <v>227500</v>
      </c>
    </row>
    <row r="83" spans="7:39" ht="15">
      <c r="G83" s="328"/>
      <c r="H83" s="261"/>
      <c r="I83" s="261"/>
      <c r="J83" s="261"/>
      <c r="K83" s="261"/>
      <c r="L83" s="215"/>
      <c r="M83" s="215"/>
      <c r="N83" s="215"/>
      <c r="O83" s="215"/>
      <c r="P83" s="215"/>
      <c r="Q83" s="215"/>
      <c r="R83" s="215"/>
      <c r="S83" s="215"/>
      <c r="T83" s="215"/>
      <c r="U83" s="215"/>
      <c r="V83" s="215"/>
      <c r="W83" s="215"/>
      <c r="Y83" s="328"/>
      <c r="Z83" s="328">
        <f ca="1">OFFSET(AB83,0,$AB$2)</f>
        <v>154437</v>
      </c>
      <c r="AA83" s="215">
        <f t="shared" ca="1" si="74"/>
        <v>154437</v>
      </c>
      <c r="AB83" s="215">
        <f>AB82-(AB88+(AB82-AB86)*AB89)</f>
        <v>154437</v>
      </c>
      <c r="AC83" s="215">
        <f t="shared" ref="AC83:AM83" si="76">AC82-(AC88+(AC82-AC86)*AC89)</f>
        <v>151024.5</v>
      </c>
      <c r="AD83" s="215">
        <f t="shared" si="76"/>
        <v>151593.25</v>
      </c>
      <c r="AE83" s="215">
        <f t="shared" si="76"/>
        <v>152162</v>
      </c>
      <c r="AF83" s="215">
        <f t="shared" si="76"/>
        <v>152162</v>
      </c>
      <c r="AG83" s="215">
        <f t="shared" si="76"/>
        <v>152162</v>
      </c>
      <c r="AH83" s="215">
        <f t="shared" si="76"/>
        <v>152162</v>
      </c>
      <c r="AI83" s="215">
        <f t="shared" si="76"/>
        <v>152162</v>
      </c>
      <c r="AJ83" s="215">
        <f t="shared" si="76"/>
        <v>152162</v>
      </c>
      <c r="AK83" s="215">
        <f t="shared" si="76"/>
        <v>152162</v>
      </c>
      <c r="AL83" s="215">
        <f t="shared" si="76"/>
        <v>152162</v>
      </c>
      <c r="AM83" s="215">
        <f t="shared" si="76"/>
        <v>152162</v>
      </c>
    </row>
    <row r="84" spans="7:39" ht="15">
      <c r="G84" s="329"/>
      <c r="H84" s="244"/>
      <c r="I84" s="244">
        <f>I88+($H82-$H86)*I89</f>
        <v>68513</v>
      </c>
      <c r="J84" s="244">
        <f>J88+($H82-$H86)*J89</f>
        <v>4550</v>
      </c>
      <c r="K84" s="244">
        <f>K88+($H82-$H86)*K89</f>
        <v>0</v>
      </c>
      <c r="L84" s="147">
        <v>0</v>
      </c>
      <c r="M84" s="147">
        <f>M88+($H82-$H86)*M89</f>
        <v>3412.5</v>
      </c>
      <c r="N84" s="147">
        <f t="shared" ref="N84:T84" si="77">$H82*N85</f>
        <v>2843.75</v>
      </c>
      <c r="O84" s="147">
        <f t="shared" si="77"/>
        <v>2843.75</v>
      </c>
      <c r="P84" s="147">
        <f t="shared" si="77"/>
        <v>2275</v>
      </c>
      <c r="Q84" s="147">
        <f t="shared" si="77"/>
        <v>2275</v>
      </c>
      <c r="R84" s="147">
        <f t="shared" si="77"/>
        <v>2275</v>
      </c>
      <c r="S84" s="147">
        <f t="shared" si="77"/>
        <v>2275</v>
      </c>
      <c r="T84" s="147">
        <f t="shared" si="77"/>
        <v>2275</v>
      </c>
      <c r="U84" s="147">
        <f>$H82*U85</f>
        <v>2275</v>
      </c>
      <c r="V84" s="147">
        <f>$H82*V85</f>
        <v>2275</v>
      </c>
      <c r="W84" s="147">
        <f>$H82*W85</f>
        <v>2275</v>
      </c>
      <c r="Y84" s="329"/>
      <c r="Z84" s="329"/>
      <c r="AA84" s="147">
        <f t="shared" ca="1" si="74"/>
        <v>73063</v>
      </c>
      <c r="AB84" s="147">
        <f t="shared" ref="AB84:AM85" si="78">$I84+$J84+$K84+L84</f>
        <v>73063</v>
      </c>
      <c r="AC84" s="147">
        <f t="shared" si="78"/>
        <v>76475.5</v>
      </c>
      <c r="AD84" s="147">
        <f t="shared" si="78"/>
        <v>75906.75</v>
      </c>
      <c r="AE84" s="147">
        <f t="shared" si="78"/>
        <v>75906.75</v>
      </c>
      <c r="AF84" s="147">
        <f t="shared" si="78"/>
        <v>75338</v>
      </c>
      <c r="AG84" s="147">
        <f t="shared" si="78"/>
        <v>75338</v>
      </c>
      <c r="AH84" s="147">
        <f t="shared" si="78"/>
        <v>75338</v>
      </c>
      <c r="AI84" s="147">
        <f t="shared" si="78"/>
        <v>75338</v>
      </c>
      <c r="AJ84" s="147">
        <f t="shared" si="78"/>
        <v>75338</v>
      </c>
      <c r="AK84" s="147">
        <f t="shared" si="78"/>
        <v>75338</v>
      </c>
      <c r="AL84" s="147">
        <f t="shared" si="78"/>
        <v>75338</v>
      </c>
      <c r="AM84" s="147">
        <f t="shared" si="78"/>
        <v>75338</v>
      </c>
    </row>
    <row r="85" spans="7:39" ht="16" thickBot="1">
      <c r="G85" s="330"/>
      <c r="H85" s="331"/>
      <c r="I85" s="331">
        <f>$I$2</f>
        <v>0.45</v>
      </c>
      <c r="J85" s="331">
        <v>0.02</v>
      </c>
      <c r="K85" s="331">
        <f>$K$3</f>
        <v>0</v>
      </c>
      <c r="L85" s="334">
        <v>0</v>
      </c>
      <c r="M85" s="334">
        <v>1.4999999999999999E-2</v>
      </c>
      <c r="N85" s="334">
        <v>1.2500000000000001E-2</v>
      </c>
      <c r="O85" s="334">
        <v>1.2500000000000001E-2</v>
      </c>
      <c r="P85" s="334">
        <v>0.01</v>
      </c>
      <c r="Q85" s="334">
        <v>0.01</v>
      </c>
      <c r="R85" s="334">
        <v>0.01</v>
      </c>
      <c r="S85" s="334">
        <v>0.01</v>
      </c>
      <c r="T85" s="334">
        <v>0.01</v>
      </c>
      <c r="U85" s="334">
        <v>0.01</v>
      </c>
      <c r="V85" s="334">
        <v>0.01</v>
      </c>
      <c r="W85" s="334">
        <v>0.01</v>
      </c>
      <c r="Y85" s="330"/>
      <c r="Z85" s="330"/>
      <c r="AA85" s="334">
        <f t="shared" ca="1" si="74"/>
        <v>0.47000000000000003</v>
      </c>
      <c r="AB85" s="334">
        <f t="shared" si="78"/>
        <v>0.47000000000000003</v>
      </c>
      <c r="AC85" s="334">
        <f t="shared" si="78"/>
        <v>0.48500000000000004</v>
      </c>
      <c r="AD85" s="334">
        <f t="shared" si="78"/>
        <v>0.48250000000000004</v>
      </c>
      <c r="AE85" s="334">
        <f t="shared" si="78"/>
        <v>0.48250000000000004</v>
      </c>
      <c r="AF85" s="334">
        <f t="shared" si="78"/>
        <v>0.48000000000000004</v>
      </c>
      <c r="AG85" s="334">
        <f t="shared" si="78"/>
        <v>0.48000000000000004</v>
      </c>
      <c r="AH85" s="334">
        <f t="shared" si="78"/>
        <v>0.48000000000000004</v>
      </c>
      <c r="AI85" s="334">
        <f t="shared" si="78"/>
        <v>0.48000000000000004</v>
      </c>
      <c r="AJ85" s="334">
        <f t="shared" si="78"/>
        <v>0.48000000000000004</v>
      </c>
      <c r="AK85" s="334">
        <f t="shared" si="78"/>
        <v>0.48000000000000004</v>
      </c>
      <c r="AL85" s="334">
        <f t="shared" si="78"/>
        <v>0.48000000000000004</v>
      </c>
      <c r="AM85" s="334">
        <f t="shared" si="78"/>
        <v>0.48000000000000004</v>
      </c>
    </row>
    <row r="86" spans="7:39" ht="15">
      <c r="G86" s="327"/>
      <c r="H86" s="332">
        <v>226000</v>
      </c>
      <c r="I86" s="332"/>
      <c r="J86" s="332"/>
      <c r="K86" s="332"/>
      <c r="L86" s="333"/>
      <c r="M86" s="333"/>
      <c r="N86" s="333"/>
      <c r="O86" s="333"/>
      <c r="P86" s="333"/>
      <c r="Q86" s="333"/>
      <c r="R86" s="333"/>
      <c r="S86" s="333"/>
      <c r="T86" s="333"/>
      <c r="U86" s="333"/>
      <c r="V86" s="333"/>
      <c r="W86" s="333"/>
      <c r="Y86" s="327">
        <f>AB86</f>
        <v>226000</v>
      </c>
      <c r="Z86" s="327"/>
      <c r="AA86" s="333">
        <f t="shared" ca="1" si="74"/>
        <v>226000</v>
      </c>
      <c r="AB86" s="333">
        <f t="shared" ref="AB86:AM86" si="79">$H86</f>
        <v>226000</v>
      </c>
      <c r="AC86" s="333">
        <f t="shared" si="79"/>
        <v>226000</v>
      </c>
      <c r="AD86" s="333">
        <f t="shared" si="79"/>
        <v>226000</v>
      </c>
      <c r="AE86" s="333">
        <f t="shared" si="79"/>
        <v>226000</v>
      </c>
      <c r="AF86" s="333">
        <f t="shared" si="79"/>
        <v>226000</v>
      </c>
      <c r="AG86" s="333">
        <f t="shared" si="79"/>
        <v>226000</v>
      </c>
      <c r="AH86" s="333">
        <f t="shared" si="79"/>
        <v>226000</v>
      </c>
      <c r="AI86" s="333">
        <f t="shared" si="79"/>
        <v>226000</v>
      </c>
      <c r="AJ86" s="333">
        <f t="shared" si="79"/>
        <v>226000</v>
      </c>
      <c r="AK86" s="333">
        <f t="shared" si="79"/>
        <v>226000</v>
      </c>
      <c r="AL86" s="333">
        <f t="shared" si="79"/>
        <v>226000</v>
      </c>
      <c r="AM86" s="333">
        <f t="shared" si="79"/>
        <v>226000</v>
      </c>
    </row>
    <row r="87" spans="7:39" ht="15">
      <c r="G87" s="328"/>
      <c r="H87" s="261"/>
      <c r="I87" s="261"/>
      <c r="J87" s="261"/>
      <c r="K87" s="261"/>
      <c r="L87" s="215"/>
      <c r="M87" s="215"/>
      <c r="N87" s="215"/>
      <c r="O87" s="215"/>
      <c r="P87" s="215"/>
      <c r="Q87" s="215"/>
      <c r="R87" s="215"/>
      <c r="S87" s="215"/>
      <c r="T87" s="215"/>
      <c r="U87" s="215"/>
      <c r="V87" s="215"/>
      <c r="W87" s="215"/>
      <c r="Y87" s="328"/>
      <c r="Z87" s="328">
        <f ca="1">OFFSET(AB87,0,$AB$2)</f>
        <v>153642</v>
      </c>
      <c r="AA87" s="215">
        <f t="shared" ca="1" si="74"/>
        <v>153642</v>
      </c>
      <c r="AB87" s="215">
        <f>AB86-(AB92+(AB86-AB90)*AB93)</f>
        <v>153642</v>
      </c>
      <c r="AC87" s="215">
        <f t="shared" ref="AC87:AM87" si="80">AC86-(AC92+(AC86-AC90)*AC93)</f>
        <v>150252</v>
      </c>
      <c r="AD87" s="215">
        <f t="shared" si="80"/>
        <v>151382</v>
      </c>
      <c r="AE87" s="215">
        <f t="shared" si="80"/>
        <v>151382</v>
      </c>
      <c r="AF87" s="215">
        <f t="shared" si="80"/>
        <v>151382</v>
      </c>
      <c r="AG87" s="215">
        <f t="shared" si="80"/>
        <v>151382</v>
      </c>
      <c r="AH87" s="215">
        <f t="shared" si="80"/>
        <v>151382</v>
      </c>
      <c r="AI87" s="215">
        <f t="shared" si="80"/>
        <v>151382</v>
      </c>
      <c r="AJ87" s="215">
        <f t="shared" si="80"/>
        <v>151382</v>
      </c>
      <c r="AK87" s="215">
        <f t="shared" si="80"/>
        <v>151382</v>
      </c>
      <c r="AL87" s="215">
        <f t="shared" si="80"/>
        <v>151382</v>
      </c>
      <c r="AM87" s="215">
        <f t="shared" si="80"/>
        <v>151382</v>
      </c>
    </row>
    <row r="88" spans="7:39" ht="15">
      <c r="G88" s="329"/>
      <c r="H88" s="244"/>
      <c r="I88" s="244">
        <f>I92+($H86-$H90)*I93</f>
        <v>67838</v>
      </c>
      <c r="J88" s="244">
        <f>J92+($H86-$H90)*J93</f>
        <v>4520</v>
      </c>
      <c r="K88" s="244">
        <f>K92+($H86-$H90)*K93</f>
        <v>0</v>
      </c>
      <c r="L88" s="147">
        <v>0</v>
      </c>
      <c r="M88" s="147">
        <f>M92+($H86-$H90)*M93</f>
        <v>3390</v>
      </c>
      <c r="N88" s="147">
        <f t="shared" ref="N88:S88" si="81">$H86*N89</f>
        <v>2825</v>
      </c>
      <c r="O88" s="147">
        <f t="shared" si="81"/>
        <v>2260</v>
      </c>
      <c r="P88" s="147">
        <f t="shared" si="81"/>
        <v>2260</v>
      </c>
      <c r="Q88" s="147">
        <f t="shared" si="81"/>
        <v>2260</v>
      </c>
      <c r="R88" s="147">
        <f t="shared" si="81"/>
        <v>2260</v>
      </c>
      <c r="S88" s="147">
        <f t="shared" si="81"/>
        <v>2260</v>
      </c>
      <c r="T88" s="147">
        <f>$H86*T89</f>
        <v>2260</v>
      </c>
      <c r="U88" s="147">
        <f>$H86*U89</f>
        <v>2260</v>
      </c>
      <c r="V88" s="147">
        <f>$H86*V89</f>
        <v>2260</v>
      </c>
      <c r="W88" s="147">
        <f>$H86*W89</f>
        <v>2260</v>
      </c>
      <c r="Y88" s="329"/>
      <c r="Z88" s="329"/>
      <c r="AA88" s="147">
        <f t="shared" ca="1" si="74"/>
        <v>72358</v>
      </c>
      <c r="AB88" s="147">
        <f t="shared" ref="AB88:AM89" si="82">$I88+$J88+$K88+L88</f>
        <v>72358</v>
      </c>
      <c r="AC88" s="147">
        <f t="shared" si="82"/>
        <v>75748</v>
      </c>
      <c r="AD88" s="147">
        <f t="shared" si="82"/>
        <v>75183</v>
      </c>
      <c r="AE88" s="147">
        <f t="shared" si="82"/>
        <v>74618</v>
      </c>
      <c r="AF88" s="147">
        <f t="shared" si="82"/>
        <v>74618</v>
      </c>
      <c r="AG88" s="147">
        <f t="shared" si="82"/>
        <v>74618</v>
      </c>
      <c r="AH88" s="147">
        <f t="shared" si="82"/>
        <v>74618</v>
      </c>
      <c r="AI88" s="147">
        <f t="shared" si="82"/>
        <v>74618</v>
      </c>
      <c r="AJ88" s="147">
        <f t="shared" si="82"/>
        <v>74618</v>
      </c>
      <c r="AK88" s="147">
        <f t="shared" si="82"/>
        <v>74618</v>
      </c>
      <c r="AL88" s="147">
        <f t="shared" si="82"/>
        <v>74618</v>
      </c>
      <c r="AM88" s="147">
        <f t="shared" si="82"/>
        <v>74618</v>
      </c>
    </row>
    <row r="89" spans="7:39" ht="16" thickBot="1">
      <c r="G89" s="330"/>
      <c r="H89" s="331"/>
      <c r="I89" s="331">
        <f>$I$2</f>
        <v>0.45</v>
      </c>
      <c r="J89" s="331">
        <v>0.02</v>
      </c>
      <c r="K89" s="331">
        <f>$K$3</f>
        <v>0</v>
      </c>
      <c r="L89" s="334">
        <v>0</v>
      </c>
      <c r="M89" s="334">
        <v>1.4999999999999999E-2</v>
      </c>
      <c r="N89" s="334">
        <v>1.2500000000000001E-2</v>
      </c>
      <c r="O89" s="334">
        <v>0.01</v>
      </c>
      <c r="P89" s="334">
        <v>0.01</v>
      </c>
      <c r="Q89" s="334">
        <v>0.01</v>
      </c>
      <c r="R89" s="334">
        <v>0.01</v>
      </c>
      <c r="S89" s="334">
        <v>0.01</v>
      </c>
      <c r="T89" s="334">
        <v>0.01</v>
      </c>
      <c r="U89" s="334">
        <v>0.01</v>
      </c>
      <c r="V89" s="334">
        <v>0.01</v>
      </c>
      <c r="W89" s="334">
        <v>0.01</v>
      </c>
      <c r="Y89" s="330"/>
      <c r="Z89" s="330"/>
      <c r="AA89" s="334">
        <f t="shared" ca="1" si="74"/>
        <v>0.47000000000000003</v>
      </c>
      <c r="AB89" s="334">
        <f t="shared" si="82"/>
        <v>0.47000000000000003</v>
      </c>
      <c r="AC89" s="334">
        <f t="shared" si="82"/>
        <v>0.48500000000000004</v>
      </c>
      <c r="AD89" s="334">
        <f t="shared" si="82"/>
        <v>0.48250000000000004</v>
      </c>
      <c r="AE89" s="334">
        <f t="shared" si="82"/>
        <v>0.48000000000000004</v>
      </c>
      <c r="AF89" s="334">
        <f t="shared" si="82"/>
        <v>0.48000000000000004</v>
      </c>
      <c r="AG89" s="334">
        <f t="shared" si="82"/>
        <v>0.48000000000000004</v>
      </c>
      <c r="AH89" s="334">
        <f t="shared" si="82"/>
        <v>0.48000000000000004</v>
      </c>
      <c r="AI89" s="334">
        <f t="shared" si="82"/>
        <v>0.48000000000000004</v>
      </c>
      <c r="AJ89" s="334">
        <f t="shared" si="82"/>
        <v>0.48000000000000004</v>
      </c>
      <c r="AK89" s="334">
        <f t="shared" si="82"/>
        <v>0.48000000000000004</v>
      </c>
      <c r="AL89" s="334">
        <f t="shared" si="82"/>
        <v>0.48000000000000004</v>
      </c>
      <c r="AM89" s="334">
        <f t="shared" si="82"/>
        <v>0.48000000000000004</v>
      </c>
    </row>
    <row r="90" spans="7:39" ht="15">
      <c r="G90" s="327"/>
      <c r="H90" s="332">
        <f>H94+1500</f>
        <v>207500</v>
      </c>
      <c r="I90" s="332"/>
      <c r="J90" s="332"/>
      <c r="K90" s="332"/>
      <c r="L90" s="333"/>
      <c r="M90" s="333"/>
      <c r="N90" s="333"/>
      <c r="O90" s="333"/>
      <c r="P90" s="333"/>
      <c r="Q90" s="333"/>
      <c r="R90" s="333"/>
      <c r="S90" s="333"/>
      <c r="T90" s="333"/>
      <c r="U90" s="333"/>
      <c r="V90" s="333"/>
      <c r="W90" s="333"/>
      <c r="Y90" s="327">
        <f>AB90</f>
        <v>207500</v>
      </c>
      <c r="Z90" s="327"/>
      <c r="AA90" s="333">
        <f t="shared" ca="1" si="74"/>
        <v>207500</v>
      </c>
      <c r="AB90" s="333">
        <f t="shared" ref="AB90:AM90" si="83">$H90</f>
        <v>207500</v>
      </c>
      <c r="AC90" s="333">
        <f t="shared" si="83"/>
        <v>207500</v>
      </c>
      <c r="AD90" s="333">
        <f t="shared" si="83"/>
        <v>207500</v>
      </c>
      <c r="AE90" s="333">
        <f t="shared" si="83"/>
        <v>207500</v>
      </c>
      <c r="AF90" s="333">
        <f t="shared" si="83"/>
        <v>207500</v>
      </c>
      <c r="AG90" s="333">
        <f t="shared" si="83"/>
        <v>207500</v>
      </c>
      <c r="AH90" s="333">
        <f t="shared" si="83"/>
        <v>207500</v>
      </c>
      <c r="AI90" s="333">
        <f t="shared" si="83"/>
        <v>207500</v>
      </c>
      <c r="AJ90" s="333">
        <f t="shared" si="83"/>
        <v>207500</v>
      </c>
      <c r="AK90" s="333">
        <f t="shared" si="83"/>
        <v>207500</v>
      </c>
      <c r="AL90" s="333">
        <f t="shared" si="83"/>
        <v>207500</v>
      </c>
      <c r="AM90" s="333">
        <f t="shared" si="83"/>
        <v>207500</v>
      </c>
    </row>
    <row r="91" spans="7:39" ht="15">
      <c r="G91" s="328"/>
      <c r="H91" s="261"/>
      <c r="I91" s="261"/>
      <c r="J91" s="261"/>
      <c r="K91" s="261"/>
      <c r="L91" s="215"/>
      <c r="M91" s="215"/>
      <c r="N91" s="215"/>
      <c r="O91" s="215"/>
      <c r="P91" s="215"/>
      <c r="Q91" s="215"/>
      <c r="R91" s="215"/>
      <c r="S91" s="215"/>
      <c r="T91" s="215"/>
      <c r="U91" s="215"/>
      <c r="V91" s="215"/>
      <c r="W91" s="215"/>
      <c r="Y91" s="328"/>
      <c r="Z91" s="328">
        <f ca="1">OFFSET(AB91,0,$AB$2)</f>
        <v>143837</v>
      </c>
      <c r="AA91" s="215">
        <f t="shared" ca="1" si="74"/>
        <v>143837</v>
      </c>
      <c r="AB91" s="215">
        <f>AB90-(AB96+(AB90-AB94)*AB97)</f>
        <v>143837</v>
      </c>
      <c r="AC91" s="215">
        <f t="shared" ref="AC91:AM91" si="84">AC90-(AC96+(AC90-AC94)*AC97)</f>
        <v>140724.5</v>
      </c>
      <c r="AD91" s="215">
        <f t="shared" si="84"/>
        <v>141762</v>
      </c>
      <c r="AE91" s="215">
        <f t="shared" si="84"/>
        <v>141762</v>
      </c>
      <c r="AF91" s="215">
        <f t="shared" si="84"/>
        <v>143732</v>
      </c>
      <c r="AG91" s="215">
        <f t="shared" si="84"/>
        <v>143747</v>
      </c>
      <c r="AH91" s="215">
        <f t="shared" si="84"/>
        <v>143762</v>
      </c>
      <c r="AI91" s="215">
        <f t="shared" si="84"/>
        <v>143777</v>
      </c>
      <c r="AJ91" s="215">
        <f t="shared" si="84"/>
        <v>143792</v>
      </c>
      <c r="AK91" s="215">
        <f t="shared" si="84"/>
        <v>143807</v>
      </c>
      <c r="AL91" s="215">
        <f t="shared" si="84"/>
        <v>143822</v>
      </c>
      <c r="AM91" s="215">
        <f t="shared" si="84"/>
        <v>143837</v>
      </c>
    </row>
    <row r="92" spans="7:39" ht="15">
      <c r="G92" s="329"/>
      <c r="H92" s="244"/>
      <c r="I92" s="244">
        <f>I96+($H90-$H94)*I97</f>
        <v>59513</v>
      </c>
      <c r="J92" s="244">
        <f>J96+($H90-$H94)*J97</f>
        <v>4150</v>
      </c>
      <c r="K92" s="244">
        <f>K96+($H90-$H94)*K97</f>
        <v>0</v>
      </c>
      <c r="L92" s="147">
        <v>0</v>
      </c>
      <c r="M92" s="147">
        <f>M96+($H90-$H94)*M97</f>
        <v>3112.5</v>
      </c>
      <c r="N92" s="147">
        <f t="shared" ref="N92:W92" si="85">$H90*N93</f>
        <v>2075</v>
      </c>
      <c r="O92" s="147">
        <f t="shared" si="85"/>
        <v>2075</v>
      </c>
      <c r="P92" s="147">
        <f t="shared" si="85"/>
        <v>2075</v>
      </c>
      <c r="Q92" s="147">
        <f t="shared" si="85"/>
        <v>2075</v>
      </c>
      <c r="R92" s="147">
        <f t="shared" si="85"/>
        <v>2075</v>
      </c>
      <c r="S92" s="147">
        <f t="shared" si="85"/>
        <v>2075</v>
      </c>
      <c r="T92" s="147">
        <f t="shared" si="85"/>
        <v>2075</v>
      </c>
      <c r="U92" s="147">
        <f t="shared" si="85"/>
        <v>2075</v>
      </c>
      <c r="V92" s="147">
        <f t="shared" si="85"/>
        <v>2075</v>
      </c>
      <c r="W92" s="147">
        <f t="shared" si="85"/>
        <v>2075</v>
      </c>
      <c r="Y92" s="329"/>
      <c r="Z92" s="329"/>
      <c r="AA92" s="147">
        <f t="shared" ca="1" si="74"/>
        <v>63663</v>
      </c>
      <c r="AB92" s="147">
        <f t="shared" ref="AB92:AM93" si="86">$I92+$J92+$K92+L92</f>
        <v>63663</v>
      </c>
      <c r="AC92" s="147">
        <f t="shared" si="86"/>
        <v>66775.5</v>
      </c>
      <c r="AD92" s="147">
        <f t="shared" si="86"/>
        <v>65738</v>
      </c>
      <c r="AE92" s="147">
        <f t="shared" si="86"/>
        <v>65738</v>
      </c>
      <c r="AF92" s="147">
        <f t="shared" si="86"/>
        <v>65738</v>
      </c>
      <c r="AG92" s="147">
        <f t="shared" si="86"/>
        <v>65738</v>
      </c>
      <c r="AH92" s="147">
        <f t="shared" si="86"/>
        <v>65738</v>
      </c>
      <c r="AI92" s="147">
        <f t="shared" si="86"/>
        <v>65738</v>
      </c>
      <c r="AJ92" s="147">
        <f t="shared" si="86"/>
        <v>65738</v>
      </c>
      <c r="AK92" s="147">
        <f t="shared" si="86"/>
        <v>65738</v>
      </c>
      <c r="AL92" s="147">
        <f t="shared" si="86"/>
        <v>65738</v>
      </c>
      <c r="AM92" s="147">
        <f t="shared" si="86"/>
        <v>65738</v>
      </c>
    </row>
    <row r="93" spans="7:39" ht="16" thickBot="1">
      <c r="G93" s="330"/>
      <c r="H93" s="331"/>
      <c r="I93" s="331">
        <f>$I$2</f>
        <v>0.45</v>
      </c>
      <c r="J93" s="331">
        <v>0.02</v>
      </c>
      <c r="K93" s="331">
        <f>$K$3</f>
        <v>0</v>
      </c>
      <c r="L93" s="334">
        <v>0</v>
      </c>
      <c r="M93" s="334">
        <v>1.4999999999999999E-2</v>
      </c>
      <c r="N93" s="334">
        <v>0.01</v>
      </c>
      <c r="O93" s="334">
        <v>0.01</v>
      </c>
      <c r="P93" s="334">
        <v>0.01</v>
      </c>
      <c r="Q93" s="334">
        <v>0.01</v>
      </c>
      <c r="R93" s="334">
        <v>0.01</v>
      </c>
      <c r="S93" s="334">
        <v>0.01</v>
      </c>
      <c r="T93" s="334">
        <v>0.01</v>
      </c>
      <c r="U93" s="334">
        <v>0.01</v>
      </c>
      <c r="V93" s="334">
        <v>0.01</v>
      </c>
      <c r="W93" s="334">
        <v>0.01</v>
      </c>
      <c r="Y93" s="330"/>
      <c r="Z93" s="330"/>
      <c r="AA93" s="334">
        <f t="shared" ca="1" si="74"/>
        <v>0.47000000000000003</v>
      </c>
      <c r="AB93" s="334">
        <f t="shared" si="86"/>
        <v>0.47000000000000003</v>
      </c>
      <c r="AC93" s="334">
        <f t="shared" si="86"/>
        <v>0.48500000000000004</v>
      </c>
      <c r="AD93" s="334">
        <f t="shared" si="86"/>
        <v>0.48000000000000004</v>
      </c>
      <c r="AE93" s="334">
        <f t="shared" si="86"/>
        <v>0.48000000000000004</v>
      </c>
      <c r="AF93" s="334">
        <f t="shared" si="86"/>
        <v>0.48000000000000004</v>
      </c>
      <c r="AG93" s="334">
        <f t="shared" si="86"/>
        <v>0.48000000000000004</v>
      </c>
      <c r="AH93" s="334">
        <f t="shared" si="86"/>
        <v>0.48000000000000004</v>
      </c>
      <c r="AI93" s="334">
        <f t="shared" si="86"/>
        <v>0.48000000000000004</v>
      </c>
      <c r="AJ93" s="334">
        <f t="shared" si="86"/>
        <v>0.48000000000000004</v>
      </c>
      <c r="AK93" s="334">
        <f t="shared" si="86"/>
        <v>0.48000000000000004</v>
      </c>
      <c r="AL93" s="334">
        <f t="shared" si="86"/>
        <v>0.48000000000000004</v>
      </c>
      <c r="AM93" s="334">
        <f t="shared" si="86"/>
        <v>0.48000000000000004</v>
      </c>
    </row>
    <row r="94" spans="7:39" ht="15">
      <c r="G94" s="327"/>
      <c r="H94" s="332">
        <f>H98+1500</f>
        <v>206000</v>
      </c>
      <c r="I94" s="332"/>
      <c r="J94" s="332"/>
      <c r="K94" s="332"/>
      <c r="L94" s="333"/>
      <c r="M94" s="333"/>
      <c r="N94" s="333"/>
      <c r="O94" s="333"/>
      <c r="P94" s="333"/>
      <c r="Q94" s="333"/>
      <c r="R94" s="333"/>
      <c r="S94" s="333"/>
      <c r="T94" s="333"/>
      <c r="U94" s="333"/>
      <c r="V94" s="333"/>
      <c r="W94" s="333"/>
      <c r="Y94" s="327">
        <f>AB94</f>
        <v>206000</v>
      </c>
      <c r="Z94" s="327"/>
      <c r="AA94" s="333">
        <f t="shared" ca="1" si="74"/>
        <v>206000</v>
      </c>
      <c r="AB94" s="333">
        <f t="shared" ref="AB94:AM94" si="87">$H94</f>
        <v>206000</v>
      </c>
      <c r="AC94" s="333">
        <f t="shared" si="87"/>
        <v>206000</v>
      </c>
      <c r="AD94" s="333">
        <f t="shared" si="87"/>
        <v>206000</v>
      </c>
      <c r="AE94" s="333">
        <f t="shared" si="87"/>
        <v>206000</v>
      </c>
      <c r="AF94" s="333">
        <f t="shared" si="87"/>
        <v>206000</v>
      </c>
      <c r="AG94" s="333">
        <f t="shared" si="87"/>
        <v>206000</v>
      </c>
      <c r="AH94" s="333">
        <f t="shared" si="87"/>
        <v>206000</v>
      </c>
      <c r="AI94" s="333">
        <f t="shared" si="87"/>
        <v>206000</v>
      </c>
      <c r="AJ94" s="333">
        <f t="shared" si="87"/>
        <v>206000</v>
      </c>
      <c r="AK94" s="333">
        <f t="shared" si="87"/>
        <v>206000</v>
      </c>
      <c r="AL94" s="333">
        <f t="shared" si="87"/>
        <v>206000</v>
      </c>
      <c r="AM94" s="333">
        <f t="shared" si="87"/>
        <v>206000</v>
      </c>
    </row>
    <row r="95" spans="7:39" ht="15">
      <c r="G95" s="328"/>
      <c r="H95" s="261"/>
      <c r="I95" s="261"/>
      <c r="J95" s="261"/>
      <c r="K95" s="261"/>
      <c r="L95" s="215"/>
      <c r="M95" s="215"/>
      <c r="N95" s="215"/>
      <c r="O95" s="215"/>
      <c r="P95" s="215"/>
      <c r="Q95" s="215"/>
      <c r="R95" s="215"/>
      <c r="S95" s="215"/>
      <c r="T95" s="215"/>
      <c r="U95" s="215"/>
      <c r="V95" s="215"/>
      <c r="W95" s="215"/>
      <c r="Y95" s="328"/>
      <c r="Z95" s="328">
        <f ca="1">OFFSET(AB95,0,$AB$2)</f>
        <v>143042</v>
      </c>
      <c r="AA95" s="215">
        <f ca="1">OFFSET(AB95,0,$AB$2)</f>
        <v>143042</v>
      </c>
      <c r="AB95" s="215">
        <f>AB94-(AB100+(AB94-AB98)*AB101)</f>
        <v>143042</v>
      </c>
      <c r="AC95" s="215">
        <f t="shared" ref="AC95:AM95" si="88">AC94-(AC100+(AC94-AC98)*AC101)</f>
        <v>139952</v>
      </c>
      <c r="AD95" s="215">
        <f t="shared" si="88"/>
        <v>140982</v>
      </c>
      <c r="AE95" s="215">
        <f t="shared" si="88"/>
        <v>140982</v>
      </c>
      <c r="AF95" s="215">
        <f t="shared" si="88"/>
        <v>142952</v>
      </c>
      <c r="AG95" s="215">
        <f t="shared" si="88"/>
        <v>142967</v>
      </c>
      <c r="AH95" s="215">
        <f t="shared" si="88"/>
        <v>142982</v>
      </c>
      <c r="AI95" s="215">
        <f t="shared" si="88"/>
        <v>142997</v>
      </c>
      <c r="AJ95" s="215">
        <f t="shared" si="88"/>
        <v>143012</v>
      </c>
      <c r="AK95" s="215">
        <f t="shared" si="88"/>
        <v>143027</v>
      </c>
      <c r="AL95" s="215">
        <f t="shared" si="88"/>
        <v>143042</v>
      </c>
      <c r="AM95" s="215">
        <f t="shared" si="88"/>
        <v>143042</v>
      </c>
    </row>
    <row r="96" spans="7:39" ht="15">
      <c r="G96" s="329"/>
      <c r="H96" s="244"/>
      <c r="I96" s="244">
        <f>I100+($H94-$H98)*I101</f>
        <v>58838</v>
      </c>
      <c r="J96" s="244">
        <f>J100+($H94-$H98)*J101</f>
        <v>4120</v>
      </c>
      <c r="K96" s="244">
        <f>K100+($H94-$H98)*K101</f>
        <v>0</v>
      </c>
      <c r="L96" s="147">
        <v>0</v>
      </c>
      <c r="M96" s="147">
        <f>M100+($H94-$H98)*M101</f>
        <v>3090</v>
      </c>
      <c r="N96" s="147">
        <f>$H94*N97</f>
        <v>2060</v>
      </c>
      <c r="O96" s="147">
        <f>$H94*O97</f>
        <v>2060</v>
      </c>
      <c r="P96" s="147">
        <f t="shared" ref="P96:V96" si="89">P100+($H94-$H98)*P101</f>
        <v>90</v>
      </c>
      <c r="Q96" s="147">
        <f t="shared" si="89"/>
        <v>75</v>
      </c>
      <c r="R96" s="147">
        <f t="shared" si="89"/>
        <v>60</v>
      </c>
      <c r="S96" s="147">
        <f t="shared" si="89"/>
        <v>45</v>
      </c>
      <c r="T96" s="147">
        <f t="shared" si="89"/>
        <v>30</v>
      </c>
      <c r="U96" s="147">
        <f t="shared" si="89"/>
        <v>15</v>
      </c>
      <c r="V96" s="147">
        <f t="shared" si="89"/>
        <v>0</v>
      </c>
      <c r="W96" s="147"/>
      <c r="Y96" s="329"/>
      <c r="Z96" s="329"/>
      <c r="AA96" s="147">
        <f t="shared" ca="1" si="74"/>
        <v>62958</v>
      </c>
      <c r="AB96" s="147">
        <f t="shared" ref="AB96:AM97" si="90">$I96+$J96+$K96+L96</f>
        <v>62958</v>
      </c>
      <c r="AC96" s="147">
        <f t="shared" si="90"/>
        <v>66048</v>
      </c>
      <c r="AD96" s="147">
        <f t="shared" si="90"/>
        <v>65018</v>
      </c>
      <c r="AE96" s="147">
        <f t="shared" si="90"/>
        <v>65018</v>
      </c>
      <c r="AF96" s="147">
        <f t="shared" si="90"/>
        <v>63048</v>
      </c>
      <c r="AG96" s="147">
        <f t="shared" si="90"/>
        <v>63033</v>
      </c>
      <c r="AH96" s="147">
        <f t="shared" si="90"/>
        <v>63018</v>
      </c>
      <c r="AI96" s="147">
        <f t="shared" si="90"/>
        <v>63003</v>
      </c>
      <c r="AJ96" s="147">
        <f t="shared" si="90"/>
        <v>62988</v>
      </c>
      <c r="AK96" s="147">
        <f t="shared" si="90"/>
        <v>62973</v>
      </c>
      <c r="AL96" s="147">
        <f t="shared" si="90"/>
        <v>62958</v>
      </c>
      <c r="AM96" s="147">
        <f t="shared" si="90"/>
        <v>62958</v>
      </c>
    </row>
    <row r="97" spans="7:39" ht="16" thickBot="1">
      <c r="G97" s="330"/>
      <c r="H97" s="331"/>
      <c r="I97" s="331">
        <f>$I$2</f>
        <v>0.45</v>
      </c>
      <c r="J97" s="331">
        <v>0.02</v>
      </c>
      <c r="K97" s="331">
        <f>$K$3</f>
        <v>0</v>
      </c>
      <c r="L97" s="334">
        <v>0</v>
      </c>
      <c r="M97" s="334">
        <v>1.4999999999999999E-2</v>
      </c>
      <c r="N97" s="334">
        <v>0.01</v>
      </c>
      <c r="O97" s="334">
        <v>0.01</v>
      </c>
      <c r="P97" s="334">
        <v>0.01</v>
      </c>
      <c r="Q97" s="334">
        <v>0.01</v>
      </c>
      <c r="R97" s="334">
        <v>0.01</v>
      </c>
      <c r="S97" s="334">
        <v>0.01</v>
      </c>
      <c r="T97" s="334">
        <v>0.01</v>
      </c>
      <c r="U97" s="334">
        <v>0.01</v>
      </c>
      <c r="V97" s="334">
        <v>0.01</v>
      </c>
      <c r="W97" s="334"/>
      <c r="Y97" s="330"/>
      <c r="Z97" s="330"/>
      <c r="AA97" s="334">
        <f t="shared" ca="1" si="74"/>
        <v>0.47000000000000003</v>
      </c>
      <c r="AB97" s="334">
        <f t="shared" si="90"/>
        <v>0.47000000000000003</v>
      </c>
      <c r="AC97" s="334">
        <f t="shared" si="90"/>
        <v>0.48500000000000004</v>
      </c>
      <c r="AD97" s="334">
        <f t="shared" si="90"/>
        <v>0.48000000000000004</v>
      </c>
      <c r="AE97" s="334">
        <f t="shared" si="90"/>
        <v>0.48000000000000004</v>
      </c>
      <c r="AF97" s="334">
        <f t="shared" si="90"/>
        <v>0.48000000000000004</v>
      </c>
      <c r="AG97" s="334">
        <f t="shared" si="90"/>
        <v>0.48000000000000004</v>
      </c>
      <c r="AH97" s="334">
        <f t="shared" si="90"/>
        <v>0.48000000000000004</v>
      </c>
      <c r="AI97" s="334">
        <f t="shared" si="90"/>
        <v>0.48000000000000004</v>
      </c>
      <c r="AJ97" s="334">
        <f t="shared" si="90"/>
        <v>0.48000000000000004</v>
      </c>
      <c r="AK97" s="334">
        <f t="shared" si="90"/>
        <v>0.48000000000000004</v>
      </c>
      <c r="AL97" s="334">
        <f t="shared" si="90"/>
        <v>0.48000000000000004</v>
      </c>
      <c r="AM97" s="334">
        <f t="shared" si="90"/>
        <v>0.47000000000000003</v>
      </c>
    </row>
    <row r="98" spans="7:39" ht="15">
      <c r="G98" s="327"/>
      <c r="H98" s="332">
        <f>H102+1500</f>
        <v>204500</v>
      </c>
      <c r="I98" s="332"/>
      <c r="J98" s="332"/>
      <c r="K98" s="332"/>
      <c r="L98" s="333"/>
      <c r="M98" s="333"/>
      <c r="N98" s="333"/>
      <c r="O98" s="333"/>
      <c r="P98" s="333"/>
      <c r="Q98" s="333"/>
      <c r="R98" s="333"/>
      <c r="S98" s="333"/>
      <c r="T98" s="333"/>
      <c r="U98" s="333"/>
      <c r="V98" s="333"/>
      <c r="W98" s="333"/>
      <c r="Y98" s="327">
        <f>AB98</f>
        <v>204500</v>
      </c>
      <c r="Z98" s="327"/>
      <c r="AA98" s="333">
        <f t="shared" ca="1" si="74"/>
        <v>204500</v>
      </c>
      <c r="AB98" s="333">
        <f t="shared" ref="AB98:AM98" si="91">$H98</f>
        <v>204500</v>
      </c>
      <c r="AC98" s="333">
        <f t="shared" si="91"/>
        <v>204500</v>
      </c>
      <c r="AD98" s="333">
        <f t="shared" si="91"/>
        <v>204500</v>
      </c>
      <c r="AE98" s="333">
        <f t="shared" si="91"/>
        <v>204500</v>
      </c>
      <c r="AF98" s="333">
        <f t="shared" si="91"/>
        <v>204500</v>
      </c>
      <c r="AG98" s="333">
        <f t="shared" si="91"/>
        <v>204500</v>
      </c>
      <c r="AH98" s="333">
        <f t="shared" si="91"/>
        <v>204500</v>
      </c>
      <c r="AI98" s="333">
        <f t="shared" si="91"/>
        <v>204500</v>
      </c>
      <c r="AJ98" s="333">
        <f t="shared" si="91"/>
        <v>204500</v>
      </c>
      <c r="AK98" s="333">
        <f t="shared" si="91"/>
        <v>204500</v>
      </c>
      <c r="AL98" s="333">
        <f t="shared" si="91"/>
        <v>204500</v>
      </c>
      <c r="AM98" s="333">
        <f t="shared" si="91"/>
        <v>204500</v>
      </c>
    </row>
    <row r="99" spans="7:39" ht="15">
      <c r="G99" s="328"/>
      <c r="H99" s="261"/>
      <c r="I99" s="261"/>
      <c r="J99" s="261"/>
      <c r="K99" s="261"/>
      <c r="L99" s="215"/>
      <c r="M99" s="215"/>
      <c r="N99" s="215"/>
      <c r="O99" s="215"/>
      <c r="P99" s="215"/>
      <c r="Q99" s="215"/>
      <c r="R99" s="215"/>
      <c r="S99" s="215"/>
      <c r="T99" s="215"/>
      <c r="U99" s="215"/>
      <c r="V99" s="215"/>
      <c r="W99" s="215"/>
      <c r="Y99" s="328"/>
      <c r="Z99" s="328">
        <f ca="1">OFFSET(AB99,0,$AB$2)</f>
        <v>142247</v>
      </c>
      <c r="AA99" s="215">
        <f t="shared" ca="1" si="74"/>
        <v>142247</v>
      </c>
      <c r="AB99" s="215">
        <f>AB98-(AB104+(AB98-AB102)*AB105)</f>
        <v>142247</v>
      </c>
      <c r="AC99" s="215">
        <f t="shared" ref="AC99:AM99" si="92">AC98-(AC104+(AC98-AC102)*AC105)</f>
        <v>139179.5</v>
      </c>
      <c r="AD99" s="215">
        <f t="shared" si="92"/>
        <v>140202</v>
      </c>
      <c r="AE99" s="215">
        <f t="shared" si="92"/>
        <v>142157</v>
      </c>
      <c r="AF99" s="215">
        <f t="shared" si="92"/>
        <v>142172</v>
      </c>
      <c r="AG99" s="215">
        <f t="shared" si="92"/>
        <v>142187</v>
      </c>
      <c r="AH99" s="215">
        <f t="shared" si="92"/>
        <v>142202</v>
      </c>
      <c r="AI99" s="215">
        <f t="shared" si="92"/>
        <v>142217</v>
      </c>
      <c r="AJ99" s="215">
        <f t="shared" si="92"/>
        <v>142232</v>
      </c>
      <c r="AK99" s="215">
        <f t="shared" si="92"/>
        <v>142247</v>
      </c>
      <c r="AL99" s="215">
        <f t="shared" si="92"/>
        <v>142247</v>
      </c>
      <c r="AM99" s="215">
        <f t="shared" si="92"/>
        <v>142247</v>
      </c>
    </row>
    <row r="100" spans="7:39" ht="15">
      <c r="G100" s="329"/>
      <c r="H100" s="244"/>
      <c r="I100" s="244">
        <f>I104+($H98-$H102)*I105</f>
        <v>58163</v>
      </c>
      <c r="J100" s="244">
        <f>J104+($H98-$H102)*J105</f>
        <v>4090</v>
      </c>
      <c r="K100" s="244">
        <f>K104+($H98-$H102)*K105</f>
        <v>0</v>
      </c>
      <c r="L100" s="147">
        <v>0</v>
      </c>
      <c r="M100" s="147">
        <f>M104+($H98-$H102)*M105</f>
        <v>3067.5</v>
      </c>
      <c r="N100" s="147">
        <f>$H98*N101</f>
        <v>2045</v>
      </c>
      <c r="O100" s="147">
        <f>$H98*O101</f>
        <v>2045</v>
      </c>
      <c r="P100" s="147">
        <f t="shared" ref="P100:U100" si="93">P104+($H98-$H102)*P105</f>
        <v>75</v>
      </c>
      <c r="Q100" s="147">
        <f t="shared" si="93"/>
        <v>60</v>
      </c>
      <c r="R100" s="147">
        <f t="shared" si="93"/>
        <v>45</v>
      </c>
      <c r="S100" s="147">
        <f t="shared" si="93"/>
        <v>30</v>
      </c>
      <c r="T100" s="147">
        <f t="shared" si="93"/>
        <v>15</v>
      </c>
      <c r="U100" s="147">
        <f t="shared" si="93"/>
        <v>0</v>
      </c>
      <c r="V100" s="147"/>
      <c r="W100" s="147"/>
      <c r="Y100" s="329"/>
      <c r="Z100" s="329"/>
      <c r="AA100" s="147">
        <f t="shared" ca="1" si="74"/>
        <v>62253</v>
      </c>
      <c r="AB100" s="147">
        <f t="shared" ref="AB100:AM101" si="94">$I100+$J100+$K100+L100</f>
        <v>62253</v>
      </c>
      <c r="AC100" s="147">
        <f t="shared" si="94"/>
        <v>65320.5</v>
      </c>
      <c r="AD100" s="147">
        <f t="shared" si="94"/>
        <v>64298</v>
      </c>
      <c r="AE100" s="147">
        <f t="shared" si="94"/>
        <v>64298</v>
      </c>
      <c r="AF100" s="147">
        <f t="shared" si="94"/>
        <v>62328</v>
      </c>
      <c r="AG100" s="147">
        <f t="shared" si="94"/>
        <v>62313</v>
      </c>
      <c r="AH100" s="147">
        <f t="shared" si="94"/>
        <v>62298</v>
      </c>
      <c r="AI100" s="147">
        <f t="shared" si="94"/>
        <v>62283</v>
      </c>
      <c r="AJ100" s="147">
        <f t="shared" si="94"/>
        <v>62268</v>
      </c>
      <c r="AK100" s="147">
        <f t="shared" si="94"/>
        <v>62253</v>
      </c>
      <c r="AL100" s="147">
        <f t="shared" si="94"/>
        <v>62253</v>
      </c>
      <c r="AM100" s="147">
        <f t="shared" si="94"/>
        <v>62253</v>
      </c>
    </row>
    <row r="101" spans="7:39" ht="16" thickBot="1">
      <c r="G101" s="330"/>
      <c r="H101" s="331"/>
      <c r="I101" s="331">
        <f>$I$2</f>
        <v>0.45</v>
      </c>
      <c r="J101" s="331">
        <v>0.02</v>
      </c>
      <c r="K101" s="331">
        <f>$K$3</f>
        <v>0</v>
      </c>
      <c r="L101" s="334">
        <v>0</v>
      </c>
      <c r="M101" s="334">
        <v>1.4999999999999999E-2</v>
      </c>
      <c r="N101" s="334">
        <v>0.01</v>
      </c>
      <c r="O101" s="334">
        <v>0.01</v>
      </c>
      <c r="P101" s="334">
        <v>0.01</v>
      </c>
      <c r="Q101" s="334">
        <v>0.01</v>
      </c>
      <c r="R101" s="334">
        <v>0.01</v>
      </c>
      <c r="S101" s="334">
        <v>0.01</v>
      </c>
      <c r="T101" s="334">
        <v>0.01</v>
      </c>
      <c r="U101" s="334">
        <v>0.01</v>
      </c>
      <c r="V101" s="334"/>
      <c r="W101" s="334"/>
      <c r="Y101" s="330"/>
      <c r="Z101" s="330"/>
      <c r="AA101" s="334">
        <f t="shared" ca="1" si="74"/>
        <v>0.47000000000000003</v>
      </c>
      <c r="AB101" s="334">
        <f t="shared" si="94"/>
        <v>0.47000000000000003</v>
      </c>
      <c r="AC101" s="334">
        <f t="shared" si="94"/>
        <v>0.48500000000000004</v>
      </c>
      <c r="AD101" s="334">
        <f t="shared" si="94"/>
        <v>0.48000000000000004</v>
      </c>
      <c r="AE101" s="334">
        <f t="shared" si="94"/>
        <v>0.48000000000000004</v>
      </c>
      <c r="AF101" s="334">
        <f t="shared" si="94"/>
        <v>0.48000000000000004</v>
      </c>
      <c r="AG101" s="334">
        <f t="shared" si="94"/>
        <v>0.48000000000000004</v>
      </c>
      <c r="AH101" s="334">
        <f t="shared" si="94"/>
        <v>0.48000000000000004</v>
      </c>
      <c r="AI101" s="334">
        <f t="shared" si="94"/>
        <v>0.48000000000000004</v>
      </c>
      <c r="AJ101" s="334">
        <f t="shared" si="94"/>
        <v>0.48000000000000004</v>
      </c>
      <c r="AK101" s="334">
        <f t="shared" si="94"/>
        <v>0.48000000000000004</v>
      </c>
      <c r="AL101" s="334">
        <f t="shared" si="94"/>
        <v>0.47000000000000003</v>
      </c>
      <c r="AM101" s="334">
        <f t="shared" si="94"/>
        <v>0.47000000000000003</v>
      </c>
    </row>
    <row r="102" spans="7:39" ht="15">
      <c r="G102" s="327"/>
      <c r="H102" s="332">
        <f>H106+1500</f>
        <v>203000</v>
      </c>
      <c r="I102" s="332"/>
      <c r="J102" s="332"/>
      <c r="K102" s="332"/>
      <c r="L102" s="333"/>
      <c r="M102" s="333"/>
      <c r="N102" s="333"/>
      <c r="O102" s="333"/>
      <c r="P102" s="333"/>
      <c r="Q102" s="333"/>
      <c r="R102" s="333"/>
      <c r="S102" s="333"/>
      <c r="T102" s="333"/>
      <c r="U102" s="333"/>
      <c r="V102" s="333"/>
      <c r="W102" s="333"/>
      <c r="Y102" s="327">
        <f>AB102</f>
        <v>203000</v>
      </c>
      <c r="Z102" s="327"/>
      <c r="AA102" s="333">
        <f t="shared" ca="1" si="74"/>
        <v>203000</v>
      </c>
      <c r="AB102" s="333">
        <f t="shared" ref="AB102:AM102" si="95">$H102</f>
        <v>203000</v>
      </c>
      <c r="AC102" s="333">
        <f t="shared" si="95"/>
        <v>203000</v>
      </c>
      <c r="AD102" s="333">
        <f t="shared" si="95"/>
        <v>203000</v>
      </c>
      <c r="AE102" s="333">
        <f t="shared" si="95"/>
        <v>203000</v>
      </c>
      <c r="AF102" s="333">
        <f t="shared" si="95"/>
        <v>203000</v>
      </c>
      <c r="AG102" s="333">
        <f t="shared" si="95"/>
        <v>203000</v>
      </c>
      <c r="AH102" s="333">
        <f t="shared" si="95"/>
        <v>203000</v>
      </c>
      <c r="AI102" s="333">
        <f t="shared" si="95"/>
        <v>203000</v>
      </c>
      <c r="AJ102" s="333">
        <f t="shared" si="95"/>
        <v>203000</v>
      </c>
      <c r="AK102" s="333">
        <f t="shared" si="95"/>
        <v>203000</v>
      </c>
      <c r="AL102" s="333">
        <f t="shared" si="95"/>
        <v>203000</v>
      </c>
      <c r="AM102" s="333">
        <f t="shared" si="95"/>
        <v>203000</v>
      </c>
    </row>
    <row r="103" spans="7:39" ht="15">
      <c r="G103" s="328"/>
      <c r="H103" s="261"/>
      <c r="I103" s="261"/>
      <c r="J103" s="261"/>
      <c r="K103" s="261"/>
      <c r="L103" s="215"/>
      <c r="M103" s="215"/>
      <c r="N103" s="215"/>
      <c r="O103" s="215"/>
      <c r="P103" s="215"/>
      <c r="Q103" s="215"/>
      <c r="R103" s="215"/>
      <c r="S103" s="215"/>
      <c r="T103" s="215"/>
      <c r="U103" s="215"/>
      <c r="V103" s="215"/>
      <c r="W103" s="215"/>
      <c r="Y103" s="328"/>
      <c r="Z103" s="328">
        <f ca="1">OFFSET(AB103,0,$AB$2)</f>
        <v>141452</v>
      </c>
      <c r="AA103" s="215">
        <f t="shared" ca="1" si="74"/>
        <v>141452</v>
      </c>
      <c r="AB103" s="215">
        <f>AB102-(AB108+(AB102-AB106)*AB109)</f>
        <v>141452</v>
      </c>
      <c r="AC103" s="215">
        <f t="shared" ref="AC103:AM103" si="96">AC102-(AC108+(AC102-AC106)*AC109)</f>
        <v>138407</v>
      </c>
      <c r="AD103" s="215">
        <f t="shared" si="96"/>
        <v>141362</v>
      </c>
      <c r="AE103" s="215">
        <f t="shared" si="96"/>
        <v>141377</v>
      </c>
      <c r="AF103" s="215">
        <f t="shared" si="96"/>
        <v>141392</v>
      </c>
      <c r="AG103" s="215">
        <f t="shared" si="96"/>
        <v>141407</v>
      </c>
      <c r="AH103" s="215">
        <f t="shared" si="96"/>
        <v>141422</v>
      </c>
      <c r="AI103" s="215">
        <f t="shared" si="96"/>
        <v>141437</v>
      </c>
      <c r="AJ103" s="215">
        <f t="shared" si="96"/>
        <v>141452</v>
      </c>
      <c r="AK103" s="215">
        <f t="shared" si="96"/>
        <v>141452</v>
      </c>
      <c r="AL103" s="215">
        <f t="shared" si="96"/>
        <v>141452</v>
      </c>
      <c r="AM103" s="215">
        <f t="shared" si="96"/>
        <v>141452</v>
      </c>
    </row>
    <row r="104" spans="7:39" ht="15">
      <c r="G104" s="329"/>
      <c r="H104" s="244"/>
      <c r="I104" s="244">
        <f>I108+($H102-$H106)*I109</f>
        <v>57488</v>
      </c>
      <c r="J104" s="244">
        <f>J108+($H102-$H106)*J109</f>
        <v>4060</v>
      </c>
      <c r="K104" s="244">
        <f>K108+($H102-$H106)*K109</f>
        <v>0</v>
      </c>
      <c r="L104" s="147">
        <v>0</v>
      </c>
      <c r="M104" s="147">
        <f>M108+($H102-$H106)*M109</f>
        <v>3045</v>
      </c>
      <c r="N104" s="147">
        <f>$H102*N105</f>
        <v>2030</v>
      </c>
      <c r="O104" s="147">
        <f t="shared" ref="O104:T104" si="97">O108+($H102-$H106)*O109</f>
        <v>75</v>
      </c>
      <c r="P104" s="147">
        <f t="shared" si="97"/>
        <v>60</v>
      </c>
      <c r="Q104" s="147">
        <f t="shared" si="97"/>
        <v>45</v>
      </c>
      <c r="R104" s="147">
        <f t="shared" si="97"/>
        <v>30</v>
      </c>
      <c r="S104" s="147">
        <f t="shared" si="97"/>
        <v>15</v>
      </c>
      <c r="T104" s="147">
        <f t="shared" si="97"/>
        <v>0</v>
      </c>
      <c r="U104" s="147"/>
      <c r="V104" s="147"/>
      <c r="W104" s="147"/>
      <c r="Y104" s="329"/>
      <c r="Z104" s="329"/>
      <c r="AA104" s="147">
        <f t="shared" ca="1" si="74"/>
        <v>61548</v>
      </c>
      <c r="AB104" s="147">
        <f t="shared" ref="AB104:AM105" si="98">$I104+$J104+$K104+L104</f>
        <v>61548</v>
      </c>
      <c r="AC104" s="147">
        <f t="shared" si="98"/>
        <v>64593</v>
      </c>
      <c r="AD104" s="147">
        <f t="shared" si="98"/>
        <v>63578</v>
      </c>
      <c r="AE104" s="147">
        <f t="shared" si="98"/>
        <v>61623</v>
      </c>
      <c r="AF104" s="147">
        <f t="shared" si="98"/>
        <v>61608</v>
      </c>
      <c r="AG104" s="147">
        <f t="shared" si="98"/>
        <v>61593</v>
      </c>
      <c r="AH104" s="147">
        <f t="shared" si="98"/>
        <v>61578</v>
      </c>
      <c r="AI104" s="147">
        <f t="shared" si="98"/>
        <v>61563</v>
      </c>
      <c r="AJ104" s="147">
        <f t="shared" si="98"/>
        <v>61548</v>
      </c>
      <c r="AK104" s="147">
        <f t="shared" si="98"/>
        <v>61548</v>
      </c>
      <c r="AL104" s="147">
        <f t="shared" si="98"/>
        <v>61548</v>
      </c>
      <c r="AM104" s="147">
        <f t="shared" si="98"/>
        <v>61548</v>
      </c>
    </row>
    <row r="105" spans="7:39" ht="16" thickBot="1">
      <c r="G105" s="330"/>
      <c r="H105" s="331"/>
      <c r="I105" s="331">
        <f>$I$2</f>
        <v>0.45</v>
      </c>
      <c r="J105" s="331">
        <v>0.02</v>
      </c>
      <c r="K105" s="331">
        <f>$K$3</f>
        <v>0</v>
      </c>
      <c r="L105" s="334">
        <v>0</v>
      </c>
      <c r="M105" s="334">
        <v>1.4999999999999999E-2</v>
      </c>
      <c r="N105" s="334">
        <v>0.01</v>
      </c>
      <c r="O105" s="334">
        <v>0.01</v>
      </c>
      <c r="P105" s="334">
        <v>0.01</v>
      </c>
      <c r="Q105" s="334">
        <v>0.01</v>
      </c>
      <c r="R105" s="334">
        <v>0.01</v>
      </c>
      <c r="S105" s="334">
        <v>0.01</v>
      </c>
      <c r="T105" s="334">
        <v>0.01</v>
      </c>
      <c r="U105" s="334"/>
      <c r="V105" s="334"/>
      <c r="W105" s="334"/>
      <c r="Y105" s="330"/>
      <c r="Z105" s="330"/>
      <c r="AA105" s="334">
        <f t="shared" ca="1" si="74"/>
        <v>0.47000000000000003</v>
      </c>
      <c r="AB105" s="334">
        <f t="shared" si="98"/>
        <v>0.47000000000000003</v>
      </c>
      <c r="AC105" s="334">
        <f t="shared" si="98"/>
        <v>0.48500000000000004</v>
      </c>
      <c r="AD105" s="334">
        <f t="shared" si="98"/>
        <v>0.48000000000000004</v>
      </c>
      <c r="AE105" s="334">
        <f t="shared" si="98"/>
        <v>0.48000000000000004</v>
      </c>
      <c r="AF105" s="334">
        <f t="shared" si="98"/>
        <v>0.48000000000000004</v>
      </c>
      <c r="AG105" s="334">
        <f t="shared" si="98"/>
        <v>0.48000000000000004</v>
      </c>
      <c r="AH105" s="334">
        <f t="shared" si="98"/>
        <v>0.48000000000000004</v>
      </c>
      <c r="AI105" s="334">
        <f t="shared" si="98"/>
        <v>0.48000000000000004</v>
      </c>
      <c r="AJ105" s="334">
        <f t="shared" si="98"/>
        <v>0.48000000000000004</v>
      </c>
      <c r="AK105" s="334">
        <f t="shared" si="98"/>
        <v>0.47000000000000003</v>
      </c>
      <c r="AL105" s="334">
        <f t="shared" si="98"/>
        <v>0.47000000000000003</v>
      </c>
      <c r="AM105" s="334">
        <f t="shared" si="98"/>
        <v>0.47000000000000003</v>
      </c>
    </row>
    <row r="106" spans="7:39" ht="15">
      <c r="G106" s="327"/>
      <c r="H106" s="332">
        <f>H110+1500</f>
        <v>201500</v>
      </c>
      <c r="I106" s="332"/>
      <c r="J106" s="332"/>
      <c r="K106" s="332"/>
      <c r="L106" s="333"/>
      <c r="M106" s="333"/>
      <c r="N106" s="333"/>
      <c r="O106" s="333"/>
      <c r="P106" s="333"/>
      <c r="Q106" s="333"/>
      <c r="R106" s="333"/>
      <c r="S106" s="333"/>
      <c r="T106" s="333"/>
      <c r="U106" s="333"/>
      <c r="V106" s="333"/>
      <c r="W106" s="333"/>
      <c r="Y106" s="327">
        <f>AB106</f>
        <v>201500</v>
      </c>
      <c r="Z106" s="327"/>
      <c r="AA106" s="333">
        <f t="shared" ca="1" si="74"/>
        <v>201500</v>
      </c>
      <c r="AB106" s="333">
        <f t="shared" ref="AB106:AM106" si="99">$H106</f>
        <v>201500</v>
      </c>
      <c r="AC106" s="333">
        <f t="shared" si="99"/>
        <v>201500</v>
      </c>
      <c r="AD106" s="333">
        <f t="shared" si="99"/>
        <v>201500</v>
      </c>
      <c r="AE106" s="333">
        <f t="shared" si="99"/>
        <v>201500</v>
      </c>
      <c r="AF106" s="333">
        <f t="shared" si="99"/>
        <v>201500</v>
      </c>
      <c r="AG106" s="333">
        <f t="shared" si="99"/>
        <v>201500</v>
      </c>
      <c r="AH106" s="333">
        <f t="shared" si="99"/>
        <v>201500</v>
      </c>
      <c r="AI106" s="333">
        <f t="shared" si="99"/>
        <v>201500</v>
      </c>
      <c r="AJ106" s="333">
        <f t="shared" si="99"/>
        <v>201500</v>
      </c>
      <c r="AK106" s="333">
        <f t="shared" si="99"/>
        <v>201500</v>
      </c>
      <c r="AL106" s="333">
        <f t="shared" si="99"/>
        <v>201500</v>
      </c>
      <c r="AM106" s="333">
        <f t="shared" si="99"/>
        <v>201500</v>
      </c>
    </row>
    <row r="107" spans="7:39" ht="15">
      <c r="G107" s="328"/>
      <c r="H107" s="261"/>
      <c r="I107" s="261"/>
      <c r="J107" s="261"/>
      <c r="K107" s="261"/>
      <c r="L107" s="215"/>
      <c r="M107" s="215"/>
      <c r="N107" s="215"/>
      <c r="O107" s="215"/>
      <c r="P107" s="215"/>
      <c r="Q107" s="215"/>
      <c r="R107" s="215"/>
      <c r="S107" s="215"/>
      <c r="T107" s="215"/>
      <c r="U107" s="215"/>
      <c r="V107" s="215"/>
      <c r="W107" s="215"/>
      <c r="Y107" s="328"/>
      <c r="Z107" s="328">
        <f ca="1">OFFSET(AB107,0,$AB$2)</f>
        <v>140657</v>
      </c>
      <c r="AA107" s="215">
        <f t="shared" ca="1" si="74"/>
        <v>140657</v>
      </c>
      <c r="AB107" s="215">
        <f>AB106-(AB112+(AB106-AB110)*AB113)</f>
        <v>140657</v>
      </c>
      <c r="AC107" s="215">
        <f t="shared" ref="AC107:AM107" si="100">AC106-(AC112+(AC106-AC110)*AC113)</f>
        <v>137634.5</v>
      </c>
      <c r="AD107" s="215">
        <f t="shared" si="100"/>
        <v>140582</v>
      </c>
      <c r="AE107" s="215">
        <f t="shared" si="100"/>
        <v>140597</v>
      </c>
      <c r="AF107" s="215">
        <f t="shared" si="100"/>
        <v>140612</v>
      </c>
      <c r="AG107" s="215">
        <f t="shared" si="100"/>
        <v>140627</v>
      </c>
      <c r="AH107" s="215">
        <f t="shared" si="100"/>
        <v>140642</v>
      </c>
      <c r="AI107" s="215">
        <f t="shared" si="100"/>
        <v>140657</v>
      </c>
      <c r="AJ107" s="215">
        <f t="shared" si="100"/>
        <v>140657</v>
      </c>
      <c r="AK107" s="215">
        <f t="shared" si="100"/>
        <v>140657</v>
      </c>
      <c r="AL107" s="215">
        <f t="shared" si="100"/>
        <v>140657</v>
      </c>
      <c r="AM107" s="215">
        <f t="shared" si="100"/>
        <v>140657</v>
      </c>
    </row>
    <row r="108" spans="7:39" ht="15">
      <c r="G108" s="329"/>
      <c r="H108" s="244"/>
      <c r="I108" s="244">
        <f>I112+($H106-$H110)*I113</f>
        <v>56813</v>
      </c>
      <c r="J108" s="244">
        <f>J112+($H106-$H110)*J113</f>
        <v>4030</v>
      </c>
      <c r="K108" s="244">
        <f>K112+($H106-$H110)*K113</f>
        <v>0</v>
      </c>
      <c r="L108" s="147">
        <v>0</v>
      </c>
      <c r="M108" s="147">
        <f t="shared" ref="M108:S108" si="101">M112+($H106-$H110)*M113</f>
        <v>3022.5</v>
      </c>
      <c r="N108" s="147">
        <f t="shared" si="101"/>
        <v>75</v>
      </c>
      <c r="O108" s="147">
        <f t="shared" si="101"/>
        <v>60</v>
      </c>
      <c r="P108" s="147">
        <f t="shared" si="101"/>
        <v>45</v>
      </c>
      <c r="Q108" s="147">
        <f t="shared" si="101"/>
        <v>30</v>
      </c>
      <c r="R108" s="147">
        <f t="shared" si="101"/>
        <v>15</v>
      </c>
      <c r="S108" s="147">
        <f t="shared" si="101"/>
        <v>0</v>
      </c>
      <c r="T108" s="147"/>
      <c r="U108" s="147"/>
      <c r="V108" s="147"/>
      <c r="W108" s="147"/>
      <c r="Y108" s="329"/>
      <c r="Z108" s="329"/>
      <c r="AA108" s="147">
        <f t="shared" ca="1" si="74"/>
        <v>60843</v>
      </c>
      <c r="AB108" s="147">
        <f t="shared" ref="AB108:AM109" si="102">$I108+$J108+$K108+L108</f>
        <v>60843</v>
      </c>
      <c r="AC108" s="147">
        <f t="shared" si="102"/>
        <v>63865.5</v>
      </c>
      <c r="AD108" s="147">
        <f t="shared" si="102"/>
        <v>60918</v>
      </c>
      <c r="AE108" s="147">
        <f t="shared" si="102"/>
        <v>60903</v>
      </c>
      <c r="AF108" s="147">
        <f t="shared" si="102"/>
        <v>60888</v>
      </c>
      <c r="AG108" s="147">
        <f t="shared" si="102"/>
        <v>60873</v>
      </c>
      <c r="AH108" s="147">
        <f t="shared" si="102"/>
        <v>60858</v>
      </c>
      <c r="AI108" s="147">
        <f t="shared" si="102"/>
        <v>60843</v>
      </c>
      <c r="AJ108" s="147">
        <f t="shared" si="102"/>
        <v>60843</v>
      </c>
      <c r="AK108" s="147">
        <f t="shared" si="102"/>
        <v>60843</v>
      </c>
      <c r="AL108" s="147">
        <f t="shared" si="102"/>
        <v>60843</v>
      </c>
      <c r="AM108" s="147">
        <f t="shared" si="102"/>
        <v>60843</v>
      </c>
    </row>
    <row r="109" spans="7:39" ht="16" thickBot="1">
      <c r="G109" s="330"/>
      <c r="H109" s="331"/>
      <c r="I109" s="331">
        <f>$I$2</f>
        <v>0.45</v>
      </c>
      <c r="J109" s="331">
        <v>0.02</v>
      </c>
      <c r="K109" s="331">
        <f>$K$3</f>
        <v>0</v>
      </c>
      <c r="L109" s="334">
        <v>0</v>
      </c>
      <c r="M109" s="334">
        <v>1.4999999999999999E-2</v>
      </c>
      <c r="N109" s="334">
        <v>0.01</v>
      </c>
      <c r="O109" s="334">
        <v>0.01</v>
      </c>
      <c r="P109" s="334">
        <v>0.01</v>
      </c>
      <c r="Q109" s="334">
        <v>0.01</v>
      </c>
      <c r="R109" s="334">
        <v>0.01</v>
      </c>
      <c r="S109" s="334">
        <v>0.01</v>
      </c>
      <c r="T109" s="334"/>
      <c r="U109" s="334"/>
      <c r="V109" s="334"/>
      <c r="W109" s="334"/>
      <c r="Y109" s="330"/>
      <c r="Z109" s="330"/>
      <c r="AA109" s="334">
        <f t="shared" ca="1" si="74"/>
        <v>0.47000000000000003</v>
      </c>
      <c r="AB109" s="334">
        <f t="shared" si="102"/>
        <v>0.47000000000000003</v>
      </c>
      <c r="AC109" s="334">
        <f t="shared" si="102"/>
        <v>0.48500000000000004</v>
      </c>
      <c r="AD109" s="334">
        <f t="shared" si="102"/>
        <v>0.48000000000000004</v>
      </c>
      <c r="AE109" s="334">
        <f t="shared" si="102"/>
        <v>0.48000000000000004</v>
      </c>
      <c r="AF109" s="334">
        <f t="shared" si="102"/>
        <v>0.48000000000000004</v>
      </c>
      <c r="AG109" s="334">
        <f t="shared" si="102"/>
        <v>0.48000000000000004</v>
      </c>
      <c r="AH109" s="334">
        <f t="shared" si="102"/>
        <v>0.48000000000000004</v>
      </c>
      <c r="AI109" s="334">
        <f t="shared" si="102"/>
        <v>0.48000000000000004</v>
      </c>
      <c r="AJ109" s="334">
        <f t="shared" si="102"/>
        <v>0.47000000000000003</v>
      </c>
      <c r="AK109" s="334">
        <f t="shared" si="102"/>
        <v>0.47000000000000003</v>
      </c>
      <c r="AL109" s="334">
        <f t="shared" si="102"/>
        <v>0.47000000000000003</v>
      </c>
      <c r="AM109" s="334">
        <f t="shared" si="102"/>
        <v>0.47000000000000003</v>
      </c>
    </row>
    <row r="110" spans="7:39" ht="15">
      <c r="G110" s="327"/>
      <c r="H110" s="332">
        <f>H114+1500</f>
        <v>200000</v>
      </c>
      <c r="I110" s="332"/>
      <c r="J110" s="332"/>
      <c r="K110" s="332"/>
      <c r="L110" s="333"/>
      <c r="M110" s="333"/>
      <c r="N110" s="333"/>
      <c r="O110" s="333"/>
      <c r="P110" s="333"/>
      <c r="Q110" s="333"/>
      <c r="R110" s="333"/>
      <c r="S110" s="333"/>
      <c r="T110" s="333"/>
      <c r="U110" s="333"/>
      <c r="V110" s="333"/>
      <c r="W110" s="333"/>
      <c r="Y110" s="327">
        <f>AB110</f>
        <v>200000</v>
      </c>
      <c r="Z110" s="327"/>
      <c r="AA110" s="333">
        <f t="shared" ca="1" si="74"/>
        <v>200000</v>
      </c>
      <c r="AB110" s="333">
        <f t="shared" ref="AB110:AM110" si="103">$H110</f>
        <v>200000</v>
      </c>
      <c r="AC110" s="333">
        <f t="shared" si="103"/>
        <v>200000</v>
      </c>
      <c r="AD110" s="333">
        <f t="shared" si="103"/>
        <v>200000</v>
      </c>
      <c r="AE110" s="333">
        <f t="shared" si="103"/>
        <v>200000</v>
      </c>
      <c r="AF110" s="333">
        <f t="shared" si="103"/>
        <v>200000</v>
      </c>
      <c r="AG110" s="333">
        <f t="shared" si="103"/>
        <v>200000</v>
      </c>
      <c r="AH110" s="333">
        <f t="shared" si="103"/>
        <v>200000</v>
      </c>
      <c r="AI110" s="333">
        <f t="shared" si="103"/>
        <v>200000</v>
      </c>
      <c r="AJ110" s="333">
        <f t="shared" si="103"/>
        <v>200000</v>
      </c>
      <c r="AK110" s="333">
        <f t="shared" si="103"/>
        <v>200000</v>
      </c>
      <c r="AL110" s="333">
        <f t="shared" si="103"/>
        <v>200000</v>
      </c>
      <c r="AM110" s="333">
        <f t="shared" si="103"/>
        <v>200000</v>
      </c>
    </row>
    <row r="111" spans="7:39" ht="15">
      <c r="G111" s="328"/>
      <c r="H111" s="261"/>
      <c r="I111" s="261"/>
      <c r="J111" s="261"/>
      <c r="K111" s="261"/>
      <c r="L111" s="215"/>
      <c r="M111" s="215"/>
      <c r="N111" s="215"/>
      <c r="O111" s="215"/>
      <c r="P111" s="215"/>
      <c r="Q111" s="215"/>
      <c r="R111" s="215"/>
      <c r="S111" s="215"/>
      <c r="T111" s="215"/>
      <c r="U111" s="215"/>
      <c r="V111" s="215"/>
      <c r="W111" s="215"/>
      <c r="Y111" s="328"/>
      <c r="Z111" s="328">
        <f ca="1">OFFSET(AB111,0,$AB$2)</f>
        <v>139862</v>
      </c>
      <c r="AA111" s="215">
        <f t="shared" ca="1" si="74"/>
        <v>139862</v>
      </c>
      <c r="AB111" s="215">
        <f>AB110-(AB116+(AB110-AB114)*AB117)</f>
        <v>139862</v>
      </c>
      <c r="AC111" s="215">
        <f t="shared" ref="AC111:AM111" si="104">AC110-(AC116+(AC110-AC114)*AC117)</f>
        <v>136862</v>
      </c>
      <c r="AD111" s="215">
        <f t="shared" si="104"/>
        <v>139802</v>
      </c>
      <c r="AE111" s="215">
        <f t="shared" si="104"/>
        <v>139817</v>
      </c>
      <c r="AF111" s="215">
        <f t="shared" si="104"/>
        <v>139832</v>
      </c>
      <c r="AG111" s="215">
        <f t="shared" si="104"/>
        <v>139847</v>
      </c>
      <c r="AH111" s="215">
        <f t="shared" si="104"/>
        <v>139862</v>
      </c>
      <c r="AI111" s="215">
        <f t="shared" si="104"/>
        <v>139862</v>
      </c>
      <c r="AJ111" s="215">
        <f t="shared" si="104"/>
        <v>139862</v>
      </c>
      <c r="AK111" s="215">
        <f t="shared" si="104"/>
        <v>139862</v>
      </c>
      <c r="AL111" s="215">
        <f t="shared" si="104"/>
        <v>139862</v>
      </c>
      <c r="AM111" s="215">
        <f t="shared" si="104"/>
        <v>139862</v>
      </c>
    </row>
    <row r="112" spans="7:39" ht="15">
      <c r="G112" s="329"/>
      <c r="H112" s="244"/>
      <c r="I112" s="244">
        <f>I116+($H110-$H114)*I117</f>
        <v>56138</v>
      </c>
      <c r="J112" s="244">
        <f>J116+($H110-$H114)*J117</f>
        <v>4000</v>
      </c>
      <c r="K112" s="244">
        <f>K116+($H110-$H114)*K117</f>
        <v>0</v>
      </c>
      <c r="L112" s="147">
        <v>0</v>
      </c>
      <c r="M112" s="147">
        <f t="shared" ref="M112:R112" si="105">M116+($H110-$H114)*M117</f>
        <v>3000</v>
      </c>
      <c r="N112" s="147">
        <f t="shared" si="105"/>
        <v>60</v>
      </c>
      <c r="O112" s="147">
        <f t="shared" si="105"/>
        <v>45</v>
      </c>
      <c r="P112" s="147">
        <f t="shared" si="105"/>
        <v>30</v>
      </c>
      <c r="Q112" s="147">
        <f t="shared" si="105"/>
        <v>15</v>
      </c>
      <c r="R112" s="147">
        <f t="shared" si="105"/>
        <v>0</v>
      </c>
      <c r="S112" s="147"/>
      <c r="T112" s="147"/>
      <c r="U112" s="147"/>
      <c r="V112" s="147"/>
      <c r="W112" s="147"/>
      <c r="Y112" s="329"/>
      <c r="Z112" s="329"/>
      <c r="AA112" s="147">
        <f t="shared" ca="1" si="74"/>
        <v>60138</v>
      </c>
      <c r="AB112" s="147">
        <f t="shared" ref="AB112:AM113" si="106">$I112+$J112+$K112+L112</f>
        <v>60138</v>
      </c>
      <c r="AC112" s="147">
        <f t="shared" si="106"/>
        <v>63138</v>
      </c>
      <c r="AD112" s="147">
        <f t="shared" si="106"/>
        <v>60198</v>
      </c>
      <c r="AE112" s="147">
        <f t="shared" si="106"/>
        <v>60183</v>
      </c>
      <c r="AF112" s="147">
        <f t="shared" si="106"/>
        <v>60168</v>
      </c>
      <c r="AG112" s="147">
        <f t="shared" si="106"/>
        <v>60153</v>
      </c>
      <c r="AH112" s="147">
        <f t="shared" si="106"/>
        <v>60138</v>
      </c>
      <c r="AI112" s="147">
        <f t="shared" si="106"/>
        <v>60138</v>
      </c>
      <c r="AJ112" s="147">
        <f t="shared" si="106"/>
        <v>60138</v>
      </c>
      <c r="AK112" s="147">
        <f t="shared" si="106"/>
        <v>60138</v>
      </c>
      <c r="AL112" s="147">
        <f t="shared" si="106"/>
        <v>60138</v>
      </c>
      <c r="AM112" s="147">
        <f t="shared" si="106"/>
        <v>60138</v>
      </c>
    </row>
    <row r="113" spans="4:42" ht="16" thickBot="1">
      <c r="G113" s="330"/>
      <c r="H113" s="331"/>
      <c r="I113" s="331">
        <f>$I$2</f>
        <v>0.45</v>
      </c>
      <c r="J113" s="331">
        <v>0.02</v>
      </c>
      <c r="K113" s="331">
        <f>$K$3</f>
        <v>0</v>
      </c>
      <c r="L113" s="334">
        <v>0</v>
      </c>
      <c r="M113" s="334">
        <v>1.4999999999999999E-2</v>
      </c>
      <c r="N113" s="334">
        <v>0.01</v>
      </c>
      <c r="O113" s="334">
        <v>0.01</v>
      </c>
      <c r="P113" s="334">
        <v>0.01</v>
      </c>
      <c r="Q113" s="334">
        <v>0.01</v>
      </c>
      <c r="R113" s="334">
        <v>0.01</v>
      </c>
      <c r="S113" s="334"/>
      <c r="T113" s="334"/>
      <c r="U113" s="334"/>
      <c r="V113" s="334"/>
      <c r="W113" s="334"/>
      <c r="Y113" s="330"/>
      <c r="Z113" s="330"/>
      <c r="AA113" s="334">
        <f t="shared" ca="1" si="74"/>
        <v>0.47000000000000003</v>
      </c>
      <c r="AB113" s="334">
        <f t="shared" si="106"/>
        <v>0.47000000000000003</v>
      </c>
      <c r="AC113" s="334">
        <f t="shared" si="106"/>
        <v>0.48500000000000004</v>
      </c>
      <c r="AD113" s="334">
        <f t="shared" si="106"/>
        <v>0.48000000000000004</v>
      </c>
      <c r="AE113" s="334">
        <f t="shared" si="106"/>
        <v>0.48000000000000004</v>
      </c>
      <c r="AF113" s="334">
        <f t="shared" si="106"/>
        <v>0.48000000000000004</v>
      </c>
      <c r="AG113" s="334">
        <f t="shared" si="106"/>
        <v>0.48000000000000004</v>
      </c>
      <c r="AH113" s="334">
        <f t="shared" si="106"/>
        <v>0.48000000000000004</v>
      </c>
      <c r="AI113" s="334">
        <f t="shared" si="106"/>
        <v>0.47000000000000003</v>
      </c>
      <c r="AJ113" s="334">
        <f t="shared" si="106"/>
        <v>0.47000000000000003</v>
      </c>
      <c r="AK113" s="334">
        <f t="shared" si="106"/>
        <v>0.47000000000000003</v>
      </c>
      <c r="AL113" s="334">
        <f t="shared" si="106"/>
        <v>0.47000000000000003</v>
      </c>
      <c r="AM113" s="334">
        <f t="shared" si="106"/>
        <v>0.47000000000000003</v>
      </c>
    </row>
    <row r="114" spans="4:42" ht="15">
      <c r="G114" s="327"/>
      <c r="H114" s="332">
        <f>H118+1500</f>
        <v>198500</v>
      </c>
      <c r="I114" s="332"/>
      <c r="J114" s="332"/>
      <c r="K114" s="332"/>
      <c r="L114" s="333"/>
      <c r="M114" s="333"/>
      <c r="N114" s="333"/>
      <c r="O114" s="333"/>
      <c r="P114" s="333"/>
      <c r="Q114" s="333"/>
      <c r="R114" s="333"/>
      <c r="S114" s="333"/>
      <c r="T114" s="333"/>
      <c r="U114" s="333"/>
      <c r="V114" s="333"/>
      <c r="W114" s="333"/>
      <c r="Y114" s="327">
        <f>AB114</f>
        <v>198500</v>
      </c>
      <c r="Z114" s="327"/>
      <c r="AA114" s="333">
        <f t="shared" ca="1" si="74"/>
        <v>198500</v>
      </c>
      <c r="AB114" s="333">
        <f t="shared" ref="AB114:AM114" si="107">$H114</f>
        <v>198500</v>
      </c>
      <c r="AC114" s="333">
        <f t="shared" si="107"/>
        <v>198500</v>
      </c>
      <c r="AD114" s="333">
        <f t="shared" si="107"/>
        <v>198500</v>
      </c>
      <c r="AE114" s="333">
        <f t="shared" si="107"/>
        <v>198500</v>
      </c>
      <c r="AF114" s="333">
        <f t="shared" si="107"/>
        <v>198500</v>
      </c>
      <c r="AG114" s="333">
        <f t="shared" si="107"/>
        <v>198500</v>
      </c>
      <c r="AH114" s="333">
        <f t="shared" si="107"/>
        <v>198500</v>
      </c>
      <c r="AI114" s="333">
        <f t="shared" si="107"/>
        <v>198500</v>
      </c>
      <c r="AJ114" s="333">
        <f t="shared" si="107"/>
        <v>198500</v>
      </c>
      <c r="AK114" s="333">
        <f t="shared" si="107"/>
        <v>198500</v>
      </c>
      <c r="AL114" s="333">
        <f t="shared" si="107"/>
        <v>198500</v>
      </c>
      <c r="AM114" s="333">
        <f t="shared" si="107"/>
        <v>198500</v>
      </c>
    </row>
    <row r="115" spans="4:42" ht="15">
      <c r="G115" s="328"/>
      <c r="H115" s="261"/>
      <c r="I115" s="261"/>
      <c r="J115" s="261"/>
      <c r="K115" s="261"/>
      <c r="L115" s="215"/>
      <c r="M115" s="215"/>
      <c r="N115" s="215"/>
      <c r="O115" s="215"/>
      <c r="P115" s="215"/>
      <c r="Q115" s="215"/>
      <c r="R115" s="215"/>
      <c r="S115" s="215"/>
      <c r="T115" s="215"/>
      <c r="U115" s="215"/>
      <c r="V115" s="215"/>
      <c r="W115" s="215"/>
      <c r="Y115" s="328"/>
      <c r="Z115" s="328">
        <f ca="1">OFFSET(AB115,0,$AB$2)</f>
        <v>139067</v>
      </c>
      <c r="AA115" s="215">
        <f t="shared" ca="1" si="74"/>
        <v>139067</v>
      </c>
      <c r="AB115" s="215">
        <f>AB114-(AB120+(AB114-AB118)*AB121)</f>
        <v>139067</v>
      </c>
      <c r="AC115" s="215">
        <f t="shared" ref="AC115:AM115" si="108">AC114-(AC120+(AC114-AC118)*AC121)</f>
        <v>136089.5</v>
      </c>
      <c r="AD115" s="215">
        <f t="shared" si="108"/>
        <v>139022</v>
      </c>
      <c r="AE115" s="215">
        <f t="shared" si="108"/>
        <v>139037</v>
      </c>
      <c r="AF115" s="215">
        <f t="shared" si="108"/>
        <v>139052</v>
      </c>
      <c r="AG115" s="215">
        <f t="shared" si="108"/>
        <v>139067</v>
      </c>
      <c r="AH115" s="215">
        <f t="shared" si="108"/>
        <v>139067</v>
      </c>
      <c r="AI115" s="215">
        <f t="shared" si="108"/>
        <v>139067</v>
      </c>
      <c r="AJ115" s="215">
        <f t="shared" si="108"/>
        <v>139067</v>
      </c>
      <c r="AK115" s="215">
        <f t="shared" si="108"/>
        <v>139067</v>
      </c>
      <c r="AL115" s="215">
        <f t="shared" si="108"/>
        <v>139067</v>
      </c>
      <c r="AM115" s="215">
        <f t="shared" si="108"/>
        <v>139067</v>
      </c>
    </row>
    <row r="116" spans="4:42" ht="15">
      <c r="G116" s="329"/>
      <c r="H116" s="244"/>
      <c r="I116" s="244">
        <f>I120+($H114-$H118)*I121</f>
        <v>55463</v>
      </c>
      <c r="J116" s="244">
        <f>J120+($H114-$H118)*J121</f>
        <v>3970</v>
      </c>
      <c r="K116" s="244">
        <f>K120+($H114-$H118)*K121</f>
        <v>0</v>
      </c>
      <c r="L116" s="147">
        <v>0</v>
      </c>
      <c r="M116" s="147">
        <f>M120+($H114-$H118)*M121</f>
        <v>2977.5</v>
      </c>
      <c r="N116" s="147">
        <f>N120+($H114-$H118)*N121</f>
        <v>45</v>
      </c>
      <c r="O116" s="147">
        <f>O120+($H114-$H118)*O121</f>
        <v>30</v>
      </c>
      <c r="P116" s="147">
        <f>P120+($H114-$H118)*P121</f>
        <v>15</v>
      </c>
      <c r="Q116" s="147">
        <f>Q120+($H114-$H118)*Q121</f>
        <v>0</v>
      </c>
      <c r="R116" s="147"/>
      <c r="S116" s="147"/>
      <c r="T116" s="147"/>
      <c r="U116" s="147"/>
      <c r="V116" s="147"/>
      <c r="W116" s="147"/>
      <c r="Y116" s="329"/>
      <c r="Z116" s="329"/>
      <c r="AA116" s="147">
        <f t="shared" ca="1" si="74"/>
        <v>59433</v>
      </c>
      <c r="AB116" s="147">
        <f t="shared" ref="AB116:AM117" si="109">$I116+$J116+$K116+L116</f>
        <v>59433</v>
      </c>
      <c r="AC116" s="147">
        <f t="shared" si="109"/>
        <v>62410.5</v>
      </c>
      <c r="AD116" s="147">
        <f t="shared" si="109"/>
        <v>59478</v>
      </c>
      <c r="AE116" s="147">
        <f t="shared" si="109"/>
        <v>59463</v>
      </c>
      <c r="AF116" s="147">
        <f t="shared" si="109"/>
        <v>59448</v>
      </c>
      <c r="AG116" s="147">
        <f t="shared" si="109"/>
        <v>59433</v>
      </c>
      <c r="AH116" s="147">
        <f t="shared" si="109"/>
        <v>59433</v>
      </c>
      <c r="AI116" s="147">
        <f t="shared" si="109"/>
        <v>59433</v>
      </c>
      <c r="AJ116" s="147">
        <f t="shared" si="109"/>
        <v>59433</v>
      </c>
      <c r="AK116" s="147">
        <f t="shared" si="109"/>
        <v>59433</v>
      </c>
      <c r="AL116" s="147">
        <f t="shared" si="109"/>
        <v>59433</v>
      </c>
      <c r="AM116" s="147">
        <f t="shared" si="109"/>
        <v>59433</v>
      </c>
    </row>
    <row r="117" spans="4:42" ht="16" thickBot="1">
      <c r="G117" s="330"/>
      <c r="H117" s="331"/>
      <c r="I117" s="331">
        <f>$I$2</f>
        <v>0.45</v>
      </c>
      <c r="J117" s="331">
        <v>0.02</v>
      </c>
      <c r="K117" s="331">
        <f>$K$3</f>
        <v>0</v>
      </c>
      <c r="L117" s="334">
        <v>0</v>
      </c>
      <c r="M117" s="334">
        <v>1.4999999999999999E-2</v>
      </c>
      <c r="N117" s="334">
        <v>0.01</v>
      </c>
      <c r="O117" s="334">
        <v>0.01</v>
      </c>
      <c r="P117" s="334">
        <v>0.01</v>
      </c>
      <c r="Q117" s="334">
        <v>0.01</v>
      </c>
      <c r="R117" s="334"/>
      <c r="S117" s="334"/>
      <c r="T117" s="334"/>
      <c r="U117" s="334"/>
      <c r="V117" s="334"/>
      <c r="W117" s="334"/>
      <c r="Y117" s="330"/>
      <c r="Z117" s="330"/>
      <c r="AA117" s="334">
        <f t="shared" ca="1" si="74"/>
        <v>0.47000000000000003</v>
      </c>
      <c r="AB117" s="334">
        <f t="shared" si="109"/>
        <v>0.47000000000000003</v>
      </c>
      <c r="AC117" s="334">
        <f t="shared" si="109"/>
        <v>0.48500000000000004</v>
      </c>
      <c r="AD117" s="334">
        <f t="shared" si="109"/>
        <v>0.48000000000000004</v>
      </c>
      <c r="AE117" s="334">
        <f t="shared" si="109"/>
        <v>0.48000000000000004</v>
      </c>
      <c r="AF117" s="334">
        <f t="shared" si="109"/>
        <v>0.48000000000000004</v>
      </c>
      <c r="AG117" s="334">
        <f t="shared" si="109"/>
        <v>0.48000000000000004</v>
      </c>
      <c r="AH117" s="334">
        <f t="shared" si="109"/>
        <v>0.47000000000000003</v>
      </c>
      <c r="AI117" s="334">
        <f t="shared" si="109"/>
        <v>0.47000000000000003</v>
      </c>
      <c r="AJ117" s="334">
        <f t="shared" si="109"/>
        <v>0.47000000000000003</v>
      </c>
      <c r="AK117" s="334">
        <f t="shared" si="109"/>
        <v>0.47000000000000003</v>
      </c>
      <c r="AL117" s="334">
        <f t="shared" si="109"/>
        <v>0.47000000000000003</v>
      </c>
      <c r="AM117" s="334">
        <f t="shared" si="109"/>
        <v>0.47000000000000003</v>
      </c>
    </row>
    <row r="118" spans="4:42" ht="15">
      <c r="G118" s="327"/>
      <c r="H118" s="332">
        <f>H122+1500</f>
        <v>197000</v>
      </c>
      <c r="I118" s="332"/>
      <c r="J118" s="332"/>
      <c r="K118" s="332"/>
      <c r="L118" s="333"/>
      <c r="M118" s="333"/>
      <c r="N118" s="333"/>
      <c r="O118" s="333"/>
      <c r="P118" s="333"/>
      <c r="Q118" s="333"/>
      <c r="R118" s="333"/>
      <c r="S118" s="333"/>
      <c r="T118" s="333"/>
      <c r="U118" s="333"/>
      <c r="V118" s="333"/>
      <c r="W118" s="333"/>
      <c r="Y118" s="327">
        <f>AB118</f>
        <v>197000</v>
      </c>
      <c r="Z118" s="327"/>
      <c r="AA118" s="333">
        <f t="shared" ca="1" si="74"/>
        <v>197000</v>
      </c>
      <c r="AB118" s="333">
        <f t="shared" ref="AB118:AM118" si="110">$H118</f>
        <v>197000</v>
      </c>
      <c r="AC118" s="333">
        <f t="shared" si="110"/>
        <v>197000</v>
      </c>
      <c r="AD118" s="333">
        <f t="shared" si="110"/>
        <v>197000</v>
      </c>
      <c r="AE118" s="333">
        <f t="shared" si="110"/>
        <v>197000</v>
      </c>
      <c r="AF118" s="333">
        <f t="shared" si="110"/>
        <v>197000</v>
      </c>
      <c r="AG118" s="333">
        <f t="shared" si="110"/>
        <v>197000</v>
      </c>
      <c r="AH118" s="333">
        <f t="shared" si="110"/>
        <v>197000</v>
      </c>
      <c r="AI118" s="333">
        <f t="shared" si="110"/>
        <v>197000</v>
      </c>
      <c r="AJ118" s="333">
        <f t="shared" si="110"/>
        <v>197000</v>
      </c>
      <c r="AK118" s="333">
        <f t="shared" si="110"/>
        <v>197000</v>
      </c>
      <c r="AL118" s="333">
        <f t="shared" si="110"/>
        <v>197000</v>
      </c>
      <c r="AM118" s="333">
        <f t="shared" si="110"/>
        <v>197000</v>
      </c>
    </row>
    <row r="119" spans="4:42" ht="15">
      <c r="G119" s="328"/>
      <c r="H119" s="261"/>
      <c r="I119" s="261"/>
      <c r="J119" s="261"/>
      <c r="K119" s="261"/>
      <c r="L119" s="215"/>
      <c r="M119" s="215"/>
      <c r="N119" s="215"/>
      <c r="O119" s="215"/>
      <c r="P119" s="215"/>
      <c r="Q119" s="215"/>
      <c r="R119" s="215"/>
      <c r="S119" s="215"/>
      <c r="T119" s="215"/>
      <c r="U119" s="215"/>
      <c r="V119" s="215"/>
      <c r="W119" s="215"/>
      <c r="Y119" s="328"/>
      <c r="Z119" s="328">
        <f ca="1">OFFSET(AB119,0,$AB$2)</f>
        <v>138272</v>
      </c>
      <c r="AA119" s="215">
        <f t="shared" ca="1" si="74"/>
        <v>138272</v>
      </c>
      <c r="AB119" s="215">
        <f>AB118-(AB124+(AB118-AB122)*AB125)</f>
        <v>138272</v>
      </c>
      <c r="AC119" s="215">
        <f t="shared" ref="AC119:AM119" si="111">AC118-(AC124+(AC118-AC122)*AC125)</f>
        <v>135317</v>
      </c>
      <c r="AD119" s="215">
        <f t="shared" si="111"/>
        <v>138242</v>
      </c>
      <c r="AE119" s="215">
        <f t="shared" si="111"/>
        <v>138257</v>
      </c>
      <c r="AF119" s="215">
        <f t="shared" si="111"/>
        <v>138272</v>
      </c>
      <c r="AG119" s="215">
        <f t="shared" si="111"/>
        <v>138272</v>
      </c>
      <c r="AH119" s="215">
        <f t="shared" si="111"/>
        <v>138272</v>
      </c>
      <c r="AI119" s="215">
        <f t="shared" si="111"/>
        <v>138272</v>
      </c>
      <c r="AJ119" s="215">
        <f t="shared" si="111"/>
        <v>138272</v>
      </c>
      <c r="AK119" s="215">
        <f t="shared" si="111"/>
        <v>138272</v>
      </c>
      <c r="AL119" s="215">
        <f t="shared" si="111"/>
        <v>138272</v>
      </c>
      <c r="AM119" s="215">
        <f t="shared" si="111"/>
        <v>138272</v>
      </c>
    </row>
    <row r="120" spans="4:42" ht="15">
      <c r="G120" s="329"/>
      <c r="H120" s="244"/>
      <c r="I120" s="244">
        <f>I124+($H118-$H122)*I125</f>
        <v>54788</v>
      </c>
      <c r="J120" s="244">
        <f>J124+($H118-$H122)*J125</f>
        <v>3940</v>
      </c>
      <c r="K120" s="244">
        <f>K124+($H118-$H122)*K125</f>
        <v>0</v>
      </c>
      <c r="L120" s="147">
        <v>0</v>
      </c>
      <c r="M120" s="147">
        <f>M124+($H118-$H122)*M125</f>
        <v>2955</v>
      </c>
      <c r="N120" s="147">
        <f>N124+($H118-$H122)*N125</f>
        <v>30</v>
      </c>
      <c r="O120" s="147">
        <f>O124+($H118-$H122)*O125</f>
        <v>15</v>
      </c>
      <c r="P120" s="147">
        <f>P124+($H118-$H122)*P125</f>
        <v>0</v>
      </c>
      <c r="Q120" s="147"/>
      <c r="R120" s="147"/>
      <c r="S120" s="147"/>
      <c r="T120" s="147"/>
      <c r="U120" s="147"/>
      <c r="V120" s="147"/>
      <c r="W120" s="147"/>
      <c r="Y120" s="329"/>
      <c r="Z120" s="329"/>
      <c r="AA120" s="147">
        <f t="shared" ca="1" si="74"/>
        <v>58728</v>
      </c>
      <c r="AB120" s="147">
        <f t="shared" ref="AB120:AM121" si="112">$I120+$J120+$K120+L120</f>
        <v>58728</v>
      </c>
      <c r="AC120" s="147">
        <f t="shared" si="112"/>
        <v>61683</v>
      </c>
      <c r="AD120" s="147">
        <f t="shared" si="112"/>
        <v>58758</v>
      </c>
      <c r="AE120" s="147">
        <f t="shared" si="112"/>
        <v>58743</v>
      </c>
      <c r="AF120" s="147">
        <f t="shared" si="112"/>
        <v>58728</v>
      </c>
      <c r="AG120" s="147">
        <f t="shared" si="112"/>
        <v>58728</v>
      </c>
      <c r="AH120" s="147">
        <f t="shared" si="112"/>
        <v>58728</v>
      </c>
      <c r="AI120" s="147">
        <f t="shared" si="112"/>
        <v>58728</v>
      </c>
      <c r="AJ120" s="147">
        <f t="shared" si="112"/>
        <v>58728</v>
      </c>
      <c r="AK120" s="147">
        <f t="shared" si="112"/>
        <v>58728</v>
      </c>
      <c r="AL120" s="147">
        <f t="shared" si="112"/>
        <v>58728</v>
      </c>
      <c r="AM120" s="147">
        <f t="shared" si="112"/>
        <v>58728</v>
      </c>
      <c r="AN120" s="322">
        <v>0</v>
      </c>
      <c r="AO120" s="322" t="b">
        <v>0</v>
      </c>
      <c r="AP120" s="322" t="b">
        <v>0</v>
      </c>
    </row>
    <row r="121" spans="4:42" ht="16" thickBot="1">
      <c r="G121" s="330"/>
      <c r="H121" s="331"/>
      <c r="I121" s="331">
        <f>$I$2</f>
        <v>0.45</v>
      </c>
      <c r="J121" s="331">
        <v>0.02</v>
      </c>
      <c r="K121" s="331">
        <f>$K$3</f>
        <v>0</v>
      </c>
      <c r="L121" s="334">
        <v>0</v>
      </c>
      <c r="M121" s="334">
        <v>1.4999999999999999E-2</v>
      </c>
      <c r="N121" s="334">
        <v>0.01</v>
      </c>
      <c r="O121" s="334">
        <v>0.01</v>
      </c>
      <c r="P121" s="334">
        <v>0.01</v>
      </c>
      <c r="Q121" s="334"/>
      <c r="R121" s="334"/>
      <c r="S121" s="334"/>
      <c r="T121" s="334"/>
      <c r="U121" s="334"/>
      <c r="V121" s="334"/>
      <c r="W121" s="334"/>
      <c r="Y121" s="330"/>
      <c r="Z121" s="330"/>
      <c r="AA121" s="334">
        <f t="shared" ca="1" si="74"/>
        <v>0.47000000000000003</v>
      </c>
      <c r="AB121" s="334">
        <f t="shared" si="112"/>
        <v>0.47000000000000003</v>
      </c>
      <c r="AC121" s="334">
        <f t="shared" si="112"/>
        <v>0.48500000000000004</v>
      </c>
      <c r="AD121" s="334">
        <f t="shared" si="112"/>
        <v>0.48000000000000004</v>
      </c>
      <c r="AE121" s="334">
        <f t="shared" si="112"/>
        <v>0.48000000000000004</v>
      </c>
      <c r="AF121" s="334">
        <f t="shared" si="112"/>
        <v>0.48000000000000004</v>
      </c>
      <c r="AG121" s="334">
        <f t="shared" si="112"/>
        <v>0.47000000000000003</v>
      </c>
      <c r="AH121" s="334">
        <f t="shared" si="112"/>
        <v>0.47000000000000003</v>
      </c>
      <c r="AI121" s="334">
        <f t="shared" si="112"/>
        <v>0.47000000000000003</v>
      </c>
      <c r="AJ121" s="334">
        <f t="shared" si="112"/>
        <v>0.47000000000000003</v>
      </c>
      <c r="AK121" s="334">
        <f t="shared" si="112"/>
        <v>0.47000000000000003</v>
      </c>
      <c r="AL121" s="334">
        <f t="shared" si="112"/>
        <v>0.47000000000000003</v>
      </c>
      <c r="AM121" s="334">
        <f t="shared" si="112"/>
        <v>0.47000000000000003</v>
      </c>
    </row>
    <row r="122" spans="4:42" ht="15">
      <c r="G122" s="327"/>
      <c r="H122" s="332">
        <f>H126+1500</f>
        <v>195500</v>
      </c>
      <c r="I122" s="332"/>
      <c r="J122" s="332"/>
      <c r="K122" s="332"/>
      <c r="L122" s="333"/>
      <c r="M122" s="333"/>
      <c r="N122" s="333"/>
      <c r="O122" s="333"/>
      <c r="P122" s="333"/>
      <c r="Q122" s="333"/>
      <c r="R122" s="333"/>
      <c r="S122" s="333"/>
      <c r="T122" s="333"/>
      <c r="U122" s="333"/>
      <c r="V122" s="333"/>
      <c r="W122" s="333"/>
      <c r="Y122" s="327">
        <f>AB122</f>
        <v>195500</v>
      </c>
      <c r="Z122" s="327"/>
      <c r="AA122" s="333">
        <f t="shared" ca="1" si="74"/>
        <v>195500</v>
      </c>
      <c r="AB122" s="333">
        <f t="shared" ref="AB122:AM122" si="113">$H122</f>
        <v>195500</v>
      </c>
      <c r="AC122" s="333">
        <f t="shared" si="113"/>
        <v>195500</v>
      </c>
      <c r="AD122" s="333">
        <f t="shared" si="113"/>
        <v>195500</v>
      </c>
      <c r="AE122" s="333">
        <f t="shared" si="113"/>
        <v>195500</v>
      </c>
      <c r="AF122" s="333">
        <f t="shared" si="113"/>
        <v>195500</v>
      </c>
      <c r="AG122" s="333">
        <f t="shared" si="113"/>
        <v>195500</v>
      </c>
      <c r="AH122" s="333">
        <f t="shared" si="113"/>
        <v>195500</v>
      </c>
      <c r="AI122" s="333">
        <f t="shared" si="113"/>
        <v>195500</v>
      </c>
      <c r="AJ122" s="333">
        <f t="shared" si="113"/>
        <v>195500</v>
      </c>
      <c r="AK122" s="333">
        <f t="shared" si="113"/>
        <v>195500</v>
      </c>
      <c r="AL122" s="333">
        <f t="shared" si="113"/>
        <v>195500</v>
      </c>
      <c r="AM122" s="333">
        <f t="shared" si="113"/>
        <v>195500</v>
      </c>
    </row>
    <row r="123" spans="4:42" ht="15">
      <c r="G123" s="328"/>
      <c r="H123" s="261"/>
      <c r="I123" s="261"/>
      <c r="J123" s="261"/>
      <c r="K123" s="261"/>
      <c r="L123" s="215"/>
      <c r="M123" s="215"/>
      <c r="N123" s="215"/>
      <c r="O123" s="215"/>
      <c r="P123" s="215"/>
      <c r="Q123" s="215"/>
      <c r="R123" s="215"/>
      <c r="S123" s="215"/>
      <c r="T123" s="215"/>
      <c r="U123" s="215"/>
      <c r="V123" s="215"/>
      <c r="W123" s="215"/>
      <c r="Y123" s="328"/>
      <c r="Z123" s="328">
        <f ca="1">OFFSET(AB123,0,$AB$2)</f>
        <v>137477</v>
      </c>
      <c r="AA123" s="215">
        <f t="shared" ca="1" si="74"/>
        <v>137477</v>
      </c>
      <c r="AB123" s="215">
        <f>AB122-(AB128+(AB122-AB126)*AB129)</f>
        <v>137477</v>
      </c>
      <c r="AC123" s="215">
        <f t="shared" ref="AC123:AM123" si="114">AC122-(AC128+(AC122-AC126)*AC129)</f>
        <v>134544.5</v>
      </c>
      <c r="AD123" s="215">
        <f t="shared" si="114"/>
        <v>137462</v>
      </c>
      <c r="AE123" s="215">
        <f t="shared" si="114"/>
        <v>137477</v>
      </c>
      <c r="AF123" s="215">
        <f t="shared" si="114"/>
        <v>137477</v>
      </c>
      <c r="AG123" s="215">
        <f t="shared" si="114"/>
        <v>137477</v>
      </c>
      <c r="AH123" s="215">
        <f t="shared" si="114"/>
        <v>137477</v>
      </c>
      <c r="AI123" s="215">
        <f t="shared" si="114"/>
        <v>137477</v>
      </c>
      <c r="AJ123" s="215">
        <f t="shared" si="114"/>
        <v>137477</v>
      </c>
      <c r="AK123" s="215">
        <f t="shared" si="114"/>
        <v>137477</v>
      </c>
      <c r="AL123" s="215">
        <f t="shared" si="114"/>
        <v>137477</v>
      </c>
      <c r="AM123" s="215">
        <f t="shared" si="114"/>
        <v>189589.07</v>
      </c>
    </row>
    <row r="124" spans="4:42" ht="15">
      <c r="G124" s="329"/>
      <c r="H124" s="244"/>
      <c r="I124" s="244">
        <f>I128+($H122-$H126)*I129</f>
        <v>54113</v>
      </c>
      <c r="J124" s="244">
        <f>J128+($H122-$H126)*J129</f>
        <v>3910</v>
      </c>
      <c r="K124" s="244">
        <f>K128+($H122-$H126)*K129</f>
        <v>0</v>
      </c>
      <c r="L124" s="147">
        <v>0</v>
      </c>
      <c r="M124" s="147">
        <f>M128+($H122-$H126)*M129</f>
        <v>2932.5</v>
      </c>
      <c r="N124" s="147">
        <f>N128+($H122-$H126)*N129</f>
        <v>15</v>
      </c>
      <c r="O124" s="147">
        <f>O128+($H122-$H126)*O129</f>
        <v>0</v>
      </c>
      <c r="P124" s="147"/>
      <c r="Q124" s="147"/>
      <c r="R124" s="147"/>
      <c r="S124" s="147"/>
      <c r="T124" s="147"/>
      <c r="U124" s="147"/>
      <c r="V124" s="147"/>
      <c r="W124" s="147"/>
      <c r="Y124" s="329"/>
      <c r="Z124" s="329"/>
      <c r="AA124" s="147">
        <f t="shared" ca="1" si="74"/>
        <v>58023</v>
      </c>
      <c r="AB124" s="147">
        <f t="shared" ref="AB124:AM125" si="115">$I124+$J124+$K124+L124</f>
        <v>58023</v>
      </c>
      <c r="AC124" s="147">
        <f t="shared" si="115"/>
        <v>60955.5</v>
      </c>
      <c r="AD124" s="147">
        <f t="shared" si="115"/>
        <v>58038</v>
      </c>
      <c r="AE124" s="147">
        <f t="shared" si="115"/>
        <v>58023</v>
      </c>
      <c r="AF124" s="147">
        <f t="shared" si="115"/>
        <v>58023</v>
      </c>
      <c r="AG124" s="147">
        <f t="shared" si="115"/>
        <v>58023</v>
      </c>
      <c r="AH124" s="147">
        <f t="shared" si="115"/>
        <v>58023</v>
      </c>
      <c r="AI124" s="147">
        <f t="shared" si="115"/>
        <v>58023</v>
      </c>
      <c r="AJ124" s="147">
        <f t="shared" si="115"/>
        <v>58023</v>
      </c>
      <c r="AK124" s="147">
        <f t="shared" si="115"/>
        <v>58023</v>
      </c>
      <c r="AL124" s="147">
        <f t="shared" si="115"/>
        <v>58023</v>
      </c>
      <c r="AM124" s="147">
        <f t="shared" si="115"/>
        <v>58023</v>
      </c>
    </row>
    <row r="125" spans="4:42" ht="16" thickBot="1">
      <c r="D125" s="325"/>
      <c r="G125" s="330"/>
      <c r="H125" s="331"/>
      <c r="I125" s="331">
        <f>$I$2</f>
        <v>0.45</v>
      </c>
      <c r="J125" s="331">
        <v>0.02</v>
      </c>
      <c r="K125" s="331">
        <f>$K$3</f>
        <v>0</v>
      </c>
      <c r="L125" s="334">
        <v>0</v>
      </c>
      <c r="M125" s="334">
        <v>1.4999999999999999E-2</v>
      </c>
      <c r="N125" s="334">
        <v>0.01</v>
      </c>
      <c r="O125" s="334">
        <v>0.01</v>
      </c>
      <c r="P125" s="334"/>
      <c r="Q125" s="334"/>
      <c r="R125" s="334"/>
      <c r="S125" s="334"/>
      <c r="T125" s="334"/>
      <c r="U125" s="334"/>
      <c r="V125" s="334"/>
      <c r="W125" s="334"/>
      <c r="Y125" s="330"/>
      <c r="Z125" s="330"/>
      <c r="AA125" s="334">
        <f t="shared" ca="1" si="74"/>
        <v>0.47000000000000003</v>
      </c>
      <c r="AB125" s="334">
        <f t="shared" si="115"/>
        <v>0.47000000000000003</v>
      </c>
      <c r="AC125" s="334">
        <f t="shared" si="115"/>
        <v>0.48500000000000004</v>
      </c>
      <c r="AD125" s="334">
        <f t="shared" si="115"/>
        <v>0.48000000000000004</v>
      </c>
      <c r="AE125" s="334">
        <f t="shared" si="115"/>
        <v>0.48000000000000004</v>
      </c>
      <c r="AF125" s="334">
        <f t="shared" si="115"/>
        <v>0.47000000000000003</v>
      </c>
      <c r="AG125" s="334">
        <f t="shared" si="115"/>
        <v>0.47000000000000003</v>
      </c>
      <c r="AH125" s="334">
        <f t="shared" si="115"/>
        <v>0.47000000000000003</v>
      </c>
      <c r="AI125" s="334">
        <f t="shared" si="115"/>
        <v>0.47000000000000003</v>
      </c>
      <c r="AJ125" s="334">
        <f t="shared" si="115"/>
        <v>0.47000000000000003</v>
      </c>
      <c r="AK125" s="334">
        <f t="shared" si="115"/>
        <v>0.47000000000000003</v>
      </c>
      <c r="AL125" s="334">
        <f t="shared" si="115"/>
        <v>0.47000000000000003</v>
      </c>
      <c r="AM125" s="334">
        <f t="shared" si="115"/>
        <v>0.47000000000000003</v>
      </c>
    </row>
    <row r="126" spans="4:42" ht="15">
      <c r="G126" s="327"/>
      <c r="H126" s="332">
        <v>194000</v>
      </c>
      <c r="I126" s="332"/>
      <c r="J126" s="332"/>
      <c r="K126" s="332"/>
      <c r="L126" s="333"/>
      <c r="M126" s="333"/>
      <c r="N126" s="333"/>
      <c r="O126" s="333"/>
      <c r="P126" s="333"/>
      <c r="Q126" s="333"/>
      <c r="R126" s="333"/>
      <c r="S126" s="333"/>
      <c r="T126" s="333"/>
      <c r="U126" s="333"/>
      <c r="V126" s="333"/>
      <c r="W126" s="333"/>
      <c r="Y126" s="327">
        <f>AB126</f>
        <v>194000</v>
      </c>
      <c r="Z126" s="327"/>
      <c r="AA126" s="333">
        <f t="shared" ca="1" si="74"/>
        <v>194000</v>
      </c>
      <c r="AB126" s="333">
        <f t="shared" ref="AB126:AM126" si="116">$H126</f>
        <v>194000</v>
      </c>
      <c r="AC126" s="333">
        <f t="shared" si="116"/>
        <v>194000</v>
      </c>
      <c r="AD126" s="333">
        <f t="shared" si="116"/>
        <v>194000</v>
      </c>
      <c r="AE126" s="333">
        <f t="shared" si="116"/>
        <v>194000</v>
      </c>
      <c r="AF126" s="333">
        <f t="shared" si="116"/>
        <v>194000</v>
      </c>
      <c r="AG126" s="333">
        <f t="shared" si="116"/>
        <v>194000</v>
      </c>
      <c r="AH126" s="333">
        <f t="shared" si="116"/>
        <v>194000</v>
      </c>
      <c r="AI126" s="333">
        <f t="shared" si="116"/>
        <v>194000</v>
      </c>
      <c r="AJ126" s="333">
        <f t="shared" si="116"/>
        <v>194000</v>
      </c>
      <c r="AK126" s="333">
        <f t="shared" si="116"/>
        <v>194000</v>
      </c>
      <c r="AL126" s="333">
        <f t="shared" si="116"/>
        <v>194000</v>
      </c>
      <c r="AM126" s="333">
        <f t="shared" si="116"/>
        <v>194000</v>
      </c>
      <c r="AN126" s="322">
        <v>0</v>
      </c>
      <c r="AP126" s="322" t="b">
        <v>1</v>
      </c>
    </row>
    <row r="127" spans="4:42" ht="15">
      <c r="E127" s="325"/>
      <c r="G127" s="328"/>
      <c r="H127" s="261"/>
      <c r="I127" s="261"/>
      <c r="J127" s="261"/>
      <c r="K127" s="261"/>
      <c r="L127" s="215"/>
      <c r="M127" s="215"/>
      <c r="N127" s="215"/>
      <c r="O127" s="215"/>
      <c r="P127" s="215"/>
      <c r="Q127" s="215"/>
      <c r="R127" s="215"/>
      <c r="S127" s="215"/>
      <c r="T127" s="215"/>
      <c r="U127" s="215"/>
      <c r="V127" s="215"/>
      <c r="W127" s="215"/>
      <c r="Y127" s="328"/>
      <c r="Z127" s="328">
        <f ca="1">OFFSET(AB127,0,$AB$2)</f>
        <v>136682</v>
      </c>
      <c r="AA127" s="215">
        <f t="shared" ca="1" si="74"/>
        <v>136682</v>
      </c>
      <c r="AB127" s="215">
        <f>AB126-(AB132+(AB126-AB130)*AB133)</f>
        <v>136682</v>
      </c>
      <c r="AC127" s="215">
        <f t="shared" ref="AC127:AM127" si="117">AC126-(AC132+(AC126-AC130)*AC133)</f>
        <v>133772</v>
      </c>
      <c r="AD127" s="215">
        <f t="shared" si="117"/>
        <v>136682</v>
      </c>
      <c r="AE127" s="215">
        <f t="shared" si="117"/>
        <v>136682</v>
      </c>
      <c r="AF127" s="215">
        <f t="shared" si="117"/>
        <v>136682</v>
      </c>
      <c r="AG127" s="215">
        <f t="shared" si="117"/>
        <v>136682</v>
      </c>
      <c r="AH127" s="215">
        <f t="shared" si="117"/>
        <v>136682</v>
      </c>
      <c r="AI127" s="215">
        <f t="shared" si="117"/>
        <v>136682</v>
      </c>
      <c r="AJ127" s="215">
        <f t="shared" si="117"/>
        <v>136682</v>
      </c>
      <c r="AK127" s="215">
        <f t="shared" si="117"/>
        <v>136682</v>
      </c>
      <c r="AL127" s="215">
        <f t="shared" si="117"/>
        <v>136682</v>
      </c>
      <c r="AM127" s="215">
        <f t="shared" si="117"/>
        <v>136682</v>
      </c>
    </row>
    <row r="128" spans="4:42" ht="15">
      <c r="G128" s="329"/>
      <c r="H128" s="244"/>
      <c r="I128" s="244">
        <f>I132+($H126-$H130)*I133</f>
        <v>53438</v>
      </c>
      <c r="J128" s="244">
        <f>J132+($H126-$H130)*J133</f>
        <v>3880</v>
      </c>
      <c r="K128" s="244">
        <f>K132+($H126-$H130)*K133</f>
        <v>0</v>
      </c>
      <c r="L128" s="147">
        <v>0</v>
      </c>
      <c r="M128" s="147">
        <f>M132+($H126-$H130)*M133</f>
        <v>2910</v>
      </c>
      <c r="N128" s="147">
        <f>N132+($H126-$H130)*N133</f>
        <v>0</v>
      </c>
      <c r="O128" s="147"/>
      <c r="P128" s="147"/>
      <c r="Q128" s="147"/>
      <c r="R128" s="147"/>
      <c r="S128" s="147"/>
      <c r="T128" s="147"/>
      <c r="U128" s="147"/>
      <c r="V128" s="147"/>
      <c r="W128" s="147"/>
      <c r="Y128" s="329"/>
      <c r="Z128" s="329"/>
      <c r="AA128" s="147">
        <f t="shared" ca="1" si="74"/>
        <v>57318</v>
      </c>
      <c r="AB128" s="147">
        <f t="shared" ref="AB128:AL129" si="118">$I128+$J128+$K128+L128</f>
        <v>57318</v>
      </c>
      <c r="AC128" s="147">
        <f t="shared" si="118"/>
        <v>60228</v>
      </c>
      <c r="AD128" s="147">
        <f t="shared" si="118"/>
        <v>57318</v>
      </c>
      <c r="AE128" s="147">
        <f t="shared" si="118"/>
        <v>57318</v>
      </c>
      <c r="AF128" s="147">
        <f t="shared" si="118"/>
        <v>57318</v>
      </c>
      <c r="AG128" s="147">
        <f t="shared" si="118"/>
        <v>57318</v>
      </c>
      <c r="AH128" s="147">
        <f t="shared" si="118"/>
        <v>57318</v>
      </c>
      <c r="AI128" s="147">
        <f t="shared" si="118"/>
        <v>57318</v>
      </c>
      <c r="AJ128" s="147">
        <f t="shared" si="118"/>
        <v>57318</v>
      </c>
      <c r="AK128" s="147">
        <f t="shared" si="118"/>
        <v>57318</v>
      </c>
      <c r="AL128" s="147">
        <f t="shared" si="118"/>
        <v>57318</v>
      </c>
      <c r="AM128" s="147">
        <v>5205.93</v>
      </c>
    </row>
    <row r="129" spans="4:42" ht="16" thickBot="1">
      <c r="G129" s="330"/>
      <c r="H129" s="331"/>
      <c r="I129" s="331">
        <f>$I$2</f>
        <v>0.45</v>
      </c>
      <c r="J129" s="331">
        <v>0.02</v>
      </c>
      <c r="K129" s="331">
        <f>$K$3</f>
        <v>0</v>
      </c>
      <c r="L129" s="334">
        <v>0</v>
      </c>
      <c r="M129" s="334">
        <v>1.4999999999999999E-2</v>
      </c>
      <c r="N129" s="334">
        <v>0.01</v>
      </c>
      <c r="O129" s="334"/>
      <c r="P129" s="334"/>
      <c r="Q129" s="334"/>
      <c r="R129" s="334"/>
      <c r="S129" s="334"/>
      <c r="T129" s="334"/>
      <c r="U129" s="334"/>
      <c r="V129" s="334"/>
      <c r="W129" s="334"/>
      <c r="Y129" s="330"/>
      <c r="Z129" s="330"/>
      <c r="AA129" s="334">
        <f t="shared" ca="1" si="74"/>
        <v>0.47000000000000003</v>
      </c>
      <c r="AB129" s="334">
        <f t="shared" si="118"/>
        <v>0.47000000000000003</v>
      </c>
      <c r="AC129" s="334">
        <f t="shared" si="118"/>
        <v>0.48500000000000004</v>
      </c>
      <c r="AD129" s="334">
        <f t="shared" si="118"/>
        <v>0.48000000000000004</v>
      </c>
      <c r="AE129" s="334">
        <f t="shared" si="118"/>
        <v>0.47000000000000003</v>
      </c>
      <c r="AF129" s="334">
        <f t="shared" si="118"/>
        <v>0.47000000000000003</v>
      </c>
      <c r="AG129" s="334">
        <f t="shared" si="118"/>
        <v>0.47000000000000003</v>
      </c>
      <c r="AH129" s="334">
        <f t="shared" si="118"/>
        <v>0.47000000000000003</v>
      </c>
      <c r="AI129" s="334">
        <f t="shared" si="118"/>
        <v>0.47000000000000003</v>
      </c>
      <c r="AJ129" s="334">
        <f t="shared" si="118"/>
        <v>0.47000000000000003</v>
      </c>
      <c r="AK129" s="334">
        <f t="shared" si="118"/>
        <v>0.47000000000000003</v>
      </c>
      <c r="AL129" s="334">
        <f t="shared" si="118"/>
        <v>0.47000000000000003</v>
      </c>
      <c r="AM129" s="334">
        <f>$I129+$J129+$K129+W129</f>
        <v>0.47000000000000003</v>
      </c>
    </row>
    <row r="130" spans="4:42" ht="15">
      <c r="D130" s="335"/>
      <c r="G130" s="327"/>
      <c r="H130" s="697">
        <v>190000</v>
      </c>
      <c r="I130" s="332"/>
      <c r="J130" s="332"/>
      <c r="K130" s="332"/>
      <c r="L130" s="333"/>
      <c r="M130" s="333"/>
      <c r="N130" s="333"/>
      <c r="O130" s="333"/>
      <c r="P130" s="333"/>
      <c r="Q130" s="333"/>
      <c r="R130" s="333"/>
      <c r="S130" s="333"/>
      <c r="T130" s="333"/>
      <c r="U130" s="333"/>
      <c r="V130" s="333"/>
      <c r="W130" s="333"/>
      <c r="Y130" s="327">
        <f>AB130</f>
        <v>190000</v>
      </c>
      <c r="Z130" s="327"/>
      <c r="AA130" s="333">
        <f t="shared" ca="1" si="74"/>
        <v>190000</v>
      </c>
      <c r="AB130" s="333">
        <f t="shared" ref="AB130:AM130" si="119">$H130</f>
        <v>190000</v>
      </c>
      <c r="AC130" s="333">
        <f t="shared" si="119"/>
        <v>190000</v>
      </c>
      <c r="AD130" s="333">
        <f t="shared" si="119"/>
        <v>190000</v>
      </c>
      <c r="AE130" s="333">
        <f t="shared" si="119"/>
        <v>190000</v>
      </c>
      <c r="AF130" s="333">
        <f t="shared" si="119"/>
        <v>190000</v>
      </c>
      <c r="AG130" s="333">
        <f t="shared" si="119"/>
        <v>190000</v>
      </c>
      <c r="AH130" s="333">
        <f t="shared" si="119"/>
        <v>190000</v>
      </c>
      <c r="AI130" s="333">
        <f t="shared" si="119"/>
        <v>190000</v>
      </c>
      <c r="AJ130" s="333">
        <f t="shared" si="119"/>
        <v>190000</v>
      </c>
      <c r="AK130" s="333">
        <f t="shared" si="119"/>
        <v>190000</v>
      </c>
      <c r="AL130" s="333">
        <f t="shared" si="119"/>
        <v>190000</v>
      </c>
      <c r="AM130" s="333">
        <f t="shared" si="119"/>
        <v>190000</v>
      </c>
    </row>
    <row r="131" spans="4:42" ht="15">
      <c r="G131" s="328"/>
      <c r="H131" s="261"/>
      <c r="I131" s="261"/>
      <c r="J131" s="261"/>
      <c r="K131" s="261"/>
      <c r="L131" s="215"/>
      <c r="M131" s="215"/>
      <c r="N131" s="215"/>
      <c r="O131" s="215"/>
      <c r="P131" s="215"/>
      <c r="Q131" s="215"/>
      <c r="R131" s="215"/>
      <c r="S131" s="215"/>
      <c r="T131" s="215"/>
      <c r="U131" s="215"/>
      <c r="V131" s="215"/>
      <c r="W131" s="215"/>
      <c r="Y131" s="328"/>
      <c r="Z131" s="328">
        <f ca="1">OFFSET(AB131,0,$AB$2)</f>
        <v>134562</v>
      </c>
      <c r="AA131" s="215">
        <f t="shared" ca="1" si="74"/>
        <v>134562</v>
      </c>
      <c r="AB131" s="215">
        <f>AB130-(AB136+(AB130-AB134)*AB137)</f>
        <v>134562</v>
      </c>
      <c r="AC131" s="215">
        <f t="shared" ref="AC131:AM131" si="120">AC130-(AC136+(AC130-AC134)*AC137)</f>
        <v>131712</v>
      </c>
      <c r="AD131" s="215">
        <f t="shared" si="120"/>
        <v>134562</v>
      </c>
      <c r="AE131" s="215">
        <f t="shared" si="120"/>
        <v>134562</v>
      </c>
      <c r="AF131" s="215">
        <f t="shared" si="120"/>
        <v>134562</v>
      </c>
      <c r="AG131" s="215">
        <f t="shared" si="120"/>
        <v>134562</v>
      </c>
      <c r="AH131" s="215">
        <f t="shared" si="120"/>
        <v>134562</v>
      </c>
      <c r="AI131" s="215">
        <f t="shared" si="120"/>
        <v>134562</v>
      </c>
      <c r="AJ131" s="215">
        <f t="shared" si="120"/>
        <v>134562</v>
      </c>
      <c r="AK131" s="215">
        <f t="shared" si="120"/>
        <v>134562</v>
      </c>
      <c r="AL131" s="215">
        <f t="shared" si="120"/>
        <v>134562</v>
      </c>
      <c r="AM131" s="215">
        <f t="shared" si="120"/>
        <v>134562</v>
      </c>
    </row>
    <row r="132" spans="4:42" ht="15">
      <c r="G132" s="329"/>
      <c r="H132" s="244"/>
      <c r="I132" s="244">
        <f>I136+($H130-$H134)*I137</f>
        <v>51638</v>
      </c>
      <c r="J132" s="244">
        <f>J136+($H130-$H134)*J137</f>
        <v>3800</v>
      </c>
      <c r="K132" s="244">
        <f>K136+($H130-$H134)*K137</f>
        <v>0</v>
      </c>
      <c r="L132" s="147">
        <v>0</v>
      </c>
      <c r="M132" s="147">
        <f>M136+($H130-$H134)*M137</f>
        <v>2850</v>
      </c>
      <c r="N132" s="147"/>
      <c r="O132" s="147"/>
      <c r="P132" s="147"/>
      <c r="Q132" s="147"/>
      <c r="R132" s="147"/>
      <c r="S132" s="147"/>
      <c r="T132" s="147"/>
      <c r="U132" s="147"/>
      <c r="V132" s="147"/>
      <c r="W132" s="147"/>
      <c r="Y132" s="329"/>
      <c r="Z132" s="329"/>
      <c r="AA132" s="147">
        <f t="shared" ca="1" si="74"/>
        <v>55438</v>
      </c>
      <c r="AB132" s="147">
        <f t="shared" ref="AB132:AM133" si="121">$I132+$J132+$K132+L132</f>
        <v>55438</v>
      </c>
      <c r="AC132" s="147">
        <f t="shared" si="121"/>
        <v>58288</v>
      </c>
      <c r="AD132" s="147">
        <f t="shared" si="121"/>
        <v>55438</v>
      </c>
      <c r="AE132" s="147">
        <f t="shared" si="121"/>
        <v>55438</v>
      </c>
      <c r="AF132" s="147">
        <f t="shared" si="121"/>
        <v>55438</v>
      </c>
      <c r="AG132" s="147">
        <f t="shared" si="121"/>
        <v>55438</v>
      </c>
      <c r="AH132" s="147">
        <f t="shared" si="121"/>
        <v>55438</v>
      </c>
      <c r="AI132" s="147">
        <f t="shared" si="121"/>
        <v>55438</v>
      </c>
      <c r="AJ132" s="147">
        <f t="shared" si="121"/>
        <v>55438</v>
      </c>
      <c r="AK132" s="147">
        <f t="shared" si="121"/>
        <v>55438</v>
      </c>
      <c r="AL132" s="147">
        <f t="shared" si="121"/>
        <v>55438</v>
      </c>
      <c r="AM132" s="147">
        <f t="shared" si="121"/>
        <v>55438</v>
      </c>
    </row>
    <row r="133" spans="4:42" ht="16" thickBot="1">
      <c r="G133" s="330"/>
      <c r="H133" s="331"/>
      <c r="I133" s="331">
        <f>$I$2</f>
        <v>0.45</v>
      </c>
      <c r="J133" s="331">
        <v>0.02</v>
      </c>
      <c r="K133" s="331">
        <f>$K$3</f>
        <v>0</v>
      </c>
      <c r="L133" s="334">
        <v>0</v>
      </c>
      <c r="M133" s="334">
        <v>1.4999999999999999E-2</v>
      </c>
      <c r="N133" s="334"/>
      <c r="O133" s="334"/>
      <c r="P133" s="334"/>
      <c r="Q133" s="334"/>
      <c r="R133" s="334"/>
      <c r="S133" s="334"/>
      <c r="T133" s="334"/>
      <c r="U133" s="334"/>
      <c r="V133" s="334"/>
      <c r="W133" s="334"/>
      <c r="Y133" s="330"/>
      <c r="Z133" s="330"/>
      <c r="AA133" s="334">
        <f t="shared" ca="1" si="74"/>
        <v>0.47000000000000003</v>
      </c>
      <c r="AB133" s="334">
        <f t="shared" si="121"/>
        <v>0.47000000000000003</v>
      </c>
      <c r="AC133" s="334">
        <f t="shared" si="121"/>
        <v>0.48500000000000004</v>
      </c>
      <c r="AD133" s="334">
        <f t="shared" si="121"/>
        <v>0.47000000000000003</v>
      </c>
      <c r="AE133" s="334">
        <f t="shared" si="121"/>
        <v>0.47000000000000003</v>
      </c>
      <c r="AF133" s="334">
        <f t="shared" si="121"/>
        <v>0.47000000000000003</v>
      </c>
      <c r="AG133" s="334">
        <f t="shared" si="121"/>
        <v>0.47000000000000003</v>
      </c>
      <c r="AH133" s="334">
        <f t="shared" si="121"/>
        <v>0.47000000000000003</v>
      </c>
      <c r="AI133" s="334">
        <f t="shared" si="121"/>
        <v>0.47000000000000003</v>
      </c>
      <c r="AJ133" s="334">
        <f t="shared" si="121"/>
        <v>0.47000000000000003</v>
      </c>
      <c r="AK133" s="334">
        <f t="shared" si="121"/>
        <v>0.47000000000000003</v>
      </c>
      <c r="AL133" s="334">
        <f t="shared" si="121"/>
        <v>0.47000000000000003</v>
      </c>
      <c r="AM133" s="334">
        <f t="shared" si="121"/>
        <v>0.47000000000000003</v>
      </c>
    </row>
    <row r="134" spans="4:42" ht="15">
      <c r="G134" s="327" t="s">
        <v>6019</v>
      </c>
      <c r="H134" s="697">
        <v>151000</v>
      </c>
      <c r="I134" s="332"/>
      <c r="J134" s="332"/>
      <c r="K134" s="332"/>
      <c r="L134" s="333"/>
      <c r="M134" s="333"/>
      <c r="N134" s="333"/>
      <c r="O134" s="333"/>
      <c r="P134" s="333"/>
      <c r="Q134" s="333"/>
      <c r="R134" s="333"/>
      <c r="S134" s="333"/>
      <c r="T134" s="333"/>
      <c r="U134" s="333"/>
      <c r="V134" s="333"/>
      <c r="W134" s="333"/>
      <c r="Y134" s="327">
        <f>AB134</f>
        <v>151000</v>
      </c>
      <c r="Z134" s="327"/>
      <c r="AA134" s="333">
        <f t="shared" ca="1" si="74"/>
        <v>151000</v>
      </c>
      <c r="AB134" s="333">
        <f t="shared" ref="AB134:AM134" si="122">$H134</f>
        <v>151000</v>
      </c>
      <c r="AC134" s="333">
        <f t="shared" si="122"/>
        <v>151000</v>
      </c>
      <c r="AD134" s="333">
        <f t="shared" si="122"/>
        <v>151000</v>
      </c>
      <c r="AE134" s="333">
        <f t="shared" si="122"/>
        <v>151000</v>
      </c>
      <c r="AF134" s="333">
        <f t="shared" si="122"/>
        <v>151000</v>
      </c>
      <c r="AG134" s="333">
        <f t="shared" si="122"/>
        <v>151000</v>
      </c>
      <c r="AH134" s="333">
        <f t="shared" si="122"/>
        <v>151000</v>
      </c>
      <c r="AI134" s="333">
        <f t="shared" si="122"/>
        <v>151000</v>
      </c>
      <c r="AJ134" s="333">
        <f t="shared" si="122"/>
        <v>151000</v>
      </c>
      <c r="AK134" s="333">
        <f t="shared" si="122"/>
        <v>151000</v>
      </c>
      <c r="AL134" s="333">
        <f t="shared" si="122"/>
        <v>151000</v>
      </c>
      <c r="AM134" s="333">
        <f t="shared" si="122"/>
        <v>151000</v>
      </c>
    </row>
    <row r="135" spans="4:42" ht="15">
      <c r="G135" s="328" t="s">
        <v>6020</v>
      </c>
      <c r="H135" s="261"/>
      <c r="I135" s="261"/>
      <c r="J135" s="261"/>
      <c r="K135" s="261"/>
      <c r="L135" s="215"/>
      <c r="M135" s="215"/>
      <c r="N135" s="215"/>
      <c r="O135" s="215"/>
      <c r="P135" s="215"/>
      <c r="Q135" s="215"/>
      <c r="R135" s="215"/>
      <c r="S135" s="215"/>
      <c r="T135" s="215"/>
      <c r="U135" s="215"/>
      <c r="V135" s="215"/>
      <c r="W135" s="215"/>
      <c r="Y135" s="328"/>
      <c r="Z135" s="328">
        <f ca="1">OFFSET(AB135,0,$AB$2)</f>
        <v>110772</v>
      </c>
      <c r="AA135" s="215">
        <f ca="1">OFFSET(AB135,0,$AB$2)</f>
        <v>110772</v>
      </c>
      <c r="AB135" s="215">
        <f>AB134-(AB140+(AB134-AB138)*AB141)</f>
        <v>110772</v>
      </c>
      <c r="AC135" s="215">
        <f t="shared" ref="AC135:AM135" si="123">AC134-(AC140+(AC134-AC138)*AC141)</f>
        <v>108884.5</v>
      </c>
      <c r="AD135" s="215">
        <f t="shared" si="123"/>
        <v>110772</v>
      </c>
      <c r="AE135" s="215">
        <f t="shared" si="123"/>
        <v>110772</v>
      </c>
      <c r="AF135" s="215">
        <f t="shared" si="123"/>
        <v>110772</v>
      </c>
      <c r="AG135" s="215">
        <f t="shared" si="123"/>
        <v>110772</v>
      </c>
      <c r="AH135" s="215">
        <f t="shared" si="123"/>
        <v>110772</v>
      </c>
      <c r="AI135" s="215">
        <f t="shared" si="123"/>
        <v>110772</v>
      </c>
      <c r="AJ135" s="215">
        <f t="shared" si="123"/>
        <v>110772</v>
      </c>
      <c r="AK135" s="215">
        <f t="shared" si="123"/>
        <v>110772</v>
      </c>
      <c r="AL135" s="215">
        <f t="shared" si="123"/>
        <v>110772</v>
      </c>
      <c r="AM135" s="215">
        <f t="shared" si="123"/>
        <v>110772</v>
      </c>
    </row>
    <row r="136" spans="4:42" ht="15">
      <c r="G136" s="329" t="s">
        <v>6021</v>
      </c>
      <c r="H136" s="244"/>
      <c r="I136" s="244">
        <f>I140+($H134-$H138)*I141</f>
        <v>37208</v>
      </c>
      <c r="J136" s="244">
        <f>J140+($H134-$H138)*J141</f>
        <v>3020</v>
      </c>
      <c r="K136" s="244">
        <v>0</v>
      </c>
      <c r="L136" s="147">
        <v>0</v>
      </c>
      <c r="M136" s="147">
        <f>$H134*M137</f>
        <v>2265</v>
      </c>
      <c r="N136" s="147"/>
      <c r="O136" s="147"/>
      <c r="P136" s="147"/>
      <c r="Q136" s="147"/>
      <c r="R136" s="147"/>
      <c r="S136" s="147"/>
      <c r="T136" s="147"/>
      <c r="U136" s="147"/>
      <c r="V136" s="147"/>
      <c r="W136" s="147"/>
      <c r="Y136" s="329"/>
      <c r="Z136" s="329"/>
      <c r="AA136" s="147">
        <f t="shared" ca="1" si="74"/>
        <v>40228</v>
      </c>
      <c r="AB136" s="147">
        <f t="shared" ref="AB136:AM137" si="124">$I136+$J136+$K136+L136</f>
        <v>40228</v>
      </c>
      <c r="AC136" s="244">
        <f>$I136+$J136+$K136+M136</f>
        <v>42493</v>
      </c>
      <c r="AD136" s="147">
        <f t="shared" si="124"/>
        <v>40228</v>
      </c>
      <c r="AE136" s="147">
        <f t="shared" si="124"/>
        <v>40228</v>
      </c>
      <c r="AF136" s="147">
        <f t="shared" si="124"/>
        <v>40228</v>
      </c>
      <c r="AG136" s="147">
        <f t="shared" si="124"/>
        <v>40228</v>
      </c>
      <c r="AH136" s="147">
        <f t="shared" si="124"/>
        <v>40228</v>
      </c>
      <c r="AI136" s="147">
        <f t="shared" si="124"/>
        <v>40228</v>
      </c>
      <c r="AJ136" s="147">
        <f t="shared" si="124"/>
        <v>40228</v>
      </c>
      <c r="AK136" s="147">
        <f t="shared" si="124"/>
        <v>40228</v>
      </c>
      <c r="AL136" s="147">
        <f t="shared" si="124"/>
        <v>40228</v>
      </c>
      <c r="AM136" s="147">
        <f t="shared" si="124"/>
        <v>40228</v>
      </c>
    </row>
    <row r="137" spans="4:42" ht="16" thickBot="1">
      <c r="G137" s="330" t="s">
        <v>6022</v>
      </c>
      <c r="H137" s="331"/>
      <c r="I137" s="331">
        <v>0.37</v>
      </c>
      <c r="J137" s="331">
        <v>0.02</v>
      </c>
      <c r="K137" s="331">
        <f>$K$3</f>
        <v>0</v>
      </c>
      <c r="L137" s="334">
        <v>0</v>
      </c>
      <c r="M137" s="334">
        <v>1.4999999999999999E-2</v>
      </c>
      <c r="N137" s="334"/>
      <c r="O137" s="334"/>
      <c r="P137" s="334"/>
      <c r="Q137" s="334"/>
      <c r="R137" s="334"/>
      <c r="S137" s="334"/>
      <c r="T137" s="334"/>
      <c r="U137" s="334"/>
      <c r="V137" s="334"/>
      <c r="W137" s="334"/>
      <c r="Y137" s="330"/>
      <c r="Z137" s="330"/>
      <c r="AA137" s="334">
        <f t="shared" ca="1" si="74"/>
        <v>0.39</v>
      </c>
      <c r="AB137" s="334">
        <f t="shared" si="124"/>
        <v>0.39</v>
      </c>
      <c r="AC137" s="334">
        <f t="shared" si="124"/>
        <v>0.40500000000000003</v>
      </c>
      <c r="AD137" s="334">
        <f t="shared" si="124"/>
        <v>0.39</v>
      </c>
      <c r="AE137" s="334">
        <f t="shared" si="124"/>
        <v>0.39</v>
      </c>
      <c r="AF137" s="334">
        <f t="shared" si="124"/>
        <v>0.39</v>
      </c>
      <c r="AG137" s="334">
        <f t="shared" si="124"/>
        <v>0.39</v>
      </c>
      <c r="AH137" s="334">
        <f t="shared" si="124"/>
        <v>0.39</v>
      </c>
      <c r="AI137" s="334">
        <f t="shared" si="124"/>
        <v>0.39</v>
      </c>
      <c r="AJ137" s="334">
        <f t="shared" si="124"/>
        <v>0.39</v>
      </c>
      <c r="AK137" s="334">
        <f t="shared" si="124"/>
        <v>0.39</v>
      </c>
      <c r="AL137" s="334">
        <f t="shared" si="124"/>
        <v>0.39</v>
      </c>
      <c r="AM137" s="334">
        <f t="shared" si="124"/>
        <v>0.39</v>
      </c>
    </row>
    <row r="138" spans="4:42" ht="15">
      <c r="G138" s="327" t="s">
        <v>6023</v>
      </c>
      <c r="H138" s="697">
        <v>135000</v>
      </c>
      <c r="I138" s="332"/>
      <c r="J138" s="332"/>
      <c r="K138" s="332"/>
      <c r="L138" s="333"/>
      <c r="M138" s="333"/>
      <c r="N138" s="333"/>
      <c r="O138" s="333"/>
      <c r="P138" s="333"/>
      <c r="Q138" s="333"/>
      <c r="R138" s="333"/>
      <c r="S138" s="333"/>
      <c r="T138" s="333"/>
      <c r="U138" s="333"/>
      <c r="V138" s="333"/>
      <c r="W138" s="333"/>
      <c r="Y138" s="327">
        <f>AB138</f>
        <v>135000</v>
      </c>
      <c r="Z138" s="327"/>
      <c r="AA138" s="333">
        <f t="shared" ca="1" si="74"/>
        <v>135000</v>
      </c>
      <c r="AB138" s="333">
        <f t="shared" ref="AB138:AM138" si="125">$H138</f>
        <v>135000</v>
      </c>
      <c r="AC138" s="333">
        <f t="shared" si="125"/>
        <v>135000</v>
      </c>
      <c r="AD138" s="333">
        <f t="shared" si="125"/>
        <v>135000</v>
      </c>
      <c r="AE138" s="333">
        <f t="shared" si="125"/>
        <v>135000</v>
      </c>
      <c r="AF138" s="333">
        <f t="shared" si="125"/>
        <v>135000</v>
      </c>
      <c r="AG138" s="333">
        <f t="shared" si="125"/>
        <v>135000</v>
      </c>
      <c r="AH138" s="333">
        <f t="shared" si="125"/>
        <v>135000</v>
      </c>
      <c r="AI138" s="333">
        <f t="shared" si="125"/>
        <v>135000</v>
      </c>
      <c r="AJ138" s="333">
        <f t="shared" si="125"/>
        <v>135000</v>
      </c>
      <c r="AK138" s="333">
        <f t="shared" si="125"/>
        <v>135000</v>
      </c>
      <c r="AL138" s="333">
        <f t="shared" si="125"/>
        <v>135000</v>
      </c>
      <c r="AM138" s="333">
        <f t="shared" si="125"/>
        <v>135000</v>
      </c>
    </row>
    <row r="139" spans="4:42" ht="15">
      <c r="G139" s="328" t="s">
        <v>6024</v>
      </c>
      <c r="H139" s="261"/>
      <c r="I139" s="261"/>
      <c r="J139" s="261"/>
      <c r="K139" s="261"/>
      <c r="L139" s="215"/>
      <c r="M139" s="215"/>
      <c r="N139" s="215"/>
      <c r="O139" s="215"/>
      <c r="P139" s="215"/>
      <c r="Q139" s="215"/>
      <c r="R139" s="215"/>
      <c r="S139" s="215"/>
      <c r="T139" s="215"/>
      <c r="U139" s="215"/>
      <c r="V139" s="215"/>
      <c r="W139" s="215"/>
      <c r="Y139" s="328"/>
      <c r="Z139" s="328">
        <f ca="1">OFFSET(AB139,0,$AB$2)</f>
        <v>101012</v>
      </c>
      <c r="AA139" s="215">
        <f t="shared" ca="1" si="74"/>
        <v>101012</v>
      </c>
      <c r="AB139" s="215">
        <f>AB138-(AB144+(AB138-AB142)*AB145)</f>
        <v>101012</v>
      </c>
      <c r="AC139" s="215">
        <f t="shared" ref="AC139:AM139" si="126">AC138-(AC144+(AC138-AC142)*AC145)</f>
        <v>99324.5</v>
      </c>
      <c r="AD139" s="215">
        <f t="shared" si="126"/>
        <v>101012</v>
      </c>
      <c r="AE139" s="215">
        <f t="shared" si="126"/>
        <v>101012</v>
      </c>
      <c r="AF139" s="215">
        <f t="shared" si="126"/>
        <v>101012</v>
      </c>
      <c r="AG139" s="215">
        <f t="shared" si="126"/>
        <v>101012</v>
      </c>
      <c r="AH139" s="215">
        <f t="shared" si="126"/>
        <v>101012</v>
      </c>
      <c r="AI139" s="215">
        <f t="shared" si="126"/>
        <v>101012</v>
      </c>
      <c r="AJ139" s="215">
        <f t="shared" si="126"/>
        <v>101012</v>
      </c>
      <c r="AK139" s="215">
        <f t="shared" si="126"/>
        <v>101012</v>
      </c>
      <c r="AL139" s="215">
        <f t="shared" si="126"/>
        <v>101012</v>
      </c>
      <c r="AM139" s="215">
        <f t="shared" si="126"/>
        <v>101012</v>
      </c>
      <c r="AN139" s="322">
        <v>0</v>
      </c>
      <c r="AP139" s="322" t="b">
        <v>1</v>
      </c>
    </row>
    <row r="140" spans="4:42" ht="15">
      <c r="G140" s="329" t="s">
        <v>6025</v>
      </c>
      <c r="H140" s="244"/>
      <c r="I140" s="244">
        <f>I144+($H138-$H142)*I145</f>
        <v>31288</v>
      </c>
      <c r="J140" s="244">
        <f>J144+($H138-$H142)*J145</f>
        <v>2700</v>
      </c>
      <c r="K140" s="244"/>
      <c r="L140" s="147">
        <v>0</v>
      </c>
      <c r="M140" s="147">
        <f>$H138*M141</f>
        <v>1687.5</v>
      </c>
      <c r="N140" s="147"/>
      <c r="O140" s="147"/>
      <c r="P140" s="147"/>
      <c r="Q140" s="147"/>
      <c r="R140" s="147"/>
      <c r="S140" s="147"/>
      <c r="T140" s="147"/>
      <c r="U140" s="147"/>
      <c r="V140" s="147"/>
      <c r="W140" s="147"/>
      <c r="Y140" s="329"/>
      <c r="Z140" s="329"/>
      <c r="AA140" s="147">
        <f t="shared" ca="1" si="74"/>
        <v>33988</v>
      </c>
      <c r="AB140" s="147">
        <f t="shared" ref="AB140:AM141" si="127">$I140+$J140+$K140+L140</f>
        <v>33988</v>
      </c>
      <c r="AC140" s="147">
        <f t="shared" si="127"/>
        <v>35675.5</v>
      </c>
      <c r="AD140" s="147">
        <f t="shared" si="127"/>
        <v>33988</v>
      </c>
      <c r="AE140" s="147">
        <f t="shared" si="127"/>
        <v>33988</v>
      </c>
      <c r="AF140" s="147">
        <f t="shared" si="127"/>
        <v>33988</v>
      </c>
      <c r="AG140" s="147">
        <f t="shared" si="127"/>
        <v>33988</v>
      </c>
      <c r="AH140" s="147">
        <f t="shared" si="127"/>
        <v>33988</v>
      </c>
      <c r="AI140" s="147">
        <f t="shared" si="127"/>
        <v>33988</v>
      </c>
      <c r="AJ140" s="147">
        <f t="shared" si="127"/>
        <v>33988</v>
      </c>
      <c r="AK140" s="147">
        <f t="shared" si="127"/>
        <v>33988</v>
      </c>
      <c r="AL140" s="147">
        <f t="shared" si="127"/>
        <v>33988</v>
      </c>
      <c r="AM140" s="147">
        <f t="shared" si="127"/>
        <v>33988</v>
      </c>
    </row>
    <row r="141" spans="4:42" ht="16" thickBot="1">
      <c r="G141" s="330" t="s">
        <v>6026</v>
      </c>
      <c r="H141" s="331"/>
      <c r="I141" s="331">
        <v>0.37</v>
      </c>
      <c r="J141" s="331">
        <v>0.02</v>
      </c>
      <c r="K141" s="331"/>
      <c r="L141" s="334">
        <v>0</v>
      </c>
      <c r="M141" s="334">
        <v>1.2500000000000001E-2</v>
      </c>
      <c r="N141" s="334"/>
      <c r="O141" s="334"/>
      <c r="P141" s="334"/>
      <c r="Q141" s="334"/>
      <c r="R141" s="334"/>
      <c r="S141" s="334"/>
      <c r="T141" s="334"/>
      <c r="U141" s="334"/>
      <c r="V141" s="334"/>
      <c r="W141" s="334"/>
      <c r="Y141" s="330"/>
      <c r="Z141" s="330"/>
      <c r="AA141" s="334">
        <f t="shared" ca="1" si="74"/>
        <v>0.39</v>
      </c>
      <c r="AB141" s="334">
        <f t="shared" si="127"/>
        <v>0.39</v>
      </c>
      <c r="AC141" s="334">
        <f t="shared" si="127"/>
        <v>0.40250000000000002</v>
      </c>
      <c r="AD141" s="334">
        <f t="shared" si="127"/>
        <v>0.39</v>
      </c>
      <c r="AE141" s="334">
        <f t="shared" si="127"/>
        <v>0.39</v>
      </c>
      <c r="AF141" s="334">
        <f t="shared" si="127"/>
        <v>0.39</v>
      </c>
      <c r="AG141" s="334">
        <f t="shared" si="127"/>
        <v>0.39</v>
      </c>
      <c r="AH141" s="334">
        <f t="shared" si="127"/>
        <v>0.39</v>
      </c>
      <c r="AI141" s="334">
        <f t="shared" si="127"/>
        <v>0.39</v>
      </c>
      <c r="AJ141" s="334">
        <f t="shared" si="127"/>
        <v>0.39</v>
      </c>
      <c r="AK141" s="334">
        <f t="shared" si="127"/>
        <v>0.39</v>
      </c>
      <c r="AL141" s="334">
        <f t="shared" si="127"/>
        <v>0.39</v>
      </c>
      <c r="AM141" s="334">
        <f t="shared" si="127"/>
        <v>0.39</v>
      </c>
    </row>
    <row r="142" spans="4:42" ht="15">
      <c r="G142" s="327" t="s">
        <v>6023</v>
      </c>
      <c r="H142" s="697">
        <v>113000</v>
      </c>
      <c r="I142" s="332"/>
      <c r="J142" s="332"/>
      <c r="K142" s="332"/>
      <c r="L142" s="333"/>
      <c r="M142" s="333"/>
      <c r="N142" s="333"/>
      <c r="O142" s="333"/>
      <c r="P142" s="333"/>
      <c r="Q142" s="333"/>
      <c r="R142" s="333"/>
      <c r="S142" s="333"/>
      <c r="T142" s="333"/>
      <c r="U142" s="333"/>
      <c r="V142" s="333"/>
      <c r="W142" s="333"/>
      <c r="Y142" s="327">
        <f>AB142</f>
        <v>113000</v>
      </c>
      <c r="Z142" s="327"/>
      <c r="AA142" s="333">
        <f t="shared" ca="1" si="74"/>
        <v>113000</v>
      </c>
      <c r="AB142" s="333">
        <f t="shared" ref="AB142:AM142" si="128">$H142</f>
        <v>113000</v>
      </c>
      <c r="AC142" s="333">
        <f t="shared" si="128"/>
        <v>113000</v>
      </c>
      <c r="AD142" s="333">
        <f t="shared" si="128"/>
        <v>113000</v>
      </c>
      <c r="AE142" s="333">
        <f t="shared" si="128"/>
        <v>113000</v>
      </c>
      <c r="AF142" s="333">
        <f t="shared" si="128"/>
        <v>113000</v>
      </c>
      <c r="AG142" s="333">
        <f t="shared" si="128"/>
        <v>113000</v>
      </c>
      <c r="AH142" s="333">
        <f t="shared" si="128"/>
        <v>113000</v>
      </c>
      <c r="AI142" s="333">
        <f t="shared" si="128"/>
        <v>113000</v>
      </c>
      <c r="AJ142" s="333">
        <f t="shared" si="128"/>
        <v>113000</v>
      </c>
      <c r="AK142" s="333">
        <f t="shared" si="128"/>
        <v>113000</v>
      </c>
      <c r="AL142" s="333">
        <f t="shared" si="128"/>
        <v>113000</v>
      </c>
      <c r="AM142" s="333">
        <f t="shared" si="128"/>
        <v>113000</v>
      </c>
    </row>
    <row r="143" spans="4:42" ht="15">
      <c r="G143" s="328" t="s">
        <v>6024</v>
      </c>
      <c r="H143" s="261"/>
      <c r="I143" s="261"/>
      <c r="J143" s="261"/>
      <c r="K143" s="261"/>
      <c r="L143" s="215"/>
      <c r="M143" s="215"/>
      <c r="N143" s="215"/>
      <c r="O143" s="215"/>
      <c r="P143" s="215"/>
      <c r="Q143" s="215"/>
      <c r="R143" s="215"/>
      <c r="S143" s="215"/>
      <c r="T143" s="215"/>
      <c r="U143" s="215"/>
      <c r="V143" s="215"/>
      <c r="W143" s="215"/>
      <c r="Y143" s="328"/>
      <c r="Z143" s="328">
        <f ca="1">OFFSET(AB143,0,$AB$2)</f>
        <v>86052</v>
      </c>
      <c r="AA143" s="215">
        <f t="shared" ca="1" si="74"/>
        <v>86052</v>
      </c>
      <c r="AB143" s="215">
        <f>AB142-(AB148+(AB142-AB146)*AB149)</f>
        <v>86052</v>
      </c>
      <c r="AC143" s="215">
        <f t="shared" ref="AC143:AM143" si="129">AC142-(AC148+(AC142-AC146)*AC149)</f>
        <v>84922</v>
      </c>
      <c r="AD143" s="215">
        <f t="shared" si="129"/>
        <v>86052</v>
      </c>
      <c r="AE143" s="215">
        <f t="shared" si="129"/>
        <v>86052</v>
      </c>
      <c r="AF143" s="215">
        <f t="shared" si="129"/>
        <v>86052</v>
      </c>
      <c r="AG143" s="215">
        <f t="shared" si="129"/>
        <v>86052</v>
      </c>
      <c r="AH143" s="215">
        <f t="shared" si="129"/>
        <v>86052</v>
      </c>
      <c r="AI143" s="215">
        <f t="shared" si="129"/>
        <v>86052</v>
      </c>
      <c r="AJ143" s="215">
        <f t="shared" si="129"/>
        <v>86052</v>
      </c>
      <c r="AK143" s="215">
        <f t="shared" si="129"/>
        <v>86052</v>
      </c>
      <c r="AL143" s="215">
        <f t="shared" si="129"/>
        <v>86052</v>
      </c>
      <c r="AM143" s="215">
        <f t="shared" si="129"/>
        <v>86052</v>
      </c>
    </row>
    <row r="144" spans="4:42" ht="15">
      <c r="G144" s="329" t="s">
        <v>6025</v>
      </c>
      <c r="H144" s="244"/>
      <c r="I144" s="244">
        <f>I148+($H142-H146)*I149</f>
        <v>24688</v>
      </c>
      <c r="J144" s="244">
        <f>J148+($H142-H146)*J149</f>
        <v>2260</v>
      </c>
      <c r="K144" s="244"/>
      <c r="L144" s="147">
        <v>0</v>
      </c>
      <c r="M144" s="147">
        <f>$H142*M145</f>
        <v>1412.5</v>
      </c>
      <c r="N144" s="147"/>
      <c r="O144" s="147"/>
      <c r="P144" s="147"/>
      <c r="Q144" s="147"/>
      <c r="R144" s="147"/>
      <c r="S144" s="147"/>
      <c r="T144" s="147"/>
      <c r="U144" s="147"/>
      <c r="V144" s="147"/>
      <c r="W144" s="147"/>
      <c r="Y144" s="329"/>
      <c r="Z144" s="329"/>
      <c r="AA144" s="147">
        <f t="shared" ca="1" si="74"/>
        <v>26948</v>
      </c>
      <c r="AB144" s="147">
        <f t="shared" ref="AB144:AM145" si="130">$I144+$J144+$K144+L144</f>
        <v>26948</v>
      </c>
      <c r="AC144" s="147">
        <f t="shared" si="130"/>
        <v>28360.5</v>
      </c>
      <c r="AD144" s="147">
        <f t="shared" si="130"/>
        <v>26948</v>
      </c>
      <c r="AE144" s="147">
        <f t="shared" si="130"/>
        <v>26948</v>
      </c>
      <c r="AF144" s="147">
        <f t="shared" si="130"/>
        <v>26948</v>
      </c>
      <c r="AG144" s="147">
        <f t="shared" si="130"/>
        <v>26948</v>
      </c>
      <c r="AH144" s="147">
        <f t="shared" si="130"/>
        <v>26948</v>
      </c>
      <c r="AI144" s="147">
        <f t="shared" si="130"/>
        <v>26948</v>
      </c>
      <c r="AJ144" s="147">
        <f t="shared" si="130"/>
        <v>26948</v>
      </c>
      <c r="AK144" s="147">
        <f t="shared" si="130"/>
        <v>26948</v>
      </c>
      <c r="AL144" s="147">
        <f t="shared" si="130"/>
        <v>26948</v>
      </c>
      <c r="AM144" s="147">
        <f t="shared" si="130"/>
        <v>26948</v>
      </c>
    </row>
    <row r="145" spans="2:39" ht="16" thickBot="1">
      <c r="G145" s="330" t="s">
        <v>6026</v>
      </c>
      <c r="H145" s="331"/>
      <c r="I145" s="698">
        <v>0.3</v>
      </c>
      <c r="J145" s="331">
        <v>0.02</v>
      </c>
      <c r="K145" s="331"/>
      <c r="L145" s="334">
        <v>0</v>
      </c>
      <c r="M145" s="334">
        <v>1.2500000000000001E-2</v>
      </c>
      <c r="N145" s="334"/>
      <c r="O145" s="334"/>
      <c r="P145" s="334"/>
      <c r="Q145" s="334"/>
      <c r="R145" s="334"/>
      <c r="S145" s="334"/>
      <c r="T145" s="334"/>
      <c r="U145" s="334"/>
      <c r="V145" s="334"/>
      <c r="W145" s="334"/>
      <c r="Y145" s="330"/>
      <c r="Z145" s="330"/>
      <c r="AA145" s="334">
        <f t="shared" ca="1" si="74"/>
        <v>0.32</v>
      </c>
      <c r="AB145" s="334">
        <f t="shared" si="130"/>
        <v>0.32</v>
      </c>
      <c r="AC145" s="334">
        <f t="shared" si="130"/>
        <v>0.33250000000000002</v>
      </c>
      <c r="AD145" s="334">
        <f t="shared" si="130"/>
        <v>0.32</v>
      </c>
      <c r="AE145" s="334">
        <f t="shared" si="130"/>
        <v>0.32</v>
      </c>
      <c r="AF145" s="334">
        <f t="shared" si="130"/>
        <v>0.32</v>
      </c>
      <c r="AG145" s="334">
        <f t="shared" si="130"/>
        <v>0.32</v>
      </c>
      <c r="AH145" s="334">
        <f t="shared" si="130"/>
        <v>0.32</v>
      </c>
      <c r="AI145" s="334">
        <f t="shared" si="130"/>
        <v>0.32</v>
      </c>
      <c r="AJ145" s="334">
        <f t="shared" si="130"/>
        <v>0.32</v>
      </c>
      <c r="AK145" s="334">
        <f t="shared" si="130"/>
        <v>0.32</v>
      </c>
      <c r="AL145" s="334">
        <f t="shared" si="130"/>
        <v>0.32</v>
      </c>
      <c r="AM145" s="334">
        <f t="shared" si="130"/>
        <v>0.32</v>
      </c>
    </row>
    <row r="146" spans="2:39" ht="15">
      <c r="G146" s="327" t="s">
        <v>6023</v>
      </c>
      <c r="H146" s="332">
        <v>97000</v>
      </c>
      <c r="I146" s="332"/>
      <c r="J146" s="332"/>
      <c r="K146" s="332"/>
      <c r="L146" s="327"/>
      <c r="M146" s="327"/>
      <c r="N146" s="327"/>
      <c r="O146" s="327"/>
      <c r="P146" s="327"/>
      <c r="Q146" s="327"/>
      <c r="R146" s="327"/>
      <c r="S146" s="327"/>
      <c r="T146" s="327"/>
      <c r="U146" s="327"/>
      <c r="V146" s="327"/>
      <c r="W146" s="327"/>
      <c r="Y146" s="327">
        <f>AB146</f>
        <v>97000</v>
      </c>
      <c r="Z146" s="327"/>
      <c r="AA146" s="333">
        <f t="shared" ref="AA146:AA165" ca="1" si="131">OFFSET(AB146,0,$AB$2)</f>
        <v>97000</v>
      </c>
      <c r="AB146" s="333">
        <f t="shared" ref="AB146:AM146" si="132">$H146</f>
        <v>97000</v>
      </c>
      <c r="AC146" s="333">
        <f t="shared" si="132"/>
        <v>97000</v>
      </c>
      <c r="AD146" s="333">
        <f t="shared" si="132"/>
        <v>97000</v>
      </c>
      <c r="AE146" s="333">
        <f t="shared" si="132"/>
        <v>97000</v>
      </c>
      <c r="AF146" s="333">
        <f t="shared" si="132"/>
        <v>97000</v>
      </c>
      <c r="AG146" s="333">
        <f t="shared" si="132"/>
        <v>97000</v>
      </c>
      <c r="AH146" s="333">
        <f t="shared" si="132"/>
        <v>97000</v>
      </c>
      <c r="AI146" s="333">
        <f t="shared" si="132"/>
        <v>97000</v>
      </c>
      <c r="AJ146" s="333">
        <f t="shared" si="132"/>
        <v>97000</v>
      </c>
      <c r="AK146" s="333">
        <f t="shared" si="132"/>
        <v>97000</v>
      </c>
      <c r="AL146" s="333">
        <f t="shared" si="132"/>
        <v>97000</v>
      </c>
      <c r="AM146" s="333">
        <f t="shared" si="132"/>
        <v>97000</v>
      </c>
    </row>
    <row r="147" spans="2:39" ht="15">
      <c r="G147" s="328" t="s">
        <v>6024</v>
      </c>
      <c r="H147" s="261"/>
      <c r="I147" s="261"/>
      <c r="J147" s="261"/>
      <c r="K147" s="261"/>
      <c r="L147" s="328"/>
      <c r="M147" s="328"/>
      <c r="N147" s="328"/>
      <c r="O147" s="328"/>
      <c r="P147" s="328"/>
      <c r="Q147" s="328"/>
      <c r="R147" s="328"/>
      <c r="S147" s="328"/>
      <c r="T147" s="328"/>
      <c r="U147" s="328"/>
      <c r="V147" s="328"/>
      <c r="W147" s="328"/>
      <c r="Y147" s="328"/>
      <c r="Z147" s="328">
        <f ca="1">OFFSET(AB147,0,$AB$2)</f>
        <v>75172</v>
      </c>
      <c r="AA147" s="215">
        <f t="shared" ca="1" si="131"/>
        <v>75172</v>
      </c>
      <c r="AB147" s="215">
        <f>AB146-(AB152+(AB146-AB150)*AB153)</f>
        <v>75172</v>
      </c>
      <c r="AC147" s="215">
        <f>AC146-(AC152+(AC146-AC150)*AC153)</f>
        <v>75172</v>
      </c>
      <c r="AD147" s="215">
        <f t="shared" ref="AD147:AM147" si="133">AD146-(AD152+(AD146-AD150)*AD153)</f>
        <v>75172</v>
      </c>
      <c r="AE147" s="215">
        <f t="shared" si="133"/>
        <v>75172</v>
      </c>
      <c r="AF147" s="215">
        <f t="shared" si="133"/>
        <v>75172</v>
      </c>
      <c r="AG147" s="215">
        <f t="shared" si="133"/>
        <v>75172</v>
      </c>
      <c r="AH147" s="215">
        <f t="shared" si="133"/>
        <v>75172</v>
      </c>
      <c r="AI147" s="215">
        <f t="shared" si="133"/>
        <v>75172</v>
      </c>
      <c r="AJ147" s="215">
        <f t="shared" si="133"/>
        <v>75172</v>
      </c>
      <c r="AK147" s="215">
        <f t="shared" si="133"/>
        <v>75172</v>
      </c>
      <c r="AL147" s="215">
        <f t="shared" si="133"/>
        <v>75172</v>
      </c>
      <c r="AM147" s="215">
        <f t="shared" si="133"/>
        <v>75172</v>
      </c>
    </row>
    <row r="148" spans="2:39" ht="15">
      <c r="G148" s="329" t="s">
        <v>6025</v>
      </c>
      <c r="H148" s="244"/>
      <c r="I148" s="244">
        <f>I152+($H146-$H150)*I153</f>
        <v>19888</v>
      </c>
      <c r="J148" s="244">
        <f>J152+($H146-$H150)*J153</f>
        <v>1940</v>
      </c>
      <c r="K148" s="244"/>
      <c r="L148" s="147">
        <v>0</v>
      </c>
      <c r="M148" s="147">
        <f>$H146*M149</f>
        <v>970</v>
      </c>
      <c r="N148" s="329"/>
      <c r="O148" s="329"/>
      <c r="P148" s="329"/>
      <c r="Q148" s="329"/>
      <c r="R148" s="329"/>
      <c r="S148" s="329"/>
      <c r="T148" s="329"/>
      <c r="U148" s="329"/>
      <c r="V148" s="329"/>
      <c r="W148" s="329"/>
      <c r="Y148" s="329"/>
      <c r="Z148" s="329"/>
      <c r="AA148" s="147">
        <f t="shared" ca="1" si="131"/>
        <v>21828</v>
      </c>
      <c r="AB148" s="147">
        <f t="shared" ref="AB148:AM149" si="134">$I148+$J148+$K148+L148</f>
        <v>21828</v>
      </c>
      <c r="AC148" s="244">
        <f>$I148+$J148+$K148+M148</f>
        <v>22798</v>
      </c>
      <c r="AD148" s="147">
        <f t="shared" si="134"/>
        <v>21828</v>
      </c>
      <c r="AE148" s="147">
        <f t="shared" si="134"/>
        <v>21828</v>
      </c>
      <c r="AF148" s="147">
        <f t="shared" si="134"/>
        <v>21828</v>
      </c>
      <c r="AG148" s="147">
        <f t="shared" si="134"/>
        <v>21828</v>
      </c>
      <c r="AH148" s="147">
        <f t="shared" si="134"/>
        <v>21828</v>
      </c>
      <c r="AI148" s="147">
        <f t="shared" si="134"/>
        <v>21828</v>
      </c>
      <c r="AJ148" s="147">
        <f t="shared" si="134"/>
        <v>21828</v>
      </c>
      <c r="AK148" s="147">
        <f t="shared" si="134"/>
        <v>21828</v>
      </c>
      <c r="AL148" s="147">
        <f t="shared" si="134"/>
        <v>21828</v>
      </c>
      <c r="AM148" s="147">
        <f t="shared" si="134"/>
        <v>21828</v>
      </c>
    </row>
    <row r="149" spans="2:39" ht="16" thickBot="1">
      <c r="G149" s="330" t="s">
        <v>6026</v>
      </c>
      <c r="H149" s="331"/>
      <c r="I149" s="696">
        <v>0.3</v>
      </c>
      <c r="J149" s="331">
        <v>0.02</v>
      </c>
      <c r="K149" s="331"/>
      <c r="L149" s="334">
        <v>0</v>
      </c>
      <c r="M149" s="334">
        <v>0.01</v>
      </c>
      <c r="N149" s="330"/>
      <c r="O149" s="330"/>
      <c r="P149" s="330"/>
      <c r="Q149" s="330"/>
      <c r="R149" s="330"/>
      <c r="S149" s="330"/>
      <c r="T149" s="330"/>
      <c r="U149" s="330"/>
      <c r="V149" s="330"/>
      <c r="W149" s="330"/>
      <c r="Y149" s="330"/>
      <c r="Z149" s="330"/>
      <c r="AA149" s="334">
        <f t="shared" ca="1" si="131"/>
        <v>0.32</v>
      </c>
      <c r="AB149" s="334">
        <f t="shared" si="134"/>
        <v>0.32</v>
      </c>
      <c r="AC149" s="330">
        <f>$I149+$J149+$K149+M149</f>
        <v>0.33</v>
      </c>
      <c r="AD149" s="334">
        <f t="shared" si="134"/>
        <v>0.32</v>
      </c>
      <c r="AE149" s="334">
        <f t="shared" si="134"/>
        <v>0.32</v>
      </c>
      <c r="AF149" s="334">
        <f t="shared" si="134"/>
        <v>0.32</v>
      </c>
      <c r="AG149" s="334">
        <f t="shared" si="134"/>
        <v>0.32</v>
      </c>
      <c r="AH149" s="334">
        <f t="shared" si="134"/>
        <v>0.32</v>
      </c>
      <c r="AI149" s="334">
        <f t="shared" si="134"/>
        <v>0.32</v>
      </c>
      <c r="AJ149" s="334">
        <f t="shared" si="134"/>
        <v>0.32</v>
      </c>
      <c r="AK149" s="334">
        <f t="shared" si="134"/>
        <v>0.32</v>
      </c>
      <c r="AL149" s="334">
        <f t="shared" si="134"/>
        <v>0.32</v>
      </c>
      <c r="AM149" s="334">
        <f t="shared" si="134"/>
        <v>0.32</v>
      </c>
    </row>
    <row r="150" spans="2:39" ht="15">
      <c r="G150" s="327" t="s">
        <v>6027</v>
      </c>
      <c r="H150" s="332">
        <v>45000</v>
      </c>
      <c r="I150" s="332"/>
      <c r="J150" s="332"/>
      <c r="K150" s="332"/>
      <c r="L150" s="327"/>
      <c r="M150" s="327"/>
      <c r="N150" s="327"/>
      <c r="O150" s="327"/>
      <c r="P150" s="327"/>
      <c r="Q150" s="327"/>
      <c r="R150" s="327"/>
      <c r="S150" s="327"/>
      <c r="T150" s="327"/>
      <c r="U150" s="327"/>
      <c r="V150" s="327"/>
      <c r="W150" s="327"/>
      <c r="Y150" s="327">
        <f>AB150</f>
        <v>45000</v>
      </c>
      <c r="Z150" s="327"/>
      <c r="AA150" s="333">
        <f t="shared" ca="1" si="131"/>
        <v>45000</v>
      </c>
      <c r="AB150" s="333">
        <f t="shared" ref="AB150:AM150" si="135">$H150</f>
        <v>45000</v>
      </c>
      <c r="AC150" s="333">
        <f t="shared" si="135"/>
        <v>45000</v>
      </c>
      <c r="AD150" s="333">
        <f t="shared" si="135"/>
        <v>45000</v>
      </c>
      <c r="AE150" s="333">
        <f t="shared" si="135"/>
        <v>45000</v>
      </c>
      <c r="AF150" s="333">
        <f t="shared" si="135"/>
        <v>45000</v>
      </c>
      <c r="AG150" s="333">
        <f t="shared" si="135"/>
        <v>45000</v>
      </c>
      <c r="AH150" s="333">
        <f t="shared" si="135"/>
        <v>45000</v>
      </c>
      <c r="AI150" s="333">
        <f t="shared" si="135"/>
        <v>45000</v>
      </c>
      <c r="AJ150" s="333">
        <f t="shared" si="135"/>
        <v>45000</v>
      </c>
      <c r="AK150" s="333">
        <f t="shared" si="135"/>
        <v>45000</v>
      </c>
      <c r="AL150" s="333">
        <f t="shared" si="135"/>
        <v>45000</v>
      </c>
      <c r="AM150" s="333">
        <f t="shared" si="135"/>
        <v>45000</v>
      </c>
    </row>
    <row r="151" spans="2:39" ht="15">
      <c r="D151" s="336"/>
      <c r="G151" s="328" t="s">
        <v>6028</v>
      </c>
      <c r="H151" s="261"/>
      <c r="I151" s="261"/>
      <c r="J151" s="261"/>
      <c r="K151" s="261"/>
      <c r="L151" s="328"/>
      <c r="M151" s="328"/>
      <c r="N151" s="328"/>
      <c r="O151" s="328"/>
      <c r="P151" s="328"/>
      <c r="Q151" s="328"/>
      <c r="R151" s="328"/>
      <c r="S151" s="328"/>
      <c r="T151" s="328"/>
      <c r="U151" s="328"/>
      <c r="V151" s="328"/>
      <c r="W151" s="328"/>
      <c r="Y151" s="328"/>
      <c r="Z151" s="328">
        <f ca="1">OFFSET(AB151,0,$AB$2)</f>
        <v>39812</v>
      </c>
      <c r="AA151" s="236">
        <f t="shared" ca="1" si="131"/>
        <v>39812</v>
      </c>
      <c r="AB151" s="236">
        <f>AB150-(AB156+(AB150-AB154)*AB157)</f>
        <v>39812</v>
      </c>
      <c r="AC151" s="215">
        <f t="shared" ref="AC151:AM151" si="136">AC150-(AC156+(AC150-AC154)*AC157)</f>
        <v>39812</v>
      </c>
      <c r="AD151" s="215">
        <f t="shared" si="136"/>
        <v>39812</v>
      </c>
      <c r="AE151" s="215">
        <f t="shared" si="136"/>
        <v>39812</v>
      </c>
      <c r="AF151" s="215">
        <f t="shared" si="136"/>
        <v>39812</v>
      </c>
      <c r="AG151" s="215">
        <f t="shared" si="136"/>
        <v>39812</v>
      </c>
      <c r="AH151" s="215">
        <f t="shared" si="136"/>
        <v>39812</v>
      </c>
      <c r="AI151" s="215">
        <f t="shared" si="136"/>
        <v>39812</v>
      </c>
      <c r="AJ151" s="215">
        <f t="shared" si="136"/>
        <v>39812</v>
      </c>
      <c r="AK151" s="215">
        <f t="shared" si="136"/>
        <v>39812</v>
      </c>
      <c r="AL151" s="215">
        <f t="shared" si="136"/>
        <v>39812</v>
      </c>
      <c r="AM151" s="215">
        <f t="shared" si="136"/>
        <v>39812</v>
      </c>
    </row>
    <row r="152" spans="2:39" ht="15">
      <c r="G152" s="329" t="s">
        <v>6029</v>
      </c>
      <c r="H152" s="244"/>
      <c r="I152" s="244">
        <f>I156+($H150-$H154)*I157</f>
        <v>4288</v>
      </c>
      <c r="J152" s="244">
        <f>J156+($H150-$H154)*J157</f>
        <v>900</v>
      </c>
      <c r="K152" s="244"/>
      <c r="L152" s="329"/>
      <c r="M152" s="329"/>
      <c r="N152" s="329"/>
      <c r="O152" s="329"/>
      <c r="P152" s="329"/>
      <c r="Q152" s="329"/>
      <c r="R152" s="329"/>
      <c r="S152" s="329"/>
      <c r="T152" s="329"/>
      <c r="U152" s="329"/>
      <c r="V152" s="329"/>
      <c r="W152" s="329"/>
      <c r="Y152" s="329"/>
      <c r="Z152" s="329"/>
      <c r="AA152" s="147">
        <f t="shared" ca="1" si="131"/>
        <v>5188</v>
      </c>
      <c r="AB152" s="147">
        <f t="shared" ref="AB152:AM153" si="137">$I152+$J152+$K152+L152</f>
        <v>5188</v>
      </c>
      <c r="AC152" s="147">
        <f t="shared" si="137"/>
        <v>5188</v>
      </c>
      <c r="AD152" s="147">
        <f t="shared" si="137"/>
        <v>5188</v>
      </c>
      <c r="AE152" s="147">
        <f t="shared" si="137"/>
        <v>5188</v>
      </c>
      <c r="AF152" s="147">
        <f t="shared" si="137"/>
        <v>5188</v>
      </c>
      <c r="AG152" s="147">
        <f t="shared" si="137"/>
        <v>5188</v>
      </c>
      <c r="AH152" s="147">
        <f t="shared" si="137"/>
        <v>5188</v>
      </c>
      <c r="AI152" s="147">
        <f t="shared" si="137"/>
        <v>5188</v>
      </c>
      <c r="AJ152" s="147">
        <f t="shared" si="137"/>
        <v>5188</v>
      </c>
      <c r="AK152" s="147">
        <f t="shared" si="137"/>
        <v>5188</v>
      </c>
      <c r="AL152" s="147">
        <f t="shared" si="137"/>
        <v>5188</v>
      </c>
      <c r="AM152" s="147">
        <f t="shared" si="137"/>
        <v>5188</v>
      </c>
    </row>
    <row r="153" spans="2:39" ht="16" thickBot="1">
      <c r="G153" s="330" t="s">
        <v>6030</v>
      </c>
      <c r="H153" s="331"/>
      <c r="I153" s="696">
        <v>0.3</v>
      </c>
      <c r="J153" s="331">
        <v>0.02</v>
      </c>
      <c r="K153" s="331"/>
      <c r="L153" s="330"/>
      <c r="M153" s="330"/>
      <c r="N153" s="330"/>
      <c r="O153" s="330"/>
      <c r="P153" s="330"/>
      <c r="Q153" s="330"/>
      <c r="R153" s="330"/>
      <c r="S153" s="330"/>
      <c r="T153" s="330"/>
      <c r="U153" s="330"/>
      <c r="V153" s="330"/>
      <c r="W153" s="330"/>
      <c r="Y153" s="330"/>
      <c r="Z153" s="330"/>
      <c r="AA153" s="334">
        <f t="shared" ca="1" si="131"/>
        <v>0.32</v>
      </c>
      <c r="AB153" s="334">
        <f t="shared" si="137"/>
        <v>0.32</v>
      </c>
      <c r="AC153" s="334">
        <f t="shared" si="137"/>
        <v>0.32</v>
      </c>
      <c r="AD153" s="334">
        <f t="shared" si="137"/>
        <v>0.32</v>
      </c>
      <c r="AE153" s="334">
        <f t="shared" si="137"/>
        <v>0.32</v>
      </c>
      <c r="AF153" s="334">
        <f t="shared" si="137"/>
        <v>0.32</v>
      </c>
      <c r="AG153" s="334">
        <f t="shared" si="137"/>
        <v>0.32</v>
      </c>
      <c r="AH153" s="334">
        <f t="shared" si="137"/>
        <v>0.32</v>
      </c>
      <c r="AI153" s="334">
        <f t="shared" si="137"/>
        <v>0.32</v>
      </c>
      <c r="AJ153" s="334">
        <f t="shared" si="137"/>
        <v>0.32</v>
      </c>
      <c r="AK153" s="334">
        <f t="shared" si="137"/>
        <v>0.32</v>
      </c>
      <c r="AL153" s="334">
        <f t="shared" si="137"/>
        <v>0.32</v>
      </c>
      <c r="AM153" s="334">
        <f t="shared" si="137"/>
        <v>0.32</v>
      </c>
    </row>
    <row r="154" spans="2:39" ht="15">
      <c r="G154" s="327" t="s">
        <v>6031</v>
      </c>
      <c r="H154" s="697">
        <v>32500</v>
      </c>
      <c r="I154" s="332"/>
      <c r="J154" s="332"/>
      <c r="K154" s="332"/>
      <c r="L154" s="327"/>
      <c r="M154" s="327"/>
      <c r="N154" s="327"/>
      <c r="O154" s="327"/>
      <c r="P154" s="327"/>
      <c r="Q154" s="327"/>
      <c r="R154" s="327"/>
      <c r="S154" s="327"/>
      <c r="T154" s="327"/>
      <c r="U154" s="327"/>
      <c r="V154" s="327"/>
      <c r="W154" s="327"/>
      <c r="Y154" s="327">
        <f>AB154</f>
        <v>32500</v>
      </c>
      <c r="Z154" s="327"/>
      <c r="AA154" s="333">
        <f t="shared" ca="1" si="131"/>
        <v>32500</v>
      </c>
      <c r="AB154" s="333">
        <f t="shared" ref="AB154:AM154" si="138">$H154</f>
        <v>32500</v>
      </c>
      <c r="AC154" s="333">
        <f t="shared" si="138"/>
        <v>32500</v>
      </c>
      <c r="AD154" s="333">
        <f t="shared" si="138"/>
        <v>32500</v>
      </c>
      <c r="AE154" s="333">
        <f t="shared" si="138"/>
        <v>32500</v>
      </c>
      <c r="AF154" s="333">
        <f t="shared" si="138"/>
        <v>32500</v>
      </c>
      <c r="AG154" s="333">
        <f t="shared" si="138"/>
        <v>32500</v>
      </c>
      <c r="AH154" s="333">
        <f t="shared" si="138"/>
        <v>32500</v>
      </c>
      <c r="AI154" s="333">
        <f t="shared" si="138"/>
        <v>32500</v>
      </c>
      <c r="AJ154" s="333">
        <f t="shared" si="138"/>
        <v>32500</v>
      </c>
      <c r="AK154" s="333">
        <f t="shared" si="138"/>
        <v>32500</v>
      </c>
      <c r="AL154" s="333">
        <f t="shared" si="138"/>
        <v>32500</v>
      </c>
      <c r="AM154" s="333">
        <f t="shared" si="138"/>
        <v>32500</v>
      </c>
    </row>
    <row r="155" spans="2:39" ht="15">
      <c r="B155" s="2"/>
      <c r="G155" s="328" t="s">
        <v>6032</v>
      </c>
      <c r="H155" s="261"/>
      <c r="I155" s="261"/>
      <c r="J155" s="261"/>
      <c r="K155" s="261"/>
      <c r="L155" s="328"/>
      <c r="M155" s="328"/>
      <c r="N155" s="328"/>
      <c r="O155" s="328"/>
      <c r="P155" s="328"/>
      <c r="Q155" s="328"/>
      <c r="R155" s="328"/>
      <c r="S155" s="328"/>
      <c r="T155" s="328"/>
      <c r="U155" s="328"/>
      <c r="V155" s="328"/>
      <c r="W155" s="328"/>
      <c r="Y155" s="328"/>
      <c r="Z155" s="328">
        <f ca="1">OFFSET(AB155,0,$AB$2)</f>
        <v>29562</v>
      </c>
      <c r="AA155" s="215">
        <f t="shared" ca="1" si="131"/>
        <v>29562</v>
      </c>
      <c r="AB155" s="215">
        <f>AB154-(AB160+(AB154-AB158)*AB161)</f>
        <v>29562</v>
      </c>
      <c r="AC155" s="215">
        <f t="shared" ref="AC155:AM155" si="139">AC154-(AC160+(AC154-AC158)*AC161)</f>
        <v>29562</v>
      </c>
      <c r="AD155" s="215">
        <f t="shared" si="139"/>
        <v>29562</v>
      </c>
      <c r="AE155" s="215">
        <f t="shared" si="139"/>
        <v>29562</v>
      </c>
      <c r="AF155" s="215">
        <f t="shared" si="139"/>
        <v>29562</v>
      </c>
      <c r="AG155" s="215">
        <f t="shared" si="139"/>
        <v>29562</v>
      </c>
      <c r="AH155" s="215">
        <f t="shared" si="139"/>
        <v>29562</v>
      </c>
      <c r="AI155" s="215">
        <f t="shared" si="139"/>
        <v>29562</v>
      </c>
      <c r="AJ155" s="215">
        <f t="shared" si="139"/>
        <v>29562</v>
      </c>
      <c r="AK155" s="215">
        <f t="shared" si="139"/>
        <v>29562</v>
      </c>
      <c r="AL155" s="215">
        <f t="shared" si="139"/>
        <v>29562</v>
      </c>
      <c r="AM155" s="215">
        <f t="shared" si="139"/>
        <v>29562</v>
      </c>
    </row>
    <row r="156" spans="2:39" ht="15">
      <c r="B156" s="2"/>
      <c r="D156" s="325"/>
      <c r="G156" s="329" t="s">
        <v>6033</v>
      </c>
      <c r="H156" s="244"/>
      <c r="I156" s="244">
        <f>I160+($H154-$H158)*I161</f>
        <v>2288</v>
      </c>
      <c r="J156" s="244">
        <f>($H154)*J157</f>
        <v>650</v>
      </c>
      <c r="K156" s="244"/>
      <c r="L156" s="329"/>
      <c r="M156" s="329"/>
      <c r="N156" s="329"/>
      <c r="O156" s="329"/>
      <c r="P156" s="329"/>
      <c r="Q156" s="329"/>
      <c r="R156" s="329"/>
      <c r="S156" s="329"/>
      <c r="T156" s="329"/>
      <c r="U156" s="329"/>
      <c r="V156" s="329"/>
      <c r="W156" s="329"/>
      <c r="Y156" s="329"/>
      <c r="Z156" s="329"/>
      <c r="AA156" s="147">
        <f ca="1">OFFSET(AB156,0,$AB$2)</f>
        <v>2938</v>
      </c>
      <c r="AB156" s="147">
        <f t="shared" ref="AB156:AM157" si="140">$I156+$J156+$K156+L156</f>
        <v>2938</v>
      </c>
      <c r="AC156" s="147">
        <f t="shared" si="140"/>
        <v>2938</v>
      </c>
      <c r="AD156" s="147">
        <f t="shared" si="140"/>
        <v>2938</v>
      </c>
      <c r="AE156" s="147">
        <f t="shared" si="140"/>
        <v>2938</v>
      </c>
      <c r="AF156" s="147">
        <f t="shared" si="140"/>
        <v>2938</v>
      </c>
      <c r="AG156" s="147">
        <f t="shared" si="140"/>
        <v>2938</v>
      </c>
      <c r="AH156" s="147">
        <f t="shared" si="140"/>
        <v>2938</v>
      </c>
      <c r="AI156" s="147">
        <f t="shared" si="140"/>
        <v>2938</v>
      </c>
      <c r="AJ156" s="147">
        <f t="shared" si="140"/>
        <v>2938</v>
      </c>
      <c r="AK156" s="147">
        <f t="shared" si="140"/>
        <v>2938</v>
      </c>
      <c r="AL156" s="147">
        <f t="shared" si="140"/>
        <v>2938</v>
      </c>
      <c r="AM156" s="147">
        <f t="shared" si="140"/>
        <v>2938</v>
      </c>
    </row>
    <row r="157" spans="2:39" ht="16" thickBot="1">
      <c r="B157" s="2"/>
      <c r="C157" s="2"/>
      <c r="D157" s="2"/>
      <c r="G157" s="330" t="s">
        <v>6034</v>
      </c>
      <c r="H157" s="331"/>
      <c r="I157" s="696">
        <v>0.16</v>
      </c>
      <c r="J157" s="331">
        <v>0.02</v>
      </c>
      <c r="K157" s="331"/>
      <c r="L157" s="330"/>
      <c r="M157" s="330"/>
      <c r="N157" s="330"/>
      <c r="O157" s="330"/>
      <c r="P157" s="330"/>
      <c r="Q157" s="330"/>
      <c r="R157" s="330"/>
      <c r="S157" s="330"/>
      <c r="T157" s="330"/>
      <c r="U157" s="330"/>
      <c r="V157" s="330"/>
      <c r="W157" s="330"/>
      <c r="Y157" s="330"/>
      <c r="Z157" s="330"/>
      <c r="AA157" s="334">
        <f t="shared" ca="1" si="131"/>
        <v>0.18</v>
      </c>
      <c r="AB157" s="334">
        <f t="shared" si="140"/>
        <v>0.18</v>
      </c>
      <c r="AC157" s="334">
        <f t="shared" si="140"/>
        <v>0.18</v>
      </c>
      <c r="AD157" s="334">
        <f t="shared" si="140"/>
        <v>0.18</v>
      </c>
      <c r="AE157" s="334">
        <f t="shared" si="140"/>
        <v>0.18</v>
      </c>
      <c r="AF157" s="334">
        <f t="shared" si="140"/>
        <v>0.18</v>
      </c>
      <c r="AG157" s="334">
        <f t="shared" si="140"/>
        <v>0.18</v>
      </c>
      <c r="AH157" s="334">
        <f t="shared" si="140"/>
        <v>0.18</v>
      </c>
      <c r="AI157" s="334">
        <f t="shared" si="140"/>
        <v>0.18</v>
      </c>
      <c r="AJ157" s="334">
        <f t="shared" si="140"/>
        <v>0.18</v>
      </c>
      <c r="AK157" s="334">
        <f t="shared" si="140"/>
        <v>0.18</v>
      </c>
      <c r="AL157" s="334">
        <f t="shared" si="140"/>
        <v>0.18</v>
      </c>
      <c r="AM157" s="334">
        <f t="shared" si="140"/>
        <v>0.18</v>
      </c>
    </row>
    <row r="158" spans="2:39" ht="15">
      <c r="B158" s="2"/>
      <c r="C158" s="2"/>
      <c r="D158" s="2"/>
      <c r="G158" s="327" t="s">
        <v>6035</v>
      </c>
      <c r="H158" s="697">
        <v>26000</v>
      </c>
      <c r="I158" s="332"/>
      <c r="J158" s="332"/>
      <c r="K158" s="332"/>
      <c r="L158" s="327"/>
      <c r="M158" s="327"/>
      <c r="N158" s="327"/>
      <c r="O158" s="327"/>
      <c r="P158" s="327"/>
      <c r="Q158" s="327"/>
      <c r="R158" s="327"/>
      <c r="S158" s="327"/>
      <c r="T158" s="327"/>
      <c r="U158" s="327"/>
      <c r="V158" s="327"/>
      <c r="W158" s="327"/>
      <c r="Y158" s="327">
        <f>AB158</f>
        <v>26000</v>
      </c>
      <c r="Z158" s="327"/>
      <c r="AA158" s="333">
        <f t="shared" ca="1" si="131"/>
        <v>26000</v>
      </c>
      <c r="AB158" s="333">
        <f t="shared" ref="AB158:AM158" si="141">$H158</f>
        <v>26000</v>
      </c>
      <c r="AC158" s="333">
        <f t="shared" si="141"/>
        <v>26000</v>
      </c>
      <c r="AD158" s="333">
        <f t="shared" si="141"/>
        <v>26000</v>
      </c>
      <c r="AE158" s="333">
        <f t="shared" si="141"/>
        <v>26000</v>
      </c>
      <c r="AF158" s="333">
        <f t="shared" si="141"/>
        <v>26000</v>
      </c>
      <c r="AG158" s="333">
        <f t="shared" si="141"/>
        <v>26000</v>
      </c>
      <c r="AH158" s="333">
        <f t="shared" si="141"/>
        <v>26000</v>
      </c>
      <c r="AI158" s="333">
        <f t="shared" si="141"/>
        <v>26000</v>
      </c>
      <c r="AJ158" s="333">
        <f t="shared" si="141"/>
        <v>26000</v>
      </c>
      <c r="AK158" s="333">
        <f t="shared" si="141"/>
        <v>26000</v>
      </c>
      <c r="AL158" s="333">
        <f t="shared" si="141"/>
        <v>26000</v>
      </c>
      <c r="AM158" s="333">
        <f t="shared" si="141"/>
        <v>26000</v>
      </c>
    </row>
    <row r="159" spans="2:39" ht="15">
      <c r="B159" s="2"/>
      <c r="C159" s="2"/>
      <c r="D159" s="2"/>
      <c r="G159" s="328" t="s">
        <v>6036</v>
      </c>
      <c r="H159" s="261"/>
      <c r="I159" s="261"/>
      <c r="J159" s="261"/>
      <c r="K159" s="261"/>
      <c r="L159" s="328"/>
      <c r="M159" s="328"/>
      <c r="N159" s="328"/>
      <c r="O159" s="328"/>
      <c r="P159" s="328"/>
      <c r="Q159" s="328"/>
      <c r="R159" s="328"/>
      <c r="S159" s="328"/>
      <c r="T159" s="328"/>
      <c r="U159" s="328"/>
      <c r="V159" s="328"/>
      <c r="W159" s="328"/>
      <c r="Y159" s="328"/>
      <c r="Z159" s="328">
        <f ca="1">OFFSET(AB159,0,$AB$2)</f>
        <v>24752</v>
      </c>
      <c r="AA159" s="215">
        <f ca="1">OFFSET(AB159,0,$AB$2)</f>
        <v>24752</v>
      </c>
      <c r="AB159" s="215">
        <f>AB158-(AB164+(AB158-AB162)*AB165)</f>
        <v>24752</v>
      </c>
      <c r="AC159" s="215">
        <f t="shared" ref="AC159:AM159" si="142">AC158-(AC164+(AC158-AC162)*AC165)</f>
        <v>24752</v>
      </c>
      <c r="AD159" s="215">
        <f t="shared" si="142"/>
        <v>24752</v>
      </c>
      <c r="AE159" s="215">
        <f t="shared" si="142"/>
        <v>24752</v>
      </c>
      <c r="AF159" s="215">
        <f t="shared" si="142"/>
        <v>24752</v>
      </c>
      <c r="AG159" s="215">
        <f t="shared" si="142"/>
        <v>24752</v>
      </c>
      <c r="AH159" s="215">
        <f t="shared" si="142"/>
        <v>24752</v>
      </c>
      <c r="AI159" s="215">
        <f t="shared" si="142"/>
        <v>24752</v>
      </c>
      <c r="AJ159" s="215">
        <f t="shared" si="142"/>
        <v>24752</v>
      </c>
      <c r="AK159" s="215">
        <f t="shared" si="142"/>
        <v>24752</v>
      </c>
      <c r="AL159" s="215">
        <f t="shared" si="142"/>
        <v>24752</v>
      </c>
      <c r="AM159" s="215">
        <f t="shared" si="142"/>
        <v>24752</v>
      </c>
    </row>
    <row r="160" spans="2:39" ht="15">
      <c r="B160" s="2"/>
      <c r="C160" s="2"/>
      <c r="D160" s="2"/>
      <c r="G160" s="329" t="s">
        <v>6037</v>
      </c>
      <c r="H160" s="244"/>
      <c r="I160" s="244">
        <f>I164+($H158-$H162)*I165</f>
        <v>1248</v>
      </c>
      <c r="J160" s="244">
        <v>0</v>
      </c>
      <c r="K160" s="244"/>
      <c r="L160" s="329"/>
      <c r="M160" s="329"/>
      <c r="N160" s="329"/>
      <c r="O160" s="329"/>
      <c r="P160" s="329"/>
      <c r="Q160" s="329"/>
      <c r="R160" s="329"/>
      <c r="S160" s="329"/>
      <c r="T160" s="329"/>
      <c r="U160" s="329"/>
      <c r="V160" s="329"/>
      <c r="W160" s="329"/>
      <c r="X160" s="335"/>
      <c r="Y160" s="329"/>
      <c r="Z160" s="329"/>
      <c r="AA160" s="147">
        <f t="shared" ca="1" si="131"/>
        <v>1248</v>
      </c>
      <c r="AB160" s="339">
        <f>$I160+$J160+$K160+L160</f>
        <v>1248</v>
      </c>
      <c r="AC160" s="147">
        <f t="shared" ref="AB160:AM161" si="143">$I160+$J160+$K160+M160</f>
        <v>1248</v>
      </c>
      <c r="AD160" s="147">
        <f t="shared" si="143"/>
        <v>1248</v>
      </c>
      <c r="AE160" s="147">
        <f t="shared" si="143"/>
        <v>1248</v>
      </c>
      <c r="AF160" s="147">
        <f t="shared" si="143"/>
        <v>1248</v>
      </c>
      <c r="AG160" s="147">
        <f t="shared" si="143"/>
        <v>1248</v>
      </c>
      <c r="AH160" s="147">
        <f t="shared" si="143"/>
        <v>1248</v>
      </c>
      <c r="AI160" s="147">
        <f t="shared" si="143"/>
        <v>1248</v>
      </c>
      <c r="AJ160" s="147">
        <f t="shared" si="143"/>
        <v>1248</v>
      </c>
      <c r="AK160" s="147">
        <f t="shared" si="143"/>
        <v>1248</v>
      </c>
      <c r="AL160" s="147">
        <f t="shared" si="143"/>
        <v>1248</v>
      </c>
      <c r="AM160" s="147">
        <f t="shared" si="143"/>
        <v>1248</v>
      </c>
    </row>
    <row r="161" spans="2:39" ht="16" thickBot="1">
      <c r="B161" s="2"/>
      <c r="C161" s="2"/>
      <c r="D161" s="2"/>
      <c r="G161" s="330" t="s">
        <v>6038</v>
      </c>
      <c r="H161" s="331"/>
      <c r="I161" s="696">
        <v>0.16</v>
      </c>
      <c r="J161" s="331">
        <v>0.1</v>
      </c>
      <c r="K161" s="331"/>
      <c r="L161" s="330"/>
      <c r="M161" s="330"/>
      <c r="N161" s="330"/>
      <c r="O161" s="330"/>
      <c r="P161" s="330"/>
      <c r="Q161" s="330"/>
      <c r="R161" s="330"/>
      <c r="S161" s="330"/>
      <c r="T161" s="330"/>
      <c r="U161" s="330"/>
      <c r="V161" s="330"/>
      <c r="W161" s="330"/>
      <c r="Y161" s="330"/>
      <c r="Z161" s="330"/>
      <c r="AA161" s="334">
        <f ca="1">OFFSET(AB161,0,$AB$2)</f>
        <v>0.26</v>
      </c>
      <c r="AB161" s="334">
        <f t="shared" si="143"/>
        <v>0.26</v>
      </c>
      <c r="AC161" s="334">
        <f t="shared" si="143"/>
        <v>0.26</v>
      </c>
      <c r="AD161" s="334">
        <f t="shared" si="143"/>
        <v>0.26</v>
      </c>
      <c r="AE161" s="334">
        <f t="shared" si="143"/>
        <v>0.26</v>
      </c>
      <c r="AF161" s="334">
        <f t="shared" si="143"/>
        <v>0.26</v>
      </c>
      <c r="AG161" s="334">
        <f t="shared" si="143"/>
        <v>0.26</v>
      </c>
      <c r="AH161" s="334">
        <f t="shared" si="143"/>
        <v>0.26</v>
      </c>
      <c r="AI161" s="334">
        <f t="shared" si="143"/>
        <v>0.26</v>
      </c>
      <c r="AJ161" s="334">
        <f t="shared" si="143"/>
        <v>0.26</v>
      </c>
      <c r="AK161" s="334">
        <f t="shared" si="143"/>
        <v>0.26</v>
      </c>
      <c r="AL161" s="334">
        <f t="shared" si="143"/>
        <v>0.26</v>
      </c>
      <c r="AM161" s="334">
        <f t="shared" si="143"/>
        <v>0.26</v>
      </c>
    </row>
    <row r="162" spans="2:39" ht="15">
      <c r="G162" s="327" t="s">
        <v>6039</v>
      </c>
      <c r="H162" s="332">
        <v>18200</v>
      </c>
      <c r="I162" s="332"/>
      <c r="J162" s="332"/>
      <c r="K162" s="332"/>
      <c r="L162" s="327"/>
      <c r="M162" s="327"/>
      <c r="N162" s="327"/>
      <c r="O162" s="327"/>
      <c r="P162" s="327"/>
      <c r="Q162" s="327"/>
      <c r="R162" s="327"/>
      <c r="S162" s="327"/>
      <c r="T162" s="327"/>
      <c r="U162" s="327"/>
      <c r="V162" s="327"/>
      <c r="W162" s="327"/>
      <c r="Y162" s="327">
        <f>AB162</f>
        <v>18200</v>
      </c>
      <c r="Z162" s="327"/>
      <c r="AA162" s="333">
        <f t="shared" ca="1" si="131"/>
        <v>18200</v>
      </c>
      <c r="AB162" s="333">
        <f t="shared" ref="AB162:AM162" si="144">$H162</f>
        <v>18200</v>
      </c>
      <c r="AC162" s="333">
        <f t="shared" si="144"/>
        <v>18200</v>
      </c>
      <c r="AD162" s="333">
        <f t="shared" si="144"/>
        <v>18200</v>
      </c>
      <c r="AE162" s="333">
        <f t="shared" si="144"/>
        <v>18200</v>
      </c>
      <c r="AF162" s="333">
        <f t="shared" si="144"/>
        <v>18200</v>
      </c>
      <c r="AG162" s="333">
        <f t="shared" si="144"/>
        <v>18200</v>
      </c>
      <c r="AH162" s="333">
        <f t="shared" si="144"/>
        <v>18200</v>
      </c>
      <c r="AI162" s="333">
        <f t="shared" si="144"/>
        <v>18200</v>
      </c>
      <c r="AJ162" s="333">
        <f t="shared" si="144"/>
        <v>18200</v>
      </c>
      <c r="AK162" s="333">
        <f t="shared" si="144"/>
        <v>18200</v>
      </c>
      <c r="AL162" s="333">
        <f t="shared" si="144"/>
        <v>18200</v>
      </c>
      <c r="AM162" s="333">
        <f t="shared" si="144"/>
        <v>18200</v>
      </c>
    </row>
    <row r="163" spans="2:39" ht="15">
      <c r="G163" s="328" t="s">
        <v>6040</v>
      </c>
      <c r="H163" s="328"/>
      <c r="I163" s="328"/>
      <c r="J163" s="328"/>
      <c r="K163" s="328"/>
      <c r="L163" s="328"/>
      <c r="M163" s="328"/>
      <c r="N163" s="328"/>
      <c r="O163" s="328"/>
      <c r="P163" s="328"/>
      <c r="Q163" s="328"/>
      <c r="R163" s="328"/>
      <c r="S163" s="328"/>
      <c r="T163" s="328"/>
      <c r="U163" s="328"/>
      <c r="V163" s="328"/>
      <c r="W163" s="328"/>
      <c r="Y163" s="328"/>
      <c r="Z163" s="328">
        <f ca="1">OFFSET(AB163,0,$AB$2)</f>
        <v>18200</v>
      </c>
      <c r="AA163" s="215">
        <f t="shared" ca="1" si="131"/>
        <v>18200</v>
      </c>
      <c r="AB163" s="215">
        <f>AB162-(AB168+(AB162-AB166)*AB169)</f>
        <v>18200</v>
      </c>
      <c r="AC163" s="215">
        <f t="shared" ref="AC163:AM163" si="145">AC162-(AC168+(AC162-AC166)*AC169)</f>
        <v>18200</v>
      </c>
      <c r="AD163" s="215">
        <f t="shared" si="145"/>
        <v>18200</v>
      </c>
      <c r="AE163" s="215">
        <f t="shared" si="145"/>
        <v>18200</v>
      </c>
      <c r="AF163" s="215">
        <f t="shared" si="145"/>
        <v>18200</v>
      </c>
      <c r="AG163" s="215">
        <f t="shared" si="145"/>
        <v>18200</v>
      </c>
      <c r="AH163" s="215">
        <f t="shared" si="145"/>
        <v>18200</v>
      </c>
      <c r="AI163" s="215">
        <f t="shared" si="145"/>
        <v>18200</v>
      </c>
      <c r="AJ163" s="215">
        <f t="shared" si="145"/>
        <v>18200</v>
      </c>
      <c r="AK163" s="215">
        <f t="shared" si="145"/>
        <v>18200</v>
      </c>
      <c r="AL163" s="215">
        <f t="shared" si="145"/>
        <v>18200</v>
      </c>
      <c r="AM163" s="215">
        <f t="shared" si="145"/>
        <v>18200</v>
      </c>
    </row>
    <row r="164" spans="2:39" ht="15">
      <c r="G164" s="329" t="s">
        <v>6041</v>
      </c>
      <c r="H164" s="329"/>
      <c r="I164" s="329">
        <v>0</v>
      </c>
      <c r="J164" s="329">
        <v>0</v>
      </c>
      <c r="K164" s="329"/>
      <c r="L164" s="329"/>
      <c r="M164" s="329"/>
      <c r="N164" s="329"/>
      <c r="O164" s="329"/>
      <c r="P164" s="329"/>
      <c r="Q164" s="329"/>
      <c r="R164" s="329"/>
      <c r="S164" s="329"/>
      <c r="T164" s="329"/>
      <c r="U164" s="329"/>
      <c r="V164" s="329"/>
      <c r="W164" s="329"/>
      <c r="Y164" s="329"/>
      <c r="Z164" s="329"/>
      <c r="AA164" s="147">
        <f t="shared" ca="1" si="131"/>
        <v>0</v>
      </c>
      <c r="AB164" s="329">
        <f>$I164+$J164+$K164+L164</f>
        <v>0</v>
      </c>
      <c r="AC164" s="147">
        <f t="shared" ref="AB164:AM165" si="146">$I164+$J164+$K164+M164</f>
        <v>0</v>
      </c>
      <c r="AD164" s="147">
        <f t="shared" si="146"/>
        <v>0</v>
      </c>
      <c r="AE164" s="147">
        <f t="shared" si="146"/>
        <v>0</v>
      </c>
      <c r="AF164" s="147">
        <f t="shared" si="146"/>
        <v>0</v>
      </c>
      <c r="AG164" s="147">
        <f t="shared" si="146"/>
        <v>0</v>
      </c>
      <c r="AH164" s="147">
        <f t="shared" si="146"/>
        <v>0</v>
      </c>
      <c r="AI164" s="147">
        <f t="shared" si="146"/>
        <v>0</v>
      </c>
      <c r="AJ164" s="147">
        <f t="shared" si="146"/>
        <v>0</v>
      </c>
      <c r="AK164" s="147">
        <f t="shared" si="146"/>
        <v>0</v>
      </c>
      <c r="AL164" s="147">
        <f t="shared" si="146"/>
        <v>0</v>
      </c>
      <c r="AM164" s="147">
        <f t="shared" si="146"/>
        <v>0</v>
      </c>
    </row>
    <row r="165" spans="2:39" ht="16" thickBot="1">
      <c r="G165" s="330" t="s">
        <v>6042</v>
      </c>
      <c r="H165" s="330"/>
      <c r="I165" s="696">
        <v>0.16</v>
      </c>
      <c r="J165" s="330">
        <v>0</v>
      </c>
      <c r="K165" s="330"/>
      <c r="L165" s="330"/>
      <c r="M165" s="330"/>
      <c r="N165" s="330"/>
      <c r="O165" s="330"/>
      <c r="P165" s="330"/>
      <c r="Q165" s="330"/>
      <c r="R165" s="330"/>
      <c r="S165" s="330"/>
      <c r="T165" s="330"/>
      <c r="U165" s="330"/>
      <c r="V165" s="330"/>
      <c r="W165" s="330"/>
      <c r="Y165" s="330"/>
      <c r="Z165" s="330"/>
      <c r="AA165" s="334">
        <f t="shared" ca="1" si="131"/>
        <v>0.16</v>
      </c>
      <c r="AB165" s="334">
        <f t="shared" si="146"/>
        <v>0.16</v>
      </c>
      <c r="AC165" s="334">
        <f t="shared" si="146"/>
        <v>0.16</v>
      </c>
      <c r="AD165" s="334">
        <f t="shared" si="146"/>
        <v>0.16</v>
      </c>
      <c r="AE165" s="334">
        <f t="shared" si="146"/>
        <v>0.16</v>
      </c>
      <c r="AF165" s="334">
        <f t="shared" si="146"/>
        <v>0.16</v>
      </c>
      <c r="AG165" s="334">
        <f t="shared" si="146"/>
        <v>0.16</v>
      </c>
      <c r="AH165" s="334">
        <f t="shared" si="146"/>
        <v>0.16</v>
      </c>
      <c r="AI165" s="334">
        <f t="shared" si="146"/>
        <v>0.16</v>
      </c>
      <c r="AJ165" s="334">
        <f t="shared" si="146"/>
        <v>0.16</v>
      </c>
      <c r="AK165" s="334">
        <f t="shared" si="146"/>
        <v>0.16</v>
      </c>
      <c r="AL165" s="334">
        <f t="shared" si="146"/>
        <v>0.16</v>
      </c>
      <c r="AM165" s="334">
        <f t="shared" si="146"/>
        <v>0.16</v>
      </c>
    </row>
    <row r="166" spans="2:39" ht="15">
      <c r="Y166" s="327">
        <f>AB166</f>
        <v>-1</v>
      </c>
      <c r="Z166" s="327"/>
      <c r="AA166" s="333">
        <f ca="1">OFFSET(AB166,0,$AB$2)</f>
        <v>-1</v>
      </c>
      <c r="AB166" s="333">
        <v>-1</v>
      </c>
      <c r="AC166" s="333">
        <v>-1</v>
      </c>
      <c r="AD166" s="333">
        <v>-1</v>
      </c>
      <c r="AE166" s="333">
        <v>-1</v>
      </c>
      <c r="AF166" s="333">
        <v>-1</v>
      </c>
      <c r="AG166" s="333">
        <v>-1</v>
      </c>
      <c r="AH166" s="333">
        <v>-1</v>
      </c>
      <c r="AI166" s="333">
        <v>-1</v>
      </c>
      <c r="AJ166" s="333">
        <v>-1</v>
      </c>
      <c r="AK166" s="333">
        <v>-1</v>
      </c>
      <c r="AL166" s="333">
        <v>-1</v>
      </c>
      <c r="AM166" s="333">
        <v>-1</v>
      </c>
    </row>
    <row r="167" spans="2:39" ht="15">
      <c r="Y167" s="328"/>
      <c r="Z167" s="328">
        <f ca="1">OFFSET(AB167,0,$AB$2)</f>
        <v>-1</v>
      </c>
      <c r="AA167" s="215">
        <f ca="1">OFFSET(AB167,0,$AB$2)</f>
        <v>-1</v>
      </c>
      <c r="AB167" s="215">
        <f>AB166-AB168</f>
        <v>-1</v>
      </c>
      <c r="AC167" s="215">
        <f t="shared" ref="AC167:AM167" si="147">AC166-AC168</f>
        <v>-1</v>
      </c>
      <c r="AD167" s="215">
        <f t="shared" si="147"/>
        <v>-1</v>
      </c>
      <c r="AE167" s="215">
        <f t="shared" si="147"/>
        <v>-1</v>
      </c>
      <c r="AF167" s="215">
        <f t="shared" si="147"/>
        <v>-1</v>
      </c>
      <c r="AG167" s="215">
        <f t="shared" si="147"/>
        <v>-1</v>
      </c>
      <c r="AH167" s="215">
        <f t="shared" si="147"/>
        <v>-1</v>
      </c>
      <c r="AI167" s="215">
        <f t="shared" si="147"/>
        <v>-1</v>
      </c>
      <c r="AJ167" s="215">
        <f t="shared" si="147"/>
        <v>-1</v>
      </c>
      <c r="AK167" s="215">
        <f t="shared" si="147"/>
        <v>-1</v>
      </c>
      <c r="AL167" s="215">
        <f t="shared" si="147"/>
        <v>-1</v>
      </c>
      <c r="AM167" s="215">
        <f t="shared" si="147"/>
        <v>-1</v>
      </c>
    </row>
    <row r="168" spans="2:39" ht="15">
      <c r="Y168" s="329"/>
      <c r="Z168" s="329"/>
      <c r="AA168" s="147">
        <f ca="1">OFFSET(AB168,0,$AB$2)</f>
        <v>0</v>
      </c>
      <c r="AB168" s="147">
        <f t="shared" ref="AB168:AM169" si="148">$I168+$J168+$K168+L168</f>
        <v>0</v>
      </c>
      <c r="AC168" s="147">
        <f t="shared" si="148"/>
        <v>0</v>
      </c>
      <c r="AD168" s="147">
        <f t="shared" si="148"/>
        <v>0</v>
      </c>
      <c r="AE168" s="147">
        <f t="shared" si="148"/>
        <v>0</v>
      </c>
      <c r="AF168" s="147">
        <f t="shared" si="148"/>
        <v>0</v>
      </c>
      <c r="AG168" s="147">
        <f t="shared" si="148"/>
        <v>0</v>
      </c>
      <c r="AH168" s="147">
        <f t="shared" si="148"/>
        <v>0</v>
      </c>
      <c r="AI168" s="147">
        <f t="shared" si="148"/>
        <v>0</v>
      </c>
      <c r="AJ168" s="147">
        <f t="shared" si="148"/>
        <v>0</v>
      </c>
      <c r="AK168" s="147">
        <f t="shared" si="148"/>
        <v>0</v>
      </c>
      <c r="AL168" s="147">
        <f t="shared" si="148"/>
        <v>0</v>
      </c>
      <c r="AM168" s="147">
        <f t="shared" si="148"/>
        <v>0</v>
      </c>
    </row>
    <row r="169" spans="2:39" ht="16" thickBot="1">
      <c r="Y169" s="330"/>
      <c r="Z169" s="330"/>
      <c r="AA169" s="334">
        <f ca="1">OFFSET(AB169,0,$AB$2)</f>
        <v>0</v>
      </c>
      <c r="AB169" s="334">
        <f t="shared" si="148"/>
        <v>0</v>
      </c>
      <c r="AC169" s="334">
        <f t="shared" si="148"/>
        <v>0</v>
      </c>
      <c r="AD169" s="334">
        <f t="shared" si="148"/>
        <v>0</v>
      </c>
      <c r="AE169" s="334">
        <f t="shared" si="148"/>
        <v>0</v>
      </c>
      <c r="AF169" s="334">
        <f t="shared" si="148"/>
        <v>0</v>
      </c>
      <c r="AG169" s="334">
        <f t="shared" si="148"/>
        <v>0</v>
      </c>
      <c r="AH169" s="334">
        <f t="shared" si="148"/>
        <v>0</v>
      </c>
      <c r="AI169" s="334">
        <f t="shared" si="148"/>
        <v>0</v>
      </c>
      <c r="AJ169" s="334">
        <f t="shared" si="148"/>
        <v>0</v>
      </c>
      <c r="AK169" s="334">
        <f t="shared" si="148"/>
        <v>0</v>
      </c>
      <c r="AL169" s="334">
        <f t="shared" si="148"/>
        <v>0</v>
      </c>
      <c r="AM169" s="334">
        <f t="shared" si="148"/>
        <v>0</v>
      </c>
    </row>
    <row r="173" spans="2:39">
      <c r="AB173" s="344"/>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1654-4445-4FA7-8BA1-5AF634522DA0}">
  <sheetPr codeName="Sheet16">
    <tabColor theme="0" tint="-0.499984740745262"/>
  </sheetPr>
  <dimension ref="A1:AO2693"/>
  <sheetViews>
    <sheetView workbookViewId="0">
      <selection activeCell="E88" sqref="E88"/>
    </sheetView>
  </sheetViews>
  <sheetFormatPr baseColWidth="10" defaultColWidth="8" defaultRowHeight="13"/>
  <cols>
    <col min="1" max="1" width="7.5" style="337" bestFit="1" customWidth="1"/>
    <col min="2" max="2" width="8.1640625" style="337" bestFit="1" customWidth="1"/>
    <col min="3" max="3" width="10.1640625" style="337" bestFit="1" customWidth="1"/>
    <col min="4" max="4" width="10.83203125" style="337" bestFit="1" customWidth="1"/>
    <col min="5" max="5" width="31.5" style="337" bestFit="1" customWidth="1"/>
    <col min="6" max="6" width="11.33203125" style="337" bestFit="1" customWidth="1"/>
    <col min="7" max="7" width="13.6640625" style="337" bestFit="1" customWidth="1"/>
    <col min="8" max="8" width="56.1640625" style="337" bestFit="1" customWidth="1"/>
    <col min="9" max="10" width="25.6640625" style="337" bestFit="1" customWidth="1"/>
    <col min="11" max="12" width="81" style="337" bestFit="1" customWidth="1"/>
    <col min="13" max="13" width="10.83203125" style="337" bestFit="1" customWidth="1"/>
    <col min="14" max="14" width="73" style="337" bestFit="1" customWidth="1"/>
    <col min="15" max="15" width="11.33203125" style="337" bestFit="1" customWidth="1"/>
    <col min="16" max="16" width="14.6640625" style="337" bestFit="1" customWidth="1"/>
    <col min="17" max="17" width="73" style="337" bestFit="1" customWidth="1"/>
    <col min="18" max="18" width="17.33203125" style="337" bestFit="1" customWidth="1"/>
    <col min="19" max="19" width="16.83203125" style="337" bestFit="1" customWidth="1"/>
    <col min="20" max="20" width="81" style="337" bestFit="1" customWidth="1"/>
    <col min="21" max="21" width="11.83203125" style="337" bestFit="1" customWidth="1"/>
    <col min="22" max="22" width="12.5" style="337" bestFit="1" customWidth="1"/>
    <col min="23" max="23" width="16" style="337" bestFit="1" customWidth="1"/>
    <col min="24" max="24" width="43.1640625" style="337" bestFit="1" customWidth="1"/>
    <col min="25" max="25" width="35.1640625" style="337" bestFit="1" customWidth="1"/>
    <col min="26" max="26" width="11.83203125" style="337" bestFit="1" customWidth="1"/>
    <col min="27" max="27" width="32.33203125" style="337" bestFit="1" customWidth="1"/>
    <col min="28" max="28" width="61.5" style="337" bestFit="1" customWidth="1"/>
    <col min="29" max="29" width="43.6640625" style="337" bestFit="1" customWidth="1"/>
    <col min="30" max="30" width="30.5" style="337" bestFit="1" customWidth="1"/>
    <col min="31" max="16384" width="8" style="337"/>
  </cols>
  <sheetData>
    <row r="1" spans="1:33">
      <c r="A1" s="337" t="s">
        <v>1045</v>
      </c>
      <c r="B1" s="337" t="s">
        <v>6043</v>
      </c>
      <c r="C1" s="337" t="s">
        <v>6044</v>
      </c>
      <c r="D1" s="337" t="s">
        <v>6045</v>
      </c>
      <c r="E1" s="337" t="s">
        <v>6046</v>
      </c>
      <c r="F1" s="337" t="s">
        <v>6047</v>
      </c>
      <c r="G1" s="337" t="s">
        <v>6048</v>
      </c>
      <c r="H1" s="337" t="s">
        <v>6049</v>
      </c>
      <c r="I1" s="337" t="s">
        <v>6050</v>
      </c>
      <c r="J1" s="337" t="s">
        <v>6051</v>
      </c>
      <c r="K1" s="337" t="s">
        <v>6052</v>
      </c>
      <c r="L1" s="337" t="s">
        <v>6053</v>
      </c>
      <c r="M1" s="337" t="s">
        <v>6054</v>
      </c>
      <c r="N1" s="337" t="s">
        <v>6055</v>
      </c>
      <c r="O1" s="337" t="s">
        <v>6056</v>
      </c>
      <c r="P1" s="337" t="s">
        <v>6057</v>
      </c>
      <c r="Q1" s="337" t="s">
        <v>6058</v>
      </c>
      <c r="R1" s="337" t="s">
        <v>6059</v>
      </c>
      <c r="S1" s="337" t="s">
        <v>6060</v>
      </c>
      <c r="T1" s="337" t="s">
        <v>6061</v>
      </c>
      <c r="U1" s="337" t="s">
        <v>6062</v>
      </c>
      <c r="V1" s="337" t="s">
        <v>6063</v>
      </c>
      <c r="W1" s="337" t="s">
        <v>6064</v>
      </c>
      <c r="X1" s="337" t="s">
        <v>6065</v>
      </c>
      <c r="Y1" s="337" t="s">
        <v>6066</v>
      </c>
      <c r="Z1" s="337" t="s">
        <v>6067</v>
      </c>
      <c r="AA1" s="337" t="s">
        <v>6068</v>
      </c>
      <c r="AB1" s="337" t="s">
        <v>6069</v>
      </c>
      <c r="AC1" s="337" t="s">
        <v>6070</v>
      </c>
      <c r="AD1" s="337" t="s">
        <v>6071</v>
      </c>
    </row>
    <row r="2" spans="1:33">
      <c r="A2" s="338" t="s">
        <v>6072</v>
      </c>
      <c r="B2" s="338" t="s">
        <v>6073</v>
      </c>
      <c r="C2" s="337">
        <v>1</v>
      </c>
      <c r="D2" s="338" t="s">
        <v>6074</v>
      </c>
      <c r="E2" s="338" t="s">
        <v>6075</v>
      </c>
      <c r="F2" s="337">
        <v>1</v>
      </c>
      <c r="G2" s="337">
        <v>1</v>
      </c>
      <c r="H2" s="338" t="s">
        <v>6075</v>
      </c>
      <c r="I2" s="338" t="s">
        <v>9548</v>
      </c>
      <c r="J2" s="338" t="s">
        <v>9550</v>
      </c>
      <c r="K2" s="338" t="s">
        <v>6076</v>
      </c>
      <c r="L2" s="338"/>
      <c r="M2" s="338" t="s">
        <v>4746</v>
      </c>
      <c r="N2" s="338" t="s">
        <v>6077</v>
      </c>
      <c r="O2" s="337">
        <v>1</v>
      </c>
      <c r="P2" s="337">
        <v>1</v>
      </c>
      <c r="Q2" s="338" t="s">
        <v>6077</v>
      </c>
      <c r="R2" s="338"/>
      <c r="S2" s="338"/>
      <c r="T2" s="338" t="s">
        <v>7905</v>
      </c>
      <c r="U2" s="338" t="s">
        <v>4748</v>
      </c>
      <c r="V2" s="337">
        <v>1</v>
      </c>
      <c r="W2" s="337">
        <v>1</v>
      </c>
      <c r="X2" s="338" t="s">
        <v>6078</v>
      </c>
      <c r="Y2" s="338" t="s">
        <v>497</v>
      </c>
      <c r="Z2" s="338" t="s">
        <v>9135</v>
      </c>
      <c r="AA2" s="338" t="s">
        <v>6079</v>
      </c>
      <c r="AB2" s="338"/>
      <c r="AC2" s="338"/>
      <c r="AD2" s="338"/>
      <c r="AF2" s="502" t="str">
        <f>Table15[[#This Row],[code2]]</f>
        <v>PHL</v>
      </c>
      <c r="AG2" s="502" t="str">
        <f>Table15[[#This Row],[code5]]</f>
        <v>VR</v>
      </c>
    </row>
    <row r="3" spans="1:33">
      <c r="A3" s="338" t="s">
        <v>6072</v>
      </c>
      <c r="B3" s="338" t="s">
        <v>6073</v>
      </c>
      <c r="C3" s="337">
        <v>1</v>
      </c>
      <c r="D3" s="338" t="s">
        <v>6074</v>
      </c>
      <c r="E3" s="338" t="s">
        <v>6075</v>
      </c>
      <c r="F3" s="337">
        <v>1</v>
      </c>
      <c r="G3" s="337">
        <v>1</v>
      </c>
      <c r="H3" s="338" t="s">
        <v>6075</v>
      </c>
      <c r="I3" s="338" t="s">
        <v>9548</v>
      </c>
      <c r="J3" s="338" t="s">
        <v>9550</v>
      </c>
      <c r="K3" s="338" t="s">
        <v>6076</v>
      </c>
      <c r="L3" s="338"/>
      <c r="M3" s="338" t="s">
        <v>4746</v>
      </c>
      <c r="N3" s="338" t="s">
        <v>6077</v>
      </c>
      <c r="O3" s="337">
        <v>1</v>
      </c>
      <c r="P3" s="337">
        <v>1</v>
      </c>
      <c r="Q3" s="338" t="s">
        <v>6077</v>
      </c>
      <c r="R3" s="338"/>
      <c r="S3" s="338"/>
      <c r="T3" s="338" t="s">
        <v>7905</v>
      </c>
      <c r="U3" s="338" t="s">
        <v>6080</v>
      </c>
      <c r="V3" s="337">
        <v>1</v>
      </c>
      <c r="W3" s="337">
        <v>1</v>
      </c>
      <c r="X3" s="338" t="s">
        <v>6078</v>
      </c>
      <c r="Y3" s="338" t="s">
        <v>6081</v>
      </c>
      <c r="Z3" s="338" t="s">
        <v>9135</v>
      </c>
      <c r="AA3" s="338" t="s">
        <v>6079</v>
      </c>
      <c r="AB3" s="338"/>
      <c r="AC3" s="338"/>
      <c r="AD3" s="338"/>
      <c r="AF3" s="502" t="str">
        <f>Table15[[#This Row],[code2]]</f>
        <v>PHL</v>
      </c>
      <c r="AG3" s="502" t="str">
        <f>Table15[[#This Row],[code5]]</f>
        <v>VR</v>
      </c>
    </row>
    <row r="4" spans="1:33">
      <c r="A4" s="338" t="s">
        <v>6072</v>
      </c>
      <c r="B4" s="338" t="s">
        <v>6073</v>
      </c>
      <c r="C4" s="337">
        <v>1</v>
      </c>
      <c r="D4" s="338" t="s">
        <v>6074</v>
      </c>
      <c r="E4" s="338" t="s">
        <v>6075</v>
      </c>
      <c r="F4" s="337">
        <v>1</v>
      </c>
      <c r="G4" s="337">
        <v>1</v>
      </c>
      <c r="H4" s="338" t="s">
        <v>6075</v>
      </c>
      <c r="I4" s="338" t="s">
        <v>9548</v>
      </c>
      <c r="J4" s="338" t="s">
        <v>9550</v>
      </c>
      <c r="K4" s="338" t="s">
        <v>6076</v>
      </c>
      <c r="L4" s="338"/>
      <c r="M4" s="338" t="s">
        <v>4746</v>
      </c>
      <c r="N4" s="338" t="s">
        <v>6077</v>
      </c>
      <c r="O4" s="337">
        <v>1</v>
      </c>
      <c r="P4" s="337">
        <v>1</v>
      </c>
      <c r="Q4" s="338" t="s">
        <v>6077</v>
      </c>
      <c r="R4" s="338"/>
      <c r="S4" s="338"/>
      <c r="T4" s="338" t="s">
        <v>7905</v>
      </c>
      <c r="U4" s="338" t="s">
        <v>4929</v>
      </c>
      <c r="V4" s="337">
        <v>1</v>
      </c>
      <c r="W4" s="337">
        <v>1</v>
      </c>
      <c r="X4" s="338" t="s">
        <v>6078</v>
      </c>
      <c r="Y4" s="338" t="s">
        <v>493</v>
      </c>
      <c r="Z4" s="338" t="s">
        <v>9068</v>
      </c>
      <c r="AA4" s="338" t="s">
        <v>6079</v>
      </c>
      <c r="AB4" s="338"/>
      <c r="AC4" s="338"/>
      <c r="AD4" s="338"/>
      <c r="AF4" s="502" t="str">
        <f>Table15[[#This Row],[code2]]</f>
        <v>PHL</v>
      </c>
      <c r="AG4" s="502" t="str">
        <f>Table15[[#This Row],[code5]]</f>
        <v>VR</v>
      </c>
    </row>
    <row r="5" spans="1:33">
      <c r="A5" s="338" t="s">
        <v>6072</v>
      </c>
      <c r="B5" s="338" t="s">
        <v>6073</v>
      </c>
      <c r="C5" s="337">
        <v>1</v>
      </c>
      <c r="D5" s="338" t="s">
        <v>6074</v>
      </c>
      <c r="E5" s="338" t="s">
        <v>6075</v>
      </c>
      <c r="F5" s="337">
        <v>1</v>
      </c>
      <c r="G5" s="337">
        <v>1</v>
      </c>
      <c r="H5" s="338" t="s">
        <v>6075</v>
      </c>
      <c r="I5" s="338" t="s">
        <v>9548</v>
      </c>
      <c r="J5" s="338" t="s">
        <v>9550</v>
      </c>
      <c r="K5" s="338" t="s">
        <v>6076</v>
      </c>
      <c r="L5" s="338"/>
      <c r="M5" s="338" t="s">
        <v>4746</v>
      </c>
      <c r="N5" s="338" t="s">
        <v>6077</v>
      </c>
      <c r="O5" s="337">
        <v>1</v>
      </c>
      <c r="P5" s="337">
        <v>1</v>
      </c>
      <c r="Q5" s="338" t="s">
        <v>6077</v>
      </c>
      <c r="R5" s="338"/>
      <c r="S5" s="338"/>
      <c r="T5" s="338" t="s">
        <v>7905</v>
      </c>
      <c r="U5" s="338" t="s">
        <v>6084</v>
      </c>
      <c r="V5" s="337">
        <v>1</v>
      </c>
      <c r="W5" s="337">
        <v>1</v>
      </c>
      <c r="X5" s="338" t="s">
        <v>6078</v>
      </c>
      <c r="Y5" s="338" t="s">
        <v>6085</v>
      </c>
      <c r="Z5" s="338" t="s">
        <v>9064</v>
      </c>
      <c r="AA5" s="338" t="s">
        <v>6079</v>
      </c>
      <c r="AB5" s="338"/>
      <c r="AC5" s="338"/>
      <c r="AD5" s="338"/>
      <c r="AF5" s="502" t="str">
        <f>Table15[[#This Row],[code2]]</f>
        <v>PHL</v>
      </c>
      <c r="AG5" s="502" t="str">
        <f>Table15[[#This Row],[code5]]</f>
        <v>VR</v>
      </c>
    </row>
    <row r="6" spans="1:33">
      <c r="A6" s="338" t="s">
        <v>6072</v>
      </c>
      <c r="B6" s="338" t="s">
        <v>6073</v>
      </c>
      <c r="C6" s="337">
        <v>1</v>
      </c>
      <c r="D6" s="338" t="s">
        <v>6074</v>
      </c>
      <c r="E6" s="338" t="s">
        <v>6075</v>
      </c>
      <c r="F6" s="337">
        <v>1</v>
      </c>
      <c r="G6" s="337">
        <v>1</v>
      </c>
      <c r="H6" s="338" t="s">
        <v>6075</v>
      </c>
      <c r="I6" s="338" t="s">
        <v>9548</v>
      </c>
      <c r="J6" s="338" t="s">
        <v>9550</v>
      </c>
      <c r="K6" s="338" t="s">
        <v>6076</v>
      </c>
      <c r="L6" s="338"/>
      <c r="M6" s="338" t="s">
        <v>4737</v>
      </c>
      <c r="N6" s="338" t="s">
        <v>8308</v>
      </c>
      <c r="O6" s="337">
        <v>0</v>
      </c>
      <c r="P6" s="337">
        <v>0</v>
      </c>
      <c r="Q6" s="338" t="s">
        <v>8308</v>
      </c>
      <c r="R6" s="338" t="s">
        <v>6088</v>
      </c>
      <c r="S6" s="338"/>
      <c r="T6" s="338" t="s">
        <v>6089</v>
      </c>
      <c r="U6" s="338" t="s">
        <v>6090</v>
      </c>
      <c r="V6" s="337">
        <v>0</v>
      </c>
      <c r="W6" s="337">
        <v>0</v>
      </c>
      <c r="X6" s="338"/>
      <c r="Y6" s="338" t="s">
        <v>497</v>
      </c>
      <c r="Z6" s="338" t="s">
        <v>6591</v>
      </c>
      <c r="AA6" s="338" t="s">
        <v>6079</v>
      </c>
      <c r="AB6" s="338"/>
      <c r="AC6" s="338" t="s">
        <v>6091</v>
      </c>
      <c r="AD6" s="338"/>
      <c r="AF6" s="502" t="str">
        <f>Table15[[#This Row],[code2]]</f>
        <v>PHL</v>
      </c>
      <c r="AG6" s="502" t="str">
        <f>Table15[[#This Row],[code5]]</f>
        <v>FRB</v>
      </c>
    </row>
    <row r="7" spans="1:33">
      <c r="A7" s="338" t="s">
        <v>6072</v>
      </c>
      <c r="B7" s="338" t="s">
        <v>6073</v>
      </c>
      <c r="C7" s="337">
        <v>1</v>
      </c>
      <c r="D7" s="338" t="s">
        <v>6074</v>
      </c>
      <c r="E7" s="338" t="s">
        <v>6075</v>
      </c>
      <c r="F7" s="337">
        <v>1</v>
      </c>
      <c r="G7" s="337">
        <v>1</v>
      </c>
      <c r="H7" s="338" t="s">
        <v>6075</v>
      </c>
      <c r="I7" s="338" t="s">
        <v>9548</v>
      </c>
      <c r="J7" s="338" t="s">
        <v>9550</v>
      </c>
      <c r="K7" s="338" t="s">
        <v>6076</v>
      </c>
      <c r="L7" s="338"/>
      <c r="M7" s="338" t="s">
        <v>4737</v>
      </c>
      <c r="N7" s="338" t="s">
        <v>8308</v>
      </c>
      <c r="O7" s="337">
        <v>0</v>
      </c>
      <c r="P7" s="337">
        <v>0</v>
      </c>
      <c r="Q7" s="338" t="s">
        <v>8308</v>
      </c>
      <c r="R7" s="338" t="s">
        <v>6088</v>
      </c>
      <c r="S7" s="338"/>
      <c r="T7" s="338" t="s">
        <v>6089</v>
      </c>
      <c r="U7" s="338" t="s">
        <v>6092</v>
      </c>
      <c r="V7" s="337">
        <v>0</v>
      </c>
      <c r="W7" s="337">
        <v>0</v>
      </c>
      <c r="X7" s="338"/>
      <c r="Y7" s="338" t="s">
        <v>6081</v>
      </c>
      <c r="Z7" s="338" t="s">
        <v>8244</v>
      </c>
      <c r="AA7" s="338" t="s">
        <v>6079</v>
      </c>
      <c r="AB7" s="338"/>
      <c r="AC7" s="338" t="s">
        <v>6091</v>
      </c>
      <c r="AD7" s="338"/>
      <c r="AF7" s="502" t="str">
        <f>Table15[[#This Row],[code2]]</f>
        <v>PHL</v>
      </c>
      <c r="AG7" s="502" t="str">
        <f>Table15[[#This Row],[code5]]</f>
        <v>FRB</v>
      </c>
    </row>
    <row r="8" spans="1:33">
      <c r="A8" s="338" t="s">
        <v>6072</v>
      </c>
      <c r="B8" s="338" t="s">
        <v>6073</v>
      </c>
      <c r="C8" s="337">
        <v>1</v>
      </c>
      <c r="D8" s="338" t="s">
        <v>6074</v>
      </c>
      <c r="E8" s="338" t="s">
        <v>6075</v>
      </c>
      <c r="F8" s="337">
        <v>1</v>
      </c>
      <c r="G8" s="337">
        <v>1</v>
      </c>
      <c r="H8" s="338" t="s">
        <v>6075</v>
      </c>
      <c r="I8" s="338" t="s">
        <v>9548</v>
      </c>
      <c r="J8" s="338" t="s">
        <v>9550</v>
      </c>
      <c r="K8" s="338" t="s">
        <v>6076</v>
      </c>
      <c r="L8" s="338"/>
      <c r="M8" s="338" t="s">
        <v>4737</v>
      </c>
      <c r="N8" s="338" t="s">
        <v>8308</v>
      </c>
      <c r="O8" s="337">
        <v>0</v>
      </c>
      <c r="P8" s="337">
        <v>0</v>
      </c>
      <c r="Q8" s="338" t="s">
        <v>8308</v>
      </c>
      <c r="R8" s="338" t="s">
        <v>6088</v>
      </c>
      <c r="S8" s="338"/>
      <c r="T8" s="338" t="s">
        <v>6089</v>
      </c>
      <c r="U8" s="338" t="s">
        <v>6093</v>
      </c>
      <c r="V8" s="337">
        <v>0</v>
      </c>
      <c r="W8" s="337">
        <v>0</v>
      </c>
      <c r="X8" s="338"/>
      <c r="Y8" s="338" t="s">
        <v>493</v>
      </c>
      <c r="Z8" s="338" t="s">
        <v>7925</v>
      </c>
      <c r="AA8" s="338" t="s">
        <v>6079</v>
      </c>
      <c r="AB8" s="338"/>
      <c r="AC8" s="338" t="s">
        <v>6091</v>
      </c>
      <c r="AD8" s="338"/>
      <c r="AF8" s="502" t="str">
        <f>Table15[[#This Row],[code2]]</f>
        <v>PHL</v>
      </c>
      <c r="AG8" s="502" t="str">
        <f>Table15[[#This Row],[code5]]</f>
        <v>FRB</v>
      </c>
    </row>
    <row r="9" spans="1:33">
      <c r="A9" s="338" t="s">
        <v>6072</v>
      </c>
      <c r="B9" s="338" t="s">
        <v>6073</v>
      </c>
      <c r="C9" s="337">
        <v>1</v>
      </c>
      <c r="D9" s="338" t="s">
        <v>6074</v>
      </c>
      <c r="E9" s="338" t="s">
        <v>6075</v>
      </c>
      <c r="F9" s="337">
        <v>1</v>
      </c>
      <c r="G9" s="337">
        <v>1</v>
      </c>
      <c r="H9" s="338" t="s">
        <v>6075</v>
      </c>
      <c r="I9" s="338" t="s">
        <v>9548</v>
      </c>
      <c r="J9" s="338" t="s">
        <v>9550</v>
      </c>
      <c r="K9" s="338" t="s">
        <v>6076</v>
      </c>
      <c r="L9" s="338"/>
      <c r="M9" s="338" t="s">
        <v>4737</v>
      </c>
      <c r="N9" s="338" t="s">
        <v>8308</v>
      </c>
      <c r="O9" s="337">
        <v>0</v>
      </c>
      <c r="P9" s="337">
        <v>0</v>
      </c>
      <c r="Q9" s="338" t="s">
        <v>8308</v>
      </c>
      <c r="R9" s="338" t="s">
        <v>6088</v>
      </c>
      <c r="S9" s="338"/>
      <c r="T9" s="338" t="s">
        <v>6089</v>
      </c>
      <c r="U9" s="338" t="s">
        <v>6094</v>
      </c>
      <c r="V9" s="337">
        <v>0</v>
      </c>
      <c r="W9" s="337">
        <v>0</v>
      </c>
      <c r="X9" s="338"/>
      <c r="Y9" s="338" t="s">
        <v>6085</v>
      </c>
      <c r="Z9" s="338" t="s">
        <v>7738</v>
      </c>
      <c r="AA9" s="338" t="s">
        <v>6079</v>
      </c>
      <c r="AB9" s="338"/>
      <c r="AC9" s="338" t="s">
        <v>6091</v>
      </c>
      <c r="AD9" s="338"/>
      <c r="AF9" s="502" t="str">
        <f>Table15[[#This Row],[code2]]</f>
        <v>PHL</v>
      </c>
      <c r="AG9" s="502" t="str">
        <f>Table15[[#This Row],[code5]]</f>
        <v>FRB</v>
      </c>
    </row>
    <row r="10" spans="1:33">
      <c r="A10" s="338" t="s">
        <v>6072</v>
      </c>
      <c r="B10" s="338" t="s">
        <v>6073</v>
      </c>
      <c r="C10" s="337">
        <v>1</v>
      </c>
      <c r="D10" s="338" t="s">
        <v>6074</v>
      </c>
      <c r="E10" s="338" t="s">
        <v>6075</v>
      </c>
      <c r="F10" s="337">
        <v>1</v>
      </c>
      <c r="G10" s="337">
        <v>1</v>
      </c>
      <c r="H10" s="338" t="s">
        <v>6075</v>
      </c>
      <c r="I10" s="338" t="s">
        <v>9548</v>
      </c>
      <c r="J10" s="338" t="s">
        <v>9550</v>
      </c>
      <c r="K10" s="338" t="s">
        <v>6076</v>
      </c>
      <c r="L10" s="338"/>
      <c r="M10" s="338" t="s">
        <v>4737</v>
      </c>
      <c r="N10" s="338" t="s">
        <v>8308</v>
      </c>
      <c r="O10" s="337">
        <v>0</v>
      </c>
      <c r="P10" s="337">
        <v>0</v>
      </c>
      <c r="Q10" s="338" t="s">
        <v>8308</v>
      </c>
      <c r="R10" s="338" t="s">
        <v>6088</v>
      </c>
      <c r="S10" s="338"/>
      <c r="T10" s="338" t="s">
        <v>6089</v>
      </c>
      <c r="U10" s="338" t="s">
        <v>6095</v>
      </c>
      <c r="V10" s="337">
        <v>0</v>
      </c>
      <c r="W10" s="337">
        <v>0</v>
      </c>
      <c r="X10" s="338"/>
      <c r="Y10" s="338" t="s">
        <v>497</v>
      </c>
      <c r="Z10" s="338" t="s">
        <v>8007</v>
      </c>
      <c r="AA10" s="338" t="s">
        <v>6079</v>
      </c>
      <c r="AB10" s="338"/>
      <c r="AC10" s="338" t="s">
        <v>6096</v>
      </c>
      <c r="AD10" s="338"/>
      <c r="AF10" s="502" t="str">
        <f>Table15[[#This Row],[code2]]</f>
        <v>PHL</v>
      </c>
      <c r="AG10" s="502" t="str">
        <f>Table15[[#This Row],[code5]]</f>
        <v>FRB</v>
      </c>
    </row>
    <row r="11" spans="1:33">
      <c r="A11" s="338" t="s">
        <v>6072</v>
      </c>
      <c r="B11" s="338" t="s">
        <v>6073</v>
      </c>
      <c r="C11" s="337">
        <v>1</v>
      </c>
      <c r="D11" s="338" t="s">
        <v>6074</v>
      </c>
      <c r="E11" s="338" t="s">
        <v>6075</v>
      </c>
      <c r="F11" s="337">
        <v>1</v>
      </c>
      <c r="G11" s="337">
        <v>1</v>
      </c>
      <c r="H11" s="338" t="s">
        <v>6075</v>
      </c>
      <c r="I11" s="338" t="s">
        <v>9548</v>
      </c>
      <c r="J11" s="338" t="s">
        <v>9550</v>
      </c>
      <c r="K11" s="338" t="s">
        <v>6076</v>
      </c>
      <c r="L11" s="338"/>
      <c r="M11" s="338" t="s">
        <v>4737</v>
      </c>
      <c r="N11" s="338" t="s">
        <v>8308</v>
      </c>
      <c r="O11" s="337">
        <v>0</v>
      </c>
      <c r="P11" s="337">
        <v>0</v>
      </c>
      <c r="Q11" s="338" t="s">
        <v>8308</v>
      </c>
      <c r="R11" s="338" t="s">
        <v>6088</v>
      </c>
      <c r="S11" s="338"/>
      <c r="T11" s="338" t="s">
        <v>6089</v>
      </c>
      <c r="U11" s="338" t="s">
        <v>6097</v>
      </c>
      <c r="V11" s="337">
        <v>0</v>
      </c>
      <c r="W11" s="337">
        <v>0</v>
      </c>
      <c r="X11" s="338"/>
      <c r="Y11" s="338" t="s">
        <v>6081</v>
      </c>
      <c r="Z11" s="338" t="s">
        <v>8245</v>
      </c>
      <c r="AA11" s="338" t="s">
        <v>6079</v>
      </c>
      <c r="AB11" s="338"/>
      <c r="AC11" s="338" t="s">
        <v>6096</v>
      </c>
      <c r="AD11" s="338"/>
      <c r="AF11" s="502" t="str">
        <f>Table15[[#This Row],[code2]]</f>
        <v>PHL</v>
      </c>
      <c r="AG11" s="502" t="str">
        <f>Table15[[#This Row],[code5]]</f>
        <v>FRB</v>
      </c>
    </row>
    <row r="12" spans="1:33">
      <c r="A12" s="338" t="s">
        <v>6072</v>
      </c>
      <c r="B12" s="338" t="s">
        <v>6073</v>
      </c>
      <c r="C12" s="337">
        <v>1</v>
      </c>
      <c r="D12" s="338" t="s">
        <v>6074</v>
      </c>
      <c r="E12" s="338" t="s">
        <v>6075</v>
      </c>
      <c r="F12" s="337">
        <v>1</v>
      </c>
      <c r="G12" s="337">
        <v>1</v>
      </c>
      <c r="H12" s="338" t="s">
        <v>6075</v>
      </c>
      <c r="I12" s="338" t="s">
        <v>9548</v>
      </c>
      <c r="J12" s="338" t="s">
        <v>9550</v>
      </c>
      <c r="K12" s="338" t="s">
        <v>6076</v>
      </c>
      <c r="L12" s="338"/>
      <c r="M12" s="338" t="s">
        <v>4737</v>
      </c>
      <c r="N12" s="338" t="s">
        <v>8308</v>
      </c>
      <c r="O12" s="337">
        <v>0</v>
      </c>
      <c r="P12" s="337">
        <v>0</v>
      </c>
      <c r="Q12" s="338" t="s">
        <v>8308</v>
      </c>
      <c r="R12" s="338" t="s">
        <v>6088</v>
      </c>
      <c r="S12" s="338"/>
      <c r="T12" s="338" t="s">
        <v>6089</v>
      </c>
      <c r="U12" s="338" t="s">
        <v>6098</v>
      </c>
      <c r="V12" s="337">
        <v>0</v>
      </c>
      <c r="W12" s="337">
        <v>0</v>
      </c>
      <c r="X12" s="338"/>
      <c r="Y12" s="338" t="s">
        <v>493</v>
      </c>
      <c r="Z12" s="338" t="s">
        <v>8008</v>
      </c>
      <c r="AA12" s="338" t="s">
        <v>6079</v>
      </c>
      <c r="AB12" s="338"/>
      <c r="AC12" s="338" t="s">
        <v>6096</v>
      </c>
      <c r="AD12" s="338"/>
      <c r="AF12" s="502" t="str">
        <f>Table15[[#This Row],[code2]]</f>
        <v>PHL</v>
      </c>
      <c r="AG12" s="502" t="str">
        <f>Table15[[#This Row],[code5]]</f>
        <v>FRB</v>
      </c>
    </row>
    <row r="13" spans="1:33">
      <c r="A13" s="338" t="s">
        <v>6072</v>
      </c>
      <c r="B13" s="338" t="s">
        <v>6073</v>
      </c>
      <c r="C13" s="337">
        <v>1</v>
      </c>
      <c r="D13" s="338" t="s">
        <v>6074</v>
      </c>
      <c r="E13" s="338" t="s">
        <v>6075</v>
      </c>
      <c r="F13" s="337">
        <v>1</v>
      </c>
      <c r="G13" s="337">
        <v>1</v>
      </c>
      <c r="H13" s="338" t="s">
        <v>6075</v>
      </c>
      <c r="I13" s="338" t="s">
        <v>9548</v>
      </c>
      <c r="J13" s="338" t="s">
        <v>9550</v>
      </c>
      <c r="K13" s="338" t="s">
        <v>6076</v>
      </c>
      <c r="L13" s="338"/>
      <c r="M13" s="338" t="s">
        <v>4737</v>
      </c>
      <c r="N13" s="338" t="s">
        <v>8308</v>
      </c>
      <c r="O13" s="337">
        <v>0</v>
      </c>
      <c r="P13" s="337">
        <v>0</v>
      </c>
      <c r="Q13" s="338" t="s">
        <v>8308</v>
      </c>
      <c r="R13" s="338" t="s">
        <v>6088</v>
      </c>
      <c r="S13" s="338"/>
      <c r="T13" s="338" t="s">
        <v>6089</v>
      </c>
      <c r="U13" s="338" t="s">
        <v>6099</v>
      </c>
      <c r="V13" s="337">
        <v>0</v>
      </c>
      <c r="W13" s="337">
        <v>0</v>
      </c>
      <c r="X13" s="338"/>
      <c r="Y13" s="338" t="s">
        <v>6085</v>
      </c>
      <c r="Z13" s="338" t="s">
        <v>8246</v>
      </c>
      <c r="AA13" s="338" t="s">
        <v>6079</v>
      </c>
      <c r="AB13" s="338"/>
      <c r="AC13" s="338" t="s">
        <v>6096</v>
      </c>
      <c r="AD13" s="338"/>
      <c r="AF13" s="502" t="str">
        <f>Table15[[#This Row],[code2]]</f>
        <v>PHL</v>
      </c>
      <c r="AG13" s="502" t="str">
        <f>Table15[[#This Row],[code5]]</f>
        <v>FRB</v>
      </c>
    </row>
    <row r="14" spans="1:33">
      <c r="A14" s="338" t="s">
        <v>6072</v>
      </c>
      <c r="B14" s="338" t="s">
        <v>6073</v>
      </c>
      <c r="C14" s="337">
        <v>1</v>
      </c>
      <c r="D14" s="338" t="s">
        <v>6074</v>
      </c>
      <c r="E14" s="338" t="s">
        <v>6075</v>
      </c>
      <c r="F14" s="337">
        <v>1</v>
      </c>
      <c r="G14" s="337">
        <v>1</v>
      </c>
      <c r="H14" s="338" t="s">
        <v>6075</v>
      </c>
      <c r="I14" s="338" t="s">
        <v>9548</v>
      </c>
      <c r="J14" s="338" t="s">
        <v>9550</v>
      </c>
      <c r="K14" s="338" t="s">
        <v>6076</v>
      </c>
      <c r="L14" s="338"/>
      <c r="M14" s="338" t="s">
        <v>4737</v>
      </c>
      <c r="N14" s="338" t="s">
        <v>8308</v>
      </c>
      <c r="O14" s="337">
        <v>0</v>
      </c>
      <c r="P14" s="337">
        <v>0</v>
      </c>
      <c r="Q14" s="338" t="s">
        <v>8308</v>
      </c>
      <c r="R14" s="338" t="s">
        <v>6088</v>
      </c>
      <c r="S14" s="338"/>
      <c r="T14" s="338" t="s">
        <v>6089</v>
      </c>
      <c r="U14" s="338" t="s">
        <v>6100</v>
      </c>
      <c r="V14" s="337">
        <v>0</v>
      </c>
      <c r="W14" s="337">
        <v>0</v>
      </c>
      <c r="X14" s="338"/>
      <c r="Y14" s="338" t="s">
        <v>497</v>
      </c>
      <c r="Z14" s="338" t="s">
        <v>8008</v>
      </c>
      <c r="AA14" s="338" t="s">
        <v>6079</v>
      </c>
      <c r="AB14" s="338"/>
      <c r="AC14" s="338" t="s">
        <v>6101</v>
      </c>
      <c r="AD14" s="338"/>
      <c r="AF14" s="502" t="str">
        <f>Table15[[#This Row],[code2]]</f>
        <v>PHL</v>
      </c>
      <c r="AG14" s="502" t="str">
        <f>Table15[[#This Row],[code5]]</f>
        <v>FRB</v>
      </c>
    </row>
    <row r="15" spans="1:33">
      <c r="A15" s="338" t="s">
        <v>6072</v>
      </c>
      <c r="B15" s="338" t="s">
        <v>6073</v>
      </c>
      <c r="C15" s="337">
        <v>1</v>
      </c>
      <c r="D15" s="338" t="s">
        <v>6074</v>
      </c>
      <c r="E15" s="338" t="s">
        <v>6075</v>
      </c>
      <c r="F15" s="337">
        <v>1</v>
      </c>
      <c r="G15" s="337">
        <v>1</v>
      </c>
      <c r="H15" s="338" t="s">
        <v>6075</v>
      </c>
      <c r="I15" s="338" t="s">
        <v>9548</v>
      </c>
      <c r="J15" s="338" t="s">
        <v>9550</v>
      </c>
      <c r="K15" s="338" t="s">
        <v>6076</v>
      </c>
      <c r="L15" s="338"/>
      <c r="M15" s="338" t="s">
        <v>4737</v>
      </c>
      <c r="N15" s="338" t="s">
        <v>8308</v>
      </c>
      <c r="O15" s="337">
        <v>0</v>
      </c>
      <c r="P15" s="337">
        <v>0</v>
      </c>
      <c r="Q15" s="338" t="s">
        <v>8308</v>
      </c>
      <c r="R15" s="338" t="s">
        <v>6088</v>
      </c>
      <c r="S15" s="338"/>
      <c r="T15" s="338" t="s">
        <v>6089</v>
      </c>
      <c r="U15" s="338" t="s">
        <v>6102</v>
      </c>
      <c r="V15" s="337">
        <v>0</v>
      </c>
      <c r="W15" s="337">
        <v>0</v>
      </c>
      <c r="X15" s="338"/>
      <c r="Y15" s="338" t="s">
        <v>6081</v>
      </c>
      <c r="Z15" s="338" t="s">
        <v>8247</v>
      </c>
      <c r="AA15" s="338" t="s">
        <v>6079</v>
      </c>
      <c r="AB15" s="338"/>
      <c r="AC15" s="338" t="s">
        <v>6101</v>
      </c>
      <c r="AD15" s="338"/>
      <c r="AF15" s="502" t="str">
        <f>Table15[[#This Row],[code2]]</f>
        <v>PHL</v>
      </c>
      <c r="AG15" s="502" t="str">
        <f>Table15[[#This Row],[code5]]</f>
        <v>FRB</v>
      </c>
    </row>
    <row r="16" spans="1:33">
      <c r="A16" s="338" t="s">
        <v>6072</v>
      </c>
      <c r="B16" s="338" t="s">
        <v>6073</v>
      </c>
      <c r="C16" s="337">
        <v>1</v>
      </c>
      <c r="D16" s="338" t="s">
        <v>6074</v>
      </c>
      <c r="E16" s="338" t="s">
        <v>6075</v>
      </c>
      <c r="F16" s="337">
        <v>1</v>
      </c>
      <c r="G16" s="337">
        <v>1</v>
      </c>
      <c r="H16" s="338" t="s">
        <v>6075</v>
      </c>
      <c r="I16" s="338" t="s">
        <v>9548</v>
      </c>
      <c r="J16" s="338" t="s">
        <v>9550</v>
      </c>
      <c r="K16" s="338" t="s">
        <v>6076</v>
      </c>
      <c r="L16" s="338"/>
      <c r="M16" s="338" t="s">
        <v>4737</v>
      </c>
      <c r="N16" s="338" t="s">
        <v>8308</v>
      </c>
      <c r="O16" s="337">
        <v>0</v>
      </c>
      <c r="P16" s="337">
        <v>0</v>
      </c>
      <c r="Q16" s="338" t="s">
        <v>8308</v>
      </c>
      <c r="R16" s="338" t="s">
        <v>6088</v>
      </c>
      <c r="S16" s="338"/>
      <c r="T16" s="338" t="s">
        <v>6089</v>
      </c>
      <c r="U16" s="338" t="s">
        <v>6103</v>
      </c>
      <c r="V16" s="337">
        <v>0</v>
      </c>
      <c r="W16" s="337">
        <v>0</v>
      </c>
      <c r="X16" s="338"/>
      <c r="Y16" s="338" t="s">
        <v>493</v>
      </c>
      <c r="Z16" s="338" t="s">
        <v>7916</v>
      </c>
      <c r="AA16" s="338" t="s">
        <v>6079</v>
      </c>
      <c r="AB16" s="338"/>
      <c r="AC16" s="338" t="s">
        <v>6101</v>
      </c>
      <c r="AD16" s="338"/>
      <c r="AF16" s="502" t="str">
        <f>Table15[[#This Row],[code2]]</f>
        <v>PHL</v>
      </c>
      <c r="AG16" s="502" t="str">
        <f>Table15[[#This Row],[code5]]</f>
        <v>FRB</v>
      </c>
    </row>
    <row r="17" spans="1:33">
      <c r="A17" s="338" t="s">
        <v>6072</v>
      </c>
      <c r="B17" s="338" t="s">
        <v>6073</v>
      </c>
      <c r="C17" s="337">
        <v>1</v>
      </c>
      <c r="D17" s="338" t="s">
        <v>6074</v>
      </c>
      <c r="E17" s="338" t="s">
        <v>6075</v>
      </c>
      <c r="F17" s="337">
        <v>1</v>
      </c>
      <c r="G17" s="337">
        <v>1</v>
      </c>
      <c r="H17" s="338" t="s">
        <v>6075</v>
      </c>
      <c r="I17" s="338" t="s">
        <v>9548</v>
      </c>
      <c r="J17" s="338" t="s">
        <v>9550</v>
      </c>
      <c r="K17" s="338" t="s">
        <v>6076</v>
      </c>
      <c r="L17" s="338"/>
      <c r="M17" s="338" t="s">
        <v>4737</v>
      </c>
      <c r="N17" s="338" t="s">
        <v>8308</v>
      </c>
      <c r="O17" s="337">
        <v>0</v>
      </c>
      <c r="P17" s="337">
        <v>0</v>
      </c>
      <c r="Q17" s="338" t="s">
        <v>8308</v>
      </c>
      <c r="R17" s="338" t="s">
        <v>6088</v>
      </c>
      <c r="S17" s="338"/>
      <c r="T17" s="338" t="s">
        <v>6089</v>
      </c>
      <c r="U17" s="338" t="s">
        <v>6104</v>
      </c>
      <c r="V17" s="337">
        <v>0</v>
      </c>
      <c r="W17" s="337">
        <v>0</v>
      </c>
      <c r="X17" s="338"/>
      <c r="Y17" s="338" t="s">
        <v>6085</v>
      </c>
      <c r="Z17" s="338" t="s">
        <v>8013</v>
      </c>
      <c r="AA17" s="338" t="s">
        <v>6079</v>
      </c>
      <c r="AB17" s="338"/>
      <c r="AC17" s="338" t="s">
        <v>6101</v>
      </c>
      <c r="AD17" s="338"/>
      <c r="AF17" s="502" t="str">
        <f>Table15[[#This Row],[code2]]</f>
        <v>PHL</v>
      </c>
      <c r="AG17" s="502" t="str">
        <f>Table15[[#This Row],[code5]]</f>
        <v>FRB</v>
      </c>
    </row>
    <row r="18" spans="1:33">
      <c r="A18" s="338" t="s">
        <v>6072</v>
      </c>
      <c r="B18" s="338" t="s">
        <v>6073</v>
      </c>
      <c r="C18" s="337">
        <v>1</v>
      </c>
      <c r="D18" s="338" t="s">
        <v>6074</v>
      </c>
      <c r="E18" s="338" t="s">
        <v>6075</v>
      </c>
      <c r="F18" s="337">
        <v>1</v>
      </c>
      <c r="G18" s="337">
        <v>1</v>
      </c>
      <c r="H18" s="338" t="s">
        <v>6075</v>
      </c>
      <c r="I18" s="338" t="s">
        <v>9548</v>
      </c>
      <c r="J18" s="338" t="s">
        <v>9550</v>
      </c>
      <c r="K18" s="338" t="s">
        <v>6076</v>
      </c>
      <c r="L18" s="338"/>
      <c r="M18" s="338" t="s">
        <v>4737</v>
      </c>
      <c r="N18" s="338" t="s">
        <v>8308</v>
      </c>
      <c r="O18" s="337">
        <v>0</v>
      </c>
      <c r="P18" s="337">
        <v>0</v>
      </c>
      <c r="Q18" s="338" t="s">
        <v>8308</v>
      </c>
      <c r="R18" s="338" t="s">
        <v>6088</v>
      </c>
      <c r="S18" s="338"/>
      <c r="T18" s="338" t="s">
        <v>6089</v>
      </c>
      <c r="U18" s="338" t="s">
        <v>6105</v>
      </c>
      <c r="V18" s="337">
        <v>0</v>
      </c>
      <c r="W18" s="337">
        <v>0</v>
      </c>
      <c r="X18" s="338"/>
      <c r="Y18" s="338" t="s">
        <v>497</v>
      </c>
      <c r="Z18" s="338" t="s">
        <v>7972</v>
      </c>
      <c r="AA18" s="338" t="s">
        <v>6079</v>
      </c>
      <c r="AB18" s="338"/>
      <c r="AC18" s="338" t="s">
        <v>6106</v>
      </c>
      <c r="AD18" s="338"/>
      <c r="AF18" s="502" t="str">
        <f>Table15[[#This Row],[code2]]</f>
        <v>PHL</v>
      </c>
      <c r="AG18" s="502" t="str">
        <f>Table15[[#This Row],[code5]]</f>
        <v>FRB</v>
      </c>
    </row>
    <row r="19" spans="1:33">
      <c r="A19" s="338" t="s">
        <v>6072</v>
      </c>
      <c r="B19" s="338" t="s">
        <v>6073</v>
      </c>
      <c r="C19" s="337">
        <v>1</v>
      </c>
      <c r="D19" s="338" t="s">
        <v>6074</v>
      </c>
      <c r="E19" s="338" t="s">
        <v>6075</v>
      </c>
      <c r="F19" s="337">
        <v>1</v>
      </c>
      <c r="G19" s="337">
        <v>1</v>
      </c>
      <c r="H19" s="338" t="s">
        <v>6075</v>
      </c>
      <c r="I19" s="338" t="s">
        <v>9548</v>
      </c>
      <c r="J19" s="338" t="s">
        <v>9550</v>
      </c>
      <c r="K19" s="338" t="s">
        <v>6076</v>
      </c>
      <c r="L19" s="338"/>
      <c r="M19" s="338" t="s">
        <v>4737</v>
      </c>
      <c r="N19" s="338" t="s">
        <v>8308</v>
      </c>
      <c r="O19" s="337">
        <v>0</v>
      </c>
      <c r="P19" s="337">
        <v>0</v>
      </c>
      <c r="Q19" s="338" t="s">
        <v>8308</v>
      </c>
      <c r="R19" s="338" t="s">
        <v>6088</v>
      </c>
      <c r="S19" s="338"/>
      <c r="T19" s="338" t="s">
        <v>6089</v>
      </c>
      <c r="U19" s="338" t="s">
        <v>6107</v>
      </c>
      <c r="V19" s="337">
        <v>0</v>
      </c>
      <c r="W19" s="337">
        <v>0</v>
      </c>
      <c r="X19" s="338"/>
      <c r="Y19" s="338" t="s">
        <v>6081</v>
      </c>
      <c r="Z19" s="338" t="s">
        <v>8248</v>
      </c>
      <c r="AA19" s="338" t="s">
        <v>6079</v>
      </c>
      <c r="AB19" s="338"/>
      <c r="AC19" s="338" t="s">
        <v>6106</v>
      </c>
      <c r="AD19" s="338"/>
      <c r="AF19" s="502" t="str">
        <f>Table15[[#This Row],[code2]]</f>
        <v>PHL</v>
      </c>
      <c r="AG19" s="502" t="str">
        <f>Table15[[#This Row],[code5]]</f>
        <v>FRB</v>
      </c>
    </row>
    <row r="20" spans="1:33">
      <c r="A20" s="338" t="s">
        <v>6072</v>
      </c>
      <c r="B20" s="338" t="s">
        <v>6073</v>
      </c>
      <c r="C20" s="337">
        <v>1</v>
      </c>
      <c r="D20" s="338" t="s">
        <v>6074</v>
      </c>
      <c r="E20" s="338" t="s">
        <v>6075</v>
      </c>
      <c r="F20" s="337">
        <v>1</v>
      </c>
      <c r="G20" s="337">
        <v>1</v>
      </c>
      <c r="H20" s="338" t="s">
        <v>6075</v>
      </c>
      <c r="I20" s="338" t="s">
        <v>9548</v>
      </c>
      <c r="J20" s="338" t="s">
        <v>9550</v>
      </c>
      <c r="K20" s="338" t="s">
        <v>6076</v>
      </c>
      <c r="L20" s="338"/>
      <c r="M20" s="338" t="s">
        <v>4737</v>
      </c>
      <c r="N20" s="338" t="s">
        <v>8308</v>
      </c>
      <c r="O20" s="337">
        <v>0</v>
      </c>
      <c r="P20" s="337">
        <v>0</v>
      </c>
      <c r="Q20" s="338" t="s">
        <v>8308</v>
      </c>
      <c r="R20" s="338" t="s">
        <v>6088</v>
      </c>
      <c r="S20" s="338"/>
      <c r="T20" s="338" t="s">
        <v>6089</v>
      </c>
      <c r="U20" s="338" t="s">
        <v>6108</v>
      </c>
      <c r="V20" s="337">
        <v>0</v>
      </c>
      <c r="W20" s="337">
        <v>0</v>
      </c>
      <c r="X20" s="338"/>
      <c r="Y20" s="338" t="s">
        <v>493</v>
      </c>
      <c r="Z20" s="338" t="s">
        <v>8009</v>
      </c>
      <c r="AA20" s="338" t="s">
        <v>6079</v>
      </c>
      <c r="AB20" s="338"/>
      <c r="AC20" s="338" t="s">
        <v>6106</v>
      </c>
      <c r="AD20" s="338"/>
      <c r="AF20" s="502" t="str">
        <f>Table15[[#This Row],[code2]]</f>
        <v>PHL</v>
      </c>
      <c r="AG20" s="502" t="str">
        <f>Table15[[#This Row],[code5]]</f>
        <v>FRB</v>
      </c>
    </row>
    <row r="21" spans="1:33">
      <c r="A21" s="338" t="s">
        <v>6072</v>
      </c>
      <c r="B21" s="338" t="s">
        <v>6073</v>
      </c>
      <c r="C21" s="337">
        <v>1</v>
      </c>
      <c r="D21" s="338" t="s">
        <v>6074</v>
      </c>
      <c r="E21" s="338" t="s">
        <v>6075</v>
      </c>
      <c r="F21" s="337">
        <v>1</v>
      </c>
      <c r="G21" s="337">
        <v>1</v>
      </c>
      <c r="H21" s="338" t="s">
        <v>6075</v>
      </c>
      <c r="I21" s="338" t="s">
        <v>9548</v>
      </c>
      <c r="J21" s="338" t="s">
        <v>9550</v>
      </c>
      <c r="K21" s="338" t="s">
        <v>6076</v>
      </c>
      <c r="L21" s="338"/>
      <c r="M21" s="338" t="s">
        <v>4737</v>
      </c>
      <c r="N21" s="338" t="s">
        <v>8308</v>
      </c>
      <c r="O21" s="337">
        <v>0</v>
      </c>
      <c r="P21" s="337">
        <v>0</v>
      </c>
      <c r="Q21" s="338" t="s">
        <v>8308</v>
      </c>
      <c r="R21" s="338" t="s">
        <v>6088</v>
      </c>
      <c r="S21" s="338"/>
      <c r="T21" s="338" t="s">
        <v>6089</v>
      </c>
      <c r="U21" s="338" t="s">
        <v>6109</v>
      </c>
      <c r="V21" s="337">
        <v>0</v>
      </c>
      <c r="W21" s="337">
        <v>0</v>
      </c>
      <c r="X21" s="338"/>
      <c r="Y21" s="338" t="s">
        <v>6085</v>
      </c>
      <c r="Z21" s="338" t="s">
        <v>8007</v>
      </c>
      <c r="AA21" s="338" t="s">
        <v>6079</v>
      </c>
      <c r="AB21" s="338"/>
      <c r="AC21" s="338" t="s">
        <v>6106</v>
      </c>
      <c r="AD21" s="338"/>
      <c r="AF21" s="502" t="str">
        <f>Table15[[#This Row],[code2]]</f>
        <v>PHL</v>
      </c>
      <c r="AG21" s="502" t="str">
        <f>Table15[[#This Row],[code5]]</f>
        <v>FRB</v>
      </c>
    </row>
    <row r="22" spans="1:33">
      <c r="A22" s="338" t="s">
        <v>6072</v>
      </c>
      <c r="B22" s="338" t="s">
        <v>6073</v>
      </c>
      <c r="C22" s="337">
        <v>1</v>
      </c>
      <c r="D22" s="338" t="s">
        <v>6074</v>
      </c>
      <c r="E22" s="338" t="s">
        <v>6075</v>
      </c>
      <c r="F22" s="337">
        <v>1</v>
      </c>
      <c r="G22" s="337">
        <v>1</v>
      </c>
      <c r="H22" s="338" t="s">
        <v>6075</v>
      </c>
      <c r="I22" s="338" t="s">
        <v>9548</v>
      </c>
      <c r="J22" s="338" t="s">
        <v>9550</v>
      </c>
      <c r="K22" s="338" t="s">
        <v>6076</v>
      </c>
      <c r="L22" s="338"/>
      <c r="M22" s="338" t="s">
        <v>4737</v>
      </c>
      <c r="N22" s="338" t="s">
        <v>8308</v>
      </c>
      <c r="O22" s="337">
        <v>0</v>
      </c>
      <c r="P22" s="337">
        <v>0</v>
      </c>
      <c r="Q22" s="338" t="s">
        <v>8308</v>
      </c>
      <c r="R22" s="338" t="s">
        <v>6088</v>
      </c>
      <c r="S22" s="338"/>
      <c r="T22" s="338" t="s">
        <v>6089</v>
      </c>
      <c r="U22" s="338" t="s">
        <v>6110</v>
      </c>
      <c r="V22" s="337">
        <v>0</v>
      </c>
      <c r="W22" s="337">
        <v>0</v>
      </c>
      <c r="X22" s="338"/>
      <c r="Y22" s="338" t="s">
        <v>497</v>
      </c>
      <c r="Z22" s="338" t="s">
        <v>8010</v>
      </c>
      <c r="AA22" s="338" t="s">
        <v>6079</v>
      </c>
      <c r="AB22" s="338"/>
      <c r="AC22" s="338" t="s">
        <v>6111</v>
      </c>
      <c r="AD22" s="338"/>
      <c r="AF22" s="502" t="str">
        <f>Table15[[#This Row],[code2]]</f>
        <v>PHL</v>
      </c>
      <c r="AG22" s="502" t="str">
        <f>Table15[[#This Row],[code5]]</f>
        <v>FRB</v>
      </c>
    </row>
    <row r="23" spans="1:33">
      <c r="A23" s="338" t="s">
        <v>6072</v>
      </c>
      <c r="B23" s="338" t="s">
        <v>6073</v>
      </c>
      <c r="C23" s="337">
        <v>1</v>
      </c>
      <c r="D23" s="338" t="s">
        <v>6074</v>
      </c>
      <c r="E23" s="338" t="s">
        <v>6075</v>
      </c>
      <c r="F23" s="337">
        <v>1</v>
      </c>
      <c r="G23" s="337">
        <v>1</v>
      </c>
      <c r="H23" s="338" t="s">
        <v>6075</v>
      </c>
      <c r="I23" s="338" t="s">
        <v>9548</v>
      </c>
      <c r="J23" s="338" t="s">
        <v>9550</v>
      </c>
      <c r="K23" s="338" t="s">
        <v>6076</v>
      </c>
      <c r="L23" s="338"/>
      <c r="M23" s="338" t="s">
        <v>4737</v>
      </c>
      <c r="N23" s="338" t="s">
        <v>8308</v>
      </c>
      <c r="O23" s="337">
        <v>0</v>
      </c>
      <c r="P23" s="337">
        <v>0</v>
      </c>
      <c r="Q23" s="338" t="s">
        <v>8308</v>
      </c>
      <c r="R23" s="338" t="s">
        <v>6088</v>
      </c>
      <c r="S23" s="338"/>
      <c r="T23" s="338" t="s">
        <v>6089</v>
      </c>
      <c r="U23" s="338" t="s">
        <v>6112</v>
      </c>
      <c r="V23" s="337">
        <v>0</v>
      </c>
      <c r="W23" s="337">
        <v>0</v>
      </c>
      <c r="X23" s="338"/>
      <c r="Y23" s="338" t="s">
        <v>6081</v>
      </c>
      <c r="Z23" s="338" t="s">
        <v>8124</v>
      </c>
      <c r="AA23" s="338" t="s">
        <v>6079</v>
      </c>
      <c r="AB23" s="338"/>
      <c r="AC23" s="338" t="s">
        <v>6111</v>
      </c>
      <c r="AD23" s="338"/>
      <c r="AF23" s="502" t="str">
        <f>Table15[[#This Row],[code2]]</f>
        <v>PHL</v>
      </c>
      <c r="AG23" s="502" t="str">
        <f>Table15[[#This Row],[code5]]</f>
        <v>FRB</v>
      </c>
    </row>
    <row r="24" spans="1:33">
      <c r="A24" s="338" t="s">
        <v>6072</v>
      </c>
      <c r="B24" s="338" t="s">
        <v>6073</v>
      </c>
      <c r="C24" s="337">
        <v>1</v>
      </c>
      <c r="D24" s="338" t="s">
        <v>6074</v>
      </c>
      <c r="E24" s="338" t="s">
        <v>6075</v>
      </c>
      <c r="F24" s="337">
        <v>1</v>
      </c>
      <c r="G24" s="337">
        <v>1</v>
      </c>
      <c r="H24" s="338" t="s">
        <v>6075</v>
      </c>
      <c r="I24" s="338" t="s">
        <v>9548</v>
      </c>
      <c r="J24" s="338" t="s">
        <v>9550</v>
      </c>
      <c r="K24" s="338" t="s">
        <v>6076</v>
      </c>
      <c r="L24" s="338"/>
      <c r="M24" s="338" t="s">
        <v>4737</v>
      </c>
      <c r="N24" s="338" t="s">
        <v>8308</v>
      </c>
      <c r="O24" s="337">
        <v>0</v>
      </c>
      <c r="P24" s="337">
        <v>0</v>
      </c>
      <c r="Q24" s="338" t="s">
        <v>8308</v>
      </c>
      <c r="R24" s="338" t="s">
        <v>6088</v>
      </c>
      <c r="S24" s="338"/>
      <c r="T24" s="338" t="s">
        <v>6089</v>
      </c>
      <c r="U24" s="338" t="s">
        <v>6113</v>
      </c>
      <c r="V24" s="337">
        <v>0</v>
      </c>
      <c r="W24" s="337">
        <v>0</v>
      </c>
      <c r="X24" s="338"/>
      <c r="Y24" s="338" t="s">
        <v>493</v>
      </c>
      <c r="Z24" s="338" t="s">
        <v>7970</v>
      </c>
      <c r="AA24" s="338" t="s">
        <v>6079</v>
      </c>
      <c r="AB24" s="338"/>
      <c r="AC24" s="338" t="s">
        <v>6111</v>
      </c>
      <c r="AD24" s="338"/>
      <c r="AF24" s="502" t="str">
        <f>Table15[[#This Row],[code2]]</f>
        <v>PHL</v>
      </c>
      <c r="AG24" s="502" t="str">
        <f>Table15[[#This Row],[code5]]</f>
        <v>FRB</v>
      </c>
    </row>
    <row r="25" spans="1:33">
      <c r="A25" s="338" t="s">
        <v>6072</v>
      </c>
      <c r="B25" s="338" t="s">
        <v>6073</v>
      </c>
      <c r="C25" s="337">
        <v>1</v>
      </c>
      <c r="D25" s="338" t="s">
        <v>6074</v>
      </c>
      <c r="E25" s="338" t="s">
        <v>6075</v>
      </c>
      <c r="F25" s="337">
        <v>1</v>
      </c>
      <c r="G25" s="337">
        <v>1</v>
      </c>
      <c r="H25" s="338" t="s">
        <v>6075</v>
      </c>
      <c r="I25" s="338" t="s">
        <v>9548</v>
      </c>
      <c r="J25" s="338" t="s">
        <v>9550</v>
      </c>
      <c r="K25" s="338" t="s">
        <v>6076</v>
      </c>
      <c r="L25" s="338"/>
      <c r="M25" s="338" t="s">
        <v>4737</v>
      </c>
      <c r="N25" s="338" t="s">
        <v>8308</v>
      </c>
      <c r="O25" s="337">
        <v>0</v>
      </c>
      <c r="P25" s="337">
        <v>0</v>
      </c>
      <c r="Q25" s="338" t="s">
        <v>8308</v>
      </c>
      <c r="R25" s="338" t="s">
        <v>6088</v>
      </c>
      <c r="S25" s="338"/>
      <c r="T25" s="338" t="s">
        <v>6089</v>
      </c>
      <c r="U25" s="338" t="s">
        <v>6114</v>
      </c>
      <c r="V25" s="337">
        <v>0</v>
      </c>
      <c r="W25" s="337">
        <v>0</v>
      </c>
      <c r="X25" s="338"/>
      <c r="Y25" s="338" t="s">
        <v>6085</v>
      </c>
      <c r="Z25" s="338" t="s">
        <v>8027</v>
      </c>
      <c r="AA25" s="338" t="s">
        <v>6079</v>
      </c>
      <c r="AB25" s="338"/>
      <c r="AC25" s="338" t="s">
        <v>6111</v>
      </c>
      <c r="AD25" s="338"/>
      <c r="AF25" s="502" t="str">
        <f>Table15[[#This Row],[code2]]</f>
        <v>PHL</v>
      </c>
      <c r="AG25" s="502" t="str">
        <f>Table15[[#This Row],[code5]]</f>
        <v>FRB</v>
      </c>
    </row>
    <row r="26" spans="1:33">
      <c r="A26" s="338" t="s">
        <v>6072</v>
      </c>
      <c r="B26" s="338" t="s">
        <v>6073</v>
      </c>
      <c r="C26" s="337">
        <v>1</v>
      </c>
      <c r="D26" s="338" t="s">
        <v>6074</v>
      </c>
      <c r="E26" s="338" t="s">
        <v>6075</v>
      </c>
      <c r="F26" s="337">
        <v>1</v>
      </c>
      <c r="G26" s="337">
        <v>1</v>
      </c>
      <c r="H26" s="338" t="s">
        <v>6075</v>
      </c>
      <c r="I26" s="338" t="s">
        <v>9548</v>
      </c>
      <c r="J26" s="338" t="s">
        <v>9550</v>
      </c>
      <c r="K26" s="338" t="s">
        <v>6076</v>
      </c>
      <c r="L26" s="338"/>
      <c r="M26" s="338" t="s">
        <v>4737</v>
      </c>
      <c r="N26" s="338" t="s">
        <v>8308</v>
      </c>
      <c r="O26" s="337">
        <v>0</v>
      </c>
      <c r="P26" s="337">
        <v>0</v>
      </c>
      <c r="Q26" s="338" t="s">
        <v>8308</v>
      </c>
      <c r="R26" s="338" t="s">
        <v>6088</v>
      </c>
      <c r="S26" s="338"/>
      <c r="T26" s="338" t="s">
        <v>6089</v>
      </c>
      <c r="U26" s="338" t="s">
        <v>6115</v>
      </c>
      <c r="V26" s="337">
        <v>0</v>
      </c>
      <c r="W26" s="337">
        <v>0</v>
      </c>
      <c r="X26" s="338"/>
      <c r="Y26" s="338" t="s">
        <v>497</v>
      </c>
      <c r="Z26" s="338" t="s">
        <v>6116</v>
      </c>
      <c r="AA26" s="338" t="s">
        <v>6079</v>
      </c>
      <c r="AB26" s="338"/>
      <c r="AC26" s="338" t="s">
        <v>6117</v>
      </c>
      <c r="AD26" s="338"/>
      <c r="AF26" s="502" t="str">
        <f>Table15[[#This Row],[code2]]</f>
        <v>PHL</v>
      </c>
      <c r="AG26" s="502" t="str">
        <f>Table15[[#This Row],[code5]]</f>
        <v>FRB</v>
      </c>
    </row>
    <row r="27" spans="1:33">
      <c r="A27" s="338" t="s">
        <v>6072</v>
      </c>
      <c r="B27" s="338" t="s">
        <v>6073</v>
      </c>
      <c r="C27" s="337">
        <v>1</v>
      </c>
      <c r="D27" s="338" t="s">
        <v>6074</v>
      </c>
      <c r="E27" s="338" t="s">
        <v>6075</v>
      </c>
      <c r="F27" s="337">
        <v>1</v>
      </c>
      <c r="G27" s="337">
        <v>1</v>
      </c>
      <c r="H27" s="338" t="s">
        <v>6075</v>
      </c>
      <c r="I27" s="338" t="s">
        <v>9548</v>
      </c>
      <c r="J27" s="338" t="s">
        <v>9550</v>
      </c>
      <c r="K27" s="338" t="s">
        <v>6076</v>
      </c>
      <c r="L27" s="338"/>
      <c r="M27" s="338" t="s">
        <v>4737</v>
      </c>
      <c r="N27" s="338" t="s">
        <v>8308</v>
      </c>
      <c r="O27" s="337">
        <v>0</v>
      </c>
      <c r="P27" s="337">
        <v>0</v>
      </c>
      <c r="Q27" s="338" t="s">
        <v>8308</v>
      </c>
      <c r="R27" s="338" t="s">
        <v>6088</v>
      </c>
      <c r="S27" s="338"/>
      <c r="T27" s="338" t="s">
        <v>6089</v>
      </c>
      <c r="U27" s="338" t="s">
        <v>6118</v>
      </c>
      <c r="V27" s="337">
        <v>0</v>
      </c>
      <c r="W27" s="337">
        <v>0</v>
      </c>
      <c r="X27" s="338"/>
      <c r="Y27" s="338" t="s">
        <v>6081</v>
      </c>
      <c r="Z27" s="338" t="s">
        <v>8023</v>
      </c>
      <c r="AA27" s="338" t="s">
        <v>6079</v>
      </c>
      <c r="AB27" s="338"/>
      <c r="AC27" s="338" t="s">
        <v>6117</v>
      </c>
      <c r="AD27" s="338"/>
      <c r="AF27" s="502" t="str">
        <f>Table15[[#This Row],[code2]]</f>
        <v>PHL</v>
      </c>
      <c r="AG27" s="502" t="str">
        <f>Table15[[#This Row],[code5]]</f>
        <v>FRB</v>
      </c>
    </row>
    <row r="28" spans="1:33">
      <c r="A28" s="338" t="s">
        <v>6072</v>
      </c>
      <c r="B28" s="338" t="s">
        <v>6073</v>
      </c>
      <c r="C28" s="337">
        <v>1</v>
      </c>
      <c r="D28" s="338" t="s">
        <v>6074</v>
      </c>
      <c r="E28" s="338" t="s">
        <v>6075</v>
      </c>
      <c r="F28" s="337">
        <v>1</v>
      </c>
      <c r="G28" s="337">
        <v>1</v>
      </c>
      <c r="H28" s="338" t="s">
        <v>6075</v>
      </c>
      <c r="I28" s="338" t="s">
        <v>9548</v>
      </c>
      <c r="J28" s="338" t="s">
        <v>9550</v>
      </c>
      <c r="K28" s="338" t="s">
        <v>6076</v>
      </c>
      <c r="L28" s="338"/>
      <c r="M28" s="338" t="s">
        <v>4737</v>
      </c>
      <c r="N28" s="338" t="s">
        <v>8308</v>
      </c>
      <c r="O28" s="337">
        <v>0</v>
      </c>
      <c r="P28" s="337">
        <v>0</v>
      </c>
      <c r="Q28" s="338" t="s">
        <v>8308</v>
      </c>
      <c r="R28" s="338" t="s">
        <v>6088</v>
      </c>
      <c r="S28" s="338"/>
      <c r="T28" s="338" t="s">
        <v>6089</v>
      </c>
      <c r="U28" s="338" t="s">
        <v>6119</v>
      </c>
      <c r="V28" s="337">
        <v>0</v>
      </c>
      <c r="W28" s="337">
        <v>0</v>
      </c>
      <c r="X28" s="338"/>
      <c r="Y28" s="338" t="s">
        <v>493</v>
      </c>
      <c r="Z28" s="338" t="s">
        <v>6116</v>
      </c>
      <c r="AA28" s="338" t="s">
        <v>6079</v>
      </c>
      <c r="AB28" s="338"/>
      <c r="AC28" s="338" t="s">
        <v>6117</v>
      </c>
      <c r="AD28" s="338"/>
      <c r="AF28" s="502" t="str">
        <f>Table15[[#This Row],[code2]]</f>
        <v>PHL</v>
      </c>
      <c r="AG28" s="502" t="str">
        <f>Table15[[#This Row],[code5]]</f>
        <v>FRB</v>
      </c>
    </row>
    <row r="29" spans="1:33">
      <c r="A29" s="338" t="s">
        <v>6072</v>
      </c>
      <c r="B29" s="338" t="s">
        <v>6073</v>
      </c>
      <c r="C29" s="337">
        <v>1</v>
      </c>
      <c r="D29" s="338" t="s">
        <v>6074</v>
      </c>
      <c r="E29" s="338" t="s">
        <v>6075</v>
      </c>
      <c r="F29" s="337">
        <v>1</v>
      </c>
      <c r="G29" s="337">
        <v>1</v>
      </c>
      <c r="H29" s="338" t="s">
        <v>6075</v>
      </c>
      <c r="I29" s="338" t="s">
        <v>9548</v>
      </c>
      <c r="J29" s="338" t="s">
        <v>9550</v>
      </c>
      <c r="K29" s="338" t="s">
        <v>6076</v>
      </c>
      <c r="L29" s="338"/>
      <c r="M29" s="338" t="s">
        <v>4737</v>
      </c>
      <c r="N29" s="338" t="s">
        <v>8308</v>
      </c>
      <c r="O29" s="337">
        <v>0</v>
      </c>
      <c r="P29" s="337">
        <v>0</v>
      </c>
      <c r="Q29" s="338" t="s">
        <v>8308</v>
      </c>
      <c r="R29" s="338" t="s">
        <v>6088</v>
      </c>
      <c r="S29" s="338"/>
      <c r="T29" s="338" t="s">
        <v>6089</v>
      </c>
      <c r="U29" s="338" t="s">
        <v>6120</v>
      </c>
      <c r="V29" s="337">
        <v>0</v>
      </c>
      <c r="W29" s="337">
        <v>0</v>
      </c>
      <c r="X29" s="338"/>
      <c r="Y29" s="338" t="s">
        <v>6085</v>
      </c>
      <c r="Z29" s="338" t="s">
        <v>8243</v>
      </c>
      <c r="AA29" s="338" t="s">
        <v>6079</v>
      </c>
      <c r="AB29" s="338"/>
      <c r="AC29" s="338" t="s">
        <v>6117</v>
      </c>
      <c r="AD29" s="338"/>
      <c r="AF29" s="502" t="str">
        <f>Table15[[#This Row],[code2]]</f>
        <v>PHL</v>
      </c>
      <c r="AG29" s="502" t="str">
        <f>Table15[[#This Row],[code5]]</f>
        <v>FRB</v>
      </c>
    </row>
    <row r="30" spans="1:33">
      <c r="A30" s="338" t="s">
        <v>6072</v>
      </c>
      <c r="B30" s="338" t="s">
        <v>6073</v>
      </c>
      <c r="C30" s="337">
        <v>1</v>
      </c>
      <c r="D30" s="338" t="s">
        <v>6074</v>
      </c>
      <c r="E30" s="338" t="s">
        <v>6075</v>
      </c>
      <c r="F30" s="337">
        <v>1</v>
      </c>
      <c r="G30" s="337">
        <v>1</v>
      </c>
      <c r="H30" s="338" t="s">
        <v>6075</v>
      </c>
      <c r="I30" s="338" t="s">
        <v>9548</v>
      </c>
      <c r="J30" s="338" t="s">
        <v>9550</v>
      </c>
      <c r="K30" s="338" t="s">
        <v>6076</v>
      </c>
      <c r="L30" s="338"/>
      <c r="M30" s="338" t="s">
        <v>4737</v>
      </c>
      <c r="N30" s="338" t="s">
        <v>8308</v>
      </c>
      <c r="O30" s="337">
        <v>0</v>
      </c>
      <c r="P30" s="337">
        <v>0</v>
      </c>
      <c r="Q30" s="338" t="s">
        <v>8308</v>
      </c>
      <c r="R30" s="338" t="s">
        <v>6088</v>
      </c>
      <c r="S30" s="338"/>
      <c r="T30" s="338" t="s">
        <v>6089</v>
      </c>
      <c r="U30" s="338" t="s">
        <v>6121</v>
      </c>
      <c r="V30" s="337">
        <v>0</v>
      </c>
      <c r="W30" s="337">
        <v>0</v>
      </c>
      <c r="X30" s="338"/>
      <c r="Y30" s="338" t="s">
        <v>497</v>
      </c>
      <c r="Z30" s="338" t="s">
        <v>6116</v>
      </c>
      <c r="AA30" s="338" t="s">
        <v>6079</v>
      </c>
      <c r="AB30" s="338"/>
      <c r="AC30" s="338" t="s">
        <v>6122</v>
      </c>
      <c r="AD30" s="338"/>
      <c r="AF30" s="502" t="str">
        <f>Table15[[#This Row],[code2]]</f>
        <v>PHL</v>
      </c>
      <c r="AG30" s="502" t="str">
        <f>Table15[[#This Row],[code5]]</f>
        <v>FRB</v>
      </c>
    </row>
    <row r="31" spans="1:33">
      <c r="A31" s="338" t="s">
        <v>6072</v>
      </c>
      <c r="B31" s="338" t="s">
        <v>6073</v>
      </c>
      <c r="C31" s="337">
        <v>1</v>
      </c>
      <c r="D31" s="338" t="s">
        <v>6074</v>
      </c>
      <c r="E31" s="338" t="s">
        <v>6075</v>
      </c>
      <c r="F31" s="337">
        <v>1</v>
      </c>
      <c r="G31" s="337">
        <v>1</v>
      </c>
      <c r="H31" s="338" t="s">
        <v>6075</v>
      </c>
      <c r="I31" s="338" t="s">
        <v>9548</v>
      </c>
      <c r="J31" s="338" t="s">
        <v>9550</v>
      </c>
      <c r="K31" s="338" t="s">
        <v>6076</v>
      </c>
      <c r="L31" s="338"/>
      <c r="M31" s="338" t="s">
        <v>4737</v>
      </c>
      <c r="N31" s="338" t="s">
        <v>8308</v>
      </c>
      <c r="O31" s="337">
        <v>0</v>
      </c>
      <c r="P31" s="337">
        <v>0</v>
      </c>
      <c r="Q31" s="338" t="s">
        <v>8308</v>
      </c>
      <c r="R31" s="338" t="s">
        <v>6088</v>
      </c>
      <c r="S31" s="338"/>
      <c r="T31" s="338" t="s">
        <v>6089</v>
      </c>
      <c r="U31" s="338" t="s">
        <v>6123</v>
      </c>
      <c r="V31" s="337">
        <v>0</v>
      </c>
      <c r="W31" s="337">
        <v>0</v>
      </c>
      <c r="X31" s="338"/>
      <c r="Y31" s="338" t="s">
        <v>6081</v>
      </c>
      <c r="Z31" s="338" t="s">
        <v>8249</v>
      </c>
      <c r="AA31" s="338" t="s">
        <v>6079</v>
      </c>
      <c r="AB31" s="338"/>
      <c r="AC31" s="338" t="s">
        <v>6122</v>
      </c>
      <c r="AD31" s="338"/>
      <c r="AF31" s="502" t="str">
        <f>Table15[[#This Row],[code2]]</f>
        <v>PHL</v>
      </c>
      <c r="AG31" s="502" t="str">
        <f>Table15[[#This Row],[code5]]</f>
        <v>FRB</v>
      </c>
    </row>
    <row r="32" spans="1:33">
      <c r="A32" s="338" t="s">
        <v>6072</v>
      </c>
      <c r="B32" s="338" t="s">
        <v>6073</v>
      </c>
      <c r="C32" s="337">
        <v>1</v>
      </c>
      <c r="D32" s="338" t="s">
        <v>6074</v>
      </c>
      <c r="E32" s="338" t="s">
        <v>6075</v>
      </c>
      <c r="F32" s="337">
        <v>1</v>
      </c>
      <c r="G32" s="337">
        <v>1</v>
      </c>
      <c r="H32" s="338" t="s">
        <v>6075</v>
      </c>
      <c r="I32" s="338" t="s">
        <v>9548</v>
      </c>
      <c r="J32" s="338" t="s">
        <v>9550</v>
      </c>
      <c r="K32" s="338" t="s">
        <v>6076</v>
      </c>
      <c r="L32" s="338"/>
      <c r="M32" s="338" t="s">
        <v>4737</v>
      </c>
      <c r="N32" s="338" t="s">
        <v>8308</v>
      </c>
      <c r="O32" s="337">
        <v>0</v>
      </c>
      <c r="P32" s="337">
        <v>0</v>
      </c>
      <c r="Q32" s="338" t="s">
        <v>8308</v>
      </c>
      <c r="R32" s="338" t="s">
        <v>6088</v>
      </c>
      <c r="S32" s="338"/>
      <c r="T32" s="338" t="s">
        <v>6089</v>
      </c>
      <c r="U32" s="338" t="s">
        <v>6124</v>
      </c>
      <c r="V32" s="337">
        <v>0</v>
      </c>
      <c r="W32" s="337">
        <v>0</v>
      </c>
      <c r="X32" s="338"/>
      <c r="Y32" s="338" t="s">
        <v>493</v>
      </c>
      <c r="Z32" s="338" t="s">
        <v>6116</v>
      </c>
      <c r="AA32" s="338" t="s">
        <v>6079</v>
      </c>
      <c r="AB32" s="338"/>
      <c r="AC32" s="338" t="s">
        <v>6122</v>
      </c>
      <c r="AD32" s="338"/>
      <c r="AF32" s="502" t="str">
        <f>Table15[[#This Row],[code2]]</f>
        <v>PHL</v>
      </c>
      <c r="AG32" s="502" t="str">
        <f>Table15[[#This Row],[code5]]</f>
        <v>FRB</v>
      </c>
    </row>
    <row r="33" spans="1:33">
      <c r="A33" s="338" t="s">
        <v>6072</v>
      </c>
      <c r="B33" s="338" t="s">
        <v>6073</v>
      </c>
      <c r="C33" s="337">
        <v>1</v>
      </c>
      <c r="D33" s="338" t="s">
        <v>6074</v>
      </c>
      <c r="E33" s="338" t="s">
        <v>6075</v>
      </c>
      <c r="F33" s="337">
        <v>1</v>
      </c>
      <c r="G33" s="337">
        <v>1</v>
      </c>
      <c r="H33" s="338" t="s">
        <v>6075</v>
      </c>
      <c r="I33" s="338" t="s">
        <v>9548</v>
      </c>
      <c r="J33" s="338" t="s">
        <v>9550</v>
      </c>
      <c r="K33" s="338" t="s">
        <v>6076</v>
      </c>
      <c r="L33" s="338"/>
      <c r="M33" s="338" t="s">
        <v>4737</v>
      </c>
      <c r="N33" s="338" t="s">
        <v>8308</v>
      </c>
      <c r="O33" s="337">
        <v>0</v>
      </c>
      <c r="P33" s="337">
        <v>0</v>
      </c>
      <c r="Q33" s="338" t="s">
        <v>8308</v>
      </c>
      <c r="R33" s="338" t="s">
        <v>6088</v>
      </c>
      <c r="S33" s="338"/>
      <c r="T33" s="338" t="s">
        <v>6089</v>
      </c>
      <c r="U33" s="338" t="s">
        <v>6125</v>
      </c>
      <c r="V33" s="337">
        <v>0</v>
      </c>
      <c r="W33" s="337">
        <v>0</v>
      </c>
      <c r="X33" s="338"/>
      <c r="Y33" s="338" t="s">
        <v>6085</v>
      </c>
      <c r="Z33" s="338" t="s">
        <v>8250</v>
      </c>
      <c r="AA33" s="338" t="s">
        <v>6079</v>
      </c>
      <c r="AB33" s="338"/>
      <c r="AC33" s="338" t="s">
        <v>6122</v>
      </c>
      <c r="AD33" s="338"/>
      <c r="AF33" s="502" t="str">
        <f>Table15[[#This Row],[code2]]</f>
        <v>PHL</v>
      </c>
      <c r="AG33" s="502" t="str">
        <f>Table15[[#This Row],[code5]]</f>
        <v>FRB</v>
      </c>
    </row>
    <row r="34" spans="1:33">
      <c r="A34" s="338" t="s">
        <v>6072</v>
      </c>
      <c r="B34" s="338" t="s">
        <v>6073</v>
      </c>
      <c r="C34" s="337">
        <v>1</v>
      </c>
      <c r="D34" s="338" t="s">
        <v>6074</v>
      </c>
      <c r="E34" s="338" t="s">
        <v>6075</v>
      </c>
      <c r="F34" s="337">
        <v>1</v>
      </c>
      <c r="G34" s="337">
        <v>1</v>
      </c>
      <c r="H34" s="338" t="s">
        <v>6075</v>
      </c>
      <c r="I34" s="338" t="s">
        <v>9548</v>
      </c>
      <c r="J34" s="338" t="s">
        <v>9550</v>
      </c>
      <c r="K34" s="338" t="s">
        <v>6076</v>
      </c>
      <c r="L34" s="338"/>
      <c r="M34" s="338" t="s">
        <v>4734</v>
      </c>
      <c r="N34" s="338" t="s">
        <v>8309</v>
      </c>
      <c r="O34" s="337">
        <v>1</v>
      </c>
      <c r="P34" s="337">
        <v>1</v>
      </c>
      <c r="Q34" s="338" t="s">
        <v>8309</v>
      </c>
      <c r="R34" s="338" t="s">
        <v>6088</v>
      </c>
      <c r="S34" s="338"/>
      <c r="T34" s="338" t="s">
        <v>7906</v>
      </c>
      <c r="U34" s="338" t="s">
        <v>4892</v>
      </c>
      <c r="V34" s="337">
        <v>1</v>
      </c>
      <c r="W34" s="337">
        <v>1</v>
      </c>
      <c r="X34" s="338"/>
      <c r="Y34" s="338" t="s">
        <v>497</v>
      </c>
      <c r="Z34" s="338" t="s">
        <v>7916</v>
      </c>
      <c r="AA34" s="338" t="s">
        <v>6079</v>
      </c>
      <c r="AB34" s="338"/>
      <c r="AC34" s="338" t="s">
        <v>6091</v>
      </c>
      <c r="AD34" s="338"/>
      <c r="AF34" s="502" t="str">
        <f>Table15[[#This Row],[code2]]</f>
        <v>PHL</v>
      </c>
      <c r="AG34" s="502" t="str">
        <f>Table15[[#This Row],[code5]]</f>
        <v>FR</v>
      </c>
    </row>
    <row r="35" spans="1:33">
      <c r="A35" s="338" t="s">
        <v>6072</v>
      </c>
      <c r="B35" s="338" t="s">
        <v>6073</v>
      </c>
      <c r="C35" s="337">
        <v>1</v>
      </c>
      <c r="D35" s="338" t="s">
        <v>6074</v>
      </c>
      <c r="E35" s="338" t="s">
        <v>6075</v>
      </c>
      <c r="F35" s="337">
        <v>1</v>
      </c>
      <c r="G35" s="337">
        <v>1</v>
      </c>
      <c r="H35" s="338" t="s">
        <v>6075</v>
      </c>
      <c r="I35" s="338" t="s">
        <v>9548</v>
      </c>
      <c r="J35" s="338" t="s">
        <v>9550</v>
      </c>
      <c r="K35" s="338" t="s">
        <v>6076</v>
      </c>
      <c r="L35" s="338"/>
      <c r="M35" s="338" t="s">
        <v>4734</v>
      </c>
      <c r="N35" s="338" t="s">
        <v>8309</v>
      </c>
      <c r="O35" s="337">
        <v>1</v>
      </c>
      <c r="P35" s="337">
        <v>1</v>
      </c>
      <c r="Q35" s="338" t="s">
        <v>8309</v>
      </c>
      <c r="R35" s="338" t="s">
        <v>6088</v>
      </c>
      <c r="S35" s="338"/>
      <c r="T35" s="338" t="s">
        <v>7906</v>
      </c>
      <c r="U35" s="338" t="s">
        <v>6127</v>
      </c>
      <c r="V35" s="337">
        <v>1</v>
      </c>
      <c r="W35" s="337">
        <v>1</v>
      </c>
      <c r="X35" s="338"/>
      <c r="Y35" s="338" t="s">
        <v>6081</v>
      </c>
      <c r="Z35" s="338" t="s">
        <v>8589</v>
      </c>
      <c r="AA35" s="338" t="s">
        <v>6079</v>
      </c>
      <c r="AB35" s="338"/>
      <c r="AC35" s="338" t="s">
        <v>6091</v>
      </c>
      <c r="AD35" s="338"/>
      <c r="AF35" s="502" t="str">
        <f>Table15[[#This Row],[code2]]</f>
        <v>PHL</v>
      </c>
      <c r="AG35" s="502" t="str">
        <f>Table15[[#This Row],[code5]]</f>
        <v>FR</v>
      </c>
    </row>
    <row r="36" spans="1:33">
      <c r="A36" s="338" t="s">
        <v>6072</v>
      </c>
      <c r="B36" s="338" t="s">
        <v>6073</v>
      </c>
      <c r="C36" s="337">
        <v>1</v>
      </c>
      <c r="D36" s="338" t="s">
        <v>6074</v>
      </c>
      <c r="E36" s="338" t="s">
        <v>6075</v>
      </c>
      <c r="F36" s="337">
        <v>1</v>
      </c>
      <c r="G36" s="337">
        <v>1</v>
      </c>
      <c r="H36" s="338" t="s">
        <v>6075</v>
      </c>
      <c r="I36" s="338" t="s">
        <v>9548</v>
      </c>
      <c r="J36" s="338" t="s">
        <v>9550</v>
      </c>
      <c r="K36" s="338" t="s">
        <v>6076</v>
      </c>
      <c r="L36" s="338"/>
      <c r="M36" s="338" t="s">
        <v>4734</v>
      </c>
      <c r="N36" s="338" t="s">
        <v>8309</v>
      </c>
      <c r="O36" s="337">
        <v>1</v>
      </c>
      <c r="P36" s="337">
        <v>1</v>
      </c>
      <c r="Q36" s="338" t="s">
        <v>8309</v>
      </c>
      <c r="R36" s="338" t="s">
        <v>6088</v>
      </c>
      <c r="S36" s="338"/>
      <c r="T36" s="338" t="s">
        <v>7906</v>
      </c>
      <c r="U36" s="338" t="s">
        <v>4915</v>
      </c>
      <c r="V36" s="337">
        <v>1</v>
      </c>
      <c r="W36" s="337">
        <v>1</v>
      </c>
      <c r="X36" s="338"/>
      <c r="Y36" s="338" t="s">
        <v>493</v>
      </c>
      <c r="Z36" s="338" t="s">
        <v>7967</v>
      </c>
      <c r="AA36" s="338" t="s">
        <v>6079</v>
      </c>
      <c r="AB36" s="338"/>
      <c r="AC36" s="338" t="s">
        <v>6091</v>
      </c>
      <c r="AD36" s="338"/>
      <c r="AF36" s="502" t="str">
        <f>Table15[[#This Row],[code2]]</f>
        <v>PHL</v>
      </c>
      <c r="AG36" s="502" t="str">
        <f>Table15[[#This Row],[code5]]</f>
        <v>FR</v>
      </c>
    </row>
    <row r="37" spans="1:33">
      <c r="A37" s="338" t="s">
        <v>6072</v>
      </c>
      <c r="B37" s="338" t="s">
        <v>6073</v>
      </c>
      <c r="C37" s="337">
        <v>1</v>
      </c>
      <c r="D37" s="338" t="s">
        <v>6074</v>
      </c>
      <c r="E37" s="338" t="s">
        <v>6075</v>
      </c>
      <c r="F37" s="337">
        <v>1</v>
      </c>
      <c r="G37" s="337">
        <v>1</v>
      </c>
      <c r="H37" s="338" t="s">
        <v>6075</v>
      </c>
      <c r="I37" s="338" t="s">
        <v>9548</v>
      </c>
      <c r="J37" s="338" t="s">
        <v>9550</v>
      </c>
      <c r="K37" s="338" t="s">
        <v>6076</v>
      </c>
      <c r="L37" s="338"/>
      <c r="M37" s="338" t="s">
        <v>4734</v>
      </c>
      <c r="N37" s="338" t="s">
        <v>8309</v>
      </c>
      <c r="O37" s="337">
        <v>1</v>
      </c>
      <c r="P37" s="337">
        <v>1</v>
      </c>
      <c r="Q37" s="338" t="s">
        <v>8309</v>
      </c>
      <c r="R37" s="338" t="s">
        <v>6088</v>
      </c>
      <c r="S37" s="338"/>
      <c r="T37" s="338" t="s">
        <v>7906</v>
      </c>
      <c r="U37" s="338" t="s">
        <v>6128</v>
      </c>
      <c r="V37" s="337">
        <v>1</v>
      </c>
      <c r="W37" s="337">
        <v>1</v>
      </c>
      <c r="X37" s="338"/>
      <c r="Y37" s="338" t="s">
        <v>6085</v>
      </c>
      <c r="Z37" s="338" t="s">
        <v>9065</v>
      </c>
      <c r="AA37" s="338" t="s">
        <v>6079</v>
      </c>
      <c r="AB37" s="338"/>
      <c r="AC37" s="338" t="s">
        <v>6091</v>
      </c>
      <c r="AD37" s="338"/>
      <c r="AF37" s="502" t="str">
        <f>Table15[[#This Row],[code2]]</f>
        <v>PHL</v>
      </c>
      <c r="AG37" s="502" t="str">
        <f>Table15[[#This Row],[code5]]</f>
        <v>FR</v>
      </c>
    </row>
    <row r="38" spans="1:33">
      <c r="A38" s="338" t="s">
        <v>6072</v>
      </c>
      <c r="B38" s="338" t="s">
        <v>6073</v>
      </c>
      <c r="C38" s="337">
        <v>1</v>
      </c>
      <c r="D38" s="338" t="s">
        <v>6074</v>
      </c>
      <c r="E38" s="338" t="s">
        <v>6075</v>
      </c>
      <c r="F38" s="337">
        <v>1</v>
      </c>
      <c r="G38" s="337">
        <v>1</v>
      </c>
      <c r="H38" s="338" t="s">
        <v>6075</v>
      </c>
      <c r="I38" s="338" t="s">
        <v>9548</v>
      </c>
      <c r="J38" s="338" t="s">
        <v>9550</v>
      </c>
      <c r="K38" s="338" t="s">
        <v>6076</v>
      </c>
      <c r="L38" s="338"/>
      <c r="M38" s="338" t="s">
        <v>4734</v>
      </c>
      <c r="N38" s="338" t="s">
        <v>8309</v>
      </c>
      <c r="O38" s="337">
        <v>1</v>
      </c>
      <c r="P38" s="337">
        <v>1</v>
      </c>
      <c r="Q38" s="338" t="s">
        <v>8309</v>
      </c>
      <c r="R38" s="338" t="s">
        <v>6088</v>
      </c>
      <c r="S38" s="338"/>
      <c r="T38" s="338" t="s">
        <v>7906</v>
      </c>
      <c r="U38" s="338" t="s">
        <v>4893</v>
      </c>
      <c r="V38" s="337">
        <v>1</v>
      </c>
      <c r="W38" s="337">
        <v>1</v>
      </c>
      <c r="X38" s="338"/>
      <c r="Y38" s="338" t="s">
        <v>497</v>
      </c>
      <c r="Z38" s="338" t="s">
        <v>8014</v>
      </c>
      <c r="AA38" s="338" t="s">
        <v>6079</v>
      </c>
      <c r="AB38" s="338"/>
      <c r="AC38" s="338" t="s">
        <v>6096</v>
      </c>
      <c r="AD38" s="338"/>
      <c r="AF38" s="502" t="str">
        <f>Table15[[#This Row],[code2]]</f>
        <v>PHL</v>
      </c>
      <c r="AG38" s="502" t="str">
        <f>Table15[[#This Row],[code5]]</f>
        <v>FR</v>
      </c>
    </row>
    <row r="39" spans="1:33">
      <c r="A39" s="338" t="s">
        <v>6072</v>
      </c>
      <c r="B39" s="338" t="s">
        <v>6073</v>
      </c>
      <c r="C39" s="337">
        <v>1</v>
      </c>
      <c r="D39" s="338" t="s">
        <v>6074</v>
      </c>
      <c r="E39" s="338" t="s">
        <v>6075</v>
      </c>
      <c r="F39" s="337">
        <v>1</v>
      </c>
      <c r="G39" s="337">
        <v>1</v>
      </c>
      <c r="H39" s="338" t="s">
        <v>6075</v>
      </c>
      <c r="I39" s="338" t="s">
        <v>9548</v>
      </c>
      <c r="J39" s="338" t="s">
        <v>9550</v>
      </c>
      <c r="K39" s="338" t="s">
        <v>6076</v>
      </c>
      <c r="L39" s="338"/>
      <c r="M39" s="338" t="s">
        <v>4734</v>
      </c>
      <c r="N39" s="338" t="s">
        <v>8309</v>
      </c>
      <c r="O39" s="337">
        <v>1</v>
      </c>
      <c r="P39" s="337">
        <v>1</v>
      </c>
      <c r="Q39" s="338" t="s">
        <v>8309</v>
      </c>
      <c r="R39" s="338" t="s">
        <v>6088</v>
      </c>
      <c r="S39" s="338"/>
      <c r="T39" s="338" t="s">
        <v>7906</v>
      </c>
      <c r="U39" s="338" t="s">
        <v>6129</v>
      </c>
      <c r="V39" s="337">
        <v>1</v>
      </c>
      <c r="W39" s="337">
        <v>1</v>
      </c>
      <c r="X39" s="338"/>
      <c r="Y39" s="338" t="s">
        <v>6081</v>
      </c>
      <c r="Z39" s="338" t="s">
        <v>9136</v>
      </c>
      <c r="AA39" s="338" t="s">
        <v>6079</v>
      </c>
      <c r="AB39" s="338"/>
      <c r="AC39" s="338" t="s">
        <v>6096</v>
      </c>
      <c r="AD39" s="338"/>
      <c r="AF39" s="502" t="str">
        <f>Table15[[#This Row],[code2]]</f>
        <v>PHL</v>
      </c>
      <c r="AG39" s="502" t="str">
        <f>Table15[[#This Row],[code5]]</f>
        <v>FR</v>
      </c>
    </row>
    <row r="40" spans="1:33">
      <c r="A40" s="338" t="s">
        <v>6072</v>
      </c>
      <c r="B40" s="338" t="s">
        <v>6073</v>
      </c>
      <c r="C40" s="337">
        <v>1</v>
      </c>
      <c r="D40" s="338" t="s">
        <v>6074</v>
      </c>
      <c r="E40" s="338" t="s">
        <v>6075</v>
      </c>
      <c r="F40" s="337">
        <v>1</v>
      </c>
      <c r="G40" s="337">
        <v>1</v>
      </c>
      <c r="H40" s="338" t="s">
        <v>6075</v>
      </c>
      <c r="I40" s="338" t="s">
        <v>9548</v>
      </c>
      <c r="J40" s="338" t="s">
        <v>9550</v>
      </c>
      <c r="K40" s="338" t="s">
        <v>6076</v>
      </c>
      <c r="L40" s="338"/>
      <c r="M40" s="338" t="s">
        <v>4734</v>
      </c>
      <c r="N40" s="338" t="s">
        <v>8309</v>
      </c>
      <c r="O40" s="337">
        <v>1</v>
      </c>
      <c r="P40" s="337">
        <v>1</v>
      </c>
      <c r="Q40" s="338" t="s">
        <v>8309</v>
      </c>
      <c r="R40" s="338" t="s">
        <v>6088</v>
      </c>
      <c r="S40" s="338"/>
      <c r="T40" s="338" t="s">
        <v>7906</v>
      </c>
      <c r="U40" s="338" t="s">
        <v>4916</v>
      </c>
      <c r="V40" s="337">
        <v>1</v>
      </c>
      <c r="W40" s="337">
        <v>1</v>
      </c>
      <c r="X40" s="338"/>
      <c r="Y40" s="338" t="s">
        <v>493</v>
      </c>
      <c r="Z40" s="338" t="s">
        <v>7915</v>
      </c>
      <c r="AA40" s="338" t="s">
        <v>6079</v>
      </c>
      <c r="AB40" s="338"/>
      <c r="AC40" s="338" t="s">
        <v>6096</v>
      </c>
      <c r="AD40" s="338"/>
      <c r="AF40" s="502" t="str">
        <f>Table15[[#This Row],[code2]]</f>
        <v>PHL</v>
      </c>
      <c r="AG40" s="502" t="str">
        <f>Table15[[#This Row],[code5]]</f>
        <v>FR</v>
      </c>
    </row>
    <row r="41" spans="1:33">
      <c r="A41" s="338" t="s">
        <v>6072</v>
      </c>
      <c r="B41" s="338" t="s">
        <v>6073</v>
      </c>
      <c r="C41" s="337">
        <v>1</v>
      </c>
      <c r="D41" s="338" t="s">
        <v>6074</v>
      </c>
      <c r="E41" s="338" t="s">
        <v>6075</v>
      </c>
      <c r="F41" s="337">
        <v>1</v>
      </c>
      <c r="G41" s="337">
        <v>1</v>
      </c>
      <c r="H41" s="338" t="s">
        <v>6075</v>
      </c>
      <c r="I41" s="338" t="s">
        <v>9548</v>
      </c>
      <c r="J41" s="338" t="s">
        <v>9550</v>
      </c>
      <c r="K41" s="338" t="s">
        <v>6076</v>
      </c>
      <c r="L41" s="338"/>
      <c r="M41" s="338" t="s">
        <v>4734</v>
      </c>
      <c r="N41" s="338" t="s">
        <v>8309</v>
      </c>
      <c r="O41" s="337">
        <v>1</v>
      </c>
      <c r="P41" s="337">
        <v>1</v>
      </c>
      <c r="Q41" s="338" t="s">
        <v>8309</v>
      </c>
      <c r="R41" s="338" t="s">
        <v>6088</v>
      </c>
      <c r="S41" s="338"/>
      <c r="T41" s="338" t="s">
        <v>7906</v>
      </c>
      <c r="U41" s="338" t="s">
        <v>6130</v>
      </c>
      <c r="V41" s="337">
        <v>1</v>
      </c>
      <c r="W41" s="337">
        <v>1</v>
      </c>
      <c r="X41" s="338"/>
      <c r="Y41" s="338" t="s">
        <v>6085</v>
      </c>
      <c r="Z41" s="338" t="s">
        <v>8741</v>
      </c>
      <c r="AA41" s="338" t="s">
        <v>6079</v>
      </c>
      <c r="AB41" s="338"/>
      <c r="AC41" s="338" t="s">
        <v>6096</v>
      </c>
      <c r="AD41" s="338"/>
      <c r="AF41" s="502" t="str">
        <f>Table15[[#This Row],[code2]]</f>
        <v>PHL</v>
      </c>
      <c r="AG41" s="502" t="str">
        <f>Table15[[#This Row],[code5]]</f>
        <v>FR</v>
      </c>
    </row>
    <row r="42" spans="1:33">
      <c r="A42" s="338" t="s">
        <v>6072</v>
      </c>
      <c r="B42" s="338" t="s">
        <v>6073</v>
      </c>
      <c r="C42" s="337">
        <v>1</v>
      </c>
      <c r="D42" s="338" t="s">
        <v>6074</v>
      </c>
      <c r="E42" s="338" t="s">
        <v>6075</v>
      </c>
      <c r="F42" s="337">
        <v>1</v>
      </c>
      <c r="G42" s="337">
        <v>1</v>
      </c>
      <c r="H42" s="338" t="s">
        <v>6075</v>
      </c>
      <c r="I42" s="338" t="s">
        <v>9548</v>
      </c>
      <c r="J42" s="338" t="s">
        <v>9550</v>
      </c>
      <c r="K42" s="338" t="s">
        <v>6076</v>
      </c>
      <c r="L42" s="338"/>
      <c r="M42" s="338" t="s">
        <v>4734</v>
      </c>
      <c r="N42" s="338" t="s">
        <v>8309</v>
      </c>
      <c r="O42" s="337">
        <v>1</v>
      </c>
      <c r="P42" s="337">
        <v>1</v>
      </c>
      <c r="Q42" s="338" t="s">
        <v>8309</v>
      </c>
      <c r="R42" s="338" t="s">
        <v>6088</v>
      </c>
      <c r="S42" s="338"/>
      <c r="T42" s="338" t="s">
        <v>7906</v>
      </c>
      <c r="U42" s="338" t="s">
        <v>4894</v>
      </c>
      <c r="V42" s="337">
        <v>1</v>
      </c>
      <c r="W42" s="337">
        <v>1</v>
      </c>
      <c r="X42" s="338"/>
      <c r="Y42" s="338" t="s">
        <v>497</v>
      </c>
      <c r="Z42" s="338" t="s">
        <v>8014</v>
      </c>
      <c r="AA42" s="338" t="s">
        <v>6079</v>
      </c>
      <c r="AB42" s="338"/>
      <c r="AC42" s="338" t="s">
        <v>6101</v>
      </c>
      <c r="AD42" s="338"/>
      <c r="AF42" s="502" t="str">
        <f>Table15[[#This Row],[code2]]</f>
        <v>PHL</v>
      </c>
      <c r="AG42" s="502" t="str">
        <f>Table15[[#This Row],[code5]]</f>
        <v>FR</v>
      </c>
    </row>
    <row r="43" spans="1:33">
      <c r="A43" s="338" t="s">
        <v>6072</v>
      </c>
      <c r="B43" s="338" t="s">
        <v>6073</v>
      </c>
      <c r="C43" s="337">
        <v>1</v>
      </c>
      <c r="D43" s="338" t="s">
        <v>6074</v>
      </c>
      <c r="E43" s="338" t="s">
        <v>6075</v>
      </c>
      <c r="F43" s="337">
        <v>1</v>
      </c>
      <c r="G43" s="337">
        <v>1</v>
      </c>
      <c r="H43" s="338" t="s">
        <v>6075</v>
      </c>
      <c r="I43" s="338" t="s">
        <v>9548</v>
      </c>
      <c r="J43" s="338" t="s">
        <v>9550</v>
      </c>
      <c r="K43" s="338" t="s">
        <v>6076</v>
      </c>
      <c r="L43" s="338"/>
      <c r="M43" s="338" t="s">
        <v>4734</v>
      </c>
      <c r="N43" s="338" t="s">
        <v>8309</v>
      </c>
      <c r="O43" s="337">
        <v>1</v>
      </c>
      <c r="P43" s="337">
        <v>1</v>
      </c>
      <c r="Q43" s="338" t="s">
        <v>8309</v>
      </c>
      <c r="R43" s="338" t="s">
        <v>6088</v>
      </c>
      <c r="S43" s="338"/>
      <c r="T43" s="338" t="s">
        <v>7906</v>
      </c>
      <c r="U43" s="338" t="s">
        <v>6131</v>
      </c>
      <c r="V43" s="337">
        <v>1</v>
      </c>
      <c r="W43" s="337">
        <v>1</v>
      </c>
      <c r="X43" s="338"/>
      <c r="Y43" s="338" t="s">
        <v>6081</v>
      </c>
      <c r="Z43" s="338" t="s">
        <v>9098</v>
      </c>
      <c r="AA43" s="338" t="s">
        <v>6079</v>
      </c>
      <c r="AB43" s="338"/>
      <c r="AC43" s="338" t="s">
        <v>6101</v>
      </c>
      <c r="AD43" s="338"/>
      <c r="AF43" s="502" t="str">
        <f>Table15[[#This Row],[code2]]</f>
        <v>PHL</v>
      </c>
      <c r="AG43" s="502" t="str">
        <f>Table15[[#This Row],[code5]]</f>
        <v>FR</v>
      </c>
    </row>
    <row r="44" spans="1:33">
      <c r="A44" s="338" t="s">
        <v>6072</v>
      </c>
      <c r="B44" s="338" t="s">
        <v>6073</v>
      </c>
      <c r="C44" s="337">
        <v>1</v>
      </c>
      <c r="D44" s="338" t="s">
        <v>6074</v>
      </c>
      <c r="E44" s="338" t="s">
        <v>6075</v>
      </c>
      <c r="F44" s="337">
        <v>1</v>
      </c>
      <c r="G44" s="337">
        <v>1</v>
      </c>
      <c r="H44" s="338" t="s">
        <v>6075</v>
      </c>
      <c r="I44" s="338" t="s">
        <v>9548</v>
      </c>
      <c r="J44" s="338" t="s">
        <v>9550</v>
      </c>
      <c r="K44" s="338" t="s">
        <v>6076</v>
      </c>
      <c r="L44" s="338"/>
      <c r="M44" s="338" t="s">
        <v>4734</v>
      </c>
      <c r="N44" s="338" t="s">
        <v>8309</v>
      </c>
      <c r="O44" s="337">
        <v>1</v>
      </c>
      <c r="P44" s="337">
        <v>1</v>
      </c>
      <c r="Q44" s="338" t="s">
        <v>8309</v>
      </c>
      <c r="R44" s="338" t="s">
        <v>6088</v>
      </c>
      <c r="S44" s="338"/>
      <c r="T44" s="338" t="s">
        <v>7906</v>
      </c>
      <c r="U44" s="338" t="s">
        <v>4917</v>
      </c>
      <c r="V44" s="337">
        <v>1</v>
      </c>
      <c r="W44" s="337">
        <v>1</v>
      </c>
      <c r="X44" s="338"/>
      <c r="Y44" s="338" t="s">
        <v>493</v>
      </c>
      <c r="Z44" s="338" t="s">
        <v>7915</v>
      </c>
      <c r="AA44" s="338" t="s">
        <v>6079</v>
      </c>
      <c r="AB44" s="338"/>
      <c r="AC44" s="338" t="s">
        <v>6101</v>
      </c>
      <c r="AD44" s="338"/>
      <c r="AF44" s="502" t="str">
        <f>Table15[[#This Row],[code2]]</f>
        <v>PHL</v>
      </c>
      <c r="AG44" s="502" t="str">
        <f>Table15[[#This Row],[code5]]</f>
        <v>FR</v>
      </c>
    </row>
    <row r="45" spans="1:33">
      <c r="A45" s="338" t="s">
        <v>6072</v>
      </c>
      <c r="B45" s="338" t="s">
        <v>6073</v>
      </c>
      <c r="C45" s="337">
        <v>1</v>
      </c>
      <c r="D45" s="338" t="s">
        <v>6074</v>
      </c>
      <c r="E45" s="338" t="s">
        <v>6075</v>
      </c>
      <c r="F45" s="337">
        <v>1</v>
      </c>
      <c r="G45" s="337">
        <v>1</v>
      </c>
      <c r="H45" s="338" t="s">
        <v>6075</v>
      </c>
      <c r="I45" s="338" t="s">
        <v>9548</v>
      </c>
      <c r="J45" s="338" t="s">
        <v>9550</v>
      </c>
      <c r="K45" s="338" t="s">
        <v>6076</v>
      </c>
      <c r="L45" s="338"/>
      <c r="M45" s="338" t="s">
        <v>4734</v>
      </c>
      <c r="N45" s="338" t="s">
        <v>8309</v>
      </c>
      <c r="O45" s="337">
        <v>1</v>
      </c>
      <c r="P45" s="337">
        <v>1</v>
      </c>
      <c r="Q45" s="338" t="s">
        <v>8309</v>
      </c>
      <c r="R45" s="338" t="s">
        <v>6088</v>
      </c>
      <c r="S45" s="338"/>
      <c r="T45" s="338" t="s">
        <v>7906</v>
      </c>
      <c r="U45" s="338" t="s">
        <v>6132</v>
      </c>
      <c r="V45" s="337">
        <v>1</v>
      </c>
      <c r="W45" s="337">
        <v>1</v>
      </c>
      <c r="X45" s="338"/>
      <c r="Y45" s="338" t="s">
        <v>6085</v>
      </c>
      <c r="Z45" s="338" t="s">
        <v>9137</v>
      </c>
      <c r="AA45" s="338" t="s">
        <v>6079</v>
      </c>
      <c r="AB45" s="338"/>
      <c r="AC45" s="338" t="s">
        <v>6101</v>
      </c>
      <c r="AD45" s="338"/>
      <c r="AF45" s="502" t="str">
        <f>Table15[[#This Row],[code2]]</f>
        <v>PHL</v>
      </c>
      <c r="AG45" s="502" t="str">
        <f>Table15[[#This Row],[code5]]</f>
        <v>FR</v>
      </c>
    </row>
    <row r="46" spans="1:33">
      <c r="A46" s="338" t="s">
        <v>6072</v>
      </c>
      <c r="B46" s="338" t="s">
        <v>6073</v>
      </c>
      <c r="C46" s="337">
        <v>1</v>
      </c>
      <c r="D46" s="338" t="s">
        <v>6074</v>
      </c>
      <c r="E46" s="338" t="s">
        <v>6075</v>
      </c>
      <c r="F46" s="337">
        <v>1</v>
      </c>
      <c r="G46" s="337">
        <v>1</v>
      </c>
      <c r="H46" s="338" t="s">
        <v>6075</v>
      </c>
      <c r="I46" s="338" t="s">
        <v>9548</v>
      </c>
      <c r="J46" s="338" t="s">
        <v>9550</v>
      </c>
      <c r="K46" s="338" t="s">
        <v>6076</v>
      </c>
      <c r="L46" s="338"/>
      <c r="M46" s="338" t="s">
        <v>4734</v>
      </c>
      <c r="N46" s="338" t="s">
        <v>8309</v>
      </c>
      <c r="O46" s="337">
        <v>1</v>
      </c>
      <c r="P46" s="337">
        <v>1</v>
      </c>
      <c r="Q46" s="338" t="s">
        <v>8309</v>
      </c>
      <c r="R46" s="338" t="s">
        <v>6088</v>
      </c>
      <c r="S46" s="338"/>
      <c r="T46" s="338" t="s">
        <v>7906</v>
      </c>
      <c r="U46" s="338" t="s">
        <v>4895</v>
      </c>
      <c r="V46" s="337">
        <v>1</v>
      </c>
      <c r="W46" s="337">
        <v>1</v>
      </c>
      <c r="X46" s="338"/>
      <c r="Y46" s="338" t="s">
        <v>497</v>
      </c>
      <c r="Z46" s="338" t="s">
        <v>7916</v>
      </c>
      <c r="AA46" s="338" t="s">
        <v>6079</v>
      </c>
      <c r="AB46" s="338"/>
      <c r="AC46" s="338" t="s">
        <v>6106</v>
      </c>
      <c r="AD46" s="338"/>
      <c r="AF46" s="502" t="str">
        <f>Table15[[#This Row],[code2]]</f>
        <v>PHL</v>
      </c>
      <c r="AG46" s="502" t="str">
        <f>Table15[[#This Row],[code5]]</f>
        <v>FR</v>
      </c>
    </row>
    <row r="47" spans="1:33">
      <c r="A47" s="338" t="s">
        <v>6072</v>
      </c>
      <c r="B47" s="338" t="s">
        <v>6073</v>
      </c>
      <c r="C47" s="337">
        <v>1</v>
      </c>
      <c r="D47" s="338" t="s">
        <v>6074</v>
      </c>
      <c r="E47" s="338" t="s">
        <v>6075</v>
      </c>
      <c r="F47" s="337">
        <v>1</v>
      </c>
      <c r="G47" s="337">
        <v>1</v>
      </c>
      <c r="H47" s="338" t="s">
        <v>6075</v>
      </c>
      <c r="I47" s="338" t="s">
        <v>9548</v>
      </c>
      <c r="J47" s="338" t="s">
        <v>9550</v>
      </c>
      <c r="K47" s="338" t="s">
        <v>6076</v>
      </c>
      <c r="L47" s="338"/>
      <c r="M47" s="338" t="s">
        <v>4734</v>
      </c>
      <c r="N47" s="338" t="s">
        <v>8309</v>
      </c>
      <c r="O47" s="337">
        <v>1</v>
      </c>
      <c r="P47" s="337">
        <v>1</v>
      </c>
      <c r="Q47" s="338" t="s">
        <v>8309</v>
      </c>
      <c r="R47" s="338" t="s">
        <v>6088</v>
      </c>
      <c r="S47" s="338"/>
      <c r="T47" s="338" t="s">
        <v>7906</v>
      </c>
      <c r="U47" s="338" t="s">
        <v>6133</v>
      </c>
      <c r="V47" s="337">
        <v>1</v>
      </c>
      <c r="W47" s="337">
        <v>1</v>
      </c>
      <c r="X47" s="338"/>
      <c r="Y47" s="338" t="s">
        <v>6081</v>
      </c>
      <c r="Z47" s="338" t="s">
        <v>9138</v>
      </c>
      <c r="AA47" s="338" t="s">
        <v>6079</v>
      </c>
      <c r="AB47" s="338"/>
      <c r="AC47" s="338" t="s">
        <v>6106</v>
      </c>
      <c r="AD47" s="338"/>
      <c r="AF47" s="502" t="str">
        <f>Table15[[#This Row],[code2]]</f>
        <v>PHL</v>
      </c>
      <c r="AG47" s="502" t="str">
        <f>Table15[[#This Row],[code5]]</f>
        <v>FR</v>
      </c>
    </row>
    <row r="48" spans="1:33">
      <c r="A48" s="338" t="s">
        <v>6072</v>
      </c>
      <c r="B48" s="338" t="s">
        <v>6073</v>
      </c>
      <c r="C48" s="337">
        <v>1</v>
      </c>
      <c r="D48" s="338" t="s">
        <v>6074</v>
      </c>
      <c r="E48" s="338" t="s">
        <v>6075</v>
      </c>
      <c r="F48" s="337">
        <v>1</v>
      </c>
      <c r="G48" s="337">
        <v>1</v>
      </c>
      <c r="H48" s="338" t="s">
        <v>6075</v>
      </c>
      <c r="I48" s="338" t="s">
        <v>9548</v>
      </c>
      <c r="J48" s="338" t="s">
        <v>9550</v>
      </c>
      <c r="K48" s="338" t="s">
        <v>6076</v>
      </c>
      <c r="L48" s="338"/>
      <c r="M48" s="338" t="s">
        <v>4734</v>
      </c>
      <c r="N48" s="338" t="s">
        <v>8309</v>
      </c>
      <c r="O48" s="337">
        <v>1</v>
      </c>
      <c r="P48" s="337">
        <v>1</v>
      </c>
      <c r="Q48" s="338" t="s">
        <v>8309</v>
      </c>
      <c r="R48" s="338" t="s">
        <v>6088</v>
      </c>
      <c r="S48" s="338"/>
      <c r="T48" s="338" t="s">
        <v>7906</v>
      </c>
      <c r="U48" s="338" t="s">
        <v>4918</v>
      </c>
      <c r="V48" s="337">
        <v>1</v>
      </c>
      <c r="W48" s="337">
        <v>1</v>
      </c>
      <c r="X48" s="338"/>
      <c r="Y48" s="338" t="s">
        <v>493</v>
      </c>
      <c r="Z48" s="338" t="s">
        <v>8029</v>
      </c>
      <c r="AA48" s="338" t="s">
        <v>6079</v>
      </c>
      <c r="AB48" s="338"/>
      <c r="AC48" s="338" t="s">
        <v>6106</v>
      </c>
      <c r="AD48" s="338"/>
      <c r="AF48" s="502" t="str">
        <f>Table15[[#This Row],[code2]]</f>
        <v>PHL</v>
      </c>
      <c r="AG48" s="502" t="str">
        <f>Table15[[#This Row],[code5]]</f>
        <v>FR</v>
      </c>
    </row>
    <row r="49" spans="1:33">
      <c r="A49" s="338" t="s">
        <v>6072</v>
      </c>
      <c r="B49" s="338" t="s">
        <v>6073</v>
      </c>
      <c r="C49" s="337">
        <v>1</v>
      </c>
      <c r="D49" s="338" t="s">
        <v>6074</v>
      </c>
      <c r="E49" s="338" t="s">
        <v>6075</v>
      </c>
      <c r="F49" s="337">
        <v>1</v>
      </c>
      <c r="G49" s="337">
        <v>1</v>
      </c>
      <c r="H49" s="338" t="s">
        <v>6075</v>
      </c>
      <c r="I49" s="338" t="s">
        <v>9548</v>
      </c>
      <c r="J49" s="338" t="s">
        <v>9550</v>
      </c>
      <c r="K49" s="338" t="s">
        <v>6076</v>
      </c>
      <c r="L49" s="338"/>
      <c r="M49" s="338" t="s">
        <v>4734</v>
      </c>
      <c r="N49" s="338" t="s">
        <v>8309</v>
      </c>
      <c r="O49" s="337">
        <v>1</v>
      </c>
      <c r="P49" s="337">
        <v>1</v>
      </c>
      <c r="Q49" s="338" t="s">
        <v>8309</v>
      </c>
      <c r="R49" s="338" t="s">
        <v>6088</v>
      </c>
      <c r="S49" s="338"/>
      <c r="T49" s="338" t="s">
        <v>7906</v>
      </c>
      <c r="U49" s="338" t="s">
        <v>6134</v>
      </c>
      <c r="V49" s="337">
        <v>1</v>
      </c>
      <c r="W49" s="337">
        <v>1</v>
      </c>
      <c r="X49" s="338"/>
      <c r="Y49" s="338" t="s">
        <v>6085</v>
      </c>
      <c r="Z49" s="338" t="s">
        <v>8660</v>
      </c>
      <c r="AA49" s="338" t="s">
        <v>6079</v>
      </c>
      <c r="AB49" s="338"/>
      <c r="AC49" s="338" t="s">
        <v>6106</v>
      </c>
      <c r="AD49" s="338"/>
      <c r="AF49" s="502" t="str">
        <f>Table15[[#This Row],[code2]]</f>
        <v>PHL</v>
      </c>
      <c r="AG49" s="502" t="str">
        <f>Table15[[#This Row],[code5]]</f>
        <v>FR</v>
      </c>
    </row>
    <row r="50" spans="1:33">
      <c r="A50" s="338" t="s">
        <v>6072</v>
      </c>
      <c r="B50" s="338" t="s">
        <v>6073</v>
      </c>
      <c r="C50" s="337">
        <v>1</v>
      </c>
      <c r="D50" s="338" t="s">
        <v>6074</v>
      </c>
      <c r="E50" s="338" t="s">
        <v>6075</v>
      </c>
      <c r="F50" s="337">
        <v>1</v>
      </c>
      <c r="G50" s="337">
        <v>1</v>
      </c>
      <c r="H50" s="338" t="s">
        <v>6075</v>
      </c>
      <c r="I50" s="338" t="s">
        <v>9548</v>
      </c>
      <c r="J50" s="338" t="s">
        <v>9550</v>
      </c>
      <c r="K50" s="338" t="s">
        <v>6076</v>
      </c>
      <c r="L50" s="338"/>
      <c r="M50" s="338" t="s">
        <v>4734</v>
      </c>
      <c r="N50" s="338" t="s">
        <v>8309</v>
      </c>
      <c r="O50" s="337">
        <v>1</v>
      </c>
      <c r="P50" s="337">
        <v>1</v>
      </c>
      <c r="Q50" s="338" t="s">
        <v>8309</v>
      </c>
      <c r="R50" s="338" t="s">
        <v>6088</v>
      </c>
      <c r="S50" s="338"/>
      <c r="T50" s="338" t="s">
        <v>7906</v>
      </c>
      <c r="U50" s="338" t="s">
        <v>4896</v>
      </c>
      <c r="V50" s="337">
        <v>1</v>
      </c>
      <c r="W50" s="337">
        <v>1</v>
      </c>
      <c r="X50" s="338"/>
      <c r="Y50" s="338" t="s">
        <v>497</v>
      </c>
      <c r="Z50" s="338" t="s">
        <v>8023</v>
      </c>
      <c r="AA50" s="338" t="s">
        <v>6079</v>
      </c>
      <c r="AB50" s="338"/>
      <c r="AC50" s="338" t="s">
        <v>6111</v>
      </c>
      <c r="AD50" s="338"/>
      <c r="AF50" s="502" t="str">
        <f>Table15[[#This Row],[code2]]</f>
        <v>PHL</v>
      </c>
      <c r="AG50" s="502" t="str">
        <f>Table15[[#This Row],[code5]]</f>
        <v>FR</v>
      </c>
    </row>
    <row r="51" spans="1:33">
      <c r="A51" s="338" t="s">
        <v>6072</v>
      </c>
      <c r="B51" s="338" t="s">
        <v>6073</v>
      </c>
      <c r="C51" s="337">
        <v>1</v>
      </c>
      <c r="D51" s="338" t="s">
        <v>6074</v>
      </c>
      <c r="E51" s="338" t="s">
        <v>6075</v>
      </c>
      <c r="F51" s="337">
        <v>1</v>
      </c>
      <c r="G51" s="337">
        <v>1</v>
      </c>
      <c r="H51" s="338" t="s">
        <v>6075</v>
      </c>
      <c r="I51" s="338" t="s">
        <v>9548</v>
      </c>
      <c r="J51" s="338" t="s">
        <v>9550</v>
      </c>
      <c r="K51" s="338" t="s">
        <v>6076</v>
      </c>
      <c r="L51" s="338"/>
      <c r="M51" s="338" t="s">
        <v>4734</v>
      </c>
      <c r="N51" s="338" t="s">
        <v>8309</v>
      </c>
      <c r="O51" s="337">
        <v>1</v>
      </c>
      <c r="P51" s="337">
        <v>1</v>
      </c>
      <c r="Q51" s="338" t="s">
        <v>8309</v>
      </c>
      <c r="R51" s="338" t="s">
        <v>6088</v>
      </c>
      <c r="S51" s="338"/>
      <c r="T51" s="338" t="s">
        <v>7906</v>
      </c>
      <c r="U51" s="338" t="s">
        <v>6135</v>
      </c>
      <c r="V51" s="337">
        <v>1</v>
      </c>
      <c r="W51" s="337">
        <v>1</v>
      </c>
      <c r="X51" s="338"/>
      <c r="Y51" s="338" t="s">
        <v>6081</v>
      </c>
      <c r="Z51" s="338" t="s">
        <v>7957</v>
      </c>
      <c r="AA51" s="338" t="s">
        <v>6079</v>
      </c>
      <c r="AB51" s="338"/>
      <c r="AC51" s="338" t="s">
        <v>6111</v>
      </c>
      <c r="AD51" s="338"/>
      <c r="AF51" s="502" t="str">
        <f>Table15[[#This Row],[code2]]</f>
        <v>PHL</v>
      </c>
      <c r="AG51" s="502" t="str">
        <f>Table15[[#This Row],[code5]]</f>
        <v>FR</v>
      </c>
    </row>
    <row r="52" spans="1:33">
      <c r="A52" s="338" t="s">
        <v>6072</v>
      </c>
      <c r="B52" s="338" t="s">
        <v>6073</v>
      </c>
      <c r="C52" s="337">
        <v>1</v>
      </c>
      <c r="D52" s="338" t="s">
        <v>6074</v>
      </c>
      <c r="E52" s="338" t="s">
        <v>6075</v>
      </c>
      <c r="F52" s="337">
        <v>1</v>
      </c>
      <c r="G52" s="337">
        <v>1</v>
      </c>
      <c r="H52" s="338" t="s">
        <v>6075</v>
      </c>
      <c r="I52" s="338" t="s">
        <v>9548</v>
      </c>
      <c r="J52" s="338" t="s">
        <v>9550</v>
      </c>
      <c r="K52" s="338" t="s">
        <v>6076</v>
      </c>
      <c r="L52" s="338"/>
      <c r="M52" s="338" t="s">
        <v>4734</v>
      </c>
      <c r="N52" s="338" t="s">
        <v>8309</v>
      </c>
      <c r="O52" s="337">
        <v>1</v>
      </c>
      <c r="P52" s="337">
        <v>1</v>
      </c>
      <c r="Q52" s="338" t="s">
        <v>8309</v>
      </c>
      <c r="R52" s="338" t="s">
        <v>6088</v>
      </c>
      <c r="S52" s="338"/>
      <c r="T52" s="338" t="s">
        <v>7906</v>
      </c>
      <c r="U52" s="338" t="s">
        <v>4919</v>
      </c>
      <c r="V52" s="337">
        <v>1</v>
      </c>
      <c r="W52" s="337">
        <v>1</v>
      </c>
      <c r="X52" s="338"/>
      <c r="Y52" s="338" t="s">
        <v>493</v>
      </c>
      <c r="Z52" s="338" t="s">
        <v>8009</v>
      </c>
      <c r="AA52" s="338" t="s">
        <v>6079</v>
      </c>
      <c r="AB52" s="338"/>
      <c r="AC52" s="338" t="s">
        <v>6111</v>
      </c>
      <c r="AD52" s="338"/>
      <c r="AF52" s="502" t="str">
        <f>Table15[[#This Row],[code2]]</f>
        <v>PHL</v>
      </c>
      <c r="AG52" s="502" t="str">
        <f>Table15[[#This Row],[code5]]</f>
        <v>FR</v>
      </c>
    </row>
    <row r="53" spans="1:33">
      <c r="A53" s="338" t="s">
        <v>6072</v>
      </c>
      <c r="B53" s="338" t="s">
        <v>6073</v>
      </c>
      <c r="C53" s="337">
        <v>1</v>
      </c>
      <c r="D53" s="338" t="s">
        <v>6074</v>
      </c>
      <c r="E53" s="338" t="s">
        <v>6075</v>
      </c>
      <c r="F53" s="337">
        <v>1</v>
      </c>
      <c r="G53" s="337">
        <v>1</v>
      </c>
      <c r="H53" s="338" t="s">
        <v>6075</v>
      </c>
      <c r="I53" s="338" t="s">
        <v>9548</v>
      </c>
      <c r="J53" s="338" t="s">
        <v>9550</v>
      </c>
      <c r="K53" s="338" t="s">
        <v>6076</v>
      </c>
      <c r="L53" s="338"/>
      <c r="M53" s="338" t="s">
        <v>4734</v>
      </c>
      <c r="N53" s="338" t="s">
        <v>8309</v>
      </c>
      <c r="O53" s="337">
        <v>1</v>
      </c>
      <c r="P53" s="337">
        <v>1</v>
      </c>
      <c r="Q53" s="338" t="s">
        <v>8309</v>
      </c>
      <c r="R53" s="338" t="s">
        <v>6088</v>
      </c>
      <c r="S53" s="338"/>
      <c r="T53" s="338" t="s">
        <v>7906</v>
      </c>
      <c r="U53" s="338" t="s">
        <v>6136</v>
      </c>
      <c r="V53" s="337">
        <v>0</v>
      </c>
      <c r="W53" s="337">
        <v>1</v>
      </c>
      <c r="X53" s="338"/>
      <c r="Y53" s="338" t="s">
        <v>6085</v>
      </c>
      <c r="Z53" s="338" t="s">
        <v>9092</v>
      </c>
      <c r="AA53" s="338" t="s">
        <v>6079</v>
      </c>
      <c r="AB53" s="338"/>
      <c r="AC53" s="338" t="s">
        <v>6111</v>
      </c>
      <c r="AD53" s="338"/>
      <c r="AF53" s="502" t="str">
        <f>Table15[[#This Row],[code2]]</f>
        <v>PHL</v>
      </c>
      <c r="AG53" s="502" t="str">
        <f>Table15[[#This Row],[code5]]</f>
        <v>FR</v>
      </c>
    </row>
    <row r="54" spans="1:33">
      <c r="A54" s="338" t="s">
        <v>6072</v>
      </c>
      <c r="B54" s="338" t="s">
        <v>6073</v>
      </c>
      <c r="C54" s="337">
        <v>1</v>
      </c>
      <c r="D54" s="338" t="s">
        <v>6074</v>
      </c>
      <c r="E54" s="338" t="s">
        <v>6075</v>
      </c>
      <c r="F54" s="337">
        <v>1</v>
      </c>
      <c r="G54" s="337">
        <v>1</v>
      </c>
      <c r="H54" s="338" t="s">
        <v>6075</v>
      </c>
      <c r="I54" s="338" t="s">
        <v>9548</v>
      </c>
      <c r="J54" s="338" t="s">
        <v>9550</v>
      </c>
      <c r="K54" s="338" t="s">
        <v>6076</v>
      </c>
      <c r="L54" s="338"/>
      <c r="M54" s="338" t="s">
        <v>4734</v>
      </c>
      <c r="N54" s="338" t="s">
        <v>8309</v>
      </c>
      <c r="O54" s="337">
        <v>1</v>
      </c>
      <c r="P54" s="337">
        <v>1</v>
      </c>
      <c r="Q54" s="338" t="s">
        <v>8309</v>
      </c>
      <c r="R54" s="338" t="s">
        <v>6088</v>
      </c>
      <c r="S54" s="338"/>
      <c r="T54" s="338" t="s">
        <v>7906</v>
      </c>
      <c r="U54" s="338" t="s">
        <v>4897</v>
      </c>
      <c r="V54" s="337">
        <v>1</v>
      </c>
      <c r="W54" s="337">
        <v>1</v>
      </c>
      <c r="X54" s="338"/>
      <c r="Y54" s="338" t="s">
        <v>497</v>
      </c>
      <c r="Z54" s="338" t="s">
        <v>6137</v>
      </c>
      <c r="AA54" s="338" t="s">
        <v>6079</v>
      </c>
      <c r="AB54" s="338"/>
      <c r="AC54" s="338" t="s">
        <v>6117</v>
      </c>
      <c r="AD54" s="338"/>
      <c r="AF54" s="502" t="str">
        <f>Table15[[#This Row],[code2]]</f>
        <v>PHL</v>
      </c>
      <c r="AG54" s="502" t="str">
        <f>Table15[[#This Row],[code5]]</f>
        <v>FR</v>
      </c>
    </row>
    <row r="55" spans="1:33">
      <c r="A55" s="338" t="s">
        <v>6072</v>
      </c>
      <c r="B55" s="338" t="s">
        <v>6073</v>
      </c>
      <c r="C55" s="337">
        <v>1</v>
      </c>
      <c r="D55" s="338" t="s">
        <v>6074</v>
      </c>
      <c r="E55" s="338" t="s">
        <v>6075</v>
      </c>
      <c r="F55" s="337">
        <v>1</v>
      </c>
      <c r="G55" s="337">
        <v>1</v>
      </c>
      <c r="H55" s="338" t="s">
        <v>6075</v>
      </c>
      <c r="I55" s="338" t="s">
        <v>9548</v>
      </c>
      <c r="J55" s="338" t="s">
        <v>9550</v>
      </c>
      <c r="K55" s="338" t="s">
        <v>6076</v>
      </c>
      <c r="L55" s="338"/>
      <c r="M55" s="338" t="s">
        <v>4734</v>
      </c>
      <c r="N55" s="338" t="s">
        <v>8309</v>
      </c>
      <c r="O55" s="337">
        <v>1</v>
      </c>
      <c r="P55" s="337">
        <v>1</v>
      </c>
      <c r="Q55" s="338" t="s">
        <v>8309</v>
      </c>
      <c r="R55" s="338" t="s">
        <v>6088</v>
      </c>
      <c r="S55" s="338"/>
      <c r="T55" s="338" t="s">
        <v>7906</v>
      </c>
      <c r="U55" s="338" t="s">
        <v>6138</v>
      </c>
      <c r="V55" s="337">
        <v>1</v>
      </c>
      <c r="W55" s="337">
        <v>1</v>
      </c>
      <c r="X55" s="338"/>
      <c r="Y55" s="338" t="s">
        <v>6081</v>
      </c>
      <c r="Z55" s="338" t="s">
        <v>8655</v>
      </c>
      <c r="AA55" s="338" t="s">
        <v>6079</v>
      </c>
      <c r="AB55" s="338"/>
      <c r="AC55" s="338" t="s">
        <v>6117</v>
      </c>
      <c r="AD55" s="338"/>
      <c r="AF55" s="502" t="str">
        <f>Table15[[#This Row],[code2]]</f>
        <v>PHL</v>
      </c>
      <c r="AG55" s="502" t="str">
        <f>Table15[[#This Row],[code5]]</f>
        <v>FR</v>
      </c>
    </row>
    <row r="56" spans="1:33">
      <c r="A56" s="338" t="s">
        <v>6072</v>
      </c>
      <c r="B56" s="338" t="s">
        <v>6073</v>
      </c>
      <c r="C56" s="337">
        <v>1</v>
      </c>
      <c r="D56" s="338" t="s">
        <v>6074</v>
      </c>
      <c r="E56" s="338" t="s">
        <v>6075</v>
      </c>
      <c r="F56" s="337">
        <v>1</v>
      </c>
      <c r="G56" s="337">
        <v>1</v>
      </c>
      <c r="H56" s="338" t="s">
        <v>6075</v>
      </c>
      <c r="I56" s="338" t="s">
        <v>9548</v>
      </c>
      <c r="J56" s="338" t="s">
        <v>9550</v>
      </c>
      <c r="K56" s="338" t="s">
        <v>6076</v>
      </c>
      <c r="L56" s="338"/>
      <c r="M56" s="338" t="s">
        <v>4734</v>
      </c>
      <c r="N56" s="338" t="s">
        <v>8309</v>
      </c>
      <c r="O56" s="337">
        <v>1</v>
      </c>
      <c r="P56" s="337">
        <v>1</v>
      </c>
      <c r="Q56" s="338" t="s">
        <v>8309</v>
      </c>
      <c r="R56" s="338" t="s">
        <v>6088</v>
      </c>
      <c r="S56" s="338"/>
      <c r="T56" s="338" t="s">
        <v>7906</v>
      </c>
      <c r="U56" s="338" t="s">
        <v>4920</v>
      </c>
      <c r="V56" s="337">
        <v>1</v>
      </c>
      <c r="W56" s="337">
        <v>1</v>
      </c>
      <c r="X56" s="338"/>
      <c r="Y56" s="338" t="s">
        <v>493</v>
      </c>
      <c r="Z56" s="338" t="s">
        <v>6137</v>
      </c>
      <c r="AA56" s="338" t="s">
        <v>6079</v>
      </c>
      <c r="AB56" s="338"/>
      <c r="AC56" s="338" t="s">
        <v>6117</v>
      </c>
      <c r="AD56" s="338"/>
      <c r="AF56" s="502" t="str">
        <f>Table15[[#This Row],[code2]]</f>
        <v>PHL</v>
      </c>
      <c r="AG56" s="502" t="str">
        <f>Table15[[#This Row],[code5]]</f>
        <v>FR</v>
      </c>
    </row>
    <row r="57" spans="1:33">
      <c r="A57" s="338" t="s">
        <v>6072</v>
      </c>
      <c r="B57" s="338" t="s">
        <v>6073</v>
      </c>
      <c r="C57" s="337">
        <v>1</v>
      </c>
      <c r="D57" s="338" t="s">
        <v>6074</v>
      </c>
      <c r="E57" s="338" t="s">
        <v>6075</v>
      </c>
      <c r="F57" s="337">
        <v>1</v>
      </c>
      <c r="G57" s="337">
        <v>1</v>
      </c>
      <c r="H57" s="338" t="s">
        <v>6075</v>
      </c>
      <c r="I57" s="338" t="s">
        <v>9548</v>
      </c>
      <c r="J57" s="338" t="s">
        <v>9550</v>
      </c>
      <c r="K57" s="338" t="s">
        <v>6076</v>
      </c>
      <c r="L57" s="338"/>
      <c r="M57" s="338" t="s">
        <v>4734</v>
      </c>
      <c r="N57" s="338" t="s">
        <v>8309</v>
      </c>
      <c r="O57" s="337">
        <v>1</v>
      </c>
      <c r="P57" s="337">
        <v>1</v>
      </c>
      <c r="Q57" s="338" t="s">
        <v>8309</v>
      </c>
      <c r="R57" s="338" t="s">
        <v>6088</v>
      </c>
      <c r="S57" s="338"/>
      <c r="T57" s="338" t="s">
        <v>7906</v>
      </c>
      <c r="U57" s="338" t="s">
        <v>6139</v>
      </c>
      <c r="V57" s="337">
        <v>0</v>
      </c>
      <c r="W57" s="337">
        <v>1</v>
      </c>
      <c r="X57" s="338"/>
      <c r="Y57" s="338" t="s">
        <v>6085</v>
      </c>
      <c r="Z57" s="338" t="s">
        <v>8592</v>
      </c>
      <c r="AA57" s="338" t="s">
        <v>6079</v>
      </c>
      <c r="AB57" s="338"/>
      <c r="AC57" s="338" t="s">
        <v>6117</v>
      </c>
      <c r="AD57" s="338"/>
      <c r="AF57" s="502" t="str">
        <f>Table15[[#This Row],[code2]]</f>
        <v>PHL</v>
      </c>
      <c r="AG57" s="502" t="str">
        <f>Table15[[#This Row],[code5]]</f>
        <v>FR</v>
      </c>
    </row>
    <row r="58" spans="1:33">
      <c r="A58" s="338" t="s">
        <v>6072</v>
      </c>
      <c r="B58" s="338" t="s">
        <v>6073</v>
      </c>
      <c r="C58" s="337">
        <v>1</v>
      </c>
      <c r="D58" s="338" t="s">
        <v>6074</v>
      </c>
      <c r="E58" s="338" t="s">
        <v>6075</v>
      </c>
      <c r="F58" s="337">
        <v>1</v>
      </c>
      <c r="G58" s="337">
        <v>1</v>
      </c>
      <c r="H58" s="338" t="s">
        <v>6075</v>
      </c>
      <c r="I58" s="338" t="s">
        <v>9548</v>
      </c>
      <c r="J58" s="338" t="s">
        <v>9550</v>
      </c>
      <c r="K58" s="338" t="s">
        <v>6076</v>
      </c>
      <c r="L58" s="338"/>
      <c r="M58" s="338" t="s">
        <v>4734</v>
      </c>
      <c r="N58" s="338" t="s">
        <v>8309</v>
      </c>
      <c r="O58" s="337">
        <v>1</v>
      </c>
      <c r="P58" s="337">
        <v>1</v>
      </c>
      <c r="Q58" s="338" t="s">
        <v>8309</v>
      </c>
      <c r="R58" s="338" t="s">
        <v>6088</v>
      </c>
      <c r="S58" s="338"/>
      <c r="T58" s="338" t="s">
        <v>7906</v>
      </c>
      <c r="U58" s="338" t="s">
        <v>4898</v>
      </c>
      <c r="V58" s="337">
        <v>1</v>
      </c>
      <c r="W58" s="337">
        <v>1</v>
      </c>
      <c r="X58" s="338"/>
      <c r="Y58" s="338" t="s">
        <v>497</v>
      </c>
      <c r="Z58" s="338" t="s">
        <v>6137</v>
      </c>
      <c r="AA58" s="338" t="s">
        <v>6079</v>
      </c>
      <c r="AB58" s="338"/>
      <c r="AC58" s="338" t="s">
        <v>6122</v>
      </c>
      <c r="AD58" s="338"/>
      <c r="AF58" s="502" t="str">
        <f>Table15[[#This Row],[code2]]</f>
        <v>PHL</v>
      </c>
      <c r="AG58" s="502" t="str">
        <f>Table15[[#This Row],[code5]]</f>
        <v>FR</v>
      </c>
    </row>
    <row r="59" spans="1:33">
      <c r="A59" s="338" t="s">
        <v>6072</v>
      </c>
      <c r="B59" s="338" t="s">
        <v>6073</v>
      </c>
      <c r="C59" s="337">
        <v>1</v>
      </c>
      <c r="D59" s="338" t="s">
        <v>6074</v>
      </c>
      <c r="E59" s="338" t="s">
        <v>6075</v>
      </c>
      <c r="F59" s="337">
        <v>1</v>
      </c>
      <c r="G59" s="337">
        <v>1</v>
      </c>
      <c r="H59" s="338" t="s">
        <v>6075</v>
      </c>
      <c r="I59" s="338" t="s">
        <v>9548</v>
      </c>
      <c r="J59" s="338" t="s">
        <v>9550</v>
      </c>
      <c r="K59" s="338" t="s">
        <v>6076</v>
      </c>
      <c r="L59" s="338"/>
      <c r="M59" s="338" t="s">
        <v>4734</v>
      </c>
      <c r="N59" s="338" t="s">
        <v>8309</v>
      </c>
      <c r="O59" s="337">
        <v>1</v>
      </c>
      <c r="P59" s="337">
        <v>1</v>
      </c>
      <c r="Q59" s="338" t="s">
        <v>8309</v>
      </c>
      <c r="R59" s="338" t="s">
        <v>6088</v>
      </c>
      <c r="S59" s="338"/>
      <c r="T59" s="338" t="s">
        <v>7906</v>
      </c>
      <c r="U59" s="338" t="s">
        <v>6140</v>
      </c>
      <c r="V59" s="337">
        <v>1</v>
      </c>
      <c r="W59" s="337">
        <v>1</v>
      </c>
      <c r="X59" s="338"/>
      <c r="Y59" s="338" t="s">
        <v>6081</v>
      </c>
      <c r="Z59" s="338" t="s">
        <v>9139</v>
      </c>
      <c r="AA59" s="338" t="s">
        <v>6079</v>
      </c>
      <c r="AB59" s="338"/>
      <c r="AC59" s="338" t="s">
        <v>6122</v>
      </c>
      <c r="AD59" s="338"/>
      <c r="AF59" s="502" t="str">
        <f>Table15[[#This Row],[code2]]</f>
        <v>PHL</v>
      </c>
      <c r="AG59" s="502" t="str">
        <f>Table15[[#This Row],[code5]]</f>
        <v>FR</v>
      </c>
    </row>
    <row r="60" spans="1:33">
      <c r="A60" s="338" t="s">
        <v>6072</v>
      </c>
      <c r="B60" s="338" t="s">
        <v>6073</v>
      </c>
      <c r="C60" s="337">
        <v>1</v>
      </c>
      <c r="D60" s="338" t="s">
        <v>6074</v>
      </c>
      <c r="E60" s="338" t="s">
        <v>6075</v>
      </c>
      <c r="F60" s="337">
        <v>1</v>
      </c>
      <c r="G60" s="337">
        <v>1</v>
      </c>
      <c r="H60" s="338" t="s">
        <v>6075</v>
      </c>
      <c r="I60" s="338" t="s">
        <v>9548</v>
      </c>
      <c r="J60" s="338" t="s">
        <v>9550</v>
      </c>
      <c r="K60" s="338" t="s">
        <v>6076</v>
      </c>
      <c r="L60" s="338"/>
      <c r="M60" s="338" t="s">
        <v>4734</v>
      </c>
      <c r="N60" s="338" t="s">
        <v>8309</v>
      </c>
      <c r="O60" s="337">
        <v>1</v>
      </c>
      <c r="P60" s="337">
        <v>1</v>
      </c>
      <c r="Q60" s="338" t="s">
        <v>8309</v>
      </c>
      <c r="R60" s="338" t="s">
        <v>6088</v>
      </c>
      <c r="S60" s="338"/>
      <c r="T60" s="338" t="s">
        <v>7906</v>
      </c>
      <c r="U60" s="338" t="s">
        <v>4921</v>
      </c>
      <c r="V60" s="337">
        <v>1</v>
      </c>
      <c r="W60" s="337">
        <v>1</v>
      </c>
      <c r="X60" s="338"/>
      <c r="Y60" s="338" t="s">
        <v>493</v>
      </c>
      <c r="Z60" s="338" t="s">
        <v>6137</v>
      </c>
      <c r="AA60" s="338" t="s">
        <v>6079</v>
      </c>
      <c r="AB60" s="338"/>
      <c r="AC60" s="338" t="s">
        <v>6122</v>
      </c>
      <c r="AD60" s="338"/>
      <c r="AF60" s="502" t="str">
        <f>Table15[[#This Row],[code2]]</f>
        <v>PHL</v>
      </c>
      <c r="AG60" s="502" t="str">
        <f>Table15[[#This Row],[code5]]</f>
        <v>FR</v>
      </c>
    </row>
    <row r="61" spans="1:33">
      <c r="A61" s="338" t="s">
        <v>6072</v>
      </c>
      <c r="B61" s="338" t="s">
        <v>6073</v>
      </c>
      <c r="C61" s="337">
        <v>1</v>
      </c>
      <c r="D61" s="338" t="s">
        <v>6074</v>
      </c>
      <c r="E61" s="338" t="s">
        <v>6075</v>
      </c>
      <c r="F61" s="337">
        <v>1</v>
      </c>
      <c r="G61" s="337">
        <v>1</v>
      </c>
      <c r="H61" s="338" t="s">
        <v>6075</v>
      </c>
      <c r="I61" s="338" t="s">
        <v>9548</v>
      </c>
      <c r="J61" s="338" t="s">
        <v>9550</v>
      </c>
      <c r="K61" s="338" t="s">
        <v>6076</v>
      </c>
      <c r="L61" s="338"/>
      <c r="M61" s="338" t="s">
        <v>4734</v>
      </c>
      <c r="N61" s="338" t="s">
        <v>8309</v>
      </c>
      <c r="O61" s="337">
        <v>1</v>
      </c>
      <c r="P61" s="337">
        <v>1</v>
      </c>
      <c r="Q61" s="338" t="s">
        <v>8309</v>
      </c>
      <c r="R61" s="338" t="s">
        <v>6088</v>
      </c>
      <c r="S61" s="338"/>
      <c r="T61" s="338" t="s">
        <v>7906</v>
      </c>
      <c r="U61" s="338" t="s">
        <v>6141</v>
      </c>
      <c r="V61" s="337">
        <v>1</v>
      </c>
      <c r="W61" s="337">
        <v>1</v>
      </c>
      <c r="X61" s="338"/>
      <c r="Y61" s="338" t="s">
        <v>6085</v>
      </c>
      <c r="Z61" s="338" t="s">
        <v>9066</v>
      </c>
      <c r="AA61" s="338" t="s">
        <v>6079</v>
      </c>
      <c r="AB61" s="338"/>
      <c r="AC61" s="338" t="s">
        <v>6122</v>
      </c>
      <c r="AD61" s="338"/>
      <c r="AF61" s="502" t="str">
        <f>Table15[[#This Row],[code2]]</f>
        <v>PHL</v>
      </c>
      <c r="AG61" s="502" t="str">
        <f>Table15[[#This Row],[code5]]</f>
        <v>FR</v>
      </c>
    </row>
    <row r="62" spans="1:33">
      <c r="A62" s="338" t="s">
        <v>6072</v>
      </c>
      <c r="B62" s="338" t="s">
        <v>6073</v>
      </c>
      <c r="C62" s="337">
        <v>1</v>
      </c>
      <c r="D62" s="338" t="s">
        <v>6074</v>
      </c>
      <c r="E62" s="338" t="s">
        <v>6075</v>
      </c>
      <c r="F62" s="337">
        <v>1</v>
      </c>
      <c r="G62" s="337">
        <v>1</v>
      </c>
      <c r="H62" s="338" t="s">
        <v>6075</v>
      </c>
      <c r="I62" s="338" t="s">
        <v>9548</v>
      </c>
      <c r="J62" s="338" t="s">
        <v>9550</v>
      </c>
      <c r="K62" s="338" t="s">
        <v>6076</v>
      </c>
      <c r="L62" s="338"/>
      <c r="M62" s="338" t="s">
        <v>4758</v>
      </c>
      <c r="N62" s="338" t="s">
        <v>6142</v>
      </c>
      <c r="O62" s="337">
        <v>1</v>
      </c>
      <c r="P62" s="337">
        <v>1</v>
      </c>
      <c r="Q62" s="338"/>
      <c r="R62" s="338"/>
      <c r="S62" s="338"/>
      <c r="T62" s="338" t="s">
        <v>7907</v>
      </c>
      <c r="U62" s="338" t="s">
        <v>4759</v>
      </c>
      <c r="V62" s="337">
        <v>1</v>
      </c>
      <c r="W62" s="337">
        <v>1</v>
      </c>
      <c r="X62" s="338" t="s">
        <v>8460</v>
      </c>
      <c r="Y62" s="338" t="s">
        <v>497</v>
      </c>
      <c r="Z62" s="338" t="s">
        <v>9140</v>
      </c>
      <c r="AA62" s="338" t="s">
        <v>6079</v>
      </c>
      <c r="AB62" s="338"/>
      <c r="AC62" s="338"/>
      <c r="AD62" s="338"/>
      <c r="AF62" s="502" t="str">
        <f>Table15[[#This Row],[code2]]</f>
        <v>PHL</v>
      </c>
      <c r="AG62" s="502" t="str">
        <f>Table15[[#This Row],[code5]]</f>
        <v>SP</v>
      </c>
    </row>
    <row r="63" spans="1:33">
      <c r="A63" s="338" t="s">
        <v>6072</v>
      </c>
      <c r="B63" s="338" t="s">
        <v>6073</v>
      </c>
      <c r="C63" s="337">
        <v>1</v>
      </c>
      <c r="D63" s="338" t="s">
        <v>6074</v>
      </c>
      <c r="E63" s="338" t="s">
        <v>6075</v>
      </c>
      <c r="F63" s="337">
        <v>1</v>
      </c>
      <c r="G63" s="337">
        <v>1</v>
      </c>
      <c r="H63" s="338" t="s">
        <v>6075</v>
      </c>
      <c r="I63" s="338" t="s">
        <v>9548</v>
      </c>
      <c r="J63" s="338" t="s">
        <v>9550</v>
      </c>
      <c r="K63" s="338" t="s">
        <v>6076</v>
      </c>
      <c r="L63" s="338"/>
      <c r="M63" s="338" t="s">
        <v>4758</v>
      </c>
      <c r="N63" s="338" t="s">
        <v>6142</v>
      </c>
      <c r="O63" s="337">
        <v>1</v>
      </c>
      <c r="P63" s="337">
        <v>1</v>
      </c>
      <c r="Q63" s="338"/>
      <c r="R63" s="338"/>
      <c r="S63" s="338"/>
      <c r="T63" s="338" t="s">
        <v>7907</v>
      </c>
      <c r="U63" s="338" t="s">
        <v>6143</v>
      </c>
      <c r="V63" s="337">
        <v>1</v>
      </c>
      <c r="W63" s="337">
        <v>1</v>
      </c>
      <c r="X63" s="338" t="s">
        <v>8460</v>
      </c>
      <c r="Y63" s="338" t="s">
        <v>6081</v>
      </c>
      <c r="Z63" s="338" t="s">
        <v>9140</v>
      </c>
      <c r="AA63" s="338" t="s">
        <v>6079</v>
      </c>
      <c r="AB63" s="338"/>
      <c r="AC63" s="338"/>
      <c r="AD63" s="338"/>
      <c r="AF63" s="502" t="str">
        <f>Table15[[#This Row],[code2]]</f>
        <v>PHL</v>
      </c>
      <c r="AG63" s="502" t="str">
        <f>Table15[[#This Row],[code5]]</f>
        <v>SP</v>
      </c>
    </row>
    <row r="64" spans="1:33">
      <c r="A64" s="338" t="s">
        <v>6072</v>
      </c>
      <c r="B64" s="338" t="s">
        <v>6073</v>
      </c>
      <c r="C64" s="337">
        <v>1</v>
      </c>
      <c r="D64" s="338" t="s">
        <v>6074</v>
      </c>
      <c r="E64" s="338" t="s">
        <v>6075</v>
      </c>
      <c r="F64" s="337">
        <v>1</v>
      </c>
      <c r="G64" s="337">
        <v>1</v>
      </c>
      <c r="H64" s="338" t="s">
        <v>6075</v>
      </c>
      <c r="I64" s="338" t="s">
        <v>9548</v>
      </c>
      <c r="J64" s="338" t="s">
        <v>9550</v>
      </c>
      <c r="K64" s="338" t="s">
        <v>6076</v>
      </c>
      <c r="L64" s="338"/>
      <c r="M64" s="338" t="s">
        <v>4758</v>
      </c>
      <c r="N64" s="338" t="s">
        <v>6142</v>
      </c>
      <c r="O64" s="337">
        <v>1</v>
      </c>
      <c r="P64" s="337">
        <v>1</v>
      </c>
      <c r="Q64" s="338"/>
      <c r="R64" s="338"/>
      <c r="S64" s="338"/>
      <c r="T64" s="338" t="s">
        <v>7907</v>
      </c>
      <c r="U64" s="338" t="s">
        <v>4931</v>
      </c>
      <c r="V64" s="337">
        <v>1</v>
      </c>
      <c r="W64" s="337">
        <v>1</v>
      </c>
      <c r="X64" s="338" t="s">
        <v>8460</v>
      </c>
      <c r="Y64" s="338" t="s">
        <v>493</v>
      </c>
      <c r="Z64" s="338" t="s">
        <v>8589</v>
      </c>
      <c r="AA64" s="338" t="s">
        <v>6079</v>
      </c>
      <c r="AB64" s="338"/>
      <c r="AC64" s="338"/>
      <c r="AD64" s="338"/>
      <c r="AF64" s="502" t="str">
        <f>Table15[[#This Row],[code2]]</f>
        <v>PHL</v>
      </c>
      <c r="AG64" s="502" t="str">
        <f>Table15[[#This Row],[code5]]</f>
        <v>SP</v>
      </c>
    </row>
    <row r="65" spans="1:33">
      <c r="A65" s="338" t="s">
        <v>6072</v>
      </c>
      <c r="B65" s="338" t="s">
        <v>6073</v>
      </c>
      <c r="C65" s="337">
        <v>1</v>
      </c>
      <c r="D65" s="338" t="s">
        <v>6074</v>
      </c>
      <c r="E65" s="338" t="s">
        <v>6075</v>
      </c>
      <c r="F65" s="337">
        <v>1</v>
      </c>
      <c r="G65" s="337">
        <v>1</v>
      </c>
      <c r="H65" s="338" t="s">
        <v>6075</v>
      </c>
      <c r="I65" s="338" t="s">
        <v>9548</v>
      </c>
      <c r="J65" s="338" t="s">
        <v>9550</v>
      </c>
      <c r="K65" s="338" t="s">
        <v>6076</v>
      </c>
      <c r="L65" s="338"/>
      <c r="M65" s="338" t="s">
        <v>4758</v>
      </c>
      <c r="N65" s="338" t="s">
        <v>6142</v>
      </c>
      <c r="O65" s="337">
        <v>1</v>
      </c>
      <c r="P65" s="337">
        <v>1</v>
      </c>
      <c r="Q65" s="338"/>
      <c r="R65" s="338"/>
      <c r="S65" s="338"/>
      <c r="T65" s="338" t="s">
        <v>7907</v>
      </c>
      <c r="U65" s="338" t="s">
        <v>6144</v>
      </c>
      <c r="V65" s="337">
        <v>1</v>
      </c>
      <c r="W65" s="337">
        <v>1</v>
      </c>
      <c r="X65" s="338" t="s">
        <v>8460</v>
      </c>
      <c r="Y65" s="338" t="s">
        <v>6085</v>
      </c>
      <c r="Z65" s="338" t="s">
        <v>9137</v>
      </c>
      <c r="AA65" s="338" t="s">
        <v>6079</v>
      </c>
      <c r="AB65" s="338"/>
      <c r="AC65" s="338"/>
      <c r="AD65" s="338"/>
      <c r="AF65" s="502" t="str">
        <f>Table15[[#This Row],[code2]]</f>
        <v>PHL</v>
      </c>
      <c r="AG65" s="502" t="str">
        <f>Table15[[#This Row],[code5]]</f>
        <v>SP</v>
      </c>
    </row>
    <row r="66" spans="1:33">
      <c r="A66" s="338" t="s">
        <v>6072</v>
      </c>
      <c r="B66" s="338" t="s">
        <v>6073</v>
      </c>
      <c r="C66" s="337">
        <v>1</v>
      </c>
      <c r="D66" s="338" t="s">
        <v>6074</v>
      </c>
      <c r="E66" s="338" t="s">
        <v>6075</v>
      </c>
      <c r="F66" s="337">
        <v>1</v>
      </c>
      <c r="G66" s="337">
        <v>1</v>
      </c>
      <c r="H66" s="338" t="s">
        <v>6075</v>
      </c>
      <c r="I66" s="338" t="s">
        <v>9548</v>
      </c>
      <c r="J66" s="338" t="s">
        <v>9550</v>
      </c>
      <c r="K66" s="338" t="s">
        <v>6076</v>
      </c>
      <c r="L66" s="338"/>
      <c r="M66" s="338" t="s">
        <v>4758</v>
      </c>
      <c r="N66" s="338" t="s">
        <v>6142</v>
      </c>
      <c r="O66" s="337">
        <v>1</v>
      </c>
      <c r="P66" s="337">
        <v>1</v>
      </c>
      <c r="Q66" s="338"/>
      <c r="R66" s="338"/>
      <c r="S66" s="338"/>
      <c r="T66" s="338" t="s">
        <v>7907</v>
      </c>
      <c r="U66" s="338" t="s">
        <v>6153</v>
      </c>
      <c r="V66" s="337">
        <v>0</v>
      </c>
      <c r="W66" s="337">
        <v>0</v>
      </c>
      <c r="X66" s="338" t="s">
        <v>8461</v>
      </c>
      <c r="Y66" s="338" t="s">
        <v>497</v>
      </c>
      <c r="Z66" s="338" t="s">
        <v>8010</v>
      </c>
      <c r="AA66" s="338" t="s">
        <v>6079</v>
      </c>
      <c r="AB66" s="338"/>
      <c r="AC66" s="338"/>
      <c r="AD66" s="338"/>
      <c r="AF66" s="502" t="str">
        <f>Table15[[#This Row],[code2]]</f>
        <v>PHL</v>
      </c>
      <c r="AG66" s="502" t="str">
        <f>Table15[[#This Row],[code5]]</f>
        <v>SP</v>
      </c>
    </row>
    <row r="67" spans="1:33">
      <c r="A67" s="338" t="s">
        <v>6072</v>
      </c>
      <c r="B67" s="338" t="s">
        <v>6073</v>
      </c>
      <c r="C67" s="337">
        <v>1</v>
      </c>
      <c r="D67" s="338" t="s">
        <v>6074</v>
      </c>
      <c r="E67" s="338" t="s">
        <v>6075</v>
      </c>
      <c r="F67" s="337">
        <v>1</v>
      </c>
      <c r="G67" s="337">
        <v>1</v>
      </c>
      <c r="H67" s="338" t="s">
        <v>6075</v>
      </c>
      <c r="I67" s="338" t="s">
        <v>9548</v>
      </c>
      <c r="J67" s="338" t="s">
        <v>9550</v>
      </c>
      <c r="K67" s="338" t="s">
        <v>6076</v>
      </c>
      <c r="L67" s="338"/>
      <c r="M67" s="338" t="s">
        <v>4758</v>
      </c>
      <c r="N67" s="338" t="s">
        <v>6142</v>
      </c>
      <c r="O67" s="337">
        <v>1</v>
      </c>
      <c r="P67" s="337">
        <v>1</v>
      </c>
      <c r="Q67" s="338"/>
      <c r="R67" s="338"/>
      <c r="S67" s="338"/>
      <c r="T67" s="338" t="s">
        <v>7907</v>
      </c>
      <c r="U67" s="338" t="s">
        <v>6154</v>
      </c>
      <c r="V67" s="337">
        <v>0</v>
      </c>
      <c r="W67" s="337">
        <v>0</v>
      </c>
      <c r="X67" s="338" t="s">
        <v>8461</v>
      </c>
      <c r="Y67" s="338" t="s">
        <v>6081</v>
      </c>
      <c r="Z67" s="338" t="s">
        <v>8010</v>
      </c>
      <c r="AA67" s="338" t="s">
        <v>6079</v>
      </c>
      <c r="AB67" s="338"/>
      <c r="AC67" s="338"/>
      <c r="AD67" s="338"/>
      <c r="AF67" s="502" t="str">
        <f>Table15[[#This Row],[code2]]</f>
        <v>PHL</v>
      </c>
      <c r="AG67" s="502" t="str">
        <f>Table15[[#This Row],[code5]]</f>
        <v>SP</v>
      </c>
    </row>
    <row r="68" spans="1:33">
      <c r="A68" s="338" t="s">
        <v>6072</v>
      </c>
      <c r="B68" s="338" t="s">
        <v>6073</v>
      </c>
      <c r="C68" s="337">
        <v>1</v>
      </c>
      <c r="D68" s="338" t="s">
        <v>6074</v>
      </c>
      <c r="E68" s="338" t="s">
        <v>6075</v>
      </c>
      <c r="F68" s="337">
        <v>1</v>
      </c>
      <c r="G68" s="337">
        <v>1</v>
      </c>
      <c r="H68" s="338" t="s">
        <v>6075</v>
      </c>
      <c r="I68" s="338" t="s">
        <v>9548</v>
      </c>
      <c r="J68" s="338" t="s">
        <v>9550</v>
      </c>
      <c r="K68" s="338" t="s">
        <v>6076</v>
      </c>
      <c r="L68" s="338"/>
      <c r="M68" s="338" t="s">
        <v>4758</v>
      </c>
      <c r="N68" s="338" t="s">
        <v>6142</v>
      </c>
      <c r="O68" s="337">
        <v>1</v>
      </c>
      <c r="P68" s="337">
        <v>1</v>
      </c>
      <c r="Q68" s="338"/>
      <c r="R68" s="338"/>
      <c r="S68" s="338"/>
      <c r="T68" s="338" t="s">
        <v>7907</v>
      </c>
      <c r="U68" s="338" t="s">
        <v>6155</v>
      </c>
      <c r="V68" s="337">
        <v>0</v>
      </c>
      <c r="W68" s="337">
        <v>0</v>
      </c>
      <c r="X68" s="338" t="s">
        <v>8461</v>
      </c>
      <c r="Y68" s="338" t="s">
        <v>493</v>
      </c>
      <c r="Z68" s="338" t="s">
        <v>8293</v>
      </c>
      <c r="AA68" s="338" t="s">
        <v>6079</v>
      </c>
      <c r="AB68" s="338"/>
      <c r="AC68" s="338"/>
      <c r="AD68" s="338"/>
      <c r="AF68" s="502" t="str">
        <f>Table15[[#This Row],[code2]]</f>
        <v>PHL</v>
      </c>
      <c r="AG68" s="502" t="str">
        <f>Table15[[#This Row],[code5]]</f>
        <v>SP</v>
      </c>
    </row>
    <row r="69" spans="1:33">
      <c r="A69" s="338" t="s">
        <v>6072</v>
      </c>
      <c r="B69" s="338" t="s">
        <v>6073</v>
      </c>
      <c r="C69" s="337">
        <v>1</v>
      </c>
      <c r="D69" s="338" t="s">
        <v>6074</v>
      </c>
      <c r="E69" s="338" t="s">
        <v>6075</v>
      </c>
      <c r="F69" s="337">
        <v>1</v>
      </c>
      <c r="G69" s="337">
        <v>1</v>
      </c>
      <c r="H69" s="338" t="s">
        <v>6075</v>
      </c>
      <c r="I69" s="338" t="s">
        <v>9548</v>
      </c>
      <c r="J69" s="338" t="s">
        <v>9550</v>
      </c>
      <c r="K69" s="338" t="s">
        <v>6076</v>
      </c>
      <c r="L69" s="338"/>
      <c r="M69" s="338" t="s">
        <v>4758</v>
      </c>
      <c r="N69" s="338" t="s">
        <v>6142</v>
      </c>
      <c r="O69" s="337">
        <v>1</v>
      </c>
      <c r="P69" s="337">
        <v>1</v>
      </c>
      <c r="Q69" s="338"/>
      <c r="R69" s="338"/>
      <c r="S69" s="338"/>
      <c r="T69" s="338" t="s">
        <v>7907</v>
      </c>
      <c r="U69" s="338" t="s">
        <v>6156</v>
      </c>
      <c r="V69" s="337">
        <v>0</v>
      </c>
      <c r="W69" s="337">
        <v>0</v>
      </c>
      <c r="X69" s="338" t="s">
        <v>8461</v>
      </c>
      <c r="Y69" s="338" t="s">
        <v>6085</v>
      </c>
      <c r="Z69" s="338" t="s">
        <v>9141</v>
      </c>
      <c r="AA69" s="338" t="s">
        <v>6079</v>
      </c>
      <c r="AB69" s="338"/>
      <c r="AC69" s="338"/>
      <c r="AD69" s="338"/>
      <c r="AF69" s="502" t="str">
        <f>Table15[[#This Row],[code2]]</f>
        <v>PHL</v>
      </c>
      <c r="AG69" s="502" t="str">
        <f>Table15[[#This Row],[code5]]</f>
        <v>SP</v>
      </c>
    </row>
    <row r="70" spans="1:33" s="503" customFormat="1">
      <c r="A70" s="502" t="s">
        <v>6072</v>
      </c>
      <c r="B70" s="502" t="s">
        <v>6073</v>
      </c>
      <c r="C70" s="503">
        <v>1</v>
      </c>
      <c r="D70" s="502" t="s">
        <v>6074</v>
      </c>
      <c r="E70" s="502" t="s">
        <v>6075</v>
      </c>
      <c r="F70" s="503">
        <v>1</v>
      </c>
      <c r="G70" s="503">
        <v>1</v>
      </c>
      <c r="H70" s="502" t="s">
        <v>6075</v>
      </c>
      <c r="I70" s="502" t="s">
        <v>9548</v>
      </c>
      <c r="J70" s="502" t="s">
        <v>9550</v>
      </c>
      <c r="K70" s="502" t="s">
        <v>6076</v>
      </c>
      <c r="L70" s="502"/>
      <c r="M70" s="502" t="s">
        <v>4758</v>
      </c>
      <c r="N70" s="502" t="s">
        <v>6142</v>
      </c>
      <c r="O70" s="503">
        <v>1</v>
      </c>
      <c r="P70" s="503">
        <v>1</v>
      </c>
      <c r="Q70" s="502"/>
      <c r="R70" s="502"/>
      <c r="S70" s="502"/>
      <c r="T70" s="502" t="s">
        <v>7907</v>
      </c>
      <c r="U70" s="502" t="s">
        <v>6149</v>
      </c>
      <c r="V70" s="503">
        <v>0</v>
      </c>
      <c r="W70" s="503">
        <v>0</v>
      </c>
      <c r="X70" s="502" t="s">
        <v>8462</v>
      </c>
      <c r="Y70" s="502" t="s">
        <v>497</v>
      </c>
      <c r="Z70" s="502" t="s">
        <v>8014</v>
      </c>
      <c r="AA70" s="502" t="s">
        <v>6079</v>
      </c>
      <c r="AB70" s="502"/>
      <c r="AC70" s="502"/>
      <c r="AD70" s="502"/>
      <c r="AF70" s="502" t="str">
        <f>Table15[[#This Row],[code2]]</f>
        <v>PHL</v>
      </c>
      <c r="AG70" s="502" t="str">
        <f>Table15[[#This Row],[code5]]</f>
        <v>SP</v>
      </c>
    </row>
    <row r="71" spans="1:33">
      <c r="A71" s="338" t="s">
        <v>6072</v>
      </c>
      <c r="B71" s="338" t="s">
        <v>6073</v>
      </c>
      <c r="C71" s="337">
        <v>1</v>
      </c>
      <c r="D71" s="338" t="s">
        <v>6074</v>
      </c>
      <c r="E71" s="338" t="s">
        <v>6075</v>
      </c>
      <c r="F71" s="337">
        <v>1</v>
      </c>
      <c r="G71" s="337">
        <v>1</v>
      </c>
      <c r="H71" s="338" t="s">
        <v>6075</v>
      </c>
      <c r="I71" s="338" t="s">
        <v>9548</v>
      </c>
      <c r="J71" s="338" t="s">
        <v>9550</v>
      </c>
      <c r="K71" s="338" t="s">
        <v>6076</v>
      </c>
      <c r="L71" s="338"/>
      <c r="M71" s="338" t="s">
        <v>4758</v>
      </c>
      <c r="N71" s="338" t="s">
        <v>6142</v>
      </c>
      <c r="O71" s="337">
        <v>1</v>
      </c>
      <c r="P71" s="337">
        <v>1</v>
      </c>
      <c r="Q71" s="338"/>
      <c r="R71" s="338"/>
      <c r="S71" s="338"/>
      <c r="T71" s="338" t="s">
        <v>7907</v>
      </c>
      <c r="U71" s="338" t="s">
        <v>6150</v>
      </c>
      <c r="V71" s="337">
        <v>0</v>
      </c>
      <c r="W71" s="337">
        <v>0</v>
      </c>
      <c r="X71" s="338" t="s">
        <v>8462</v>
      </c>
      <c r="Y71" s="338" t="s">
        <v>6081</v>
      </c>
      <c r="Z71" s="338" t="s">
        <v>8014</v>
      </c>
      <c r="AA71" s="338" t="s">
        <v>6079</v>
      </c>
      <c r="AB71" s="338"/>
      <c r="AC71" s="338"/>
      <c r="AD71" s="338"/>
      <c r="AF71" s="502" t="str">
        <f>Table15[[#This Row],[code2]]</f>
        <v>PHL</v>
      </c>
      <c r="AG71" s="502" t="str">
        <f>Table15[[#This Row],[code5]]</f>
        <v>SP</v>
      </c>
    </row>
    <row r="72" spans="1:33">
      <c r="A72" s="338" t="s">
        <v>6072</v>
      </c>
      <c r="B72" s="338" t="s">
        <v>6073</v>
      </c>
      <c r="C72" s="337">
        <v>1</v>
      </c>
      <c r="D72" s="338" t="s">
        <v>6074</v>
      </c>
      <c r="E72" s="338" t="s">
        <v>6075</v>
      </c>
      <c r="F72" s="337">
        <v>1</v>
      </c>
      <c r="G72" s="337">
        <v>1</v>
      </c>
      <c r="H72" s="338" t="s">
        <v>6075</v>
      </c>
      <c r="I72" s="338" t="s">
        <v>9548</v>
      </c>
      <c r="J72" s="338" t="s">
        <v>9550</v>
      </c>
      <c r="K72" s="338" t="s">
        <v>6076</v>
      </c>
      <c r="L72" s="338"/>
      <c r="M72" s="338" t="s">
        <v>4758</v>
      </c>
      <c r="N72" s="338" t="s">
        <v>6142</v>
      </c>
      <c r="O72" s="337">
        <v>1</v>
      </c>
      <c r="P72" s="337">
        <v>1</v>
      </c>
      <c r="Q72" s="338"/>
      <c r="R72" s="338"/>
      <c r="S72" s="338"/>
      <c r="T72" s="338" t="s">
        <v>7907</v>
      </c>
      <c r="U72" s="338" t="s">
        <v>6151</v>
      </c>
      <c r="V72" s="337">
        <v>1</v>
      </c>
      <c r="W72" s="337">
        <v>1</v>
      </c>
      <c r="X72" s="338" t="s">
        <v>8462</v>
      </c>
      <c r="Y72" s="338" t="s">
        <v>493</v>
      </c>
      <c r="Z72" s="338" t="s">
        <v>8293</v>
      </c>
      <c r="AA72" s="338" t="s">
        <v>6079</v>
      </c>
      <c r="AB72" s="338"/>
      <c r="AC72" s="338"/>
      <c r="AD72" s="338"/>
      <c r="AF72" s="502" t="str">
        <f>Table15[[#This Row],[code2]]</f>
        <v>PHL</v>
      </c>
      <c r="AG72" s="502" t="str">
        <f>Table15[[#This Row],[code5]]</f>
        <v>SP</v>
      </c>
    </row>
    <row r="73" spans="1:33">
      <c r="A73" s="338" t="s">
        <v>6072</v>
      </c>
      <c r="B73" s="338" t="s">
        <v>6073</v>
      </c>
      <c r="C73" s="337">
        <v>1</v>
      </c>
      <c r="D73" s="338" t="s">
        <v>6074</v>
      </c>
      <c r="E73" s="338" t="s">
        <v>6075</v>
      </c>
      <c r="F73" s="337">
        <v>1</v>
      </c>
      <c r="G73" s="337">
        <v>1</v>
      </c>
      <c r="H73" s="338" t="s">
        <v>6075</v>
      </c>
      <c r="I73" s="338" t="s">
        <v>9548</v>
      </c>
      <c r="J73" s="338" t="s">
        <v>9550</v>
      </c>
      <c r="K73" s="338" t="s">
        <v>6076</v>
      </c>
      <c r="L73" s="338"/>
      <c r="M73" s="338" t="s">
        <v>4758</v>
      </c>
      <c r="N73" s="338" t="s">
        <v>6142</v>
      </c>
      <c r="O73" s="337">
        <v>1</v>
      </c>
      <c r="P73" s="337">
        <v>1</v>
      </c>
      <c r="Q73" s="338"/>
      <c r="R73" s="338"/>
      <c r="S73" s="338"/>
      <c r="T73" s="338" t="s">
        <v>7907</v>
      </c>
      <c r="U73" s="338" t="s">
        <v>6152</v>
      </c>
      <c r="V73" s="337">
        <v>1</v>
      </c>
      <c r="W73" s="337">
        <v>0</v>
      </c>
      <c r="X73" s="338" t="s">
        <v>8462</v>
      </c>
      <c r="Y73" s="338" t="s">
        <v>6085</v>
      </c>
      <c r="Z73" s="338" t="s">
        <v>8115</v>
      </c>
      <c r="AA73" s="338" t="s">
        <v>6079</v>
      </c>
      <c r="AB73" s="338"/>
      <c r="AC73" s="338"/>
      <c r="AD73" s="338"/>
      <c r="AF73" s="502" t="str">
        <f>Table15[[#This Row],[code2]]</f>
        <v>PHL</v>
      </c>
      <c r="AG73" s="502" t="str">
        <f>Table15[[#This Row],[code5]]</f>
        <v>SP</v>
      </c>
    </row>
    <row r="74" spans="1:33">
      <c r="A74" s="338" t="s">
        <v>6072</v>
      </c>
      <c r="B74" s="338" t="s">
        <v>6073</v>
      </c>
      <c r="C74" s="337">
        <v>1</v>
      </c>
      <c r="D74" s="338" t="s">
        <v>6074</v>
      </c>
      <c r="E74" s="338" t="s">
        <v>6075</v>
      </c>
      <c r="F74" s="337">
        <v>1</v>
      </c>
      <c r="G74" s="337">
        <v>1</v>
      </c>
      <c r="H74" s="338" t="s">
        <v>6075</v>
      </c>
      <c r="I74" s="338" t="s">
        <v>9548</v>
      </c>
      <c r="J74" s="338" t="s">
        <v>9550</v>
      </c>
      <c r="K74" s="338" t="s">
        <v>6076</v>
      </c>
      <c r="L74" s="338"/>
      <c r="M74" s="338" t="s">
        <v>4758</v>
      </c>
      <c r="N74" s="338" t="s">
        <v>6142</v>
      </c>
      <c r="O74" s="337">
        <v>1</v>
      </c>
      <c r="P74" s="337">
        <v>1</v>
      </c>
      <c r="Q74" s="338"/>
      <c r="R74" s="338"/>
      <c r="S74" s="338"/>
      <c r="T74" s="338" t="s">
        <v>7907</v>
      </c>
      <c r="U74" s="338" t="s">
        <v>6157</v>
      </c>
      <c r="V74" s="337">
        <v>1</v>
      </c>
      <c r="W74" s="337">
        <v>1</v>
      </c>
      <c r="X74" s="338" t="s">
        <v>8463</v>
      </c>
      <c r="Y74" s="338" t="s">
        <v>497</v>
      </c>
      <c r="Z74" s="338" t="s">
        <v>8015</v>
      </c>
      <c r="AA74" s="338" t="s">
        <v>6079</v>
      </c>
      <c r="AB74" s="338"/>
      <c r="AC74" s="338"/>
      <c r="AD74" s="338"/>
      <c r="AF74" s="502" t="str">
        <f>Table15[[#This Row],[code2]]</f>
        <v>PHL</v>
      </c>
      <c r="AG74" s="502" t="str">
        <f>Table15[[#This Row],[code5]]</f>
        <v>SP</v>
      </c>
    </row>
    <row r="75" spans="1:33">
      <c r="A75" s="338" t="s">
        <v>6072</v>
      </c>
      <c r="B75" s="338" t="s">
        <v>6073</v>
      </c>
      <c r="C75" s="337">
        <v>1</v>
      </c>
      <c r="D75" s="338" t="s">
        <v>6074</v>
      </c>
      <c r="E75" s="338" t="s">
        <v>6075</v>
      </c>
      <c r="F75" s="337">
        <v>1</v>
      </c>
      <c r="G75" s="337">
        <v>1</v>
      </c>
      <c r="H75" s="338" t="s">
        <v>6075</v>
      </c>
      <c r="I75" s="338" t="s">
        <v>9548</v>
      </c>
      <c r="J75" s="338" t="s">
        <v>9550</v>
      </c>
      <c r="K75" s="338" t="s">
        <v>6076</v>
      </c>
      <c r="L75" s="338"/>
      <c r="M75" s="338" t="s">
        <v>4758</v>
      </c>
      <c r="N75" s="338" t="s">
        <v>6142</v>
      </c>
      <c r="O75" s="337">
        <v>1</v>
      </c>
      <c r="P75" s="337">
        <v>1</v>
      </c>
      <c r="Q75" s="338"/>
      <c r="R75" s="338"/>
      <c r="S75" s="338"/>
      <c r="T75" s="338" t="s">
        <v>7907</v>
      </c>
      <c r="U75" s="338" t="s">
        <v>6158</v>
      </c>
      <c r="V75" s="337">
        <v>0</v>
      </c>
      <c r="W75" s="337">
        <v>0</v>
      </c>
      <c r="X75" s="338" t="s">
        <v>8463</v>
      </c>
      <c r="Y75" s="338" t="s">
        <v>6081</v>
      </c>
      <c r="Z75" s="338" t="s">
        <v>8015</v>
      </c>
      <c r="AA75" s="338" t="s">
        <v>6079</v>
      </c>
      <c r="AB75" s="338"/>
      <c r="AC75" s="338"/>
      <c r="AD75" s="338"/>
      <c r="AF75" s="502" t="str">
        <f>Table15[[#This Row],[code2]]</f>
        <v>PHL</v>
      </c>
      <c r="AG75" s="502" t="str">
        <f>Table15[[#This Row],[code5]]</f>
        <v>SP</v>
      </c>
    </row>
    <row r="76" spans="1:33">
      <c r="A76" s="338" t="s">
        <v>6072</v>
      </c>
      <c r="B76" s="338" t="s">
        <v>6073</v>
      </c>
      <c r="C76" s="337">
        <v>1</v>
      </c>
      <c r="D76" s="338" t="s">
        <v>6074</v>
      </c>
      <c r="E76" s="338" t="s">
        <v>6075</v>
      </c>
      <c r="F76" s="337">
        <v>1</v>
      </c>
      <c r="G76" s="337">
        <v>1</v>
      </c>
      <c r="H76" s="338" t="s">
        <v>6075</v>
      </c>
      <c r="I76" s="338" t="s">
        <v>9548</v>
      </c>
      <c r="J76" s="338" t="s">
        <v>9550</v>
      </c>
      <c r="K76" s="338" t="s">
        <v>6076</v>
      </c>
      <c r="L76" s="338"/>
      <c r="M76" s="338" t="s">
        <v>4758</v>
      </c>
      <c r="N76" s="338" t="s">
        <v>6142</v>
      </c>
      <c r="O76" s="337">
        <v>1</v>
      </c>
      <c r="P76" s="337">
        <v>1</v>
      </c>
      <c r="Q76" s="338"/>
      <c r="R76" s="338"/>
      <c r="S76" s="338"/>
      <c r="T76" s="338" t="s">
        <v>7907</v>
      </c>
      <c r="U76" s="338" t="s">
        <v>6160</v>
      </c>
      <c r="V76" s="337">
        <v>1</v>
      </c>
      <c r="W76" s="337">
        <v>1</v>
      </c>
      <c r="X76" s="338" t="s">
        <v>8463</v>
      </c>
      <c r="Y76" s="338" t="s">
        <v>493</v>
      </c>
      <c r="Z76" s="338" t="s">
        <v>8293</v>
      </c>
      <c r="AA76" s="338" t="s">
        <v>6079</v>
      </c>
      <c r="AB76" s="338"/>
      <c r="AC76" s="338"/>
      <c r="AD76" s="338"/>
      <c r="AF76" s="502" t="str">
        <f>Table15[[#This Row],[code2]]</f>
        <v>PHL</v>
      </c>
      <c r="AG76" s="502" t="str">
        <f>Table15[[#This Row],[code5]]</f>
        <v>SP</v>
      </c>
    </row>
    <row r="77" spans="1:33">
      <c r="A77" s="338" t="s">
        <v>6072</v>
      </c>
      <c r="B77" s="338" t="s">
        <v>6073</v>
      </c>
      <c r="C77" s="337">
        <v>1</v>
      </c>
      <c r="D77" s="338" t="s">
        <v>6074</v>
      </c>
      <c r="E77" s="338" t="s">
        <v>6075</v>
      </c>
      <c r="F77" s="337">
        <v>1</v>
      </c>
      <c r="G77" s="337">
        <v>1</v>
      </c>
      <c r="H77" s="338" t="s">
        <v>6075</v>
      </c>
      <c r="I77" s="338" t="s">
        <v>9548</v>
      </c>
      <c r="J77" s="338" t="s">
        <v>9550</v>
      </c>
      <c r="K77" s="338" t="s">
        <v>6076</v>
      </c>
      <c r="L77" s="338"/>
      <c r="M77" s="338" t="s">
        <v>4758</v>
      </c>
      <c r="N77" s="338" t="s">
        <v>6142</v>
      </c>
      <c r="O77" s="337">
        <v>1</v>
      </c>
      <c r="P77" s="337">
        <v>1</v>
      </c>
      <c r="Q77" s="338"/>
      <c r="R77" s="338"/>
      <c r="S77" s="338"/>
      <c r="T77" s="338" t="s">
        <v>7907</v>
      </c>
      <c r="U77" s="338" t="s">
        <v>6159</v>
      </c>
      <c r="V77" s="337">
        <v>0</v>
      </c>
      <c r="W77" s="337">
        <v>0</v>
      </c>
      <c r="X77" s="338" t="s">
        <v>8463</v>
      </c>
      <c r="Y77" s="338" t="s">
        <v>6085</v>
      </c>
      <c r="Z77" s="338" t="s">
        <v>8250</v>
      </c>
      <c r="AA77" s="338" t="s">
        <v>6079</v>
      </c>
      <c r="AB77" s="338"/>
      <c r="AC77" s="338"/>
      <c r="AD77" s="338"/>
      <c r="AF77" s="502" t="str">
        <f>Table15[[#This Row],[code2]]</f>
        <v>PHL</v>
      </c>
      <c r="AG77" s="502" t="str">
        <f>Table15[[#This Row],[code5]]</f>
        <v>SP</v>
      </c>
    </row>
    <row r="78" spans="1:33">
      <c r="A78" s="338" t="s">
        <v>6072</v>
      </c>
      <c r="B78" s="338" t="s">
        <v>6073</v>
      </c>
      <c r="C78" s="337">
        <v>1</v>
      </c>
      <c r="D78" s="338" t="s">
        <v>6074</v>
      </c>
      <c r="E78" s="338" t="s">
        <v>6075</v>
      </c>
      <c r="F78" s="337">
        <v>1</v>
      </c>
      <c r="G78" s="337">
        <v>1</v>
      </c>
      <c r="H78" s="338" t="s">
        <v>6075</v>
      </c>
      <c r="I78" s="338" t="s">
        <v>9548</v>
      </c>
      <c r="J78" s="338" t="s">
        <v>9550</v>
      </c>
      <c r="K78" s="338" t="s">
        <v>6076</v>
      </c>
      <c r="L78" s="338"/>
      <c r="M78" s="338" t="s">
        <v>4758</v>
      </c>
      <c r="N78" s="338" t="s">
        <v>6142</v>
      </c>
      <c r="O78" s="337">
        <v>1</v>
      </c>
      <c r="P78" s="337">
        <v>1</v>
      </c>
      <c r="Q78" s="338"/>
      <c r="R78" s="338"/>
      <c r="S78" s="338"/>
      <c r="T78" s="338" t="s">
        <v>7907</v>
      </c>
      <c r="U78" s="338" t="s">
        <v>6145</v>
      </c>
      <c r="V78" s="337">
        <v>1</v>
      </c>
      <c r="W78" s="337">
        <v>1</v>
      </c>
      <c r="X78" s="338" t="s">
        <v>8464</v>
      </c>
      <c r="Y78" s="338" t="s">
        <v>497</v>
      </c>
      <c r="Z78" s="338" t="s">
        <v>7970</v>
      </c>
      <c r="AA78" s="338" t="s">
        <v>6079</v>
      </c>
      <c r="AB78" s="338"/>
      <c r="AC78" s="338"/>
      <c r="AD78" s="338"/>
      <c r="AF78" s="502" t="str">
        <f>Table15[[#This Row],[code2]]</f>
        <v>PHL</v>
      </c>
      <c r="AG78" s="502" t="str">
        <f>Table15[[#This Row],[code5]]</f>
        <v>SP</v>
      </c>
    </row>
    <row r="79" spans="1:33">
      <c r="A79" s="338" t="s">
        <v>6072</v>
      </c>
      <c r="B79" s="338" t="s">
        <v>6073</v>
      </c>
      <c r="C79" s="337">
        <v>1</v>
      </c>
      <c r="D79" s="338" t="s">
        <v>6074</v>
      </c>
      <c r="E79" s="338" t="s">
        <v>6075</v>
      </c>
      <c r="F79" s="337">
        <v>1</v>
      </c>
      <c r="G79" s="337">
        <v>1</v>
      </c>
      <c r="H79" s="338" t="s">
        <v>6075</v>
      </c>
      <c r="I79" s="338" t="s">
        <v>9548</v>
      </c>
      <c r="J79" s="338" t="s">
        <v>9550</v>
      </c>
      <c r="K79" s="338" t="s">
        <v>6076</v>
      </c>
      <c r="L79" s="338"/>
      <c r="M79" s="338" t="s">
        <v>4758</v>
      </c>
      <c r="N79" s="338" t="s">
        <v>6142</v>
      </c>
      <c r="O79" s="337">
        <v>1</v>
      </c>
      <c r="P79" s="337">
        <v>1</v>
      </c>
      <c r="Q79" s="338"/>
      <c r="R79" s="338"/>
      <c r="S79" s="338"/>
      <c r="T79" s="338" t="s">
        <v>7907</v>
      </c>
      <c r="U79" s="338" t="s">
        <v>6146</v>
      </c>
      <c r="V79" s="337">
        <v>1</v>
      </c>
      <c r="W79" s="337">
        <v>1</v>
      </c>
      <c r="X79" s="338" t="s">
        <v>8464</v>
      </c>
      <c r="Y79" s="338" t="s">
        <v>6081</v>
      </c>
      <c r="Z79" s="338" t="s">
        <v>7970</v>
      </c>
      <c r="AA79" s="338" t="s">
        <v>6079</v>
      </c>
      <c r="AB79" s="338"/>
      <c r="AC79" s="338"/>
      <c r="AD79" s="338"/>
      <c r="AF79" s="502" t="str">
        <f>Table15[[#This Row],[code2]]</f>
        <v>PHL</v>
      </c>
      <c r="AG79" s="502" t="str">
        <f>Table15[[#This Row],[code5]]</f>
        <v>SP</v>
      </c>
    </row>
    <row r="80" spans="1:33">
      <c r="A80" s="338" t="s">
        <v>6072</v>
      </c>
      <c r="B80" s="338" t="s">
        <v>6073</v>
      </c>
      <c r="C80" s="337">
        <v>1</v>
      </c>
      <c r="D80" s="338" t="s">
        <v>6074</v>
      </c>
      <c r="E80" s="338" t="s">
        <v>6075</v>
      </c>
      <c r="F80" s="337">
        <v>1</v>
      </c>
      <c r="G80" s="337">
        <v>1</v>
      </c>
      <c r="H80" s="338" t="s">
        <v>6075</v>
      </c>
      <c r="I80" s="338" t="s">
        <v>9548</v>
      </c>
      <c r="J80" s="338" t="s">
        <v>9550</v>
      </c>
      <c r="K80" s="338" t="s">
        <v>6076</v>
      </c>
      <c r="L80" s="338"/>
      <c r="M80" s="338" t="s">
        <v>4758</v>
      </c>
      <c r="N80" s="338" t="s">
        <v>6142</v>
      </c>
      <c r="O80" s="337">
        <v>1</v>
      </c>
      <c r="P80" s="337">
        <v>1</v>
      </c>
      <c r="Q80" s="338"/>
      <c r="R80" s="338"/>
      <c r="S80" s="338"/>
      <c r="T80" s="338" t="s">
        <v>7907</v>
      </c>
      <c r="U80" s="338" t="s">
        <v>6147</v>
      </c>
      <c r="V80" s="337">
        <v>1</v>
      </c>
      <c r="W80" s="337">
        <v>1</v>
      </c>
      <c r="X80" s="338" t="s">
        <v>8464</v>
      </c>
      <c r="Y80" s="338" t="s">
        <v>493</v>
      </c>
      <c r="Z80" s="338" t="s">
        <v>8293</v>
      </c>
      <c r="AA80" s="338" t="s">
        <v>6079</v>
      </c>
      <c r="AB80" s="338"/>
      <c r="AC80" s="338"/>
      <c r="AD80" s="338"/>
      <c r="AF80" s="502" t="str">
        <f>Table15[[#This Row],[code2]]</f>
        <v>PHL</v>
      </c>
      <c r="AG80" s="502" t="str">
        <f>Table15[[#This Row],[code5]]</f>
        <v>SP</v>
      </c>
    </row>
    <row r="81" spans="1:33">
      <c r="A81" s="338" t="s">
        <v>6072</v>
      </c>
      <c r="B81" s="338" t="s">
        <v>6073</v>
      </c>
      <c r="C81" s="337">
        <v>1</v>
      </c>
      <c r="D81" s="338" t="s">
        <v>6074</v>
      </c>
      <c r="E81" s="338" t="s">
        <v>6075</v>
      </c>
      <c r="F81" s="337">
        <v>1</v>
      </c>
      <c r="G81" s="337">
        <v>1</v>
      </c>
      <c r="H81" s="338" t="s">
        <v>6075</v>
      </c>
      <c r="I81" s="338" t="s">
        <v>9548</v>
      </c>
      <c r="J81" s="338" t="s">
        <v>9550</v>
      </c>
      <c r="K81" s="338" t="s">
        <v>6076</v>
      </c>
      <c r="L81" s="338"/>
      <c r="M81" s="338" t="s">
        <v>4758</v>
      </c>
      <c r="N81" s="338" t="s">
        <v>6142</v>
      </c>
      <c r="O81" s="337">
        <v>1</v>
      </c>
      <c r="P81" s="337">
        <v>1</v>
      </c>
      <c r="Q81" s="338"/>
      <c r="R81" s="338"/>
      <c r="S81" s="338"/>
      <c r="T81" s="338" t="s">
        <v>7907</v>
      </c>
      <c r="U81" s="338" t="s">
        <v>6148</v>
      </c>
      <c r="V81" s="337">
        <v>1</v>
      </c>
      <c r="W81" s="337">
        <v>1</v>
      </c>
      <c r="X81" s="338" t="s">
        <v>8464</v>
      </c>
      <c r="Y81" s="338" t="s">
        <v>6085</v>
      </c>
      <c r="Z81" s="338" t="s">
        <v>8735</v>
      </c>
      <c r="AA81" s="338" t="s">
        <v>6079</v>
      </c>
      <c r="AB81" s="338"/>
      <c r="AC81" s="338"/>
      <c r="AD81" s="338"/>
      <c r="AF81" s="502" t="str">
        <f>Table15[[#This Row],[code2]]</f>
        <v>PHL</v>
      </c>
      <c r="AG81" s="502" t="str">
        <f>Table15[[#This Row],[code5]]</f>
        <v>SP</v>
      </c>
    </row>
    <row r="82" spans="1:33">
      <c r="A82" s="338" t="s">
        <v>6072</v>
      </c>
      <c r="B82" s="338" t="s">
        <v>6073</v>
      </c>
      <c r="C82" s="337">
        <v>1</v>
      </c>
      <c r="D82" s="338" t="s">
        <v>6074</v>
      </c>
      <c r="E82" s="338" t="s">
        <v>6075</v>
      </c>
      <c r="F82" s="337">
        <v>1</v>
      </c>
      <c r="G82" s="337">
        <v>1</v>
      </c>
      <c r="H82" s="338" t="s">
        <v>6075</v>
      </c>
      <c r="I82" s="338" t="s">
        <v>9548</v>
      </c>
      <c r="J82" s="338" t="s">
        <v>9550</v>
      </c>
      <c r="K82" s="338" t="s">
        <v>6076</v>
      </c>
      <c r="L82" s="338"/>
      <c r="M82" s="338" t="s">
        <v>4758</v>
      </c>
      <c r="N82" s="338" t="s">
        <v>6142</v>
      </c>
      <c r="O82" s="337">
        <v>1</v>
      </c>
      <c r="P82" s="337">
        <v>1</v>
      </c>
      <c r="Q82" s="338"/>
      <c r="R82" s="338"/>
      <c r="S82" s="338"/>
      <c r="T82" s="338" t="s">
        <v>7907</v>
      </c>
      <c r="U82" s="338" t="s">
        <v>8452</v>
      </c>
      <c r="V82" s="337">
        <v>0</v>
      </c>
      <c r="W82" s="337">
        <v>0</v>
      </c>
      <c r="X82" s="338" t="s">
        <v>8465</v>
      </c>
      <c r="Y82" s="338" t="s">
        <v>497</v>
      </c>
      <c r="Z82" s="338" t="s">
        <v>8530</v>
      </c>
      <c r="AA82" s="338" t="s">
        <v>6079</v>
      </c>
      <c r="AB82" s="338"/>
      <c r="AC82" s="338"/>
      <c r="AD82" s="338"/>
      <c r="AF82" s="502" t="str">
        <f>Table15[[#This Row],[code2]]</f>
        <v>PHL</v>
      </c>
      <c r="AG82" s="502" t="str">
        <f>Table15[[#This Row],[code5]]</f>
        <v>SP</v>
      </c>
    </row>
    <row r="83" spans="1:33">
      <c r="A83" s="338" t="s">
        <v>6072</v>
      </c>
      <c r="B83" s="338" t="s">
        <v>6073</v>
      </c>
      <c r="C83" s="337">
        <v>1</v>
      </c>
      <c r="D83" s="338" t="s">
        <v>6074</v>
      </c>
      <c r="E83" s="338" t="s">
        <v>6075</v>
      </c>
      <c r="F83" s="337">
        <v>1</v>
      </c>
      <c r="G83" s="337">
        <v>1</v>
      </c>
      <c r="H83" s="338" t="s">
        <v>6075</v>
      </c>
      <c r="I83" s="338" t="s">
        <v>9548</v>
      </c>
      <c r="J83" s="338" t="s">
        <v>9550</v>
      </c>
      <c r="K83" s="338" t="s">
        <v>6076</v>
      </c>
      <c r="L83" s="338"/>
      <c r="M83" s="338" t="s">
        <v>4758</v>
      </c>
      <c r="N83" s="338" t="s">
        <v>6142</v>
      </c>
      <c r="O83" s="337">
        <v>1</v>
      </c>
      <c r="P83" s="337">
        <v>1</v>
      </c>
      <c r="Q83" s="338"/>
      <c r="R83" s="338"/>
      <c r="S83" s="338"/>
      <c r="T83" s="338" t="s">
        <v>7907</v>
      </c>
      <c r="U83" s="338" t="s">
        <v>8453</v>
      </c>
      <c r="V83" s="337">
        <v>0</v>
      </c>
      <c r="W83" s="337">
        <v>0</v>
      </c>
      <c r="X83" s="338" t="s">
        <v>8465</v>
      </c>
      <c r="Y83" s="338" t="s">
        <v>6081</v>
      </c>
      <c r="Z83" s="338" t="s">
        <v>8530</v>
      </c>
      <c r="AA83" s="338" t="s">
        <v>6079</v>
      </c>
      <c r="AB83" s="338"/>
      <c r="AC83" s="338"/>
      <c r="AD83" s="338"/>
      <c r="AF83" s="502" t="str">
        <f>Table15[[#This Row],[code2]]</f>
        <v>PHL</v>
      </c>
      <c r="AG83" s="502" t="str">
        <f>Table15[[#This Row],[code5]]</f>
        <v>SP</v>
      </c>
    </row>
    <row r="84" spans="1:33">
      <c r="A84" s="338" t="s">
        <v>6072</v>
      </c>
      <c r="B84" s="338" t="s">
        <v>6073</v>
      </c>
      <c r="C84" s="337">
        <v>1</v>
      </c>
      <c r="D84" s="338" t="s">
        <v>6074</v>
      </c>
      <c r="E84" s="338" t="s">
        <v>6075</v>
      </c>
      <c r="F84" s="337">
        <v>1</v>
      </c>
      <c r="G84" s="337">
        <v>1</v>
      </c>
      <c r="H84" s="338" t="s">
        <v>6075</v>
      </c>
      <c r="I84" s="338" t="s">
        <v>9548</v>
      </c>
      <c r="J84" s="338" t="s">
        <v>9550</v>
      </c>
      <c r="K84" s="338" t="s">
        <v>6076</v>
      </c>
      <c r="L84" s="338"/>
      <c r="M84" s="338" t="s">
        <v>4758</v>
      </c>
      <c r="N84" s="338" t="s">
        <v>6142</v>
      </c>
      <c r="O84" s="337">
        <v>1</v>
      </c>
      <c r="P84" s="337">
        <v>1</v>
      </c>
      <c r="Q84" s="338"/>
      <c r="R84" s="338"/>
      <c r="S84" s="338"/>
      <c r="T84" s="338" t="s">
        <v>7907</v>
      </c>
      <c r="U84" s="338" t="s">
        <v>8454</v>
      </c>
      <c r="V84" s="337">
        <v>0</v>
      </c>
      <c r="W84" s="337">
        <v>0</v>
      </c>
      <c r="X84" s="338" t="s">
        <v>8465</v>
      </c>
      <c r="Y84" s="338" t="s">
        <v>493</v>
      </c>
      <c r="Z84" s="338" t="s">
        <v>8293</v>
      </c>
      <c r="AA84" s="338" t="s">
        <v>6079</v>
      </c>
      <c r="AB84" s="338"/>
      <c r="AC84" s="338"/>
      <c r="AD84" s="338"/>
      <c r="AF84" s="502" t="str">
        <f>Table15[[#This Row],[code2]]</f>
        <v>PHL</v>
      </c>
      <c r="AG84" s="502" t="str">
        <f>Table15[[#This Row],[code5]]</f>
        <v>SP</v>
      </c>
    </row>
    <row r="85" spans="1:33">
      <c r="A85" s="338" t="s">
        <v>6072</v>
      </c>
      <c r="B85" s="338" t="s">
        <v>6073</v>
      </c>
      <c r="C85" s="337">
        <v>1</v>
      </c>
      <c r="D85" s="338" t="s">
        <v>6074</v>
      </c>
      <c r="E85" s="338" t="s">
        <v>6075</v>
      </c>
      <c r="F85" s="337">
        <v>1</v>
      </c>
      <c r="G85" s="337">
        <v>1</v>
      </c>
      <c r="H85" s="338" t="s">
        <v>6075</v>
      </c>
      <c r="I85" s="338" t="s">
        <v>9548</v>
      </c>
      <c r="J85" s="338" t="s">
        <v>9550</v>
      </c>
      <c r="K85" s="338" t="s">
        <v>6076</v>
      </c>
      <c r="L85" s="338"/>
      <c r="M85" s="338" t="s">
        <v>4758</v>
      </c>
      <c r="N85" s="338" t="s">
        <v>6142</v>
      </c>
      <c r="O85" s="337">
        <v>1</v>
      </c>
      <c r="P85" s="337">
        <v>1</v>
      </c>
      <c r="Q85" s="338"/>
      <c r="R85" s="338"/>
      <c r="S85" s="338"/>
      <c r="T85" s="338" t="s">
        <v>7907</v>
      </c>
      <c r="U85" s="338" t="s">
        <v>8455</v>
      </c>
      <c r="V85" s="337">
        <v>0</v>
      </c>
      <c r="W85" s="337">
        <v>0</v>
      </c>
      <c r="X85" s="338" t="s">
        <v>8465</v>
      </c>
      <c r="Y85" s="338" t="s">
        <v>6085</v>
      </c>
      <c r="Z85" s="338" t="s">
        <v>8530</v>
      </c>
      <c r="AA85" s="338" t="s">
        <v>6079</v>
      </c>
      <c r="AB85" s="338"/>
      <c r="AC85" s="338"/>
      <c r="AD85" s="338"/>
      <c r="AF85" s="502" t="str">
        <f>Table15[[#This Row],[code2]]</f>
        <v>PHL</v>
      </c>
      <c r="AG85" s="502" t="str">
        <f>Table15[[#This Row],[code5]]</f>
        <v>SP</v>
      </c>
    </row>
    <row r="86" spans="1:33">
      <c r="A86" s="338" t="s">
        <v>6072</v>
      </c>
      <c r="B86" s="338" t="s">
        <v>6073</v>
      </c>
      <c r="C86" s="337">
        <v>1</v>
      </c>
      <c r="D86" s="338" t="s">
        <v>6074</v>
      </c>
      <c r="E86" s="338" t="s">
        <v>6075</v>
      </c>
      <c r="F86" s="337">
        <v>1</v>
      </c>
      <c r="G86" s="337">
        <v>1</v>
      </c>
      <c r="H86" s="338" t="s">
        <v>6075</v>
      </c>
      <c r="I86" s="338" t="s">
        <v>9548</v>
      </c>
      <c r="J86" s="338" t="s">
        <v>9550</v>
      </c>
      <c r="K86" s="338" t="s">
        <v>6076</v>
      </c>
      <c r="L86" s="338"/>
      <c r="M86" s="338" t="s">
        <v>6161</v>
      </c>
      <c r="N86" s="338" t="s">
        <v>8310</v>
      </c>
      <c r="O86" s="337">
        <v>0</v>
      </c>
      <c r="P86" s="337">
        <v>0</v>
      </c>
      <c r="Q86" s="338"/>
      <c r="R86" s="338" t="s">
        <v>14</v>
      </c>
      <c r="S86" s="338"/>
      <c r="T86" s="338" t="s">
        <v>7908</v>
      </c>
      <c r="U86" s="338" t="s">
        <v>6162</v>
      </c>
      <c r="V86" s="337">
        <v>0</v>
      </c>
      <c r="W86" s="337">
        <v>0</v>
      </c>
      <c r="X86" s="338"/>
      <c r="Y86" s="338" t="s">
        <v>6163</v>
      </c>
      <c r="Z86" s="338" t="s">
        <v>6164</v>
      </c>
      <c r="AA86" s="338" t="s">
        <v>6079</v>
      </c>
      <c r="AB86" s="338"/>
      <c r="AC86" s="338" t="s">
        <v>6165</v>
      </c>
      <c r="AD86" s="338"/>
      <c r="AF86" s="502" t="str">
        <f>Table15[[#This Row],[code2]]</f>
        <v>PHL</v>
      </c>
      <c r="AG86" s="502" t="str">
        <f>Table15[[#This Row],[code5]]</f>
        <v>BFLP</v>
      </c>
    </row>
    <row r="87" spans="1:33">
      <c r="A87" s="338" t="s">
        <v>6072</v>
      </c>
      <c r="B87" s="338" t="s">
        <v>6073</v>
      </c>
      <c r="C87" s="337">
        <v>1</v>
      </c>
      <c r="D87" s="338" t="s">
        <v>6074</v>
      </c>
      <c r="E87" s="338" t="s">
        <v>6075</v>
      </c>
      <c r="F87" s="337">
        <v>1</v>
      </c>
      <c r="G87" s="337">
        <v>1</v>
      </c>
      <c r="H87" s="338" t="s">
        <v>6075</v>
      </c>
      <c r="I87" s="338" t="s">
        <v>9548</v>
      </c>
      <c r="J87" s="338" t="s">
        <v>9550</v>
      </c>
      <c r="K87" s="338" t="s">
        <v>6076</v>
      </c>
      <c r="L87" s="338"/>
      <c r="M87" s="338" t="s">
        <v>6161</v>
      </c>
      <c r="N87" s="338" t="s">
        <v>8310</v>
      </c>
      <c r="O87" s="337">
        <v>0</v>
      </c>
      <c r="P87" s="337">
        <v>0</v>
      </c>
      <c r="Q87" s="338"/>
      <c r="R87" s="338" t="s">
        <v>14</v>
      </c>
      <c r="S87" s="338"/>
      <c r="T87" s="338" t="s">
        <v>7908</v>
      </c>
      <c r="U87" s="338" t="s">
        <v>6166</v>
      </c>
      <c r="V87" s="337">
        <v>0</v>
      </c>
      <c r="W87" s="337">
        <v>0</v>
      </c>
      <c r="X87" s="338"/>
      <c r="Y87" s="338" t="s">
        <v>6167</v>
      </c>
      <c r="Z87" s="338" t="s">
        <v>5825</v>
      </c>
      <c r="AA87" s="338" t="s">
        <v>6079</v>
      </c>
      <c r="AB87" s="338"/>
      <c r="AC87" s="338" t="s">
        <v>6165</v>
      </c>
      <c r="AD87" s="338"/>
      <c r="AF87" s="502" t="str">
        <f>Table15[[#This Row],[code2]]</f>
        <v>PHL</v>
      </c>
      <c r="AG87" s="502" t="str">
        <f>Table15[[#This Row],[code5]]</f>
        <v>BFLP</v>
      </c>
    </row>
    <row r="88" spans="1:33">
      <c r="A88" s="338" t="s">
        <v>6072</v>
      </c>
      <c r="B88" s="338" t="s">
        <v>6073</v>
      </c>
      <c r="C88" s="337">
        <v>1</v>
      </c>
      <c r="D88" s="338" t="s">
        <v>6074</v>
      </c>
      <c r="E88" s="338" t="s">
        <v>6075</v>
      </c>
      <c r="F88" s="337">
        <v>1</v>
      </c>
      <c r="G88" s="337">
        <v>1</v>
      </c>
      <c r="H88" s="338" t="s">
        <v>6075</v>
      </c>
      <c r="I88" s="338" t="s">
        <v>9548</v>
      </c>
      <c r="J88" s="338" t="s">
        <v>9550</v>
      </c>
      <c r="K88" s="338" t="s">
        <v>6076</v>
      </c>
      <c r="L88" s="338"/>
      <c r="M88" s="338" t="s">
        <v>6161</v>
      </c>
      <c r="N88" s="338" t="s">
        <v>8310</v>
      </c>
      <c r="O88" s="337">
        <v>0</v>
      </c>
      <c r="P88" s="337">
        <v>0</v>
      </c>
      <c r="Q88" s="338"/>
      <c r="R88" s="338" t="s">
        <v>14</v>
      </c>
      <c r="S88" s="338"/>
      <c r="T88" s="338" t="s">
        <v>7908</v>
      </c>
      <c r="U88" s="338" t="s">
        <v>6168</v>
      </c>
      <c r="V88" s="337">
        <v>0</v>
      </c>
      <c r="W88" s="337">
        <v>0</v>
      </c>
      <c r="X88" s="338"/>
      <c r="Y88" s="338" t="s">
        <v>6163</v>
      </c>
      <c r="Z88" s="338" t="s">
        <v>6169</v>
      </c>
      <c r="AA88" s="338" t="s">
        <v>6079</v>
      </c>
      <c r="AB88" s="338"/>
      <c r="AC88" s="338" t="s">
        <v>6170</v>
      </c>
      <c r="AD88" s="338"/>
      <c r="AF88" s="502" t="str">
        <f>Table15[[#This Row],[code2]]</f>
        <v>PHL</v>
      </c>
      <c r="AG88" s="502" t="str">
        <f>Table15[[#This Row],[code5]]</f>
        <v>BFLP</v>
      </c>
    </row>
    <row r="89" spans="1:33">
      <c r="A89" s="338" t="s">
        <v>6072</v>
      </c>
      <c r="B89" s="338" t="s">
        <v>6073</v>
      </c>
      <c r="C89" s="337">
        <v>1</v>
      </c>
      <c r="D89" s="338" t="s">
        <v>6074</v>
      </c>
      <c r="E89" s="338" t="s">
        <v>6075</v>
      </c>
      <c r="F89" s="337">
        <v>1</v>
      </c>
      <c r="G89" s="337">
        <v>1</v>
      </c>
      <c r="H89" s="338" t="s">
        <v>6075</v>
      </c>
      <c r="I89" s="338" t="s">
        <v>9548</v>
      </c>
      <c r="J89" s="338" t="s">
        <v>9550</v>
      </c>
      <c r="K89" s="338" t="s">
        <v>6076</v>
      </c>
      <c r="L89" s="338"/>
      <c r="M89" s="338" t="s">
        <v>6161</v>
      </c>
      <c r="N89" s="338" t="s">
        <v>8310</v>
      </c>
      <c r="O89" s="337">
        <v>0</v>
      </c>
      <c r="P89" s="337">
        <v>0</v>
      </c>
      <c r="Q89" s="338"/>
      <c r="R89" s="338" t="s">
        <v>14</v>
      </c>
      <c r="S89" s="338"/>
      <c r="T89" s="338" t="s">
        <v>7908</v>
      </c>
      <c r="U89" s="338" t="s">
        <v>6171</v>
      </c>
      <c r="V89" s="337">
        <v>0</v>
      </c>
      <c r="W89" s="337">
        <v>0</v>
      </c>
      <c r="X89" s="338"/>
      <c r="Y89" s="338" t="s">
        <v>6167</v>
      </c>
      <c r="Z89" s="338" t="s">
        <v>5825</v>
      </c>
      <c r="AA89" s="338" t="s">
        <v>6079</v>
      </c>
      <c r="AB89" s="338"/>
      <c r="AC89" s="338" t="s">
        <v>6170</v>
      </c>
      <c r="AD89" s="338"/>
      <c r="AF89" s="502" t="str">
        <f>Table15[[#This Row],[code2]]</f>
        <v>PHL</v>
      </c>
      <c r="AG89" s="502" t="str">
        <f>Table15[[#This Row],[code5]]</f>
        <v>BFLP</v>
      </c>
    </row>
    <row r="90" spans="1:33">
      <c r="A90" s="338" t="s">
        <v>6072</v>
      </c>
      <c r="B90" s="338" t="s">
        <v>6073</v>
      </c>
      <c r="C90" s="337">
        <v>1</v>
      </c>
      <c r="D90" s="338" t="s">
        <v>6074</v>
      </c>
      <c r="E90" s="338" t="s">
        <v>6075</v>
      </c>
      <c r="F90" s="337">
        <v>1</v>
      </c>
      <c r="G90" s="337">
        <v>1</v>
      </c>
      <c r="H90" s="338" t="s">
        <v>6075</v>
      </c>
      <c r="I90" s="338" t="s">
        <v>9548</v>
      </c>
      <c r="J90" s="338" t="s">
        <v>9550</v>
      </c>
      <c r="K90" s="338" t="s">
        <v>6076</v>
      </c>
      <c r="L90" s="338"/>
      <c r="M90" s="338" t="s">
        <v>6161</v>
      </c>
      <c r="N90" s="338" t="s">
        <v>8310</v>
      </c>
      <c r="O90" s="337">
        <v>0</v>
      </c>
      <c r="P90" s="337">
        <v>0</v>
      </c>
      <c r="Q90" s="338"/>
      <c r="R90" s="338" t="s">
        <v>14</v>
      </c>
      <c r="S90" s="338"/>
      <c r="T90" s="338" t="s">
        <v>7908</v>
      </c>
      <c r="U90" s="338" t="s">
        <v>6172</v>
      </c>
      <c r="V90" s="337">
        <v>0</v>
      </c>
      <c r="W90" s="337">
        <v>0</v>
      </c>
      <c r="X90" s="338"/>
      <c r="Y90" s="338" t="s">
        <v>6163</v>
      </c>
      <c r="Z90" s="338" t="s">
        <v>6173</v>
      </c>
      <c r="AA90" s="338" t="s">
        <v>6079</v>
      </c>
      <c r="AB90" s="338"/>
      <c r="AC90" s="338" t="s">
        <v>6174</v>
      </c>
      <c r="AD90" s="338"/>
      <c r="AF90" s="502" t="str">
        <f>Table15[[#This Row],[code2]]</f>
        <v>PHL</v>
      </c>
      <c r="AG90" s="502" t="str">
        <f>Table15[[#This Row],[code5]]</f>
        <v>BFLP</v>
      </c>
    </row>
    <row r="91" spans="1:33">
      <c r="A91" s="338" t="s">
        <v>6072</v>
      </c>
      <c r="B91" s="338" t="s">
        <v>6073</v>
      </c>
      <c r="C91" s="337">
        <v>1</v>
      </c>
      <c r="D91" s="338" t="s">
        <v>6074</v>
      </c>
      <c r="E91" s="338" t="s">
        <v>6075</v>
      </c>
      <c r="F91" s="337">
        <v>1</v>
      </c>
      <c r="G91" s="337">
        <v>1</v>
      </c>
      <c r="H91" s="338" t="s">
        <v>6075</v>
      </c>
      <c r="I91" s="338" t="s">
        <v>9548</v>
      </c>
      <c r="J91" s="338" t="s">
        <v>9550</v>
      </c>
      <c r="K91" s="338" t="s">
        <v>6076</v>
      </c>
      <c r="L91" s="338"/>
      <c r="M91" s="338" t="s">
        <v>6161</v>
      </c>
      <c r="N91" s="338" t="s">
        <v>8310</v>
      </c>
      <c r="O91" s="337">
        <v>0</v>
      </c>
      <c r="P91" s="337">
        <v>0</v>
      </c>
      <c r="Q91" s="338"/>
      <c r="R91" s="338" t="s">
        <v>14</v>
      </c>
      <c r="S91" s="338"/>
      <c r="T91" s="338" t="s">
        <v>7908</v>
      </c>
      <c r="U91" s="338" t="s">
        <v>6175</v>
      </c>
      <c r="V91" s="337">
        <v>0</v>
      </c>
      <c r="W91" s="337">
        <v>0</v>
      </c>
      <c r="X91" s="338"/>
      <c r="Y91" s="338" t="s">
        <v>6167</v>
      </c>
      <c r="Z91" s="338" t="s">
        <v>5825</v>
      </c>
      <c r="AA91" s="338" t="s">
        <v>6079</v>
      </c>
      <c r="AB91" s="338"/>
      <c r="AC91" s="338" t="s">
        <v>6174</v>
      </c>
      <c r="AD91" s="338"/>
      <c r="AF91" s="502" t="str">
        <f>Table15[[#This Row],[code2]]</f>
        <v>PHL</v>
      </c>
      <c r="AG91" s="502" t="str">
        <f>Table15[[#This Row],[code5]]</f>
        <v>BFLP</v>
      </c>
    </row>
    <row r="92" spans="1:33">
      <c r="A92" s="338" t="s">
        <v>6072</v>
      </c>
      <c r="B92" s="338" t="s">
        <v>6073</v>
      </c>
      <c r="C92" s="337">
        <v>1</v>
      </c>
      <c r="D92" s="338" t="s">
        <v>6074</v>
      </c>
      <c r="E92" s="338" t="s">
        <v>6075</v>
      </c>
      <c r="F92" s="337">
        <v>1</v>
      </c>
      <c r="G92" s="337">
        <v>1</v>
      </c>
      <c r="H92" s="338" t="s">
        <v>6075</v>
      </c>
      <c r="I92" s="338" t="s">
        <v>9548</v>
      </c>
      <c r="J92" s="338" t="s">
        <v>9550</v>
      </c>
      <c r="K92" s="338" t="s">
        <v>6076</v>
      </c>
      <c r="L92" s="338"/>
      <c r="M92" s="338" t="s">
        <v>6161</v>
      </c>
      <c r="N92" s="338" t="s">
        <v>8310</v>
      </c>
      <c r="O92" s="337">
        <v>0</v>
      </c>
      <c r="P92" s="337">
        <v>0</v>
      </c>
      <c r="Q92" s="338"/>
      <c r="R92" s="338" t="s">
        <v>14</v>
      </c>
      <c r="S92" s="338"/>
      <c r="T92" s="338" t="s">
        <v>7908</v>
      </c>
      <c r="U92" s="338" t="s">
        <v>6176</v>
      </c>
      <c r="V92" s="337">
        <v>0</v>
      </c>
      <c r="W92" s="337">
        <v>0</v>
      </c>
      <c r="X92" s="338"/>
      <c r="Y92" s="338" t="s">
        <v>6163</v>
      </c>
      <c r="Z92" s="338" t="s">
        <v>6177</v>
      </c>
      <c r="AA92" s="338" t="s">
        <v>6079</v>
      </c>
      <c r="AB92" s="338"/>
      <c r="AC92" s="338" t="s">
        <v>6178</v>
      </c>
      <c r="AD92" s="338"/>
      <c r="AF92" s="502" t="str">
        <f>Table15[[#This Row],[code2]]</f>
        <v>PHL</v>
      </c>
      <c r="AG92" s="502" t="str">
        <f>Table15[[#This Row],[code5]]</f>
        <v>BFLP</v>
      </c>
    </row>
    <row r="93" spans="1:33">
      <c r="A93" s="338" t="s">
        <v>6072</v>
      </c>
      <c r="B93" s="338" t="s">
        <v>6073</v>
      </c>
      <c r="C93" s="337">
        <v>1</v>
      </c>
      <c r="D93" s="338" t="s">
        <v>6074</v>
      </c>
      <c r="E93" s="338" t="s">
        <v>6075</v>
      </c>
      <c r="F93" s="337">
        <v>1</v>
      </c>
      <c r="G93" s="337">
        <v>1</v>
      </c>
      <c r="H93" s="338" t="s">
        <v>6075</v>
      </c>
      <c r="I93" s="338" t="s">
        <v>9548</v>
      </c>
      <c r="J93" s="338" t="s">
        <v>9550</v>
      </c>
      <c r="K93" s="338" t="s">
        <v>6076</v>
      </c>
      <c r="L93" s="338"/>
      <c r="M93" s="338" t="s">
        <v>6161</v>
      </c>
      <c r="N93" s="338" t="s">
        <v>8310</v>
      </c>
      <c r="O93" s="337">
        <v>0</v>
      </c>
      <c r="P93" s="337">
        <v>0</v>
      </c>
      <c r="Q93" s="338"/>
      <c r="R93" s="338" t="s">
        <v>14</v>
      </c>
      <c r="S93" s="338"/>
      <c r="T93" s="338" t="s">
        <v>7908</v>
      </c>
      <c r="U93" s="338" t="s">
        <v>6179</v>
      </c>
      <c r="V93" s="337">
        <v>0</v>
      </c>
      <c r="W93" s="337">
        <v>0</v>
      </c>
      <c r="X93" s="338"/>
      <c r="Y93" s="338" t="s">
        <v>6167</v>
      </c>
      <c r="Z93" s="338" t="s">
        <v>6180</v>
      </c>
      <c r="AA93" s="338" t="s">
        <v>6079</v>
      </c>
      <c r="AB93" s="338"/>
      <c r="AC93" s="338" t="s">
        <v>6178</v>
      </c>
      <c r="AD93" s="338"/>
      <c r="AF93" s="502" t="str">
        <f>Table15[[#This Row],[code2]]</f>
        <v>PHL</v>
      </c>
      <c r="AG93" s="502" t="str">
        <f>Table15[[#This Row],[code5]]</f>
        <v>BFLP</v>
      </c>
    </row>
    <row r="94" spans="1:33">
      <c r="A94" s="338" t="s">
        <v>6072</v>
      </c>
      <c r="B94" s="338" t="s">
        <v>6073</v>
      </c>
      <c r="C94" s="337">
        <v>1</v>
      </c>
      <c r="D94" s="338" t="s">
        <v>6074</v>
      </c>
      <c r="E94" s="338" t="s">
        <v>6075</v>
      </c>
      <c r="F94" s="337">
        <v>1</v>
      </c>
      <c r="G94" s="337">
        <v>1</v>
      </c>
      <c r="H94" s="338" t="s">
        <v>6075</v>
      </c>
      <c r="I94" s="338" t="s">
        <v>9548</v>
      </c>
      <c r="J94" s="338" t="s">
        <v>9550</v>
      </c>
      <c r="K94" s="338" t="s">
        <v>6076</v>
      </c>
      <c r="L94" s="338"/>
      <c r="M94" s="338" t="s">
        <v>6161</v>
      </c>
      <c r="N94" s="338" t="s">
        <v>8310</v>
      </c>
      <c r="O94" s="337">
        <v>0</v>
      </c>
      <c r="P94" s="337">
        <v>0</v>
      </c>
      <c r="Q94" s="338"/>
      <c r="R94" s="338" t="s">
        <v>14</v>
      </c>
      <c r="S94" s="338"/>
      <c r="T94" s="338" t="s">
        <v>7908</v>
      </c>
      <c r="U94" s="338" t="s">
        <v>6181</v>
      </c>
      <c r="V94" s="337">
        <v>0</v>
      </c>
      <c r="W94" s="337">
        <v>0</v>
      </c>
      <c r="X94" s="338"/>
      <c r="Y94" s="338" t="s">
        <v>6163</v>
      </c>
      <c r="Z94" s="338" t="s">
        <v>6177</v>
      </c>
      <c r="AA94" s="338" t="s">
        <v>6079</v>
      </c>
      <c r="AB94" s="338"/>
      <c r="AC94" s="338" t="s">
        <v>6182</v>
      </c>
      <c r="AD94" s="338"/>
      <c r="AF94" s="502" t="str">
        <f>Table15[[#This Row],[code2]]</f>
        <v>PHL</v>
      </c>
      <c r="AG94" s="502" t="str">
        <f>Table15[[#This Row],[code5]]</f>
        <v>BFLP</v>
      </c>
    </row>
    <row r="95" spans="1:33">
      <c r="A95" s="338" t="s">
        <v>6072</v>
      </c>
      <c r="B95" s="338" t="s">
        <v>6073</v>
      </c>
      <c r="C95" s="337">
        <v>1</v>
      </c>
      <c r="D95" s="338" t="s">
        <v>6074</v>
      </c>
      <c r="E95" s="338" t="s">
        <v>6075</v>
      </c>
      <c r="F95" s="337">
        <v>1</v>
      </c>
      <c r="G95" s="337">
        <v>1</v>
      </c>
      <c r="H95" s="338" t="s">
        <v>6075</v>
      </c>
      <c r="I95" s="338" t="s">
        <v>9548</v>
      </c>
      <c r="J95" s="338" t="s">
        <v>9550</v>
      </c>
      <c r="K95" s="338" t="s">
        <v>6076</v>
      </c>
      <c r="L95" s="338"/>
      <c r="M95" s="338" t="s">
        <v>6161</v>
      </c>
      <c r="N95" s="338" t="s">
        <v>8310</v>
      </c>
      <c r="O95" s="337">
        <v>0</v>
      </c>
      <c r="P95" s="337">
        <v>0</v>
      </c>
      <c r="Q95" s="338"/>
      <c r="R95" s="338" t="s">
        <v>14</v>
      </c>
      <c r="S95" s="338"/>
      <c r="T95" s="338" t="s">
        <v>7908</v>
      </c>
      <c r="U95" s="338" t="s">
        <v>6183</v>
      </c>
      <c r="V95" s="337">
        <v>0</v>
      </c>
      <c r="W95" s="337">
        <v>0</v>
      </c>
      <c r="X95" s="338"/>
      <c r="Y95" s="338" t="s">
        <v>6167</v>
      </c>
      <c r="Z95" s="338" t="s">
        <v>6180</v>
      </c>
      <c r="AA95" s="338" t="s">
        <v>6079</v>
      </c>
      <c r="AB95" s="338"/>
      <c r="AC95" s="338" t="s">
        <v>6182</v>
      </c>
      <c r="AD95" s="338"/>
      <c r="AF95" s="502" t="str">
        <f>Table15[[#This Row],[code2]]</f>
        <v>PHL</v>
      </c>
      <c r="AG95" s="502" t="str">
        <f>Table15[[#This Row],[code5]]</f>
        <v>BFLP</v>
      </c>
    </row>
    <row r="96" spans="1:33">
      <c r="A96" s="338" t="s">
        <v>6072</v>
      </c>
      <c r="B96" s="338" t="s">
        <v>6073</v>
      </c>
      <c r="C96" s="337">
        <v>1</v>
      </c>
      <c r="D96" s="338" t="s">
        <v>6074</v>
      </c>
      <c r="E96" s="338" t="s">
        <v>6075</v>
      </c>
      <c r="F96" s="337">
        <v>1</v>
      </c>
      <c r="G96" s="337">
        <v>1</v>
      </c>
      <c r="H96" s="338" t="s">
        <v>6075</v>
      </c>
      <c r="I96" s="338" t="s">
        <v>9548</v>
      </c>
      <c r="J96" s="338" t="s">
        <v>9550</v>
      </c>
      <c r="K96" s="338" t="s">
        <v>6076</v>
      </c>
      <c r="L96" s="338"/>
      <c r="M96" s="338" t="s">
        <v>6161</v>
      </c>
      <c r="N96" s="338" t="s">
        <v>8310</v>
      </c>
      <c r="O96" s="337">
        <v>0</v>
      </c>
      <c r="P96" s="337">
        <v>0</v>
      </c>
      <c r="Q96" s="338"/>
      <c r="R96" s="338" t="s">
        <v>14</v>
      </c>
      <c r="S96" s="338"/>
      <c r="T96" s="338" t="s">
        <v>7908</v>
      </c>
      <c r="U96" s="338" t="s">
        <v>6184</v>
      </c>
      <c r="V96" s="337">
        <v>0</v>
      </c>
      <c r="W96" s="337">
        <v>0</v>
      </c>
      <c r="X96" s="338"/>
      <c r="Y96" s="338" t="s">
        <v>6163</v>
      </c>
      <c r="Z96" s="338" t="s">
        <v>6185</v>
      </c>
      <c r="AA96" s="338" t="s">
        <v>6079</v>
      </c>
      <c r="AB96" s="338"/>
      <c r="AC96" s="338" t="s">
        <v>6186</v>
      </c>
      <c r="AD96" s="338"/>
      <c r="AF96" s="502" t="str">
        <f>Table15[[#This Row],[code2]]</f>
        <v>PHL</v>
      </c>
      <c r="AG96" s="502" t="str">
        <f>Table15[[#This Row],[code5]]</f>
        <v>BFLP</v>
      </c>
    </row>
    <row r="97" spans="1:33">
      <c r="A97" s="338" t="s">
        <v>6072</v>
      </c>
      <c r="B97" s="338" t="s">
        <v>6073</v>
      </c>
      <c r="C97" s="337">
        <v>1</v>
      </c>
      <c r="D97" s="338" t="s">
        <v>6074</v>
      </c>
      <c r="E97" s="338" t="s">
        <v>6075</v>
      </c>
      <c r="F97" s="337">
        <v>1</v>
      </c>
      <c r="G97" s="337">
        <v>1</v>
      </c>
      <c r="H97" s="338" t="s">
        <v>6075</v>
      </c>
      <c r="I97" s="338" t="s">
        <v>9548</v>
      </c>
      <c r="J97" s="338" t="s">
        <v>9550</v>
      </c>
      <c r="K97" s="338" t="s">
        <v>6076</v>
      </c>
      <c r="L97" s="338"/>
      <c r="M97" s="338" t="s">
        <v>6161</v>
      </c>
      <c r="N97" s="338" t="s">
        <v>8310</v>
      </c>
      <c r="O97" s="337">
        <v>0</v>
      </c>
      <c r="P97" s="337">
        <v>0</v>
      </c>
      <c r="Q97" s="338"/>
      <c r="R97" s="338" t="s">
        <v>14</v>
      </c>
      <c r="S97" s="338"/>
      <c r="T97" s="338" t="s">
        <v>7908</v>
      </c>
      <c r="U97" s="338" t="s">
        <v>6187</v>
      </c>
      <c r="V97" s="337">
        <v>0</v>
      </c>
      <c r="W97" s="337">
        <v>0</v>
      </c>
      <c r="X97" s="338"/>
      <c r="Y97" s="338" t="s">
        <v>6167</v>
      </c>
      <c r="Z97" s="338" t="s">
        <v>5825</v>
      </c>
      <c r="AA97" s="338" t="s">
        <v>6079</v>
      </c>
      <c r="AB97" s="338"/>
      <c r="AC97" s="338" t="s">
        <v>6186</v>
      </c>
      <c r="AD97" s="338"/>
      <c r="AF97" s="502" t="str">
        <f>Table15[[#This Row],[code2]]</f>
        <v>PHL</v>
      </c>
      <c r="AG97" s="502" t="str">
        <f>Table15[[#This Row],[code5]]</f>
        <v>BFLP</v>
      </c>
    </row>
    <row r="98" spans="1:33">
      <c r="A98" s="338" t="s">
        <v>6072</v>
      </c>
      <c r="B98" s="338" t="s">
        <v>6073</v>
      </c>
      <c r="C98" s="337">
        <v>1</v>
      </c>
      <c r="D98" s="338" t="s">
        <v>6074</v>
      </c>
      <c r="E98" s="338" t="s">
        <v>6075</v>
      </c>
      <c r="F98" s="337">
        <v>1</v>
      </c>
      <c r="G98" s="337">
        <v>1</v>
      </c>
      <c r="H98" s="338" t="s">
        <v>6075</v>
      </c>
      <c r="I98" s="338" t="s">
        <v>9548</v>
      </c>
      <c r="J98" s="338" t="s">
        <v>9550</v>
      </c>
      <c r="K98" s="338" t="s">
        <v>6076</v>
      </c>
      <c r="L98" s="338"/>
      <c r="M98" s="338" t="s">
        <v>6161</v>
      </c>
      <c r="N98" s="338" t="s">
        <v>8310</v>
      </c>
      <c r="O98" s="337">
        <v>0</v>
      </c>
      <c r="P98" s="337">
        <v>0</v>
      </c>
      <c r="Q98" s="338"/>
      <c r="R98" s="338" t="s">
        <v>14</v>
      </c>
      <c r="S98" s="338"/>
      <c r="T98" s="338" t="s">
        <v>7908</v>
      </c>
      <c r="U98" s="338" t="s">
        <v>6188</v>
      </c>
      <c r="V98" s="337">
        <v>0</v>
      </c>
      <c r="W98" s="337">
        <v>0</v>
      </c>
      <c r="X98" s="338"/>
      <c r="Y98" s="338" t="s">
        <v>6163</v>
      </c>
      <c r="Z98" s="338" t="s">
        <v>6185</v>
      </c>
      <c r="AA98" s="338" t="s">
        <v>6079</v>
      </c>
      <c r="AB98" s="338"/>
      <c r="AC98" s="338" t="s">
        <v>6189</v>
      </c>
      <c r="AD98" s="338"/>
      <c r="AF98" s="502" t="str">
        <f>Table15[[#This Row],[code2]]</f>
        <v>PHL</v>
      </c>
      <c r="AG98" s="502" t="str">
        <f>Table15[[#This Row],[code5]]</f>
        <v>BFLP</v>
      </c>
    </row>
    <row r="99" spans="1:33">
      <c r="A99" s="338" t="s">
        <v>6072</v>
      </c>
      <c r="B99" s="338" t="s">
        <v>6073</v>
      </c>
      <c r="C99" s="337">
        <v>1</v>
      </c>
      <c r="D99" s="338" t="s">
        <v>6074</v>
      </c>
      <c r="E99" s="338" t="s">
        <v>6075</v>
      </c>
      <c r="F99" s="337">
        <v>1</v>
      </c>
      <c r="G99" s="337">
        <v>1</v>
      </c>
      <c r="H99" s="338" t="s">
        <v>6075</v>
      </c>
      <c r="I99" s="338" t="s">
        <v>9548</v>
      </c>
      <c r="J99" s="338" t="s">
        <v>9550</v>
      </c>
      <c r="K99" s="338" t="s">
        <v>6076</v>
      </c>
      <c r="L99" s="338"/>
      <c r="M99" s="338" t="s">
        <v>6161</v>
      </c>
      <c r="N99" s="338" t="s">
        <v>8310</v>
      </c>
      <c r="O99" s="337">
        <v>0</v>
      </c>
      <c r="P99" s="337">
        <v>0</v>
      </c>
      <c r="Q99" s="338"/>
      <c r="R99" s="338" t="s">
        <v>14</v>
      </c>
      <c r="S99" s="338"/>
      <c r="T99" s="338" t="s">
        <v>7908</v>
      </c>
      <c r="U99" s="338" t="s">
        <v>6190</v>
      </c>
      <c r="V99" s="337">
        <v>0</v>
      </c>
      <c r="W99" s="337">
        <v>0</v>
      </c>
      <c r="X99" s="338"/>
      <c r="Y99" s="338" t="s">
        <v>6167</v>
      </c>
      <c r="Z99" s="338" t="s">
        <v>5825</v>
      </c>
      <c r="AA99" s="338" t="s">
        <v>6079</v>
      </c>
      <c r="AB99" s="338"/>
      <c r="AC99" s="338" t="s">
        <v>6189</v>
      </c>
      <c r="AD99" s="338"/>
      <c r="AF99" s="502" t="str">
        <f>Table15[[#This Row],[code2]]</f>
        <v>PHL</v>
      </c>
      <c r="AG99" s="502" t="str">
        <f>Table15[[#This Row],[code5]]</f>
        <v>BFLP</v>
      </c>
    </row>
    <row r="100" spans="1:33">
      <c r="A100" s="338" t="s">
        <v>6072</v>
      </c>
      <c r="B100" s="338" t="s">
        <v>6073</v>
      </c>
      <c r="C100" s="337">
        <v>1</v>
      </c>
      <c r="D100" s="338" t="s">
        <v>6074</v>
      </c>
      <c r="E100" s="338" t="s">
        <v>6075</v>
      </c>
      <c r="F100" s="337">
        <v>1</v>
      </c>
      <c r="G100" s="337">
        <v>1</v>
      </c>
      <c r="H100" s="338" t="s">
        <v>6075</v>
      </c>
      <c r="I100" s="338" t="s">
        <v>9548</v>
      </c>
      <c r="J100" s="338" t="s">
        <v>9550</v>
      </c>
      <c r="K100" s="338" t="s">
        <v>6076</v>
      </c>
      <c r="L100" s="338"/>
      <c r="M100" s="338" t="s">
        <v>6191</v>
      </c>
      <c r="N100" s="338" t="s">
        <v>8311</v>
      </c>
      <c r="O100" s="337">
        <v>0</v>
      </c>
      <c r="P100" s="337">
        <v>0</v>
      </c>
      <c r="Q100" s="338"/>
      <c r="R100" s="338" t="s">
        <v>14</v>
      </c>
      <c r="S100" s="338"/>
      <c r="T100" s="338"/>
      <c r="U100" s="338" t="s">
        <v>6192</v>
      </c>
      <c r="V100" s="337">
        <v>0</v>
      </c>
      <c r="W100" s="337">
        <v>0</v>
      </c>
      <c r="X100" s="338"/>
      <c r="Y100" s="338" t="s">
        <v>497</v>
      </c>
      <c r="Z100" s="338" t="s">
        <v>6589</v>
      </c>
      <c r="AA100" s="338" t="s">
        <v>6079</v>
      </c>
      <c r="AB100" s="338"/>
      <c r="AC100" s="338" t="s">
        <v>6193</v>
      </c>
      <c r="AD100" s="338"/>
      <c r="AF100" s="502" t="str">
        <f>Table15[[#This Row],[code2]]</f>
        <v>PHL</v>
      </c>
      <c r="AG100" s="502" t="str">
        <f>Table15[[#This Row],[code5]]</f>
        <v>PHLBFD</v>
      </c>
    </row>
    <row r="101" spans="1:33">
      <c r="A101" s="338" t="s">
        <v>6072</v>
      </c>
      <c r="B101" s="338" t="s">
        <v>6073</v>
      </c>
      <c r="C101" s="337">
        <v>1</v>
      </c>
      <c r="D101" s="338" t="s">
        <v>6074</v>
      </c>
      <c r="E101" s="338" t="s">
        <v>6075</v>
      </c>
      <c r="F101" s="337">
        <v>1</v>
      </c>
      <c r="G101" s="337">
        <v>1</v>
      </c>
      <c r="H101" s="338" t="s">
        <v>6075</v>
      </c>
      <c r="I101" s="338" t="s">
        <v>9548</v>
      </c>
      <c r="J101" s="338" t="s">
        <v>9550</v>
      </c>
      <c r="K101" s="338" t="s">
        <v>6076</v>
      </c>
      <c r="L101" s="338"/>
      <c r="M101" s="338" t="s">
        <v>6191</v>
      </c>
      <c r="N101" s="338" t="s">
        <v>8311</v>
      </c>
      <c r="O101" s="337">
        <v>0</v>
      </c>
      <c r="P101" s="337">
        <v>0</v>
      </c>
      <c r="Q101" s="338"/>
      <c r="R101" s="338" t="s">
        <v>14</v>
      </c>
      <c r="S101" s="338"/>
      <c r="T101" s="338"/>
      <c r="U101" s="338" t="s">
        <v>6194</v>
      </c>
      <c r="V101" s="337">
        <v>0</v>
      </c>
      <c r="W101" s="337">
        <v>0</v>
      </c>
      <c r="X101" s="338"/>
      <c r="Y101" s="338" t="s">
        <v>6081</v>
      </c>
      <c r="Z101" s="338" t="s">
        <v>8255</v>
      </c>
      <c r="AA101" s="338" t="s">
        <v>6079</v>
      </c>
      <c r="AB101" s="338"/>
      <c r="AC101" s="338" t="s">
        <v>6193</v>
      </c>
      <c r="AD101" s="338"/>
      <c r="AF101" s="502" t="str">
        <f>Table15[[#This Row],[code2]]</f>
        <v>PHL</v>
      </c>
      <c r="AG101" s="502" t="str">
        <f>Table15[[#This Row],[code5]]</f>
        <v>PHLBFD</v>
      </c>
    </row>
    <row r="102" spans="1:33">
      <c r="A102" s="338" t="s">
        <v>6072</v>
      </c>
      <c r="B102" s="338" t="s">
        <v>6073</v>
      </c>
      <c r="C102" s="337">
        <v>1</v>
      </c>
      <c r="D102" s="338" t="s">
        <v>6074</v>
      </c>
      <c r="E102" s="338" t="s">
        <v>6075</v>
      </c>
      <c r="F102" s="337">
        <v>1</v>
      </c>
      <c r="G102" s="337">
        <v>1</v>
      </c>
      <c r="H102" s="338" t="s">
        <v>6075</v>
      </c>
      <c r="I102" s="338" t="s">
        <v>9548</v>
      </c>
      <c r="J102" s="338" t="s">
        <v>9550</v>
      </c>
      <c r="K102" s="338" t="s">
        <v>6076</v>
      </c>
      <c r="L102" s="338"/>
      <c r="M102" s="338" t="s">
        <v>6191</v>
      </c>
      <c r="N102" s="338" t="s">
        <v>8311</v>
      </c>
      <c r="O102" s="337">
        <v>0</v>
      </c>
      <c r="P102" s="337">
        <v>0</v>
      </c>
      <c r="Q102" s="338"/>
      <c r="R102" s="338" t="s">
        <v>14</v>
      </c>
      <c r="S102" s="338"/>
      <c r="T102" s="338"/>
      <c r="U102" s="338" t="s">
        <v>6195</v>
      </c>
      <c r="V102" s="337">
        <v>0</v>
      </c>
      <c r="W102" s="337">
        <v>0</v>
      </c>
      <c r="X102" s="338"/>
      <c r="Y102" s="338" t="s">
        <v>493</v>
      </c>
      <c r="Z102" s="338" t="s">
        <v>8022</v>
      </c>
      <c r="AA102" s="338" t="s">
        <v>6079</v>
      </c>
      <c r="AB102" s="338"/>
      <c r="AC102" s="338" t="s">
        <v>6193</v>
      </c>
      <c r="AD102" s="338"/>
      <c r="AF102" s="502" t="str">
        <f>Table15[[#This Row],[code2]]</f>
        <v>PHL</v>
      </c>
      <c r="AG102" s="502" t="str">
        <f>Table15[[#This Row],[code5]]</f>
        <v>PHLBFD</v>
      </c>
    </row>
    <row r="103" spans="1:33">
      <c r="A103" s="338" t="s">
        <v>6072</v>
      </c>
      <c r="B103" s="338" t="s">
        <v>6073</v>
      </c>
      <c r="C103" s="337">
        <v>1</v>
      </c>
      <c r="D103" s="338" t="s">
        <v>6074</v>
      </c>
      <c r="E103" s="338" t="s">
        <v>6075</v>
      </c>
      <c r="F103" s="337">
        <v>1</v>
      </c>
      <c r="G103" s="337">
        <v>1</v>
      </c>
      <c r="H103" s="338" t="s">
        <v>6075</v>
      </c>
      <c r="I103" s="338" t="s">
        <v>9548</v>
      </c>
      <c r="J103" s="338" t="s">
        <v>9550</v>
      </c>
      <c r="K103" s="338" t="s">
        <v>6076</v>
      </c>
      <c r="L103" s="338"/>
      <c r="M103" s="338" t="s">
        <v>6191</v>
      </c>
      <c r="N103" s="338" t="s">
        <v>8311</v>
      </c>
      <c r="O103" s="337">
        <v>0</v>
      </c>
      <c r="P103" s="337">
        <v>0</v>
      </c>
      <c r="Q103" s="338"/>
      <c r="R103" s="338" t="s">
        <v>14</v>
      </c>
      <c r="S103" s="338"/>
      <c r="T103" s="338"/>
      <c r="U103" s="338" t="s">
        <v>6196</v>
      </c>
      <c r="V103" s="337">
        <v>0</v>
      </c>
      <c r="W103" s="337">
        <v>0</v>
      </c>
      <c r="X103" s="338"/>
      <c r="Y103" s="338" t="s">
        <v>6085</v>
      </c>
      <c r="Z103" s="338" t="s">
        <v>8256</v>
      </c>
      <c r="AA103" s="338" t="s">
        <v>6079</v>
      </c>
      <c r="AB103" s="338"/>
      <c r="AC103" s="338" t="s">
        <v>6193</v>
      </c>
      <c r="AD103" s="338"/>
      <c r="AF103" s="502" t="str">
        <f>Table15[[#This Row],[code2]]</f>
        <v>PHL</v>
      </c>
      <c r="AG103" s="502" t="str">
        <f>Table15[[#This Row],[code5]]</f>
        <v>PHLBFD</v>
      </c>
    </row>
    <row r="104" spans="1:33">
      <c r="A104" s="338" t="s">
        <v>6072</v>
      </c>
      <c r="B104" s="338" t="s">
        <v>6073</v>
      </c>
      <c r="C104" s="337">
        <v>1</v>
      </c>
      <c r="D104" s="338" t="s">
        <v>6074</v>
      </c>
      <c r="E104" s="338" t="s">
        <v>6075</v>
      </c>
      <c r="F104" s="337">
        <v>1</v>
      </c>
      <c r="G104" s="337">
        <v>1</v>
      </c>
      <c r="H104" s="338" t="s">
        <v>6075</v>
      </c>
      <c r="I104" s="338" t="s">
        <v>9548</v>
      </c>
      <c r="J104" s="338" t="s">
        <v>9550</v>
      </c>
      <c r="K104" s="338" t="s">
        <v>6076</v>
      </c>
      <c r="L104" s="338"/>
      <c r="M104" s="338" t="s">
        <v>6191</v>
      </c>
      <c r="N104" s="338" t="s">
        <v>8311</v>
      </c>
      <c r="O104" s="337">
        <v>0</v>
      </c>
      <c r="P104" s="337">
        <v>0</v>
      </c>
      <c r="Q104" s="338"/>
      <c r="R104" s="338" t="s">
        <v>14</v>
      </c>
      <c r="S104" s="338"/>
      <c r="T104" s="338"/>
      <c r="U104" s="338" t="s">
        <v>6197</v>
      </c>
      <c r="V104" s="337">
        <v>0</v>
      </c>
      <c r="W104" s="337">
        <v>0</v>
      </c>
      <c r="X104" s="338"/>
      <c r="Y104" s="338" t="s">
        <v>497</v>
      </c>
      <c r="Z104" s="338" t="s">
        <v>6596</v>
      </c>
      <c r="AA104" s="338" t="s">
        <v>6079</v>
      </c>
      <c r="AB104" s="338"/>
      <c r="AC104" s="338" t="s">
        <v>6198</v>
      </c>
      <c r="AD104" s="338"/>
      <c r="AF104" s="502" t="str">
        <f>Table15[[#This Row],[code2]]</f>
        <v>PHL</v>
      </c>
      <c r="AG104" s="502" t="str">
        <f>Table15[[#This Row],[code5]]</f>
        <v>PHLBFD</v>
      </c>
    </row>
    <row r="105" spans="1:33">
      <c r="A105" s="338" t="s">
        <v>6072</v>
      </c>
      <c r="B105" s="338" t="s">
        <v>6073</v>
      </c>
      <c r="C105" s="337">
        <v>1</v>
      </c>
      <c r="D105" s="338" t="s">
        <v>6074</v>
      </c>
      <c r="E105" s="338" t="s">
        <v>6075</v>
      </c>
      <c r="F105" s="337">
        <v>1</v>
      </c>
      <c r="G105" s="337">
        <v>1</v>
      </c>
      <c r="H105" s="338" t="s">
        <v>6075</v>
      </c>
      <c r="I105" s="338" t="s">
        <v>9548</v>
      </c>
      <c r="J105" s="338" t="s">
        <v>9550</v>
      </c>
      <c r="K105" s="338" t="s">
        <v>6076</v>
      </c>
      <c r="L105" s="338"/>
      <c r="M105" s="338" t="s">
        <v>6191</v>
      </c>
      <c r="N105" s="338" t="s">
        <v>8311</v>
      </c>
      <c r="O105" s="337">
        <v>0</v>
      </c>
      <c r="P105" s="337">
        <v>0</v>
      </c>
      <c r="Q105" s="338"/>
      <c r="R105" s="338" t="s">
        <v>14</v>
      </c>
      <c r="S105" s="338"/>
      <c r="T105" s="338"/>
      <c r="U105" s="338" t="s">
        <v>6199</v>
      </c>
      <c r="V105" s="337">
        <v>0</v>
      </c>
      <c r="W105" s="337">
        <v>0</v>
      </c>
      <c r="X105" s="338"/>
      <c r="Y105" s="338" t="s">
        <v>6081</v>
      </c>
      <c r="Z105" s="338" t="s">
        <v>8257</v>
      </c>
      <c r="AA105" s="338" t="s">
        <v>6079</v>
      </c>
      <c r="AB105" s="338"/>
      <c r="AC105" s="338" t="s">
        <v>6198</v>
      </c>
      <c r="AD105" s="338"/>
      <c r="AF105" s="502" t="str">
        <f>Table15[[#This Row],[code2]]</f>
        <v>PHL</v>
      </c>
      <c r="AG105" s="502" t="str">
        <f>Table15[[#This Row],[code5]]</f>
        <v>PHLBFD</v>
      </c>
    </row>
    <row r="106" spans="1:33">
      <c r="A106" s="338" t="s">
        <v>6072</v>
      </c>
      <c r="B106" s="338" t="s">
        <v>6073</v>
      </c>
      <c r="C106" s="337">
        <v>1</v>
      </c>
      <c r="D106" s="338" t="s">
        <v>6074</v>
      </c>
      <c r="E106" s="338" t="s">
        <v>6075</v>
      </c>
      <c r="F106" s="337">
        <v>1</v>
      </c>
      <c r="G106" s="337">
        <v>1</v>
      </c>
      <c r="H106" s="338" t="s">
        <v>6075</v>
      </c>
      <c r="I106" s="338" t="s">
        <v>9548</v>
      </c>
      <c r="J106" s="338" t="s">
        <v>9550</v>
      </c>
      <c r="K106" s="338" t="s">
        <v>6076</v>
      </c>
      <c r="L106" s="338"/>
      <c r="M106" s="338" t="s">
        <v>6191</v>
      </c>
      <c r="N106" s="338" t="s">
        <v>8311</v>
      </c>
      <c r="O106" s="337">
        <v>0</v>
      </c>
      <c r="P106" s="337">
        <v>0</v>
      </c>
      <c r="Q106" s="338"/>
      <c r="R106" s="338" t="s">
        <v>14</v>
      </c>
      <c r="S106" s="338"/>
      <c r="T106" s="338"/>
      <c r="U106" s="338" t="s">
        <v>6200</v>
      </c>
      <c r="V106" s="337">
        <v>0</v>
      </c>
      <c r="W106" s="337">
        <v>0</v>
      </c>
      <c r="X106" s="338"/>
      <c r="Y106" s="338" t="s">
        <v>493</v>
      </c>
      <c r="Z106" s="338" t="s">
        <v>7925</v>
      </c>
      <c r="AA106" s="338" t="s">
        <v>6079</v>
      </c>
      <c r="AB106" s="338"/>
      <c r="AC106" s="338" t="s">
        <v>6198</v>
      </c>
      <c r="AD106" s="338"/>
      <c r="AF106" s="502" t="str">
        <f>Table15[[#This Row],[code2]]</f>
        <v>PHL</v>
      </c>
      <c r="AG106" s="502" t="str">
        <f>Table15[[#This Row],[code5]]</f>
        <v>PHLBFD</v>
      </c>
    </row>
    <row r="107" spans="1:33">
      <c r="A107" s="338" t="s">
        <v>6072</v>
      </c>
      <c r="B107" s="338" t="s">
        <v>6073</v>
      </c>
      <c r="C107" s="337">
        <v>1</v>
      </c>
      <c r="D107" s="338" t="s">
        <v>6074</v>
      </c>
      <c r="E107" s="338" t="s">
        <v>6075</v>
      </c>
      <c r="F107" s="337">
        <v>1</v>
      </c>
      <c r="G107" s="337">
        <v>1</v>
      </c>
      <c r="H107" s="338" t="s">
        <v>6075</v>
      </c>
      <c r="I107" s="338" t="s">
        <v>9548</v>
      </c>
      <c r="J107" s="338" t="s">
        <v>9550</v>
      </c>
      <c r="K107" s="338" t="s">
        <v>6076</v>
      </c>
      <c r="L107" s="338"/>
      <c r="M107" s="338" t="s">
        <v>6191</v>
      </c>
      <c r="N107" s="338" t="s">
        <v>8311</v>
      </c>
      <c r="O107" s="337">
        <v>0</v>
      </c>
      <c r="P107" s="337">
        <v>0</v>
      </c>
      <c r="Q107" s="338"/>
      <c r="R107" s="338" t="s">
        <v>14</v>
      </c>
      <c r="S107" s="338"/>
      <c r="T107" s="338"/>
      <c r="U107" s="338" t="s">
        <v>6201</v>
      </c>
      <c r="V107" s="337">
        <v>0</v>
      </c>
      <c r="W107" s="337">
        <v>0</v>
      </c>
      <c r="X107" s="338"/>
      <c r="Y107" s="338" t="s">
        <v>6085</v>
      </c>
      <c r="Z107" s="338" t="s">
        <v>7742</v>
      </c>
      <c r="AA107" s="338" t="s">
        <v>6079</v>
      </c>
      <c r="AB107" s="338"/>
      <c r="AC107" s="338" t="s">
        <v>6198</v>
      </c>
      <c r="AD107" s="338"/>
      <c r="AF107" s="502" t="str">
        <f>Table15[[#This Row],[code2]]</f>
        <v>PHL</v>
      </c>
      <c r="AG107" s="502" t="str">
        <f>Table15[[#This Row],[code5]]</f>
        <v>PHLBFD</v>
      </c>
    </row>
    <row r="108" spans="1:33">
      <c r="A108" s="338" t="s">
        <v>6072</v>
      </c>
      <c r="B108" s="338" t="s">
        <v>6073</v>
      </c>
      <c r="C108" s="337">
        <v>1</v>
      </c>
      <c r="D108" s="338" t="s">
        <v>6074</v>
      </c>
      <c r="E108" s="338" t="s">
        <v>6075</v>
      </c>
      <c r="F108" s="337">
        <v>1</v>
      </c>
      <c r="G108" s="337">
        <v>1</v>
      </c>
      <c r="H108" s="338" t="s">
        <v>6075</v>
      </c>
      <c r="I108" s="338" t="s">
        <v>9548</v>
      </c>
      <c r="J108" s="338" t="s">
        <v>9550</v>
      </c>
      <c r="K108" s="338" t="s">
        <v>6076</v>
      </c>
      <c r="L108" s="338"/>
      <c r="M108" s="338" t="s">
        <v>6191</v>
      </c>
      <c r="N108" s="338" t="s">
        <v>8311</v>
      </c>
      <c r="O108" s="337">
        <v>0</v>
      </c>
      <c r="P108" s="337">
        <v>0</v>
      </c>
      <c r="Q108" s="338"/>
      <c r="R108" s="338" t="s">
        <v>14</v>
      </c>
      <c r="S108" s="338"/>
      <c r="T108" s="338"/>
      <c r="U108" s="338" t="s">
        <v>6202</v>
      </c>
      <c r="V108" s="337">
        <v>0</v>
      </c>
      <c r="W108" s="337">
        <v>0</v>
      </c>
      <c r="X108" s="338"/>
      <c r="Y108" s="338" t="s">
        <v>497</v>
      </c>
      <c r="Z108" s="338" t="s">
        <v>6602</v>
      </c>
      <c r="AA108" s="338" t="s">
        <v>6079</v>
      </c>
      <c r="AB108" s="338"/>
      <c r="AC108" s="338" t="s">
        <v>6203</v>
      </c>
      <c r="AD108" s="338"/>
      <c r="AF108" s="502" t="str">
        <f>Table15[[#This Row],[code2]]</f>
        <v>PHL</v>
      </c>
      <c r="AG108" s="502" t="str">
        <f>Table15[[#This Row],[code5]]</f>
        <v>PHLBFD</v>
      </c>
    </row>
    <row r="109" spans="1:33">
      <c r="A109" s="338" t="s">
        <v>6072</v>
      </c>
      <c r="B109" s="338" t="s">
        <v>6073</v>
      </c>
      <c r="C109" s="337">
        <v>1</v>
      </c>
      <c r="D109" s="338" t="s">
        <v>6074</v>
      </c>
      <c r="E109" s="338" t="s">
        <v>6075</v>
      </c>
      <c r="F109" s="337">
        <v>1</v>
      </c>
      <c r="G109" s="337">
        <v>1</v>
      </c>
      <c r="H109" s="338" t="s">
        <v>6075</v>
      </c>
      <c r="I109" s="338" t="s">
        <v>9548</v>
      </c>
      <c r="J109" s="338" t="s">
        <v>9550</v>
      </c>
      <c r="K109" s="338" t="s">
        <v>6076</v>
      </c>
      <c r="L109" s="338"/>
      <c r="M109" s="338" t="s">
        <v>6191</v>
      </c>
      <c r="N109" s="338" t="s">
        <v>8311</v>
      </c>
      <c r="O109" s="337">
        <v>0</v>
      </c>
      <c r="P109" s="337">
        <v>0</v>
      </c>
      <c r="Q109" s="338"/>
      <c r="R109" s="338" t="s">
        <v>14</v>
      </c>
      <c r="S109" s="338"/>
      <c r="T109" s="338"/>
      <c r="U109" s="338" t="s">
        <v>6204</v>
      </c>
      <c r="V109" s="337">
        <v>0</v>
      </c>
      <c r="W109" s="337">
        <v>0</v>
      </c>
      <c r="X109" s="338"/>
      <c r="Y109" s="338" t="s">
        <v>6081</v>
      </c>
      <c r="Z109" s="338" t="s">
        <v>6086</v>
      </c>
      <c r="AA109" s="338" t="s">
        <v>6079</v>
      </c>
      <c r="AB109" s="338"/>
      <c r="AC109" s="338" t="s">
        <v>6203</v>
      </c>
      <c r="AD109" s="338"/>
      <c r="AF109" s="502" t="str">
        <f>Table15[[#This Row],[code2]]</f>
        <v>PHL</v>
      </c>
      <c r="AG109" s="502" t="str">
        <f>Table15[[#This Row],[code5]]</f>
        <v>PHLBFD</v>
      </c>
    </row>
    <row r="110" spans="1:33">
      <c r="A110" s="338" t="s">
        <v>6072</v>
      </c>
      <c r="B110" s="338" t="s">
        <v>6073</v>
      </c>
      <c r="C110" s="337">
        <v>1</v>
      </c>
      <c r="D110" s="338" t="s">
        <v>6074</v>
      </c>
      <c r="E110" s="338" t="s">
        <v>6075</v>
      </c>
      <c r="F110" s="337">
        <v>1</v>
      </c>
      <c r="G110" s="337">
        <v>1</v>
      </c>
      <c r="H110" s="338" t="s">
        <v>6075</v>
      </c>
      <c r="I110" s="338" t="s">
        <v>9548</v>
      </c>
      <c r="J110" s="338" t="s">
        <v>9550</v>
      </c>
      <c r="K110" s="338" t="s">
        <v>6076</v>
      </c>
      <c r="L110" s="338"/>
      <c r="M110" s="338" t="s">
        <v>6191</v>
      </c>
      <c r="N110" s="338" t="s">
        <v>8311</v>
      </c>
      <c r="O110" s="337">
        <v>0</v>
      </c>
      <c r="P110" s="337">
        <v>0</v>
      </c>
      <c r="Q110" s="338"/>
      <c r="R110" s="338" t="s">
        <v>14</v>
      </c>
      <c r="S110" s="338"/>
      <c r="T110" s="338"/>
      <c r="U110" s="338" t="s">
        <v>6205</v>
      </c>
      <c r="V110" s="337">
        <v>0</v>
      </c>
      <c r="W110" s="337">
        <v>0</v>
      </c>
      <c r="X110" s="338"/>
      <c r="Y110" s="338" t="s">
        <v>493</v>
      </c>
      <c r="Z110" s="338" t="s">
        <v>6522</v>
      </c>
      <c r="AA110" s="338" t="s">
        <v>6079</v>
      </c>
      <c r="AB110" s="338"/>
      <c r="AC110" s="338" t="s">
        <v>6203</v>
      </c>
      <c r="AD110" s="338"/>
      <c r="AF110" s="502" t="str">
        <f>Table15[[#This Row],[code2]]</f>
        <v>PHL</v>
      </c>
      <c r="AG110" s="502" t="str">
        <f>Table15[[#This Row],[code5]]</f>
        <v>PHLBFD</v>
      </c>
    </row>
    <row r="111" spans="1:33">
      <c r="A111" s="338" t="s">
        <v>6072</v>
      </c>
      <c r="B111" s="338" t="s">
        <v>6073</v>
      </c>
      <c r="C111" s="337">
        <v>1</v>
      </c>
      <c r="D111" s="338" t="s">
        <v>6074</v>
      </c>
      <c r="E111" s="338" t="s">
        <v>6075</v>
      </c>
      <c r="F111" s="337">
        <v>1</v>
      </c>
      <c r="G111" s="337">
        <v>1</v>
      </c>
      <c r="H111" s="338" t="s">
        <v>6075</v>
      </c>
      <c r="I111" s="338" t="s">
        <v>9548</v>
      </c>
      <c r="J111" s="338" t="s">
        <v>9550</v>
      </c>
      <c r="K111" s="338" t="s">
        <v>6076</v>
      </c>
      <c r="L111" s="338"/>
      <c r="M111" s="338" t="s">
        <v>6191</v>
      </c>
      <c r="N111" s="338" t="s">
        <v>8311</v>
      </c>
      <c r="O111" s="337">
        <v>0</v>
      </c>
      <c r="P111" s="337">
        <v>0</v>
      </c>
      <c r="Q111" s="338"/>
      <c r="R111" s="338" t="s">
        <v>14</v>
      </c>
      <c r="S111" s="338"/>
      <c r="T111" s="338"/>
      <c r="U111" s="338" t="s">
        <v>6206</v>
      </c>
      <c r="V111" s="337">
        <v>0</v>
      </c>
      <c r="W111" s="337">
        <v>0</v>
      </c>
      <c r="X111" s="338"/>
      <c r="Y111" s="338" t="s">
        <v>6085</v>
      </c>
      <c r="Z111" s="338" t="s">
        <v>8258</v>
      </c>
      <c r="AA111" s="338" t="s">
        <v>6079</v>
      </c>
      <c r="AB111" s="338"/>
      <c r="AC111" s="338" t="s">
        <v>6203</v>
      </c>
      <c r="AD111" s="338"/>
      <c r="AF111" s="502" t="str">
        <f>Table15[[#This Row],[code2]]</f>
        <v>PHL</v>
      </c>
      <c r="AG111" s="502" t="str">
        <f>Table15[[#This Row],[code5]]</f>
        <v>PHLBFD</v>
      </c>
    </row>
    <row r="112" spans="1:33">
      <c r="A112" s="338" t="s">
        <v>6072</v>
      </c>
      <c r="B112" s="338" t="s">
        <v>6073</v>
      </c>
      <c r="C112" s="337">
        <v>1</v>
      </c>
      <c r="D112" s="338" t="s">
        <v>6074</v>
      </c>
      <c r="E112" s="338" t="s">
        <v>6075</v>
      </c>
      <c r="F112" s="337">
        <v>1</v>
      </c>
      <c r="G112" s="337">
        <v>1</v>
      </c>
      <c r="H112" s="338" t="s">
        <v>6075</v>
      </c>
      <c r="I112" s="338" t="s">
        <v>9548</v>
      </c>
      <c r="J112" s="338" t="s">
        <v>9550</v>
      </c>
      <c r="K112" s="338" t="s">
        <v>6076</v>
      </c>
      <c r="L112" s="338"/>
      <c r="M112" s="338" t="s">
        <v>6191</v>
      </c>
      <c r="N112" s="338" t="s">
        <v>8311</v>
      </c>
      <c r="O112" s="337">
        <v>0</v>
      </c>
      <c r="P112" s="337">
        <v>0</v>
      </c>
      <c r="Q112" s="338"/>
      <c r="R112" s="338" t="s">
        <v>14</v>
      </c>
      <c r="S112" s="338"/>
      <c r="T112" s="338"/>
      <c r="U112" s="338" t="s">
        <v>6207</v>
      </c>
      <c r="V112" s="337">
        <v>0</v>
      </c>
      <c r="W112" s="337">
        <v>0</v>
      </c>
      <c r="X112" s="338"/>
      <c r="Y112" s="338" t="s">
        <v>497</v>
      </c>
      <c r="Z112" s="338" t="s">
        <v>6591</v>
      </c>
      <c r="AA112" s="338" t="s">
        <v>6079</v>
      </c>
      <c r="AB112" s="338"/>
      <c r="AC112" s="338" t="s">
        <v>6208</v>
      </c>
      <c r="AD112" s="338"/>
      <c r="AF112" s="502" t="str">
        <f>Table15[[#This Row],[code2]]</f>
        <v>PHL</v>
      </c>
      <c r="AG112" s="502" t="str">
        <f>Table15[[#This Row],[code5]]</f>
        <v>PHLBFD</v>
      </c>
    </row>
    <row r="113" spans="1:41">
      <c r="A113" s="338" t="s">
        <v>6072</v>
      </c>
      <c r="B113" s="338" t="s">
        <v>6073</v>
      </c>
      <c r="C113" s="337">
        <v>1</v>
      </c>
      <c r="D113" s="338" t="s">
        <v>6074</v>
      </c>
      <c r="E113" s="338" t="s">
        <v>6075</v>
      </c>
      <c r="F113" s="337">
        <v>1</v>
      </c>
      <c r="G113" s="337">
        <v>1</v>
      </c>
      <c r="H113" s="338" t="s">
        <v>6075</v>
      </c>
      <c r="I113" s="338" t="s">
        <v>9548</v>
      </c>
      <c r="J113" s="338" t="s">
        <v>9550</v>
      </c>
      <c r="K113" s="338" t="s">
        <v>6076</v>
      </c>
      <c r="L113" s="338"/>
      <c r="M113" s="338" t="s">
        <v>6191</v>
      </c>
      <c r="N113" s="338" t="s">
        <v>8311</v>
      </c>
      <c r="O113" s="337">
        <v>0</v>
      </c>
      <c r="P113" s="337">
        <v>0</v>
      </c>
      <c r="Q113" s="338"/>
      <c r="R113" s="338" t="s">
        <v>14</v>
      </c>
      <c r="S113" s="338"/>
      <c r="T113" s="338"/>
      <c r="U113" s="338" t="s">
        <v>6209</v>
      </c>
      <c r="V113" s="337">
        <v>0</v>
      </c>
      <c r="W113" s="337">
        <v>0</v>
      </c>
      <c r="X113" s="338"/>
      <c r="Y113" s="338" t="s">
        <v>6081</v>
      </c>
      <c r="Z113" s="338" t="s">
        <v>6606</v>
      </c>
      <c r="AA113" s="338" t="s">
        <v>6079</v>
      </c>
      <c r="AB113" s="338"/>
      <c r="AC113" s="338" t="s">
        <v>6208</v>
      </c>
      <c r="AD113" s="338"/>
      <c r="AF113" s="502" t="str">
        <f>Table15[[#This Row],[code2]]</f>
        <v>PHL</v>
      </c>
      <c r="AG113" s="502" t="str">
        <f>Table15[[#This Row],[code5]]</f>
        <v>PHLBFD</v>
      </c>
    </row>
    <row r="114" spans="1:41">
      <c r="A114" s="338" t="s">
        <v>6072</v>
      </c>
      <c r="B114" s="338" t="s">
        <v>6073</v>
      </c>
      <c r="C114" s="337">
        <v>1</v>
      </c>
      <c r="D114" s="338" t="s">
        <v>6074</v>
      </c>
      <c r="E114" s="338" t="s">
        <v>6075</v>
      </c>
      <c r="F114" s="337">
        <v>1</v>
      </c>
      <c r="G114" s="337">
        <v>1</v>
      </c>
      <c r="H114" s="338" t="s">
        <v>6075</v>
      </c>
      <c r="I114" s="338" t="s">
        <v>9548</v>
      </c>
      <c r="J114" s="338" t="s">
        <v>9550</v>
      </c>
      <c r="K114" s="338" t="s">
        <v>6076</v>
      </c>
      <c r="L114" s="338"/>
      <c r="M114" s="338" t="s">
        <v>6191</v>
      </c>
      <c r="N114" s="338" t="s">
        <v>8311</v>
      </c>
      <c r="O114" s="337">
        <v>0</v>
      </c>
      <c r="P114" s="337">
        <v>0</v>
      </c>
      <c r="Q114" s="338"/>
      <c r="R114" s="338" t="s">
        <v>14</v>
      </c>
      <c r="S114" s="338"/>
      <c r="T114" s="338"/>
      <c r="U114" s="338" t="s">
        <v>6210</v>
      </c>
      <c r="V114" s="337">
        <v>0</v>
      </c>
      <c r="W114" s="337">
        <v>0</v>
      </c>
      <c r="X114" s="338"/>
      <c r="Y114" s="338" t="s">
        <v>493</v>
      </c>
      <c r="Z114" s="338" t="s">
        <v>7926</v>
      </c>
      <c r="AA114" s="338" t="s">
        <v>6079</v>
      </c>
      <c r="AB114" s="338"/>
      <c r="AC114" s="338" t="s">
        <v>6208</v>
      </c>
      <c r="AD114" s="338"/>
      <c r="AF114" s="502" t="str">
        <f>Table15[[#This Row],[code2]]</f>
        <v>PHL</v>
      </c>
      <c r="AG114" s="502" t="str">
        <f>Table15[[#This Row],[code5]]</f>
        <v>PHLBFD</v>
      </c>
    </row>
    <row r="115" spans="1:41">
      <c r="A115" s="338" t="s">
        <v>6072</v>
      </c>
      <c r="B115" s="338" t="s">
        <v>6073</v>
      </c>
      <c r="C115" s="337">
        <v>1</v>
      </c>
      <c r="D115" s="338" t="s">
        <v>6074</v>
      </c>
      <c r="E115" s="338" t="s">
        <v>6075</v>
      </c>
      <c r="F115" s="337">
        <v>1</v>
      </c>
      <c r="G115" s="337">
        <v>1</v>
      </c>
      <c r="H115" s="338" t="s">
        <v>6075</v>
      </c>
      <c r="I115" s="338" t="s">
        <v>9548</v>
      </c>
      <c r="J115" s="338" t="s">
        <v>9550</v>
      </c>
      <c r="K115" s="338" t="s">
        <v>6076</v>
      </c>
      <c r="L115" s="338"/>
      <c r="M115" s="338" t="s">
        <v>6191</v>
      </c>
      <c r="N115" s="338" t="s">
        <v>8311</v>
      </c>
      <c r="O115" s="337">
        <v>0</v>
      </c>
      <c r="P115" s="337">
        <v>0</v>
      </c>
      <c r="Q115" s="338"/>
      <c r="R115" s="338" t="s">
        <v>14</v>
      </c>
      <c r="S115" s="338"/>
      <c r="T115" s="338"/>
      <c r="U115" s="338" t="s">
        <v>6211</v>
      </c>
      <c r="V115" s="337">
        <v>0</v>
      </c>
      <c r="W115" s="337">
        <v>0</v>
      </c>
      <c r="X115" s="338"/>
      <c r="Y115" s="338" t="s">
        <v>6085</v>
      </c>
      <c r="Z115" s="338" t="s">
        <v>8259</v>
      </c>
      <c r="AA115" s="338" t="s">
        <v>6079</v>
      </c>
      <c r="AB115" s="338"/>
      <c r="AC115" s="338" t="s">
        <v>6208</v>
      </c>
      <c r="AD115" s="338"/>
      <c r="AF115" s="502" t="str">
        <f>Table15[[#This Row],[code2]]</f>
        <v>PHL</v>
      </c>
      <c r="AG115" s="502" t="str">
        <f>Table15[[#This Row],[code5]]</f>
        <v>PHLBFD</v>
      </c>
    </row>
    <row r="116" spans="1:41">
      <c r="A116" s="338" t="s">
        <v>6072</v>
      </c>
      <c r="B116" s="338" t="s">
        <v>6073</v>
      </c>
      <c r="C116" s="337">
        <v>1</v>
      </c>
      <c r="D116" s="338" t="s">
        <v>6074</v>
      </c>
      <c r="E116" s="338" t="s">
        <v>6075</v>
      </c>
      <c r="F116" s="337">
        <v>1</v>
      </c>
      <c r="G116" s="337">
        <v>1</v>
      </c>
      <c r="H116" s="338" t="s">
        <v>6075</v>
      </c>
      <c r="I116" s="338" t="s">
        <v>9548</v>
      </c>
      <c r="J116" s="338" t="s">
        <v>9550</v>
      </c>
      <c r="K116" s="338" t="s">
        <v>6076</v>
      </c>
      <c r="L116" s="338"/>
      <c r="M116" s="338" t="s">
        <v>6191</v>
      </c>
      <c r="N116" s="338" t="s">
        <v>8311</v>
      </c>
      <c r="O116" s="337">
        <v>0</v>
      </c>
      <c r="P116" s="337">
        <v>0</v>
      </c>
      <c r="Q116" s="338"/>
      <c r="R116" s="338" t="s">
        <v>14</v>
      </c>
      <c r="S116" s="338"/>
      <c r="T116" s="338"/>
      <c r="U116" s="338" t="s">
        <v>6212</v>
      </c>
      <c r="V116" s="337">
        <v>0</v>
      </c>
      <c r="W116" s="337">
        <v>0</v>
      </c>
      <c r="X116" s="338"/>
      <c r="Y116" s="338" t="s">
        <v>497</v>
      </c>
      <c r="Z116" s="338" t="s">
        <v>6083</v>
      </c>
      <c r="AA116" s="338" t="s">
        <v>6079</v>
      </c>
      <c r="AB116" s="338"/>
      <c r="AC116" s="338" t="s">
        <v>6213</v>
      </c>
      <c r="AD116" s="338"/>
      <c r="AF116" s="502" t="str">
        <f>Table15[[#This Row],[code2]]</f>
        <v>PHL</v>
      </c>
      <c r="AG116" s="502" t="str">
        <f>Table15[[#This Row],[code5]]</f>
        <v>PHLBFD</v>
      </c>
    </row>
    <row r="117" spans="1:41">
      <c r="A117" s="338" t="s">
        <v>6072</v>
      </c>
      <c r="B117" s="338" t="s">
        <v>6073</v>
      </c>
      <c r="C117" s="337">
        <v>1</v>
      </c>
      <c r="D117" s="338" t="s">
        <v>6074</v>
      </c>
      <c r="E117" s="338" t="s">
        <v>6075</v>
      </c>
      <c r="F117" s="337">
        <v>1</v>
      </c>
      <c r="G117" s="337">
        <v>1</v>
      </c>
      <c r="H117" s="338" t="s">
        <v>6075</v>
      </c>
      <c r="I117" s="338" t="s">
        <v>9548</v>
      </c>
      <c r="J117" s="338" t="s">
        <v>9550</v>
      </c>
      <c r="K117" s="338" t="s">
        <v>6076</v>
      </c>
      <c r="L117" s="338"/>
      <c r="M117" s="338" t="s">
        <v>6191</v>
      </c>
      <c r="N117" s="338" t="s">
        <v>8311</v>
      </c>
      <c r="O117" s="337">
        <v>0</v>
      </c>
      <c r="P117" s="337">
        <v>0</v>
      </c>
      <c r="Q117" s="338"/>
      <c r="R117" s="338" t="s">
        <v>14</v>
      </c>
      <c r="S117" s="338"/>
      <c r="T117" s="338"/>
      <c r="U117" s="338" t="s">
        <v>6214</v>
      </c>
      <c r="V117" s="337">
        <v>0</v>
      </c>
      <c r="W117" s="337">
        <v>0</v>
      </c>
      <c r="X117" s="338"/>
      <c r="Y117" s="338" t="s">
        <v>6081</v>
      </c>
      <c r="Z117" s="338" t="s">
        <v>6593</v>
      </c>
      <c r="AA117" s="338" t="s">
        <v>6079</v>
      </c>
      <c r="AB117" s="338"/>
      <c r="AC117" s="338" t="s">
        <v>6213</v>
      </c>
      <c r="AD117" s="338"/>
      <c r="AF117" s="502" t="str">
        <f>Table15[[#This Row],[code2]]</f>
        <v>PHL</v>
      </c>
      <c r="AG117" s="502" t="str">
        <f>Table15[[#This Row],[code5]]</f>
        <v>PHLBFD</v>
      </c>
    </row>
    <row r="118" spans="1:41">
      <c r="A118" s="338" t="s">
        <v>6072</v>
      </c>
      <c r="B118" s="338" t="s">
        <v>6073</v>
      </c>
      <c r="C118" s="337">
        <v>1</v>
      </c>
      <c r="D118" s="338" t="s">
        <v>6074</v>
      </c>
      <c r="E118" s="338" t="s">
        <v>6075</v>
      </c>
      <c r="F118" s="337">
        <v>1</v>
      </c>
      <c r="G118" s="337">
        <v>1</v>
      </c>
      <c r="H118" s="338" t="s">
        <v>6075</v>
      </c>
      <c r="I118" s="338" t="s">
        <v>9548</v>
      </c>
      <c r="J118" s="338" t="s">
        <v>9550</v>
      </c>
      <c r="K118" s="338" t="s">
        <v>6076</v>
      </c>
      <c r="L118" s="338"/>
      <c r="M118" s="338" t="s">
        <v>6191</v>
      </c>
      <c r="N118" s="338" t="s">
        <v>8311</v>
      </c>
      <c r="O118" s="337">
        <v>0</v>
      </c>
      <c r="P118" s="337">
        <v>0</v>
      </c>
      <c r="Q118" s="338"/>
      <c r="R118" s="338" t="s">
        <v>14</v>
      </c>
      <c r="S118" s="338"/>
      <c r="T118" s="338"/>
      <c r="U118" s="338" t="s">
        <v>6215</v>
      </c>
      <c r="V118" s="337">
        <v>0</v>
      </c>
      <c r="W118" s="337">
        <v>0</v>
      </c>
      <c r="X118" s="338"/>
      <c r="Y118" s="338" t="s">
        <v>493</v>
      </c>
      <c r="Z118" s="338" t="s">
        <v>7971</v>
      </c>
      <c r="AA118" s="338" t="s">
        <v>6079</v>
      </c>
      <c r="AB118" s="338"/>
      <c r="AC118" s="338" t="s">
        <v>6213</v>
      </c>
      <c r="AD118" s="338"/>
      <c r="AF118" s="502" t="str">
        <f>Table15[[#This Row],[code2]]</f>
        <v>PHL</v>
      </c>
      <c r="AG118" s="502" t="str">
        <f>Table15[[#This Row],[code5]]</f>
        <v>PHLBFD</v>
      </c>
    </row>
    <row r="119" spans="1:41">
      <c r="A119" s="338" t="s">
        <v>6072</v>
      </c>
      <c r="B119" s="338" t="s">
        <v>6073</v>
      </c>
      <c r="C119" s="337">
        <v>1</v>
      </c>
      <c r="D119" s="338" t="s">
        <v>6074</v>
      </c>
      <c r="E119" s="338" t="s">
        <v>6075</v>
      </c>
      <c r="F119" s="337">
        <v>1</v>
      </c>
      <c r="G119" s="337">
        <v>1</v>
      </c>
      <c r="H119" s="338" t="s">
        <v>6075</v>
      </c>
      <c r="I119" s="338" t="s">
        <v>9548</v>
      </c>
      <c r="J119" s="338" t="s">
        <v>9550</v>
      </c>
      <c r="K119" s="338" t="s">
        <v>6076</v>
      </c>
      <c r="L119" s="338"/>
      <c r="M119" s="338" t="s">
        <v>6191</v>
      </c>
      <c r="N119" s="338" t="s">
        <v>8311</v>
      </c>
      <c r="O119" s="337">
        <v>0</v>
      </c>
      <c r="P119" s="337">
        <v>0</v>
      </c>
      <c r="Q119" s="338"/>
      <c r="R119" s="338" t="s">
        <v>14</v>
      </c>
      <c r="S119" s="338"/>
      <c r="T119" s="338"/>
      <c r="U119" s="338" t="s">
        <v>6216</v>
      </c>
      <c r="V119" s="337">
        <v>0</v>
      </c>
      <c r="W119" s="337">
        <v>0</v>
      </c>
      <c r="X119" s="338"/>
      <c r="Y119" s="338" t="s">
        <v>6085</v>
      </c>
      <c r="Z119" s="338" t="s">
        <v>7973</v>
      </c>
      <c r="AA119" s="338" t="s">
        <v>6079</v>
      </c>
      <c r="AB119" s="338"/>
      <c r="AC119" s="338" t="s">
        <v>6213</v>
      </c>
      <c r="AD119" s="338"/>
      <c r="AF119" s="502" t="str">
        <f>Table15[[#This Row],[code2]]</f>
        <v>PHL</v>
      </c>
      <c r="AG119" s="502" t="str">
        <f>Table15[[#This Row],[code5]]</f>
        <v>PHLBFD</v>
      </c>
    </row>
    <row r="120" spans="1:41">
      <c r="A120" s="338" t="s">
        <v>6072</v>
      </c>
      <c r="B120" s="338" t="s">
        <v>6073</v>
      </c>
      <c r="C120" s="337">
        <v>1</v>
      </c>
      <c r="D120" s="338" t="s">
        <v>6074</v>
      </c>
      <c r="E120" s="338" t="s">
        <v>6075</v>
      </c>
      <c r="F120" s="337">
        <v>1</v>
      </c>
      <c r="G120" s="337">
        <v>1</v>
      </c>
      <c r="H120" s="338" t="s">
        <v>6075</v>
      </c>
      <c r="I120" s="338" t="s">
        <v>9548</v>
      </c>
      <c r="J120" s="338" t="s">
        <v>9550</v>
      </c>
      <c r="K120" s="338" t="s">
        <v>6076</v>
      </c>
      <c r="L120" s="338"/>
      <c r="M120" s="338" t="s">
        <v>6217</v>
      </c>
      <c r="N120" s="338" t="s">
        <v>8312</v>
      </c>
      <c r="O120" s="337">
        <v>0</v>
      </c>
      <c r="P120" s="337">
        <v>0</v>
      </c>
      <c r="Q120" s="338"/>
      <c r="R120" s="338" t="s">
        <v>14</v>
      </c>
      <c r="S120" s="338"/>
      <c r="T120" s="338"/>
      <c r="U120" s="338" t="s">
        <v>6218</v>
      </c>
      <c r="V120" s="337">
        <v>0</v>
      </c>
      <c r="W120" s="337">
        <v>0</v>
      </c>
      <c r="X120" s="338"/>
      <c r="Y120" s="338" t="s">
        <v>497</v>
      </c>
      <c r="Z120" s="338" t="s">
        <v>6618</v>
      </c>
      <c r="AA120" s="338" t="s">
        <v>6079</v>
      </c>
      <c r="AB120" s="338"/>
      <c r="AC120" s="338" t="s">
        <v>6219</v>
      </c>
      <c r="AD120" s="338"/>
      <c r="AF120" s="502" t="str">
        <f>Table15[[#This Row],[code2]]</f>
        <v>PHL</v>
      </c>
      <c r="AG120" s="502" t="str">
        <f>Table15[[#This Row],[code5]]</f>
        <v>PHLBFDS</v>
      </c>
      <c r="AM120" s="337">
        <v>0</v>
      </c>
      <c r="AN120" s="337">
        <v>0</v>
      </c>
      <c r="AO120" s="337" t="b">
        <v>0</v>
      </c>
    </row>
    <row r="121" spans="1:41">
      <c r="A121" s="338" t="s">
        <v>6072</v>
      </c>
      <c r="B121" s="338" t="s">
        <v>6073</v>
      </c>
      <c r="C121" s="337">
        <v>1</v>
      </c>
      <c r="D121" s="338" t="s">
        <v>6074</v>
      </c>
      <c r="E121" s="338" t="s">
        <v>6075</v>
      </c>
      <c r="F121" s="337">
        <v>1</v>
      </c>
      <c r="G121" s="337">
        <v>1</v>
      </c>
      <c r="H121" s="338" t="s">
        <v>6075</v>
      </c>
      <c r="I121" s="338" t="s">
        <v>9548</v>
      </c>
      <c r="J121" s="338" t="s">
        <v>9550</v>
      </c>
      <c r="K121" s="338" t="s">
        <v>6076</v>
      </c>
      <c r="L121" s="338"/>
      <c r="M121" s="338" t="s">
        <v>6217</v>
      </c>
      <c r="N121" s="338" t="s">
        <v>8312</v>
      </c>
      <c r="O121" s="337">
        <v>0</v>
      </c>
      <c r="P121" s="337">
        <v>0</v>
      </c>
      <c r="Q121" s="338"/>
      <c r="R121" s="338" t="s">
        <v>14</v>
      </c>
      <c r="S121" s="338"/>
      <c r="T121" s="338"/>
      <c r="U121" s="338" t="s">
        <v>6220</v>
      </c>
      <c r="V121" s="337">
        <v>0</v>
      </c>
      <c r="W121" s="337">
        <v>0</v>
      </c>
      <c r="X121" s="338"/>
      <c r="Y121" s="338" t="s">
        <v>6081</v>
      </c>
      <c r="Z121" s="338" t="s">
        <v>6634</v>
      </c>
      <c r="AA121" s="338" t="s">
        <v>6079</v>
      </c>
      <c r="AB121" s="338"/>
      <c r="AC121" s="338" t="s">
        <v>6219</v>
      </c>
      <c r="AD121" s="338"/>
      <c r="AF121" s="502" t="str">
        <f>Table15[[#This Row],[code2]]</f>
        <v>PHL</v>
      </c>
      <c r="AG121" s="502" t="str">
        <f>Table15[[#This Row],[code5]]</f>
        <v>PHLBFDS</v>
      </c>
    </row>
    <row r="122" spans="1:41">
      <c r="A122" s="338" t="s">
        <v>6072</v>
      </c>
      <c r="B122" s="338" t="s">
        <v>6073</v>
      </c>
      <c r="C122" s="337">
        <v>1</v>
      </c>
      <c r="D122" s="338" t="s">
        <v>6074</v>
      </c>
      <c r="E122" s="338" t="s">
        <v>6075</v>
      </c>
      <c r="F122" s="337">
        <v>1</v>
      </c>
      <c r="G122" s="337">
        <v>1</v>
      </c>
      <c r="H122" s="338" t="s">
        <v>6075</v>
      </c>
      <c r="I122" s="338" t="s">
        <v>9548</v>
      </c>
      <c r="J122" s="338" t="s">
        <v>9550</v>
      </c>
      <c r="K122" s="338" t="s">
        <v>6076</v>
      </c>
      <c r="L122" s="338"/>
      <c r="M122" s="338" t="s">
        <v>6217</v>
      </c>
      <c r="N122" s="338" t="s">
        <v>8312</v>
      </c>
      <c r="O122" s="337">
        <v>0</v>
      </c>
      <c r="P122" s="337">
        <v>0</v>
      </c>
      <c r="Q122" s="338"/>
      <c r="R122" s="338" t="s">
        <v>14</v>
      </c>
      <c r="S122" s="338"/>
      <c r="T122" s="338"/>
      <c r="U122" s="338" t="s">
        <v>6221</v>
      </c>
      <c r="V122" s="337">
        <v>0</v>
      </c>
      <c r="W122" s="337">
        <v>0</v>
      </c>
      <c r="X122" s="338"/>
      <c r="Y122" s="338" t="s">
        <v>493</v>
      </c>
      <c r="Z122" s="338" t="s">
        <v>7924</v>
      </c>
      <c r="AA122" s="338" t="s">
        <v>6079</v>
      </c>
      <c r="AB122" s="338"/>
      <c r="AC122" s="338" t="s">
        <v>6219</v>
      </c>
      <c r="AD122" s="338"/>
      <c r="AF122" s="502" t="str">
        <f>Table15[[#This Row],[code2]]</f>
        <v>PHL</v>
      </c>
      <c r="AG122" s="502" t="str">
        <f>Table15[[#This Row],[code5]]</f>
        <v>PHLBFDS</v>
      </c>
    </row>
    <row r="123" spans="1:41">
      <c r="A123" s="338" t="s">
        <v>6072</v>
      </c>
      <c r="B123" s="338" t="s">
        <v>6073</v>
      </c>
      <c r="C123" s="337">
        <v>1</v>
      </c>
      <c r="D123" s="338" t="s">
        <v>6074</v>
      </c>
      <c r="E123" s="338" t="s">
        <v>6075</v>
      </c>
      <c r="F123" s="337">
        <v>1</v>
      </c>
      <c r="G123" s="337">
        <v>1</v>
      </c>
      <c r="H123" s="338" t="s">
        <v>6075</v>
      </c>
      <c r="I123" s="338" t="s">
        <v>9548</v>
      </c>
      <c r="J123" s="338" t="s">
        <v>9550</v>
      </c>
      <c r="K123" s="338" t="s">
        <v>6076</v>
      </c>
      <c r="L123" s="338"/>
      <c r="M123" s="338" t="s">
        <v>6217</v>
      </c>
      <c r="N123" s="338" t="s">
        <v>8312</v>
      </c>
      <c r="O123" s="337">
        <v>0</v>
      </c>
      <c r="P123" s="337">
        <v>0</v>
      </c>
      <c r="Q123" s="338"/>
      <c r="R123" s="338" t="s">
        <v>14</v>
      </c>
      <c r="S123" s="338"/>
      <c r="T123" s="338"/>
      <c r="U123" s="338" t="s">
        <v>6222</v>
      </c>
      <c r="V123" s="337">
        <v>0</v>
      </c>
      <c r="W123" s="337">
        <v>0</v>
      </c>
      <c r="X123" s="338"/>
      <c r="Y123" s="338" t="s">
        <v>6085</v>
      </c>
      <c r="Z123" s="338" t="s">
        <v>8260</v>
      </c>
      <c r="AA123" s="338" t="s">
        <v>6079</v>
      </c>
      <c r="AB123" s="338"/>
      <c r="AC123" s="338" t="s">
        <v>6219</v>
      </c>
      <c r="AD123" s="338"/>
      <c r="AF123" s="502" t="str">
        <f>Table15[[#This Row],[code2]]</f>
        <v>PHL</v>
      </c>
      <c r="AG123" s="502" t="str">
        <f>Table15[[#This Row],[code5]]</f>
        <v>PHLBFDS</v>
      </c>
    </row>
    <row r="124" spans="1:41">
      <c r="A124" s="338" t="s">
        <v>6072</v>
      </c>
      <c r="B124" s="338" t="s">
        <v>6073</v>
      </c>
      <c r="C124" s="337">
        <v>1</v>
      </c>
      <c r="D124" s="338" t="s">
        <v>6074</v>
      </c>
      <c r="E124" s="338" t="s">
        <v>6075</v>
      </c>
      <c r="F124" s="337">
        <v>1</v>
      </c>
      <c r="G124" s="337">
        <v>1</v>
      </c>
      <c r="H124" s="338" t="s">
        <v>6075</v>
      </c>
      <c r="I124" s="338" t="s">
        <v>9548</v>
      </c>
      <c r="J124" s="338" t="s">
        <v>9550</v>
      </c>
      <c r="K124" s="338" t="s">
        <v>6076</v>
      </c>
      <c r="L124" s="338"/>
      <c r="M124" s="338" t="s">
        <v>6217</v>
      </c>
      <c r="N124" s="338" t="s">
        <v>8312</v>
      </c>
      <c r="O124" s="337">
        <v>0</v>
      </c>
      <c r="P124" s="337">
        <v>0</v>
      </c>
      <c r="Q124" s="338"/>
      <c r="R124" s="338" t="s">
        <v>14</v>
      </c>
      <c r="S124" s="338"/>
      <c r="T124" s="338"/>
      <c r="U124" s="338" t="s">
        <v>6223</v>
      </c>
      <c r="V124" s="337">
        <v>0</v>
      </c>
      <c r="W124" s="337">
        <v>0</v>
      </c>
      <c r="X124" s="338"/>
      <c r="Y124" s="338" t="s">
        <v>497</v>
      </c>
      <c r="Z124" s="338" t="s">
        <v>6598</v>
      </c>
      <c r="AA124" s="338" t="s">
        <v>6079</v>
      </c>
      <c r="AB124" s="338"/>
      <c r="AC124" s="338" t="s">
        <v>6224</v>
      </c>
      <c r="AD124" s="338"/>
      <c r="AF124" s="502" t="str">
        <f>Table15[[#This Row],[code2]]</f>
        <v>PHL</v>
      </c>
      <c r="AG124" s="502" t="str">
        <f>Table15[[#This Row],[code5]]</f>
        <v>PHLBFDS</v>
      </c>
    </row>
    <row r="125" spans="1:41">
      <c r="A125" s="338" t="s">
        <v>6072</v>
      </c>
      <c r="B125" s="338" t="s">
        <v>6073</v>
      </c>
      <c r="C125" s="337">
        <v>1</v>
      </c>
      <c r="D125" s="338" t="s">
        <v>6074</v>
      </c>
      <c r="E125" s="338" t="s">
        <v>6075</v>
      </c>
      <c r="F125" s="337">
        <v>1</v>
      </c>
      <c r="G125" s="337">
        <v>1</v>
      </c>
      <c r="H125" s="338" t="s">
        <v>6075</v>
      </c>
      <c r="I125" s="338" t="s">
        <v>9548</v>
      </c>
      <c r="J125" s="338" t="s">
        <v>9550</v>
      </c>
      <c r="K125" s="338" t="s">
        <v>6076</v>
      </c>
      <c r="L125" s="338"/>
      <c r="M125" s="338" t="s">
        <v>6217</v>
      </c>
      <c r="N125" s="338" t="s">
        <v>8312</v>
      </c>
      <c r="O125" s="337">
        <v>0</v>
      </c>
      <c r="P125" s="337">
        <v>0</v>
      </c>
      <c r="Q125" s="338"/>
      <c r="R125" s="338" t="s">
        <v>14</v>
      </c>
      <c r="S125" s="338"/>
      <c r="T125" s="338"/>
      <c r="U125" s="338" t="s">
        <v>6225</v>
      </c>
      <c r="V125" s="337">
        <v>0</v>
      </c>
      <c r="W125" s="337">
        <v>0</v>
      </c>
      <c r="X125" s="338"/>
      <c r="Y125" s="338" t="s">
        <v>6081</v>
      </c>
      <c r="Z125" s="338" t="s">
        <v>6563</v>
      </c>
      <c r="AA125" s="338" t="s">
        <v>6079</v>
      </c>
      <c r="AB125" s="338"/>
      <c r="AC125" s="338" t="s">
        <v>6224</v>
      </c>
      <c r="AD125" s="338"/>
      <c r="AF125" s="502" t="str">
        <f>Table15[[#This Row],[code2]]</f>
        <v>PHL</v>
      </c>
      <c r="AG125" s="502" t="str">
        <f>Table15[[#This Row],[code5]]</f>
        <v>PHLBFDS</v>
      </c>
    </row>
    <row r="126" spans="1:41">
      <c r="A126" s="338" t="s">
        <v>6072</v>
      </c>
      <c r="B126" s="338" t="s">
        <v>6073</v>
      </c>
      <c r="C126" s="337">
        <v>1</v>
      </c>
      <c r="D126" s="338" t="s">
        <v>6074</v>
      </c>
      <c r="E126" s="338" t="s">
        <v>6075</v>
      </c>
      <c r="F126" s="337">
        <v>1</v>
      </c>
      <c r="G126" s="337">
        <v>1</v>
      </c>
      <c r="H126" s="338" t="s">
        <v>6075</v>
      </c>
      <c r="I126" s="338" t="s">
        <v>9548</v>
      </c>
      <c r="J126" s="338" t="s">
        <v>9550</v>
      </c>
      <c r="K126" s="338" t="s">
        <v>6076</v>
      </c>
      <c r="L126" s="338"/>
      <c r="M126" s="338" t="s">
        <v>6217</v>
      </c>
      <c r="N126" s="338" t="s">
        <v>8312</v>
      </c>
      <c r="O126" s="337">
        <v>0</v>
      </c>
      <c r="P126" s="337">
        <v>0</v>
      </c>
      <c r="Q126" s="338"/>
      <c r="R126" s="338" t="s">
        <v>14</v>
      </c>
      <c r="S126" s="338"/>
      <c r="T126" s="338"/>
      <c r="U126" s="338" t="s">
        <v>6226</v>
      </c>
      <c r="V126" s="337">
        <v>0</v>
      </c>
      <c r="W126" s="337">
        <v>0</v>
      </c>
      <c r="X126" s="338"/>
      <c r="Y126" s="338" t="s">
        <v>493</v>
      </c>
      <c r="Z126" s="338" t="s">
        <v>7923</v>
      </c>
      <c r="AA126" s="338" t="s">
        <v>6079</v>
      </c>
      <c r="AB126" s="338"/>
      <c r="AC126" s="338" t="s">
        <v>6224</v>
      </c>
      <c r="AD126" s="338"/>
      <c r="AF126" s="502" t="str">
        <f>Table15[[#This Row],[code2]]</f>
        <v>PHL</v>
      </c>
      <c r="AG126" s="502" t="str">
        <f>Table15[[#This Row],[code5]]</f>
        <v>PHLBFDS</v>
      </c>
    </row>
    <row r="127" spans="1:41">
      <c r="A127" s="338" t="s">
        <v>6072</v>
      </c>
      <c r="B127" s="338" t="s">
        <v>6073</v>
      </c>
      <c r="C127" s="337">
        <v>1</v>
      </c>
      <c r="D127" s="338" t="s">
        <v>6074</v>
      </c>
      <c r="E127" s="338" t="s">
        <v>6075</v>
      </c>
      <c r="F127" s="337">
        <v>1</v>
      </c>
      <c r="G127" s="337">
        <v>1</v>
      </c>
      <c r="H127" s="338" t="s">
        <v>6075</v>
      </c>
      <c r="I127" s="338" t="s">
        <v>9548</v>
      </c>
      <c r="J127" s="338" t="s">
        <v>9550</v>
      </c>
      <c r="K127" s="338" t="s">
        <v>6076</v>
      </c>
      <c r="L127" s="338"/>
      <c r="M127" s="338" t="s">
        <v>6217</v>
      </c>
      <c r="N127" s="338" t="s">
        <v>8312</v>
      </c>
      <c r="O127" s="337">
        <v>0</v>
      </c>
      <c r="P127" s="337">
        <v>0</v>
      </c>
      <c r="Q127" s="338"/>
      <c r="R127" s="338" t="s">
        <v>14</v>
      </c>
      <c r="S127" s="338"/>
      <c r="T127" s="338"/>
      <c r="U127" s="338" t="s">
        <v>6227</v>
      </c>
      <c r="V127" s="337">
        <v>0</v>
      </c>
      <c r="W127" s="337">
        <v>0</v>
      </c>
      <c r="X127" s="338"/>
      <c r="Y127" s="338" t="s">
        <v>6085</v>
      </c>
      <c r="Z127" s="338" t="s">
        <v>7740</v>
      </c>
      <c r="AA127" s="338" t="s">
        <v>6079</v>
      </c>
      <c r="AB127" s="338"/>
      <c r="AC127" s="338" t="s">
        <v>6224</v>
      </c>
      <c r="AD127" s="338"/>
      <c r="AF127" s="502" t="str">
        <f>Table15[[#This Row],[code2]]</f>
        <v>PHL</v>
      </c>
      <c r="AG127" s="502" t="str">
        <f>Table15[[#This Row],[code5]]</f>
        <v>PHLBFDS</v>
      </c>
    </row>
    <row r="128" spans="1:41">
      <c r="A128" s="338" t="s">
        <v>6072</v>
      </c>
      <c r="B128" s="338" t="s">
        <v>6073</v>
      </c>
      <c r="C128" s="337">
        <v>1</v>
      </c>
      <c r="D128" s="338" t="s">
        <v>6074</v>
      </c>
      <c r="E128" s="338" t="s">
        <v>6075</v>
      </c>
      <c r="F128" s="337">
        <v>1</v>
      </c>
      <c r="G128" s="337">
        <v>1</v>
      </c>
      <c r="H128" s="338" t="s">
        <v>6075</v>
      </c>
      <c r="I128" s="338" t="s">
        <v>9548</v>
      </c>
      <c r="J128" s="338" t="s">
        <v>9550</v>
      </c>
      <c r="K128" s="338" t="s">
        <v>6076</v>
      </c>
      <c r="L128" s="338"/>
      <c r="M128" s="338" t="s">
        <v>6217</v>
      </c>
      <c r="N128" s="338" t="s">
        <v>8312</v>
      </c>
      <c r="O128" s="337">
        <v>0</v>
      </c>
      <c r="P128" s="337">
        <v>0</v>
      </c>
      <c r="Q128" s="338"/>
      <c r="R128" s="338" t="s">
        <v>14</v>
      </c>
      <c r="S128" s="338"/>
      <c r="T128" s="338"/>
      <c r="U128" s="338" t="s">
        <v>6228</v>
      </c>
      <c r="V128" s="337">
        <v>0</v>
      </c>
      <c r="W128" s="337">
        <v>0</v>
      </c>
      <c r="X128" s="338"/>
      <c r="Y128" s="338" t="s">
        <v>497</v>
      </c>
      <c r="Z128" s="338" t="s">
        <v>6082</v>
      </c>
      <c r="AA128" s="338" t="s">
        <v>6079</v>
      </c>
      <c r="AB128" s="338"/>
      <c r="AC128" s="338" t="s">
        <v>6229</v>
      </c>
      <c r="AD128" s="338"/>
      <c r="AF128" s="502" t="str">
        <f>Table15[[#This Row],[code2]]</f>
        <v>PHL</v>
      </c>
      <c r="AG128" s="502" t="str">
        <f>Table15[[#This Row],[code5]]</f>
        <v>PHLBFDS</v>
      </c>
    </row>
    <row r="129" spans="1:33">
      <c r="A129" s="338" t="s">
        <v>6072</v>
      </c>
      <c r="B129" s="338" t="s">
        <v>6073</v>
      </c>
      <c r="C129" s="337">
        <v>1</v>
      </c>
      <c r="D129" s="338" t="s">
        <v>6074</v>
      </c>
      <c r="E129" s="338" t="s">
        <v>6075</v>
      </c>
      <c r="F129" s="337">
        <v>1</v>
      </c>
      <c r="G129" s="337">
        <v>1</v>
      </c>
      <c r="H129" s="338" t="s">
        <v>6075</v>
      </c>
      <c r="I129" s="338" t="s">
        <v>9548</v>
      </c>
      <c r="J129" s="338" t="s">
        <v>9550</v>
      </c>
      <c r="K129" s="338" t="s">
        <v>6076</v>
      </c>
      <c r="L129" s="338"/>
      <c r="M129" s="338" t="s">
        <v>6217</v>
      </c>
      <c r="N129" s="338" t="s">
        <v>8312</v>
      </c>
      <c r="O129" s="337">
        <v>0</v>
      </c>
      <c r="P129" s="337">
        <v>0</v>
      </c>
      <c r="Q129" s="338"/>
      <c r="R129" s="338" t="s">
        <v>14</v>
      </c>
      <c r="S129" s="338"/>
      <c r="T129" s="338"/>
      <c r="U129" s="338" t="s">
        <v>6230</v>
      </c>
      <c r="V129" s="337">
        <v>0</v>
      </c>
      <c r="W129" s="337">
        <v>0</v>
      </c>
      <c r="X129" s="338"/>
      <c r="Y129" s="338" t="s">
        <v>6081</v>
      </c>
      <c r="Z129" s="338" t="s">
        <v>8261</v>
      </c>
      <c r="AA129" s="338" t="s">
        <v>6079</v>
      </c>
      <c r="AB129" s="338"/>
      <c r="AC129" s="338" t="s">
        <v>6229</v>
      </c>
      <c r="AD129" s="338"/>
      <c r="AF129" s="502" t="str">
        <f>Table15[[#This Row],[code2]]</f>
        <v>PHL</v>
      </c>
      <c r="AG129" s="502" t="str">
        <f>Table15[[#This Row],[code5]]</f>
        <v>PHLBFDS</v>
      </c>
    </row>
    <row r="130" spans="1:33">
      <c r="A130" s="338" t="s">
        <v>6072</v>
      </c>
      <c r="B130" s="338" t="s">
        <v>6073</v>
      </c>
      <c r="C130" s="337">
        <v>1</v>
      </c>
      <c r="D130" s="338" t="s">
        <v>6074</v>
      </c>
      <c r="E130" s="338" t="s">
        <v>6075</v>
      </c>
      <c r="F130" s="337">
        <v>1</v>
      </c>
      <c r="G130" s="337">
        <v>1</v>
      </c>
      <c r="H130" s="338" t="s">
        <v>6075</v>
      </c>
      <c r="I130" s="338" t="s">
        <v>9548</v>
      </c>
      <c r="J130" s="338" t="s">
        <v>9550</v>
      </c>
      <c r="K130" s="338" t="s">
        <v>6076</v>
      </c>
      <c r="L130" s="338"/>
      <c r="M130" s="338" t="s">
        <v>6217</v>
      </c>
      <c r="N130" s="338" t="s">
        <v>8312</v>
      </c>
      <c r="O130" s="337">
        <v>0</v>
      </c>
      <c r="P130" s="337">
        <v>0</v>
      </c>
      <c r="Q130" s="338"/>
      <c r="R130" s="338" t="s">
        <v>14</v>
      </c>
      <c r="S130" s="338"/>
      <c r="T130" s="338"/>
      <c r="U130" s="338" t="s">
        <v>6231</v>
      </c>
      <c r="V130" s="337">
        <v>0</v>
      </c>
      <c r="W130" s="337">
        <v>0</v>
      </c>
      <c r="X130" s="338"/>
      <c r="Y130" s="338" t="s">
        <v>493</v>
      </c>
      <c r="Z130" s="338" t="s">
        <v>7744</v>
      </c>
      <c r="AA130" s="338" t="s">
        <v>6079</v>
      </c>
      <c r="AB130" s="338"/>
      <c r="AC130" s="338" t="s">
        <v>6229</v>
      </c>
      <c r="AD130" s="338"/>
      <c r="AF130" s="502" t="str">
        <f>Table15[[#This Row],[code2]]</f>
        <v>PHL</v>
      </c>
      <c r="AG130" s="502" t="str">
        <f>Table15[[#This Row],[code5]]</f>
        <v>PHLBFDS</v>
      </c>
    </row>
    <row r="131" spans="1:33">
      <c r="A131" s="338" t="s">
        <v>6072</v>
      </c>
      <c r="B131" s="338" t="s">
        <v>6073</v>
      </c>
      <c r="C131" s="337">
        <v>1</v>
      </c>
      <c r="D131" s="338" t="s">
        <v>6074</v>
      </c>
      <c r="E131" s="338" t="s">
        <v>6075</v>
      </c>
      <c r="F131" s="337">
        <v>1</v>
      </c>
      <c r="G131" s="337">
        <v>1</v>
      </c>
      <c r="H131" s="338" t="s">
        <v>6075</v>
      </c>
      <c r="I131" s="338" t="s">
        <v>9548</v>
      </c>
      <c r="J131" s="338" t="s">
        <v>9550</v>
      </c>
      <c r="K131" s="338" t="s">
        <v>6076</v>
      </c>
      <c r="L131" s="338"/>
      <c r="M131" s="338" t="s">
        <v>6217</v>
      </c>
      <c r="N131" s="338" t="s">
        <v>8312</v>
      </c>
      <c r="O131" s="337">
        <v>0</v>
      </c>
      <c r="P131" s="337">
        <v>0</v>
      </c>
      <c r="Q131" s="338"/>
      <c r="R131" s="338" t="s">
        <v>14</v>
      </c>
      <c r="S131" s="338"/>
      <c r="T131" s="338"/>
      <c r="U131" s="338" t="s">
        <v>6232</v>
      </c>
      <c r="V131" s="337">
        <v>0</v>
      </c>
      <c r="W131" s="337">
        <v>0</v>
      </c>
      <c r="X131" s="338"/>
      <c r="Y131" s="338" t="s">
        <v>6085</v>
      </c>
      <c r="Z131" s="338" t="s">
        <v>8114</v>
      </c>
      <c r="AA131" s="338" t="s">
        <v>6079</v>
      </c>
      <c r="AB131" s="338"/>
      <c r="AC131" s="338" t="s">
        <v>6229</v>
      </c>
      <c r="AD131" s="338"/>
      <c r="AF131" s="502" t="str">
        <f>Table15[[#This Row],[code2]]</f>
        <v>PHL</v>
      </c>
      <c r="AG131" s="502" t="str">
        <f>Table15[[#This Row],[code5]]</f>
        <v>PHLBFDS</v>
      </c>
    </row>
    <row r="132" spans="1:33">
      <c r="A132" s="338" t="s">
        <v>6072</v>
      </c>
      <c r="B132" s="338" t="s">
        <v>6073</v>
      </c>
      <c r="C132" s="337">
        <v>1</v>
      </c>
      <c r="D132" s="338" t="s">
        <v>6074</v>
      </c>
      <c r="E132" s="338" t="s">
        <v>6075</v>
      </c>
      <c r="F132" s="337">
        <v>1</v>
      </c>
      <c r="G132" s="337">
        <v>1</v>
      </c>
      <c r="H132" s="338" t="s">
        <v>6075</v>
      </c>
      <c r="I132" s="338" t="s">
        <v>9548</v>
      </c>
      <c r="J132" s="338" t="s">
        <v>9550</v>
      </c>
      <c r="K132" s="338" t="s">
        <v>6076</v>
      </c>
      <c r="L132" s="338"/>
      <c r="M132" s="338" t="s">
        <v>6217</v>
      </c>
      <c r="N132" s="338" t="s">
        <v>8312</v>
      </c>
      <c r="O132" s="337">
        <v>0</v>
      </c>
      <c r="P132" s="337">
        <v>0</v>
      </c>
      <c r="Q132" s="338"/>
      <c r="R132" s="338" t="s">
        <v>14</v>
      </c>
      <c r="S132" s="338"/>
      <c r="T132" s="338"/>
      <c r="U132" s="338" t="s">
        <v>6233</v>
      </c>
      <c r="V132" s="337">
        <v>0</v>
      </c>
      <c r="W132" s="337">
        <v>0</v>
      </c>
      <c r="X132" s="338"/>
      <c r="Y132" s="338" t="s">
        <v>497</v>
      </c>
      <c r="Z132" s="338" t="s">
        <v>6604</v>
      </c>
      <c r="AA132" s="338" t="s">
        <v>6079</v>
      </c>
      <c r="AB132" s="338"/>
      <c r="AC132" s="338" t="s">
        <v>6234</v>
      </c>
      <c r="AD132" s="338"/>
      <c r="AF132" s="502" t="str">
        <f>Table15[[#This Row],[code2]]</f>
        <v>PHL</v>
      </c>
      <c r="AG132" s="502" t="str">
        <f>Table15[[#This Row],[code5]]</f>
        <v>PHLBFDS</v>
      </c>
    </row>
    <row r="133" spans="1:33">
      <c r="A133" s="338" t="s">
        <v>6072</v>
      </c>
      <c r="B133" s="338" t="s">
        <v>6073</v>
      </c>
      <c r="C133" s="337">
        <v>1</v>
      </c>
      <c r="D133" s="338" t="s">
        <v>6074</v>
      </c>
      <c r="E133" s="338" t="s">
        <v>6075</v>
      </c>
      <c r="F133" s="337">
        <v>1</v>
      </c>
      <c r="G133" s="337">
        <v>1</v>
      </c>
      <c r="H133" s="338" t="s">
        <v>6075</v>
      </c>
      <c r="I133" s="338" t="s">
        <v>9548</v>
      </c>
      <c r="J133" s="338" t="s">
        <v>9550</v>
      </c>
      <c r="K133" s="338" t="s">
        <v>6076</v>
      </c>
      <c r="L133" s="338"/>
      <c r="M133" s="338" t="s">
        <v>6217</v>
      </c>
      <c r="N133" s="338" t="s">
        <v>8312</v>
      </c>
      <c r="O133" s="337">
        <v>0</v>
      </c>
      <c r="P133" s="337">
        <v>0</v>
      </c>
      <c r="Q133" s="338"/>
      <c r="R133" s="338" t="s">
        <v>14</v>
      </c>
      <c r="S133" s="338"/>
      <c r="T133" s="338"/>
      <c r="U133" s="338" t="s">
        <v>6235</v>
      </c>
      <c r="V133" s="337">
        <v>0</v>
      </c>
      <c r="W133" s="337">
        <v>0</v>
      </c>
      <c r="X133" s="338"/>
      <c r="Y133" s="338" t="s">
        <v>6081</v>
      </c>
      <c r="Z133" s="338" t="s">
        <v>6629</v>
      </c>
      <c r="AA133" s="338" t="s">
        <v>6079</v>
      </c>
      <c r="AB133" s="338"/>
      <c r="AC133" s="338" t="s">
        <v>6234</v>
      </c>
      <c r="AD133" s="338"/>
      <c r="AF133" s="502" t="str">
        <f>Table15[[#This Row],[code2]]</f>
        <v>PHL</v>
      </c>
      <c r="AG133" s="502" t="str">
        <f>Table15[[#This Row],[code5]]</f>
        <v>PHLBFDS</v>
      </c>
    </row>
    <row r="134" spans="1:33">
      <c r="A134" s="338" t="s">
        <v>6072</v>
      </c>
      <c r="B134" s="338" t="s">
        <v>6073</v>
      </c>
      <c r="C134" s="337">
        <v>1</v>
      </c>
      <c r="D134" s="338" t="s">
        <v>6074</v>
      </c>
      <c r="E134" s="338" t="s">
        <v>6075</v>
      </c>
      <c r="F134" s="337">
        <v>1</v>
      </c>
      <c r="G134" s="337">
        <v>1</v>
      </c>
      <c r="H134" s="338" t="s">
        <v>6075</v>
      </c>
      <c r="I134" s="338" t="s">
        <v>9548</v>
      </c>
      <c r="J134" s="338" t="s">
        <v>9550</v>
      </c>
      <c r="K134" s="338" t="s">
        <v>6076</v>
      </c>
      <c r="L134" s="338"/>
      <c r="M134" s="338" t="s">
        <v>6217</v>
      </c>
      <c r="N134" s="338" t="s">
        <v>8312</v>
      </c>
      <c r="O134" s="337">
        <v>0</v>
      </c>
      <c r="P134" s="337">
        <v>0</v>
      </c>
      <c r="Q134" s="338"/>
      <c r="R134" s="338" t="s">
        <v>14</v>
      </c>
      <c r="S134" s="338"/>
      <c r="T134" s="338"/>
      <c r="U134" s="338" t="s">
        <v>6236</v>
      </c>
      <c r="V134" s="337">
        <v>0</v>
      </c>
      <c r="W134" s="337">
        <v>0</v>
      </c>
      <c r="X134" s="338"/>
      <c r="Y134" s="338" t="s">
        <v>493</v>
      </c>
      <c r="Z134" s="338" t="s">
        <v>6521</v>
      </c>
      <c r="AA134" s="338" t="s">
        <v>6079</v>
      </c>
      <c r="AB134" s="338"/>
      <c r="AC134" s="338" t="s">
        <v>6234</v>
      </c>
      <c r="AD134" s="338"/>
      <c r="AF134" s="502" t="str">
        <f>Table15[[#This Row],[code2]]</f>
        <v>PHL</v>
      </c>
      <c r="AG134" s="502" t="str">
        <f>Table15[[#This Row],[code5]]</f>
        <v>PHLBFDS</v>
      </c>
    </row>
    <row r="135" spans="1:33">
      <c r="A135" s="338" t="s">
        <v>6072</v>
      </c>
      <c r="B135" s="338" t="s">
        <v>6073</v>
      </c>
      <c r="C135" s="337">
        <v>1</v>
      </c>
      <c r="D135" s="338" t="s">
        <v>6074</v>
      </c>
      <c r="E135" s="338" t="s">
        <v>6075</v>
      </c>
      <c r="F135" s="337">
        <v>1</v>
      </c>
      <c r="G135" s="337">
        <v>1</v>
      </c>
      <c r="H135" s="338" t="s">
        <v>6075</v>
      </c>
      <c r="I135" s="338" t="s">
        <v>9548</v>
      </c>
      <c r="J135" s="338" t="s">
        <v>9550</v>
      </c>
      <c r="K135" s="338" t="s">
        <v>6076</v>
      </c>
      <c r="L135" s="338"/>
      <c r="M135" s="338" t="s">
        <v>6217</v>
      </c>
      <c r="N135" s="338" t="s">
        <v>8312</v>
      </c>
      <c r="O135" s="337">
        <v>0</v>
      </c>
      <c r="P135" s="337">
        <v>0</v>
      </c>
      <c r="Q135" s="338"/>
      <c r="R135" s="338" t="s">
        <v>14</v>
      </c>
      <c r="S135" s="338"/>
      <c r="T135" s="338"/>
      <c r="U135" s="338" t="s">
        <v>6237</v>
      </c>
      <c r="V135" s="337">
        <v>0</v>
      </c>
      <c r="W135" s="337">
        <v>0</v>
      </c>
      <c r="X135" s="338"/>
      <c r="Y135" s="338" t="s">
        <v>6085</v>
      </c>
      <c r="Z135" s="338" t="s">
        <v>8028</v>
      </c>
      <c r="AA135" s="338" t="s">
        <v>6079</v>
      </c>
      <c r="AB135" s="338"/>
      <c r="AC135" s="338" t="s">
        <v>6234</v>
      </c>
      <c r="AD135" s="338"/>
      <c r="AF135" s="502" t="str">
        <f>Table15[[#This Row],[code2]]</f>
        <v>PHL</v>
      </c>
      <c r="AG135" s="502" t="str">
        <f>Table15[[#This Row],[code5]]</f>
        <v>PHLBFDS</v>
      </c>
    </row>
    <row r="136" spans="1:33">
      <c r="A136" s="338" t="s">
        <v>6072</v>
      </c>
      <c r="B136" s="338" t="s">
        <v>6073</v>
      </c>
      <c r="C136" s="337">
        <v>1</v>
      </c>
      <c r="D136" s="338" t="s">
        <v>6074</v>
      </c>
      <c r="E136" s="338" t="s">
        <v>6075</v>
      </c>
      <c r="F136" s="337">
        <v>1</v>
      </c>
      <c r="G136" s="337">
        <v>1</v>
      </c>
      <c r="H136" s="338" t="s">
        <v>6075</v>
      </c>
      <c r="I136" s="338" t="s">
        <v>9548</v>
      </c>
      <c r="J136" s="338" t="s">
        <v>9550</v>
      </c>
      <c r="K136" s="338" t="s">
        <v>6076</v>
      </c>
      <c r="L136" s="338"/>
      <c r="M136" s="338" t="s">
        <v>6217</v>
      </c>
      <c r="N136" s="338" t="s">
        <v>8312</v>
      </c>
      <c r="O136" s="337">
        <v>0</v>
      </c>
      <c r="P136" s="337">
        <v>0</v>
      </c>
      <c r="Q136" s="338"/>
      <c r="R136" s="338" t="s">
        <v>14</v>
      </c>
      <c r="S136" s="338"/>
      <c r="T136" s="338"/>
      <c r="U136" s="338" t="s">
        <v>6238</v>
      </c>
      <c r="V136" s="337">
        <v>0</v>
      </c>
      <c r="W136" s="337">
        <v>0</v>
      </c>
      <c r="X136" s="338"/>
      <c r="Y136" s="338" t="s">
        <v>497</v>
      </c>
      <c r="Z136" s="338" t="s">
        <v>6602</v>
      </c>
      <c r="AA136" s="338" t="s">
        <v>6079</v>
      </c>
      <c r="AB136" s="338"/>
      <c r="AC136" s="338" t="s">
        <v>6239</v>
      </c>
      <c r="AD136" s="338"/>
      <c r="AF136" s="502" t="str">
        <f>Table15[[#This Row],[code2]]</f>
        <v>PHL</v>
      </c>
      <c r="AG136" s="502" t="str">
        <f>Table15[[#This Row],[code5]]</f>
        <v>PHLBFDS</v>
      </c>
    </row>
    <row r="137" spans="1:33">
      <c r="A137" s="338" t="s">
        <v>6072</v>
      </c>
      <c r="B137" s="338" t="s">
        <v>6073</v>
      </c>
      <c r="C137" s="337">
        <v>1</v>
      </c>
      <c r="D137" s="338" t="s">
        <v>6074</v>
      </c>
      <c r="E137" s="338" t="s">
        <v>6075</v>
      </c>
      <c r="F137" s="337">
        <v>1</v>
      </c>
      <c r="G137" s="337">
        <v>1</v>
      </c>
      <c r="H137" s="338" t="s">
        <v>6075</v>
      </c>
      <c r="I137" s="338" t="s">
        <v>9548</v>
      </c>
      <c r="J137" s="338" t="s">
        <v>9550</v>
      </c>
      <c r="K137" s="338" t="s">
        <v>6076</v>
      </c>
      <c r="L137" s="338"/>
      <c r="M137" s="338" t="s">
        <v>6217</v>
      </c>
      <c r="N137" s="338" t="s">
        <v>8312</v>
      </c>
      <c r="O137" s="337">
        <v>0</v>
      </c>
      <c r="P137" s="337">
        <v>0</v>
      </c>
      <c r="Q137" s="338"/>
      <c r="R137" s="338" t="s">
        <v>14</v>
      </c>
      <c r="S137" s="338"/>
      <c r="T137" s="338"/>
      <c r="U137" s="338" t="s">
        <v>6240</v>
      </c>
      <c r="V137" s="337">
        <v>0</v>
      </c>
      <c r="W137" s="337">
        <v>0</v>
      </c>
      <c r="X137" s="338"/>
      <c r="Y137" s="338" t="s">
        <v>6081</v>
      </c>
      <c r="Z137" s="338" t="s">
        <v>6591</v>
      </c>
      <c r="AA137" s="338" t="s">
        <v>6079</v>
      </c>
      <c r="AB137" s="338"/>
      <c r="AC137" s="338" t="s">
        <v>6239</v>
      </c>
      <c r="AD137" s="338"/>
      <c r="AF137" s="502" t="str">
        <f>Table15[[#This Row],[code2]]</f>
        <v>PHL</v>
      </c>
      <c r="AG137" s="502" t="str">
        <f>Table15[[#This Row],[code5]]</f>
        <v>PHLBFDS</v>
      </c>
    </row>
    <row r="138" spans="1:33">
      <c r="A138" s="338" t="s">
        <v>6072</v>
      </c>
      <c r="B138" s="338" t="s">
        <v>6073</v>
      </c>
      <c r="C138" s="337">
        <v>1</v>
      </c>
      <c r="D138" s="338" t="s">
        <v>6074</v>
      </c>
      <c r="E138" s="338" t="s">
        <v>6075</v>
      </c>
      <c r="F138" s="337">
        <v>1</v>
      </c>
      <c r="G138" s="337">
        <v>1</v>
      </c>
      <c r="H138" s="338" t="s">
        <v>6075</v>
      </c>
      <c r="I138" s="338" t="s">
        <v>9548</v>
      </c>
      <c r="J138" s="338" t="s">
        <v>9550</v>
      </c>
      <c r="K138" s="338" t="s">
        <v>6076</v>
      </c>
      <c r="L138" s="338"/>
      <c r="M138" s="338" t="s">
        <v>6217</v>
      </c>
      <c r="N138" s="338" t="s">
        <v>8312</v>
      </c>
      <c r="O138" s="337">
        <v>0</v>
      </c>
      <c r="P138" s="337">
        <v>0</v>
      </c>
      <c r="Q138" s="338"/>
      <c r="R138" s="338" t="s">
        <v>14</v>
      </c>
      <c r="S138" s="338"/>
      <c r="T138" s="338"/>
      <c r="U138" s="338" t="s">
        <v>6241</v>
      </c>
      <c r="V138" s="337">
        <v>0</v>
      </c>
      <c r="W138" s="337">
        <v>0</v>
      </c>
      <c r="X138" s="338"/>
      <c r="Y138" s="338" t="s">
        <v>493</v>
      </c>
      <c r="Z138" s="338" t="s">
        <v>7926</v>
      </c>
      <c r="AA138" s="338" t="s">
        <v>6079</v>
      </c>
      <c r="AB138" s="338"/>
      <c r="AC138" s="338" t="s">
        <v>6239</v>
      </c>
      <c r="AD138" s="338"/>
      <c r="AF138" s="502" t="str">
        <f>Table15[[#This Row],[code2]]</f>
        <v>PHL</v>
      </c>
      <c r="AG138" s="502" t="str">
        <f>Table15[[#This Row],[code5]]</f>
        <v>PHLBFDS</v>
      </c>
    </row>
    <row r="139" spans="1:33">
      <c r="A139" s="338" t="s">
        <v>6072</v>
      </c>
      <c r="B139" s="338" t="s">
        <v>6073</v>
      </c>
      <c r="C139" s="337">
        <v>1</v>
      </c>
      <c r="D139" s="338" t="s">
        <v>6074</v>
      </c>
      <c r="E139" s="338" t="s">
        <v>6075</v>
      </c>
      <c r="F139" s="337">
        <v>1</v>
      </c>
      <c r="G139" s="337">
        <v>1</v>
      </c>
      <c r="H139" s="338" t="s">
        <v>6075</v>
      </c>
      <c r="I139" s="338" t="s">
        <v>9548</v>
      </c>
      <c r="J139" s="338" t="s">
        <v>9550</v>
      </c>
      <c r="K139" s="338" t="s">
        <v>6076</v>
      </c>
      <c r="L139" s="338"/>
      <c r="M139" s="338" t="s">
        <v>6217</v>
      </c>
      <c r="N139" s="338" t="s">
        <v>8312</v>
      </c>
      <c r="O139" s="337">
        <v>0</v>
      </c>
      <c r="P139" s="337">
        <v>0</v>
      </c>
      <c r="Q139" s="338"/>
      <c r="R139" s="338" t="s">
        <v>14</v>
      </c>
      <c r="S139" s="338"/>
      <c r="T139" s="338"/>
      <c r="U139" s="338" t="s">
        <v>6242</v>
      </c>
      <c r="V139" s="337">
        <v>0</v>
      </c>
      <c r="W139" s="337">
        <v>0</v>
      </c>
      <c r="X139" s="338"/>
      <c r="Y139" s="338" t="s">
        <v>6085</v>
      </c>
      <c r="Z139" s="338" t="s">
        <v>8257</v>
      </c>
      <c r="AA139" s="338" t="s">
        <v>6079</v>
      </c>
      <c r="AB139" s="338"/>
      <c r="AC139" s="338" t="s">
        <v>6239</v>
      </c>
      <c r="AD139" s="338"/>
      <c r="AF139" s="502" t="str">
        <f>Table15[[#This Row],[code2]]</f>
        <v>PHL</v>
      </c>
      <c r="AG139" s="502" t="str">
        <f>Table15[[#This Row],[code5]]</f>
        <v>PHLBFDS</v>
      </c>
    </row>
    <row r="140" spans="1:33">
      <c r="A140" s="338" t="s">
        <v>6072</v>
      </c>
      <c r="B140" s="338" t="s">
        <v>6073</v>
      </c>
      <c r="C140" s="337">
        <v>1</v>
      </c>
      <c r="D140" s="338" t="s">
        <v>6074</v>
      </c>
      <c r="E140" s="338" t="s">
        <v>6075</v>
      </c>
      <c r="F140" s="337">
        <v>1</v>
      </c>
      <c r="G140" s="337">
        <v>1</v>
      </c>
      <c r="H140" s="338" t="s">
        <v>6075</v>
      </c>
      <c r="I140" s="338" t="s">
        <v>9548</v>
      </c>
      <c r="J140" s="338" t="s">
        <v>9550</v>
      </c>
      <c r="K140" s="338" t="s">
        <v>6076</v>
      </c>
      <c r="L140" s="338"/>
      <c r="M140" s="338" t="s">
        <v>6217</v>
      </c>
      <c r="N140" s="338" t="s">
        <v>8312</v>
      </c>
      <c r="O140" s="337">
        <v>0</v>
      </c>
      <c r="P140" s="337">
        <v>0</v>
      </c>
      <c r="Q140" s="338"/>
      <c r="R140" s="338" t="s">
        <v>14</v>
      </c>
      <c r="S140" s="338"/>
      <c r="T140" s="338"/>
      <c r="U140" s="338" t="s">
        <v>6243</v>
      </c>
      <c r="V140" s="337">
        <v>0</v>
      </c>
      <c r="W140" s="337">
        <v>0</v>
      </c>
      <c r="X140" s="338"/>
      <c r="Y140" s="338" t="s">
        <v>497</v>
      </c>
      <c r="Z140" s="338" t="s">
        <v>6602</v>
      </c>
      <c r="AA140" s="338" t="s">
        <v>6079</v>
      </c>
      <c r="AB140" s="338"/>
      <c r="AC140" s="338" t="s">
        <v>6244</v>
      </c>
      <c r="AD140" s="338"/>
      <c r="AF140" s="502" t="str">
        <f>Table15[[#This Row],[code2]]</f>
        <v>PHL</v>
      </c>
      <c r="AG140" s="502" t="str">
        <f>Table15[[#This Row],[code5]]</f>
        <v>PHLBFDS</v>
      </c>
    </row>
    <row r="141" spans="1:33">
      <c r="A141" s="338" t="s">
        <v>6072</v>
      </c>
      <c r="B141" s="338" t="s">
        <v>6073</v>
      </c>
      <c r="C141" s="337">
        <v>1</v>
      </c>
      <c r="D141" s="338" t="s">
        <v>6074</v>
      </c>
      <c r="E141" s="338" t="s">
        <v>6075</v>
      </c>
      <c r="F141" s="337">
        <v>1</v>
      </c>
      <c r="G141" s="337">
        <v>1</v>
      </c>
      <c r="H141" s="338" t="s">
        <v>6075</v>
      </c>
      <c r="I141" s="338" t="s">
        <v>9548</v>
      </c>
      <c r="J141" s="338" t="s">
        <v>9550</v>
      </c>
      <c r="K141" s="338" t="s">
        <v>6076</v>
      </c>
      <c r="L141" s="338"/>
      <c r="M141" s="338" t="s">
        <v>6217</v>
      </c>
      <c r="N141" s="338" t="s">
        <v>8312</v>
      </c>
      <c r="O141" s="337">
        <v>0</v>
      </c>
      <c r="P141" s="337">
        <v>0</v>
      </c>
      <c r="Q141" s="338"/>
      <c r="R141" s="338" t="s">
        <v>14</v>
      </c>
      <c r="S141" s="338"/>
      <c r="T141" s="338"/>
      <c r="U141" s="338" t="s">
        <v>6245</v>
      </c>
      <c r="V141" s="337">
        <v>0</v>
      </c>
      <c r="W141" s="337">
        <v>0</v>
      </c>
      <c r="X141" s="338"/>
      <c r="Y141" s="338" t="s">
        <v>6081</v>
      </c>
      <c r="Z141" s="338" t="s">
        <v>6591</v>
      </c>
      <c r="AA141" s="338" t="s">
        <v>6079</v>
      </c>
      <c r="AB141" s="338"/>
      <c r="AC141" s="338" t="s">
        <v>6244</v>
      </c>
      <c r="AD141" s="338"/>
      <c r="AF141" s="502" t="str">
        <f>Table15[[#This Row],[code2]]</f>
        <v>PHL</v>
      </c>
      <c r="AG141" s="502" t="str">
        <f>Table15[[#This Row],[code5]]</f>
        <v>PHLBFDS</v>
      </c>
    </row>
    <row r="142" spans="1:33">
      <c r="A142" s="338" t="s">
        <v>6072</v>
      </c>
      <c r="B142" s="338" t="s">
        <v>6073</v>
      </c>
      <c r="C142" s="337">
        <v>1</v>
      </c>
      <c r="D142" s="338" t="s">
        <v>6074</v>
      </c>
      <c r="E142" s="338" t="s">
        <v>6075</v>
      </c>
      <c r="F142" s="337">
        <v>1</v>
      </c>
      <c r="G142" s="337">
        <v>1</v>
      </c>
      <c r="H142" s="338" t="s">
        <v>6075</v>
      </c>
      <c r="I142" s="338" t="s">
        <v>9548</v>
      </c>
      <c r="J142" s="338" t="s">
        <v>9550</v>
      </c>
      <c r="K142" s="338" t="s">
        <v>6076</v>
      </c>
      <c r="L142" s="338"/>
      <c r="M142" s="338" t="s">
        <v>6217</v>
      </c>
      <c r="N142" s="338" t="s">
        <v>8312</v>
      </c>
      <c r="O142" s="337">
        <v>0</v>
      </c>
      <c r="P142" s="337">
        <v>0</v>
      </c>
      <c r="Q142" s="338"/>
      <c r="R142" s="338" t="s">
        <v>14</v>
      </c>
      <c r="S142" s="338"/>
      <c r="T142" s="338"/>
      <c r="U142" s="338" t="s">
        <v>6246</v>
      </c>
      <c r="V142" s="337">
        <v>0</v>
      </c>
      <c r="W142" s="337">
        <v>0</v>
      </c>
      <c r="X142" s="338"/>
      <c r="Y142" s="338" t="s">
        <v>493</v>
      </c>
      <c r="Z142" s="338" t="s">
        <v>7926</v>
      </c>
      <c r="AA142" s="338" t="s">
        <v>6079</v>
      </c>
      <c r="AB142" s="338"/>
      <c r="AC142" s="338" t="s">
        <v>6244</v>
      </c>
      <c r="AD142" s="338"/>
      <c r="AF142" s="502" t="str">
        <f>Table15[[#This Row],[code2]]</f>
        <v>PHL</v>
      </c>
      <c r="AG142" s="502" t="str">
        <f>Table15[[#This Row],[code5]]</f>
        <v>PHLBFDS</v>
      </c>
    </row>
    <row r="143" spans="1:33">
      <c r="A143" s="338" t="s">
        <v>6072</v>
      </c>
      <c r="B143" s="338" t="s">
        <v>6073</v>
      </c>
      <c r="C143" s="337">
        <v>1</v>
      </c>
      <c r="D143" s="338" t="s">
        <v>6074</v>
      </c>
      <c r="E143" s="338" t="s">
        <v>6075</v>
      </c>
      <c r="F143" s="337">
        <v>1</v>
      </c>
      <c r="G143" s="337">
        <v>1</v>
      </c>
      <c r="H143" s="338" t="s">
        <v>6075</v>
      </c>
      <c r="I143" s="338" t="s">
        <v>9548</v>
      </c>
      <c r="J143" s="338" t="s">
        <v>9550</v>
      </c>
      <c r="K143" s="338" t="s">
        <v>6076</v>
      </c>
      <c r="L143" s="338"/>
      <c r="M143" s="338" t="s">
        <v>6217</v>
      </c>
      <c r="N143" s="338" t="s">
        <v>8312</v>
      </c>
      <c r="O143" s="337">
        <v>0</v>
      </c>
      <c r="P143" s="337">
        <v>0</v>
      </c>
      <c r="Q143" s="338"/>
      <c r="R143" s="338" t="s">
        <v>14</v>
      </c>
      <c r="S143" s="338"/>
      <c r="T143" s="338"/>
      <c r="U143" s="338" t="s">
        <v>6247</v>
      </c>
      <c r="V143" s="337">
        <v>0</v>
      </c>
      <c r="W143" s="337">
        <v>0</v>
      </c>
      <c r="X143" s="338"/>
      <c r="Y143" s="338" t="s">
        <v>6085</v>
      </c>
      <c r="Z143" s="338" t="s">
        <v>8257</v>
      </c>
      <c r="AA143" s="338" t="s">
        <v>6079</v>
      </c>
      <c r="AB143" s="338"/>
      <c r="AC143" s="338" t="s">
        <v>6244</v>
      </c>
      <c r="AD143" s="338"/>
      <c r="AF143" s="502" t="str">
        <f>Table15[[#This Row],[code2]]</f>
        <v>PHL</v>
      </c>
      <c r="AG143" s="502" t="str">
        <f>Table15[[#This Row],[code5]]</f>
        <v>PHLBFDS</v>
      </c>
    </row>
    <row r="144" spans="1:33">
      <c r="A144" s="338" t="s">
        <v>6072</v>
      </c>
      <c r="B144" s="338" t="s">
        <v>6073</v>
      </c>
      <c r="C144" s="337">
        <v>1</v>
      </c>
      <c r="D144" s="338" t="s">
        <v>6074</v>
      </c>
      <c r="E144" s="338" t="s">
        <v>6075</v>
      </c>
      <c r="F144" s="337">
        <v>1</v>
      </c>
      <c r="G144" s="337">
        <v>1</v>
      </c>
      <c r="H144" s="338" t="s">
        <v>6075</v>
      </c>
      <c r="I144" s="338" t="s">
        <v>9548</v>
      </c>
      <c r="J144" s="338" t="s">
        <v>9550</v>
      </c>
      <c r="K144" s="338" t="s">
        <v>6076</v>
      </c>
      <c r="L144" s="338"/>
      <c r="M144" s="338" t="s">
        <v>6217</v>
      </c>
      <c r="N144" s="338" t="s">
        <v>8312</v>
      </c>
      <c r="O144" s="337">
        <v>0</v>
      </c>
      <c r="P144" s="337">
        <v>0</v>
      </c>
      <c r="Q144" s="338"/>
      <c r="R144" s="338" t="s">
        <v>14</v>
      </c>
      <c r="S144" s="338"/>
      <c r="T144" s="338"/>
      <c r="U144" s="338" t="s">
        <v>6248</v>
      </c>
      <c r="V144" s="337">
        <v>0</v>
      </c>
      <c r="W144" s="337">
        <v>0</v>
      </c>
      <c r="X144" s="338"/>
      <c r="Y144" s="338" t="s">
        <v>497</v>
      </c>
      <c r="Z144" s="338" t="s">
        <v>7971</v>
      </c>
      <c r="AA144" s="338" t="s">
        <v>6079</v>
      </c>
      <c r="AB144" s="338"/>
      <c r="AC144" s="338" t="s">
        <v>6249</v>
      </c>
      <c r="AD144" s="338"/>
      <c r="AF144" s="502" t="str">
        <f>Table15[[#This Row],[code2]]</f>
        <v>PHL</v>
      </c>
      <c r="AG144" s="502" t="str">
        <f>Table15[[#This Row],[code5]]</f>
        <v>PHLBFDS</v>
      </c>
    </row>
    <row r="145" spans="1:33">
      <c r="A145" s="338" t="s">
        <v>6072</v>
      </c>
      <c r="B145" s="338" t="s">
        <v>6073</v>
      </c>
      <c r="C145" s="337">
        <v>1</v>
      </c>
      <c r="D145" s="338" t="s">
        <v>6074</v>
      </c>
      <c r="E145" s="338" t="s">
        <v>6075</v>
      </c>
      <c r="F145" s="337">
        <v>1</v>
      </c>
      <c r="G145" s="337">
        <v>1</v>
      </c>
      <c r="H145" s="338" t="s">
        <v>6075</v>
      </c>
      <c r="I145" s="338" t="s">
        <v>9548</v>
      </c>
      <c r="J145" s="338" t="s">
        <v>9550</v>
      </c>
      <c r="K145" s="338" t="s">
        <v>6076</v>
      </c>
      <c r="L145" s="338"/>
      <c r="M145" s="338" t="s">
        <v>6217</v>
      </c>
      <c r="N145" s="338" t="s">
        <v>8312</v>
      </c>
      <c r="O145" s="337">
        <v>0</v>
      </c>
      <c r="P145" s="337">
        <v>0</v>
      </c>
      <c r="Q145" s="338"/>
      <c r="R145" s="338" t="s">
        <v>14</v>
      </c>
      <c r="S145" s="338"/>
      <c r="T145" s="338"/>
      <c r="U145" s="338" t="s">
        <v>6250</v>
      </c>
      <c r="V145" s="337">
        <v>0</v>
      </c>
      <c r="W145" s="337">
        <v>0</v>
      </c>
      <c r="X145" s="338"/>
      <c r="Y145" s="338" t="s">
        <v>6081</v>
      </c>
      <c r="Z145" s="338" t="s">
        <v>6589</v>
      </c>
      <c r="AA145" s="338" t="s">
        <v>6079</v>
      </c>
      <c r="AB145" s="338"/>
      <c r="AC145" s="338" t="s">
        <v>6249</v>
      </c>
      <c r="AD145" s="338"/>
      <c r="AF145" s="502" t="str">
        <f>Table15[[#This Row],[code2]]</f>
        <v>PHL</v>
      </c>
      <c r="AG145" s="502" t="str">
        <f>Table15[[#This Row],[code5]]</f>
        <v>PHLBFDS</v>
      </c>
    </row>
    <row r="146" spans="1:33">
      <c r="A146" s="338" t="s">
        <v>6072</v>
      </c>
      <c r="B146" s="338" t="s">
        <v>6073</v>
      </c>
      <c r="C146" s="337">
        <v>1</v>
      </c>
      <c r="D146" s="338" t="s">
        <v>6074</v>
      </c>
      <c r="E146" s="338" t="s">
        <v>6075</v>
      </c>
      <c r="F146" s="337">
        <v>1</v>
      </c>
      <c r="G146" s="337">
        <v>1</v>
      </c>
      <c r="H146" s="338" t="s">
        <v>6075</v>
      </c>
      <c r="I146" s="338" t="s">
        <v>9548</v>
      </c>
      <c r="J146" s="338" t="s">
        <v>9550</v>
      </c>
      <c r="K146" s="338" t="s">
        <v>6076</v>
      </c>
      <c r="L146" s="338"/>
      <c r="M146" s="338" t="s">
        <v>6217</v>
      </c>
      <c r="N146" s="338" t="s">
        <v>8312</v>
      </c>
      <c r="O146" s="337">
        <v>0</v>
      </c>
      <c r="P146" s="337">
        <v>0</v>
      </c>
      <c r="Q146" s="338"/>
      <c r="R146" s="338" t="s">
        <v>14</v>
      </c>
      <c r="S146" s="338"/>
      <c r="T146" s="338"/>
      <c r="U146" s="338" t="s">
        <v>6251</v>
      </c>
      <c r="V146" s="337">
        <v>0</v>
      </c>
      <c r="W146" s="337">
        <v>0</v>
      </c>
      <c r="X146" s="338"/>
      <c r="Y146" s="338" t="s">
        <v>493</v>
      </c>
      <c r="Z146" s="338" t="s">
        <v>8019</v>
      </c>
      <c r="AA146" s="338" t="s">
        <v>6079</v>
      </c>
      <c r="AB146" s="338"/>
      <c r="AC146" s="338" t="s">
        <v>6249</v>
      </c>
      <c r="AD146" s="338"/>
      <c r="AF146" s="502" t="str">
        <f>Table15[[#This Row],[code2]]</f>
        <v>PHL</v>
      </c>
      <c r="AG146" s="502" t="str">
        <f>Table15[[#This Row],[code5]]</f>
        <v>PHLBFDS</v>
      </c>
    </row>
    <row r="147" spans="1:33">
      <c r="A147" s="338" t="s">
        <v>6072</v>
      </c>
      <c r="B147" s="338" t="s">
        <v>6073</v>
      </c>
      <c r="C147" s="337">
        <v>1</v>
      </c>
      <c r="D147" s="338" t="s">
        <v>6074</v>
      </c>
      <c r="E147" s="338" t="s">
        <v>6075</v>
      </c>
      <c r="F147" s="337">
        <v>1</v>
      </c>
      <c r="G147" s="337">
        <v>1</v>
      </c>
      <c r="H147" s="338" t="s">
        <v>6075</v>
      </c>
      <c r="I147" s="338" t="s">
        <v>9548</v>
      </c>
      <c r="J147" s="338" t="s">
        <v>9550</v>
      </c>
      <c r="K147" s="338" t="s">
        <v>6076</v>
      </c>
      <c r="L147" s="338"/>
      <c r="M147" s="338" t="s">
        <v>6217</v>
      </c>
      <c r="N147" s="338" t="s">
        <v>8312</v>
      </c>
      <c r="O147" s="337">
        <v>0</v>
      </c>
      <c r="P147" s="337">
        <v>0</v>
      </c>
      <c r="Q147" s="338"/>
      <c r="R147" s="338" t="s">
        <v>14</v>
      </c>
      <c r="S147" s="338"/>
      <c r="T147" s="338"/>
      <c r="U147" s="338" t="s">
        <v>6252</v>
      </c>
      <c r="V147" s="337">
        <v>0</v>
      </c>
      <c r="W147" s="337">
        <v>0</v>
      </c>
      <c r="X147" s="338"/>
      <c r="Y147" s="338" t="s">
        <v>6085</v>
      </c>
      <c r="Z147" s="338" t="s">
        <v>8262</v>
      </c>
      <c r="AA147" s="338" t="s">
        <v>6079</v>
      </c>
      <c r="AB147" s="338"/>
      <c r="AC147" s="338" t="s">
        <v>6249</v>
      </c>
      <c r="AD147" s="338"/>
      <c r="AF147" s="502" t="str">
        <f>Table15[[#This Row],[code2]]</f>
        <v>PHL</v>
      </c>
      <c r="AG147" s="502" t="str">
        <f>Table15[[#This Row],[code5]]</f>
        <v>PHLBFDS</v>
      </c>
    </row>
    <row r="148" spans="1:33">
      <c r="A148" s="338" t="s">
        <v>6072</v>
      </c>
      <c r="B148" s="338" t="s">
        <v>6073</v>
      </c>
      <c r="C148" s="337">
        <v>1</v>
      </c>
      <c r="D148" s="338" t="s">
        <v>6074</v>
      </c>
      <c r="E148" s="338" t="s">
        <v>6075</v>
      </c>
      <c r="F148" s="337">
        <v>1</v>
      </c>
      <c r="G148" s="337">
        <v>1</v>
      </c>
      <c r="H148" s="338" t="s">
        <v>6075</v>
      </c>
      <c r="I148" s="338" t="s">
        <v>9548</v>
      </c>
      <c r="J148" s="338" t="s">
        <v>9550</v>
      </c>
      <c r="K148" s="338" t="s">
        <v>6076</v>
      </c>
      <c r="L148" s="338"/>
      <c r="M148" s="338" t="s">
        <v>6217</v>
      </c>
      <c r="N148" s="338" t="s">
        <v>8312</v>
      </c>
      <c r="O148" s="337">
        <v>0</v>
      </c>
      <c r="P148" s="337">
        <v>0</v>
      </c>
      <c r="Q148" s="338"/>
      <c r="R148" s="338" t="s">
        <v>14</v>
      </c>
      <c r="S148" s="338"/>
      <c r="T148" s="338"/>
      <c r="U148" s="338" t="s">
        <v>6253</v>
      </c>
      <c r="V148" s="337">
        <v>0</v>
      </c>
      <c r="W148" s="337">
        <v>0</v>
      </c>
      <c r="X148" s="338"/>
      <c r="Y148" s="338" t="s">
        <v>497</v>
      </c>
      <c r="Z148" s="338" t="s">
        <v>7971</v>
      </c>
      <c r="AA148" s="338" t="s">
        <v>6079</v>
      </c>
      <c r="AB148" s="338"/>
      <c r="AC148" s="338" t="s">
        <v>6254</v>
      </c>
      <c r="AD148" s="338"/>
      <c r="AF148" s="502" t="str">
        <f>Table15[[#This Row],[code2]]</f>
        <v>PHL</v>
      </c>
      <c r="AG148" s="502" t="str">
        <f>Table15[[#This Row],[code5]]</f>
        <v>PHLBFDS</v>
      </c>
    </row>
    <row r="149" spans="1:33">
      <c r="A149" s="338" t="s">
        <v>6072</v>
      </c>
      <c r="B149" s="338" t="s">
        <v>6073</v>
      </c>
      <c r="C149" s="337">
        <v>1</v>
      </c>
      <c r="D149" s="338" t="s">
        <v>6074</v>
      </c>
      <c r="E149" s="338" t="s">
        <v>6075</v>
      </c>
      <c r="F149" s="337">
        <v>1</v>
      </c>
      <c r="G149" s="337">
        <v>1</v>
      </c>
      <c r="H149" s="338" t="s">
        <v>6075</v>
      </c>
      <c r="I149" s="338" t="s">
        <v>9548</v>
      </c>
      <c r="J149" s="338" t="s">
        <v>9550</v>
      </c>
      <c r="K149" s="338" t="s">
        <v>6076</v>
      </c>
      <c r="L149" s="338"/>
      <c r="M149" s="338" t="s">
        <v>6217</v>
      </c>
      <c r="N149" s="338" t="s">
        <v>8312</v>
      </c>
      <c r="O149" s="337">
        <v>0</v>
      </c>
      <c r="P149" s="337">
        <v>0</v>
      </c>
      <c r="Q149" s="338"/>
      <c r="R149" s="338" t="s">
        <v>14</v>
      </c>
      <c r="S149" s="338"/>
      <c r="T149" s="338"/>
      <c r="U149" s="338" t="s">
        <v>6255</v>
      </c>
      <c r="V149" s="337">
        <v>0</v>
      </c>
      <c r="W149" s="337">
        <v>0</v>
      </c>
      <c r="X149" s="338"/>
      <c r="Y149" s="338" t="s">
        <v>6081</v>
      </c>
      <c r="Z149" s="338" t="s">
        <v>6589</v>
      </c>
      <c r="AA149" s="338" t="s">
        <v>6079</v>
      </c>
      <c r="AB149" s="338"/>
      <c r="AC149" s="338" t="s">
        <v>6254</v>
      </c>
      <c r="AD149" s="338"/>
      <c r="AF149" s="502" t="str">
        <f>Table15[[#This Row],[code2]]</f>
        <v>PHL</v>
      </c>
      <c r="AG149" s="502" t="str">
        <f>Table15[[#This Row],[code5]]</f>
        <v>PHLBFDS</v>
      </c>
    </row>
    <row r="150" spans="1:33">
      <c r="A150" s="338" t="s">
        <v>6072</v>
      </c>
      <c r="B150" s="338" t="s">
        <v>6073</v>
      </c>
      <c r="C150" s="337">
        <v>1</v>
      </c>
      <c r="D150" s="338" t="s">
        <v>6074</v>
      </c>
      <c r="E150" s="338" t="s">
        <v>6075</v>
      </c>
      <c r="F150" s="337">
        <v>1</v>
      </c>
      <c r="G150" s="337">
        <v>1</v>
      </c>
      <c r="H150" s="338" t="s">
        <v>6075</v>
      </c>
      <c r="I150" s="338" t="s">
        <v>9548</v>
      </c>
      <c r="J150" s="338" t="s">
        <v>9550</v>
      </c>
      <c r="K150" s="338" t="s">
        <v>6076</v>
      </c>
      <c r="L150" s="338"/>
      <c r="M150" s="338" t="s">
        <v>6217</v>
      </c>
      <c r="N150" s="338" t="s">
        <v>8312</v>
      </c>
      <c r="O150" s="337">
        <v>0</v>
      </c>
      <c r="P150" s="337">
        <v>0</v>
      </c>
      <c r="Q150" s="338"/>
      <c r="R150" s="338" t="s">
        <v>14</v>
      </c>
      <c r="S150" s="338"/>
      <c r="T150" s="338"/>
      <c r="U150" s="338" t="s">
        <v>6256</v>
      </c>
      <c r="V150" s="337">
        <v>0</v>
      </c>
      <c r="W150" s="337">
        <v>0</v>
      </c>
      <c r="X150" s="338"/>
      <c r="Y150" s="338" t="s">
        <v>493</v>
      </c>
      <c r="Z150" s="338" t="s">
        <v>8019</v>
      </c>
      <c r="AA150" s="338" t="s">
        <v>6079</v>
      </c>
      <c r="AB150" s="338"/>
      <c r="AC150" s="338" t="s">
        <v>6254</v>
      </c>
      <c r="AD150" s="338"/>
      <c r="AF150" s="502" t="str">
        <f>Table15[[#This Row],[code2]]</f>
        <v>PHL</v>
      </c>
      <c r="AG150" s="502" t="str">
        <f>Table15[[#This Row],[code5]]</f>
        <v>PHLBFDS</v>
      </c>
    </row>
    <row r="151" spans="1:33">
      <c r="A151" s="338" t="s">
        <v>6072</v>
      </c>
      <c r="B151" s="338" t="s">
        <v>6073</v>
      </c>
      <c r="C151" s="337">
        <v>1</v>
      </c>
      <c r="D151" s="338" t="s">
        <v>6074</v>
      </c>
      <c r="E151" s="338" t="s">
        <v>6075</v>
      </c>
      <c r="F151" s="337">
        <v>1</v>
      </c>
      <c r="G151" s="337">
        <v>1</v>
      </c>
      <c r="H151" s="338" t="s">
        <v>6075</v>
      </c>
      <c r="I151" s="338" t="s">
        <v>9548</v>
      </c>
      <c r="J151" s="338" t="s">
        <v>9550</v>
      </c>
      <c r="K151" s="338" t="s">
        <v>6076</v>
      </c>
      <c r="L151" s="338"/>
      <c r="M151" s="338" t="s">
        <v>6217</v>
      </c>
      <c r="N151" s="338" t="s">
        <v>8312</v>
      </c>
      <c r="O151" s="337">
        <v>0</v>
      </c>
      <c r="P151" s="337">
        <v>0</v>
      </c>
      <c r="Q151" s="338"/>
      <c r="R151" s="338" t="s">
        <v>14</v>
      </c>
      <c r="S151" s="338"/>
      <c r="T151" s="338"/>
      <c r="U151" s="338" t="s">
        <v>6257</v>
      </c>
      <c r="V151" s="337">
        <v>0</v>
      </c>
      <c r="W151" s="337">
        <v>0</v>
      </c>
      <c r="X151" s="338"/>
      <c r="Y151" s="338" t="s">
        <v>6085</v>
      </c>
      <c r="Z151" s="338" t="s">
        <v>8262</v>
      </c>
      <c r="AA151" s="338" t="s">
        <v>6079</v>
      </c>
      <c r="AB151" s="338"/>
      <c r="AC151" s="338" t="s">
        <v>6254</v>
      </c>
      <c r="AD151" s="338"/>
      <c r="AF151" s="502" t="str">
        <f>Table15[[#This Row],[code2]]</f>
        <v>PHL</v>
      </c>
      <c r="AG151" s="502" t="str">
        <f>Table15[[#This Row],[code5]]</f>
        <v>PHLBFDS</v>
      </c>
    </row>
    <row r="152" spans="1:33">
      <c r="A152" s="338" t="s">
        <v>6072</v>
      </c>
      <c r="B152" s="338" t="s">
        <v>6073</v>
      </c>
      <c r="C152" s="337">
        <v>1</v>
      </c>
      <c r="D152" s="338" t="s">
        <v>6074</v>
      </c>
      <c r="E152" s="338" t="s">
        <v>6075</v>
      </c>
      <c r="F152" s="337">
        <v>1</v>
      </c>
      <c r="G152" s="337">
        <v>1</v>
      </c>
      <c r="H152" s="338" t="s">
        <v>6075</v>
      </c>
      <c r="I152" s="338" t="s">
        <v>9548</v>
      </c>
      <c r="J152" s="338" t="s">
        <v>9550</v>
      </c>
      <c r="K152" s="338" t="s">
        <v>6076</v>
      </c>
      <c r="L152" s="338"/>
      <c r="M152" s="338" t="s">
        <v>6217</v>
      </c>
      <c r="N152" s="338" t="s">
        <v>8312</v>
      </c>
      <c r="O152" s="337">
        <v>0</v>
      </c>
      <c r="P152" s="337">
        <v>0</v>
      </c>
      <c r="Q152" s="338"/>
      <c r="R152" s="338" t="s">
        <v>14</v>
      </c>
      <c r="S152" s="338"/>
      <c r="T152" s="338"/>
      <c r="U152" s="338" t="s">
        <v>6258</v>
      </c>
      <c r="V152" s="337">
        <v>0</v>
      </c>
      <c r="W152" s="337">
        <v>0</v>
      </c>
      <c r="X152" s="338"/>
      <c r="Y152" s="338" t="s">
        <v>497</v>
      </c>
      <c r="Z152" s="338" t="s">
        <v>8019</v>
      </c>
      <c r="AA152" s="338" t="s">
        <v>6079</v>
      </c>
      <c r="AB152" s="338"/>
      <c r="AC152" s="338" t="s">
        <v>6259</v>
      </c>
      <c r="AD152" s="338"/>
      <c r="AF152" s="502" t="str">
        <f>Table15[[#This Row],[code2]]</f>
        <v>PHL</v>
      </c>
      <c r="AG152" s="502" t="str">
        <f>Table15[[#This Row],[code5]]</f>
        <v>PHLBFDS</v>
      </c>
    </row>
    <row r="153" spans="1:33">
      <c r="A153" s="338" t="s">
        <v>6072</v>
      </c>
      <c r="B153" s="338" t="s">
        <v>6073</v>
      </c>
      <c r="C153" s="337">
        <v>1</v>
      </c>
      <c r="D153" s="338" t="s">
        <v>6074</v>
      </c>
      <c r="E153" s="338" t="s">
        <v>6075</v>
      </c>
      <c r="F153" s="337">
        <v>1</v>
      </c>
      <c r="G153" s="337">
        <v>1</v>
      </c>
      <c r="H153" s="338" t="s">
        <v>6075</v>
      </c>
      <c r="I153" s="338" t="s">
        <v>9548</v>
      </c>
      <c r="J153" s="338" t="s">
        <v>9550</v>
      </c>
      <c r="K153" s="338" t="s">
        <v>6076</v>
      </c>
      <c r="L153" s="338"/>
      <c r="M153" s="338" t="s">
        <v>6217</v>
      </c>
      <c r="N153" s="338" t="s">
        <v>8312</v>
      </c>
      <c r="O153" s="337">
        <v>0</v>
      </c>
      <c r="P153" s="337">
        <v>0</v>
      </c>
      <c r="Q153" s="338"/>
      <c r="R153" s="338" t="s">
        <v>14</v>
      </c>
      <c r="S153" s="338"/>
      <c r="T153" s="338"/>
      <c r="U153" s="338" t="s">
        <v>6260</v>
      </c>
      <c r="V153" s="337">
        <v>0</v>
      </c>
      <c r="W153" s="337">
        <v>0</v>
      </c>
      <c r="X153" s="338"/>
      <c r="Y153" s="338" t="s">
        <v>6081</v>
      </c>
      <c r="Z153" s="338" t="s">
        <v>8245</v>
      </c>
      <c r="AA153" s="338" t="s">
        <v>6079</v>
      </c>
      <c r="AB153" s="338"/>
      <c r="AC153" s="338" t="s">
        <v>6259</v>
      </c>
      <c r="AD153" s="338"/>
      <c r="AF153" s="502" t="str">
        <f>Table15[[#This Row],[code2]]</f>
        <v>PHL</v>
      </c>
      <c r="AG153" s="502" t="str">
        <f>Table15[[#This Row],[code5]]</f>
        <v>PHLBFDS</v>
      </c>
    </row>
    <row r="154" spans="1:33">
      <c r="A154" s="338" t="s">
        <v>6072</v>
      </c>
      <c r="B154" s="338" t="s">
        <v>6073</v>
      </c>
      <c r="C154" s="337">
        <v>1</v>
      </c>
      <c r="D154" s="338" t="s">
        <v>6074</v>
      </c>
      <c r="E154" s="338" t="s">
        <v>6075</v>
      </c>
      <c r="F154" s="337">
        <v>1</v>
      </c>
      <c r="G154" s="337">
        <v>1</v>
      </c>
      <c r="H154" s="338" t="s">
        <v>6075</v>
      </c>
      <c r="I154" s="338" t="s">
        <v>9548</v>
      </c>
      <c r="J154" s="338" t="s">
        <v>9550</v>
      </c>
      <c r="K154" s="338" t="s">
        <v>6076</v>
      </c>
      <c r="L154" s="338"/>
      <c r="M154" s="338" t="s">
        <v>6217</v>
      </c>
      <c r="N154" s="338" t="s">
        <v>8312</v>
      </c>
      <c r="O154" s="337">
        <v>0</v>
      </c>
      <c r="P154" s="337">
        <v>0</v>
      </c>
      <c r="Q154" s="338"/>
      <c r="R154" s="338" t="s">
        <v>14</v>
      </c>
      <c r="S154" s="338"/>
      <c r="T154" s="338"/>
      <c r="U154" s="338" t="s">
        <v>6261</v>
      </c>
      <c r="V154" s="337">
        <v>0</v>
      </c>
      <c r="W154" s="337">
        <v>0</v>
      </c>
      <c r="X154" s="338"/>
      <c r="Y154" s="338" t="s">
        <v>493</v>
      </c>
      <c r="Z154" s="338" t="s">
        <v>8015</v>
      </c>
      <c r="AA154" s="338" t="s">
        <v>6079</v>
      </c>
      <c r="AB154" s="338"/>
      <c r="AC154" s="338" t="s">
        <v>6259</v>
      </c>
      <c r="AD154" s="338"/>
      <c r="AF154" s="502" t="str">
        <f>Table15[[#This Row],[code2]]</f>
        <v>PHL</v>
      </c>
      <c r="AG154" s="502" t="str">
        <f>Table15[[#This Row],[code5]]</f>
        <v>PHLBFDS</v>
      </c>
    </row>
    <row r="155" spans="1:33">
      <c r="A155" s="338" t="s">
        <v>6072</v>
      </c>
      <c r="B155" s="338" t="s">
        <v>6073</v>
      </c>
      <c r="C155" s="337">
        <v>1</v>
      </c>
      <c r="D155" s="338" t="s">
        <v>6074</v>
      </c>
      <c r="E155" s="338" t="s">
        <v>6075</v>
      </c>
      <c r="F155" s="337">
        <v>1</v>
      </c>
      <c r="G155" s="337">
        <v>1</v>
      </c>
      <c r="H155" s="338" t="s">
        <v>6075</v>
      </c>
      <c r="I155" s="338" t="s">
        <v>9548</v>
      </c>
      <c r="J155" s="338" t="s">
        <v>9550</v>
      </c>
      <c r="K155" s="338" t="s">
        <v>6076</v>
      </c>
      <c r="L155" s="338"/>
      <c r="M155" s="338" t="s">
        <v>6217</v>
      </c>
      <c r="N155" s="338" t="s">
        <v>8312</v>
      </c>
      <c r="O155" s="337">
        <v>0</v>
      </c>
      <c r="P155" s="337">
        <v>0</v>
      </c>
      <c r="Q155" s="338"/>
      <c r="R155" s="338" t="s">
        <v>14</v>
      </c>
      <c r="S155" s="338"/>
      <c r="T155" s="338"/>
      <c r="U155" s="338" t="s">
        <v>6262</v>
      </c>
      <c r="V155" s="337">
        <v>0</v>
      </c>
      <c r="W155" s="337">
        <v>0</v>
      </c>
      <c r="X155" s="338"/>
      <c r="Y155" s="338" t="s">
        <v>6085</v>
      </c>
      <c r="Z155" s="338" t="s">
        <v>6509</v>
      </c>
      <c r="AA155" s="338" t="s">
        <v>6079</v>
      </c>
      <c r="AB155" s="338"/>
      <c r="AC155" s="338" t="s">
        <v>6259</v>
      </c>
      <c r="AD155" s="338"/>
      <c r="AF155" s="502" t="str">
        <f>Table15[[#This Row],[code2]]</f>
        <v>PHL</v>
      </c>
      <c r="AG155" s="502" t="str">
        <f>Table15[[#This Row],[code5]]</f>
        <v>PHLBFDS</v>
      </c>
    </row>
    <row r="156" spans="1:33">
      <c r="A156" s="338" t="s">
        <v>6072</v>
      </c>
      <c r="B156" s="338" t="s">
        <v>6073</v>
      </c>
      <c r="C156" s="337">
        <v>1</v>
      </c>
      <c r="D156" s="338" t="s">
        <v>6074</v>
      </c>
      <c r="E156" s="338" t="s">
        <v>6075</v>
      </c>
      <c r="F156" s="337">
        <v>1</v>
      </c>
      <c r="G156" s="337">
        <v>1</v>
      </c>
      <c r="H156" s="338" t="s">
        <v>6075</v>
      </c>
      <c r="I156" s="338" t="s">
        <v>9548</v>
      </c>
      <c r="J156" s="338" t="s">
        <v>9550</v>
      </c>
      <c r="K156" s="338" t="s">
        <v>6076</v>
      </c>
      <c r="L156" s="338"/>
      <c r="M156" s="338" t="s">
        <v>6217</v>
      </c>
      <c r="N156" s="338" t="s">
        <v>8312</v>
      </c>
      <c r="O156" s="337">
        <v>0</v>
      </c>
      <c r="P156" s="337">
        <v>0</v>
      </c>
      <c r="Q156" s="338"/>
      <c r="R156" s="338" t="s">
        <v>14</v>
      </c>
      <c r="S156" s="338"/>
      <c r="T156" s="338"/>
      <c r="U156" s="338" t="s">
        <v>6263</v>
      </c>
      <c r="V156" s="337">
        <v>0</v>
      </c>
      <c r="W156" s="337">
        <v>0</v>
      </c>
      <c r="X156" s="338"/>
      <c r="Y156" s="338" t="s">
        <v>497</v>
      </c>
      <c r="Z156" s="338" t="s">
        <v>8019</v>
      </c>
      <c r="AA156" s="338" t="s">
        <v>6079</v>
      </c>
      <c r="AB156" s="338"/>
      <c r="AC156" s="338" t="s">
        <v>6264</v>
      </c>
      <c r="AD156" s="338"/>
      <c r="AF156" s="502" t="str">
        <f>Table15[[#This Row],[code2]]</f>
        <v>PHL</v>
      </c>
      <c r="AG156" s="502" t="str">
        <f>Table15[[#This Row],[code5]]</f>
        <v>PHLBFDS</v>
      </c>
    </row>
    <row r="157" spans="1:33">
      <c r="A157" s="338" t="s">
        <v>6072</v>
      </c>
      <c r="B157" s="338" t="s">
        <v>6073</v>
      </c>
      <c r="C157" s="337">
        <v>1</v>
      </c>
      <c r="D157" s="338" t="s">
        <v>6074</v>
      </c>
      <c r="E157" s="338" t="s">
        <v>6075</v>
      </c>
      <c r="F157" s="337">
        <v>1</v>
      </c>
      <c r="G157" s="337">
        <v>1</v>
      </c>
      <c r="H157" s="338" t="s">
        <v>6075</v>
      </c>
      <c r="I157" s="338" t="s">
        <v>9548</v>
      </c>
      <c r="J157" s="338" t="s">
        <v>9550</v>
      </c>
      <c r="K157" s="338" t="s">
        <v>6076</v>
      </c>
      <c r="L157" s="338"/>
      <c r="M157" s="338" t="s">
        <v>6217</v>
      </c>
      <c r="N157" s="338" t="s">
        <v>8312</v>
      </c>
      <c r="O157" s="337">
        <v>0</v>
      </c>
      <c r="P157" s="337">
        <v>0</v>
      </c>
      <c r="Q157" s="338"/>
      <c r="R157" s="338" t="s">
        <v>14</v>
      </c>
      <c r="S157" s="338"/>
      <c r="T157" s="338"/>
      <c r="U157" s="338" t="s">
        <v>6265</v>
      </c>
      <c r="V157" s="337">
        <v>0</v>
      </c>
      <c r="W157" s="337">
        <v>0</v>
      </c>
      <c r="X157" s="338"/>
      <c r="Y157" s="338" t="s">
        <v>6081</v>
      </c>
      <c r="Z157" s="338" t="s">
        <v>8245</v>
      </c>
      <c r="AA157" s="338" t="s">
        <v>6079</v>
      </c>
      <c r="AB157" s="338"/>
      <c r="AC157" s="338" t="s">
        <v>6264</v>
      </c>
      <c r="AD157" s="338"/>
      <c r="AF157" s="502" t="str">
        <f>Table15[[#This Row],[code2]]</f>
        <v>PHL</v>
      </c>
      <c r="AG157" s="502" t="str">
        <f>Table15[[#This Row],[code5]]</f>
        <v>PHLBFDS</v>
      </c>
    </row>
    <row r="158" spans="1:33">
      <c r="A158" s="338" t="s">
        <v>6072</v>
      </c>
      <c r="B158" s="338" t="s">
        <v>6073</v>
      </c>
      <c r="C158" s="337">
        <v>1</v>
      </c>
      <c r="D158" s="338" t="s">
        <v>6074</v>
      </c>
      <c r="E158" s="338" t="s">
        <v>6075</v>
      </c>
      <c r="F158" s="337">
        <v>1</v>
      </c>
      <c r="G158" s="337">
        <v>1</v>
      </c>
      <c r="H158" s="338" t="s">
        <v>6075</v>
      </c>
      <c r="I158" s="338" t="s">
        <v>9548</v>
      </c>
      <c r="J158" s="338" t="s">
        <v>9550</v>
      </c>
      <c r="K158" s="338" t="s">
        <v>6076</v>
      </c>
      <c r="L158" s="338"/>
      <c r="M158" s="338" t="s">
        <v>6217</v>
      </c>
      <c r="N158" s="338" t="s">
        <v>8312</v>
      </c>
      <c r="O158" s="337">
        <v>0</v>
      </c>
      <c r="P158" s="337">
        <v>0</v>
      </c>
      <c r="Q158" s="338"/>
      <c r="R158" s="338" t="s">
        <v>14</v>
      </c>
      <c r="S158" s="338"/>
      <c r="T158" s="338"/>
      <c r="U158" s="338" t="s">
        <v>6266</v>
      </c>
      <c r="V158" s="337">
        <v>0</v>
      </c>
      <c r="W158" s="337">
        <v>0</v>
      </c>
      <c r="X158" s="338"/>
      <c r="Y158" s="338" t="s">
        <v>493</v>
      </c>
      <c r="Z158" s="338" t="s">
        <v>8015</v>
      </c>
      <c r="AA158" s="338" t="s">
        <v>6079</v>
      </c>
      <c r="AB158" s="338"/>
      <c r="AC158" s="338" t="s">
        <v>6264</v>
      </c>
      <c r="AD158" s="338"/>
      <c r="AF158" s="502" t="str">
        <f>Table15[[#This Row],[code2]]</f>
        <v>PHL</v>
      </c>
      <c r="AG158" s="502" t="str">
        <f>Table15[[#This Row],[code5]]</f>
        <v>PHLBFDS</v>
      </c>
    </row>
    <row r="159" spans="1:33">
      <c r="A159" s="338" t="s">
        <v>6072</v>
      </c>
      <c r="B159" s="338" t="s">
        <v>6073</v>
      </c>
      <c r="C159" s="337">
        <v>1</v>
      </c>
      <c r="D159" s="338" t="s">
        <v>6074</v>
      </c>
      <c r="E159" s="338" t="s">
        <v>6075</v>
      </c>
      <c r="F159" s="337">
        <v>1</v>
      </c>
      <c r="G159" s="337">
        <v>1</v>
      </c>
      <c r="H159" s="338" t="s">
        <v>6075</v>
      </c>
      <c r="I159" s="338" t="s">
        <v>9548</v>
      </c>
      <c r="J159" s="338" t="s">
        <v>9550</v>
      </c>
      <c r="K159" s="338" t="s">
        <v>6076</v>
      </c>
      <c r="L159" s="338"/>
      <c r="M159" s="338" t="s">
        <v>6217</v>
      </c>
      <c r="N159" s="338" t="s">
        <v>8312</v>
      </c>
      <c r="O159" s="337">
        <v>0</v>
      </c>
      <c r="P159" s="337">
        <v>0</v>
      </c>
      <c r="Q159" s="338"/>
      <c r="R159" s="338" t="s">
        <v>14</v>
      </c>
      <c r="S159" s="338"/>
      <c r="T159" s="338"/>
      <c r="U159" s="338" t="s">
        <v>6267</v>
      </c>
      <c r="V159" s="337">
        <v>0</v>
      </c>
      <c r="W159" s="337">
        <v>0</v>
      </c>
      <c r="X159" s="338"/>
      <c r="Y159" s="338" t="s">
        <v>6085</v>
      </c>
      <c r="Z159" s="338" t="s">
        <v>6509</v>
      </c>
      <c r="AA159" s="338" t="s">
        <v>6079</v>
      </c>
      <c r="AB159" s="338"/>
      <c r="AC159" s="338" t="s">
        <v>6264</v>
      </c>
      <c r="AD159" s="338"/>
      <c r="AF159" s="502" t="str">
        <f>Table15[[#This Row],[code2]]</f>
        <v>PHL</v>
      </c>
      <c r="AG159" s="502" t="str">
        <f>Table15[[#This Row],[code5]]</f>
        <v>PHLBFDS</v>
      </c>
    </row>
    <row r="160" spans="1:33">
      <c r="A160" s="338" t="s">
        <v>6072</v>
      </c>
      <c r="B160" s="338" t="s">
        <v>6073</v>
      </c>
      <c r="C160" s="337">
        <v>1</v>
      </c>
      <c r="D160" s="338" t="s">
        <v>6074</v>
      </c>
      <c r="E160" s="338" t="s">
        <v>6075</v>
      </c>
      <c r="F160" s="337">
        <v>1</v>
      </c>
      <c r="G160" s="337">
        <v>1</v>
      </c>
      <c r="H160" s="338" t="s">
        <v>6075</v>
      </c>
      <c r="I160" s="338" t="s">
        <v>9548</v>
      </c>
      <c r="J160" s="338" t="s">
        <v>9550</v>
      </c>
      <c r="K160" s="338" t="s">
        <v>6076</v>
      </c>
      <c r="L160" s="338"/>
      <c r="M160" s="338" t="s">
        <v>6217</v>
      </c>
      <c r="N160" s="338" t="s">
        <v>8312</v>
      </c>
      <c r="O160" s="337">
        <v>0</v>
      </c>
      <c r="P160" s="337">
        <v>0</v>
      </c>
      <c r="Q160" s="338"/>
      <c r="R160" s="338" t="s">
        <v>14</v>
      </c>
      <c r="S160" s="338"/>
      <c r="T160" s="338"/>
      <c r="U160" s="338" t="s">
        <v>6268</v>
      </c>
      <c r="V160" s="337">
        <v>0</v>
      </c>
      <c r="W160" s="337">
        <v>0</v>
      </c>
      <c r="X160" s="338"/>
      <c r="Y160" s="338" t="s">
        <v>497</v>
      </c>
      <c r="Z160" s="338" t="s">
        <v>8011</v>
      </c>
      <c r="AA160" s="338" t="s">
        <v>6079</v>
      </c>
      <c r="AB160" s="338"/>
      <c r="AC160" s="338" t="s">
        <v>6269</v>
      </c>
      <c r="AD160" s="338"/>
      <c r="AF160" s="502" t="str">
        <f>Table15[[#This Row],[code2]]</f>
        <v>PHL</v>
      </c>
      <c r="AG160" s="502" t="str">
        <f>Table15[[#This Row],[code5]]</f>
        <v>PHLBFDS</v>
      </c>
    </row>
    <row r="161" spans="1:33">
      <c r="A161" s="338" t="s">
        <v>6072</v>
      </c>
      <c r="B161" s="338" t="s">
        <v>6073</v>
      </c>
      <c r="C161" s="337">
        <v>1</v>
      </c>
      <c r="D161" s="338" t="s">
        <v>6074</v>
      </c>
      <c r="E161" s="338" t="s">
        <v>6075</v>
      </c>
      <c r="F161" s="337">
        <v>1</v>
      </c>
      <c r="G161" s="337">
        <v>1</v>
      </c>
      <c r="H161" s="338" t="s">
        <v>6075</v>
      </c>
      <c r="I161" s="338" t="s">
        <v>9548</v>
      </c>
      <c r="J161" s="338" t="s">
        <v>9550</v>
      </c>
      <c r="K161" s="338" t="s">
        <v>6076</v>
      </c>
      <c r="L161" s="338"/>
      <c r="M161" s="338" t="s">
        <v>6217</v>
      </c>
      <c r="N161" s="338" t="s">
        <v>8312</v>
      </c>
      <c r="O161" s="337">
        <v>0</v>
      </c>
      <c r="P161" s="337">
        <v>0</v>
      </c>
      <c r="Q161" s="338"/>
      <c r="R161" s="338" t="s">
        <v>14</v>
      </c>
      <c r="S161" s="338"/>
      <c r="T161" s="338"/>
      <c r="U161" s="338" t="s">
        <v>6270</v>
      </c>
      <c r="V161" s="337">
        <v>0</v>
      </c>
      <c r="W161" s="337">
        <v>0</v>
      </c>
      <c r="X161" s="338"/>
      <c r="Y161" s="338" t="s">
        <v>6081</v>
      </c>
      <c r="Z161" s="338" t="s">
        <v>7923</v>
      </c>
      <c r="AA161" s="338" t="s">
        <v>6079</v>
      </c>
      <c r="AB161" s="338"/>
      <c r="AC161" s="338" t="s">
        <v>6269</v>
      </c>
      <c r="AD161" s="338"/>
      <c r="AF161" s="502" t="str">
        <f>Table15[[#This Row],[code2]]</f>
        <v>PHL</v>
      </c>
      <c r="AG161" s="502" t="str">
        <f>Table15[[#This Row],[code5]]</f>
        <v>PHLBFDS</v>
      </c>
    </row>
    <row r="162" spans="1:33">
      <c r="A162" s="338" t="s">
        <v>6072</v>
      </c>
      <c r="B162" s="338" t="s">
        <v>6073</v>
      </c>
      <c r="C162" s="337">
        <v>1</v>
      </c>
      <c r="D162" s="338" t="s">
        <v>6074</v>
      </c>
      <c r="E162" s="338" t="s">
        <v>6075</v>
      </c>
      <c r="F162" s="337">
        <v>1</v>
      </c>
      <c r="G162" s="337">
        <v>1</v>
      </c>
      <c r="H162" s="338" t="s">
        <v>6075</v>
      </c>
      <c r="I162" s="338" t="s">
        <v>9548</v>
      </c>
      <c r="J162" s="338" t="s">
        <v>9550</v>
      </c>
      <c r="K162" s="338" t="s">
        <v>6076</v>
      </c>
      <c r="L162" s="338"/>
      <c r="M162" s="338" t="s">
        <v>6217</v>
      </c>
      <c r="N162" s="338" t="s">
        <v>8312</v>
      </c>
      <c r="O162" s="337">
        <v>0</v>
      </c>
      <c r="P162" s="337">
        <v>0</v>
      </c>
      <c r="Q162" s="338"/>
      <c r="R162" s="338" t="s">
        <v>14</v>
      </c>
      <c r="S162" s="338"/>
      <c r="T162" s="338"/>
      <c r="U162" s="338" t="s">
        <v>6271</v>
      </c>
      <c r="V162" s="337">
        <v>0</v>
      </c>
      <c r="W162" s="337">
        <v>0</v>
      </c>
      <c r="X162" s="338"/>
      <c r="Y162" s="338" t="s">
        <v>493</v>
      </c>
      <c r="Z162" s="338" t="s">
        <v>8020</v>
      </c>
      <c r="AA162" s="338" t="s">
        <v>6079</v>
      </c>
      <c r="AB162" s="338"/>
      <c r="AC162" s="338" t="s">
        <v>6269</v>
      </c>
      <c r="AD162" s="338"/>
      <c r="AF162" s="502" t="str">
        <f>Table15[[#This Row],[code2]]</f>
        <v>PHL</v>
      </c>
      <c r="AG162" s="502" t="str">
        <f>Table15[[#This Row],[code5]]</f>
        <v>PHLBFDS</v>
      </c>
    </row>
    <row r="163" spans="1:33">
      <c r="A163" s="338" t="s">
        <v>6072</v>
      </c>
      <c r="B163" s="338" t="s">
        <v>6073</v>
      </c>
      <c r="C163" s="337">
        <v>1</v>
      </c>
      <c r="D163" s="338" t="s">
        <v>6074</v>
      </c>
      <c r="E163" s="338" t="s">
        <v>6075</v>
      </c>
      <c r="F163" s="337">
        <v>1</v>
      </c>
      <c r="G163" s="337">
        <v>1</v>
      </c>
      <c r="H163" s="338" t="s">
        <v>6075</v>
      </c>
      <c r="I163" s="338" t="s">
        <v>9548</v>
      </c>
      <c r="J163" s="338" t="s">
        <v>9550</v>
      </c>
      <c r="K163" s="338" t="s">
        <v>6076</v>
      </c>
      <c r="L163" s="338"/>
      <c r="M163" s="338" t="s">
        <v>6217</v>
      </c>
      <c r="N163" s="338" t="s">
        <v>8312</v>
      </c>
      <c r="O163" s="337">
        <v>0</v>
      </c>
      <c r="P163" s="337">
        <v>0</v>
      </c>
      <c r="Q163" s="338"/>
      <c r="R163" s="338" t="s">
        <v>14</v>
      </c>
      <c r="S163" s="338"/>
      <c r="T163" s="338"/>
      <c r="U163" s="338" t="s">
        <v>6272</v>
      </c>
      <c r="V163" s="337">
        <v>0</v>
      </c>
      <c r="W163" s="337">
        <v>0</v>
      </c>
      <c r="X163" s="338"/>
      <c r="Y163" s="338" t="s">
        <v>6085</v>
      </c>
      <c r="Z163" s="338" t="s">
        <v>8123</v>
      </c>
      <c r="AA163" s="338" t="s">
        <v>6079</v>
      </c>
      <c r="AB163" s="338"/>
      <c r="AC163" s="338" t="s">
        <v>6269</v>
      </c>
      <c r="AD163" s="338"/>
      <c r="AF163" s="502" t="str">
        <f>Table15[[#This Row],[code2]]</f>
        <v>PHL</v>
      </c>
      <c r="AG163" s="502" t="str">
        <f>Table15[[#This Row],[code5]]</f>
        <v>PHLBFDS</v>
      </c>
    </row>
    <row r="164" spans="1:33">
      <c r="A164" s="338" t="s">
        <v>6072</v>
      </c>
      <c r="B164" s="338" t="s">
        <v>6073</v>
      </c>
      <c r="C164" s="337">
        <v>1</v>
      </c>
      <c r="D164" s="338" t="s">
        <v>6074</v>
      </c>
      <c r="E164" s="338" t="s">
        <v>6075</v>
      </c>
      <c r="F164" s="337">
        <v>1</v>
      </c>
      <c r="G164" s="337">
        <v>1</v>
      </c>
      <c r="H164" s="338" t="s">
        <v>6075</v>
      </c>
      <c r="I164" s="338" t="s">
        <v>9548</v>
      </c>
      <c r="J164" s="338" t="s">
        <v>9550</v>
      </c>
      <c r="K164" s="338" t="s">
        <v>6076</v>
      </c>
      <c r="L164" s="338"/>
      <c r="M164" s="338" t="s">
        <v>6217</v>
      </c>
      <c r="N164" s="338" t="s">
        <v>8312</v>
      </c>
      <c r="O164" s="337">
        <v>0</v>
      </c>
      <c r="P164" s="337">
        <v>0</v>
      </c>
      <c r="Q164" s="338"/>
      <c r="R164" s="338" t="s">
        <v>14</v>
      </c>
      <c r="S164" s="338"/>
      <c r="T164" s="338"/>
      <c r="U164" s="338" t="s">
        <v>6273</v>
      </c>
      <c r="V164" s="337">
        <v>0</v>
      </c>
      <c r="W164" s="337">
        <v>0</v>
      </c>
      <c r="X164" s="338"/>
      <c r="Y164" s="338" t="s">
        <v>497</v>
      </c>
      <c r="Z164" s="338" t="s">
        <v>8011</v>
      </c>
      <c r="AA164" s="338" t="s">
        <v>6079</v>
      </c>
      <c r="AB164" s="338"/>
      <c r="AC164" s="338" t="s">
        <v>6274</v>
      </c>
      <c r="AD164" s="338"/>
      <c r="AF164" s="502" t="str">
        <f>Table15[[#This Row],[code2]]</f>
        <v>PHL</v>
      </c>
      <c r="AG164" s="502" t="str">
        <f>Table15[[#This Row],[code5]]</f>
        <v>PHLBFDS</v>
      </c>
    </row>
    <row r="165" spans="1:33">
      <c r="A165" s="338" t="s">
        <v>6072</v>
      </c>
      <c r="B165" s="338" t="s">
        <v>6073</v>
      </c>
      <c r="C165" s="337">
        <v>1</v>
      </c>
      <c r="D165" s="338" t="s">
        <v>6074</v>
      </c>
      <c r="E165" s="338" t="s">
        <v>6075</v>
      </c>
      <c r="F165" s="337">
        <v>1</v>
      </c>
      <c r="G165" s="337">
        <v>1</v>
      </c>
      <c r="H165" s="338" t="s">
        <v>6075</v>
      </c>
      <c r="I165" s="338" t="s">
        <v>9548</v>
      </c>
      <c r="J165" s="338" t="s">
        <v>9550</v>
      </c>
      <c r="K165" s="338" t="s">
        <v>6076</v>
      </c>
      <c r="L165" s="338"/>
      <c r="M165" s="338" t="s">
        <v>6217</v>
      </c>
      <c r="N165" s="338" t="s">
        <v>8312</v>
      </c>
      <c r="O165" s="337">
        <v>0</v>
      </c>
      <c r="P165" s="337">
        <v>0</v>
      </c>
      <c r="Q165" s="338"/>
      <c r="R165" s="338" t="s">
        <v>14</v>
      </c>
      <c r="S165" s="338"/>
      <c r="T165" s="338"/>
      <c r="U165" s="338" t="s">
        <v>6275</v>
      </c>
      <c r="V165" s="337">
        <v>0</v>
      </c>
      <c r="W165" s="337">
        <v>0</v>
      </c>
      <c r="X165" s="338"/>
      <c r="Y165" s="338" t="s">
        <v>6081</v>
      </c>
      <c r="Z165" s="338" t="s">
        <v>7923</v>
      </c>
      <c r="AA165" s="338" t="s">
        <v>6079</v>
      </c>
      <c r="AB165" s="338"/>
      <c r="AC165" s="338" t="s">
        <v>6274</v>
      </c>
      <c r="AD165" s="338"/>
      <c r="AF165" s="502" t="str">
        <f>Table15[[#This Row],[code2]]</f>
        <v>PHL</v>
      </c>
      <c r="AG165" s="502" t="str">
        <f>Table15[[#This Row],[code5]]</f>
        <v>PHLBFDS</v>
      </c>
    </row>
    <row r="166" spans="1:33">
      <c r="A166" s="338" t="s">
        <v>6072</v>
      </c>
      <c r="B166" s="338" t="s">
        <v>6073</v>
      </c>
      <c r="C166" s="337">
        <v>1</v>
      </c>
      <c r="D166" s="338" t="s">
        <v>6074</v>
      </c>
      <c r="E166" s="338" t="s">
        <v>6075</v>
      </c>
      <c r="F166" s="337">
        <v>1</v>
      </c>
      <c r="G166" s="337">
        <v>1</v>
      </c>
      <c r="H166" s="338" t="s">
        <v>6075</v>
      </c>
      <c r="I166" s="338" t="s">
        <v>9548</v>
      </c>
      <c r="J166" s="338" t="s">
        <v>9550</v>
      </c>
      <c r="K166" s="338" t="s">
        <v>6076</v>
      </c>
      <c r="L166" s="338"/>
      <c r="M166" s="338" t="s">
        <v>6217</v>
      </c>
      <c r="N166" s="338" t="s">
        <v>8312</v>
      </c>
      <c r="O166" s="337">
        <v>0</v>
      </c>
      <c r="P166" s="337">
        <v>0</v>
      </c>
      <c r="Q166" s="338"/>
      <c r="R166" s="338" t="s">
        <v>14</v>
      </c>
      <c r="S166" s="338"/>
      <c r="T166" s="338"/>
      <c r="U166" s="338" t="s">
        <v>6276</v>
      </c>
      <c r="V166" s="337">
        <v>0</v>
      </c>
      <c r="W166" s="337">
        <v>0</v>
      </c>
      <c r="X166" s="338"/>
      <c r="Y166" s="338" t="s">
        <v>493</v>
      </c>
      <c r="Z166" s="338" t="s">
        <v>8020</v>
      </c>
      <c r="AA166" s="338" t="s">
        <v>6079</v>
      </c>
      <c r="AB166" s="338"/>
      <c r="AC166" s="338" t="s">
        <v>6274</v>
      </c>
      <c r="AD166" s="338"/>
      <c r="AF166" s="502" t="str">
        <f>Table15[[#This Row],[code2]]</f>
        <v>PHL</v>
      </c>
      <c r="AG166" s="502" t="str">
        <f>Table15[[#This Row],[code5]]</f>
        <v>PHLBFDS</v>
      </c>
    </row>
    <row r="167" spans="1:33">
      <c r="A167" s="338" t="s">
        <v>6072</v>
      </c>
      <c r="B167" s="338" t="s">
        <v>6073</v>
      </c>
      <c r="C167" s="337">
        <v>1</v>
      </c>
      <c r="D167" s="338" t="s">
        <v>6074</v>
      </c>
      <c r="E167" s="338" t="s">
        <v>6075</v>
      </c>
      <c r="F167" s="337">
        <v>1</v>
      </c>
      <c r="G167" s="337">
        <v>1</v>
      </c>
      <c r="H167" s="338" t="s">
        <v>6075</v>
      </c>
      <c r="I167" s="338" t="s">
        <v>9548</v>
      </c>
      <c r="J167" s="338" t="s">
        <v>9550</v>
      </c>
      <c r="K167" s="338" t="s">
        <v>6076</v>
      </c>
      <c r="L167" s="338"/>
      <c r="M167" s="338" t="s">
        <v>6217</v>
      </c>
      <c r="N167" s="338" t="s">
        <v>8312</v>
      </c>
      <c r="O167" s="337">
        <v>0</v>
      </c>
      <c r="P167" s="337">
        <v>0</v>
      </c>
      <c r="Q167" s="338"/>
      <c r="R167" s="338" t="s">
        <v>14</v>
      </c>
      <c r="S167" s="338"/>
      <c r="T167" s="338"/>
      <c r="U167" s="338" t="s">
        <v>6277</v>
      </c>
      <c r="V167" s="337">
        <v>0</v>
      </c>
      <c r="W167" s="337">
        <v>0</v>
      </c>
      <c r="X167" s="338"/>
      <c r="Y167" s="338" t="s">
        <v>6085</v>
      </c>
      <c r="Z167" s="338" t="s">
        <v>8123</v>
      </c>
      <c r="AA167" s="338" t="s">
        <v>6079</v>
      </c>
      <c r="AB167" s="338"/>
      <c r="AC167" s="338" t="s">
        <v>6274</v>
      </c>
      <c r="AD167" s="338"/>
      <c r="AF167" s="502" t="str">
        <f>Table15[[#This Row],[code2]]</f>
        <v>PHL</v>
      </c>
      <c r="AG167" s="502" t="str">
        <f>Table15[[#This Row],[code5]]</f>
        <v>PHLBFDS</v>
      </c>
    </row>
    <row r="168" spans="1:33">
      <c r="A168" s="338" t="s">
        <v>6072</v>
      </c>
      <c r="B168" s="338" t="s">
        <v>6073</v>
      </c>
      <c r="C168" s="337">
        <v>1</v>
      </c>
      <c r="D168" s="338" t="s">
        <v>6074</v>
      </c>
      <c r="E168" s="338" t="s">
        <v>6075</v>
      </c>
      <c r="F168" s="337">
        <v>1</v>
      </c>
      <c r="G168" s="337">
        <v>1</v>
      </c>
      <c r="H168" s="338" t="s">
        <v>6075</v>
      </c>
      <c r="I168" s="338" t="s">
        <v>9548</v>
      </c>
      <c r="J168" s="338" t="s">
        <v>9550</v>
      </c>
      <c r="K168" s="338" t="s">
        <v>6076</v>
      </c>
      <c r="L168" s="338"/>
      <c r="M168" s="338" t="s">
        <v>6217</v>
      </c>
      <c r="N168" s="338" t="s">
        <v>8312</v>
      </c>
      <c r="O168" s="337">
        <v>0</v>
      </c>
      <c r="P168" s="337">
        <v>0</v>
      </c>
      <c r="Q168" s="338"/>
      <c r="R168" s="338" t="s">
        <v>14</v>
      </c>
      <c r="S168" s="338"/>
      <c r="T168" s="338"/>
      <c r="U168" s="338" t="s">
        <v>6278</v>
      </c>
      <c r="V168" s="337">
        <v>0</v>
      </c>
      <c r="W168" s="337">
        <v>0</v>
      </c>
      <c r="X168" s="338"/>
      <c r="Y168" s="338" t="s">
        <v>497</v>
      </c>
      <c r="Z168" s="338" t="s">
        <v>8012</v>
      </c>
      <c r="AA168" s="338" t="s">
        <v>6079</v>
      </c>
      <c r="AB168" s="338"/>
      <c r="AC168" s="338" t="s">
        <v>6279</v>
      </c>
      <c r="AD168" s="338"/>
      <c r="AF168" s="502" t="str">
        <f>Table15[[#This Row],[code2]]</f>
        <v>PHL</v>
      </c>
      <c r="AG168" s="502" t="str">
        <f>Table15[[#This Row],[code5]]</f>
        <v>PHLBFDS</v>
      </c>
    </row>
    <row r="169" spans="1:33">
      <c r="A169" s="338" t="s">
        <v>6072</v>
      </c>
      <c r="B169" s="338" t="s">
        <v>6073</v>
      </c>
      <c r="C169" s="337">
        <v>1</v>
      </c>
      <c r="D169" s="338" t="s">
        <v>6074</v>
      </c>
      <c r="E169" s="338" t="s">
        <v>6075</v>
      </c>
      <c r="F169" s="337">
        <v>1</v>
      </c>
      <c r="G169" s="337">
        <v>1</v>
      </c>
      <c r="H169" s="338" t="s">
        <v>6075</v>
      </c>
      <c r="I169" s="338" t="s">
        <v>9548</v>
      </c>
      <c r="J169" s="338" t="s">
        <v>9550</v>
      </c>
      <c r="K169" s="338" t="s">
        <v>6076</v>
      </c>
      <c r="L169" s="338"/>
      <c r="M169" s="338" t="s">
        <v>6217</v>
      </c>
      <c r="N169" s="338" t="s">
        <v>8312</v>
      </c>
      <c r="O169" s="337">
        <v>0</v>
      </c>
      <c r="P169" s="337">
        <v>0</v>
      </c>
      <c r="Q169" s="338"/>
      <c r="R169" s="338" t="s">
        <v>14</v>
      </c>
      <c r="S169" s="338"/>
      <c r="T169" s="338"/>
      <c r="U169" s="338" t="s">
        <v>6280</v>
      </c>
      <c r="V169" s="337">
        <v>0</v>
      </c>
      <c r="W169" s="337">
        <v>0</v>
      </c>
      <c r="X169" s="338"/>
      <c r="Y169" s="338" t="s">
        <v>6081</v>
      </c>
      <c r="Z169" s="338" t="s">
        <v>8013</v>
      </c>
      <c r="AA169" s="338" t="s">
        <v>6079</v>
      </c>
      <c r="AB169" s="338"/>
      <c r="AC169" s="338" t="s">
        <v>6279</v>
      </c>
      <c r="AD169" s="338"/>
      <c r="AF169" s="502" t="str">
        <f>Table15[[#This Row],[code2]]</f>
        <v>PHL</v>
      </c>
      <c r="AG169" s="502" t="str">
        <f>Table15[[#This Row],[code5]]</f>
        <v>PHLBFDS</v>
      </c>
    </row>
    <row r="170" spans="1:33">
      <c r="A170" s="338" t="s">
        <v>6072</v>
      </c>
      <c r="B170" s="338" t="s">
        <v>6073</v>
      </c>
      <c r="C170" s="337">
        <v>1</v>
      </c>
      <c r="D170" s="338" t="s">
        <v>6074</v>
      </c>
      <c r="E170" s="338" t="s">
        <v>6075</v>
      </c>
      <c r="F170" s="337">
        <v>1</v>
      </c>
      <c r="G170" s="337">
        <v>1</v>
      </c>
      <c r="H170" s="338" t="s">
        <v>6075</v>
      </c>
      <c r="I170" s="338" t="s">
        <v>9548</v>
      </c>
      <c r="J170" s="338" t="s">
        <v>9550</v>
      </c>
      <c r="K170" s="338" t="s">
        <v>6076</v>
      </c>
      <c r="L170" s="338"/>
      <c r="M170" s="338" t="s">
        <v>6217</v>
      </c>
      <c r="N170" s="338" t="s">
        <v>8312</v>
      </c>
      <c r="O170" s="337">
        <v>0</v>
      </c>
      <c r="P170" s="337">
        <v>0</v>
      </c>
      <c r="Q170" s="338"/>
      <c r="R170" s="338" t="s">
        <v>14</v>
      </c>
      <c r="S170" s="338"/>
      <c r="T170" s="338"/>
      <c r="U170" s="338" t="s">
        <v>6281</v>
      </c>
      <c r="V170" s="337">
        <v>0</v>
      </c>
      <c r="W170" s="337">
        <v>0</v>
      </c>
      <c r="X170" s="338"/>
      <c r="Y170" s="338" t="s">
        <v>493</v>
      </c>
      <c r="Z170" s="338" t="s">
        <v>7967</v>
      </c>
      <c r="AA170" s="338" t="s">
        <v>6079</v>
      </c>
      <c r="AB170" s="338"/>
      <c r="AC170" s="338" t="s">
        <v>6279</v>
      </c>
      <c r="AD170" s="338"/>
      <c r="AF170" s="502" t="str">
        <f>Table15[[#This Row],[code2]]</f>
        <v>PHL</v>
      </c>
      <c r="AG170" s="502" t="str">
        <f>Table15[[#This Row],[code5]]</f>
        <v>PHLBFDS</v>
      </c>
    </row>
    <row r="171" spans="1:33">
      <c r="A171" s="338" t="s">
        <v>6072</v>
      </c>
      <c r="B171" s="338" t="s">
        <v>6073</v>
      </c>
      <c r="C171" s="337">
        <v>1</v>
      </c>
      <c r="D171" s="338" t="s">
        <v>6074</v>
      </c>
      <c r="E171" s="338" t="s">
        <v>6075</v>
      </c>
      <c r="F171" s="337">
        <v>1</v>
      </c>
      <c r="G171" s="337">
        <v>1</v>
      </c>
      <c r="H171" s="338" t="s">
        <v>6075</v>
      </c>
      <c r="I171" s="338" t="s">
        <v>9548</v>
      </c>
      <c r="J171" s="338" t="s">
        <v>9550</v>
      </c>
      <c r="K171" s="338" t="s">
        <v>6076</v>
      </c>
      <c r="L171" s="338"/>
      <c r="M171" s="338" t="s">
        <v>6217</v>
      </c>
      <c r="N171" s="338" t="s">
        <v>8312</v>
      </c>
      <c r="O171" s="337">
        <v>0</v>
      </c>
      <c r="P171" s="337">
        <v>0</v>
      </c>
      <c r="Q171" s="338"/>
      <c r="R171" s="338" t="s">
        <v>14</v>
      </c>
      <c r="S171" s="338"/>
      <c r="T171" s="338"/>
      <c r="U171" s="338" t="s">
        <v>6282</v>
      </c>
      <c r="V171" s="337">
        <v>0</v>
      </c>
      <c r="W171" s="337">
        <v>0</v>
      </c>
      <c r="X171" s="338"/>
      <c r="Y171" s="338" t="s">
        <v>6085</v>
      </c>
      <c r="Z171" s="338" t="s">
        <v>8121</v>
      </c>
      <c r="AA171" s="338" t="s">
        <v>6079</v>
      </c>
      <c r="AB171" s="338"/>
      <c r="AC171" s="338" t="s">
        <v>6279</v>
      </c>
      <c r="AD171" s="338"/>
      <c r="AF171" s="502" t="str">
        <f>Table15[[#This Row],[code2]]</f>
        <v>PHL</v>
      </c>
      <c r="AG171" s="502" t="str">
        <f>Table15[[#This Row],[code5]]</f>
        <v>PHLBFDS</v>
      </c>
    </row>
    <row r="172" spans="1:33">
      <c r="A172" s="338" t="s">
        <v>6072</v>
      </c>
      <c r="B172" s="338" t="s">
        <v>6073</v>
      </c>
      <c r="C172" s="337">
        <v>1</v>
      </c>
      <c r="D172" s="338" t="s">
        <v>6074</v>
      </c>
      <c r="E172" s="338" t="s">
        <v>6075</v>
      </c>
      <c r="F172" s="337">
        <v>1</v>
      </c>
      <c r="G172" s="337">
        <v>1</v>
      </c>
      <c r="H172" s="338" t="s">
        <v>6075</v>
      </c>
      <c r="I172" s="338" t="s">
        <v>9548</v>
      </c>
      <c r="J172" s="338" t="s">
        <v>9550</v>
      </c>
      <c r="K172" s="338" t="s">
        <v>6076</v>
      </c>
      <c r="L172" s="338"/>
      <c r="M172" s="338" t="s">
        <v>6217</v>
      </c>
      <c r="N172" s="338" t="s">
        <v>8312</v>
      </c>
      <c r="O172" s="337">
        <v>0</v>
      </c>
      <c r="P172" s="337">
        <v>0</v>
      </c>
      <c r="Q172" s="338"/>
      <c r="R172" s="338" t="s">
        <v>14</v>
      </c>
      <c r="S172" s="338"/>
      <c r="T172" s="338"/>
      <c r="U172" s="338" t="s">
        <v>6283</v>
      </c>
      <c r="V172" s="337">
        <v>0</v>
      </c>
      <c r="W172" s="337">
        <v>0</v>
      </c>
      <c r="X172" s="338"/>
      <c r="Y172" s="338" t="s">
        <v>497</v>
      </c>
      <c r="Z172" s="338" t="s">
        <v>8012</v>
      </c>
      <c r="AA172" s="338" t="s">
        <v>6079</v>
      </c>
      <c r="AB172" s="338"/>
      <c r="AC172" s="338" t="s">
        <v>6284</v>
      </c>
      <c r="AD172" s="338"/>
      <c r="AF172" s="502" t="str">
        <f>Table15[[#This Row],[code2]]</f>
        <v>PHL</v>
      </c>
      <c r="AG172" s="502" t="str">
        <f>Table15[[#This Row],[code5]]</f>
        <v>PHLBFDS</v>
      </c>
    </row>
    <row r="173" spans="1:33">
      <c r="A173" s="338" t="s">
        <v>6072</v>
      </c>
      <c r="B173" s="338" t="s">
        <v>6073</v>
      </c>
      <c r="C173" s="337">
        <v>1</v>
      </c>
      <c r="D173" s="338" t="s">
        <v>6074</v>
      </c>
      <c r="E173" s="338" t="s">
        <v>6075</v>
      </c>
      <c r="F173" s="337">
        <v>1</v>
      </c>
      <c r="G173" s="337">
        <v>1</v>
      </c>
      <c r="H173" s="338" t="s">
        <v>6075</v>
      </c>
      <c r="I173" s="338" t="s">
        <v>9548</v>
      </c>
      <c r="J173" s="338" t="s">
        <v>9550</v>
      </c>
      <c r="K173" s="338" t="s">
        <v>6076</v>
      </c>
      <c r="L173" s="338"/>
      <c r="M173" s="338" t="s">
        <v>6217</v>
      </c>
      <c r="N173" s="338" t="s">
        <v>8312</v>
      </c>
      <c r="O173" s="337">
        <v>0</v>
      </c>
      <c r="P173" s="337">
        <v>0</v>
      </c>
      <c r="Q173" s="338"/>
      <c r="R173" s="338" t="s">
        <v>14</v>
      </c>
      <c r="S173" s="338"/>
      <c r="T173" s="338"/>
      <c r="U173" s="338" t="s">
        <v>6285</v>
      </c>
      <c r="V173" s="337">
        <v>0</v>
      </c>
      <c r="W173" s="337">
        <v>0</v>
      </c>
      <c r="X173" s="338"/>
      <c r="Y173" s="338" t="s">
        <v>6081</v>
      </c>
      <c r="Z173" s="338" t="s">
        <v>8013</v>
      </c>
      <c r="AA173" s="338" t="s">
        <v>6079</v>
      </c>
      <c r="AB173" s="338"/>
      <c r="AC173" s="338" t="s">
        <v>6284</v>
      </c>
      <c r="AD173" s="338"/>
      <c r="AF173" s="502" t="str">
        <f>Table15[[#This Row],[code2]]</f>
        <v>PHL</v>
      </c>
      <c r="AG173" s="502" t="str">
        <f>Table15[[#This Row],[code5]]</f>
        <v>PHLBFDS</v>
      </c>
    </row>
    <row r="174" spans="1:33">
      <c r="A174" s="338" t="s">
        <v>6072</v>
      </c>
      <c r="B174" s="338" t="s">
        <v>6073</v>
      </c>
      <c r="C174" s="337">
        <v>1</v>
      </c>
      <c r="D174" s="338" t="s">
        <v>6074</v>
      </c>
      <c r="E174" s="338" t="s">
        <v>6075</v>
      </c>
      <c r="F174" s="337">
        <v>1</v>
      </c>
      <c r="G174" s="337">
        <v>1</v>
      </c>
      <c r="H174" s="338" t="s">
        <v>6075</v>
      </c>
      <c r="I174" s="338" t="s">
        <v>9548</v>
      </c>
      <c r="J174" s="338" t="s">
        <v>9550</v>
      </c>
      <c r="K174" s="338" t="s">
        <v>6076</v>
      </c>
      <c r="L174" s="338"/>
      <c r="M174" s="338" t="s">
        <v>6217</v>
      </c>
      <c r="N174" s="338" t="s">
        <v>8312</v>
      </c>
      <c r="O174" s="337">
        <v>0</v>
      </c>
      <c r="P174" s="337">
        <v>0</v>
      </c>
      <c r="Q174" s="338"/>
      <c r="R174" s="338" t="s">
        <v>14</v>
      </c>
      <c r="S174" s="338"/>
      <c r="T174" s="338"/>
      <c r="U174" s="338" t="s">
        <v>6286</v>
      </c>
      <c r="V174" s="337">
        <v>0</v>
      </c>
      <c r="W174" s="337">
        <v>0</v>
      </c>
      <c r="X174" s="338"/>
      <c r="Y174" s="338" t="s">
        <v>493</v>
      </c>
      <c r="Z174" s="338" t="s">
        <v>7967</v>
      </c>
      <c r="AA174" s="338" t="s">
        <v>6079</v>
      </c>
      <c r="AB174" s="338"/>
      <c r="AC174" s="338" t="s">
        <v>6284</v>
      </c>
      <c r="AD174" s="338"/>
      <c r="AF174" s="502" t="str">
        <f>Table15[[#This Row],[code2]]</f>
        <v>PHL</v>
      </c>
      <c r="AG174" s="502" t="str">
        <f>Table15[[#This Row],[code5]]</f>
        <v>PHLBFDS</v>
      </c>
    </row>
    <row r="175" spans="1:33">
      <c r="A175" s="338" t="s">
        <v>6072</v>
      </c>
      <c r="B175" s="338" t="s">
        <v>6073</v>
      </c>
      <c r="C175" s="337">
        <v>1</v>
      </c>
      <c r="D175" s="338" t="s">
        <v>6074</v>
      </c>
      <c r="E175" s="338" t="s">
        <v>6075</v>
      </c>
      <c r="F175" s="337">
        <v>1</v>
      </c>
      <c r="G175" s="337">
        <v>1</v>
      </c>
      <c r="H175" s="338" t="s">
        <v>6075</v>
      </c>
      <c r="I175" s="338" t="s">
        <v>9548</v>
      </c>
      <c r="J175" s="338" t="s">
        <v>9550</v>
      </c>
      <c r="K175" s="338" t="s">
        <v>6076</v>
      </c>
      <c r="L175" s="338"/>
      <c r="M175" s="338" t="s">
        <v>6217</v>
      </c>
      <c r="N175" s="338" t="s">
        <v>8312</v>
      </c>
      <c r="O175" s="337">
        <v>0</v>
      </c>
      <c r="P175" s="337">
        <v>0</v>
      </c>
      <c r="Q175" s="338"/>
      <c r="R175" s="338" t="s">
        <v>14</v>
      </c>
      <c r="S175" s="338"/>
      <c r="T175" s="338"/>
      <c r="U175" s="338" t="s">
        <v>6287</v>
      </c>
      <c r="V175" s="337">
        <v>0</v>
      </c>
      <c r="W175" s="337">
        <v>0</v>
      </c>
      <c r="X175" s="338"/>
      <c r="Y175" s="338" t="s">
        <v>6085</v>
      </c>
      <c r="Z175" s="338" t="s">
        <v>8121</v>
      </c>
      <c r="AA175" s="338" t="s">
        <v>6079</v>
      </c>
      <c r="AB175" s="338"/>
      <c r="AC175" s="338" t="s">
        <v>6284</v>
      </c>
      <c r="AD175" s="338"/>
      <c r="AF175" s="502" t="str">
        <f>Table15[[#This Row],[code2]]</f>
        <v>PHL</v>
      </c>
      <c r="AG175" s="502" t="str">
        <f>Table15[[#This Row],[code5]]</f>
        <v>PHLBFDS</v>
      </c>
    </row>
    <row r="176" spans="1:33">
      <c r="A176" s="338" t="s">
        <v>6072</v>
      </c>
      <c r="B176" s="338" t="s">
        <v>6073</v>
      </c>
      <c r="C176" s="337">
        <v>1</v>
      </c>
      <c r="D176" s="338" t="s">
        <v>6074</v>
      </c>
      <c r="E176" s="338" t="s">
        <v>6075</v>
      </c>
      <c r="F176" s="337">
        <v>1</v>
      </c>
      <c r="G176" s="337">
        <v>1</v>
      </c>
      <c r="H176" s="338" t="s">
        <v>6075</v>
      </c>
      <c r="I176" s="338" t="s">
        <v>9548</v>
      </c>
      <c r="J176" s="338" t="s">
        <v>9550</v>
      </c>
      <c r="K176" s="338" t="s">
        <v>6076</v>
      </c>
      <c r="L176" s="338"/>
      <c r="M176" s="338" t="s">
        <v>6217</v>
      </c>
      <c r="N176" s="338" t="s">
        <v>8312</v>
      </c>
      <c r="O176" s="337">
        <v>0</v>
      </c>
      <c r="P176" s="337">
        <v>0</v>
      </c>
      <c r="Q176" s="338"/>
      <c r="R176" s="338" t="s">
        <v>14</v>
      </c>
      <c r="S176" s="338"/>
      <c r="T176" s="338"/>
      <c r="U176" s="338" t="s">
        <v>6288</v>
      </c>
      <c r="V176" s="337">
        <v>0</v>
      </c>
      <c r="W176" s="337">
        <v>0</v>
      </c>
      <c r="X176" s="338"/>
      <c r="Y176" s="338" t="s">
        <v>497</v>
      </c>
      <c r="Z176" s="338" t="s">
        <v>6289</v>
      </c>
      <c r="AA176" s="338" t="s">
        <v>6079</v>
      </c>
      <c r="AB176" s="338"/>
      <c r="AC176" s="338" t="s">
        <v>6290</v>
      </c>
      <c r="AD176" s="338"/>
      <c r="AF176" s="502" t="str">
        <f>Table15[[#This Row],[code2]]</f>
        <v>PHL</v>
      </c>
      <c r="AG176" s="502" t="str">
        <f>Table15[[#This Row],[code5]]</f>
        <v>PHLBFDS</v>
      </c>
    </row>
    <row r="177" spans="1:33">
      <c r="A177" s="338" t="s">
        <v>6072</v>
      </c>
      <c r="B177" s="338" t="s">
        <v>6073</v>
      </c>
      <c r="C177" s="337">
        <v>1</v>
      </c>
      <c r="D177" s="338" t="s">
        <v>6074</v>
      </c>
      <c r="E177" s="338" t="s">
        <v>6075</v>
      </c>
      <c r="F177" s="337">
        <v>1</v>
      </c>
      <c r="G177" s="337">
        <v>1</v>
      </c>
      <c r="H177" s="338" t="s">
        <v>6075</v>
      </c>
      <c r="I177" s="338" t="s">
        <v>9548</v>
      </c>
      <c r="J177" s="338" t="s">
        <v>9550</v>
      </c>
      <c r="K177" s="338" t="s">
        <v>6076</v>
      </c>
      <c r="L177" s="338"/>
      <c r="M177" s="338" t="s">
        <v>6217</v>
      </c>
      <c r="N177" s="338" t="s">
        <v>8312</v>
      </c>
      <c r="O177" s="337">
        <v>0</v>
      </c>
      <c r="P177" s="337">
        <v>0</v>
      </c>
      <c r="Q177" s="338"/>
      <c r="R177" s="338" t="s">
        <v>14</v>
      </c>
      <c r="S177" s="338"/>
      <c r="T177" s="338"/>
      <c r="U177" s="338" t="s">
        <v>6291</v>
      </c>
      <c r="V177" s="337">
        <v>0</v>
      </c>
      <c r="W177" s="337">
        <v>0</v>
      </c>
      <c r="X177" s="338"/>
      <c r="Y177" s="338" t="s">
        <v>6081</v>
      </c>
      <c r="Z177" s="338" t="s">
        <v>8263</v>
      </c>
      <c r="AA177" s="338" t="s">
        <v>6079</v>
      </c>
      <c r="AB177" s="338"/>
      <c r="AC177" s="338" t="s">
        <v>6290</v>
      </c>
      <c r="AD177" s="338"/>
      <c r="AF177" s="502" t="str">
        <f>Table15[[#This Row],[code2]]</f>
        <v>PHL</v>
      </c>
      <c r="AG177" s="502" t="str">
        <f>Table15[[#This Row],[code5]]</f>
        <v>PHLBFDS</v>
      </c>
    </row>
    <row r="178" spans="1:33">
      <c r="A178" s="338" t="s">
        <v>6072</v>
      </c>
      <c r="B178" s="338" t="s">
        <v>6073</v>
      </c>
      <c r="C178" s="337">
        <v>1</v>
      </c>
      <c r="D178" s="338" t="s">
        <v>6074</v>
      </c>
      <c r="E178" s="338" t="s">
        <v>6075</v>
      </c>
      <c r="F178" s="337">
        <v>1</v>
      </c>
      <c r="G178" s="337">
        <v>1</v>
      </c>
      <c r="H178" s="338" t="s">
        <v>6075</v>
      </c>
      <c r="I178" s="338" t="s">
        <v>9548</v>
      </c>
      <c r="J178" s="338" t="s">
        <v>9550</v>
      </c>
      <c r="K178" s="338" t="s">
        <v>6076</v>
      </c>
      <c r="L178" s="338"/>
      <c r="M178" s="338" t="s">
        <v>6217</v>
      </c>
      <c r="N178" s="338" t="s">
        <v>8312</v>
      </c>
      <c r="O178" s="337">
        <v>0</v>
      </c>
      <c r="P178" s="337">
        <v>0</v>
      </c>
      <c r="Q178" s="338"/>
      <c r="R178" s="338" t="s">
        <v>14</v>
      </c>
      <c r="S178" s="338"/>
      <c r="T178" s="338"/>
      <c r="U178" s="338" t="s">
        <v>6292</v>
      </c>
      <c r="V178" s="337">
        <v>0</v>
      </c>
      <c r="W178" s="337">
        <v>0</v>
      </c>
      <c r="X178" s="338"/>
      <c r="Y178" s="338" t="s">
        <v>493</v>
      </c>
      <c r="Z178" s="338" t="s">
        <v>6289</v>
      </c>
      <c r="AA178" s="338" t="s">
        <v>6079</v>
      </c>
      <c r="AB178" s="338"/>
      <c r="AC178" s="338" t="s">
        <v>6290</v>
      </c>
      <c r="AD178" s="338"/>
      <c r="AF178" s="502" t="str">
        <f>Table15[[#This Row],[code2]]</f>
        <v>PHL</v>
      </c>
      <c r="AG178" s="502" t="str">
        <f>Table15[[#This Row],[code5]]</f>
        <v>PHLBFDS</v>
      </c>
    </row>
    <row r="179" spans="1:33">
      <c r="A179" s="338" t="s">
        <v>6072</v>
      </c>
      <c r="B179" s="338" t="s">
        <v>6073</v>
      </c>
      <c r="C179" s="337">
        <v>1</v>
      </c>
      <c r="D179" s="338" t="s">
        <v>6074</v>
      </c>
      <c r="E179" s="338" t="s">
        <v>6075</v>
      </c>
      <c r="F179" s="337">
        <v>1</v>
      </c>
      <c r="G179" s="337">
        <v>1</v>
      </c>
      <c r="H179" s="338" t="s">
        <v>6075</v>
      </c>
      <c r="I179" s="338" t="s">
        <v>9548</v>
      </c>
      <c r="J179" s="338" t="s">
        <v>9550</v>
      </c>
      <c r="K179" s="338" t="s">
        <v>6076</v>
      </c>
      <c r="L179" s="338"/>
      <c r="M179" s="338" t="s">
        <v>6217</v>
      </c>
      <c r="N179" s="338" t="s">
        <v>8312</v>
      </c>
      <c r="O179" s="337">
        <v>0</v>
      </c>
      <c r="P179" s="337">
        <v>0</v>
      </c>
      <c r="Q179" s="338"/>
      <c r="R179" s="338" t="s">
        <v>14</v>
      </c>
      <c r="S179" s="338"/>
      <c r="T179" s="338"/>
      <c r="U179" s="338" t="s">
        <v>6293</v>
      </c>
      <c r="V179" s="337">
        <v>0</v>
      </c>
      <c r="W179" s="337">
        <v>0</v>
      </c>
      <c r="X179" s="338"/>
      <c r="Y179" s="338" t="s">
        <v>6085</v>
      </c>
      <c r="Z179" s="338" t="s">
        <v>7878</v>
      </c>
      <c r="AA179" s="338" t="s">
        <v>6079</v>
      </c>
      <c r="AB179" s="338"/>
      <c r="AC179" s="338" t="s">
        <v>6290</v>
      </c>
      <c r="AD179" s="338"/>
      <c r="AF179" s="502" t="str">
        <f>Table15[[#This Row],[code2]]</f>
        <v>PHL</v>
      </c>
      <c r="AG179" s="502" t="str">
        <f>Table15[[#This Row],[code5]]</f>
        <v>PHLBFDS</v>
      </c>
    </row>
    <row r="180" spans="1:33">
      <c r="A180" s="338" t="s">
        <v>6072</v>
      </c>
      <c r="B180" s="338" t="s">
        <v>6073</v>
      </c>
      <c r="C180" s="337">
        <v>1</v>
      </c>
      <c r="D180" s="338" t="s">
        <v>6074</v>
      </c>
      <c r="E180" s="338" t="s">
        <v>6075</v>
      </c>
      <c r="F180" s="337">
        <v>1</v>
      </c>
      <c r="G180" s="337">
        <v>1</v>
      </c>
      <c r="H180" s="338" t="s">
        <v>6075</v>
      </c>
      <c r="I180" s="338" t="s">
        <v>9548</v>
      </c>
      <c r="J180" s="338" t="s">
        <v>9550</v>
      </c>
      <c r="K180" s="338" t="s">
        <v>6076</v>
      </c>
      <c r="L180" s="338"/>
      <c r="M180" s="338" t="s">
        <v>6217</v>
      </c>
      <c r="N180" s="338" t="s">
        <v>8312</v>
      </c>
      <c r="O180" s="337">
        <v>0</v>
      </c>
      <c r="P180" s="337">
        <v>0</v>
      </c>
      <c r="Q180" s="338"/>
      <c r="R180" s="338" t="s">
        <v>14</v>
      </c>
      <c r="S180" s="338"/>
      <c r="T180" s="338"/>
      <c r="U180" s="338" t="s">
        <v>6294</v>
      </c>
      <c r="V180" s="337">
        <v>0</v>
      </c>
      <c r="W180" s="337">
        <v>0</v>
      </c>
      <c r="X180" s="338"/>
      <c r="Y180" s="338" t="s">
        <v>497</v>
      </c>
      <c r="Z180" s="338" t="s">
        <v>6289</v>
      </c>
      <c r="AA180" s="338" t="s">
        <v>6079</v>
      </c>
      <c r="AB180" s="338"/>
      <c r="AC180" s="338" t="s">
        <v>6295</v>
      </c>
      <c r="AD180" s="338"/>
      <c r="AF180" s="502" t="str">
        <f>Table15[[#This Row],[code2]]</f>
        <v>PHL</v>
      </c>
      <c r="AG180" s="502" t="str">
        <f>Table15[[#This Row],[code5]]</f>
        <v>PHLBFDS</v>
      </c>
    </row>
    <row r="181" spans="1:33">
      <c r="A181" s="338" t="s">
        <v>6072</v>
      </c>
      <c r="B181" s="338" t="s">
        <v>6073</v>
      </c>
      <c r="C181" s="337">
        <v>1</v>
      </c>
      <c r="D181" s="338" t="s">
        <v>6074</v>
      </c>
      <c r="E181" s="338" t="s">
        <v>6075</v>
      </c>
      <c r="F181" s="337">
        <v>1</v>
      </c>
      <c r="G181" s="337">
        <v>1</v>
      </c>
      <c r="H181" s="338" t="s">
        <v>6075</v>
      </c>
      <c r="I181" s="338" t="s">
        <v>9548</v>
      </c>
      <c r="J181" s="338" t="s">
        <v>9550</v>
      </c>
      <c r="K181" s="338" t="s">
        <v>6076</v>
      </c>
      <c r="L181" s="338"/>
      <c r="M181" s="338" t="s">
        <v>6217</v>
      </c>
      <c r="N181" s="338" t="s">
        <v>8312</v>
      </c>
      <c r="O181" s="337">
        <v>0</v>
      </c>
      <c r="P181" s="337">
        <v>0</v>
      </c>
      <c r="Q181" s="338"/>
      <c r="R181" s="338" t="s">
        <v>14</v>
      </c>
      <c r="S181" s="338"/>
      <c r="T181" s="338"/>
      <c r="U181" s="338" t="s">
        <v>6296</v>
      </c>
      <c r="V181" s="337">
        <v>0</v>
      </c>
      <c r="W181" s="337">
        <v>0</v>
      </c>
      <c r="X181" s="338"/>
      <c r="Y181" s="338" t="s">
        <v>6081</v>
      </c>
      <c r="Z181" s="338" t="s">
        <v>8263</v>
      </c>
      <c r="AA181" s="338" t="s">
        <v>6079</v>
      </c>
      <c r="AB181" s="338"/>
      <c r="AC181" s="338" t="s">
        <v>6295</v>
      </c>
      <c r="AD181" s="338"/>
      <c r="AF181" s="502" t="str">
        <f>Table15[[#This Row],[code2]]</f>
        <v>PHL</v>
      </c>
      <c r="AG181" s="502" t="str">
        <f>Table15[[#This Row],[code5]]</f>
        <v>PHLBFDS</v>
      </c>
    </row>
    <row r="182" spans="1:33">
      <c r="A182" s="338" t="s">
        <v>6072</v>
      </c>
      <c r="B182" s="338" t="s">
        <v>6073</v>
      </c>
      <c r="C182" s="337">
        <v>1</v>
      </c>
      <c r="D182" s="338" t="s">
        <v>6074</v>
      </c>
      <c r="E182" s="338" t="s">
        <v>6075</v>
      </c>
      <c r="F182" s="337">
        <v>1</v>
      </c>
      <c r="G182" s="337">
        <v>1</v>
      </c>
      <c r="H182" s="338" t="s">
        <v>6075</v>
      </c>
      <c r="I182" s="338" t="s">
        <v>9548</v>
      </c>
      <c r="J182" s="338" t="s">
        <v>9550</v>
      </c>
      <c r="K182" s="338" t="s">
        <v>6076</v>
      </c>
      <c r="L182" s="338"/>
      <c r="M182" s="338" t="s">
        <v>6217</v>
      </c>
      <c r="N182" s="338" t="s">
        <v>8312</v>
      </c>
      <c r="O182" s="337">
        <v>0</v>
      </c>
      <c r="P182" s="337">
        <v>0</v>
      </c>
      <c r="Q182" s="338"/>
      <c r="R182" s="338" t="s">
        <v>14</v>
      </c>
      <c r="S182" s="338"/>
      <c r="T182" s="338"/>
      <c r="U182" s="338" t="s">
        <v>6297</v>
      </c>
      <c r="V182" s="337">
        <v>0</v>
      </c>
      <c r="W182" s="337">
        <v>0</v>
      </c>
      <c r="X182" s="338"/>
      <c r="Y182" s="338" t="s">
        <v>493</v>
      </c>
      <c r="Z182" s="338" t="s">
        <v>6289</v>
      </c>
      <c r="AA182" s="338" t="s">
        <v>6079</v>
      </c>
      <c r="AB182" s="338"/>
      <c r="AC182" s="338" t="s">
        <v>6295</v>
      </c>
      <c r="AD182" s="338"/>
      <c r="AF182" s="502" t="str">
        <f>Table15[[#This Row],[code2]]</f>
        <v>PHL</v>
      </c>
      <c r="AG182" s="502" t="str">
        <f>Table15[[#This Row],[code5]]</f>
        <v>PHLBFDS</v>
      </c>
    </row>
    <row r="183" spans="1:33">
      <c r="A183" s="338" t="s">
        <v>6072</v>
      </c>
      <c r="B183" s="338" t="s">
        <v>6073</v>
      </c>
      <c r="C183" s="337">
        <v>1</v>
      </c>
      <c r="D183" s="338" t="s">
        <v>6074</v>
      </c>
      <c r="E183" s="338" t="s">
        <v>6075</v>
      </c>
      <c r="F183" s="337">
        <v>1</v>
      </c>
      <c r="G183" s="337">
        <v>1</v>
      </c>
      <c r="H183" s="338" t="s">
        <v>6075</v>
      </c>
      <c r="I183" s="338" t="s">
        <v>9548</v>
      </c>
      <c r="J183" s="338" t="s">
        <v>9550</v>
      </c>
      <c r="K183" s="338" t="s">
        <v>6076</v>
      </c>
      <c r="L183" s="338"/>
      <c r="M183" s="338" t="s">
        <v>6217</v>
      </c>
      <c r="N183" s="338" t="s">
        <v>8312</v>
      </c>
      <c r="O183" s="337">
        <v>0</v>
      </c>
      <c r="P183" s="337">
        <v>0</v>
      </c>
      <c r="Q183" s="338"/>
      <c r="R183" s="338" t="s">
        <v>14</v>
      </c>
      <c r="S183" s="338"/>
      <c r="T183" s="338"/>
      <c r="U183" s="338" t="s">
        <v>6298</v>
      </c>
      <c r="V183" s="337">
        <v>0</v>
      </c>
      <c r="W183" s="337">
        <v>0</v>
      </c>
      <c r="X183" s="338"/>
      <c r="Y183" s="338" t="s">
        <v>6085</v>
      </c>
      <c r="Z183" s="338" t="s">
        <v>7878</v>
      </c>
      <c r="AA183" s="338" t="s">
        <v>6079</v>
      </c>
      <c r="AB183" s="338"/>
      <c r="AC183" s="338" t="s">
        <v>6295</v>
      </c>
      <c r="AD183" s="338"/>
      <c r="AF183" s="502" t="str">
        <f>Table15[[#This Row],[code2]]</f>
        <v>PHL</v>
      </c>
      <c r="AG183" s="502" t="str">
        <f>Table15[[#This Row],[code5]]</f>
        <v>PHLBFDS</v>
      </c>
    </row>
    <row r="184" spans="1:33">
      <c r="A184" s="338" t="s">
        <v>6072</v>
      </c>
      <c r="B184" s="338" t="s">
        <v>6073</v>
      </c>
      <c r="C184" s="337">
        <v>1</v>
      </c>
      <c r="D184" s="338" t="s">
        <v>6074</v>
      </c>
      <c r="E184" s="338" t="s">
        <v>6075</v>
      </c>
      <c r="F184" s="337">
        <v>1</v>
      </c>
      <c r="G184" s="337">
        <v>1</v>
      </c>
      <c r="H184" s="338" t="s">
        <v>6075</v>
      </c>
      <c r="I184" s="338" t="s">
        <v>9548</v>
      </c>
      <c r="J184" s="338" t="s">
        <v>9550</v>
      </c>
      <c r="K184" s="338" t="s">
        <v>6076</v>
      </c>
      <c r="L184" s="338"/>
      <c r="M184" s="338" t="s">
        <v>6217</v>
      </c>
      <c r="N184" s="338" t="s">
        <v>8312</v>
      </c>
      <c r="O184" s="337">
        <v>0</v>
      </c>
      <c r="P184" s="337">
        <v>0</v>
      </c>
      <c r="Q184" s="338"/>
      <c r="R184" s="338" t="s">
        <v>14</v>
      </c>
      <c r="S184" s="338"/>
      <c r="T184" s="338"/>
      <c r="U184" s="338" t="s">
        <v>6299</v>
      </c>
      <c r="V184" s="337">
        <v>0</v>
      </c>
      <c r="W184" s="337">
        <v>0</v>
      </c>
      <c r="X184" s="338"/>
      <c r="Y184" s="338" t="s">
        <v>497</v>
      </c>
      <c r="Z184" s="338" t="s">
        <v>6289</v>
      </c>
      <c r="AA184" s="338" t="s">
        <v>6079</v>
      </c>
      <c r="AB184" s="338"/>
      <c r="AC184" s="338" t="s">
        <v>6300</v>
      </c>
      <c r="AD184" s="338"/>
      <c r="AF184" s="502" t="str">
        <f>Table15[[#This Row],[code2]]</f>
        <v>PHL</v>
      </c>
      <c r="AG184" s="502" t="str">
        <f>Table15[[#This Row],[code5]]</f>
        <v>PHLBFDS</v>
      </c>
    </row>
    <row r="185" spans="1:33">
      <c r="A185" s="338" t="s">
        <v>6072</v>
      </c>
      <c r="B185" s="338" t="s">
        <v>6073</v>
      </c>
      <c r="C185" s="337">
        <v>1</v>
      </c>
      <c r="D185" s="338" t="s">
        <v>6074</v>
      </c>
      <c r="E185" s="338" t="s">
        <v>6075</v>
      </c>
      <c r="F185" s="337">
        <v>1</v>
      </c>
      <c r="G185" s="337">
        <v>1</v>
      </c>
      <c r="H185" s="338" t="s">
        <v>6075</v>
      </c>
      <c r="I185" s="338" t="s">
        <v>9548</v>
      </c>
      <c r="J185" s="338" t="s">
        <v>9550</v>
      </c>
      <c r="K185" s="338" t="s">
        <v>6076</v>
      </c>
      <c r="L185" s="338"/>
      <c r="M185" s="338" t="s">
        <v>6217</v>
      </c>
      <c r="N185" s="338" t="s">
        <v>8312</v>
      </c>
      <c r="O185" s="337">
        <v>0</v>
      </c>
      <c r="P185" s="337">
        <v>0</v>
      </c>
      <c r="Q185" s="338"/>
      <c r="R185" s="338" t="s">
        <v>14</v>
      </c>
      <c r="S185" s="338"/>
      <c r="T185" s="338"/>
      <c r="U185" s="338" t="s">
        <v>6301</v>
      </c>
      <c r="V185" s="337">
        <v>0</v>
      </c>
      <c r="W185" s="337">
        <v>0</v>
      </c>
      <c r="X185" s="338"/>
      <c r="Y185" s="338" t="s">
        <v>6081</v>
      </c>
      <c r="Z185" s="338" t="s">
        <v>8025</v>
      </c>
      <c r="AA185" s="338" t="s">
        <v>6079</v>
      </c>
      <c r="AB185" s="338"/>
      <c r="AC185" s="338" t="s">
        <v>6300</v>
      </c>
      <c r="AD185" s="338"/>
      <c r="AF185" s="502" t="str">
        <f>Table15[[#This Row],[code2]]</f>
        <v>PHL</v>
      </c>
      <c r="AG185" s="502" t="str">
        <f>Table15[[#This Row],[code5]]</f>
        <v>PHLBFDS</v>
      </c>
    </row>
    <row r="186" spans="1:33">
      <c r="A186" s="338" t="s">
        <v>6072</v>
      </c>
      <c r="B186" s="338" t="s">
        <v>6073</v>
      </c>
      <c r="C186" s="337">
        <v>1</v>
      </c>
      <c r="D186" s="338" t="s">
        <v>6074</v>
      </c>
      <c r="E186" s="338" t="s">
        <v>6075</v>
      </c>
      <c r="F186" s="337">
        <v>1</v>
      </c>
      <c r="G186" s="337">
        <v>1</v>
      </c>
      <c r="H186" s="338" t="s">
        <v>6075</v>
      </c>
      <c r="I186" s="338" t="s">
        <v>9548</v>
      </c>
      <c r="J186" s="338" t="s">
        <v>9550</v>
      </c>
      <c r="K186" s="338" t="s">
        <v>6076</v>
      </c>
      <c r="L186" s="338"/>
      <c r="M186" s="338" t="s">
        <v>6217</v>
      </c>
      <c r="N186" s="338" t="s">
        <v>8312</v>
      </c>
      <c r="O186" s="337">
        <v>0</v>
      </c>
      <c r="P186" s="337">
        <v>0</v>
      </c>
      <c r="Q186" s="338"/>
      <c r="R186" s="338" t="s">
        <v>14</v>
      </c>
      <c r="S186" s="338"/>
      <c r="T186" s="338"/>
      <c r="U186" s="338" t="s">
        <v>6302</v>
      </c>
      <c r="V186" s="337">
        <v>0</v>
      </c>
      <c r="W186" s="337">
        <v>0</v>
      </c>
      <c r="X186" s="338"/>
      <c r="Y186" s="338" t="s">
        <v>493</v>
      </c>
      <c r="Z186" s="338" t="s">
        <v>6289</v>
      </c>
      <c r="AA186" s="338" t="s">
        <v>6079</v>
      </c>
      <c r="AB186" s="338"/>
      <c r="AC186" s="338" t="s">
        <v>6300</v>
      </c>
      <c r="AD186" s="338"/>
      <c r="AF186" s="502" t="str">
        <f>Table15[[#This Row],[code2]]</f>
        <v>PHL</v>
      </c>
      <c r="AG186" s="502" t="str">
        <f>Table15[[#This Row],[code5]]</f>
        <v>PHLBFDS</v>
      </c>
    </row>
    <row r="187" spans="1:33">
      <c r="A187" s="338" t="s">
        <v>6072</v>
      </c>
      <c r="B187" s="338" t="s">
        <v>6073</v>
      </c>
      <c r="C187" s="337">
        <v>1</v>
      </c>
      <c r="D187" s="338" t="s">
        <v>6074</v>
      </c>
      <c r="E187" s="338" t="s">
        <v>6075</v>
      </c>
      <c r="F187" s="337">
        <v>1</v>
      </c>
      <c r="G187" s="337">
        <v>1</v>
      </c>
      <c r="H187" s="338" t="s">
        <v>6075</v>
      </c>
      <c r="I187" s="338" t="s">
        <v>9548</v>
      </c>
      <c r="J187" s="338" t="s">
        <v>9550</v>
      </c>
      <c r="K187" s="338" t="s">
        <v>6076</v>
      </c>
      <c r="L187" s="338"/>
      <c r="M187" s="338" t="s">
        <v>6217</v>
      </c>
      <c r="N187" s="338" t="s">
        <v>8312</v>
      </c>
      <c r="O187" s="337">
        <v>0</v>
      </c>
      <c r="P187" s="337">
        <v>0</v>
      </c>
      <c r="Q187" s="338"/>
      <c r="R187" s="338" t="s">
        <v>14</v>
      </c>
      <c r="S187" s="338"/>
      <c r="T187" s="338"/>
      <c r="U187" s="338" t="s">
        <v>6303</v>
      </c>
      <c r="V187" s="337">
        <v>0</v>
      </c>
      <c r="W187" s="337">
        <v>0</v>
      </c>
      <c r="X187" s="338"/>
      <c r="Y187" s="338" t="s">
        <v>6085</v>
      </c>
      <c r="Z187" s="338" t="s">
        <v>8264</v>
      </c>
      <c r="AA187" s="338" t="s">
        <v>6079</v>
      </c>
      <c r="AB187" s="338"/>
      <c r="AC187" s="338" t="s">
        <v>6300</v>
      </c>
      <c r="AD187" s="338"/>
      <c r="AF187" s="502" t="str">
        <f>Table15[[#This Row],[code2]]</f>
        <v>PHL</v>
      </c>
      <c r="AG187" s="502" t="str">
        <f>Table15[[#This Row],[code5]]</f>
        <v>PHLBFDS</v>
      </c>
    </row>
    <row r="188" spans="1:33">
      <c r="A188" s="338" t="s">
        <v>6072</v>
      </c>
      <c r="B188" s="338" t="s">
        <v>6073</v>
      </c>
      <c r="C188" s="337">
        <v>1</v>
      </c>
      <c r="D188" s="338" t="s">
        <v>6074</v>
      </c>
      <c r="E188" s="338" t="s">
        <v>6075</v>
      </c>
      <c r="F188" s="337">
        <v>1</v>
      </c>
      <c r="G188" s="337">
        <v>1</v>
      </c>
      <c r="H188" s="338" t="s">
        <v>6075</v>
      </c>
      <c r="I188" s="338" t="s">
        <v>9548</v>
      </c>
      <c r="J188" s="338" t="s">
        <v>9550</v>
      </c>
      <c r="K188" s="338" t="s">
        <v>6076</v>
      </c>
      <c r="L188" s="338"/>
      <c r="M188" s="338" t="s">
        <v>6217</v>
      </c>
      <c r="N188" s="338" t="s">
        <v>8312</v>
      </c>
      <c r="O188" s="337">
        <v>0</v>
      </c>
      <c r="P188" s="337">
        <v>0</v>
      </c>
      <c r="Q188" s="338"/>
      <c r="R188" s="338" t="s">
        <v>14</v>
      </c>
      <c r="S188" s="338"/>
      <c r="T188" s="338"/>
      <c r="U188" s="338" t="s">
        <v>6304</v>
      </c>
      <c r="V188" s="337">
        <v>0</v>
      </c>
      <c r="W188" s="337">
        <v>0</v>
      </c>
      <c r="X188" s="338"/>
      <c r="Y188" s="338" t="s">
        <v>497</v>
      </c>
      <c r="Z188" s="338" t="s">
        <v>6289</v>
      </c>
      <c r="AA188" s="338" t="s">
        <v>6079</v>
      </c>
      <c r="AB188" s="338"/>
      <c r="AC188" s="338" t="s">
        <v>6305</v>
      </c>
      <c r="AD188" s="338"/>
      <c r="AF188" s="502" t="str">
        <f>Table15[[#This Row],[code2]]</f>
        <v>PHL</v>
      </c>
      <c r="AG188" s="502" t="str">
        <f>Table15[[#This Row],[code5]]</f>
        <v>PHLBFDS</v>
      </c>
    </row>
    <row r="189" spans="1:33">
      <c r="A189" s="338" t="s">
        <v>6072</v>
      </c>
      <c r="B189" s="338" t="s">
        <v>6073</v>
      </c>
      <c r="C189" s="337">
        <v>1</v>
      </c>
      <c r="D189" s="338" t="s">
        <v>6074</v>
      </c>
      <c r="E189" s="338" t="s">
        <v>6075</v>
      </c>
      <c r="F189" s="337">
        <v>1</v>
      </c>
      <c r="G189" s="337">
        <v>1</v>
      </c>
      <c r="H189" s="338" t="s">
        <v>6075</v>
      </c>
      <c r="I189" s="338" t="s">
        <v>9548</v>
      </c>
      <c r="J189" s="338" t="s">
        <v>9550</v>
      </c>
      <c r="K189" s="338" t="s">
        <v>6076</v>
      </c>
      <c r="L189" s="338"/>
      <c r="M189" s="338" t="s">
        <v>6217</v>
      </c>
      <c r="N189" s="338" t="s">
        <v>8312</v>
      </c>
      <c r="O189" s="337">
        <v>0</v>
      </c>
      <c r="P189" s="337">
        <v>0</v>
      </c>
      <c r="Q189" s="338"/>
      <c r="R189" s="338" t="s">
        <v>14</v>
      </c>
      <c r="S189" s="338"/>
      <c r="T189" s="338"/>
      <c r="U189" s="338" t="s">
        <v>6306</v>
      </c>
      <c r="V189" s="337">
        <v>0</v>
      </c>
      <c r="W189" s="337">
        <v>0</v>
      </c>
      <c r="X189" s="338"/>
      <c r="Y189" s="338" t="s">
        <v>6081</v>
      </c>
      <c r="Z189" s="338" t="s">
        <v>8025</v>
      </c>
      <c r="AA189" s="338" t="s">
        <v>6079</v>
      </c>
      <c r="AB189" s="338"/>
      <c r="AC189" s="338" t="s">
        <v>6305</v>
      </c>
      <c r="AD189" s="338"/>
      <c r="AF189" s="502" t="str">
        <f>Table15[[#This Row],[code2]]</f>
        <v>PHL</v>
      </c>
      <c r="AG189" s="502" t="str">
        <f>Table15[[#This Row],[code5]]</f>
        <v>PHLBFDS</v>
      </c>
    </row>
    <row r="190" spans="1:33">
      <c r="A190" s="338" t="s">
        <v>6072</v>
      </c>
      <c r="B190" s="338" t="s">
        <v>6073</v>
      </c>
      <c r="C190" s="337">
        <v>1</v>
      </c>
      <c r="D190" s="338" t="s">
        <v>6074</v>
      </c>
      <c r="E190" s="338" t="s">
        <v>6075</v>
      </c>
      <c r="F190" s="337">
        <v>1</v>
      </c>
      <c r="G190" s="337">
        <v>1</v>
      </c>
      <c r="H190" s="338" t="s">
        <v>6075</v>
      </c>
      <c r="I190" s="338" t="s">
        <v>9548</v>
      </c>
      <c r="J190" s="338" t="s">
        <v>9550</v>
      </c>
      <c r="K190" s="338" t="s">
        <v>6076</v>
      </c>
      <c r="L190" s="338"/>
      <c r="M190" s="338" t="s">
        <v>6217</v>
      </c>
      <c r="N190" s="338" t="s">
        <v>8312</v>
      </c>
      <c r="O190" s="337">
        <v>0</v>
      </c>
      <c r="P190" s="337">
        <v>0</v>
      </c>
      <c r="Q190" s="338"/>
      <c r="R190" s="338" t="s">
        <v>14</v>
      </c>
      <c r="S190" s="338"/>
      <c r="T190" s="338"/>
      <c r="U190" s="338" t="s">
        <v>6307</v>
      </c>
      <c r="V190" s="337">
        <v>0</v>
      </c>
      <c r="W190" s="337">
        <v>0</v>
      </c>
      <c r="X190" s="338"/>
      <c r="Y190" s="338" t="s">
        <v>493</v>
      </c>
      <c r="Z190" s="338" t="s">
        <v>6289</v>
      </c>
      <c r="AA190" s="338" t="s">
        <v>6079</v>
      </c>
      <c r="AB190" s="338"/>
      <c r="AC190" s="338" t="s">
        <v>6305</v>
      </c>
      <c r="AD190" s="338"/>
      <c r="AF190" s="502" t="str">
        <f>Table15[[#This Row],[code2]]</f>
        <v>PHL</v>
      </c>
      <c r="AG190" s="502" t="str">
        <f>Table15[[#This Row],[code5]]</f>
        <v>PHLBFDS</v>
      </c>
    </row>
    <row r="191" spans="1:33">
      <c r="A191" s="338" t="s">
        <v>6072</v>
      </c>
      <c r="B191" s="338" t="s">
        <v>6073</v>
      </c>
      <c r="C191" s="337">
        <v>1</v>
      </c>
      <c r="D191" s="338" t="s">
        <v>6074</v>
      </c>
      <c r="E191" s="338" t="s">
        <v>6075</v>
      </c>
      <c r="F191" s="337">
        <v>1</v>
      </c>
      <c r="G191" s="337">
        <v>1</v>
      </c>
      <c r="H191" s="338" t="s">
        <v>6075</v>
      </c>
      <c r="I191" s="338" t="s">
        <v>9548</v>
      </c>
      <c r="J191" s="338" t="s">
        <v>9550</v>
      </c>
      <c r="K191" s="338" t="s">
        <v>6076</v>
      </c>
      <c r="L191" s="338"/>
      <c r="M191" s="338" t="s">
        <v>6217</v>
      </c>
      <c r="N191" s="338" t="s">
        <v>8312</v>
      </c>
      <c r="O191" s="337">
        <v>0</v>
      </c>
      <c r="P191" s="337">
        <v>0</v>
      </c>
      <c r="Q191" s="338"/>
      <c r="R191" s="338" t="s">
        <v>14</v>
      </c>
      <c r="S191" s="338"/>
      <c r="T191" s="338"/>
      <c r="U191" s="338" t="s">
        <v>6308</v>
      </c>
      <c r="V191" s="337">
        <v>0</v>
      </c>
      <c r="W191" s="337">
        <v>0</v>
      </c>
      <c r="X191" s="338"/>
      <c r="Y191" s="338" t="s">
        <v>6085</v>
      </c>
      <c r="Z191" s="338" t="s">
        <v>8264</v>
      </c>
      <c r="AA191" s="338" t="s">
        <v>6079</v>
      </c>
      <c r="AB191" s="338"/>
      <c r="AC191" s="338" t="s">
        <v>6305</v>
      </c>
      <c r="AD191" s="338"/>
      <c r="AF191" s="502" t="str">
        <f>Table15[[#This Row],[code2]]</f>
        <v>PHL</v>
      </c>
      <c r="AG191" s="502" t="str">
        <f>Table15[[#This Row],[code5]]</f>
        <v>PHLBFDS</v>
      </c>
    </row>
    <row r="192" spans="1:33">
      <c r="A192" s="338" t="s">
        <v>6072</v>
      </c>
      <c r="B192" s="338" t="s">
        <v>6073</v>
      </c>
      <c r="C192" s="337">
        <v>1</v>
      </c>
      <c r="D192" s="338" t="s">
        <v>6074</v>
      </c>
      <c r="E192" s="338" t="s">
        <v>6075</v>
      </c>
      <c r="F192" s="337">
        <v>1</v>
      </c>
      <c r="G192" s="337">
        <v>1</v>
      </c>
      <c r="H192" s="338" t="s">
        <v>6075</v>
      </c>
      <c r="I192" s="338" t="s">
        <v>9548</v>
      </c>
      <c r="J192" s="338" t="s">
        <v>9550</v>
      </c>
      <c r="K192" s="338" t="s">
        <v>6076</v>
      </c>
      <c r="L192" s="338"/>
      <c r="M192" s="338" t="s">
        <v>6309</v>
      </c>
      <c r="N192" s="338" t="s">
        <v>8941</v>
      </c>
      <c r="O192" s="337">
        <v>0</v>
      </c>
      <c r="P192" s="337">
        <v>0</v>
      </c>
      <c r="Q192" s="338"/>
      <c r="R192" s="338"/>
      <c r="S192" s="338"/>
      <c r="T192" s="338" t="s">
        <v>7909</v>
      </c>
      <c r="U192" s="338" t="s">
        <v>6310</v>
      </c>
      <c r="V192" s="337">
        <v>0</v>
      </c>
      <c r="W192" s="337">
        <v>0</v>
      </c>
      <c r="X192" s="338" t="s">
        <v>6078</v>
      </c>
      <c r="Y192" s="338" t="s">
        <v>497</v>
      </c>
      <c r="Z192" s="338" t="s">
        <v>8659</v>
      </c>
      <c r="AA192" s="338" t="s">
        <v>6079</v>
      </c>
      <c r="AB192" s="338"/>
      <c r="AC192" s="338"/>
      <c r="AD192" s="338"/>
      <c r="AF192" s="502" t="str">
        <f>Table15[[#This Row],[code2]]</f>
        <v>PHL</v>
      </c>
      <c r="AG192" s="502" t="str">
        <f>Table15[[#This Row],[code5]]</f>
        <v>LL</v>
      </c>
    </row>
    <row r="193" spans="1:33">
      <c r="A193" s="338" t="s">
        <v>6072</v>
      </c>
      <c r="B193" s="338" t="s">
        <v>6073</v>
      </c>
      <c r="C193" s="337">
        <v>1</v>
      </c>
      <c r="D193" s="338" t="s">
        <v>6074</v>
      </c>
      <c r="E193" s="338" t="s">
        <v>6075</v>
      </c>
      <c r="F193" s="337">
        <v>1</v>
      </c>
      <c r="G193" s="337">
        <v>1</v>
      </c>
      <c r="H193" s="338" t="s">
        <v>6075</v>
      </c>
      <c r="I193" s="338" t="s">
        <v>9548</v>
      </c>
      <c r="J193" s="338" t="s">
        <v>9550</v>
      </c>
      <c r="K193" s="338" t="s">
        <v>6076</v>
      </c>
      <c r="L193" s="338"/>
      <c r="M193" s="338" t="s">
        <v>6309</v>
      </c>
      <c r="N193" s="338" t="s">
        <v>8941</v>
      </c>
      <c r="O193" s="337">
        <v>0</v>
      </c>
      <c r="P193" s="337">
        <v>0</v>
      </c>
      <c r="Q193" s="338"/>
      <c r="R193" s="338"/>
      <c r="S193" s="338"/>
      <c r="T193" s="338" t="s">
        <v>7909</v>
      </c>
      <c r="U193" s="338" t="s">
        <v>6311</v>
      </c>
      <c r="V193" s="337">
        <v>0</v>
      </c>
      <c r="W193" s="337">
        <v>0</v>
      </c>
      <c r="X193" s="338" t="s">
        <v>6078</v>
      </c>
      <c r="Y193" s="338" t="s">
        <v>6081</v>
      </c>
      <c r="Z193" s="338" t="s">
        <v>8659</v>
      </c>
      <c r="AA193" s="338" t="s">
        <v>6079</v>
      </c>
      <c r="AB193" s="338"/>
      <c r="AC193" s="338"/>
      <c r="AD193" s="338"/>
      <c r="AF193" s="502" t="str">
        <f>Table15[[#This Row],[code2]]</f>
        <v>PHL</v>
      </c>
      <c r="AG193" s="502" t="str">
        <f>Table15[[#This Row],[code5]]</f>
        <v>LL</v>
      </c>
    </row>
    <row r="194" spans="1:33">
      <c r="A194" s="338" t="s">
        <v>6072</v>
      </c>
      <c r="B194" s="338" t="s">
        <v>6073</v>
      </c>
      <c r="C194" s="337">
        <v>1</v>
      </c>
      <c r="D194" s="338" t="s">
        <v>6074</v>
      </c>
      <c r="E194" s="338" t="s">
        <v>6075</v>
      </c>
      <c r="F194" s="337">
        <v>1</v>
      </c>
      <c r="G194" s="337">
        <v>1</v>
      </c>
      <c r="H194" s="338" t="s">
        <v>6075</v>
      </c>
      <c r="I194" s="338" t="s">
        <v>9548</v>
      </c>
      <c r="J194" s="338" t="s">
        <v>9550</v>
      </c>
      <c r="K194" s="338" t="s">
        <v>6076</v>
      </c>
      <c r="L194" s="338"/>
      <c r="M194" s="338" t="s">
        <v>6309</v>
      </c>
      <c r="N194" s="338" t="s">
        <v>8941</v>
      </c>
      <c r="O194" s="337">
        <v>0</v>
      </c>
      <c r="P194" s="337">
        <v>0</v>
      </c>
      <c r="Q194" s="338"/>
      <c r="R194" s="338"/>
      <c r="S194" s="338"/>
      <c r="T194" s="338" t="s">
        <v>7909</v>
      </c>
      <c r="U194" s="338" t="s">
        <v>6312</v>
      </c>
      <c r="V194" s="337">
        <v>0</v>
      </c>
      <c r="W194" s="337">
        <v>0</v>
      </c>
      <c r="X194" s="338" t="s">
        <v>6078</v>
      </c>
      <c r="Y194" s="338" t="s">
        <v>493</v>
      </c>
      <c r="Z194" s="338" t="s">
        <v>8732</v>
      </c>
      <c r="AA194" s="338" t="s">
        <v>6079</v>
      </c>
      <c r="AB194" s="338"/>
      <c r="AC194" s="338"/>
      <c r="AD194" s="338"/>
      <c r="AF194" s="502" t="str">
        <f>Table15[[#This Row],[code2]]</f>
        <v>PHL</v>
      </c>
      <c r="AG194" s="502" t="str">
        <f>Table15[[#This Row],[code5]]</f>
        <v>LL</v>
      </c>
    </row>
    <row r="195" spans="1:33">
      <c r="A195" s="338" t="s">
        <v>6072</v>
      </c>
      <c r="B195" s="338" t="s">
        <v>6073</v>
      </c>
      <c r="C195" s="337">
        <v>1</v>
      </c>
      <c r="D195" s="338" t="s">
        <v>6074</v>
      </c>
      <c r="E195" s="338" t="s">
        <v>6075</v>
      </c>
      <c r="F195" s="337">
        <v>1</v>
      </c>
      <c r="G195" s="337">
        <v>1</v>
      </c>
      <c r="H195" s="338" t="s">
        <v>6075</v>
      </c>
      <c r="I195" s="338" t="s">
        <v>9548</v>
      </c>
      <c r="J195" s="338" t="s">
        <v>9550</v>
      </c>
      <c r="K195" s="338" t="s">
        <v>6076</v>
      </c>
      <c r="L195" s="338"/>
      <c r="M195" s="338" t="s">
        <v>6309</v>
      </c>
      <c r="N195" s="338" t="s">
        <v>8941</v>
      </c>
      <c r="O195" s="337">
        <v>0</v>
      </c>
      <c r="P195" s="337">
        <v>0</v>
      </c>
      <c r="Q195" s="338"/>
      <c r="R195" s="338"/>
      <c r="S195" s="338"/>
      <c r="T195" s="338" t="s">
        <v>7909</v>
      </c>
      <c r="U195" s="338" t="s">
        <v>6313</v>
      </c>
      <c r="V195" s="337">
        <v>0</v>
      </c>
      <c r="W195" s="337">
        <v>0</v>
      </c>
      <c r="X195" s="338" t="s">
        <v>6078</v>
      </c>
      <c r="Y195" s="338" t="s">
        <v>6085</v>
      </c>
      <c r="Z195" s="338" t="s">
        <v>8733</v>
      </c>
      <c r="AA195" s="338" t="s">
        <v>6079</v>
      </c>
      <c r="AB195" s="338"/>
      <c r="AC195" s="338"/>
      <c r="AD195" s="338"/>
      <c r="AF195" s="502" t="str">
        <f>Table15[[#This Row],[code2]]</f>
        <v>PHL</v>
      </c>
      <c r="AG195" s="502" t="str">
        <f>Table15[[#This Row],[code5]]</f>
        <v>LL</v>
      </c>
    </row>
    <row r="196" spans="1:33">
      <c r="A196" s="338" t="s">
        <v>6072</v>
      </c>
      <c r="B196" s="338" t="s">
        <v>6073</v>
      </c>
      <c r="C196" s="337">
        <v>1</v>
      </c>
      <c r="D196" s="338" t="s">
        <v>6074</v>
      </c>
      <c r="E196" s="338" t="s">
        <v>6075</v>
      </c>
      <c r="F196" s="337">
        <v>1</v>
      </c>
      <c r="G196" s="337">
        <v>1</v>
      </c>
      <c r="H196" s="338" t="s">
        <v>6075</v>
      </c>
      <c r="I196" s="338" t="s">
        <v>9548</v>
      </c>
      <c r="J196" s="338" t="s">
        <v>9550</v>
      </c>
      <c r="K196" s="338" t="s">
        <v>6076</v>
      </c>
      <c r="L196" s="338"/>
      <c r="M196" s="338" t="s">
        <v>6314</v>
      </c>
      <c r="N196" s="338" t="s">
        <v>6315</v>
      </c>
      <c r="O196" s="337">
        <v>0</v>
      </c>
      <c r="P196" s="337">
        <v>0</v>
      </c>
      <c r="Q196" s="338" t="s">
        <v>6315</v>
      </c>
      <c r="R196" s="338"/>
      <c r="S196" s="338"/>
      <c r="T196" s="338" t="s">
        <v>6316</v>
      </c>
      <c r="U196" s="338" t="s">
        <v>6317</v>
      </c>
      <c r="V196" s="337">
        <v>0</v>
      </c>
      <c r="W196" s="337">
        <v>0</v>
      </c>
      <c r="X196" s="338" t="s">
        <v>6078</v>
      </c>
      <c r="Y196" s="338" t="s">
        <v>6318</v>
      </c>
      <c r="Z196" s="338" t="s">
        <v>8659</v>
      </c>
      <c r="AA196" s="338" t="s">
        <v>6079</v>
      </c>
      <c r="AB196" s="338"/>
      <c r="AC196" s="338"/>
      <c r="AD196" s="338"/>
      <c r="AF196" s="502" t="str">
        <f>Table15[[#This Row],[code2]]</f>
        <v>PHL</v>
      </c>
      <c r="AG196" s="502" t="str">
        <f>Table15[[#This Row],[code5]]</f>
        <v>MS</v>
      </c>
    </row>
    <row r="197" spans="1:33">
      <c r="A197" s="338" t="s">
        <v>6072</v>
      </c>
      <c r="B197" s="338" t="s">
        <v>6073</v>
      </c>
      <c r="C197" s="337">
        <v>1</v>
      </c>
      <c r="D197" s="338" t="s">
        <v>6074</v>
      </c>
      <c r="E197" s="338" t="s">
        <v>6075</v>
      </c>
      <c r="F197" s="337">
        <v>1</v>
      </c>
      <c r="G197" s="337">
        <v>1</v>
      </c>
      <c r="H197" s="338" t="s">
        <v>6075</v>
      </c>
      <c r="I197" s="338" t="s">
        <v>9548</v>
      </c>
      <c r="J197" s="338" t="s">
        <v>9550</v>
      </c>
      <c r="K197" s="338" t="s">
        <v>6076</v>
      </c>
      <c r="L197" s="338"/>
      <c r="M197" s="338" t="s">
        <v>6314</v>
      </c>
      <c r="N197" s="338" t="s">
        <v>6315</v>
      </c>
      <c r="O197" s="337">
        <v>0</v>
      </c>
      <c r="P197" s="337">
        <v>0</v>
      </c>
      <c r="Q197" s="338" t="s">
        <v>6315</v>
      </c>
      <c r="R197" s="338"/>
      <c r="S197" s="338"/>
      <c r="T197" s="338" t="s">
        <v>6316</v>
      </c>
      <c r="U197" s="338" t="s">
        <v>6319</v>
      </c>
      <c r="V197" s="337">
        <v>0</v>
      </c>
      <c r="W197" s="337">
        <v>0</v>
      </c>
      <c r="X197" s="338" t="s">
        <v>6078</v>
      </c>
      <c r="Y197" s="338" t="s">
        <v>6320</v>
      </c>
      <c r="Z197" s="338" t="s">
        <v>8656</v>
      </c>
      <c r="AA197" s="338" t="s">
        <v>6079</v>
      </c>
      <c r="AB197" s="338"/>
      <c r="AC197" s="338"/>
      <c r="AD197" s="338"/>
      <c r="AF197" s="502" t="str">
        <f>Table15[[#This Row],[code2]]</f>
        <v>PHL</v>
      </c>
      <c r="AG197" s="502" t="str">
        <f>Table15[[#This Row],[code5]]</f>
        <v>MS</v>
      </c>
    </row>
    <row r="198" spans="1:33">
      <c r="A198" s="338" t="s">
        <v>6072</v>
      </c>
      <c r="B198" s="338" t="s">
        <v>6073</v>
      </c>
      <c r="C198" s="337">
        <v>1</v>
      </c>
      <c r="D198" s="338" t="s">
        <v>6074</v>
      </c>
      <c r="E198" s="338" t="s">
        <v>6075</v>
      </c>
      <c r="F198" s="337">
        <v>1</v>
      </c>
      <c r="G198" s="337">
        <v>1</v>
      </c>
      <c r="H198" s="338" t="s">
        <v>6075</v>
      </c>
      <c r="I198" s="338" t="s">
        <v>9548</v>
      </c>
      <c r="J198" s="338" t="s">
        <v>9550</v>
      </c>
      <c r="K198" s="338" t="s">
        <v>6076</v>
      </c>
      <c r="L198" s="338"/>
      <c r="M198" s="338" t="s">
        <v>6321</v>
      </c>
      <c r="N198" s="338" t="s">
        <v>6322</v>
      </c>
      <c r="O198" s="337">
        <v>1</v>
      </c>
      <c r="P198" s="337">
        <v>1</v>
      </c>
      <c r="Q198" s="338"/>
      <c r="R198" s="338"/>
      <c r="S198" s="338"/>
      <c r="T198" s="338" t="s">
        <v>6323</v>
      </c>
      <c r="U198" s="338" t="s">
        <v>6324</v>
      </c>
      <c r="V198" s="337">
        <v>1</v>
      </c>
      <c r="W198" s="337">
        <v>1</v>
      </c>
      <c r="X198" s="338" t="s">
        <v>6078</v>
      </c>
      <c r="Y198" s="338" t="s">
        <v>6318</v>
      </c>
      <c r="Z198" s="338" t="s">
        <v>9135</v>
      </c>
      <c r="AA198" s="338" t="s">
        <v>6079</v>
      </c>
      <c r="AB198" s="338"/>
      <c r="AC198" s="338"/>
      <c r="AD198" s="338"/>
      <c r="AF198" s="502" t="str">
        <f>Table15[[#This Row],[code2]]</f>
        <v>PHL</v>
      </c>
      <c r="AG198" s="502" t="str">
        <f>Table15[[#This Row],[code5]]</f>
        <v>HIL</v>
      </c>
    </row>
    <row r="199" spans="1:33">
      <c r="A199" s="338" t="s">
        <v>6072</v>
      </c>
      <c r="B199" s="338" t="s">
        <v>6073</v>
      </c>
      <c r="C199" s="337">
        <v>1</v>
      </c>
      <c r="D199" s="338" t="s">
        <v>6074</v>
      </c>
      <c r="E199" s="338" t="s">
        <v>6075</v>
      </c>
      <c r="F199" s="337">
        <v>1</v>
      </c>
      <c r="G199" s="337">
        <v>1</v>
      </c>
      <c r="H199" s="338" t="s">
        <v>6075</v>
      </c>
      <c r="I199" s="338" t="s">
        <v>9548</v>
      </c>
      <c r="J199" s="338" t="s">
        <v>9550</v>
      </c>
      <c r="K199" s="338" t="s">
        <v>6076</v>
      </c>
      <c r="L199" s="338"/>
      <c r="M199" s="338" t="s">
        <v>6321</v>
      </c>
      <c r="N199" s="338" t="s">
        <v>6322</v>
      </c>
      <c r="O199" s="337">
        <v>1</v>
      </c>
      <c r="P199" s="337">
        <v>1</v>
      </c>
      <c r="Q199" s="338"/>
      <c r="R199" s="338"/>
      <c r="S199" s="338"/>
      <c r="T199" s="338" t="s">
        <v>6323</v>
      </c>
      <c r="U199" s="338" t="s">
        <v>6325</v>
      </c>
      <c r="V199" s="337">
        <v>1</v>
      </c>
      <c r="W199" s="337">
        <v>1</v>
      </c>
      <c r="X199" s="338" t="s">
        <v>6078</v>
      </c>
      <c r="Y199" s="338" t="s">
        <v>6320</v>
      </c>
      <c r="Z199" s="338" t="s">
        <v>9135</v>
      </c>
      <c r="AA199" s="338" t="s">
        <v>6079</v>
      </c>
      <c r="AB199" s="338"/>
      <c r="AC199" s="338"/>
      <c r="AD199" s="338"/>
      <c r="AF199" s="502" t="str">
        <f>Table15[[#This Row],[code2]]</f>
        <v>PHL</v>
      </c>
      <c r="AG199" s="502" t="str">
        <f>Table15[[#This Row],[code5]]</f>
        <v>HIL</v>
      </c>
    </row>
    <row r="200" spans="1:33">
      <c r="A200" s="338" t="s">
        <v>6072</v>
      </c>
      <c r="B200" s="338" t="s">
        <v>6073</v>
      </c>
      <c r="C200" s="337">
        <v>1</v>
      </c>
      <c r="D200" s="338" t="s">
        <v>6074</v>
      </c>
      <c r="E200" s="338" t="s">
        <v>6075</v>
      </c>
      <c r="F200" s="337">
        <v>1</v>
      </c>
      <c r="G200" s="337">
        <v>1</v>
      </c>
      <c r="H200" s="338" t="s">
        <v>6075</v>
      </c>
      <c r="I200" s="338" t="s">
        <v>9548</v>
      </c>
      <c r="J200" s="338" t="s">
        <v>9550</v>
      </c>
      <c r="K200" s="338" t="s">
        <v>6076</v>
      </c>
      <c r="L200" s="338"/>
      <c r="M200" s="338" t="s">
        <v>6326</v>
      </c>
      <c r="N200" s="338" t="s">
        <v>8313</v>
      </c>
      <c r="O200" s="337">
        <v>0</v>
      </c>
      <c r="P200" s="337">
        <v>0</v>
      </c>
      <c r="Q200" s="338"/>
      <c r="R200" s="338" t="s">
        <v>6088</v>
      </c>
      <c r="S200" s="338"/>
      <c r="T200" s="338"/>
      <c r="U200" s="338" t="s">
        <v>6327</v>
      </c>
      <c r="V200" s="337">
        <v>0</v>
      </c>
      <c r="W200" s="337">
        <v>0</v>
      </c>
      <c r="X200" s="338"/>
      <c r="Y200" s="338" t="s">
        <v>497</v>
      </c>
      <c r="Z200" s="338" t="s">
        <v>6555</v>
      </c>
      <c r="AA200" s="338" t="s">
        <v>6079</v>
      </c>
      <c r="AB200" s="338"/>
      <c r="AC200" s="338" t="s">
        <v>6239</v>
      </c>
      <c r="AD200" s="338"/>
      <c r="AF200" s="502" t="str">
        <f>Table15[[#This Row],[code2]]</f>
        <v>PHL</v>
      </c>
      <c r="AG200" s="502" t="str">
        <f>Table15[[#This Row],[code5]]</f>
        <v>FLVROONBF</v>
      </c>
    </row>
    <row r="201" spans="1:33">
      <c r="A201" s="338" t="s">
        <v>6072</v>
      </c>
      <c r="B201" s="338" t="s">
        <v>6073</v>
      </c>
      <c r="C201" s="337">
        <v>1</v>
      </c>
      <c r="D201" s="338" t="s">
        <v>6074</v>
      </c>
      <c r="E201" s="338" t="s">
        <v>6075</v>
      </c>
      <c r="F201" s="337">
        <v>1</v>
      </c>
      <c r="G201" s="337">
        <v>1</v>
      </c>
      <c r="H201" s="338" t="s">
        <v>6075</v>
      </c>
      <c r="I201" s="338" t="s">
        <v>9548</v>
      </c>
      <c r="J201" s="338" t="s">
        <v>9550</v>
      </c>
      <c r="K201" s="338" t="s">
        <v>6076</v>
      </c>
      <c r="L201" s="338"/>
      <c r="M201" s="338" t="s">
        <v>6326</v>
      </c>
      <c r="N201" s="338" t="s">
        <v>8313</v>
      </c>
      <c r="O201" s="337">
        <v>0</v>
      </c>
      <c r="P201" s="337">
        <v>0</v>
      </c>
      <c r="Q201" s="338"/>
      <c r="R201" s="338" t="s">
        <v>6088</v>
      </c>
      <c r="S201" s="338"/>
      <c r="T201" s="338"/>
      <c r="U201" s="338" t="s">
        <v>6328</v>
      </c>
      <c r="V201" s="337">
        <v>0</v>
      </c>
      <c r="W201" s="337">
        <v>0</v>
      </c>
      <c r="X201" s="338"/>
      <c r="Y201" s="338" t="s">
        <v>6081</v>
      </c>
      <c r="Z201" s="338" t="s">
        <v>6479</v>
      </c>
      <c r="AA201" s="338" t="s">
        <v>6079</v>
      </c>
      <c r="AB201" s="338"/>
      <c r="AC201" s="338" t="s">
        <v>6239</v>
      </c>
      <c r="AD201" s="338"/>
      <c r="AF201" s="502" t="str">
        <f>Table15[[#This Row],[code2]]</f>
        <v>PHL</v>
      </c>
      <c r="AG201" s="502" t="str">
        <f>Table15[[#This Row],[code5]]</f>
        <v>FLVROONBF</v>
      </c>
    </row>
    <row r="202" spans="1:33">
      <c r="A202" s="338" t="s">
        <v>6072</v>
      </c>
      <c r="B202" s="338" t="s">
        <v>6073</v>
      </c>
      <c r="C202" s="337">
        <v>1</v>
      </c>
      <c r="D202" s="338" t="s">
        <v>6074</v>
      </c>
      <c r="E202" s="338" t="s">
        <v>6075</v>
      </c>
      <c r="F202" s="337">
        <v>1</v>
      </c>
      <c r="G202" s="337">
        <v>1</v>
      </c>
      <c r="H202" s="338" t="s">
        <v>6075</v>
      </c>
      <c r="I202" s="338" t="s">
        <v>9548</v>
      </c>
      <c r="J202" s="338" t="s">
        <v>9550</v>
      </c>
      <c r="K202" s="338" t="s">
        <v>6076</v>
      </c>
      <c r="L202" s="338"/>
      <c r="M202" s="338" t="s">
        <v>6326</v>
      </c>
      <c r="N202" s="338" t="s">
        <v>8313</v>
      </c>
      <c r="O202" s="337">
        <v>0</v>
      </c>
      <c r="P202" s="337">
        <v>0</v>
      </c>
      <c r="Q202" s="338"/>
      <c r="R202" s="338" t="s">
        <v>6088</v>
      </c>
      <c r="S202" s="338"/>
      <c r="T202" s="338"/>
      <c r="U202" s="338" t="s">
        <v>6329</v>
      </c>
      <c r="V202" s="337">
        <v>0</v>
      </c>
      <c r="W202" s="337">
        <v>0</v>
      </c>
      <c r="X202" s="338"/>
      <c r="Y202" s="338" t="s">
        <v>493</v>
      </c>
      <c r="Z202" s="338" t="s">
        <v>8022</v>
      </c>
      <c r="AA202" s="338" t="s">
        <v>6079</v>
      </c>
      <c r="AB202" s="338"/>
      <c r="AC202" s="338" t="s">
        <v>6239</v>
      </c>
      <c r="AD202" s="338"/>
      <c r="AF202" s="502" t="str">
        <f>Table15[[#This Row],[code2]]</f>
        <v>PHL</v>
      </c>
      <c r="AG202" s="502" t="str">
        <f>Table15[[#This Row],[code5]]</f>
        <v>FLVROONBF</v>
      </c>
    </row>
    <row r="203" spans="1:33">
      <c r="A203" s="338" t="s">
        <v>6072</v>
      </c>
      <c r="B203" s="338" t="s">
        <v>6073</v>
      </c>
      <c r="C203" s="337">
        <v>1</v>
      </c>
      <c r="D203" s="338" t="s">
        <v>6074</v>
      </c>
      <c r="E203" s="338" t="s">
        <v>6075</v>
      </c>
      <c r="F203" s="337">
        <v>1</v>
      </c>
      <c r="G203" s="337">
        <v>1</v>
      </c>
      <c r="H203" s="338" t="s">
        <v>6075</v>
      </c>
      <c r="I203" s="338" t="s">
        <v>9548</v>
      </c>
      <c r="J203" s="338" t="s">
        <v>9550</v>
      </c>
      <c r="K203" s="338" t="s">
        <v>6076</v>
      </c>
      <c r="L203" s="338"/>
      <c r="M203" s="338" t="s">
        <v>6326</v>
      </c>
      <c r="N203" s="338" t="s">
        <v>8313</v>
      </c>
      <c r="O203" s="337">
        <v>0</v>
      </c>
      <c r="P203" s="337">
        <v>0</v>
      </c>
      <c r="Q203" s="338"/>
      <c r="R203" s="338" t="s">
        <v>6088</v>
      </c>
      <c r="S203" s="338"/>
      <c r="T203" s="338"/>
      <c r="U203" s="338" t="s">
        <v>6330</v>
      </c>
      <c r="V203" s="337">
        <v>0</v>
      </c>
      <c r="W203" s="337">
        <v>0</v>
      </c>
      <c r="X203" s="338"/>
      <c r="Y203" s="338" t="s">
        <v>6085</v>
      </c>
      <c r="Z203" s="338" t="s">
        <v>8265</v>
      </c>
      <c r="AA203" s="338" t="s">
        <v>6079</v>
      </c>
      <c r="AB203" s="338"/>
      <c r="AC203" s="338" t="s">
        <v>6239</v>
      </c>
      <c r="AD203" s="338"/>
      <c r="AF203" s="502" t="str">
        <f>Table15[[#This Row],[code2]]</f>
        <v>PHL</v>
      </c>
      <c r="AG203" s="502" t="str">
        <f>Table15[[#This Row],[code5]]</f>
        <v>FLVROONBF</v>
      </c>
    </row>
    <row r="204" spans="1:33">
      <c r="A204" s="338" t="s">
        <v>6072</v>
      </c>
      <c r="B204" s="338" t="s">
        <v>6073</v>
      </c>
      <c r="C204" s="337">
        <v>1</v>
      </c>
      <c r="D204" s="338" t="s">
        <v>6074</v>
      </c>
      <c r="E204" s="338" t="s">
        <v>6075</v>
      </c>
      <c r="F204" s="337">
        <v>1</v>
      </c>
      <c r="G204" s="337">
        <v>1</v>
      </c>
      <c r="H204" s="338" t="s">
        <v>6075</v>
      </c>
      <c r="I204" s="338" t="s">
        <v>9548</v>
      </c>
      <c r="J204" s="338" t="s">
        <v>9550</v>
      </c>
      <c r="K204" s="338" t="s">
        <v>6076</v>
      </c>
      <c r="L204" s="338"/>
      <c r="M204" s="338" t="s">
        <v>6326</v>
      </c>
      <c r="N204" s="338" t="s">
        <v>8313</v>
      </c>
      <c r="O204" s="337">
        <v>0</v>
      </c>
      <c r="P204" s="337">
        <v>0</v>
      </c>
      <c r="Q204" s="338"/>
      <c r="R204" s="338" t="s">
        <v>6088</v>
      </c>
      <c r="S204" s="338"/>
      <c r="T204" s="338"/>
      <c r="U204" s="338" t="s">
        <v>6331</v>
      </c>
      <c r="V204" s="337">
        <v>0</v>
      </c>
      <c r="W204" s="337">
        <v>0</v>
      </c>
      <c r="X204" s="338"/>
      <c r="Y204" s="338" t="s">
        <v>497</v>
      </c>
      <c r="Z204" s="338" t="s">
        <v>6555</v>
      </c>
      <c r="AA204" s="338" t="s">
        <v>6079</v>
      </c>
      <c r="AB204" s="338"/>
      <c r="AC204" s="338" t="s">
        <v>6244</v>
      </c>
      <c r="AD204" s="338"/>
      <c r="AF204" s="502" t="str">
        <f>Table15[[#This Row],[code2]]</f>
        <v>PHL</v>
      </c>
      <c r="AG204" s="502" t="str">
        <f>Table15[[#This Row],[code5]]</f>
        <v>FLVROONBF</v>
      </c>
    </row>
    <row r="205" spans="1:33">
      <c r="A205" s="338" t="s">
        <v>6072</v>
      </c>
      <c r="B205" s="338" t="s">
        <v>6073</v>
      </c>
      <c r="C205" s="337">
        <v>1</v>
      </c>
      <c r="D205" s="338" t="s">
        <v>6074</v>
      </c>
      <c r="E205" s="338" t="s">
        <v>6075</v>
      </c>
      <c r="F205" s="337">
        <v>1</v>
      </c>
      <c r="G205" s="337">
        <v>1</v>
      </c>
      <c r="H205" s="338" t="s">
        <v>6075</v>
      </c>
      <c r="I205" s="338" t="s">
        <v>9548</v>
      </c>
      <c r="J205" s="338" t="s">
        <v>9550</v>
      </c>
      <c r="K205" s="338" t="s">
        <v>6076</v>
      </c>
      <c r="L205" s="338"/>
      <c r="M205" s="338" t="s">
        <v>6326</v>
      </c>
      <c r="N205" s="338" t="s">
        <v>8313</v>
      </c>
      <c r="O205" s="337">
        <v>0</v>
      </c>
      <c r="P205" s="337">
        <v>0</v>
      </c>
      <c r="Q205" s="338"/>
      <c r="R205" s="338" t="s">
        <v>6088</v>
      </c>
      <c r="S205" s="338"/>
      <c r="T205" s="338"/>
      <c r="U205" s="338" t="s">
        <v>6332</v>
      </c>
      <c r="V205" s="337">
        <v>0</v>
      </c>
      <c r="W205" s="337">
        <v>0</v>
      </c>
      <c r="X205" s="338"/>
      <c r="Y205" s="338" t="s">
        <v>6081</v>
      </c>
      <c r="Z205" s="338" t="s">
        <v>6479</v>
      </c>
      <c r="AA205" s="338" t="s">
        <v>6079</v>
      </c>
      <c r="AB205" s="338"/>
      <c r="AC205" s="338" t="s">
        <v>6244</v>
      </c>
      <c r="AD205" s="338"/>
      <c r="AF205" s="502" t="str">
        <f>Table15[[#This Row],[code2]]</f>
        <v>PHL</v>
      </c>
      <c r="AG205" s="502" t="str">
        <f>Table15[[#This Row],[code5]]</f>
        <v>FLVROONBF</v>
      </c>
    </row>
    <row r="206" spans="1:33">
      <c r="A206" s="338" t="s">
        <v>6072</v>
      </c>
      <c r="B206" s="338" t="s">
        <v>6073</v>
      </c>
      <c r="C206" s="337">
        <v>1</v>
      </c>
      <c r="D206" s="338" t="s">
        <v>6074</v>
      </c>
      <c r="E206" s="338" t="s">
        <v>6075</v>
      </c>
      <c r="F206" s="337">
        <v>1</v>
      </c>
      <c r="G206" s="337">
        <v>1</v>
      </c>
      <c r="H206" s="338" t="s">
        <v>6075</v>
      </c>
      <c r="I206" s="338" t="s">
        <v>9548</v>
      </c>
      <c r="J206" s="338" t="s">
        <v>9550</v>
      </c>
      <c r="K206" s="338" t="s">
        <v>6076</v>
      </c>
      <c r="L206" s="338"/>
      <c r="M206" s="338" t="s">
        <v>6326</v>
      </c>
      <c r="N206" s="338" t="s">
        <v>8313</v>
      </c>
      <c r="O206" s="337">
        <v>0</v>
      </c>
      <c r="P206" s="337">
        <v>0</v>
      </c>
      <c r="Q206" s="338"/>
      <c r="R206" s="338" t="s">
        <v>6088</v>
      </c>
      <c r="S206" s="338"/>
      <c r="T206" s="338"/>
      <c r="U206" s="338" t="s">
        <v>6333</v>
      </c>
      <c r="V206" s="337">
        <v>0</v>
      </c>
      <c r="W206" s="337">
        <v>0</v>
      </c>
      <c r="X206" s="338"/>
      <c r="Y206" s="338" t="s">
        <v>493</v>
      </c>
      <c r="Z206" s="338" t="s">
        <v>8022</v>
      </c>
      <c r="AA206" s="338" t="s">
        <v>6079</v>
      </c>
      <c r="AB206" s="338"/>
      <c r="AC206" s="338" t="s">
        <v>6244</v>
      </c>
      <c r="AD206" s="338"/>
      <c r="AF206" s="502" t="str">
        <f>Table15[[#This Row],[code2]]</f>
        <v>PHL</v>
      </c>
      <c r="AG206" s="502" t="str">
        <f>Table15[[#This Row],[code5]]</f>
        <v>FLVROONBF</v>
      </c>
    </row>
    <row r="207" spans="1:33">
      <c r="A207" s="338" t="s">
        <v>6072</v>
      </c>
      <c r="B207" s="338" t="s">
        <v>6073</v>
      </c>
      <c r="C207" s="337">
        <v>1</v>
      </c>
      <c r="D207" s="338" t="s">
        <v>6074</v>
      </c>
      <c r="E207" s="338" t="s">
        <v>6075</v>
      </c>
      <c r="F207" s="337">
        <v>1</v>
      </c>
      <c r="G207" s="337">
        <v>1</v>
      </c>
      <c r="H207" s="338" t="s">
        <v>6075</v>
      </c>
      <c r="I207" s="338" t="s">
        <v>9548</v>
      </c>
      <c r="J207" s="338" t="s">
        <v>9550</v>
      </c>
      <c r="K207" s="338" t="s">
        <v>6076</v>
      </c>
      <c r="L207" s="338"/>
      <c r="M207" s="338" t="s">
        <v>6326</v>
      </c>
      <c r="N207" s="338" t="s">
        <v>8313</v>
      </c>
      <c r="O207" s="337">
        <v>0</v>
      </c>
      <c r="P207" s="337">
        <v>0</v>
      </c>
      <c r="Q207" s="338"/>
      <c r="R207" s="338" t="s">
        <v>6088</v>
      </c>
      <c r="S207" s="338"/>
      <c r="T207" s="338"/>
      <c r="U207" s="338" t="s">
        <v>6334</v>
      </c>
      <c r="V207" s="337">
        <v>0</v>
      </c>
      <c r="W207" s="337">
        <v>0</v>
      </c>
      <c r="X207" s="338"/>
      <c r="Y207" s="338" t="s">
        <v>6085</v>
      </c>
      <c r="Z207" s="338" t="s">
        <v>8265</v>
      </c>
      <c r="AA207" s="338" t="s">
        <v>6079</v>
      </c>
      <c r="AB207" s="338"/>
      <c r="AC207" s="338" t="s">
        <v>6244</v>
      </c>
      <c r="AD207" s="338"/>
      <c r="AF207" s="502" t="str">
        <f>Table15[[#This Row],[code2]]</f>
        <v>PHL</v>
      </c>
      <c r="AG207" s="502" t="str">
        <f>Table15[[#This Row],[code5]]</f>
        <v>FLVROONBF</v>
      </c>
    </row>
    <row r="208" spans="1:33">
      <c r="A208" s="338" t="s">
        <v>6072</v>
      </c>
      <c r="B208" s="338" t="s">
        <v>6073</v>
      </c>
      <c r="C208" s="337">
        <v>1</v>
      </c>
      <c r="D208" s="338" t="s">
        <v>6074</v>
      </c>
      <c r="E208" s="338" t="s">
        <v>6075</v>
      </c>
      <c r="F208" s="337">
        <v>1</v>
      </c>
      <c r="G208" s="337">
        <v>1</v>
      </c>
      <c r="H208" s="338" t="s">
        <v>6075</v>
      </c>
      <c r="I208" s="338" t="s">
        <v>9548</v>
      </c>
      <c r="J208" s="338" t="s">
        <v>9550</v>
      </c>
      <c r="K208" s="338" t="s">
        <v>6076</v>
      </c>
      <c r="L208" s="338"/>
      <c r="M208" s="338" t="s">
        <v>6326</v>
      </c>
      <c r="N208" s="338" t="s">
        <v>8313</v>
      </c>
      <c r="O208" s="337">
        <v>0</v>
      </c>
      <c r="P208" s="337">
        <v>0</v>
      </c>
      <c r="Q208" s="338"/>
      <c r="R208" s="338" t="s">
        <v>6088</v>
      </c>
      <c r="S208" s="338"/>
      <c r="T208" s="338"/>
      <c r="U208" s="338" t="s">
        <v>6335</v>
      </c>
      <c r="V208" s="337">
        <v>0</v>
      </c>
      <c r="W208" s="337">
        <v>0</v>
      </c>
      <c r="X208" s="338"/>
      <c r="Y208" s="338" t="s">
        <v>497</v>
      </c>
      <c r="Z208" s="338" t="s">
        <v>7969</v>
      </c>
      <c r="AA208" s="338" t="s">
        <v>6079</v>
      </c>
      <c r="AB208" s="338"/>
      <c r="AC208" s="338" t="s">
        <v>6249</v>
      </c>
      <c r="AD208" s="338"/>
      <c r="AF208" s="502" t="str">
        <f>Table15[[#This Row],[code2]]</f>
        <v>PHL</v>
      </c>
      <c r="AG208" s="502" t="str">
        <f>Table15[[#This Row],[code5]]</f>
        <v>FLVROONBF</v>
      </c>
    </row>
    <row r="209" spans="1:33">
      <c r="A209" s="338" t="s">
        <v>6072</v>
      </c>
      <c r="B209" s="338" t="s">
        <v>6073</v>
      </c>
      <c r="C209" s="337">
        <v>1</v>
      </c>
      <c r="D209" s="338" t="s">
        <v>6074</v>
      </c>
      <c r="E209" s="338" t="s">
        <v>6075</v>
      </c>
      <c r="F209" s="337">
        <v>1</v>
      </c>
      <c r="G209" s="337">
        <v>1</v>
      </c>
      <c r="H209" s="338" t="s">
        <v>6075</v>
      </c>
      <c r="I209" s="338" t="s">
        <v>9548</v>
      </c>
      <c r="J209" s="338" t="s">
        <v>9550</v>
      </c>
      <c r="K209" s="338" t="s">
        <v>6076</v>
      </c>
      <c r="L209" s="338"/>
      <c r="M209" s="338" t="s">
        <v>6326</v>
      </c>
      <c r="N209" s="338" t="s">
        <v>8313</v>
      </c>
      <c r="O209" s="337">
        <v>0</v>
      </c>
      <c r="P209" s="337">
        <v>0</v>
      </c>
      <c r="Q209" s="338"/>
      <c r="R209" s="338" t="s">
        <v>6088</v>
      </c>
      <c r="S209" s="338"/>
      <c r="T209" s="338"/>
      <c r="U209" s="338" t="s">
        <v>6336</v>
      </c>
      <c r="V209" s="337">
        <v>0</v>
      </c>
      <c r="W209" s="337">
        <v>0</v>
      </c>
      <c r="X209" s="338"/>
      <c r="Y209" s="338" t="s">
        <v>6081</v>
      </c>
      <c r="Z209" s="338" t="s">
        <v>8031</v>
      </c>
      <c r="AA209" s="338" t="s">
        <v>6079</v>
      </c>
      <c r="AB209" s="338"/>
      <c r="AC209" s="338" t="s">
        <v>6249</v>
      </c>
      <c r="AD209" s="338"/>
      <c r="AF209" s="502" t="str">
        <f>Table15[[#This Row],[code2]]</f>
        <v>PHL</v>
      </c>
      <c r="AG209" s="502" t="str">
        <f>Table15[[#This Row],[code5]]</f>
        <v>FLVROONBF</v>
      </c>
    </row>
    <row r="210" spans="1:33">
      <c r="A210" s="338" t="s">
        <v>6072</v>
      </c>
      <c r="B210" s="338" t="s">
        <v>6073</v>
      </c>
      <c r="C210" s="337">
        <v>1</v>
      </c>
      <c r="D210" s="338" t="s">
        <v>6074</v>
      </c>
      <c r="E210" s="338" t="s">
        <v>6075</v>
      </c>
      <c r="F210" s="337">
        <v>1</v>
      </c>
      <c r="G210" s="337">
        <v>1</v>
      </c>
      <c r="H210" s="338" t="s">
        <v>6075</v>
      </c>
      <c r="I210" s="338" t="s">
        <v>9548</v>
      </c>
      <c r="J210" s="338" t="s">
        <v>9550</v>
      </c>
      <c r="K210" s="338" t="s">
        <v>6076</v>
      </c>
      <c r="L210" s="338"/>
      <c r="M210" s="338" t="s">
        <v>6326</v>
      </c>
      <c r="N210" s="338" t="s">
        <v>8313</v>
      </c>
      <c r="O210" s="337">
        <v>0</v>
      </c>
      <c r="P210" s="337">
        <v>0</v>
      </c>
      <c r="Q210" s="338"/>
      <c r="R210" s="338" t="s">
        <v>6088</v>
      </c>
      <c r="S210" s="338"/>
      <c r="T210" s="338"/>
      <c r="U210" s="338" t="s">
        <v>6337</v>
      </c>
      <c r="V210" s="337">
        <v>0</v>
      </c>
      <c r="W210" s="337">
        <v>0</v>
      </c>
      <c r="X210" s="338"/>
      <c r="Y210" s="338" t="s">
        <v>493</v>
      </c>
      <c r="Z210" s="338" t="s">
        <v>7972</v>
      </c>
      <c r="AA210" s="338" t="s">
        <v>6079</v>
      </c>
      <c r="AB210" s="338"/>
      <c r="AC210" s="338" t="s">
        <v>6249</v>
      </c>
      <c r="AD210" s="338"/>
      <c r="AF210" s="502" t="str">
        <f>Table15[[#This Row],[code2]]</f>
        <v>PHL</v>
      </c>
      <c r="AG210" s="502" t="str">
        <f>Table15[[#This Row],[code5]]</f>
        <v>FLVROONBF</v>
      </c>
    </row>
    <row r="211" spans="1:33">
      <c r="A211" s="338" t="s">
        <v>6072</v>
      </c>
      <c r="B211" s="338" t="s">
        <v>6073</v>
      </c>
      <c r="C211" s="337">
        <v>1</v>
      </c>
      <c r="D211" s="338" t="s">
        <v>6074</v>
      </c>
      <c r="E211" s="338" t="s">
        <v>6075</v>
      </c>
      <c r="F211" s="337">
        <v>1</v>
      </c>
      <c r="G211" s="337">
        <v>1</v>
      </c>
      <c r="H211" s="338" t="s">
        <v>6075</v>
      </c>
      <c r="I211" s="338" t="s">
        <v>9548</v>
      </c>
      <c r="J211" s="338" t="s">
        <v>9550</v>
      </c>
      <c r="K211" s="338" t="s">
        <v>6076</v>
      </c>
      <c r="L211" s="338"/>
      <c r="M211" s="338" t="s">
        <v>6326</v>
      </c>
      <c r="N211" s="338" t="s">
        <v>8313</v>
      </c>
      <c r="O211" s="337">
        <v>0</v>
      </c>
      <c r="P211" s="337">
        <v>0</v>
      </c>
      <c r="Q211" s="338"/>
      <c r="R211" s="338" t="s">
        <v>6088</v>
      </c>
      <c r="S211" s="338"/>
      <c r="T211" s="338"/>
      <c r="U211" s="338" t="s">
        <v>6338</v>
      </c>
      <c r="V211" s="337">
        <v>0</v>
      </c>
      <c r="W211" s="337">
        <v>0</v>
      </c>
      <c r="X211" s="338"/>
      <c r="Y211" s="338" t="s">
        <v>6085</v>
      </c>
      <c r="Z211" s="338" t="s">
        <v>8251</v>
      </c>
      <c r="AA211" s="338" t="s">
        <v>6079</v>
      </c>
      <c r="AB211" s="338"/>
      <c r="AC211" s="338" t="s">
        <v>6249</v>
      </c>
      <c r="AD211" s="338"/>
      <c r="AF211" s="502" t="str">
        <f>Table15[[#This Row],[code2]]</f>
        <v>PHL</v>
      </c>
      <c r="AG211" s="502" t="str">
        <f>Table15[[#This Row],[code5]]</f>
        <v>FLVROONBF</v>
      </c>
    </row>
    <row r="212" spans="1:33">
      <c r="A212" s="338" t="s">
        <v>6072</v>
      </c>
      <c r="B212" s="338" t="s">
        <v>6073</v>
      </c>
      <c r="C212" s="337">
        <v>1</v>
      </c>
      <c r="D212" s="338" t="s">
        <v>6074</v>
      </c>
      <c r="E212" s="338" t="s">
        <v>6075</v>
      </c>
      <c r="F212" s="337">
        <v>1</v>
      </c>
      <c r="G212" s="337">
        <v>1</v>
      </c>
      <c r="H212" s="338" t="s">
        <v>6075</v>
      </c>
      <c r="I212" s="338" t="s">
        <v>9548</v>
      </c>
      <c r="J212" s="338" t="s">
        <v>9550</v>
      </c>
      <c r="K212" s="338" t="s">
        <v>6076</v>
      </c>
      <c r="L212" s="338"/>
      <c r="M212" s="338" t="s">
        <v>6326</v>
      </c>
      <c r="N212" s="338" t="s">
        <v>8313</v>
      </c>
      <c r="O212" s="337">
        <v>0</v>
      </c>
      <c r="P212" s="337">
        <v>0</v>
      </c>
      <c r="Q212" s="338"/>
      <c r="R212" s="338" t="s">
        <v>6088</v>
      </c>
      <c r="S212" s="338"/>
      <c r="T212" s="338"/>
      <c r="U212" s="338" t="s">
        <v>6339</v>
      </c>
      <c r="V212" s="337">
        <v>0</v>
      </c>
      <c r="W212" s="337">
        <v>0</v>
      </c>
      <c r="X212" s="338"/>
      <c r="Y212" s="338" t="s">
        <v>497</v>
      </c>
      <c r="Z212" s="338" t="s">
        <v>7969</v>
      </c>
      <c r="AA212" s="338" t="s">
        <v>6079</v>
      </c>
      <c r="AB212" s="338"/>
      <c r="AC212" s="338" t="s">
        <v>6254</v>
      </c>
      <c r="AD212" s="338"/>
      <c r="AF212" s="502" t="str">
        <f>Table15[[#This Row],[code2]]</f>
        <v>PHL</v>
      </c>
      <c r="AG212" s="502" t="str">
        <f>Table15[[#This Row],[code5]]</f>
        <v>FLVROONBF</v>
      </c>
    </row>
    <row r="213" spans="1:33">
      <c r="A213" s="338" t="s">
        <v>6072</v>
      </c>
      <c r="B213" s="338" t="s">
        <v>6073</v>
      </c>
      <c r="C213" s="337">
        <v>1</v>
      </c>
      <c r="D213" s="338" t="s">
        <v>6074</v>
      </c>
      <c r="E213" s="338" t="s">
        <v>6075</v>
      </c>
      <c r="F213" s="337">
        <v>1</v>
      </c>
      <c r="G213" s="337">
        <v>1</v>
      </c>
      <c r="H213" s="338" t="s">
        <v>6075</v>
      </c>
      <c r="I213" s="338" t="s">
        <v>9548</v>
      </c>
      <c r="J213" s="338" t="s">
        <v>9550</v>
      </c>
      <c r="K213" s="338" t="s">
        <v>6076</v>
      </c>
      <c r="L213" s="338"/>
      <c r="M213" s="338" t="s">
        <v>6326</v>
      </c>
      <c r="N213" s="338" t="s">
        <v>8313</v>
      </c>
      <c r="O213" s="337">
        <v>0</v>
      </c>
      <c r="P213" s="337">
        <v>0</v>
      </c>
      <c r="Q213" s="338"/>
      <c r="R213" s="338" t="s">
        <v>6088</v>
      </c>
      <c r="S213" s="338"/>
      <c r="T213" s="338"/>
      <c r="U213" s="338" t="s">
        <v>6340</v>
      </c>
      <c r="V213" s="337">
        <v>0</v>
      </c>
      <c r="W213" s="337">
        <v>0</v>
      </c>
      <c r="X213" s="338"/>
      <c r="Y213" s="338" t="s">
        <v>6081</v>
      </c>
      <c r="Z213" s="338" t="s">
        <v>8031</v>
      </c>
      <c r="AA213" s="338" t="s">
        <v>6079</v>
      </c>
      <c r="AB213" s="338"/>
      <c r="AC213" s="338" t="s">
        <v>6254</v>
      </c>
      <c r="AD213" s="338"/>
      <c r="AF213" s="502" t="str">
        <f>Table15[[#This Row],[code2]]</f>
        <v>PHL</v>
      </c>
      <c r="AG213" s="502" t="str">
        <f>Table15[[#This Row],[code5]]</f>
        <v>FLVROONBF</v>
      </c>
    </row>
    <row r="214" spans="1:33">
      <c r="A214" s="338" t="s">
        <v>6072</v>
      </c>
      <c r="B214" s="338" t="s">
        <v>6073</v>
      </c>
      <c r="C214" s="337">
        <v>1</v>
      </c>
      <c r="D214" s="338" t="s">
        <v>6074</v>
      </c>
      <c r="E214" s="338" t="s">
        <v>6075</v>
      </c>
      <c r="F214" s="337">
        <v>1</v>
      </c>
      <c r="G214" s="337">
        <v>1</v>
      </c>
      <c r="H214" s="338" t="s">
        <v>6075</v>
      </c>
      <c r="I214" s="338" t="s">
        <v>9548</v>
      </c>
      <c r="J214" s="338" t="s">
        <v>9550</v>
      </c>
      <c r="K214" s="338" t="s">
        <v>6076</v>
      </c>
      <c r="L214" s="338"/>
      <c r="M214" s="338" t="s">
        <v>6326</v>
      </c>
      <c r="N214" s="338" t="s">
        <v>8313</v>
      </c>
      <c r="O214" s="337">
        <v>0</v>
      </c>
      <c r="P214" s="337">
        <v>0</v>
      </c>
      <c r="Q214" s="338"/>
      <c r="R214" s="338" t="s">
        <v>6088</v>
      </c>
      <c r="S214" s="338"/>
      <c r="T214" s="338"/>
      <c r="U214" s="338" t="s">
        <v>6341</v>
      </c>
      <c r="V214" s="337">
        <v>0</v>
      </c>
      <c r="W214" s="337">
        <v>0</v>
      </c>
      <c r="X214" s="338"/>
      <c r="Y214" s="338" t="s">
        <v>493</v>
      </c>
      <c r="Z214" s="338" t="s">
        <v>7972</v>
      </c>
      <c r="AA214" s="338" t="s">
        <v>6079</v>
      </c>
      <c r="AB214" s="338"/>
      <c r="AC214" s="338" t="s">
        <v>6254</v>
      </c>
      <c r="AD214" s="338"/>
      <c r="AF214" s="502" t="str">
        <f>Table15[[#This Row],[code2]]</f>
        <v>PHL</v>
      </c>
      <c r="AG214" s="502" t="str">
        <f>Table15[[#This Row],[code5]]</f>
        <v>FLVROONBF</v>
      </c>
    </row>
    <row r="215" spans="1:33">
      <c r="A215" s="338" t="s">
        <v>6072</v>
      </c>
      <c r="B215" s="338" t="s">
        <v>6073</v>
      </c>
      <c r="C215" s="337">
        <v>1</v>
      </c>
      <c r="D215" s="338" t="s">
        <v>6074</v>
      </c>
      <c r="E215" s="338" t="s">
        <v>6075</v>
      </c>
      <c r="F215" s="337">
        <v>1</v>
      </c>
      <c r="G215" s="337">
        <v>1</v>
      </c>
      <c r="H215" s="338" t="s">
        <v>6075</v>
      </c>
      <c r="I215" s="338" t="s">
        <v>9548</v>
      </c>
      <c r="J215" s="338" t="s">
        <v>9550</v>
      </c>
      <c r="K215" s="338" t="s">
        <v>6076</v>
      </c>
      <c r="L215" s="338"/>
      <c r="M215" s="338" t="s">
        <v>6326</v>
      </c>
      <c r="N215" s="338" t="s">
        <v>8313</v>
      </c>
      <c r="O215" s="337">
        <v>0</v>
      </c>
      <c r="P215" s="337">
        <v>0</v>
      </c>
      <c r="Q215" s="338"/>
      <c r="R215" s="338" t="s">
        <v>6088</v>
      </c>
      <c r="S215" s="338"/>
      <c r="T215" s="338"/>
      <c r="U215" s="338" t="s">
        <v>6342</v>
      </c>
      <c r="V215" s="337">
        <v>0</v>
      </c>
      <c r="W215" s="337">
        <v>0</v>
      </c>
      <c r="X215" s="338"/>
      <c r="Y215" s="338" t="s">
        <v>6085</v>
      </c>
      <c r="Z215" s="338" t="s">
        <v>8251</v>
      </c>
      <c r="AA215" s="338" t="s">
        <v>6079</v>
      </c>
      <c r="AB215" s="338"/>
      <c r="AC215" s="338" t="s">
        <v>6254</v>
      </c>
      <c r="AD215" s="338"/>
      <c r="AF215" s="502" t="str">
        <f>Table15[[#This Row],[code2]]</f>
        <v>PHL</v>
      </c>
      <c r="AG215" s="502" t="str">
        <f>Table15[[#This Row],[code5]]</f>
        <v>FLVROONBF</v>
      </c>
    </row>
    <row r="216" spans="1:33">
      <c r="A216" s="338" t="s">
        <v>6072</v>
      </c>
      <c r="B216" s="338" t="s">
        <v>6073</v>
      </c>
      <c r="C216" s="337">
        <v>1</v>
      </c>
      <c r="D216" s="338" t="s">
        <v>6074</v>
      </c>
      <c r="E216" s="338" t="s">
        <v>6075</v>
      </c>
      <c r="F216" s="337">
        <v>1</v>
      </c>
      <c r="G216" s="337">
        <v>1</v>
      </c>
      <c r="H216" s="338" t="s">
        <v>6075</v>
      </c>
      <c r="I216" s="338" t="s">
        <v>9548</v>
      </c>
      <c r="J216" s="338" t="s">
        <v>9550</v>
      </c>
      <c r="K216" s="338" t="s">
        <v>6076</v>
      </c>
      <c r="L216" s="338"/>
      <c r="M216" s="338" t="s">
        <v>6326</v>
      </c>
      <c r="N216" s="338" t="s">
        <v>8313</v>
      </c>
      <c r="O216" s="337">
        <v>0</v>
      </c>
      <c r="P216" s="337">
        <v>0</v>
      </c>
      <c r="Q216" s="338"/>
      <c r="R216" s="338" t="s">
        <v>6088</v>
      </c>
      <c r="S216" s="338"/>
      <c r="T216" s="338"/>
      <c r="U216" s="338" t="s">
        <v>6343</v>
      </c>
      <c r="V216" s="337">
        <v>0</v>
      </c>
      <c r="W216" s="337">
        <v>0</v>
      </c>
      <c r="X216" s="338"/>
      <c r="Y216" s="338" t="s">
        <v>497</v>
      </c>
      <c r="Z216" s="338" t="s">
        <v>7972</v>
      </c>
      <c r="AA216" s="338" t="s">
        <v>6079</v>
      </c>
      <c r="AB216" s="338"/>
      <c r="AC216" s="338" t="s">
        <v>6259</v>
      </c>
      <c r="AD216" s="338"/>
      <c r="AF216" s="502" t="str">
        <f>Table15[[#This Row],[code2]]</f>
        <v>PHL</v>
      </c>
      <c r="AG216" s="502" t="str">
        <f>Table15[[#This Row],[code5]]</f>
        <v>FLVROONBF</v>
      </c>
    </row>
    <row r="217" spans="1:33">
      <c r="A217" s="338" t="s">
        <v>6072</v>
      </c>
      <c r="B217" s="338" t="s">
        <v>6073</v>
      </c>
      <c r="C217" s="337">
        <v>1</v>
      </c>
      <c r="D217" s="338" t="s">
        <v>6074</v>
      </c>
      <c r="E217" s="338" t="s">
        <v>6075</v>
      </c>
      <c r="F217" s="337">
        <v>1</v>
      </c>
      <c r="G217" s="337">
        <v>1</v>
      </c>
      <c r="H217" s="338" t="s">
        <v>6075</v>
      </c>
      <c r="I217" s="338" t="s">
        <v>9548</v>
      </c>
      <c r="J217" s="338" t="s">
        <v>9550</v>
      </c>
      <c r="K217" s="338" t="s">
        <v>6076</v>
      </c>
      <c r="L217" s="338"/>
      <c r="M217" s="338" t="s">
        <v>6326</v>
      </c>
      <c r="N217" s="338" t="s">
        <v>8313</v>
      </c>
      <c r="O217" s="337">
        <v>0</v>
      </c>
      <c r="P217" s="337">
        <v>0</v>
      </c>
      <c r="Q217" s="338"/>
      <c r="R217" s="338" t="s">
        <v>6088</v>
      </c>
      <c r="S217" s="338"/>
      <c r="T217" s="338"/>
      <c r="U217" s="338" t="s">
        <v>6344</v>
      </c>
      <c r="V217" s="337">
        <v>0</v>
      </c>
      <c r="W217" s="337">
        <v>0</v>
      </c>
      <c r="X217" s="338"/>
      <c r="Y217" s="338" t="s">
        <v>6081</v>
      </c>
      <c r="Z217" s="338" t="s">
        <v>8266</v>
      </c>
      <c r="AA217" s="338" t="s">
        <v>6079</v>
      </c>
      <c r="AB217" s="338"/>
      <c r="AC217" s="338" t="s">
        <v>6259</v>
      </c>
      <c r="AD217" s="338"/>
      <c r="AF217" s="502" t="str">
        <f>Table15[[#This Row],[code2]]</f>
        <v>PHL</v>
      </c>
      <c r="AG217" s="502" t="str">
        <f>Table15[[#This Row],[code5]]</f>
        <v>FLVROONBF</v>
      </c>
    </row>
    <row r="218" spans="1:33">
      <c r="A218" s="338" t="s">
        <v>6072</v>
      </c>
      <c r="B218" s="338" t="s">
        <v>6073</v>
      </c>
      <c r="C218" s="337">
        <v>1</v>
      </c>
      <c r="D218" s="338" t="s">
        <v>6074</v>
      </c>
      <c r="E218" s="338" t="s">
        <v>6075</v>
      </c>
      <c r="F218" s="337">
        <v>1</v>
      </c>
      <c r="G218" s="337">
        <v>1</v>
      </c>
      <c r="H218" s="338" t="s">
        <v>6075</v>
      </c>
      <c r="I218" s="338" t="s">
        <v>9548</v>
      </c>
      <c r="J218" s="338" t="s">
        <v>9550</v>
      </c>
      <c r="K218" s="338" t="s">
        <v>6076</v>
      </c>
      <c r="L218" s="338"/>
      <c r="M218" s="338" t="s">
        <v>6326</v>
      </c>
      <c r="N218" s="338" t="s">
        <v>8313</v>
      </c>
      <c r="O218" s="337">
        <v>0</v>
      </c>
      <c r="P218" s="337">
        <v>0</v>
      </c>
      <c r="Q218" s="338"/>
      <c r="R218" s="338" t="s">
        <v>6088</v>
      </c>
      <c r="S218" s="338"/>
      <c r="T218" s="338"/>
      <c r="U218" s="338" t="s">
        <v>6345</v>
      </c>
      <c r="V218" s="337">
        <v>0</v>
      </c>
      <c r="W218" s="337">
        <v>0</v>
      </c>
      <c r="X218" s="338"/>
      <c r="Y218" s="338" t="s">
        <v>493</v>
      </c>
      <c r="Z218" s="338" t="s">
        <v>8023</v>
      </c>
      <c r="AA218" s="338" t="s">
        <v>6079</v>
      </c>
      <c r="AB218" s="338"/>
      <c r="AC218" s="338" t="s">
        <v>6259</v>
      </c>
      <c r="AD218" s="338"/>
      <c r="AF218" s="502" t="str">
        <f>Table15[[#This Row],[code2]]</f>
        <v>PHL</v>
      </c>
      <c r="AG218" s="502" t="str">
        <f>Table15[[#This Row],[code5]]</f>
        <v>FLVROONBF</v>
      </c>
    </row>
    <row r="219" spans="1:33">
      <c r="A219" s="338" t="s">
        <v>6072</v>
      </c>
      <c r="B219" s="338" t="s">
        <v>6073</v>
      </c>
      <c r="C219" s="337">
        <v>1</v>
      </c>
      <c r="D219" s="338" t="s">
        <v>6074</v>
      </c>
      <c r="E219" s="338" t="s">
        <v>6075</v>
      </c>
      <c r="F219" s="337">
        <v>1</v>
      </c>
      <c r="G219" s="337">
        <v>1</v>
      </c>
      <c r="H219" s="338" t="s">
        <v>6075</v>
      </c>
      <c r="I219" s="338" t="s">
        <v>9548</v>
      </c>
      <c r="J219" s="338" t="s">
        <v>9550</v>
      </c>
      <c r="K219" s="338" t="s">
        <v>6076</v>
      </c>
      <c r="L219" s="338"/>
      <c r="M219" s="338" t="s">
        <v>6326</v>
      </c>
      <c r="N219" s="338" t="s">
        <v>8313</v>
      </c>
      <c r="O219" s="337">
        <v>0</v>
      </c>
      <c r="P219" s="337">
        <v>0</v>
      </c>
      <c r="Q219" s="338"/>
      <c r="R219" s="338" t="s">
        <v>6088</v>
      </c>
      <c r="S219" s="338"/>
      <c r="T219" s="338"/>
      <c r="U219" s="338" t="s">
        <v>6346</v>
      </c>
      <c r="V219" s="337">
        <v>0</v>
      </c>
      <c r="W219" s="337">
        <v>0</v>
      </c>
      <c r="X219" s="338"/>
      <c r="Y219" s="338" t="s">
        <v>6085</v>
      </c>
      <c r="Z219" s="338" t="s">
        <v>8126</v>
      </c>
      <c r="AA219" s="338" t="s">
        <v>6079</v>
      </c>
      <c r="AB219" s="338"/>
      <c r="AC219" s="338" t="s">
        <v>6259</v>
      </c>
      <c r="AD219" s="338"/>
      <c r="AF219" s="502" t="str">
        <f>Table15[[#This Row],[code2]]</f>
        <v>PHL</v>
      </c>
      <c r="AG219" s="502" t="str">
        <f>Table15[[#This Row],[code5]]</f>
        <v>FLVROONBF</v>
      </c>
    </row>
    <row r="220" spans="1:33">
      <c r="A220" s="338" t="s">
        <v>6072</v>
      </c>
      <c r="B220" s="338" t="s">
        <v>6073</v>
      </c>
      <c r="C220" s="337">
        <v>1</v>
      </c>
      <c r="D220" s="338" t="s">
        <v>6074</v>
      </c>
      <c r="E220" s="338" t="s">
        <v>6075</v>
      </c>
      <c r="F220" s="337">
        <v>1</v>
      </c>
      <c r="G220" s="337">
        <v>1</v>
      </c>
      <c r="H220" s="338" t="s">
        <v>6075</v>
      </c>
      <c r="I220" s="338" t="s">
        <v>9548</v>
      </c>
      <c r="J220" s="338" t="s">
        <v>9550</v>
      </c>
      <c r="K220" s="338" t="s">
        <v>6076</v>
      </c>
      <c r="L220" s="338"/>
      <c r="M220" s="338" t="s">
        <v>6326</v>
      </c>
      <c r="N220" s="338" t="s">
        <v>8313</v>
      </c>
      <c r="O220" s="337">
        <v>0</v>
      </c>
      <c r="P220" s="337">
        <v>0</v>
      </c>
      <c r="Q220" s="338"/>
      <c r="R220" s="338" t="s">
        <v>6088</v>
      </c>
      <c r="S220" s="338"/>
      <c r="T220" s="338"/>
      <c r="U220" s="338" t="s">
        <v>6347</v>
      </c>
      <c r="V220" s="337">
        <v>0</v>
      </c>
      <c r="W220" s="337">
        <v>0</v>
      </c>
      <c r="X220" s="338"/>
      <c r="Y220" s="338" t="s">
        <v>497</v>
      </c>
      <c r="Z220" s="338" t="s">
        <v>7972</v>
      </c>
      <c r="AA220" s="338" t="s">
        <v>6079</v>
      </c>
      <c r="AB220" s="338"/>
      <c r="AC220" s="338" t="s">
        <v>6264</v>
      </c>
      <c r="AD220" s="338"/>
      <c r="AF220" s="502" t="str">
        <f>Table15[[#This Row],[code2]]</f>
        <v>PHL</v>
      </c>
      <c r="AG220" s="502" t="str">
        <f>Table15[[#This Row],[code5]]</f>
        <v>FLVROONBF</v>
      </c>
    </row>
    <row r="221" spans="1:33">
      <c r="A221" s="338" t="s">
        <v>6072</v>
      </c>
      <c r="B221" s="338" t="s">
        <v>6073</v>
      </c>
      <c r="C221" s="337">
        <v>1</v>
      </c>
      <c r="D221" s="338" t="s">
        <v>6074</v>
      </c>
      <c r="E221" s="338" t="s">
        <v>6075</v>
      </c>
      <c r="F221" s="337">
        <v>1</v>
      </c>
      <c r="G221" s="337">
        <v>1</v>
      </c>
      <c r="H221" s="338" t="s">
        <v>6075</v>
      </c>
      <c r="I221" s="338" t="s">
        <v>9548</v>
      </c>
      <c r="J221" s="338" t="s">
        <v>9550</v>
      </c>
      <c r="K221" s="338" t="s">
        <v>6076</v>
      </c>
      <c r="L221" s="338"/>
      <c r="M221" s="338" t="s">
        <v>6326</v>
      </c>
      <c r="N221" s="338" t="s">
        <v>8313</v>
      </c>
      <c r="O221" s="337">
        <v>0</v>
      </c>
      <c r="P221" s="337">
        <v>0</v>
      </c>
      <c r="Q221" s="338"/>
      <c r="R221" s="338" t="s">
        <v>6088</v>
      </c>
      <c r="S221" s="338"/>
      <c r="T221" s="338"/>
      <c r="U221" s="338" t="s">
        <v>6348</v>
      </c>
      <c r="V221" s="337">
        <v>0</v>
      </c>
      <c r="W221" s="337">
        <v>0</v>
      </c>
      <c r="X221" s="338"/>
      <c r="Y221" s="338" t="s">
        <v>6081</v>
      </c>
      <c r="Z221" s="338" t="s">
        <v>8266</v>
      </c>
      <c r="AA221" s="338" t="s">
        <v>6079</v>
      </c>
      <c r="AB221" s="338"/>
      <c r="AC221" s="338" t="s">
        <v>6264</v>
      </c>
      <c r="AD221" s="338"/>
      <c r="AF221" s="502" t="str">
        <f>Table15[[#This Row],[code2]]</f>
        <v>PHL</v>
      </c>
      <c r="AG221" s="502" t="str">
        <f>Table15[[#This Row],[code5]]</f>
        <v>FLVROONBF</v>
      </c>
    </row>
    <row r="222" spans="1:33">
      <c r="A222" s="338" t="s">
        <v>6072</v>
      </c>
      <c r="B222" s="338" t="s">
        <v>6073</v>
      </c>
      <c r="C222" s="337">
        <v>1</v>
      </c>
      <c r="D222" s="338" t="s">
        <v>6074</v>
      </c>
      <c r="E222" s="338" t="s">
        <v>6075</v>
      </c>
      <c r="F222" s="337">
        <v>1</v>
      </c>
      <c r="G222" s="337">
        <v>1</v>
      </c>
      <c r="H222" s="338" t="s">
        <v>6075</v>
      </c>
      <c r="I222" s="338" t="s">
        <v>9548</v>
      </c>
      <c r="J222" s="338" t="s">
        <v>9550</v>
      </c>
      <c r="K222" s="338" t="s">
        <v>6076</v>
      </c>
      <c r="L222" s="338"/>
      <c r="M222" s="338" t="s">
        <v>6326</v>
      </c>
      <c r="N222" s="338" t="s">
        <v>8313</v>
      </c>
      <c r="O222" s="337">
        <v>0</v>
      </c>
      <c r="P222" s="337">
        <v>0</v>
      </c>
      <c r="Q222" s="338"/>
      <c r="R222" s="338" t="s">
        <v>6088</v>
      </c>
      <c r="S222" s="338"/>
      <c r="T222" s="338"/>
      <c r="U222" s="338" t="s">
        <v>6349</v>
      </c>
      <c r="V222" s="337">
        <v>0</v>
      </c>
      <c r="W222" s="337">
        <v>0</v>
      </c>
      <c r="X222" s="338"/>
      <c r="Y222" s="338" t="s">
        <v>493</v>
      </c>
      <c r="Z222" s="338" t="s">
        <v>8023</v>
      </c>
      <c r="AA222" s="338" t="s">
        <v>6079</v>
      </c>
      <c r="AB222" s="338"/>
      <c r="AC222" s="338" t="s">
        <v>6264</v>
      </c>
      <c r="AD222" s="338"/>
      <c r="AF222" s="502" t="str">
        <f>Table15[[#This Row],[code2]]</f>
        <v>PHL</v>
      </c>
      <c r="AG222" s="502" t="str">
        <f>Table15[[#This Row],[code5]]</f>
        <v>FLVROONBF</v>
      </c>
    </row>
    <row r="223" spans="1:33">
      <c r="A223" s="338" t="s">
        <v>6072</v>
      </c>
      <c r="B223" s="338" t="s">
        <v>6073</v>
      </c>
      <c r="C223" s="337">
        <v>1</v>
      </c>
      <c r="D223" s="338" t="s">
        <v>6074</v>
      </c>
      <c r="E223" s="338" t="s">
        <v>6075</v>
      </c>
      <c r="F223" s="337">
        <v>1</v>
      </c>
      <c r="G223" s="337">
        <v>1</v>
      </c>
      <c r="H223" s="338" t="s">
        <v>6075</v>
      </c>
      <c r="I223" s="338" t="s">
        <v>9548</v>
      </c>
      <c r="J223" s="338" t="s">
        <v>9550</v>
      </c>
      <c r="K223" s="338" t="s">
        <v>6076</v>
      </c>
      <c r="L223" s="338"/>
      <c r="M223" s="338" t="s">
        <v>6326</v>
      </c>
      <c r="N223" s="338" t="s">
        <v>8313</v>
      </c>
      <c r="O223" s="337">
        <v>0</v>
      </c>
      <c r="P223" s="337">
        <v>0</v>
      </c>
      <c r="Q223" s="338"/>
      <c r="R223" s="338" t="s">
        <v>6088</v>
      </c>
      <c r="S223" s="338"/>
      <c r="T223" s="338"/>
      <c r="U223" s="338" t="s">
        <v>6350</v>
      </c>
      <c r="V223" s="337">
        <v>0</v>
      </c>
      <c r="W223" s="337">
        <v>0</v>
      </c>
      <c r="X223" s="338"/>
      <c r="Y223" s="338" t="s">
        <v>6085</v>
      </c>
      <c r="Z223" s="338" t="s">
        <v>8126</v>
      </c>
      <c r="AA223" s="338" t="s">
        <v>6079</v>
      </c>
      <c r="AB223" s="338"/>
      <c r="AC223" s="338" t="s">
        <v>6264</v>
      </c>
      <c r="AD223" s="338"/>
      <c r="AF223" s="502" t="str">
        <f>Table15[[#This Row],[code2]]</f>
        <v>PHL</v>
      </c>
      <c r="AG223" s="502" t="str">
        <f>Table15[[#This Row],[code5]]</f>
        <v>FLVROONBF</v>
      </c>
    </row>
    <row r="224" spans="1:33">
      <c r="A224" s="338" t="s">
        <v>6072</v>
      </c>
      <c r="B224" s="338" t="s">
        <v>6073</v>
      </c>
      <c r="C224" s="337">
        <v>1</v>
      </c>
      <c r="D224" s="338" t="s">
        <v>6074</v>
      </c>
      <c r="E224" s="338" t="s">
        <v>6075</v>
      </c>
      <c r="F224" s="337">
        <v>1</v>
      </c>
      <c r="G224" s="337">
        <v>1</v>
      </c>
      <c r="H224" s="338" t="s">
        <v>6075</v>
      </c>
      <c r="I224" s="338" t="s">
        <v>9548</v>
      </c>
      <c r="J224" s="338" t="s">
        <v>9550</v>
      </c>
      <c r="K224" s="338" t="s">
        <v>6076</v>
      </c>
      <c r="L224" s="338"/>
      <c r="M224" s="338" t="s">
        <v>6326</v>
      </c>
      <c r="N224" s="338" t="s">
        <v>8313</v>
      </c>
      <c r="O224" s="337">
        <v>0</v>
      </c>
      <c r="P224" s="337">
        <v>0</v>
      </c>
      <c r="Q224" s="338"/>
      <c r="R224" s="338" t="s">
        <v>6088</v>
      </c>
      <c r="S224" s="338"/>
      <c r="T224" s="338"/>
      <c r="U224" s="338" t="s">
        <v>6351</v>
      </c>
      <c r="V224" s="337">
        <v>0</v>
      </c>
      <c r="W224" s="337">
        <v>0</v>
      </c>
      <c r="X224" s="338"/>
      <c r="Y224" s="338" t="s">
        <v>497</v>
      </c>
      <c r="Z224" s="338" t="s">
        <v>8010</v>
      </c>
      <c r="AA224" s="338" t="s">
        <v>6079</v>
      </c>
      <c r="AB224" s="338"/>
      <c r="AC224" s="338" t="s">
        <v>6269</v>
      </c>
      <c r="AD224" s="338"/>
      <c r="AF224" s="502" t="str">
        <f>Table15[[#This Row],[code2]]</f>
        <v>PHL</v>
      </c>
      <c r="AG224" s="502" t="str">
        <f>Table15[[#This Row],[code5]]</f>
        <v>FLVROONBF</v>
      </c>
    </row>
    <row r="225" spans="1:33">
      <c r="A225" s="338" t="s">
        <v>6072</v>
      </c>
      <c r="B225" s="338" t="s">
        <v>6073</v>
      </c>
      <c r="C225" s="337">
        <v>1</v>
      </c>
      <c r="D225" s="338" t="s">
        <v>6074</v>
      </c>
      <c r="E225" s="338" t="s">
        <v>6075</v>
      </c>
      <c r="F225" s="337">
        <v>1</v>
      </c>
      <c r="G225" s="337">
        <v>1</v>
      </c>
      <c r="H225" s="338" t="s">
        <v>6075</v>
      </c>
      <c r="I225" s="338" t="s">
        <v>9548</v>
      </c>
      <c r="J225" s="338" t="s">
        <v>9550</v>
      </c>
      <c r="K225" s="338" t="s">
        <v>6076</v>
      </c>
      <c r="L225" s="338"/>
      <c r="M225" s="338" t="s">
        <v>6326</v>
      </c>
      <c r="N225" s="338" t="s">
        <v>8313</v>
      </c>
      <c r="O225" s="337">
        <v>0</v>
      </c>
      <c r="P225" s="337">
        <v>0</v>
      </c>
      <c r="Q225" s="338"/>
      <c r="R225" s="338" t="s">
        <v>6088</v>
      </c>
      <c r="S225" s="338"/>
      <c r="T225" s="338"/>
      <c r="U225" s="338" t="s">
        <v>6352</v>
      </c>
      <c r="V225" s="337">
        <v>0</v>
      </c>
      <c r="W225" s="337">
        <v>0</v>
      </c>
      <c r="X225" s="338"/>
      <c r="Y225" s="338" t="s">
        <v>6081</v>
      </c>
      <c r="Z225" s="338" t="s">
        <v>8010</v>
      </c>
      <c r="AA225" s="338" t="s">
        <v>6079</v>
      </c>
      <c r="AB225" s="338"/>
      <c r="AC225" s="338" t="s">
        <v>6269</v>
      </c>
      <c r="AD225" s="338"/>
      <c r="AF225" s="502" t="str">
        <f>Table15[[#This Row],[code2]]</f>
        <v>PHL</v>
      </c>
      <c r="AG225" s="502" t="str">
        <f>Table15[[#This Row],[code5]]</f>
        <v>FLVROONBF</v>
      </c>
    </row>
    <row r="226" spans="1:33">
      <c r="A226" s="338" t="s">
        <v>6072</v>
      </c>
      <c r="B226" s="338" t="s">
        <v>6073</v>
      </c>
      <c r="C226" s="337">
        <v>1</v>
      </c>
      <c r="D226" s="338" t="s">
        <v>6074</v>
      </c>
      <c r="E226" s="338" t="s">
        <v>6075</v>
      </c>
      <c r="F226" s="337">
        <v>1</v>
      </c>
      <c r="G226" s="337">
        <v>1</v>
      </c>
      <c r="H226" s="338" t="s">
        <v>6075</v>
      </c>
      <c r="I226" s="338" t="s">
        <v>9548</v>
      </c>
      <c r="J226" s="338" t="s">
        <v>9550</v>
      </c>
      <c r="K226" s="338" t="s">
        <v>6076</v>
      </c>
      <c r="L226" s="338"/>
      <c r="M226" s="338" t="s">
        <v>6326</v>
      </c>
      <c r="N226" s="338" t="s">
        <v>8313</v>
      </c>
      <c r="O226" s="337">
        <v>0</v>
      </c>
      <c r="P226" s="337">
        <v>0</v>
      </c>
      <c r="Q226" s="338"/>
      <c r="R226" s="338" t="s">
        <v>6088</v>
      </c>
      <c r="S226" s="338"/>
      <c r="T226" s="338"/>
      <c r="U226" s="338" t="s">
        <v>6353</v>
      </c>
      <c r="V226" s="337">
        <v>0</v>
      </c>
      <c r="W226" s="337">
        <v>0</v>
      </c>
      <c r="X226" s="338"/>
      <c r="Y226" s="338" t="s">
        <v>493</v>
      </c>
      <c r="Z226" s="338" t="s">
        <v>8024</v>
      </c>
      <c r="AA226" s="338" t="s">
        <v>6079</v>
      </c>
      <c r="AB226" s="338"/>
      <c r="AC226" s="338" t="s">
        <v>6269</v>
      </c>
      <c r="AD226" s="338"/>
      <c r="AF226" s="502" t="str">
        <f>Table15[[#This Row],[code2]]</f>
        <v>PHL</v>
      </c>
      <c r="AG226" s="502" t="str">
        <f>Table15[[#This Row],[code5]]</f>
        <v>FLVROONBF</v>
      </c>
    </row>
    <row r="227" spans="1:33">
      <c r="A227" s="338" t="s">
        <v>6072</v>
      </c>
      <c r="B227" s="338" t="s">
        <v>6073</v>
      </c>
      <c r="C227" s="337">
        <v>1</v>
      </c>
      <c r="D227" s="338" t="s">
        <v>6074</v>
      </c>
      <c r="E227" s="338" t="s">
        <v>6075</v>
      </c>
      <c r="F227" s="337">
        <v>1</v>
      </c>
      <c r="G227" s="337">
        <v>1</v>
      </c>
      <c r="H227" s="338" t="s">
        <v>6075</v>
      </c>
      <c r="I227" s="338" t="s">
        <v>9548</v>
      </c>
      <c r="J227" s="338" t="s">
        <v>9550</v>
      </c>
      <c r="K227" s="338" t="s">
        <v>6076</v>
      </c>
      <c r="L227" s="338"/>
      <c r="M227" s="338" t="s">
        <v>6326</v>
      </c>
      <c r="N227" s="338" t="s">
        <v>8313</v>
      </c>
      <c r="O227" s="337">
        <v>0</v>
      </c>
      <c r="P227" s="337">
        <v>0</v>
      </c>
      <c r="Q227" s="338"/>
      <c r="R227" s="338" t="s">
        <v>6088</v>
      </c>
      <c r="S227" s="338"/>
      <c r="T227" s="338"/>
      <c r="U227" s="338" t="s">
        <v>6354</v>
      </c>
      <c r="V227" s="337">
        <v>0</v>
      </c>
      <c r="W227" s="337">
        <v>0</v>
      </c>
      <c r="X227" s="338"/>
      <c r="Y227" s="338" t="s">
        <v>6085</v>
      </c>
      <c r="Z227" s="338" t="s">
        <v>7876</v>
      </c>
      <c r="AA227" s="338" t="s">
        <v>6079</v>
      </c>
      <c r="AB227" s="338"/>
      <c r="AC227" s="338" t="s">
        <v>6269</v>
      </c>
      <c r="AD227" s="338"/>
      <c r="AF227" s="502" t="str">
        <f>Table15[[#This Row],[code2]]</f>
        <v>PHL</v>
      </c>
      <c r="AG227" s="502" t="str">
        <f>Table15[[#This Row],[code5]]</f>
        <v>FLVROONBF</v>
      </c>
    </row>
    <row r="228" spans="1:33">
      <c r="A228" s="338" t="s">
        <v>6072</v>
      </c>
      <c r="B228" s="338" t="s">
        <v>6073</v>
      </c>
      <c r="C228" s="337">
        <v>1</v>
      </c>
      <c r="D228" s="338" t="s">
        <v>6074</v>
      </c>
      <c r="E228" s="338" t="s">
        <v>6075</v>
      </c>
      <c r="F228" s="337">
        <v>1</v>
      </c>
      <c r="G228" s="337">
        <v>1</v>
      </c>
      <c r="H228" s="338" t="s">
        <v>6075</v>
      </c>
      <c r="I228" s="338" t="s">
        <v>9548</v>
      </c>
      <c r="J228" s="338" t="s">
        <v>9550</v>
      </c>
      <c r="K228" s="338" t="s">
        <v>6076</v>
      </c>
      <c r="L228" s="338"/>
      <c r="M228" s="338" t="s">
        <v>6326</v>
      </c>
      <c r="N228" s="338" t="s">
        <v>8313</v>
      </c>
      <c r="O228" s="337">
        <v>0</v>
      </c>
      <c r="P228" s="337">
        <v>0</v>
      </c>
      <c r="Q228" s="338"/>
      <c r="R228" s="338" t="s">
        <v>6088</v>
      </c>
      <c r="S228" s="338"/>
      <c r="T228" s="338"/>
      <c r="U228" s="338" t="s">
        <v>6355</v>
      </c>
      <c r="V228" s="337">
        <v>0</v>
      </c>
      <c r="W228" s="337">
        <v>0</v>
      </c>
      <c r="X228" s="338"/>
      <c r="Y228" s="338" t="s">
        <v>497</v>
      </c>
      <c r="Z228" s="338" t="s">
        <v>8010</v>
      </c>
      <c r="AA228" s="338" t="s">
        <v>6079</v>
      </c>
      <c r="AB228" s="338"/>
      <c r="AC228" s="338" t="s">
        <v>6274</v>
      </c>
      <c r="AD228" s="338"/>
      <c r="AF228" s="502" t="str">
        <f>Table15[[#This Row],[code2]]</f>
        <v>PHL</v>
      </c>
      <c r="AG228" s="502" t="str">
        <f>Table15[[#This Row],[code5]]</f>
        <v>FLVROONBF</v>
      </c>
    </row>
    <row r="229" spans="1:33">
      <c r="A229" s="338" t="s">
        <v>6072</v>
      </c>
      <c r="B229" s="338" t="s">
        <v>6073</v>
      </c>
      <c r="C229" s="337">
        <v>1</v>
      </c>
      <c r="D229" s="338" t="s">
        <v>6074</v>
      </c>
      <c r="E229" s="338" t="s">
        <v>6075</v>
      </c>
      <c r="F229" s="337">
        <v>1</v>
      </c>
      <c r="G229" s="337">
        <v>1</v>
      </c>
      <c r="H229" s="338" t="s">
        <v>6075</v>
      </c>
      <c r="I229" s="338" t="s">
        <v>9548</v>
      </c>
      <c r="J229" s="338" t="s">
        <v>9550</v>
      </c>
      <c r="K229" s="338" t="s">
        <v>6076</v>
      </c>
      <c r="L229" s="338"/>
      <c r="M229" s="338" t="s">
        <v>6326</v>
      </c>
      <c r="N229" s="338" t="s">
        <v>8313</v>
      </c>
      <c r="O229" s="337">
        <v>0</v>
      </c>
      <c r="P229" s="337">
        <v>0</v>
      </c>
      <c r="Q229" s="338"/>
      <c r="R229" s="338" t="s">
        <v>6088</v>
      </c>
      <c r="S229" s="338"/>
      <c r="T229" s="338"/>
      <c r="U229" s="338" t="s">
        <v>6356</v>
      </c>
      <c r="V229" s="337">
        <v>0</v>
      </c>
      <c r="W229" s="337">
        <v>0</v>
      </c>
      <c r="X229" s="338"/>
      <c r="Y229" s="338" t="s">
        <v>6081</v>
      </c>
      <c r="Z229" s="338" t="s">
        <v>8010</v>
      </c>
      <c r="AA229" s="338" t="s">
        <v>6079</v>
      </c>
      <c r="AB229" s="338"/>
      <c r="AC229" s="338" t="s">
        <v>6274</v>
      </c>
      <c r="AD229" s="338"/>
      <c r="AF229" s="502" t="str">
        <f>Table15[[#This Row],[code2]]</f>
        <v>PHL</v>
      </c>
      <c r="AG229" s="502" t="str">
        <f>Table15[[#This Row],[code5]]</f>
        <v>FLVROONBF</v>
      </c>
    </row>
    <row r="230" spans="1:33">
      <c r="A230" s="338" t="s">
        <v>6072</v>
      </c>
      <c r="B230" s="338" t="s">
        <v>6073</v>
      </c>
      <c r="C230" s="337">
        <v>1</v>
      </c>
      <c r="D230" s="338" t="s">
        <v>6074</v>
      </c>
      <c r="E230" s="338" t="s">
        <v>6075</v>
      </c>
      <c r="F230" s="337">
        <v>1</v>
      </c>
      <c r="G230" s="337">
        <v>1</v>
      </c>
      <c r="H230" s="338" t="s">
        <v>6075</v>
      </c>
      <c r="I230" s="338" t="s">
        <v>9548</v>
      </c>
      <c r="J230" s="338" t="s">
        <v>9550</v>
      </c>
      <c r="K230" s="338" t="s">
        <v>6076</v>
      </c>
      <c r="L230" s="338"/>
      <c r="M230" s="338" t="s">
        <v>6326</v>
      </c>
      <c r="N230" s="338" t="s">
        <v>8313</v>
      </c>
      <c r="O230" s="337">
        <v>0</v>
      </c>
      <c r="P230" s="337">
        <v>0</v>
      </c>
      <c r="Q230" s="338"/>
      <c r="R230" s="338" t="s">
        <v>6088</v>
      </c>
      <c r="S230" s="338"/>
      <c r="T230" s="338"/>
      <c r="U230" s="338" t="s">
        <v>6357</v>
      </c>
      <c r="V230" s="337">
        <v>0</v>
      </c>
      <c r="W230" s="337">
        <v>0</v>
      </c>
      <c r="X230" s="338"/>
      <c r="Y230" s="338" t="s">
        <v>493</v>
      </c>
      <c r="Z230" s="338" t="s">
        <v>8024</v>
      </c>
      <c r="AA230" s="338" t="s">
        <v>6079</v>
      </c>
      <c r="AB230" s="338"/>
      <c r="AC230" s="338" t="s">
        <v>6274</v>
      </c>
      <c r="AD230" s="338"/>
      <c r="AF230" s="502" t="str">
        <f>Table15[[#This Row],[code2]]</f>
        <v>PHL</v>
      </c>
      <c r="AG230" s="502" t="str">
        <f>Table15[[#This Row],[code5]]</f>
        <v>FLVROONBF</v>
      </c>
    </row>
    <row r="231" spans="1:33">
      <c r="A231" s="338" t="s">
        <v>6072</v>
      </c>
      <c r="B231" s="338" t="s">
        <v>6073</v>
      </c>
      <c r="C231" s="337">
        <v>1</v>
      </c>
      <c r="D231" s="338" t="s">
        <v>6074</v>
      </c>
      <c r="E231" s="338" t="s">
        <v>6075</v>
      </c>
      <c r="F231" s="337">
        <v>1</v>
      </c>
      <c r="G231" s="337">
        <v>1</v>
      </c>
      <c r="H231" s="338" t="s">
        <v>6075</v>
      </c>
      <c r="I231" s="338" t="s">
        <v>9548</v>
      </c>
      <c r="J231" s="338" t="s">
        <v>9550</v>
      </c>
      <c r="K231" s="338" t="s">
        <v>6076</v>
      </c>
      <c r="L231" s="338"/>
      <c r="M231" s="338" t="s">
        <v>6326</v>
      </c>
      <c r="N231" s="338" t="s">
        <v>8313</v>
      </c>
      <c r="O231" s="337">
        <v>0</v>
      </c>
      <c r="P231" s="337">
        <v>0</v>
      </c>
      <c r="Q231" s="338"/>
      <c r="R231" s="338" t="s">
        <v>6088</v>
      </c>
      <c r="S231" s="338"/>
      <c r="T231" s="338"/>
      <c r="U231" s="338" t="s">
        <v>6358</v>
      </c>
      <c r="V231" s="337">
        <v>0</v>
      </c>
      <c r="W231" s="337">
        <v>0</v>
      </c>
      <c r="X231" s="338"/>
      <c r="Y231" s="338" t="s">
        <v>6085</v>
      </c>
      <c r="Z231" s="338" t="s">
        <v>7876</v>
      </c>
      <c r="AA231" s="338" t="s">
        <v>6079</v>
      </c>
      <c r="AB231" s="338"/>
      <c r="AC231" s="338" t="s">
        <v>6274</v>
      </c>
      <c r="AD231" s="338"/>
      <c r="AF231" s="502" t="str">
        <f>Table15[[#This Row],[code2]]</f>
        <v>PHL</v>
      </c>
      <c r="AG231" s="502" t="str">
        <f>Table15[[#This Row],[code5]]</f>
        <v>FLVROONBF</v>
      </c>
    </row>
    <row r="232" spans="1:33">
      <c r="A232" s="338" t="s">
        <v>6072</v>
      </c>
      <c r="B232" s="338" t="s">
        <v>6073</v>
      </c>
      <c r="C232" s="337">
        <v>1</v>
      </c>
      <c r="D232" s="338" t="s">
        <v>6074</v>
      </c>
      <c r="E232" s="338" t="s">
        <v>6075</v>
      </c>
      <c r="F232" s="337">
        <v>1</v>
      </c>
      <c r="G232" s="337">
        <v>1</v>
      </c>
      <c r="H232" s="338" t="s">
        <v>6075</v>
      </c>
      <c r="I232" s="338" t="s">
        <v>9548</v>
      </c>
      <c r="J232" s="338" t="s">
        <v>9550</v>
      </c>
      <c r="K232" s="338" t="s">
        <v>6076</v>
      </c>
      <c r="L232" s="338"/>
      <c r="M232" s="338" t="s">
        <v>6326</v>
      </c>
      <c r="N232" s="338" t="s">
        <v>8313</v>
      </c>
      <c r="O232" s="337">
        <v>0</v>
      </c>
      <c r="P232" s="337">
        <v>0</v>
      </c>
      <c r="Q232" s="338"/>
      <c r="R232" s="338" t="s">
        <v>6088</v>
      </c>
      <c r="S232" s="338"/>
      <c r="T232" s="338"/>
      <c r="U232" s="338" t="s">
        <v>6359</v>
      </c>
      <c r="V232" s="337">
        <v>0</v>
      </c>
      <c r="W232" s="337">
        <v>0</v>
      </c>
      <c r="X232" s="338"/>
      <c r="Y232" s="338" t="s">
        <v>497</v>
      </c>
      <c r="Z232" s="338" t="s">
        <v>7974</v>
      </c>
      <c r="AA232" s="338" t="s">
        <v>6079</v>
      </c>
      <c r="AB232" s="338"/>
      <c r="AC232" s="338" t="s">
        <v>6279</v>
      </c>
      <c r="AD232" s="338"/>
      <c r="AF232" s="502" t="str">
        <f>Table15[[#This Row],[code2]]</f>
        <v>PHL</v>
      </c>
      <c r="AG232" s="502" t="str">
        <f>Table15[[#This Row],[code5]]</f>
        <v>FLVROONBF</v>
      </c>
    </row>
    <row r="233" spans="1:33">
      <c r="A233" s="338" t="s">
        <v>6072</v>
      </c>
      <c r="B233" s="338" t="s">
        <v>6073</v>
      </c>
      <c r="C233" s="337">
        <v>1</v>
      </c>
      <c r="D233" s="338" t="s">
        <v>6074</v>
      </c>
      <c r="E233" s="338" t="s">
        <v>6075</v>
      </c>
      <c r="F233" s="337">
        <v>1</v>
      </c>
      <c r="G233" s="337">
        <v>1</v>
      </c>
      <c r="H233" s="338" t="s">
        <v>6075</v>
      </c>
      <c r="I233" s="338" t="s">
        <v>9548</v>
      </c>
      <c r="J233" s="338" t="s">
        <v>9550</v>
      </c>
      <c r="K233" s="338" t="s">
        <v>6076</v>
      </c>
      <c r="L233" s="338"/>
      <c r="M233" s="338" t="s">
        <v>6326</v>
      </c>
      <c r="N233" s="338" t="s">
        <v>8313</v>
      </c>
      <c r="O233" s="337">
        <v>0</v>
      </c>
      <c r="P233" s="337">
        <v>0</v>
      </c>
      <c r="Q233" s="338"/>
      <c r="R233" s="338" t="s">
        <v>6088</v>
      </c>
      <c r="S233" s="338"/>
      <c r="T233" s="338"/>
      <c r="U233" s="338" t="s">
        <v>6360</v>
      </c>
      <c r="V233" s="337">
        <v>0</v>
      </c>
      <c r="W233" s="337">
        <v>0</v>
      </c>
      <c r="X233" s="338"/>
      <c r="Y233" s="338" t="s">
        <v>6081</v>
      </c>
      <c r="Z233" s="338" t="s">
        <v>8014</v>
      </c>
      <c r="AA233" s="338" t="s">
        <v>6079</v>
      </c>
      <c r="AB233" s="338"/>
      <c r="AC233" s="338" t="s">
        <v>6279</v>
      </c>
      <c r="AD233" s="338"/>
      <c r="AF233" s="502" t="str">
        <f>Table15[[#This Row],[code2]]</f>
        <v>PHL</v>
      </c>
      <c r="AG233" s="502" t="str">
        <f>Table15[[#This Row],[code5]]</f>
        <v>FLVROONBF</v>
      </c>
    </row>
    <row r="234" spans="1:33">
      <c r="A234" s="338" t="s">
        <v>6072</v>
      </c>
      <c r="B234" s="338" t="s">
        <v>6073</v>
      </c>
      <c r="C234" s="337">
        <v>1</v>
      </c>
      <c r="D234" s="338" t="s">
        <v>6074</v>
      </c>
      <c r="E234" s="338" t="s">
        <v>6075</v>
      </c>
      <c r="F234" s="337">
        <v>1</v>
      </c>
      <c r="G234" s="337">
        <v>1</v>
      </c>
      <c r="H234" s="338" t="s">
        <v>6075</v>
      </c>
      <c r="I234" s="338" t="s">
        <v>9548</v>
      </c>
      <c r="J234" s="338" t="s">
        <v>9550</v>
      </c>
      <c r="K234" s="338" t="s">
        <v>6076</v>
      </c>
      <c r="L234" s="338"/>
      <c r="M234" s="338" t="s">
        <v>6326</v>
      </c>
      <c r="N234" s="338" t="s">
        <v>8313</v>
      </c>
      <c r="O234" s="337">
        <v>0</v>
      </c>
      <c r="P234" s="337">
        <v>0</v>
      </c>
      <c r="Q234" s="338"/>
      <c r="R234" s="338" t="s">
        <v>6088</v>
      </c>
      <c r="S234" s="338"/>
      <c r="T234" s="338"/>
      <c r="U234" s="338" t="s">
        <v>6361</v>
      </c>
      <c r="V234" s="337">
        <v>0</v>
      </c>
      <c r="W234" s="337">
        <v>0</v>
      </c>
      <c r="X234" s="338"/>
      <c r="Y234" s="338" t="s">
        <v>493</v>
      </c>
      <c r="Z234" s="338" t="s">
        <v>8018</v>
      </c>
      <c r="AA234" s="338" t="s">
        <v>6079</v>
      </c>
      <c r="AB234" s="338"/>
      <c r="AC234" s="338" t="s">
        <v>6279</v>
      </c>
      <c r="AD234" s="338"/>
      <c r="AF234" s="502" t="str">
        <f>Table15[[#This Row],[code2]]</f>
        <v>PHL</v>
      </c>
      <c r="AG234" s="502" t="str">
        <f>Table15[[#This Row],[code5]]</f>
        <v>FLVROONBF</v>
      </c>
    </row>
    <row r="235" spans="1:33">
      <c r="A235" s="338" t="s">
        <v>6072</v>
      </c>
      <c r="B235" s="338" t="s">
        <v>6073</v>
      </c>
      <c r="C235" s="337">
        <v>1</v>
      </c>
      <c r="D235" s="338" t="s">
        <v>6074</v>
      </c>
      <c r="E235" s="338" t="s">
        <v>6075</v>
      </c>
      <c r="F235" s="337">
        <v>1</v>
      </c>
      <c r="G235" s="337">
        <v>1</v>
      </c>
      <c r="H235" s="338" t="s">
        <v>6075</v>
      </c>
      <c r="I235" s="338" t="s">
        <v>9548</v>
      </c>
      <c r="J235" s="338" t="s">
        <v>9550</v>
      </c>
      <c r="K235" s="338" t="s">
        <v>6076</v>
      </c>
      <c r="L235" s="338"/>
      <c r="M235" s="338" t="s">
        <v>6326</v>
      </c>
      <c r="N235" s="338" t="s">
        <v>8313</v>
      </c>
      <c r="O235" s="337">
        <v>0</v>
      </c>
      <c r="P235" s="337">
        <v>0</v>
      </c>
      <c r="Q235" s="338"/>
      <c r="R235" s="338" t="s">
        <v>6088</v>
      </c>
      <c r="S235" s="338"/>
      <c r="T235" s="338"/>
      <c r="U235" s="338" t="s">
        <v>6362</v>
      </c>
      <c r="V235" s="337">
        <v>0</v>
      </c>
      <c r="W235" s="337">
        <v>0</v>
      </c>
      <c r="X235" s="338"/>
      <c r="Y235" s="338" t="s">
        <v>6085</v>
      </c>
      <c r="Z235" s="338" t="s">
        <v>7915</v>
      </c>
      <c r="AA235" s="338" t="s">
        <v>6079</v>
      </c>
      <c r="AB235" s="338"/>
      <c r="AC235" s="338" t="s">
        <v>6279</v>
      </c>
      <c r="AD235" s="338"/>
      <c r="AF235" s="502" t="str">
        <f>Table15[[#This Row],[code2]]</f>
        <v>PHL</v>
      </c>
      <c r="AG235" s="502" t="str">
        <f>Table15[[#This Row],[code5]]</f>
        <v>FLVROONBF</v>
      </c>
    </row>
    <row r="236" spans="1:33">
      <c r="A236" s="338" t="s">
        <v>6072</v>
      </c>
      <c r="B236" s="338" t="s">
        <v>6073</v>
      </c>
      <c r="C236" s="337">
        <v>1</v>
      </c>
      <c r="D236" s="338" t="s">
        <v>6074</v>
      </c>
      <c r="E236" s="338" t="s">
        <v>6075</v>
      </c>
      <c r="F236" s="337">
        <v>1</v>
      </c>
      <c r="G236" s="337">
        <v>1</v>
      </c>
      <c r="H236" s="338" t="s">
        <v>6075</v>
      </c>
      <c r="I236" s="338" t="s">
        <v>9548</v>
      </c>
      <c r="J236" s="338" t="s">
        <v>9550</v>
      </c>
      <c r="K236" s="338" t="s">
        <v>6076</v>
      </c>
      <c r="L236" s="338"/>
      <c r="M236" s="338" t="s">
        <v>6326</v>
      </c>
      <c r="N236" s="338" t="s">
        <v>8313</v>
      </c>
      <c r="O236" s="337">
        <v>0</v>
      </c>
      <c r="P236" s="337">
        <v>0</v>
      </c>
      <c r="Q236" s="338"/>
      <c r="R236" s="338" t="s">
        <v>6088</v>
      </c>
      <c r="S236" s="338"/>
      <c r="T236" s="338"/>
      <c r="U236" s="338" t="s">
        <v>6363</v>
      </c>
      <c r="V236" s="337">
        <v>0</v>
      </c>
      <c r="W236" s="337">
        <v>0</v>
      </c>
      <c r="X236" s="338"/>
      <c r="Y236" s="338" t="s">
        <v>497</v>
      </c>
      <c r="Z236" s="338" t="s">
        <v>7974</v>
      </c>
      <c r="AA236" s="338" t="s">
        <v>6079</v>
      </c>
      <c r="AB236" s="338"/>
      <c r="AC236" s="338" t="s">
        <v>6284</v>
      </c>
      <c r="AD236" s="338"/>
      <c r="AF236" s="502" t="str">
        <f>Table15[[#This Row],[code2]]</f>
        <v>PHL</v>
      </c>
      <c r="AG236" s="502" t="str">
        <f>Table15[[#This Row],[code5]]</f>
        <v>FLVROONBF</v>
      </c>
    </row>
    <row r="237" spans="1:33">
      <c r="A237" s="338" t="s">
        <v>6072</v>
      </c>
      <c r="B237" s="338" t="s">
        <v>6073</v>
      </c>
      <c r="C237" s="337">
        <v>1</v>
      </c>
      <c r="D237" s="338" t="s">
        <v>6074</v>
      </c>
      <c r="E237" s="338" t="s">
        <v>6075</v>
      </c>
      <c r="F237" s="337">
        <v>1</v>
      </c>
      <c r="G237" s="337">
        <v>1</v>
      </c>
      <c r="H237" s="338" t="s">
        <v>6075</v>
      </c>
      <c r="I237" s="338" t="s">
        <v>9548</v>
      </c>
      <c r="J237" s="338" t="s">
        <v>9550</v>
      </c>
      <c r="K237" s="338" t="s">
        <v>6076</v>
      </c>
      <c r="L237" s="338"/>
      <c r="M237" s="338" t="s">
        <v>6326</v>
      </c>
      <c r="N237" s="338" t="s">
        <v>8313</v>
      </c>
      <c r="O237" s="337">
        <v>0</v>
      </c>
      <c r="P237" s="337">
        <v>0</v>
      </c>
      <c r="Q237" s="338"/>
      <c r="R237" s="338" t="s">
        <v>6088</v>
      </c>
      <c r="S237" s="338"/>
      <c r="T237" s="338"/>
      <c r="U237" s="338" t="s">
        <v>6364</v>
      </c>
      <c r="V237" s="337">
        <v>0</v>
      </c>
      <c r="W237" s="337">
        <v>0</v>
      </c>
      <c r="X237" s="338"/>
      <c r="Y237" s="338" t="s">
        <v>6081</v>
      </c>
      <c r="Z237" s="338" t="s">
        <v>8014</v>
      </c>
      <c r="AA237" s="338" t="s">
        <v>6079</v>
      </c>
      <c r="AB237" s="338"/>
      <c r="AC237" s="338" t="s">
        <v>6284</v>
      </c>
      <c r="AD237" s="338"/>
      <c r="AF237" s="502" t="str">
        <f>Table15[[#This Row],[code2]]</f>
        <v>PHL</v>
      </c>
      <c r="AG237" s="502" t="str">
        <f>Table15[[#This Row],[code5]]</f>
        <v>FLVROONBF</v>
      </c>
    </row>
    <row r="238" spans="1:33">
      <c r="A238" s="338" t="s">
        <v>6072</v>
      </c>
      <c r="B238" s="338" t="s">
        <v>6073</v>
      </c>
      <c r="C238" s="337">
        <v>1</v>
      </c>
      <c r="D238" s="338" t="s">
        <v>6074</v>
      </c>
      <c r="E238" s="338" t="s">
        <v>6075</v>
      </c>
      <c r="F238" s="337">
        <v>1</v>
      </c>
      <c r="G238" s="337">
        <v>1</v>
      </c>
      <c r="H238" s="338" t="s">
        <v>6075</v>
      </c>
      <c r="I238" s="338" t="s">
        <v>9548</v>
      </c>
      <c r="J238" s="338" t="s">
        <v>9550</v>
      </c>
      <c r="K238" s="338" t="s">
        <v>6076</v>
      </c>
      <c r="L238" s="338"/>
      <c r="M238" s="338" t="s">
        <v>6326</v>
      </c>
      <c r="N238" s="338" t="s">
        <v>8313</v>
      </c>
      <c r="O238" s="337">
        <v>0</v>
      </c>
      <c r="P238" s="337">
        <v>0</v>
      </c>
      <c r="Q238" s="338"/>
      <c r="R238" s="338" t="s">
        <v>6088</v>
      </c>
      <c r="S238" s="338"/>
      <c r="T238" s="338"/>
      <c r="U238" s="338" t="s">
        <v>6365</v>
      </c>
      <c r="V238" s="337">
        <v>0</v>
      </c>
      <c r="W238" s="337">
        <v>0</v>
      </c>
      <c r="X238" s="338"/>
      <c r="Y238" s="338" t="s">
        <v>493</v>
      </c>
      <c r="Z238" s="338" t="s">
        <v>8018</v>
      </c>
      <c r="AA238" s="338" t="s">
        <v>6079</v>
      </c>
      <c r="AB238" s="338"/>
      <c r="AC238" s="338" t="s">
        <v>6284</v>
      </c>
      <c r="AD238" s="338"/>
      <c r="AF238" s="502" t="str">
        <f>Table15[[#This Row],[code2]]</f>
        <v>PHL</v>
      </c>
      <c r="AG238" s="502" t="str">
        <f>Table15[[#This Row],[code5]]</f>
        <v>FLVROONBF</v>
      </c>
    </row>
    <row r="239" spans="1:33">
      <c r="A239" s="338" t="s">
        <v>6072</v>
      </c>
      <c r="B239" s="338" t="s">
        <v>6073</v>
      </c>
      <c r="C239" s="337">
        <v>1</v>
      </c>
      <c r="D239" s="338" t="s">
        <v>6074</v>
      </c>
      <c r="E239" s="338" t="s">
        <v>6075</v>
      </c>
      <c r="F239" s="337">
        <v>1</v>
      </c>
      <c r="G239" s="337">
        <v>1</v>
      </c>
      <c r="H239" s="338" t="s">
        <v>6075</v>
      </c>
      <c r="I239" s="338" t="s">
        <v>9548</v>
      </c>
      <c r="J239" s="338" t="s">
        <v>9550</v>
      </c>
      <c r="K239" s="338" t="s">
        <v>6076</v>
      </c>
      <c r="L239" s="338"/>
      <c r="M239" s="338" t="s">
        <v>6326</v>
      </c>
      <c r="N239" s="338" t="s">
        <v>8313</v>
      </c>
      <c r="O239" s="337">
        <v>0</v>
      </c>
      <c r="P239" s="337">
        <v>0</v>
      </c>
      <c r="Q239" s="338"/>
      <c r="R239" s="338" t="s">
        <v>6088</v>
      </c>
      <c r="S239" s="338"/>
      <c r="T239" s="338"/>
      <c r="U239" s="338" t="s">
        <v>6366</v>
      </c>
      <c r="V239" s="337">
        <v>0</v>
      </c>
      <c r="W239" s="337">
        <v>0</v>
      </c>
      <c r="X239" s="338"/>
      <c r="Y239" s="338" t="s">
        <v>6085</v>
      </c>
      <c r="Z239" s="338" t="s">
        <v>7915</v>
      </c>
      <c r="AA239" s="338" t="s">
        <v>6079</v>
      </c>
      <c r="AB239" s="338"/>
      <c r="AC239" s="338" t="s">
        <v>6284</v>
      </c>
      <c r="AD239" s="338"/>
      <c r="AF239" s="502" t="str">
        <f>Table15[[#This Row],[code2]]</f>
        <v>PHL</v>
      </c>
      <c r="AG239" s="502" t="str">
        <f>Table15[[#This Row],[code5]]</f>
        <v>FLVROONBF</v>
      </c>
    </row>
    <row r="240" spans="1:33">
      <c r="A240" s="338" t="s">
        <v>6072</v>
      </c>
      <c r="B240" s="338" t="s">
        <v>6073</v>
      </c>
      <c r="C240" s="337">
        <v>1</v>
      </c>
      <c r="D240" s="338" t="s">
        <v>6074</v>
      </c>
      <c r="E240" s="338" t="s">
        <v>6075</v>
      </c>
      <c r="F240" s="337">
        <v>1</v>
      </c>
      <c r="G240" s="337">
        <v>1</v>
      </c>
      <c r="H240" s="338" t="s">
        <v>6075</v>
      </c>
      <c r="I240" s="338" t="s">
        <v>9548</v>
      </c>
      <c r="J240" s="338" t="s">
        <v>9550</v>
      </c>
      <c r="K240" s="338" t="s">
        <v>6076</v>
      </c>
      <c r="L240" s="338"/>
      <c r="M240" s="338" t="s">
        <v>6326</v>
      </c>
      <c r="N240" s="338" t="s">
        <v>8313</v>
      </c>
      <c r="O240" s="337">
        <v>0</v>
      </c>
      <c r="P240" s="337">
        <v>0</v>
      </c>
      <c r="Q240" s="338"/>
      <c r="R240" s="338" t="s">
        <v>6088</v>
      </c>
      <c r="S240" s="338"/>
      <c r="T240" s="338"/>
      <c r="U240" s="338" t="s">
        <v>6367</v>
      </c>
      <c r="V240" s="337">
        <v>0</v>
      </c>
      <c r="W240" s="337">
        <v>0</v>
      </c>
      <c r="X240" s="338"/>
      <c r="Y240" s="338" t="s">
        <v>497</v>
      </c>
      <c r="Z240" s="338" t="s">
        <v>6368</v>
      </c>
      <c r="AA240" s="338" t="s">
        <v>6079</v>
      </c>
      <c r="AB240" s="338"/>
      <c r="AC240" s="338" t="s">
        <v>6290</v>
      </c>
      <c r="AD240" s="338"/>
      <c r="AF240" s="502" t="str">
        <f>Table15[[#This Row],[code2]]</f>
        <v>PHL</v>
      </c>
      <c r="AG240" s="502" t="str">
        <f>Table15[[#This Row],[code5]]</f>
        <v>FLVROONBF</v>
      </c>
    </row>
    <row r="241" spans="1:33">
      <c r="A241" s="338" t="s">
        <v>6072</v>
      </c>
      <c r="B241" s="338" t="s">
        <v>6073</v>
      </c>
      <c r="C241" s="337">
        <v>1</v>
      </c>
      <c r="D241" s="338" t="s">
        <v>6074</v>
      </c>
      <c r="E241" s="338" t="s">
        <v>6075</v>
      </c>
      <c r="F241" s="337">
        <v>1</v>
      </c>
      <c r="G241" s="337">
        <v>1</v>
      </c>
      <c r="H241" s="338" t="s">
        <v>6075</v>
      </c>
      <c r="I241" s="338" t="s">
        <v>9548</v>
      </c>
      <c r="J241" s="338" t="s">
        <v>9550</v>
      </c>
      <c r="K241" s="338" t="s">
        <v>6076</v>
      </c>
      <c r="L241" s="338"/>
      <c r="M241" s="338" t="s">
        <v>6326</v>
      </c>
      <c r="N241" s="338" t="s">
        <v>8313</v>
      </c>
      <c r="O241" s="337">
        <v>0</v>
      </c>
      <c r="P241" s="337">
        <v>0</v>
      </c>
      <c r="Q241" s="338"/>
      <c r="R241" s="338" t="s">
        <v>6088</v>
      </c>
      <c r="S241" s="338"/>
      <c r="T241" s="338"/>
      <c r="U241" s="338" t="s">
        <v>6369</v>
      </c>
      <c r="V241" s="337">
        <v>0</v>
      </c>
      <c r="W241" s="337">
        <v>0</v>
      </c>
      <c r="X241" s="338"/>
      <c r="Y241" s="338" t="s">
        <v>6081</v>
      </c>
      <c r="Z241" s="338" t="s">
        <v>8267</v>
      </c>
      <c r="AA241" s="338" t="s">
        <v>6079</v>
      </c>
      <c r="AB241" s="338"/>
      <c r="AC241" s="338" t="s">
        <v>6290</v>
      </c>
      <c r="AD241" s="338"/>
      <c r="AF241" s="502" t="str">
        <f>Table15[[#This Row],[code2]]</f>
        <v>PHL</v>
      </c>
      <c r="AG241" s="502" t="str">
        <f>Table15[[#This Row],[code5]]</f>
        <v>FLVROONBF</v>
      </c>
    </row>
    <row r="242" spans="1:33">
      <c r="A242" s="338" t="s">
        <v>6072</v>
      </c>
      <c r="B242" s="338" t="s">
        <v>6073</v>
      </c>
      <c r="C242" s="337">
        <v>1</v>
      </c>
      <c r="D242" s="338" t="s">
        <v>6074</v>
      </c>
      <c r="E242" s="338" t="s">
        <v>6075</v>
      </c>
      <c r="F242" s="337">
        <v>1</v>
      </c>
      <c r="G242" s="337">
        <v>1</v>
      </c>
      <c r="H242" s="338" t="s">
        <v>6075</v>
      </c>
      <c r="I242" s="338" t="s">
        <v>9548</v>
      </c>
      <c r="J242" s="338" t="s">
        <v>9550</v>
      </c>
      <c r="K242" s="338" t="s">
        <v>6076</v>
      </c>
      <c r="L242" s="338"/>
      <c r="M242" s="338" t="s">
        <v>6326</v>
      </c>
      <c r="N242" s="338" t="s">
        <v>8313</v>
      </c>
      <c r="O242" s="337">
        <v>0</v>
      </c>
      <c r="P242" s="337">
        <v>0</v>
      </c>
      <c r="Q242" s="338"/>
      <c r="R242" s="338" t="s">
        <v>6088</v>
      </c>
      <c r="S242" s="338"/>
      <c r="T242" s="338"/>
      <c r="U242" s="338" t="s">
        <v>6370</v>
      </c>
      <c r="V242" s="337">
        <v>0</v>
      </c>
      <c r="W242" s="337">
        <v>0</v>
      </c>
      <c r="X242" s="338"/>
      <c r="Y242" s="338" t="s">
        <v>493</v>
      </c>
      <c r="Z242" s="338" t="s">
        <v>6368</v>
      </c>
      <c r="AA242" s="338" t="s">
        <v>6079</v>
      </c>
      <c r="AB242" s="338"/>
      <c r="AC242" s="338" t="s">
        <v>6290</v>
      </c>
      <c r="AD242" s="338"/>
      <c r="AF242" s="502" t="str">
        <f>Table15[[#This Row],[code2]]</f>
        <v>PHL</v>
      </c>
      <c r="AG242" s="502" t="str">
        <f>Table15[[#This Row],[code5]]</f>
        <v>FLVROONBF</v>
      </c>
    </row>
    <row r="243" spans="1:33">
      <c r="A243" s="338" t="s">
        <v>6072</v>
      </c>
      <c r="B243" s="338" t="s">
        <v>6073</v>
      </c>
      <c r="C243" s="337">
        <v>1</v>
      </c>
      <c r="D243" s="338" t="s">
        <v>6074</v>
      </c>
      <c r="E243" s="338" t="s">
        <v>6075</v>
      </c>
      <c r="F243" s="337">
        <v>1</v>
      </c>
      <c r="G243" s="337">
        <v>1</v>
      </c>
      <c r="H243" s="338" t="s">
        <v>6075</v>
      </c>
      <c r="I243" s="338" t="s">
        <v>9548</v>
      </c>
      <c r="J243" s="338" t="s">
        <v>9550</v>
      </c>
      <c r="K243" s="338" t="s">
        <v>6076</v>
      </c>
      <c r="L243" s="338"/>
      <c r="M243" s="338" t="s">
        <v>6326</v>
      </c>
      <c r="N243" s="338" t="s">
        <v>8313</v>
      </c>
      <c r="O243" s="337">
        <v>0</v>
      </c>
      <c r="P243" s="337">
        <v>0</v>
      </c>
      <c r="Q243" s="338"/>
      <c r="R243" s="338" t="s">
        <v>6088</v>
      </c>
      <c r="S243" s="338"/>
      <c r="T243" s="338"/>
      <c r="U243" s="338" t="s">
        <v>6371</v>
      </c>
      <c r="V243" s="337">
        <v>0</v>
      </c>
      <c r="W243" s="337">
        <v>0</v>
      </c>
      <c r="X243" s="338"/>
      <c r="Y243" s="338" t="s">
        <v>6085</v>
      </c>
      <c r="Z243" s="338" t="s">
        <v>8162</v>
      </c>
      <c r="AA243" s="338" t="s">
        <v>6079</v>
      </c>
      <c r="AB243" s="338"/>
      <c r="AC243" s="338" t="s">
        <v>6290</v>
      </c>
      <c r="AD243" s="338"/>
      <c r="AF243" s="502" t="str">
        <f>Table15[[#This Row],[code2]]</f>
        <v>PHL</v>
      </c>
      <c r="AG243" s="502" t="str">
        <f>Table15[[#This Row],[code5]]</f>
        <v>FLVROONBF</v>
      </c>
    </row>
    <row r="244" spans="1:33">
      <c r="A244" s="338" t="s">
        <v>6072</v>
      </c>
      <c r="B244" s="338" t="s">
        <v>6073</v>
      </c>
      <c r="C244" s="337">
        <v>1</v>
      </c>
      <c r="D244" s="338" t="s">
        <v>6074</v>
      </c>
      <c r="E244" s="338" t="s">
        <v>6075</v>
      </c>
      <c r="F244" s="337">
        <v>1</v>
      </c>
      <c r="G244" s="337">
        <v>1</v>
      </c>
      <c r="H244" s="338" t="s">
        <v>6075</v>
      </c>
      <c r="I244" s="338" t="s">
        <v>9548</v>
      </c>
      <c r="J244" s="338" t="s">
        <v>9550</v>
      </c>
      <c r="K244" s="338" t="s">
        <v>6076</v>
      </c>
      <c r="L244" s="338"/>
      <c r="M244" s="338" t="s">
        <v>6326</v>
      </c>
      <c r="N244" s="338" t="s">
        <v>8313</v>
      </c>
      <c r="O244" s="337">
        <v>0</v>
      </c>
      <c r="P244" s="337">
        <v>0</v>
      </c>
      <c r="Q244" s="338"/>
      <c r="R244" s="338" t="s">
        <v>6088</v>
      </c>
      <c r="S244" s="338"/>
      <c r="T244" s="338"/>
      <c r="U244" s="338" t="s">
        <v>6372</v>
      </c>
      <c r="V244" s="337">
        <v>0</v>
      </c>
      <c r="W244" s="337">
        <v>0</v>
      </c>
      <c r="X244" s="338"/>
      <c r="Y244" s="338" t="s">
        <v>497</v>
      </c>
      <c r="Z244" s="338" t="s">
        <v>6368</v>
      </c>
      <c r="AA244" s="338" t="s">
        <v>6079</v>
      </c>
      <c r="AB244" s="338"/>
      <c r="AC244" s="338" t="s">
        <v>6295</v>
      </c>
      <c r="AD244" s="338"/>
      <c r="AF244" s="502" t="str">
        <f>Table15[[#This Row],[code2]]</f>
        <v>PHL</v>
      </c>
      <c r="AG244" s="502" t="str">
        <f>Table15[[#This Row],[code5]]</f>
        <v>FLVROONBF</v>
      </c>
    </row>
    <row r="245" spans="1:33">
      <c r="A245" s="338" t="s">
        <v>6072</v>
      </c>
      <c r="B245" s="338" t="s">
        <v>6073</v>
      </c>
      <c r="C245" s="337">
        <v>1</v>
      </c>
      <c r="D245" s="338" t="s">
        <v>6074</v>
      </c>
      <c r="E245" s="338" t="s">
        <v>6075</v>
      </c>
      <c r="F245" s="337">
        <v>1</v>
      </c>
      <c r="G245" s="337">
        <v>1</v>
      </c>
      <c r="H245" s="338" t="s">
        <v>6075</v>
      </c>
      <c r="I245" s="338" t="s">
        <v>9548</v>
      </c>
      <c r="J245" s="338" t="s">
        <v>9550</v>
      </c>
      <c r="K245" s="338" t="s">
        <v>6076</v>
      </c>
      <c r="L245" s="338"/>
      <c r="M245" s="338" t="s">
        <v>6326</v>
      </c>
      <c r="N245" s="338" t="s">
        <v>8313</v>
      </c>
      <c r="O245" s="337">
        <v>0</v>
      </c>
      <c r="P245" s="337">
        <v>0</v>
      </c>
      <c r="Q245" s="338"/>
      <c r="R245" s="338" t="s">
        <v>6088</v>
      </c>
      <c r="S245" s="338"/>
      <c r="T245" s="338"/>
      <c r="U245" s="338" t="s">
        <v>6373</v>
      </c>
      <c r="V245" s="337">
        <v>0</v>
      </c>
      <c r="W245" s="337">
        <v>0</v>
      </c>
      <c r="X245" s="338"/>
      <c r="Y245" s="338" t="s">
        <v>6081</v>
      </c>
      <c r="Z245" s="338" t="s">
        <v>8267</v>
      </c>
      <c r="AA245" s="338" t="s">
        <v>6079</v>
      </c>
      <c r="AB245" s="338"/>
      <c r="AC245" s="338" t="s">
        <v>6295</v>
      </c>
      <c r="AD245" s="338"/>
      <c r="AF245" s="502" t="str">
        <f>Table15[[#This Row],[code2]]</f>
        <v>PHL</v>
      </c>
      <c r="AG245" s="502" t="str">
        <f>Table15[[#This Row],[code5]]</f>
        <v>FLVROONBF</v>
      </c>
    </row>
    <row r="246" spans="1:33">
      <c r="A246" s="338" t="s">
        <v>6072</v>
      </c>
      <c r="B246" s="338" t="s">
        <v>6073</v>
      </c>
      <c r="C246" s="337">
        <v>1</v>
      </c>
      <c r="D246" s="338" t="s">
        <v>6074</v>
      </c>
      <c r="E246" s="338" t="s">
        <v>6075</v>
      </c>
      <c r="F246" s="337">
        <v>1</v>
      </c>
      <c r="G246" s="337">
        <v>1</v>
      </c>
      <c r="H246" s="338" t="s">
        <v>6075</v>
      </c>
      <c r="I246" s="338" t="s">
        <v>9548</v>
      </c>
      <c r="J246" s="338" t="s">
        <v>9550</v>
      </c>
      <c r="K246" s="338" t="s">
        <v>6076</v>
      </c>
      <c r="L246" s="338"/>
      <c r="M246" s="338" t="s">
        <v>6326</v>
      </c>
      <c r="N246" s="338" t="s">
        <v>8313</v>
      </c>
      <c r="O246" s="337">
        <v>0</v>
      </c>
      <c r="P246" s="337">
        <v>0</v>
      </c>
      <c r="Q246" s="338"/>
      <c r="R246" s="338" t="s">
        <v>6088</v>
      </c>
      <c r="S246" s="338"/>
      <c r="T246" s="338"/>
      <c r="U246" s="338" t="s">
        <v>6374</v>
      </c>
      <c r="V246" s="337">
        <v>0</v>
      </c>
      <c r="W246" s="337">
        <v>0</v>
      </c>
      <c r="X246" s="338"/>
      <c r="Y246" s="338" t="s">
        <v>493</v>
      </c>
      <c r="Z246" s="338" t="s">
        <v>6368</v>
      </c>
      <c r="AA246" s="338" t="s">
        <v>6079</v>
      </c>
      <c r="AB246" s="338"/>
      <c r="AC246" s="338" t="s">
        <v>6295</v>
      </c>
      <c r="AD246" s="338"/>
      <c r="AF246" s="502" t="str">
        <f>Table15[[#This Row],[code2]]</f>
        <v>PHL</v>
      </c>
      <c r="AG246" s="502" t="str">
        <f>Table15[[#This Row],[code5]]</f>
        <v>FLVROONBF</v>
      </c>
    </row>
    <row r="247" spans="1:33">
      <c r="A247" s="338" t="s">
        <v>6072</v>
      </c>
      <c r="B247" s="338" t="s">
        <v>6073</v>
      </c>
      <c r="C247" s="337">
        <v>1</v>
      </c>
      <c r="D247" s="338" t="s">
        <v>6074</v>
      </c>
      <c r="E247" s="338" t="s">
        <v>6075</v>
      </c>
      <c r="F247" s="337">
        <v>1</v>
      </c>
      <c r="G247" s="337">
        <v>1</v>
      </c>
      <c r="H247" s="338" t="s">
        <v>6075</v>
      </c>
      <c r="I247" s="338" t="s">
        <v>9548</v>
      </c>
      <c r="J247" s="338" t="s">
        <v>9550</v>
      </c>
      <c r="K247" s="338" t="s">
        <v>6076</v>
      </c>
      <c r="L247" s="338"/>
      <c r="M247" s="338" t="s">
        <v>6326</v>
      </c>
      <c r="N247" s="338" t="s">
        <v>8313</v>
      </c>
      <c r="O247" s="337">
        <v>0</v>
      </c>
      <c r="P247" s="337">
        <v>0</v>
      </c>
      <c r="Q247" s="338"/>
      <c r="R247" s="338" t="s">
        <v>6088</v>
      </c>
      <c r="S247" s="338"/>
      <c r="T247" s="338"/>
      <c r="U247" s="338" t="s">
        <v>6375</v>
      </c>
      <c r="V247" s="337">
        <v>0</v>
      </c>
      <c r="W247" s="337">
        <v>0</v>
      </c>
      <c r="X247" s="338"/>
      <c r="Y247" s="338" t="s">
        <v>6085</v>
      </c>
      <c r="Z247" s="338" t="s">
        <v>8162</v>
      </c>
      <c r="AA247" s="338" t="s">
        <v>6079</v>
      </c>
      <c r="AB247" s="338"/>
      <c r="AC247" s="338" t="s">
        <v>6295</v>
      </c>
      <c r="AD247" s="338"/>
      <c r="AF247" s="502" t="str">
        <f>Table15[[#This Row],[code2]]</f>
        <v>PHL</v>
      </c>
      <c r="AG247" s="502" t="str">
        <f>Table15[[#This Row],[code5]]</f>
        <v>FLVROONBF</v>
      </c>
    </row>
    <row r="248" spans="1:33">
      <c r="A248" s="338" t="s">
        <v>6072</v>
      </c>
      <c r="B248" s="338" t="s">
        <v>6073</v>
      </c>
      <c r="C248" s="337">
        <v>1</v>
      </c>
      <c r="D248" s="338" t="s">
        <v>6074</v>
      </c>
      <c r="E248" s="338" t="s">
        <v>6075</v>
      </c>
      <c r="F248" s="337">
        <v>1</v>
      </c>
      <c r="G248" s="337">
        <v>1</v>
      </c>
      <c r="H248" s="338" t="s">
        <v>6075</v>
      </c>
      <c r="I248" s="338" t="s">
        <v>9548</v>
      </c>
      <c r="J248" s="338" t="s">
        <v>9550</v>
      </c>
      <c r="K248" s="338" t="s">
        <v>6076</v>
      </c>
      <c r="L248" s="338"/>
      <c r="M248" s="338" t="s">
        <v>6326</v>
      </c>
      <c r="N248" s="338" t="s">
        <v>8313</v>
      </c>
      <c r="O248" s="337">
        <v>0</v>
      </c>
      <c r="P248" s="337">
        <v>0</v>
      </c>
      <c r="Q248" s="338"/>
      <c r="R248" s="338" t="s">
        <v>6088</v>
      </c>
      <c r="S248" s="338"/>
      <c r="T248" s="338"/>
      <c r="U248" s="338" t="s">
        <v>6376</v>
      </c>
      <c r="V248" s="337">
        <v>0</v>
      </c>
      <c r="W248" s="337">
        <v>0</v>
      </c>
      <c r="X248" s="338"/>
      <c r="Y248" s="338" t="s">
        <v>497</v>
      </c>
      <c r="Z248" s="338" t="s">
        <v>6368</v>
      </c>
      <c r="AA248" s="338" t="s">
        <v>6079</v>
      </c>
      <c r="AB248" s="338"/>
      <c r="AC248" s="338" t="s">
        <v>6300</v>
      </c>
      <c r="AD248" s="338"/>
      <c r="AF248" s="502" t="str">
        <f>Table15[[#This Row],[code2]]</f>
        <v>PHL</v>
      </c>
      <c r="AG248" s="502" t="str">
        <f>Table15[[#This Row],[code5]]</f>
        <v>FLVROONBF</v>
      </c>
    </row>
    <row r="249" spans="1:33">
      <c r="A249" s="338" t="s">
        <v>6072</v>
      </c>
      <c r="B249" s="338" t="s">
        <v>6073</v>
      </c>
      <c r="C249" s="337">
        <v>1</v>
      </c>
      <c r="D249" s="338" t="s">
        <v>6074</v>
      </c>
      <c r="E249" s="338" t="s">
        <v>6075</v>
      </c>
      <c r="F249" s="337">
        <v>1</v>
      </c>
      <c r="G249" s="337">
        <v>1</v>
      </c>
      <c r="H249" s="338" t="s">
        <v>6075</v>
      </c>
      <c r="I249" s="338" t="s">
        <v>9548</v>
      </c>
      <c r="J249" s="338" t="s">
        <v>9550</v>
      </c>
      <c r="K249" s="338" t="s">
        <v>6076</v>
      </c>
      <c r="L249" s="338"/>
      <c r="M249" s="338" t="s">
        <v>6326</v>
      </c>
      <c r="N249" s="338" t="s">
        <v>8313</v>
      </c>
      <c r="O249" s="337">
        <v>0</v>
      </c>
      <c r="P249" s="337">
        <v>0</v>
      </c>
      <c r="Q249" s="338"/>
      <c r="R249" s="338" t="s">
        <v>6088</v>
      </c>
      <c r="S249" s="338"/>
      <c r="T249" s="338"/>
      <c r="U249" s="338" t="s">
        <v>6377</v>
      </c>
      <c r="V249" s="337">
        <v>0</v>
      </c>
      <c r="W249" s="337">
        <v>0</v>
      </c>
      <c r="X249" s="338"/>
      <c r="Y249" s="338" t="s">
        <v>6081</v>
      </c>
      <c r="Z249" s="338" t="s">
        <v>8268</v>
      </c>
      <c r="AA249" s="338" t="s">
        <v>6079</v>
      </c>
      <c r="AB249" s="338"/>
      <c r="AC249" s="338" t="s">
        <v>6300</v>
      </c>
      <c r="AD249" s="338"/>
      <c r="AF249" s="502" t="str">
        <f>Table15[[#This Row],[code2]]</f>
        <v>PHL</v>
      </c>
      <c r="AG249" s="502" t="str">
        <f>Table15[[#This Row],[code5]]</f>
        <v>FLVROONBF</v>
      </c>
    </row>
    <row r="250" spans="1:33">
      <c r="A250" s="338" t="s">
        <v>6072</v>
      </c>
      <c r="B250" s="338" t="s">
        <v>6073</v>
      </c>
      <c r="C250" s="337">
        <v>1</v>
      </c>
      <c r="D250" s="338" t="s">
        <v>6074</v>
      </c>
      <c r="E250" s="338" t="s">
        <v>6075</v>
      </c>
      <c r="F250" s="337">
        <v>1</v>
      </c>
      <c r="G250" s="337">
        <v>1</v>
      </c>
      <c r="H250" s="338" t="s">
        <v>6075</v>
      </c>
      <c r="I250" s="338" t="s">
        <v>9548</v>
      </c>
      <c r="J250" s="338" t="s">
        <v>9550</v>
      </c>
      <c r="K250" s="338" t="s">
        <v>6076</v>
      </c>
      <c r="L250" s="338"/>
      <c r="M250" s="338" t="s">
        <v>6326</v>
      </c>
      <c r="N250" s="338" t="s">
        <v>8313</v>
      </c>
      <c r="O250" s="337">
        <v>0</v>
      </c>
      <c r="P250" s="337">
        <v>0</v>
      </c>
      <c r="Q250" s="338"/>
      <c r="R250" s="338" t="s">
        <v>6088</v>
      </c>
      <c r="S250" s="338"/>
      <c r="T250" s="338"/>
      <c r="U250" s="338" t="s">
        <v>6378</v>
      </c>
      <c r="V250" s="337">
        <v>0</v>
      </c>
      <c r="W250" s="337">
        <v>0</v>
      </c>
      <c r="X250" s="338"/>
      <c r="Y250" s="338" t="s">
        <v>493</v>
      </c>
      <c r="Z250" s="338" t="s">
        <v>6368</v>
      </c>
      <c r="AA250" s="338" t="s">
        <v>6079</v>
      </c>
      <c r="AB250" s="338"/>
      <c r="AC250" s="338" t="s">
        <v>6300</v>
      </c>
      <c r="AD250" s="338"/>
      <c r="AF250" s="502" t="str">
        <f>Table15[[#This Row],[code2]]</f>
        <v>PHL</v>
      </c>
      <c r="AG250" s="502" t="str">
        <f>Table15[[#This Row],[code5]]</f>
        <v>FLVROONBF</v>
      </c>
    </row>
    <row r="251" spans="1:33">
      <c r="A251" s="338" t="s">
        <v>6072</v>
      </c>
      <c r="B251" s="338" t="s">
        <v>6073</v>
      </c>
      <c r="C251" s="337">
        <v>1</v>
      </c>
      <c r="D251" s="338" t="s">
        <v>6074</v>
      </c>
      <c r="E251" s="338" t="s">
        <v>6075</v>
      </c>
      <c r="F251" s="337">
        <v>1</v>
      </c>
      <c r="G251" s="337">
        <v>1</v>
      </c>
      <c r="H251" s="338" t="s">
        <v>6075</v>
      </c>
      <c r="I251" s="338" t="s">
        <v>9548</v>
      </c>
      <c r="J251" s="338" t="s">
        <v>9550</v>
      </c>
      <c r="K251" s="338" t="s">
        <v>6076</v>
      </c>
      <c r="L251" s="338"/>
      <c r="M251" s="338" t="s">
        <v>6326</v>
      </c>
      <c r="N251" s="338" t="s">
        <v>8313</v>
      </c>
      <c r="O251" s="337">
        <v>0</v>
      </c>
      <c r="P251" s="337">
        <v>0</v>
      </c>
      <c r="Q251" s="338"/>
      <c r="R251" s="338" t="s">
        <v>6088</v>
      </c>
      <c r="S251" s="338"/>
      <c r="T251" s="338"/>
      <c r="U251" s="338" t="s">
        <v>6379</v>
      </c>
      <c r="V251" s="337">
        <v>0</v>
      </c>
      <c r="W251" s="337">
        <v>0</v>
      </c>
      <c r="X251" s="338"/>
      <c r="Y251" s="338" t="s">
        <v>6085</v>
      </c>
      <c r="Z251" s="338" t="s">
        <v>8269</v>
      </c>
      <c r="AA251" s="338" t="s">
        <v>6079</v>
      </c>
      <c r="AB251" s="338"/>
      <c r="AC251" s="338" t="s">
        <v>6300</v>
      </c>
      <c r="AD251" s="338"/>
      <c r="AF251" s="502" t="str">
        <f>Table15[[#This Row],[code2]]</f>
        <v>PHL</v>
      </c>
      <c r="AG251" s="502" t="str">
        <f>Table15[[#This Row],[code5]]</f>
        <v>FLVROONBF</v>
      </c>
    </row>
    <row r="252" spans="1:33">
      <c r="A252" s="338" t="s">
        <v>6072</v>
      </c>
      <c r="B252" s="338" t="s">
        <v>6073</v>
      </c>
      <c r="C252" s="337">
        <v>1</v>
      </c>
      <c r="D252" s="338" t="s">
        <v>6074</v>
      </c>
      <c r="E252" s="338" t="s">
        <v>6075</v>
      </c>
      <c r="F252" s="337">
        <v>1</v>
      </c>
      <c r="G252" s="337">
        <v>1</v>
      </c>
      <c r="H252" s="338" t="s">
        <v>6075</v>
      </c>
      <c r="I252" s="338" t="s">
        <v>9548</v>
      </c>
      <c r="J252" s="338" t="s">
        <v>9550</v>
      </c>
      <c r="K252" s="338" t="s">
        <v>6076</v>
      </c>
      <c r="L252" s="338"/>
      <c r="M252" s="338" t="s">
        <v>6326</v>
      </c>
      <c r="N252" s="338" t="s">
        <v>8313</v>
      </c>
      <c r="O252" s="337">
        <v>0</v>
      </c>
      <c r="P252" s="337">
        <v>0</v>
      </c>
      <c r="Q252" s="338"/>
      <c r="R252" s="338" t="s">
        <v>6088</v>
      </c>
      <c r="S252" s="338"/>
      <c r="T252" s="338"/>
      <c r="U252" s="338" t="s">
        <v>6380</v>
      </c>
      <c r="V252" s="337">
        <v>0</v>
      </c>
      <c r="W252" s="337">
        <v>0</v>
      </c>
      <c r="X252" s="338"/>
      <c r="Y252" s="338" t="s">
        <v>497</v>
      </c>
      <c r="Z252" s="338" t="s">
        <v>6368</v>
      </c>
      <c r="AA252" s="338" t="s">
        <v>6079</v>
      </c>
      <c r="AB252" s="338"/>
      <c r="AC252" s="338" t="s">
        <v>6305</v>
      </c>
      <c r="AD252" s="338"/>
      <c r="AF252" s="502" t="str">
        <f>Table15[[#This Row],[code2]]</f>
        <v>PHL</v>
      </c>
      <c r="AG252" s="502" t="str">
        <f>Table15[[#This Row],[code5]]</f>
        <v>FLVROONBF</v>
      </c>
    </row>
    <row r="253" spans="1:33">
      <c r="A253" s="338" t="s">
        <v>6072</v>
      </c>
      <c r="B253" s="338" t="s">
        <v>6073</v>
      </c>
      <c r="C253" s="337">
        <v>1</v>
      </c>
      <c r="D253" s="338" t="s">
        <v>6074</v>
      </c>
      <c r="E253" s="338" t="s">
        <v>6075</v>
      </c>
      <c r="F253" s="337">
        <v>1</v>
      </c>
      <c r="G253" s="337">
        <v>1</v>
      </c>
      <c r="H253" s="338" t="s">
        <v>6075</v>
      </c>
      <c r="I253" s="338" t="s">
        <v>9548</v>
      </c>
      <c r="J253" s="338" t="s">
        <v>9550</v>
      </c>
      <c r="K253" s="338" t="s">
        <v>6076</v>
      </c>
      <c r="L253" s="338"/>
      <c r="M253" s="338" t="s">
        <v>6326</v>
      </c>
      <c r="N253" s="338" t="s">
        <v>8313</v>
      </c>
      <c r="O253" s="337">
        <v>0</v>
      </c>
      <c r="P253" s="337">
        <v>0</v>
      </c>
      <c r="Q253" s="338"/>
      <c r="R253" s="338" t="s">
        <v>6088</v>
      </c>
      <c r="S253" s="338"/>
      <c r="T253" s="338"/>
      <c r="U253" s="338" t="s">
        <v>6381</v>
      </c>
      <c r="V253" s="337">
        <v>0</v>
      </c>
      <c r="W253" s="337">
        <v>0</v>
      </c>
      <c r="X253" s="338"/>
      <c r="Y253" s="338" t="s">
        <v>6081</v>
      </c>
      <c r="Z253" s="338" t="s">
        <v>8268</v>
      </c>
      <c r="AA253" s="338" t="s">
        <v>6079</v>
      </c>
      <c r="AB253" s="338"/>
      <c r="AC253" s="338" t="s">
        <v>6305</v>
      </c>
      <c r="AD253" s="338"/>
      <c r="AF253" s="502" t="str">
        <f>Table15[[#This Row],[code2]]</f>
        <v>PHL</v>
      </c>
      <c r="AG253" s="502" t="str">
        <f>Table15[[#This Row],[code5]]</f>
        <v>FLVROONBF</v>
      </c>
    </row>
    <row r="254" spans="1:33">
      <c r="A254" s="338" t="s">
        <v>6072</v>
      </c>
      <c r="B254" s="338" t="s">
        <v>6073</v>
      </c>
      <c r="C254" s="337">
        <v>1</v>
      </c>
      <c r="D254" s="338" t="s">
        <v>6074</v>
      </c>
      <c r="E254" s="338" t="s">
        <v>6075</v>
      </c>
      <c r="F254" s="337">
        <v>1</v>
      </c>
      <c r="G254" s="337">
        <v>1</v>
      </c>
      <c r="H254" s="338" t="s">
        <v>6075</v>
      </c>
      <c r="I254" s="338" t="s">
        <v>9548</v>
      </c>
      <c r="J254" s="338" t="s">
        <v>9550</v>
      </c>
      <c r="K254" s="338" t="s">
        <v>6076</v>
      </c>
      <c r="L254" s="338"/>
      <c r="M254" s="338" t="s">
        <v>6326</v>
      </c>
      <c r="N254" s="338" t="s">
        <v>8313</v>
      </c>
      <c r="O254" s="337">
        <v>0</v>
      </c>
      <c r="P254" s="337">
        <v>0</v>
      </c>
      <c r="Q254" s="338"/>
      <c r="R254" s="338" t="s">
        <v>6088</v>
      </c>
      <c r="S254" s="338"/>
      <c r="T254" s="338"/>
      <c r="U254" s="338" t="s">
        <v>6382</v>
      </c>
      <c r="V254" s="337">
        <v>0</v>
      </c>
      <c r="W254" s="337">
        <v>0</v>
      </c>
      <c r="X254" s="338"/>
      <c r="Y254" s="338" t="s">
        <v>493</v>
      </c>
      <c r="Z254" s="338" t="s">
        <v>6368</v>
      </c>
      <c r="AA254" s="338" t="s">
        <v>6079</v>
      </c>
      <c r="AB254" s="338"/>
      <c r="AC254" s="338" t="s">
        <v>6305</v>
      </c>
      <c r="AD254" s="338"/>
      <c r="AF254" s="502" t="str">
        <f>Table15[[#This Row],[code2]]</f>
        <v>PHL</v>
      </c>
      <c r="AG254" s="502" t="str">
        <f>Table15[[#This Row],[code5]]</f>
        <v>FLVROONBF</v>
      </c>
    </row>
    <row r="255" spans="1:33">
      <c r="A255" s="338" t="s">
        <v>6072</v>
      </c>
      <c r="B255" s="338" t="s">
        <v>6073</v>
      </c>
      <c r="C255" s="337">
        <v>1</v>
      </c>
      <c r="D255" s="338" t="s">
        <v>6074</v>
      </c>
      <c r="E255" s="338" t="s">
        <v>6075</v>
      </c>
      <c r="F255" s="337">
        <v>1</v>
      </c>
      <c r="G255" s="337">
        <v>1</v>
      </c>
      <c r="H255" s="338" t="s">
        <v>6075</v>
      </c>
      <c r="I255" s="338" t="s">
        <v>9548</v>
      </c>
      <c r="J255" s="338" t="s">
        <v>9550</v>
      </c>
      <c r="K255" s="338" t="s">
        <v>6076</v>
      </c>
      <c r="L255" s="338"/>
      <c r="M255" s="338" t="s">
        <v>6326</v>
      </c>
      <c r="N255" s="338" t="s">
        <v>8313</v>
      </c>
      <c r="O255" s="337">
        <v>0</v>
      </c>
      <c r="P255" s="337">
        <v>0</v>
      </c>
      <c r="Q255" s="338"/>
      <c r="R255" s="338" t="s">
        <v>6088</v>
      </c>
      <c r="S255" s="338"/>
      <c r="T255" s="338"/>
      <c r="U255" s="338" t="s">
        <v>6383</v>
      </c>
      <c r="V255" s="337">
        <v>0</v>
      </c>
      <c r="W255" s="337">
        <v>0</v>
      </c>
      <c r="X255" s="338"/>
      <c r="Y255" s="338" t="s">
        <v>6085</v>
      </c>
      <c r="Z255" s="338" t="s">
        <v>8269</v>
      </c>
      <c r="AA255" s="338" t="s">
        <v>6079</v>
      </c>
      <c r="AB255" s="338"/>
      <c r="AC255" s="338" t="s">
        <v>6305</v>
      </c>
      <c r="AD255" s="338"/>
      <c r="AF255" s="502" t="str">
        <f>Table15[[#This Row],[code2]]</f>
        <v>PHL</v>
      </c>
      <c r="AG255" s="502" t="str">
        <f>Table15[[#This Row],[code5]]</f>
        <v>FLVROONBF</v>
      </c>
    </row>
    <row r="256" spans="1:33">
      <c r="A256" s="338" t="s">
        <v>6072</v>
      </c>
      <c r="B256" s="338" t="s">
        <v>6073</v>
      </c>
      <c r="C256" s="337">
        <v>1</v>
      </c>
      <c r="D256" s="338" t="s">
        <v>6074</v>
      </c>
      <c r="E256" s="338" t="s">
        <v>6075</v>
      </c>
      <c r="F256" s="337">
        <v>1</v>
      </c>
      <c r="G256" s="337">
        <v>1</v>
      </c>
      <c r="H256" s="338" t="s">
        <v>6075</v>
      </c>
      <c r="I256" s="338" t="s">
        <v>9548</v>
      </c>
      <c r="J256" s="338" t="s">
        <v>9550</v>
      </c>
      <c r="K256" s="338" t="s">
        <v>6076</v>
      </c>
      <c r="L256" s="338"/>
      <c r="M256" s="338" t="s">
        <v>6384</v>
      </c>
      <c r="N256" s="338" t="s">
        <v>6385</v>
      </c>
      <c r="O256" s="337">
        <v>1</v>
      </c>
      <c r="P256" s="337">
        <v>1</v>
      </c>
      <c r="Q256" s="338"/>
      <c r="R256" s="338" t="s">
        <v>14</v>
      </c>
      <c r="S256" s="338"/>
      <c r="T256" s="338"/>
      <c r="U256" s="338" t="s">
        <v>6386</v>
      </c>
      <c r="V256" s="337">
        <v>1</v>
      </c>
      <c r="W256" s="337">
        <v>1</v>
      </c>
      <c r="X256" s="338"/>
      <c r="Y256" s="338" t="s">
        <v>6163</v>
      </c>
      <c r="Z256" s="338" t="s">
        <v>6177</v>
      </c>
      <c r="AA256" s="338" t="s">
        <v>6079</v>
      </c>
      <c r="AB256" s="338"/>
      <c r="AC256" s="338" t="s">
        <v>6178</v>
      </c>
      <c r="AD256" s="338"/>
      <c r="AF256" s="502" t="str">
        <f>Table15[[#This Row],[code2]]</f>
        <v>PHL</v>
      </c>
      <c r="AG256" s="502" t="str">
        <f>Table15[[#This Row],[code5]]</f>
        <v>HLP</v>
      </c>
    </row>
    <row r="257" spans="1:33">
      <c r="A257" s="338" t="s">
        <v>6072</v>
      </c>
      <c r="B257" s="338" t="s">
        <v>6073</v>
      </c>
      <c r="C257" s="337">
        <v>1</v>
      </c>
      <c r="D257" s="338" t="s">
        <v>6074</v>
      </c>
      <c r="E257" s="338" t="s">
        <v>6075</v>
      </c>
      <c r="F257" s="337">
        <v>1</v>
      </c>
      <c r="G257" s="337">
        <v>1</v>
      </c>
      <c r="H257" s="338" t="s">
        <v>6075</v>
      </c>
      <c r="I257" s="338" t="s">
        <v>9548</v>
      </c>
      <c r="J257" s="338" t="s">
        <v>9550</v>
      </c>
      <c r="K257" s="338" t="s">
        <v>6076</v>
      </c>
      <c r="L257" s="338"/>
      <c r="M257" s="338" t="s">
        <v>6384</v>
      </c>
      <c r="N257" s="338" t="s">
        <v>6385</v>
      </c>
      <c r="O257" s="337">
        <v>1</v>
      </c>
      <c r="P257" s="337">
        <v>1</v>
      </c>
      <c r="Q257" s="338"/>
      <c r="R257" s="338" t="s">
        <v>14</v>
      </c>
      <c r="S257" s="338"/>
      <c r="T257" s="338"/>
      <c r="U257" s="338" t="s">
        <v>6387</v>
      </c>
      <c r="V257" s="337">
        <v>1</v>
      </c>
      <c r="W257" s="337">
        <v>1</v>
      </c>
      <c r="X257" s="338"/>
      <c r="Y257" s="338" t="s">
        <v>6167</v>
      </c>
      <c r="Z257" s="338" t="s">
        <v>9089</v>
      </c>
      <c r="AA257" s="338" t="s">
        <v>6079</v>
      </c>
      <c r="AB257" s="338"/>
      <c r="AC257" s="338" t="s">
        <v>6178</v>
      </c>
      <c r="AD257" s="338"/>
      <c r="AF257" s="502" t="str">
        <f>Table15[[#This Row],[code2]]</f>
        <v>PHL</v>
      </c>
      <c r="AG257" s="502" t="str">
        <f>Table15[[#This Row],[code5]]</f>
        <v>HLP</v>
      </c>
    </row>
    <row r="258" spans="1:33">
      <c r="A258" s="338" t="s">
        <v>6072</v>
      </c>
      <c r="B258" s="338" t="s">
        <v>6073</v>
      </c>
      <c r="C258" s="337">
        <v>1</v>
      </c>
      <c r="D258" s="338" t="s">
        <v>6074</v>
      </c>
      <c r="E258" s="338" t="s">
        <v>6075</v>
      </c>
      <c r="F258" s="337">
        <v>1</v>
      </c>
      <c r="G258" s="337">
        <v>1</v>
      </c>
      <c r="H258" s="338" t="s">
        <v>6075</v>
      </c>
      <c r="I258" s="338" t="s">
        <v>9548</v>
      </c>
      <c r="J258" s="338" t="s">
        <v>9550</v>
      </c>
      <c r="K258" s="338" t="s">
        <v>6076</v>
      </c>
      <c r="L258" s="338"/>
      <c r="M258" s="338" t="s">
        <v>6384</v>
      </c>
      <c r="N258" s="338" t="s">
        <v>6385</v>
      </c>
      <c r="O258" s="337">
        <v>1</v>
      </c>
      <c r="P258" s="337">
        <v>1</v>
      </c>
      <c r="Q258" s="338"/>
      <c r="R258" s="338" t="s">
        <v>14</v>
      </c>
      <c r="S258" s="338"/>
      <c r="T258" s="338"/>
      <c r="U258" s="338" t="s">
        <v>6388</v>
      </c>
      <c r="V258" s="337">
        <v>1</v>
      </c>
      <c r="W258" s="337">
        <v>1</v>
      </c>
      <c r="X258" s="338"/>
      <c r="Y258" s="338" t="s">
        <v>6163</v>
      </c>
      <c r="Z258" s="338" t="s">
        <v>6177</v>
      </c>
      <c r="AA258" s="338" t="s">
        <v>6079</v>
      </c>
      <c r="AB258" s="338"/>
      <c r="AC258" s="338" t="s">
        <v>6389</v>
      </c>
      <c r="AD258" s="338"/>
      <c r="AF258" s="502" t="str">
        <f>Table15[[#This Row],[code2]]</f>
        <v>PHL</v>
      </c>
      <c r="AG258" s="502" t="str">
        <f>Table15[[#This Row],[code5]]</f>
        <v>HLP</v>
      </c>
    </row>
    <row r="259" spans="1:33">
      <c r="A259" s="338" t="s">
        <v>6072</v>
      </c>
      <c r="B259" s="338" t="s">
        <v>6073</v>
      </c>
      <c r="C259" s="337">
        <v>1</v>
      </c>
      <c r="D259" s="338" t="s">
        <v>6074</v>
      </c>
      <c r="E259" s="338" t="s">
        <v>6075</v>
      </c>
      <c r="F259" s="337">
        <v>1</v>
      </c>
      <c r="G259" s="337">
        <v>1</v>
      </c>
      <c r="H259" s="338" t="s">
        <v>6075</v>
      </c>
      <c r="I259" s="338" t="s">
        <v>9548</v>
      </c>
      <c r="J259" s="338" t="s">
        <v>9550</v>
      </c>
      <c r="K259" s="338" t="s">
        <v>6076</v>
      </c>
      <c r="L259" s="338"/>
      <c r="M259" s="338" t="s">
        <v>6384</v>
      </c>
      <c r="N259" s="338" t="s">
        <v>6385</v>
      </c>
      <c r="O259" s="337">
        <v>1</v>
      </c>
      <c r="P259" s="337">
        <v>1</v>
      </c>
      <c r="Q259" s="338"/>
      <c r="R259" s="338" t="s">
        <v>14</v>
      </c>
      <c r="S259" s="338"/>
      <c r="T259" s="338"/>
      <c r="U259" s="338" t="s">
        <v>6390</v>
      </c>
      <c r="V259" s="337">
        <v>1</v>
      </c>
      <c r="W259" s="337">
        <v>1</v>
      </c>
      <c r="X259" s="338"/>
      <c r="Y259" s="338" t="s">
        <v>6167</v>
      </c>
      <c r="Z259" s="338" t="s">
        <v>9089</v>
      </c>
      <c r="AA259" s="338" t="s">
        <v>6079</v>
      </c>
      <c r="AB259" s="338"/>
      <c r="AC259" s="338" t="s">
        <v>6389</v>
      </c>
      <c r="AD259" s="338"/>
      <c r="AF259" s="502" t="str">
        <f>Table15[[#This Row],[code2]]</f>
        <v>PHL</v>
      </c>
      <c r="AG259" s="502" t="str">
        <f>Table15[[#This Row],[code5]]</f>
        <v>HLP</v>
      </c>
    </row>
    <row r="260" spans="1:33">
      <c r="A260" s="338" t="s">
        <v>6072</v>
      </c>
      <c r="B260" s="338" t="s">
        <v>6073</v>
      </c>
      <c r="C260" s="337">
        <v>1</v>
      </c>
      <c r="D260" s="338" t="s">
        <v>6074</v>
      </c>
      <c r="E260" s="338" t="s">
        <v>6075</v>
      </c>
      <c r="F260" s="337">
        <v>1</v>
      </c>
      <c r="G260" s="337">
        <v>1</v>
      </c>
      <c r="H260" s="338" t="s">
        <v>6075</v>
      </c>
      <c r="I260" s="338" t="s">
        <v>9548</v>
      </c>
      <c r="J260" s="338" t="s">
        <v>9550</v>
      </c>
      <c r="K260" s="338" t="s">
        <v>6076</v>
      </c>
      <c r="L260" s="338"/>
      <c r="M260" s="338" t="s">
        <v>6384</v>
      </c>
      <c r="N260" s="338" t="s">
        <v>6385</v>
      </c>
      <c r="O260" s="337">
        <v>1</v>
      </c>
      <c r="P260" s="337">
        <v>1</v>
      </c>
      <c r="Q260" s="338"/>
      <c r="R260" s="338" t="s">
        <v>14</v>
      </c>
      <c r="S260" s="338"/>
      <c r="T260" s="338"/>
      <c r="U260" s="338" t="s">
        <v>6391</v>
      </c>
      <c r="V260" s="337">
        <v>1</v>
      </c>
      <c r="W260" s="337">
        <v>1</v>
      </c>
      <c r="X260" s="338"/>
      <c r="Y260" s="338" t="s">
        <v>6163</v>
      </c>
      <c r="Z260" s="338" t="s">
        <v>6185</v>
      </c>
      <c r="AA260" s="338" t="s">
        <v>6079</v>
      </c>
      <c r="AB260" s="338"/>
      <c r="AC260" s="338" t="s">
        <v>6186</v>
      </c>
      <c r="AD260" s="338"/>
      <c r="AF260" s="502" t="str">
        <f>Table15[[#This Row],[code2]]</f>
        <v>PHL</v>
      </c>
      <c r="AG260" s="502" t="str">
        <f>Table15[[#This Row],[code5]]</f>
        <v>HLP</v>
      </c>
    </row>
    <row r="261" spans="1:33">
      <c r="A261" s="338" t="s">
        <v>6072</v>
      </c>
      <c r="B261" s="338" t="s">
        <v>6073</v>
      </c>
      <c r="C261" s="337">
        <v>1</v>
      </c>
      <c r="D261" s="338" t="s">
        <v>6074</v>
      </c>
      <c r="E261" s="338" t="s">
        <v>6075</v>
      </c>
      <c r="F261" s="337">
        <v>1</v>
      </c>
      <c r="G261" s="337">
        <v>1</v>
      </c>
      <c r="H261" s="338" t="s">
        <v>6075</v>
      </c>
      <c r="I261" s="338" t="s">
        <v>9548</v>
      </c>
      <c r="J261" s="338" t="s">
        <v>9550</v>
      </c>
      <c r="K261" s="338" t="s">
        <v>6076</v>
      </c>
      <c r="L261" s="338"/>
      <c r="M261" s="338" t="s">
        <v>6384</v>
      </c>
      <c r="N261" s="338" t="s">
        <v>6385</v>
      </c>
      <c r="O261" s="337">
        <v>1</v>
      </c>
      <c r="P261" s="337">
        <v>1</v>
      </c>
      <c r="Q261" s="338"/>
      <c r="R261" s="338" t="s">
        <v>14</v>
      </c>
      <c r="S261" s="338"/>
      <c r="T261" s="338"/>
      <c r="U261" s="338" t="s">
        <v>6392</v>
      </c>
      <c r="V261" s="337">
        <v>1</v>
      </c>
      <c r="W261" s="337">
        <v>1</v>
      </c>
      <c r="X261" s="338"/>
      <c r="Y261" s="338" t="s">
        <v>6167</v>
      </c>
      <c r="Z261" s="338" t="s">
        <v>7023</v>
      </c>
      <c r="AA261" s="338" t="s">
        <v>6079</v>
      </c>
      <c r="AB261" s="338"/>
      <c r="AC261" s="338" t="s">
        <v>6186</v>
      </c>
      <c r="AD261" s="338"/>
      <c r="AF261" s="502" t="str">
        <f>Table15[[#This Row],[code2]]</f>
        <v>PHL</v>
      </c>
      <c r="AG261" s="502" t="str">
        <f>Table15[[#This Row],[code5]]</f>
        <v>HLP</v>
      </c>
    </row>
    <row r="262" spans="1:33">
      <c r="A262" s="338" t="s">
        <v>6072</v>
      </c>
      <c r="B262" s="338" t="s">
        <v>6073</v>
      </c>
      <c r="C262" s="337">
        <v>1</v>
      </c>
      <c r="D262" s="338" t="s">
        <v>6074</v>
      </c>
      <c r="E262" s="338" t="s">
        <v>6075</v>
      </c>
      <c r="F262" s="337">
        <v>1</v>
      </c>
      <c r="G262" s="337">
        <v>1</v>
      </c>
      <c r="H262" s="338" t="s">
        <v>6075</v>
      </c>
      <c r="I262" s="338" t="s">
        <v>9548</v>
      </c>
      <c r="J262" s="338" t="s">
        <v>9550</v>
      </c>
      <c r="K262" s="338" t="s">
        <v>6076</v>
      </c>
      <c r="L262" s="338"/>
      <c r="M262" s="338" t="s">
        <v>6384</v>
      </c>
      <c r="N262" s="338" t="s">
        <v>6385</v>
      </c>
      <c r="O262" s="337">
        <v>1</v>
      </c>
      <c r="P262" s="337">
        <v>1</v>
      </c>
      <c r="Q262" s="338"/>
      <c r="R262" s="338" t="s">
        <v>14</v>
      </c>
      <c r="S262" s="338"/>
      <c r="T262" s="338"/>
      <c r="U262" s="338" t="s">
        <v>6393</v>
      </c>
      <c r="V262" s="337">
        <v>1</v>
      </c>
      <c r="W262" s="337">
        <v>1</v>
      </c>
      <c r="X262" s="338"/>
      <c r="Y262" s="338" t="s">
        <v>6163</v>
      </c>
      <c r="Z262" s="338" t="s">
        <v>6185</v>
      </c>
      <c r="AA262" s="338" t="s">
        <v>6079</v>
      </c>
      <c r="AB262" s="338"/>
      <c r="AC262" s="338" t="s">
        <v>6189</v>
      </c>
      <c r="AD262" s="338"/>
      <c r="AF262" s="502" t="str">
        <f>Table15[[#This Row],[code2]]</f>
        <v>PHL</v>
      </c>
      <c r="AG262" s="502" t="str">
        <f>Table15[[#This Row],[code5]]</f>
        <v>HLP</v>
      </c>
    </row>
    <row r="263" spans="1:33">
      <c r="A263" s="338" t="s">
        <v>6072</v>
      </c>
      <c r="B263" s="338" t="s">
        <v>6073</v>
      </c>
      <c r="C263" s="337">
        <v>1</v>
      </c>
      <c r="D263" s="338" t="s">
        <v>6074</v>
      </c>
      <c r="E263" s="338" t="s">
        <v>6075</v>
      </c>
      <c r="F263" s="337">
        <v>1</v>
      </c>
      <c r="G263" s="337">
        <v>1</v>
      </c>
      <c r="H263" s="338" t="s">
        <v>6075</v>
      </c>
      <c r="I263" s="338" t="s">
        <v>9548</v>
      </c>
      <c r="J263" s="338" t="s">
        <v>9550</v>
      </c>
      <c r="K263" s="338" t="s">
        <v>6076</v>
      </c>
      <c r="L263" s="338"/>
      <c r="M263" s="338" t="s">
        <v>6384</v>
      </c>
      <c r="N263" s="338" t="s">
        <v>6385</v>
      </c>
      <c r="O263" s="337">
        <v>1</v>
      </c>
      <c r="P263" s="337">
        <v>1</v>
      </c>
      <c r="Q263" s="338"/>
      <c r="R263" s="338" t="s">
        <v>14</v>
      </c>
      <c r="S263" s="338"/>
      <c r="T263" s="338"/>
      <c r="U263" s="338" t="s">
        <v>6394</v>
      </c>
      <c r="V263" s="337">
        <v>1</v>
      </c>
      <c r="W263" s="337">
        <v>1</v>
      </c>
      <c r="X263" s="338"/>
      <c r="Y263" s="338" t="s">
        <v>6167</v>
      </c>
      <c r="Z263" s="338" t="s">
        <v>7023</v>
      </c>
      <c r="AA263" s="338" t="s">
        <v>6079</v>
      </c>
      <c r="AB263" s="338"/>
      <c r="AC263" s="338" t="s">
        <v>6189</v>
      </c>
      <c r="AD263" s="338"/>
      <c r="AF263" s="502" t="str">
        <f>Table15[[#This Row],[code2]]</f>
        <v>PHL</v>
      </c>
      <c r="AG263" s="502" t="str">
        <f>Table15[[#This Row],[code5]]</f>
        <v>HLP</v>
      </c>
    </row>
    <row r="264" spans="1:33">
      <c r="A264" s="338" t="s">
        <v>6072</v>
      </c>
      <c r="B264" s="338" t="s">
        <v>6073</v>
      </c>
      <c r="C264" s="337">
        <v>1</v>
      </c>
      <c r="D264" s="338" t="s">
        <v>6074</v>
      </c>
      <c r="E264" s="338" t="s">
        <v>6075</v>
      </c>
      <c r="F264" s="337">
        <v>1</v>
      </c>
      <c r="G264" s="337">
        <v>1</v>
      </c>
      <c r="H264" s="338" t="s">
        <v>6075</v>
      </c>
      <c r="I264" s="338" t="s">
        <v>9548</v>
      </c>
      <c r="J264" s="338" t="s">
        <v>9550</v>
      </c>
      <c r="K264" s="338" t="s">
        <v>6076</v>
      </c>
      <c r="L264" s="338"/>
      <c r="M264" s="338" t="s">
        <v>6395</v>
      </c>
      <c r="N264" s="338" t="s">
        <v>6396</v>
      </c>
      <c r="O264" s="337">
        <v>1</v>
      </c>
      <c r="P264" s="337">
        <v>1</v>
      </c>
      <c r="Q264" s="338"/>
      <c r="R264" s="338" t="s">
        <v>14</v>
      </c>
      <c r="S264" s="338"/>
      <c r="T264" s="338"/>
      <c r="U264" s="338" t="s">
        <v>6397</v>
      </c>
      <c r="V264" s="337">
        <v>1</v>
      </c>
      <c r="W264" s="337">
        <v>1</v>
      </c>
      <c r="X264" s="338"/>
      <c r="Y264" s="338" t="s">
        <v>497</v>
      </c>
      <c r="Z264" s="338" t="s">
        <v>8016</v>
      </c>
      <c r="AA264" s="338" t="s">
        <v>6079</v>
      </c>
      <c r="AB264" s="338"/>
      <c r="AC264" s="338" t="s">
        <v>6208</v>
      </c>
      <c r="AD264" s="338"/>
      <c r="AF264" s="502" t="str">
        <f>Table15[[#This Row],[code2]]</f>
        <v>PHL</v>
      </c>
      <c r="AG264" s="502" t="str">
        <f>Table15[[#This Row],[code5]]</f>
        <v>PHLHD</v>
      </c>
    </row>
    <row r="265" spans="1:33">
      <c r="A265" s="338" t="s">
        <v>6072</v>
      </c>
      <c r="B265" s="338" t="s">
        <v>6073</v>
      </c>
      <c r="C265" s="337">
        <v>1</v>
      </c>
      <c r="D265" s="338" t="s">
        <v>6074</v>
      </c>
      <c r="E265" s="338" t="s">
        <v>6075</v>
      </c>
      <c r="F265" s="337">
        <v>1</v>
      </c>
      <c r="G265" s="337">
        <v>1</v>
      </c>
      <c r="H265" s="338" t="s">
        <v>6075</v>
      </c>
      <c r="I265" s="338" t="s">
        <v>9548</v>
      </c>
      <c r="J265" s="338" t="s">
        <v>9550</v>
      </c>
      <c r="K265" s="338" t="s">
        <v>6076</v>
      </c>
      <c r="L265" s="338"/>
      <c r="M265" s="338" t="s">
        <v>6395</v>
      </c>
      <c r="N265" s="338" t="s">
        <v>6396</v>
      </c>
      <c r="O265" s="337">
        <v>1</v>
      </c>
      <c r="P265" s="337">
        <v>1</v>
      </c>
      <c r="Q265" s="338"/>
      <c r="R265" s="338" t="s">
        <v>14</v>
      </c>
      <c r="S265" s="338"/>
      <c r="T265" s="338"/>
      <c r="U265" s="338" t="s">
        <v>6398</v>
      </c>
      <c r="V265" s="337">
        <v>1</v>
      </c>
      <c r="W265" s="337">
        <v>1</v>
      </c>
      <c r="X265" s="338"/>
      <c r="Y265" s="338" t="s">
        <v>6081</v>
      </c>
      <c r="Z265" s="338" t="s">
        <v>8016</v>
      </c>
      <c r="AA265" s="338" t="s">
        <v>6079</v>
      </c>
      <c r="AB265" s="338"/>
      <c r="AC265" s="338" t="s">
        <v>6208</v>
      </c>
      <c r="AD265" s="338"/>
      <c r="AF265" s="502" t="str">
        <f>Table15[[#This Row],[code2]]</f>
        <v>PHL</v>
      </c>
      <c r="AG265" s="502" t="str">
        <f>Table15[[#This Row],[code5]]</f>
        <v>PHLHD</v>
      </c>
    </row>
    <row r="266" spans="1:33">
      <c r="A266" s="338" t="s">
        <v>6072</v>
      </c>
      <c r="B266" s="338" t="s">
        <v>6073</v>
      </c>
      <c r="C266" s="337">
        <v>1</v>
      </c>
      <c r="D266" s="338" t="s">
        <v>6074</v>
      </c>
      <c r="E266" s="338" t="s">
        <v>6075</v>
      </c>
      <c r="F266" s="337">
        <v>1</v>
      </c>
      <c r="G266" s="337">
        <v>1</v>
      </c>
      <c r="H266" s="338" t="s">
        <v>6075</v>
      </c>
      <c r="I266" s="338" t="s">
        <v>9548</v>
      </c>
      <c r="J266" s="338" t="s">
        <v>9550</v>
      </c>
      <c r="K266" s="338" t="s">
        <v>6076</v>
      </c>
      <c r="L266" s="338"/>
      <c r="M266" s="338" t="s">
        <v>6395</v>
      </c>
      <c r="N266" s="338" t="s">
        <v>6396</v>
      </c>
      <c r="O266" s="337">
        <v>1</v>
      </c>
      <c r="P266" s="337">
        <v>1</v>
      </c>
      <c r="Q266" s="338"/>
      <c r="R266" s="338" t="s">
        <v>14</v>
      </c>
      <c r="S266" s="338"/>
      <c r="T266" s="338"/>
      <c r="U266" s="338" t="s">
        <v>6399</v>
      </c>
      <c r="V266" s="337">
        <v>1</v>
      </c>
      <c r="W266" s="337">
        <v>1</v>
      </c>
      <c r="X266" s="338"/>
      <c r="Y266" s="338" t="s">
        <v>493</v>
      </c>
      <c r="Z266" s="338" t="s">
        <v>6116</v>
      </c>
      <c r="AA266" s="338" t="s">
        <v>6079</v>
      </c>
      <c r="AB266" s="338"/>
      <c r="AC266" s="338" t="s">
        <v>6208</v>
      </c>
      <c r="AD266" s="338"/>
      <c r="AF266" s="502" t="str">
        <f>Table15[[#This Row],[code2]]</f>
        <v>PHL</v>
      </c>
      <c r="AG266" s="502" t="str">
        <f>Table15[[#This Row],[code5]]</f>
        <v>PHLHD</v>
      </c>
    </row>
    <row r="267" spans="1:33">
      <c r="A267" s="338" t="s">
        <v>6072</v>
      </c>
      <c r="B267" s="338" t="s">
        <v>6073</v>
      </c>
      <c r="C267" s="337">
        <v>1</v>
      </c>
      <c r="D267" s="338" t="s">
        <v>6074</v>
      </c>
      <c r="E267" s="338" t="s">
        <v>6075</v>
      </c>
      <c r="F267" s="337">
        <v>1</v>
      </c>
      <c r="G267" s="337">
        <v>1</v>
      </c>
      <c r="H267" s="338" t="s">
        <v>6075</v>
      </c>
      <c r="I267" s="338" t="s">
        <v>9548</v>
      </c>
      <c r="J267" s="338" t="s">
        <v>9550</v>
      </c>
      <c r="K267" s="338" t="s">
        <v>6076</v>
      </c>
      <c r="L267" s="338"/>
      <c r="M267" s="338" t="s">
        <v>6395</v>
      </c>
      <c r="N267" s="338" t="s">
        <v>6396</v>
      </c>
      <c r="O267" s="337">
        <v>1</v>
      </c>
      <c r="P267" s="337">
        <v>1</v>
      </c>
      <c r="Q267" s="338"/>
      <c r="R267" s="338" t="s">
        <v>14</v>
      </c>
      <c r="S267" s="338"/>
      <c r="T267" s="338"/>
      <c r="U267" s="338" t="s">
        <v>6400</v>
      </c>
      <c r="V267" s="337">
        <v>1</v>
      </c>
      <c r="W267" s="337">
        <v>1</v>
      </c>
      <c r="X267" s="338"/>
      <c r="Y267" s="338" t="s">
        <v>6085</v>
      </c>
      <c r="Z267" s="338" t="s">
        <v>8254</v>
      </c>
      <c r="AA267" s="338" t="s">
        <v>6079</v>
      </c>
      <c r="AB267" s="338"/>
      <c r="AC267" s="338" t="s">
        <v>6208</v>
      </c>
      <c r="AD267" s="338"/>
      <c r="AF267" s="502" t="str">
        <f>Table15[[#This Row],[code2]]</f>
        <v>PHL</v>
      </c>
      <c r="AG267" s="502" t="str">
        <f>Table15[[#This Row],[code5]]</f>
        <v>PHLHD</v>
      </c>
    </row>
    <row r="268" spans="1:33">
      <c r="A268" s="338" t="s">
        <v>6072</v>
      </c>
      <c r="B268" s="338" t="s">
        <v>6073</v>
      </c>
      <c r="C268" s="337">
        <v>1</v>
      </c>
      <c r="D268" s="338" t="s">
        <v>6074</v>
      </c>
      <c r="E268" s="338" t="s">
        <v>6075</v>
      </c>
      <c r="F268" s="337">
        <v>1</v>
      </c>
      <c r="G268" s="337">
        <v>1</v>
      </c>
      <c r="H268" s="338" t="s">
        <v>6075</v>
      </c>
      <c r="I268" s="338" t="s">
        <v>9548</v>
      </c>
      <c r="J268" s="338" t="s">
        <v>9550</v>
      </c>
      <c r="K268" s="338" t="s">
        <v>6076</v>
      </c>
      <c r="L268" s="338"/>
      <c r="M268" s="338" t="s">
        <v>6395</v>
      </c>
      <c r="N268" s="338" t="s">
        <v>6396</v>
      </c>
      <c r="O268" s="337">
        <v>1</v>
      </c>
      <c r="P268" s="337">
        <v>1</v>
      </c>
      <c r="Q268" s="338"/>
      <c r="R268" s="338" t="s">
        <v>14</v>
      </c>
      <c r="S268" s="338"/>
      <c r="T268" s="338"/>
      <c r="U268" s="392" t="s">
        <v>6401</v>
      </c>
      <c r="V268" s="337">
        <v>1</v>
      </c>
      <c r="W268" s="337">
        <v>1</v>
      </c>
      <c r="X268" s="338"/>
      <c r="Y268" s="338" t="s">
        <v>497</v>
      </c>
      <c r="Z268" s="338" t="s">
        <v>8346</v>
      </c>
      <c r="AA268" s="338" t="s">
        <v>6079</v>
      </c>
      <c r="AB268" s="338"/>
      <c r="AC268" s="338" t="s">
        <v>6213</v>
      </c>
      <c r="AD268" s="338"/>
      <c r="AF268" s="502" t="str">
        <f>Table15[[#This Row],[code2]]</f>
        <v>PHL</v>
      </c>
      <c r="AG268" s="502" t="str">
        <f>Table15[[#This Row],[code5]]</f>
        <v>PHLHD</v>
      </c>
    </row>
    <row r="269" spans="1:33">
      <c r="A269" s="338" t="s">
        <v>6072</v>
      </c>
      <c r="B269" s="338" t="s">
        <v>6073</v>
      </c>
      <c r="C269" s="337">
        <v>1</v>
      </c>
      <c r="D269" s="338" t="s">
        <v>6074</v>
      </c>
      <c r="E269" s="338" t="s">
        <v>6075</v>
      </c>
      <c r="F269" s="337">
        <v>1</v>
      </c>
      <c r="G269" s="337">
        <v>1</v>
      </c>
      <c r="H269" s="338" t="s">
        <v>6075</v>
      </c>
      <c r="I269" s="338" t="s">
        <v>9548</v>
      </c>
      <c r="J269" s="338" t="s">
        <v>9550</v>
      </c>
      <c r="K269" s="338" t="s">
        <v>6076</v>
      </c>
      <c r="L269" s="338"/>
      <c r="M269" s="338" t="s">
        <v>6395</v>
      </c>
      <c r="N269" s="338" t="s">
        <v>6396</v>
      </c>
      <c r="O269" s="337">
        <v>1</v>
      </c>
      <c r="P269" s="337">
        <v>1</v>
      </c>
      <c r="Q269" s="338"/>
      <c r="R269" s="338" t="s">
        <v>14</v>
      </c>
      <c r="S269" s="338"/>
      <c r="T269" s="338"/>
      <c r="U269" s="392" t="s">
        <v>6402</v>
      </c>
      <c r="V269" s="337">
        <v>1</v>
      </c>
      <c r="W269" s="337">
        <v>1</v>
      </c>
      <c r="X269" s="338"/>
      <c r="Y269" s="338" t="s">
        <v>6081</v>
      </c>
      <c r="Z269" s="338" t="s">
        <v>8346</v>
      </c>
      <c r="AA269" s="338" t="s">
        <v>6079</v>
      </c>
      <c r="AB269" s="338"/>
      <c r="AC269" s="338" t="s">
        <v>6213</v>
      </c>
      <c r="AD269" s="338"/>
      <c r="AF269" s="502" t="str">
        <f>Table15[[#This Row],[code2]]</f>
        <v>PHL</v>
      </c>
      <c r="AG269" s="502" t="str">
        <f>Table15[[#This Row],[code5]]</f>
        <v>PHLHD</v>
      </c>
    </row>
    <row r="270" spans="1:33">
      <c r="A270" s="338" t="s">
        <v>6072</v>
      </c>
      <c r="B270" s="338" t="s">
        <v>6073</v>
      </c>
      <c r="C270" s="337">
        <v>1</v>
      </c>
      <c r="D270" s="338" t="s">
        <v>6074</v>
      </c>
      <c r="E270" s="338" t="s">
        <v>6075</v>
      </c>
      <c r="F270" s="337">
        <v>1</v>
      </c>
      <c r="G270" s="337">
        <v>1</v>
      </c>
      <c r="H270" s="338" t="s">
        <v>6075</v>
      </c>
      <c r="I270" s="338" t="s">
        <v>9548</v>
      </c>
      <c r="J270" s="338" t="s">
        <v>9550</v>
      </c>
      <c r="K270" s="338" t="s">
        <v>6076</v>
      </c>
      <c r="L270" s="338"/>
      <c r="M270" s="338" t="s">
        <v>6395</v>
      </c>
      <c r="N270" s="338" t="s">
        <v>6396</v>
      </c>
      <c r="O270" s="337">
        <v>1</v>
      </c>
      <c r="P270" s="337">
        <v>1</v>
      </c>
      <c r="Q270" s="338"/>
      <c r="R270" s="338" t="s">
        <v>14</v>
      </c>
      <c r="S270" s="338"/>
      <c r="T270" s="338"/>
      <c r="U270" s="338" t="s">
        <v>6403</v>
      </c>
      <c r="V270" s="337">
        <v>1</v>
      </c>
      <c r="W270" s="337">
        <v>1</v>
      </c>
      <c r="X270" s="338"/>
      <c r="Y270" s="338" t="s">
        <v>493</v>
      </c>
      <c r="Z270" s="338" t="s">
        <v>9140</v>
      </c>
      <c r="AA270" s="338" t="s">
        <v>6079</v>
      </c>
      <c r="AB270" s="338"/>
      <c r="AC270" s="338" t="s">
        <v>6213</v>
      </c>
      <c r="AD270" s="338"/>
      <c r="AF270" s="502" t="str">
        <f>Table15[[#This Row],[code2]]</f>
        <v>PHL</v>
      </c>
      <c r="AG270" s="502" t="str">
        <f>Table15[[#This Row],[code5]]</f>
        <v>PHLHD</v>
      </c>
    </row>
    <row r="271" spans="1:33">
      <c r="A271" s="338" t="s">
        <v>6072</v>
      </c>
      <c r="B271" s="338" t="s">
        <v>6073</v>
      </c>
      <c r="C271" s="337">
        <v>1</v>
      </c>
      <c r="D271" s="338" t="s">
        <v>6074</v>
      </c>
      <c r="E271" s="338" t="s">
        <v>6075</v>
      </c>
      <c r="F271" s="337">
        <v>1</v>
      </c>
      <c r="G271" s="337">
        <v>1</v>
      </c>
      <c r="H271" s="338" t="s">
        <v>6075</v>
      </c>
      <c r="I271" s="338" t="s">
        <v>9548</v>
      </c>
      <c r="J271" s="338" t="s">
        <v>9550</v>
      </c>
      <c r="K271" s="338" t="s">
        <v>6076</v>
      </c>
      <c r="L271" s="338"/>
      <c r="M271" s="338" t="s">
        <v>6395</v>
      </c>
      <c r="N271" s="338" t="s">
        <v>6396</v>
      </c>
      <c r="O271" s="337">
        <v>1</v>
      </c>
      <c r="P271" s="337">
        <v>1</v>
      </c>
      <c r="Q271" s="338"/>
      <c r="R271" s="338" t="s">
        <v>14</v>
      </c>
      <c r="S271" s="338"/>
      <c r="T271" s="338"/>
      <c r="U271" s="338" t="s">
        <v>6404</v>
      </c>
      <c r="V271" s="337">
        <v>1</v>
      </c>
      <c r="W271" s="337">
        <v>1</v>
      </c>
      <c r="X271" s="338"/>
      <c r="Y271" s="338" t="s">
        <v>6085</v>
      </c>
      <c r="Z271" s="338" t="s">
        <v>6826</v>
      </c>
      <c r="AA271" s="338" t="s">
        <v>6079</v>
      </c>
      <c r="AB271" s="338"/>
      <c r="AC271" s="338" t="s">
        <v>6213</v>
      </c>
      <c r="AD271" s="338"/>
      <c r="AF271" s="502" t="str">
        <f>Table15[[#This Row],[code2]]</f>
        <v>PHL</v>
      </c>
      <c r="AG271" s="502" t="str">
        <f>Table15[[#This Row],[code5]]</f>
        <v>PHLHD</v>
      </c>
    </row>
    <row r="272" spans="1:33">
      <c r="A272" s="338" t="s">
        <v>6072</v>
      </c>
      <c r="B272" s="338" t="s">
        <v>6073</v>
      </c>
      <c r="C272" s="337">
        <v>1</v>
      </c>
      <c r="D272" s="338" t="s">
        <v>6074</v>
      </c>
      <c r="E272" s="338" t="s">
        <v>6075</v>
      </c>
      <c r="F272" s="337">
        <v>1</v>
      </c>
      <c r="G272" s="337">
        <v>1</v>
      </c>
      <c r="H272" s="338" t="s">
        <v>6075</v>
      </c>
      <c r="I272" s="338" t="s">
        <v>9548</v>
      </c>
      <c r="J272" s="338" t="s">
        <v>9550</v>
      </c>
      <c r="K272" s="338" t="s">
        <v>6076</v>
      </c>
      <c r="L272" s="338"/>
      <c r="M272" s="338" t="s">
        <v>6405</v>
      </c>
      <c r="N272" s="338" t="s">
        <v>6406</v>
      </c>
      <c r="O272" s="337">
        <v>1</v>
      </c>
      <c r="P272" s="337">
        <v>1</v>
      </c>
      <c r="Q272" s="338"/>
      <c r="R272" s="338" t="s">
        <v>6088</v>
      </c>
      <c r="S272" s="338"/>
      <c r="T272" s="338"/>
      <c r="U272" s="338" t="s">
        <v>6407</v>
      </c>
      <c r="V272" s="337">
        <v>1</v>
      </c>
      <c r="W272" s="337">
        <v>1</v>
      </c>
      <c r="X272" s="338"/>
      <c r="Y272" s="338" t="s">
        <v>497</v>
      </c>
      <c r="Z272" s="338" t="s">
        <v>8019</v>
      </c>
      <c r="AA272" s="338" t="s">
        <v>6079</v>
      </c>
      <c r="AB272" s="338"/>
      <c r="AC272" s="338" t="s">
        <v>6408</v>
      </c>
      <c r="AD272" s="338"/>
      <c r="AF272" s="502" t="str">
        <f>Table15[[#This Row],[code2]]</f>
        <v>PHL</v>
      </c>
      <c r="AG272" s="502" t="str">
        <f>Table15[[#This Row],[code5]]</f>
        <v>HOOHLSIR</v>
      </c>
    </row>
    <row r="273" spans="1:33">
      <c r="A273" s="338" t="s">
        <v>6072</v>
      </c>
      <c r="B273" s="338" t="s">
        <v>6073</v>
      </c>
      <c r="C273" s="337">
        <v>1</v>
      </c>
      <c r="D273" s="338" t="s">
        <v>6074</v>
      </c>
      <c r="E273" s="338" t="s">
        <v>6075</v>
      </c>
      <c r="F273" s="337">
        <v>1</v>
      </c>
      <c r="G273" s="337">
        <v>1</v>
      </c>
      <c r="H273" s="338" t="s">
        <v>6075</v>
      </c>
      <c r="I273" s="338" t="s">
        <v>9548</v>
      </c>
      <c r="J273" s="338" t="s">
        <v>9550</v>
      </c>
      <c r="K273" s="338" t="s">
        <v>6076</v>
      </c>
      <c r="L273" s="338"/>
      <c r="M273" s="338" t="s">
        <v>6405</v>
      </c>
      <c r="N273" s="338" t="s">
        <v>6406</v>
      </c>
      <c r="O273" s="337">
        <v>1</v>
      </c>
      <c r="P273" s="337">
        <v>1</v>
      </c>
      <c r="Q273" s="338"/>
      <c r="R273" s="338" t="s">
        <v>6088</v>
      </c>
      <c r="S273" s="338"/>
      <c r="T273" s="338"/>
      <c r="U273" s="338" t="s">
        <v>6409</v>
      </c>
      <c r="V273" s="337">
        <v>1</v>
      </c>
      <c r="W273" s="337">
        <v>1</v>
      </c>
      <c r="X273" s="338"/>
      <c r="Y273" s="338" t="s">
        <v>6081</v>
      </c>
      <c r="Z273" s="338" t="s">
        <v>8279</v>
      </c>
      <c r="AA273" s="338" t="s">
        <v>6079</v>
      </c>
      <c r="AB273" s="338"/>
      <c r="AC273" s="338" t="s">
        <v>6408</v>
      </c>
      <c r="AD273" s="338"/>
      <c r="AF273" s="502" t="str">
        <f>Table15[[#This Row],[code2]]</f>
        <v>PHL</v>
      </c>
      <c r="AG273" s="502" t="str">
        <f>Table15[[#This Row],[code5]]</f>
        <v>HOOHLSIR</v>
      </c>
    </row>
    <row r="274" spans="1:33">
      <c r="A274" s="338" t="s">
        <v>6072</v>
      </c>
      <c r="B274" s="338" t="s">
        <v>6073</v>
      </c>
      <c r="C274" s="337">
        <v>1</v>
      </c>
      <c r="D274" s="338" t="s">
        <v>6074</v>
      </c>
      <c r="E274" s="338" t="s">
        <v>6075</v>
      </c>
      <c r="F274" s="337">
        <v>1</v>
      </c>
      <c r="G274" s="337">
        <v>1</v>
      </c>
      <c r="H274" s="338" t="s">
        <v>6075</v>
      </c>
      <c r="I274" s="338" t="s">
        <v>9548</v>
      </c>
      <c r="J274" s="338" t="s">
        <v>9550</v>
      </c>
      <c r="K274" s="338" t="s">
        <v>6076</v>
      </c>
      <c r="L274" s="338"/>
      <c r="M274" s="338" t="s">
        <v>6405</v>
      </c>
      <c r="N274" s="338" t="s">
        <v>6406</v>
      </c>
      <c r="O274" s="337">
        <v>1</v>
      </c>
      <c r="P274" s="337">
        <v>1</v>
      </c>
      <c r="Q274" s="338"/>
      <c r="R274" s="338" t="s">
        <v>6088</v>
      </c>
      <c r="S274" s="338"/>
      <c r="T274" s="338"/>
      <c r="U274" s="338" t="s">
        <v>6410</v>
      </c>
      <c r="V274" s="337">
        <v>1</v>
      </c>
      <c r="W274" s="337">
        <v>1</v>
      </c>
      <c r="X274" s="338"/>
      <c r="Y274" s="338" t="s">
        <v>493</v>
      </c>
      <c r="Z274" s="338" t="s">
        <v>7916</v>
      </c>
      <c r="AA274" s="338" t="s">
        <v>6079</v>
      </c>
      <c r="AB274" s="338"/>
      <c r="AC274" s="338" t="s">
        <v>6408</v>
      </c>
      <c r="AD274" s="338"/>
      <c r="AF274" s="502" t="str">
        <f>Table15[[#This Row],[code2]]</f>
        <v>PHL</v>
      </c>
      <c r="AG274" s="502" t="str">
        <f>Table15[[#This Row],[code5]]</f>
        <v>HOOHLSIR</v>
      </c>
    </row>
    <row r="275" spans="1:33">
      <c r="A275" s="338" t="s">
        <v>6072</v>
      </c>
      <c r="B275" s="338" t="s">
        <v>6073</v>
      </c>
      <c r="C275" s="337">
        <v>1</v>
      </c>
      <c r="D275" s="338" t="s">
        <v>6074</v>
      </c>
      <c r="E275" s="338" t="s">
        <v>6075</v>
      </c>
      <c r="F275" s="337">
        <v>1</v>
      </c>
      <c r="G275" s="337">
        <v>1</v>
      </c>
      <c r="H275" s="338" t="s">
        <v>6075</v>
      </c>
      <c r="I275" s="338" t="s">
        <v>9548</v>
      </c>
      <c r="J275" s="338" t="s">
        <v>9550</v>
      </c>
      <c r="K275" s="338" t="s">
        <v>6076</v>
      </c>
      <c r="L275" s="338"/>
      <c r="M275" s="338" t="s">
        <v>6405</v>
      </c>
      <c r="N275" s="338" t="s">
        <v>6406</v>
      </c>
      <c r="O275" s="337">
        <v>1</v>
      </c>
      <c r="P275" s="337">
        <v>1</v>
      </c>
      <c r="Q275" s="338"/>
      <c r="R275" s="338" t="s">
        <v>6088</v>
      </c>
      <c r="S275" s="338"/>
      <c r="T275" s="338"/>
      <c r="U275" s="338" t="s">
        <v>6411</v>
      </c>
      <c r="V275" s="337">
        <v>1</v>
      </c>
      <c r="W275" s="337">
        <v>1</v>
      </c>
      <c r="X275" s="338"/>
      <c r="Y275" s="338" t="s">
        <v>6085</v>
      </c>
      <c r="Z275" s="338" t="s">
        <v>9142</v>
      </c>
      <c r="AA275" s="338" t="s">
        <v>6079</v>
      </c>
      <c r="AB275" s="338"/>
      <c r="AC275" s="338" t="s">
        <v>6408</v>
      </c>
      <c r="AD275" s="338"/>
      <c r="AF275" s="502" t="str">
        <f>Table15[[#This Row],[code2]]</f>
        <v>PHL</v>
      </c>
      <c r="AG275" s="502" t="str">
        <f>Table15[[#This Row],[code5]]</f>
        <v>HOOHLSIR</v>
      </c>
    </row>
    <row r="276" spans="1:33">
      <c r="A276" s="338" t="s">
        <v>6072</v>
      </c>
      <c r="B276" s="338" t="s">
        <v>6073</v>
      </c>
      <c r="C276" s="337">
        <v>1</v>
      </c>
      <c r="D276" s="338" t="s">
        <v>6074</v>
      </c>
      <c r="E276" s="338" t="s">
        <v>6075</v>
      </c>
      <c r="F276" s="337">
        <v>1</v>
      </c>
      <c r="G276" s="337">
        <v>1</v>
      </c>
      <c r="H276" s="338" t="s">
        <v>6075</v>
      </c>
      <c r="I276" s="338" t="s">
        <v>9548</v>
      </c>
      <c r="J276" s="338" t="s">
        <v>9550</v>
      </c>
      <c r="K276" s="338" t="s">
        <v>6076</v>
      </c>
      <c r="L276" s="338"/>
      <c r="M276" s="338" t="s">
        <v>6405</v>
      </c>
      <c r="N276" s="338" t="s">
        <v>6406</v>
      </c>
      <c r="O276" s="337">
        <v>1</v>
      </c>
      <c r="P276" s="337">
        <v>1</v>
      </c>
      <c r="Q276" s="338"/>
      <c r="R276" s="338" t="s">
        <v>6088</v>
      </c>
      <c r="S276" s="338"/>
      <c r="T276" s="338"/>
      <c r="U276" s="338" t="s">
        <v>6412</v>
      </c>
      <c r="V276" s="337">
        <v>1</v>
      </c>
      <c r="W276" s="337">
        <v>1</v>
      </c>
      <c r="X276" s="338"/>
      <c r="Y276" s="338" t="s">
        <v>497</v>
      </c>
      <c r="Z276" s="338" t="s">
        <v>8027</v>
      </c>
      <c r="AA276" s="338" t="s">
        <v>6079</v>
      </c>
      <c r="AB276" s="338"/>
      <c r="AC276" s="338" t="s">
        <v>6413</v>
      </c>
      <c r="AD276" s="338"/>
      <c r="AF276" s="502" t="str">
        <f>Table15[[#This Row],[code2]]</f>
        <v>PHL</v>
      </c>
      <c r="AG276" s="502" t="str">
        <f>Table15[[#This Row],[code5]]</f>
        <v>HOOHLSIR</v>
      </c>
    </row>
    <row r="277" spans="1:33">
      <c r="A277" s="338" t="s">
        <v>6072</v>
      </c>
      <c r="B277" s="338" t="s">
        <v>6073</v>
      </c>
      <c r="C277" s="337">
        <v>1</v>
      </c>
      <c r="D277" s="338" t="s">
        <v>6074</v>
      </c>
      <c r="E277" s="338" t="s">
        <v>6075</v>
      </c>
      <c r="F277" s="337">
        <v>1</v>
      </c>
      <c r="G277" s="337">
        <v>1</v>
      </c>
      <c r="H277" s="338" t="s">
        <v>6075</v>
      </c>
      <c r="I277" s="338" t="s">
        <v>9548</v>
      </c>
      <c r="J277" s="338" t="s">
        <v>9550</v>
      </c>
      <c r="K277" s="338" t="s">
        <v>6076</v>
      </c>
      <c r="L277" s="338"/>
      <c r="M277" s="338" t="s">
        <v>6405</v>
      </c>
      <c r="N277" s="338" t="s">
        <v>6406</v>
      </c>
      <c r="O277" s="337">
        <v>1</v>
      </c>
      <c r="P277" s="337">
        <v>1</v>
      </c>
      <c r="Q277" s="338"/>
      <c r="R277" s="338" t="s">
        <v>6088</v>
      </c>
      <c r="S277" s="338"/>
      <c r="T277" s="338"/>
      <c r="U277" s="392" t="s">
        <v>6414</v>
      </c>
      <c r="V277" s="337">
        <v>1</v>
      </c>
      <c r="W277" s="337">
        <v>1</v>
      </c>
      <c r="X277" s="338"/>
      <c r="Y277" s="338" t="s">
        <v>6081</v>
      </c>
      <c r="Z277" s="338" t="s">
        <v>8024</v>
      </c>
      <c r="AA277" s="338" t="s">
        <v>6079</v>
      </c>
      <c r="AB277" s="338"/>
      <c r="AC277" s="338" t="s">
        <v>6413</v>
      </c>
      <c r="AD277" s="338"/>
      <c r="AF277" s="502" t="str">
        <f>Table15[[#This Row],[code2]]</f>
        <v>PHL</v>
      </c>
      <c r="AG277" s="502" t="str">
        <f>Table15[[#This Row],[code5]]</f>
        <v>HOOHLSIR</v>
      </c>
    </row>
    <row r="278" spans="1:33">
      <c r="A278" s="338" t="s">
        <v>6072</v>
      </c>
      <c r="B278" s="338" t="s">
        <v>6073</v>
      </c>
      <c r="C278" s="337">
        <v>1</v>
      </c>
      <c r="D278" s="338" t="s">
        <v>6074</v>
      </c>
      <c r="E278" s="338" t="s">
        <v>6075</v>
      </c>
      <c r="F278" s="337">
        <v>1</v>
      </c>
      <c r="G278" s="337">
        <v>1</v>
      </c>
      <c r="H278" s="338" t="s">
        <v>6075</v>
      </c>
      <c r="I278" s="338" t="s">
        <v>9548</v>
      </c>
      <c r="J278" s="338" t="s">
        <v>9550</v>
      </c>
      <c r="K278" s="338" t="s">
        <v>6076</v>
      </c>
      <c r="L278" s="338"/>
      <c r="M278" s="338" t="s">
        <v>6405</v>
      </c>
      <c r="N278" s="338" t="s">
        <v>6406</v>
      </c>
      <c r="O278" s="337">
        <v>1</v>
      </c>
      <c r="P278" s="337">
        <v>1</v>
      </c>
      <c r="Q278" s="338"/>
      <c r="R278" s="338" t="s">
        <v>6088</v>
      </c>
      <c r="S278" s="338"/>
      <c r="T278" s="338"/>
      <c r="U278" s="338" t="s">
        <v>6415</v>
      </c>
      <c r="V278" s="337">
        <v>1</v>
      </c>
      <c r="W278" s="337">
        <v>1</v>
      </c>
      <c r="X278" s="338"/>
      <c r="Y278" s="338" t="s">
        <v>493</v>
      </c>
      <c r="Z278" s="338" t="s">
        <v>7972</v>
      </c>
      <c r="AA278" s="338" t="s">
        <v>6079</v>
      </c>
      <c r="AB278" s="338"/>
      <c r="AC278" s="338" t="s">
        <v>6413</v>
      </c>
      <c r="AD278" s="338"/>
      <c r="AF278" s="502" t="str">
        <f>Table15[[#This Row],[code2]]</f>
        <v>PHL</v>
      </c>
      <c r="AG278" s="502" t="str">
        <f>Table15[[#This Row],[code5]]</f>
        <v>HOOHLSIR</v>
      </c>
    </row>
    <row r="279" spans="1:33">
      <c r="A279" s="338" t="s">
        <v>6072</v>
      </c>
      <c r="B279" s="338" t="s">
        <v>6073</v>
      </c>
      <c r="C279" s="337">
        <v>1</v>
      </c>
      <c r="D279" s="338" t="s">
        <v>6074</v>
      </c>
      <c r="E279" s="338" t="s">
        <v>6075</v>
      </c>
      <c r="F279" s="337">
        <v>1</v>
      </c>
      <c r="G279" s="337">
        <v>1</v>
      </c>
      <c r="H279" s="338" t="s">
        <v>6075</v>
      </c>
      <c r="I279" s="338" t="s">
        <v>9548</v>
      </c>
      <c r="J279" s="338" t="s">
        <v>9550</v>
      </c>
      <c r="K279" s="338" t="s">
        <v>6076</v>
      </c>
      <c r="L279" s="338"/>
      <c r="M279" s="338" t="s">
        <v>6405</v>
      </c>
      <c r="N279" s="338" t="s">
        <v>6406</v>
      </c>
      <c r="O279" s="337">
        <v>1</v>
      </c>
      <c r="P279" s="337">
        <v>1</v>
      </c>
      <c r="Q279" s="338"/>
      <c r="R279" s="338" t="s">
        <v>6088</v>
      </c>
      <c r="S279" s="338"/>
      <c r="T279" s="338"/>
      <c r="U279" s="338" t="s">
        <v>6416</v>
      </c>
      <c r="V279" s="337">
        <v>1</v>
      </c>
      <c r="W279" s="337">
        <v>1</v>
      </c>
      <c r="X279" s="338"/>
      <c r="Y279" s="338" t="s">
        <v>6085</v>
      </c>
      <c r="Z279" s="338" t="s">
        <v>9090</v>
      </c>
      <c r="AA279" s="338" t="s">
        <v>6079</v>
      </c>
      <c r="AB279" s="338"/>
      <c r="AC279" s="338" t="s">
        <v>6413</v>
      </c>
      <c r="AD279" s="338"/>
      <c r="AF279" s="502" t="str">
        <f>Table15[[#This Row],[code2]]</f>
        <v>PHL</v>
      </c>
      <c r="AG279" s="502" t="str">
        <f>Table15[[#This Row],[code5]]</f>
        <v>HOOHLSIR</v>
      </c>
    </row>
    <row r="280" spans="1:33">
      <c r="A280" s="338" t="s">
        <v>6072</v>
      </c>
      <c r="B280" s="338" t="s">
        <v>6073</v>
      </c>
      <c r="C280" s="337">
        <v>1</v>
      </c>
      <c r="D280" s="338" t="s">
        <v>6074</v>
      </c>
      <c r="E280" s="338" t="s">
        <v>6075</v>
      </c>
      <c r="F280" s="337">
        <v>1</v>
      </c>
      <c r="G280" s="337">
        <v>1</v>
      </c>
      <c r="H280" s="338" t="s">
        <v>6075</v>
      </c>
      <c r="I280" s="338" t="s">
        <v>9548</v>
      </c>
      <c r="J280" s="338" t="s">
        <v>9550</v>
      </c>
      <c r="K280" s="338" t="s">
        <v>6076</v>
      </c>
      <c r="L280" s="338"/>
      <c r="M280" s="338" t="s">
        <v>6405</v>
      </c>
      <c r="N280" s="338" t="s">
        <v>6406</v>
      </c>
      <c r="O280" s="337">
        <v>1</v>
      </c>
      <c r="P280" s="337">
        <v>1</v>
      </c>
      <c r="Q280" s="338"/>
      <c r="R280" s="338" t="s">
        <v>6088</v>
      </c>
      <c r="S280" s="338"/>
      <c r="T280" s="338"/>
      <c r="U280" s="338" t="s">
        <v>6417</v>
      </c>
      <c r="V280" s="337">
        <v>1</v>
      </c>
      <c r="W280" s="337">
        <v>1</v>
      </c>
      <c r="X280" s="338"/>
      <c r="Y280" s="338" t="s">
        <v>497</v>
      </c>
      <c r="Z280" s="338" t="s">
        <v>8027</v>
      </c>
      <c r="AA280" s="338" t="s">
        <v>6079</v>
      </c>
      <c r="AB280" s="338"/>
      <c r="AC280" s="338" t="s">
        <v>6418</v>
      </c>
      <c r="AD280" s="338"/>
      <c r="AF280" s="502" t="str">
        <f>Table15[[#This Row],[code2]]</f>
        <v>PHL</v>
      </c>
      <c r="AG280" s="502" t="str">
        <f>Table15[[#This Row],[code5]]</f>
        <v>HOOHLSIR</v>
      </c>
    </row>
    <row r="281" spans="1:33">
      <c r="A281" s="338" t="s">
        <v>6072</v>
      </c>
      <c r="B281" s="338" t="s">
        <v>6073</v>
      </c>
      <c r="C281" s="337">
        <v>1</v>
      </c>
      <c r="D281" s="338" t="s">
        <v>6074</v>
      </c>
      <c r="E281" s="338" t="s">
        <v>6075</v>
      </c>
      <c r="F281" s="337">
        <v>1</v>
      </c>
      <c r="G281" s="337">
        <v>1</v>
      </c>
      <c r="H281" s="338" t="s">
        <v>6075</v>
      </c>
      <c r="I281" s="338" t="s">
        <v>9548</v>
      </c>
      <c r="J281" s="338" t="s">
        <v>9550</v>
      </c>
      <c r="K281" s="338" t="s">
        <v>6076</v>
      </c>
      <c r="L281" s="338"/>
      <c r="M281" s="338" t="s">
        <v>6405</v>
      </c>
      <c r="N281" s="338" t="s">
        <v>6406</v>
      </c>
      <c r="O281" s="337">
        <v>1</v>
      </c>
      <c r="P281" s="337">
        <v>1</v>
      </c>
      <c r="Q281" s="338"/>
      <c r="R281" s="338" t="s">
        <v>6088</v>
      </c>
      <c r="S281" s="338"/>
      <c r="T281" s="338"/>
      <c r="U281" s="338" t="s">
        <v>6419</v>
      </c>
      <c r="V281" s="337">
        <v>1</v>
      </c>
      <c r="W281" s="337">
        <v>1</v>
      </c>
      <c r="X281" s="338"/>
      <c r="Y281" s="338" t="s">
        <v>6081</v>
      </c>
      <c r="Z281" s="338" t="s">
        <v>8283</v>
      </c>
      <c r="AA281" s="338" t="s">
        <v>6079</v>
      </c>
      <c r="AB281" s="338"/>
      <c r="AC281" s="338" t="s">
        <v>6418</v>
      </c>
      <c r="AD281" s="338"/>
      <c r="AF281" s="502" t="str">
        <f>Table15[[#This Row],[code2]]</f>
        <v>PHL</v>
      </c>
      <c r="AG281" s="502" t="str">
        <f>Table15[[#This Row],[code5]]</f>
        <v>HOOHLSIR</v>
      </c>
    </row>
    <row r="282" spans="1:33">
      <c r="A282" s="338" t="s">
        <v>6072</v>
      </c>
      <c r="B282" s="338" t="s">
        <v>6073</v>
      </c>
      <c r="C282" s="337">
        <v>1</v>
      </c>
      <c r="D282" s="338" t="s">
        <v>6074</v>
      </c>
      <c r="E282" s="338" t="s">
        <v>6075</v>
      </c>
      <c r="F282" s="337">
        <v>1</v>
      </c>
      <c r="G282" s="337">
        <v>1</v>
      </c>
      <c r="H282" s="338" t="s">
        <v>6075</v>
      </c>
      <c r="I282" s="338" t="s">
        <v>9548</v>
      </c>
      <c r="J282" s="338" t="s">
        <v>9550</v>
      </c>
      <c r="K282" s="338" t="s">
        <v>6076</v>
      </c>
      <c r="L282" s="338"/>
      <c r="M282" s="338" t="s">
        <v>6405</v>
      </c>
      <c r="N282" s="338" t="s">
        <v>6406</v>
      </c>
      <c r="O282" s="337">
        <v>1</v>
      </c>
      <c r="P282" s="337">
        <v>1</v>
      </c>
      <c r="Q282" s="338"/>
      <c r="R282" s="338" t="s">
        <v>6088</v>
      </c>
      <c r="S282" s="338"/>
      <c r="T282" s="338"/>
      <c r="U282" s="338" t="s">
        <v>6420</v>
      </c>
      <c r="V282" s="337">
        <v>1</v>
      </c>
      <c r="W282" s="337">
        <v>1</v>
      </c>
      <c r="X282" s="338"/>
      <c r="Y282" s="338" t="s">
        <v>493</v>
      </c>
      <c r="Z282" s="338" t="s">
        <v>7972</v>
      </c>
      <c r="AA282" s="338" t="s">
        <v>6079</v>
      </c>
      <c r="AB282" s="338"/>
      <c r="AC282" s="338" t="s">
        <v>6418</v>
      </c>
      <c r="AD282" s="338"/>
      <c r="AF282" s="502" t="str">
        <f>Table15[[#This Row],[code2]]</f>
        <v>PHL</v>
      </c>
      <c r="AG282" s="502" t="str">
        <f>Table15[[#This Row],[code5]]</f>
        <v>HOOHLSIR</v>
      </c>
    </row>
    <row r="283" spans="1:33">
      <c r="A283" s="338" t="s">
        <v>6072</v>
      </c>
      <c r="B283" s="338" t="s">
        <v>6073</v>
      </c>
      <c r="C283" s="337">
        <v>1</v>
      </c>
      <c r="D283" s="338" t="s">
        <v>6074</v>
      </c>
      <c r="E283" s="338" t="s">
        <v>6075</v>
      </c>
      <c r="F283" s="337">
        <v>1</v>
      </c>
      <c r="G283" s="337">
        <v>1</v>
      </c>
      <c r="H283" s="338" t="s">
        <v>6075</v>
      </c>
      <c r="I283" s="338" t="s">
        <v>9548</v>
      </c>
      <c r="J283" s="338" t="s">
        <v>9550</v>
      </c>
      <c r="K283" s="338" t="s">
        <v>6076</v>
      </c>
      <c r="L283" s="338"/>
      <c r="M283" s="338" t="s">
        <v>6405</v>
      </c>
      <c r="N283" s="338" t="s">
        <v>6406</v>
      </c>
      <c r="O283" s="337">
        <v>1</v>
      </c>
      <c r="P283" s="337">
        <v>1</v>
      </c>
      <c r="Q283" s="338"/>
      <c r="R283" s="338" t="s">
        <v>6088</v>
      </c>
      <c r="S283" s="338"/>
      <c r="T283" s="338"/>
      <c r="U283" s="338" t="s">
        <v>6421</v>
      </c>
      <c r="V283" s="337">
        <v>1</v>
      </c>
      <c r="W283" s="337">
        <v>1</v>
      </c>
      <c r="X283" s="338"/>
      <c r="Y283" s="338" t="s">
        <v>6085</v>
      </c>
      <c r="Z283" s="338" t="s">
        <v>9143</v>
      </c>
      <c r="AA283" s="338" t="s">
        <v>6079</v>
      </c>
      <c r="AB283" s="338"/>
      <c r="AC283" s="338" t="s">
        <v>6418</v>
      </c>
      <c r="AD283" s="338"/>
      <c r="AF283" s="502" t="str">
        <f>Table15[[#This Row],[code2]]</f>
        <v>PHL</v>
      </c>
      <c r="AG283" s="502" t="str">
        <f>Table15[[#This Row],[code5]]</f>
        <v>HOOHLSIR</v>
      </c>
    </row>
    <row r="284" spans="1:33">
      <c r="A284" s="338" t="s">
        <v>6072</v>
      </c>
      <c r="B284" s="338" t="s">
        <v>6073</v>
      </c>
      <c r="C284" s="337">
        <v>1</v>
      </c>
      <c r="D284" s="338" t="s">
        <v>6074</v>
      </c>
      <c r="E284" s="338" t="s">
        <v>6075</v>
      </c>
      <c r="F284" s="337">
        <v>1</v>
      </c>
      <c r="G284" s="337">
        <v>1</v>
      </c>
      <c r="H284" s="338" t="s">
        <v>6075</v>
      </c>
      <c r="I284" s="338" t="s">
        <v>9548</v>
      </c>
      <c r="J284" s="338" t="s">
        <v>9550</v>
      </c>
      <c r="K284" s="338" t="s">
        <v>6076</v>
      </c>
      <c r="L284" s="338"/>
      <c r="M284" s="338" t="s">
        <v>6405</v>
      </c>
      <c r="N284" s="338" t="s">
        <v>6406</v>
      </c>
      <c r="O284" s="337">
        <v>1</v>
      </c>
      <c r="P284" s="337">
        <v>1</v>
      </c>
      <c r="Q284" s="338"/>
      <c r="R284" s="338" t="s">
        <v>6088</v>
      </c>
      <c r="S284" s="338"/>
      <c r="T284" s="338"/>
      <c r="U284" s="338" t="s">
        <v>6422</v>
      </c>
      <c r="V284" s="337">
        <v>1</v>
      </c>
      <c r="W284" s="337">
        <v>1</v>
      </c>
      <c r="X284" s="338"/>
      <c r="Y284" s="338" t="s">
        <v>497</v>
      </c>
      <c r="Z284" s="338" t="s">
        <v>8019</v>
      </c>
      <c r="AA284" s="338" t="s">
        <v>6079</v>
      </c>
      <c r="AB284" s="338"/>
      <c r="AC284" s="338" t="s">
        <v>6423</v>
      </c>
      <c r="AD284" s="338"/>
      <c r="AF284" s="502" t="str">
        <f>Table15[[#This Row],[code2]]</f>
        <v>PHL</v>
      </c>
      <c r="AG284" s="502" t="str">
        <f>Table15[[#This Row],[code5]]</f>
        <v>HOOHLSIR</v>
      </c>
    </row>
    <row r="285" spans="1:33">
      <c r="A285" s="338" t="s">
        <v>6072</v>
      </c>
      <c r="B285" s="338" t="s">
        <v>6073</v>
      </c>
      <c r="C285" s="337">
        <v>1</v>
      </c>
      <c r="D285" s="338" t="s">
        <v>6074</v>
      </c>
      <c r="E285" s="338" t="s">
        <v>6075</v>
      </c>
      <c r="F285" s="337">
        <v>1</v>
      </c>
      <c r="G285" s="337">
        <v>1</v>
      </c>
      <c r="H285" s="338" t="s">
        <v>6075</v>
      </c>
      <c r="I285" s="338" t="s">
        <v>9548</v>
      </c>
      <c r="J285" s="338" t="s">
        <v>9550</v>
      </c>
      <c r="K285" s="338" t="s">
        <v>6076</v>
      </c>
      <c r="L285" s="338"/>
      <c r="M285" s="338" t="s">
        <v>6405</v>
      </c>
      <c r="N285" s="338" t="s">
        <v>6406</v>
      </c>
      <c r="O285" s="337">
        <v>1</v>
      </c>
      <c r="P285" s="337">
        <v>1</v>
      </c>
      <c r="Q285" s="338"/>
      <c r="R285" s="338" t="s">
        <v>6088</v>
      </c>
      <c r="S285" s="338"/>
      <c r="T285" s="338"/>
      <c r="U285" s="338" t="s">
        <v>6424</v>
      </c>
      <c r="V285" s="337">
        <v>1</v>
      </c>
      <c r="W285" s="337">
        <v>1</v>
      </c>
      <c r="X285" s="338"/>
      <c r="Y285" s="338" t="s">
        <v>6081</v>
      </c>
      <c r="Z285" s="338" t="s">
        <v>8020</v>
      </c>
      <c r="AA285" s="338" t="s">
        <v>6079</v>
      </c>
      <c r="AB285" s="338"/>
      <c r="AC285" s="338" t="s">
        <v>6423</v>
      </c>
      <c r="AD285" s="338"/>
      <c r="AF285" s="502" t="str">
        <f>Table15[[#This Row],[code2]]</f>
        <v>PHL</v>
      </c>
      <c r="AG285" s="502" t="str">
        <f>Table15[[#This Row],[code5]]</f>
        <v>HOOHLSIR</v>
      </c>
    </row>
    <row r="286" spans="1:33">
      <c r="A286" s="338" t="s">
        <v>6072</v>
      </c>
      <c r="B286" s="338" t="s">
        <v>6073</v>
      </c>
      <c r="C286" s="337">
        <v>1</v>
      </c>
      <c r="D286" s="338" t="s">
        <v>6074</v>
      </c>
      <c r="E286" s="338" t="s">
        <v>6075</v>
      </c>
      <c r="F286" s="337">
        <v>1</v>
      </c>
      <c r="G286" s="337">
        <v>1</v>
      </c>
      <c r="H286" s="338" t="s">
        <v>6075</v>
      </c>
      <c r="I286" s="338" t="s">
        <v>9548</v>
      </c>
      <c r="J286" s="338" t="s">
        <v>9550</v>
      </c>
      <c r="K286" s="338" t="s">
        <v>6076</v>
      </c>
      <c r="L286" s="338"/>
      <c r="M286" s="338" t="s">
        <v>6405</v>
      </c>
      <c r="N286" s="338" t="s">
        <v>6406</v>
      </c>
      <c r="O286" s="337">
        <v>1</v>
      </c>
      <c r="P286" s="337">
        <v>1</v>
      </c>
      <c r="Q286" s="338"/>
      <c r="R286" s="338" t="s">
        <v>6088</v>
      </c>
      <c r="S286" s="338"/>
      <c r="T286" s="338"/>
      <c r="U286" s="338" t="s">
        <v>6425</v>
      </c>
      <c r="V286" s="337">
        <v>1</v>
      </c>
      <c r="W286" s="337">
        <v>1</v>
      </c>
      <c r="X286" s="338"/>
      <c r="Y286" s="338" t="s">
        <v>493</v>
      </c>
      <c r="Z286" s="338" t="s">
        <v>8012</v>
      </c>
      <c r="AA286" s="338" t="s">
        <v>6079</v>
      </c>
      <c r="AB286" s="338"/>
      <c r="AC286" s="338" t="s">
        <v>6423</v>
      </c>
      <c r="AD286" s="338"/>
      <c r="AF286" s="502" t="str">
        <f>Table15[[#This Row],[code2]]</f>
        <v>PHL</v>
      </c>
      <c r="AG286" s="502" t="str">
        <f>Table15[[#This Row],[code5]]</f>
        <v>HOOHLSIR</v>
      </c>
    </row>
    <row r="287" spans="1:33">
      <c r="A287" s="338" t="s">
        <v>6072</v>
      </c>
      <c r="B287" s="338" t="s">
        <v>6073</v>
      </c>
      <c r="C287" s="337">
        <v>1</v>
      </c>
      <c r="D287" s="338" t="s">
        <v>6074</v>
      </c>
      <c r="E287" s="338" t="s">
        <v>6075</v>
      </c>
      <c r="F287" s="337">
        <v>1</v>
      </c>
      <c r="G287" s="337">
        <v>1</v>
      </c>
      <c r="H287" s="338" t="s">
        <v>6075</v>
      </c>
      <c r="I287" s="338" t="s">
        <v>9548</v>
      </c>
      <c r="J287" s="338" t="s">
        <v>9550</v>
      </c>
      <c r="K287" s="338" t="s">
        <v>6076</v>
      </c>
      <c r="L287" s="338"/>
      <c r="M287" s="338" t="s">
        <v>6405</v>
      </c>
      <c r="N287" s="338" t="s">
        <v>6406</v>
      </c>
      <c r="O287" s="337">
        <v>1</v>
      </c>
      <c r="P287" s="337">
        <v>1</v>
      </c>
      <c r="Q287" s="338"/>
      <c r="R287" s="338" t="s">
        <v>6088</v>
      </c>
      <c r="S287" s="338"/>
      <c r="T287" s="338"/>
      <c r="U287" s="338" t="s">
        <v>6426</v>
      </c>
      <c r="V287" s="337">
        <v>1</v>
      </c>
      <c r="W287" s="337">
        <v>1</v>
      </c>
      <c r="X287" s="338"/>
      <c r="Y287" s="338" t="s">
        <v>6085</v>
      </c>
      <c r="Z287" s="338" t="s">
        <v>8264</v>
      </c>
      <c r="AA287" s="338" t="s">
        <v>6079</v>
      </c>
      <c r="AB287" s="338"/>
      <c r="AC287" s="338" t="s">
        <v>6423</v>
      </c>
      <c r="AD287" s="338"/>
      <c r="AF287" s="502" t="str">
        <f>Table15[[#This Row],[code2]]</f>
        <v>PHL</v>
      </c>
      <c r="AG287" s="502" t="str">
        <f>Table15[[#This Row],[code5]]</f>
        <v>HOOHLSIR</v>
      </c>
    </row>
    <row r="288" spans="1:33">
      <c r="A288" s="338" t="s">
        <v>6072</v>
      </c>
      <c r="B288" s="338" t="s">
        <v>6073</v>
      </c>
      <c r="C288" s="337">
        <v>1</v>
      </c>
      <c r="D288" s="338" t="s">
        <v>6074</v>
      </c>
      <c r="E288" s="338" t="s">
        <v>6075</v>
      </c>
      <c r="F288" s="337">
        <v>1</v>
      </c>
      <c r="G288" s="337">
        <v>1</v>
      </c>
      <c r="H288" s="338" t="s">
        <v>6075</v>
      </c>
      <c r="I288" s="338" t="s">
        <v>9548</v>
      </c>
      <c r="J288" s="338" t="s">
        <v>9550</v>
      </c>
      <c r="K288" s="338" t="s">
        <v>6076</v>
      </c>
      <c r="L288" s="338"/>
      <c r="M288" s="338" t="s">
        <v>6405</v>
      </c>
      <c r="N288" s="338" t="s">
        <v>6406</v>
      </c>
      <c r="O288" s="337">
        <v>1</v>
      </c>
      <c r="P288" s="337">
        <v>1</v>
      </c>
      <c r="Q288" s="338"/>
      <c r="R288" s="338" t="s">
        <v>6088</v>
      </c>
      <c r="S288" s="338"/>
      <c r="T288" s="338"/>
      <c r="U288" s="338" t="s">
        <v>6427</v>
      </c>
      <c r="V288" s="337">
        <v>1</v>
      </c>
      <c r="W288" s="337">
        <v>1</v>
      </c>
      <c r="X288" s="338"/>
      <c r="Y288" s="338" t="s">
        <v>497</v>
      </c>
      <c r="Z288" s="338" t="s">
        <v>8011</v>
      </c>
      <c r="AA288" s="338" t="s">
        <v>6079</v>
      </c>
      <c r="AB288" s="338"/>
      <c r="AC288" s="338" t="s">
        <v>6428</v>
      </c>
      <c r="AD288" s="338"/>
      <c r="AF288" s="502" t="str">
        <f>Table15[[#This Row],[code2]]</f>
        <v>PHL</v>
      </c>
      <c r="AG288" s="502" t="str">
        <f>Table15[[#This Row],[code5]]</f>
        <v>HOOHLSIR</v>
      </c>
    </row>
    <row r="289" spans="1:33">
      <c r="A289" s="338" t="s">
        <v>6072</v>
      </c>
      <c r="B289" s="338" t="s">
        <v>6073</v>
      </c>
      <c r="C289" s="337">
        <v>1</v>
      </c>
      <c r="D289" s="338" t="s">
        <v>6074</v>
      </c>
      <c r="E289" s="338" t="s">
        <v>6075</v>
      </c>
      <c r="F289" s="337">
        <v>1</v>
      </c>
      <c r="G289" s="337">
        <v>1</v>
      </c>
      <c r="H289" s="338" t="s">
        <v>6075</v>
      </c>
      <c r="I289" s="338" t="s">
        <v>9548</v>
      </c>
      <c r="J289" s="338" t="s">
        <v>9550</v>
      </c>
      <c r="K289" s="338" t="s">
        <v>6076</v>
      </c>
      <c r="L289" s="338"/>
      <c r="M289" s="338" t="s">
        <v>6405</v>
      </c>
      <c r="N289" s="338" t="s">
        <v>6406</v>
      </c>
      <c r="O289" s="337">
        <v>1</v>
      </c>
      <c r="P289" s="337">
        <v>1</v>
      </c>
      <c r="Q289" s="338"/>
      <c r="R289" s="338" t="s">
        <v>6088</v>
      </c>
      <c r="S289" s="338"/>
      <c r="T289" s="338"/>
      <c r="U289" s="338" t="s">
        <v>6429</v>
      </c>
      <c r="V289" s="337">
        <v>1</v>
      </c>
      <c r="W289" s="337">
        <v>1</v>
      </c>
      <c r="X289" s="338"/>
      <c r="Y289" s="338" t="s">
        <v>6081</v>
      </c>
      <c r="Z289" s="338" t="s">
        <v>8128</v>
      </c>
      <c r="AA289" s="338" t="s">
        <v>6079</v>
      </c>
      <c r="AB289" s="338"/>
      <c r="AC289" s="338" t="s">
        <v>6428</v>
      </c>
      <c r="AD289" s="338"/>
      <c r="AF289" s="502" t="str">
        <f>Table15[[#This Row],[code2]]</f>
        <v>PHL</v>
      </c>
      <c r="AG289" s="502" t="str">
        <f>Table15[[#This Row],[code5]]</f>
        <v>HOOHLSIR</v>
      </c>
    </row>
    <row r="290" spans="1:33">
      <c r="A290" s="338" t="s">
        <v>6072</v>
      </c>
      <c r="B290" s="338" t="s">
        <v>6073</v>
      </c>
      <c r="C290" s="337">
        <v>1</v>
      </c>
      <c r="D290" s="338" t="s">
        <v>6074</v>
      </c>
      <c r="E290" s="338" t="s">
        <v>6075</v>
      </c>
      <c r="F290" s="337">
        <v>1</v>
      </c>
      <c r="G290" s="337">
        <v>1</v>
      </c>
      <c r="H290" s="338" t="s">
        <v>6075</v>
      </c>
      <c r="I290" s="338" t="s">
        <v>9548</v>
      </c>
      <c r="J290" s="338" t="s">
        <v>9550</v>
      </c>
      <c r="K290" s="338" t="s">
        <v>6076</v>
      </c>
      <c r="L290" s="338"/>
      <c r="M290" s="338" t="s">
        <v>6405</v>
      </c>
      <c r="N290" s="338" t="s">
        <v>6406</v>
      </c>
      <c r="O290" s="337">
        <v>1</v>
      </c>
      <c r="P290" s="337">
        <v>1</v>
      </c>
      <c r="Q290" s="338"/>
      <c r="R290" s="338" t="s">
        <v>6088</v>
      </c>
      <c r="S290" s="338"/>
      <c r="T290" s="338"/>
      <c r="U290" s="338" t="s">
        <v>6430</v>
      </c>
      <c r="V290" s="337">
        <v>1</v>
      </c>
      <c r="W290" s="337">
        <v>1</v>
      </c>
      <c r="X290" s="338"/>
      <c r="Y290" s="338" t="s">
        <v>493</v>
      </c>
      <c r="Z290" s="338" t="s">
        <v>8014</v>
      </c>
      <c r="AA290" s="338" t="s">
        <v>6079</v>
      </c>
      <c r="AB290" s="338"/>
      <c r="AC290" s="338" t="s">
        <v>6428</v>
      </c>
      <c r="AD290" s="338"/>
      <c r="AF290" s="502" t="str">
        <f>Table15[[#This Row],[code2]]</f>
        <v>PHL</v>
      </c>
      <c r="AG290" s="502" t="str">
        <f>Table15[[#This Row],[code5]]</f>
        <v>HOOHLSIR</v>
      </c>
    </row>
    <row r="291" spans="1:33">
      <c r="A291" s="338" t="s">
        <v>6072</v>
      </c>
      <c r="B291" s="338" t="s">
        <v>6073</v>
      </c>
      <c r="C291" s="337">
        <v>1</v>
      </c>
      <c r="D291" s="338" t="s">
        <v>6074</v>
      </c>
      <c r="E291" s="338" t="s">
        <v>6075</v>
      </c>
      <c r="F291" s="337">
        <v>1</v>
      </c>
      <c r="G291" s="337">
        <v>1</v>
      </c>
      <c r="H291" s="338" t="s">
        <v>6075</v>
      </c>
      <c r="I291" s="338" t="s">
        <v>9548</v>
      </c>
      <c r="J291" s="338" t="s">
        <v>9550</v>
      </c>
      <c r="K291" s="338" t="s">
        <v>6076</v>
      </c>
      <c r="L291" s="338"/>
      <c r="M291" s="338" t="s">
        <v>6405</v>
      </c>
      <c r="N291" s="338" t="s">
        <v>6406</v>
      </c>
      <c r="O291" s="337">
        <v>1</v>
      </c>
      <c r="P291" s="337">
        <v>1</v>
      </c>
      <c r="Q291" s="338"/>
      <c r="R291" s="338" t="s">
        <v>6088</v>
      </c>
      <c r="S291" s="338"/>
      <c r="T291" s="338"/>
      <c r="U291" s="338" t="s">
        <v>6431</v>
      </c>
      <c r="V291" s="337">
        <v>1</v>
      </c>
      <c r="W291" s="337">
        <v>1</v>
      </c>
      <c r="X291" s="338"/>
      <c r="Y291" s="338" t="s">
        <v>6085</v>
      </c>
      <c r="Z291" s="338" t="s">
        <v>9144</v>
      </c>
      <c r="AA291" s="338" t="s">
        <v>6079</v>
      </c>
      <c r="AB291" s="338"/>
      <c r="AC291" s="338" t="s">
        <v>6428</v>
      </c>
      <c r="AD291" s="338"/>
      <c r="AF291" s="502" t="str">
        <f>Table15[[#This Row],[code2]]</f>
        <v>PHL</v>
      </c>
      <c r="AG291" s="502" t="str">
        <f>Table15[[#This Row],[code5]]</f>
        <v>HOOHLSIR</v>
      </c>
    </row>
    <row r="292" spans="1:33">
      <c r="A292" s="338" t="s">
        <v>6072</v>
      </c>
      <c r="B292" s="338" t="s">
        <v>6073</v>
      </c>
      <c r="C292" s="337">
        <v>1</v>
      </c>
      <c r="D292" s="338" t="s">
        <v>6074</v>
      </c>
      <c r="E292" s="338" t="s">
        <v>6075</v>
      </c>
      <c r="F292" s="337">
        <v>1</v>
      </c>
      <c r="G292" s="337">
        <v>1</v>
      </c>
      <c r="H292" s="338" t="s">
        <v>6075</v>
      </c>
      <c r="I292" s="338" t="s">
        <v>9548</v>
      </c>
      <c r="J292" s="338" t="s">
        <v>9550</v>
      </c>
      <c r="K292" s="338" t="s">
        <v>6076</v>
      </c>
      <c r="L292" s="338"/>
      <c r="M292" s="338" t="s">
        <v>6405</v>
      </c>
      <c r="N292" s="338" t="s">
        <v>6406</v>
      </c>
      <c r="O292" s="337">
        <v>1</v>
      </c>
      <c r="P292" s="337">
        <v>1</v>
      </c>
      <c r="Q292" s="338"/>
      <c r="R292" s="338" t="s">
        <v>6088</v>
      </c>
      <c r="S292" s="338"/>
      <c r="T292" s="338"/>
      <c r="U292" s="338" t="s">
        <v>6432</v>
      </c>
      <c r="V292" s="337">
        <v>1</v>
      </c>
      <c r="W292" s="337">
        <v>1</v>
      </c>
      <c r="X292" s="338"/>
      <c r="Y292" s="338" t="s">
        <v>497</v>
      </c>
      <c r="Z292" s="338" t="s">
        <v>8254</v>
      </c>
      <c r="AA292" s="338" t="s">
        <v>6079</v>
      </c>
      <c r="AB292" s="338"/>
      <c r="AC292" s="338" t="s">
        <v>6433</v>
      </c>
      <c r="AD292" s="338"/>
      <c r="AF292" s="502" t="str">
        <f>Table15[[#This Row],[code2]]</f>
        <v>PHL</v>
      </c>
      <c r="AG292" s="502" t="str">
        <f>Table15[[#This Row],[code5]]</f>
        <v>HOOHLSIR</v>
      </c>
    </row>
    <row r="293" spans="1:33">
      <c r="A293" s="338" t="s">
        <v>6072</v>
      </c>
      <c r="B293" s="338" t="s">
        <v>6073</v>
      </c>
      <c r="C293" s="337">
        <v>1</v>
      </c>
      <c r="D293" s="338" t="s">
        <v>6074</v>
      </c>
      <c r="E293" s="338" t="s">
        <v>6075</v>
      </c>
      <c r="F293" s="337">
        <v>1</v>
      </c>
      <c r="G293" s="337">
        <v>1</v>
      </c>
      <c r="H293" s="338" t="s">
        <v>6075</v>
      </c>
      <c r="I293" s="338" t="s">
        <v>9548</v>
      </c>
      <c r="J293" s="338" t="s">
        <v>9550</v>
      </c>
      <c r="K293" s="338" t="s">
        <v>6076</v>
      </c>
      <c r="L293" s="338"/>
      <c r="M293" s="338" t="s">
        <v>6405</v>
      </c>
      <c r="N293" s="338" t="s">
        <v>6406</v>
      </c>
      <c r="O293" s="337">
        <v>1</v>
      </c>
      <c r="P293" s="337">
        <v>1</v>
      </c>
      <c r="Q293" s="338"/>
      <c r="R293" s="338" t="s">
        <v>6088</v>
      </c>
      <c r="S293" s="338"/>
      <c r="T293" s="338"/>
      <c r="U293" s="338" t="s">
        <v>6434</v>
      </c>
      <c r="V293" s="337">
        <v>1</v>
      </c>
      <c r="W293" s="337">
        <v>1</v>
      </c>
      <c r="X293" s="338"/>
      <c r="Y293" s="338" t="s">
        <v>6081</v>
      </c>
      <c r="Z293" s="338" t="s">
        <v>8297</v>
      </c>
      <c r="AA293" s="338" t="s">
        <v>6079</v>
      </c>
      <c r="AB293" s="338"/>
      <c r="AC293" s="338" t="s">
        <v>6433</v>
      </c>
      <c r="AD293" s="338"/>
      <c r="AF293" s="502" t="str">
        <f>Table15[[#This Row],[code2]]</f>
        <v>PHL</v>
      </c>
      <c r="AG293" s="502" t="str">
        <f>Table15[[#This Row],[code5]]</f>
        <v>HOOHLSIR</v>
      </c>
    </row>
    <row r="294" spans="1:33">
      <c r="A294" s="338" t="s">
        <v>6072</v>
      </c>
      <c r="B294" s="338" t="s">
        <v>6073</v>
      </c>
      <c r="C294" s="337">
        <v>1</v>
      </c>
      <c r="D294" s="338" t="s">
        <v>6074</v>
      </c>
      <c r="E294" s="338" t="s">
        <v>6075</v>
      </c>
      <c r="F294" s="337">
        <v>1</v>
      </c>
      <c r="G294" s="337">
        <v>1</v>
      </c>
      <c r="H294" s="338" t="s">
        <v>6075</v>
      </c>
      <c r="I294" s="338" t="s">
        <v>9548</v>
      </c>
      <c r="J294" s="338" t="s">
        <v>9550</v>
      </c>
      <c r="K294" s="338" t="s">
        <v>6076</v>
      </c>
      <c r="L294" s="338"/>
      <c r="M294" s="338" t="s">
        <v>6405</v>
      </c>
      <c r="N294" s="338" t="s">
        <v>6406</v>
      </c>
      <c r="O294" s="337">
        <v>1</v>
      </c>
      <c r="P294" s="337">
        <v>1</v>
      </c>
      <c r="Q294" s="338"/>
      <c r="R294" s="338" t="s">
        <v>6088</v>
      </c>
      <c r="S294" s="338"/>
      <c r="T294" s="338"/>
      <c r="U294" s="338" t="s">
        <v>6435</v>
      </c>
      <c r="V294" s="337">
        <v>1</v>
      </c>
      <c r="W294" s="337">
        <v>1</v>
      </c>
      <c r="X294" s="338"/>
      <c r="Y294" s="338" t="s">
        <v>493</v>
      </c>
      <c r="Z294" s="338" t="s">
        <v>8254</v>
      </c>
      <c r="AA294" s="338" t="s">
        <v>6079</v>
      </c>
      <c r="AB294" s="338"/>
      <c r="AC294" s="338" t="s">
        <v>6433</v>
      </c>
      <c r="AD294" s="338"/>
      <c r="AF294" s="502" t="str">
        <f>Table15[[#This Row],[code2]]</f>
        <v>PHL</v>
      </c>
      <c r="AG294" s="502" t="str">
        <f>Table15[[#This Row],[code5]]</f>
        <v>HOOHLSIR</v>
      </c>
    </row>
    <row r="295" spans="1:33">
      <c r="A295" s="338" t="s">
        <v>6072</v>
      </c>
      <c r="B295" s="338" t="s">
        <v>6073</v>
      </c>
      <c r="C295" s="337">
        <v>1</v>
      </c>
      <c r="D295" s="338" t="s">
        <v>6074</v>
      </c>
      <c r="E295" s="338" t="s">
        <v>6075</v>
      </c>
      <c r="F295" s="337">
        <v>1</v>
      </c>
      <c r="G295" s="337">
        <v>1</v>
      </c>
      <c r="H295" s="338" t="s">
        <v>6075</v>
      </c>
      <c r="I295" s="338" t="s">
        <v>9548</v>
      </c>
      <c r="J295" s="338" t="s">
        <v>9550</v>
      </c>
      <c r="K295" s="338" t="s">
        <v>6076</v>
      </c>
      <c r="L295" s="338"/>
      <c r="M295" s="338" t="s">
        <v>6405</v>
      </c>
      <c r="N295" s="338" t="s">
        <v>6406</v>
      </c>
      <c r="O295" s="337">
        <v>1</v>
      </c>
      <c r="P295" s="337">
        <v>1</v>
      </c>
      <c r="Q295" s="338"/>
      <c r="R295" s="338" t="s">
        <v>6088</v>
      </c>
      <c r="S295" s="338"/>
      <c r="T295" s="338"/>
      <c r="U295" s="338" t="s">
        <v>6436</v>
      </c>
      <c r="V295" s="337">
        <v>1</v>
      </c>
      <c r="W295" s="337">
        <v>1</v>
      </c>
      <c r="X295" s="338"/>
      <c r="Y295" s="338" t="s">
        <v>6085</v>
      </c>
      <c r="Z295" s="338" t="s">
        <v>8675</v>
      </c>
      <c r="AA295" s="338" t="s">
        <v>6079</v>
      </c>
      <c r="AB295" s="338"/>
      <c r="AC295" s="338" t="s">
        <v>6433</v>
      </c>
      <c r="AD295" s="338"/>
      <c r="AF295" s="502" t="str">
        <f>Table15[[#This Row],[code2]]</f>
        <v>PHL</v>
      </c>
      <c r="AG295" s="502" t="str">
        <f>Table15[[#This Row],[code5]]</f>
        <v>HOOHLSIR</v>
      </c>
    </row>
    <row r="296" spans="1:33">
      <c r="A296" s="338" t="s">
        <v>6072</v>
      </c>
      <c r="B296" s="338" t="s">
        <v>6073</v>
      </c>
      <c r="C296" s="337">
        <v>1</v>
      </c>
      <c r="D296" s="338" t="s">
        <v>6074</v>
      </c>
      <c r="E296" s="338" t="s">
        <v>6075</v>
      </c>
      <c r="F296" s="337">
        <v>1</v>
      </c>
      <c r="G296" s="337">
        <v>1</v>
      </c>
      <c r="H296" s="338" t="s">
        <v>6075</v>
      </c>
      <c r="I296" s="338" t="s">
        <v>9548</v>
      </c>
      <c r="J296" s="338" t="s">
        <v>9550</v>
      </c>
      <c r="K296" s="338" t="s">
        <v>6076</v>
      </c>
      <c r="L296" s="338"/>
      <c r="M296" s="338" t="s">
        <v>6405</v>
      </c>
      <c r="N296" s="338" t="s">
        <v>6406</v>
      </c>
      <c r="O296" s="337">
        <v>1</v>
      </c>
      <c r="P296" s="337">
        <v>1</v>
      </c>
      <c r="Q296" s="338"/>
      <c r="R296" s="338" t="s">
        <v>6088</v>
      </c>
      <c r="S296" s="338"/>
      <c r="T296" s="338"/>
      <c r="U296" s="392" t="s">
        <v>6437</v>
      </c>
      <c r="V296" s="337">
        <v>1</v>
      </c>
      <c r="W296" s="337">
        <v>1</v>
      </c>
      <c r="X296" s="338"/>
      <c r="Y296" s="338" t="s">
        <v>497</v>
      </c>
      <c r="Z296" s="338" t="s">
        <v>8254</v>
      </c>
      <c r="AA296" s="338" t="s">
        <v>6079</v>
      </c>
      <c r="AB296" s="338"/>
      <c r="AC296" s="338" t="s">
        <v>6438</v>
      </c>
      <c r="AD296" s="338"/>
      <c r="AF296" s="502" t="str">
        <f>Table15[[#This Row],[code2]]</f>
        <v>PHL</v>
      </c>
      <c r="AG296" s="502" t="str">
        <f>Table15[[#This Row],[code5]]</f>
        <v>HOOHLSIR</v>
      </c>
    </row>
    <row r="297" spans="1:33">
      <c r="A297" s="338" t="s">
        <v>6072</v>
      </c>
      <c r="B297" s="338" t="s">
        <v>6073</v>
      </c>
      <c r="C297" s="337">
        <v>1</v>
      </c>
      <c r="D297" s="338" t="s">
        <v>6074</v>
      </c>
      <c r="E297" s="338" t="s">
        <v>6075</v>
      </c>
      <c r="F297" s="337">
        <v>1</v>
      </c>
      <c r="G297" s="337">
        <v>1</v>
      </c>
      <c r="H297" s="338" t="s">
        <v>6075</v>
      </c>
      <c r="I297" s="338" t="s">
        <v>9548</v>
      </c>
      <c r="J297" s="338" t="s">
        <v>9550</v>
      </c>
      <c r="K297" s="338" t="s">
        <v>6076</v>
      </c>
      <c r="L297" s="338"/>
      <c r="M297" s="338" t="s">
        <v>6405</v>
      </c>
      <c r="N297" s="338" t="s">
        <v>6406</v>
      </c>
      <c r="O297" s="337">
        <v>1</v>
      </c>
      <c r="P297" s="337">
        <v>1</v>
      </c>
      <c r="Q297" s="338"/>
      <c r="R297" s="338" t="s">
        <v>6088</v>
      </c>
      <c r="S297" s="338"/>
      <c r="T297" s="338"/>
      <c r="U297" s="392" t="s">
        <v>6439</v>
      </c>
      <c r="V297" s="337">
        <v>1</v>
      </c>
      <c r="W297" s="337">
        <v>1</v>
      </c>
      <c r="X297" s="338"/>
      <c r="Y297" s="338" t="s">
        <v>6081</v>
      </c>
      <c r="Z297" s="338" t="s">
        <v>9145</v>
      </c>
      <c r="AA297" s="338" t="s">
        <v>6079</v>
      </c>
      <c r="AB297" s="338"/>
      <c r="AC297" s="338" t="s">
        <v>6438</v>
      </c>
      <c r="AD297" s="338"/>
      <c r="AF297" s="502" t="str">
        <f>Table15[[#This Row],[code2]]</f>
        <v>PHL</v>
      </c>
      <c r="AG297" s="502" t="str">
        <f>Table15[[#This Row],[code5]]</f>
        <v>HOOHLSIR</v>
      </c>
    </row>
    <row r="298" spans="1:33">
      <c r="A298" s="338" t="s">
        <v>6072</v>
      </c>
      <c r="B298" s="338" t="s">
        <v>6073</v>
      </c>
      <c r="C298" s="337">
        <v>1</v>
      </c>
      <c r="D298" s="338" t="s">
        <v>6074</v>
      </c>
      <c r="E298" s="338" t="s">
        <v>6075</v>
      </c>
      <c r="F298" s="337">
        <v>1</v>
      </c>
      <c r="G298" s="337">
        <v>1</v>
      </c>
      <c r="H298" s="338" t="s">
        <v>6075</v>
      </c>
      <c r="I298" s="338" t="s">
        <v>9548</v>
      </c>
      <c r="J298" s="338" t="s">
        <v>9550</v>
      </c>
      <c r="K298" s="338" t="s">
        <v>6076</v>
      </c>
      <c r="L298" s="338"/>
      <c r="M298" s="338" t="s">
        <v>6405</v>
      </c>
      <c r="N298" s="338" t="s">
        <v>6406</v>
      </c>
      <c r="O298" s="337">
        <v>1</v>
      </c>
      <c r="P298" s="337">
        <v>1</v>
      </c>
      <c r="Q298" s="338"/>
      <c r="R298" s="338" t="s">
        <v>6088</v>
      </c>
      <c r="S298" s="338"/>
      <c r="T298" s="338"/>
      <c r="U298" s="338" t="s">
        <v>6440</v>
      </c>
      <c r="V298" s="337">
        <v>1</v>
      </c>
      <c r="W298" s="337">
        <v>1</v>
      </c>
      <c r="X298" s="338"/>
      <c r="Y298" s="338" t="s">
        <v>493</v>
      </c>
      <c r="Z298" s="338" t="s">
        <v>8254</v>
      </c>
      <c r="AA298" s="338" t="s">
        <v>6079</v>
      </c>
      <c r="AB298" s="338"/>
      <c r="AC298" s="338" t="s">
        <v>6438</v>
      </c>
      <c r="AD298" s="338"/>
      <c r="AF298" s="502" t="str">
        <f>Table15[[#This Row],[code2]]</f>
        <v>PHL</v>
      </c>
      <c r="AG298" s="502" t="str">
        <f>Table15[[#This Row],[code5]]</f>
        <v>HOOHLSIR</v>
      </c>
    </row>
    <row r="299" spans="1:33">
      <c r="A299" s="338" t="s">
        <v>6072</v>
      </c>
      <c r="B299" s="338" t="s">
        <v>6073</v>
      </c>
      <c r="C299" s="337">
        <v>1</v>
      </c>
      <c r="D299" s="338" t="s">
        <v>6074</v>
      </c>
      <c r="E299" s="338" t="s">
        <v>6075</v>
      </c>
      <c r="F299" s="337">
        <v>1</v>
      </c>
      <c r="G299" s="337">
        <v>1</v>
      </c>
      <c r="H299" s="338" t="s">
        <v>6075</v>
      </c>
      <c r="I299" s="338" t="s">
        <v>9548</v>
      </c>
      <c r="J299" s="338" t="s">
        <v>9550</v>
      </c>
      <c r="K299" s="338" t="s">
        <v>6076</v>
      </c>
      <c r="L299" s="338"/>
      <c r="M299" s="338" t="s">
        <v>6405</v>
      </c>
      <c r="N299" s="338" t="s">
        <v>6406</v>
      </c>
      <c r="O299" s="337">
        <v>1</v>
      </c>
      <c r="P299" s="337">
        <v>1</v>
      </c>
      <c r="Q299" s="338"/>
      <c r="R299" s="338" t="s">
        <v>6088</v>
      </c>
      <c r="S299" s="338"/>
      <c r="T299" s="338"/>
      <c r="U299" s="338" t="s">
        <v>6441</v>
      </c>
      <c r="V299" s="337">
        <v>1</v>
      </c>
      <c r="W299" s="337">
        <v>1</v>
      </c>
      <c r="X299" s="338"/>
      <c r="Y299" s="338" t="s">
        <v>6085</v>
      </c>
      <c r="Z299" s="338" t="s">
        <v>9067</v>
      </c>
      <c r="AA299" s="338" t="s">
        <v>6079</v>
      </c>
      <c r="AB299" s="338"/>
      <c r="AC299" s="338" t="s">
        <v>6438</v>
      </c>
      <c r="AD299" s="338"/>
      <c r="AF299" s="502" t="str">
        <f>Table15[[#This Row],[code2]]</f>
        <v>PHL</v>
      </c>
      <c r="AG299" s="502" t="str">
        <f>Table15[[#This Row],[code5]]</f>
        <v>HOOHLSIR</v>
      </c>
    </row>
    <row r="300" spans="1:33">
      <c r="A300" s="338" t="s">
        <v>6072</v>
      </c>
      <c r="B300" s="338" t="s">
        <v>6073</v>
      </c>
      <c r="C300" s="337">
        <v>1</v>
      </c>
      <c r="D300" s="338" t="s">
        <v>6074</v>
      </c>
      <c r="E300" s="338" t="s">
        <v>6075</v>
      </c>
      <c r="F300" s="337">
        <v>1</v>
      </c>
      <c r="G300" s="337">
        <v>1</v>
      </c>
      <c r="H300" s="338" t="s">
        <v>6075</v>
      </c>
      <c r="I300" s="338" t="s">
        <v>9548</v>
      </c>
      <c r="J300" s="338" t="s">
        <v>9550</v>
      </c>
      <c r="K300" s="338" t="s">
        <v>6076</v>
      </c>
      <c r="L300" s="338"/>
      <c r="M300" s="338" t="s">
        <v>6442</v>
      </c>
      <c r="N300" s="338" t="s">
        <v>6443</v>
      </c>
      <c r="O300" s="337">
        <v>1</v>
      </c>
      <c r="P300" s="337">
        <v>1</v>
      </c>
      <c r="Q300" s="338"/>
      <c r="R300" s="338" t="s">
        <v>6088</v>
      </c>
      <c r="S300" s="338"/>
      <c r="T300" s="338"/>
      <c r="U300" s="338" t="s">
        <v>6444</v>
      </c>
      <c r="V300" s="337">
        <v>1</v>
      </c>
      <c r="W300" s="337">
        <v>1</v>
      </c>
      <c r="X300" s="338"/>
      <c r="Y300" s="338" t="s">
        <v>497</v>
      </c>
      <c r="Z300" s="338" t="s">
        <v>7916</v>
      </c>
      <c r="AA300" s="338" t="s">
        <v>6079</v>
      </c>
      <c r="AB300" s="338"/>
      <c r="AC300" s="338" t="s">
        <v>6091</v>
      </c>
      <c r="AD300" s="338"/>
      <c r="AF300" s="502" t="str">
        <f>Table15[[#This Row],[code2]]</f>
        <v>PHL</v>
      </c>
      <c r="AG300" s="502" t="str">
        <f>Table15[[#This Row],[code5]]</f>
        <v>HOOFR</v>
      </c>
    </row>
    <row r="301" spans="1:33">
      <c r="A301" s="338" t="s">
        <v>6072</v>
      </c>
      <c r="B301" s="338" t="s">
        <v>6073</v>
      </c>
      <c r="C301" s="337">
        <v>1</v>
      </c>
      <c r="D301" s="338" t="s">
        <v>6074</v>
      </c>
      <c r="E301" s="338" t="s">
        <v>6075</v>
      </c>
      <c r="F301" s="337">
        <v>1</v>
      </c>
      <c r="G301" s="337">
        <v>1</v>
      </c>
      <c r="H301" s="338" t="s">
        <v>6075</v>
      </c>
      <c r="I301" s="338" t="s">
        <v>9548</v>
      </c>
      <c r="J301" s="338" t="s">
        <v>9550</v>
      </c>
      <c r="K301" s="338" t="s">
        <v>6076</v>
      </c>
      <c r="L301" s="338"/>
      <c r="M301" s="338" t="s">
        <v>6442</v>
      </c>
      <c r="N301" s="338" t="s">
        <v>6443</v>
      </c>
      <c r="O301" s="337">
        <v>1</v>
      </c>
      <c r="P301" s="337">
        <v>1</v>
      </c>
      <c r="Q301" s="338"/>
      <c r="R301" s="338" t="s">
        <v>6088</v>
      </c>
      <c r="S301" s="338"/>
      <c r="T301" s="338"/>
      <c r="U301" s="338" t="s">
        <v>6445</v>
      </c>
      <c r="V301" s="337">
        <v>1</v>
      </c>
      <c r="W301" s="337">
        <v>1</v>
      </c>
      <c r="X301" s="338"/>
      <c r="Y301" s="338" t="s">
        <v>6081</v>
      </c>
      <c r="Z301" s="338" t="s">
        <v>9146</v>
      </c>
      <c r="AA301" s="338" t="s">
        <v>6079</v>
      </c>
      <c r="AB301" s="338"/>
      <c r="AC301" s="338" t="s">
        <v>6091</v>
      </c>
      <c r="AD301" s="338"/>
      <c r="AF301" s="502" t="str">
        <f>Table15[[#This Row],[code2]]</f>
        <v>PHL</v>
      </c>
      <c r="AG301" s="502" t="str">
        <f>Table15[[#This Row],[code5]]</f>
        <v>HOOFR</v>
      </c>
    </row>
    <row r="302" spans="1:33">
      <c r="A302" s="338" t="s">
        <v>6072</v>
      </c>
      <c r="B302" s="338" t="s">
        <v>6073</v>
      </c>
      <c r="C302" s="337">
        <v>1</v>
      </c>
      <c r="D302" s="338" t="s">
        <v>6074</v>
      </c>
      <c r="E302" s="338" t="s">
        <v>6075</v>
      </c>
      <c r="F302" s="337">
        <v>1</v>
      </c>
      <c r="G302" s="337">
        <v>1</v>
      </c>
      <c r="H302" s="338" t="s">
        <v>6075</v>
      </c>
      <c r="I302" s="338" t="s">
        <v>9548</v>
      </c>
      <c r="J302" s="338" t="s">
        <v>9550</v>
      </c>
      <c r="K302" s="338" t="s">
        <v>6076</v>
      </c>
      <c r="L302" s="338"/>
      <c r="M302" s="338" t="s">
        <v>6442</v>
      </c>
      <c r="N302" s="338" t="s">
        <v>6443</v>
      </c>
      <c r="O302" s="337">
        <v>1</v>
      </c>
      <c r="P302" s="337">
        <v>1</v>
      </c>
      <c r="Q302" s="338"/>
      <c r="R302" s="338" t="s">
        <v>6088</v>
      </c>
      <c r="S302" s="338"/>
      <c r="T302" s="338"/>
      <c r="U302" s="338" t="s">
        <v>6446</v>
      </c>
      <c r="V302" s="337">
        <v>1</v>
      </c>
      <c r="W302" s="337">
        <v>1</v>
      </c>
      <c r="X302" s="338"/>
      <c r="Y302" s="338" t="s">
        <v>493</v>
      </c>
      <c r="Z302" s="338" t="s">
        <v>7967</v>
      </c>
      <c r="AA302" s="338" t="s">
        <v>6079</v>
      </c>
      <c r="AB302" s="338"/>
      <c r="AC302" s="338" t="s">
        <v>6091</v>
      </c>
      <c r="AD302" s="338"/>
      <c r="AF302" s="502" t="str">
        <f>Table15[[#This Row],[code2]]</f>
        <v>PHL</v>
      </c>
      <c r="AG302" s="502" t="str">
        <f>Table15[[#This Row],[code5]]</f>
        <v>HOOFR</v>
      </c>
    </row>
    <row r="303" spans="1:33">
      <c r="A303" s="338" t="s">
        <v>6072</v>
      </c>
      <c r="B303" s="338" t="s">
        <v>6073</v>
      </c>
      <c r="C303" s="337">
        <v>1</v>
      </c>
      <c r="D303" s="338" t="s">
        <v>6074</v>
      </c>
      <c r="E303" s="338" t="s">
        <v>6075</v>
      </c>
      <c r="F303" s="337">
        <v>1</v>
      </c>
      <c r="G303" s="337">
        <v>1</v>
      </c>
      <c r="H303" s="338" t="s">
        <v>6075</v>
      </c>
      <c r="I303" s="338" t="s">
        <v>9548</v>
      </c>
      <c r="J303" s="338" t="s">
        <v>9550</v>
      </c>
      <c r="K303" s="338" t="s">
        <v>6076</v>
      </c>
      <c r="L303" s="338"/>
      <c r="M303" s="338" t="s">
        <v>6442</v>
      </c>
      <c r="N303" s="338" t="s">
        <v>6443</v>
      </c>
      <c r="O303" s="337">
        <v>1</v>
      </c>
      <c r="P303" s="337">
        <v>1</v>
      </c>
      <c r="Q303" s="338"/>
      <c r="R303" s="338" t="s">
        <v>6088</v>
      </c>
      <c r="S303" s="338"/>
      <c r="T303" s="338"/>
      <c r="U303" s="338" t="s">
        <v>6447</v>
      </c>
      <c r="V303" s="337">
        <v>1</v>
      </c>
      <c r="W303" s="337">
        <v>1</v>
      </c>
      <c r="X303" s="338"/>
      <c r="Y303" s="338" t="s">
        <v>6085</v>
      </c>
      <c r="Z303" s="338" t="s">
        <v>9063</v>
      </c>
      <c r="AA303" s="338" t="s">
        <v>6079</v>
      </c>
      <c r="AB303" s="338"/>
      <c r="AC303" s="338" t="s">
        <v>6091</v>
      </c>
      <c r="AD303" s="338"/>
      <c r="AF303" s="502" t="str">
        <f>Table15[[#This Row],[code2]]</f>
        <v>PHL</v>
      </c>
      <c r="AG303" s="502" t="str">
        <f>Table15[[#This Row],[code5]]</f>
        <v>HOOFR</v>
      </c>
    </row>
    <row r="304" spans="1:33">
      <c r="A304" s="338" t="s">
        <v>6072</v>
      </c>
      <c r="B304" s="338" t="s">
        <v>6073</v>
      </c>
      <c r="C304" s="337">
        <v>1</v>
      </c>
      <c r="D304" s="338" t="s">
        <v>6074</v>
      </c>
      <c r="E304" s="338" t="s">
        <v>6075</v>
      </c>
      <c r="F304" s="337">
        <v>1</v>
      </c>
      <c r="G304" s="337">
        <v>1</v>
      </c>
      <c r="H304" s="338" t="s">
        <v>6075</v>
      </c>
      <c r="I304" s="338" t="s">
        <v>9548</v>
      </c>
      <c r="J304" s="338" t="s">
        <v>9550</v>
      </c>
      <c r="K304" s="338" t="s">
        <v>6076</v>
      </c>
      <c r="L304" s="338"/>
      <c r="M304" s="338" t="s">
        <v>6442</v>
      </c>
      <c r="N304" s="338" t="s">
        <v>6443</v>
      </c>
      <c r="O304" s="337">
        <v>1</v>
      </c>
      <c r="P304" s="337">
        <v>1</v>
      </c>
      <c r="Q304" s="338"/>
      <c r="R304" s="338" t="s">
        <v>6088</v>
      </c>
      <c r="S304" s="338"/>
      <c r="T304" s="338"/>
      <c r="U304" s="338" t="s">
        <v>6448</v>
      </c>
      <c r="V304" s="337">
        <v>1</v>
      </c>
      <c r="W304" s="337">
        <v>1</v>
      </c>
      <c r="X304" s="338"/>
      <c r="Y304" s="338" t="s">
        <v>497</v>
      </c>
      <c r="Z304" s="338" t="s">
        <v>8014</v>
      </c>
      <c r="AA304" s="338" t="s">
        <v>6079</v>
      </c>
      <c r="AB304" s="338"/>
      <c r="AC304" s="338" t="s">
        <v>6096</v>
      </c>
      <c r="AD304" s="338"/>
      <c r="AF304" s="502" t="str">
        <f>Table15[[#This Row],[code2]]</f>
        <v>PHL</v>
      </c>
      <c r="AG304" s="502" t="str">
        <f>Table15[[#This Row],[code5]]</f>
        <v>HOOFR</v>
      </c>
    </row>
    <row r="305" spans="1:33">
      <c r="A305" s="338" t="s">
        <v>6072</v>
      </c>
      <c r="B305" s="338" t="s">
        <v>6073</v>
      </c>
      <c r="C305" s="337">
        <v>1</v>
      </c>
      <c r="D305" s="338" t="s">
        <v>6074</v>
      </c>
      <c r="E305" s="338" t="s">
        <v>6075</v>
      </c>
      <c r="F305" s="337">
        <v>1</v>
      </c>
      <c r="G305" s="337">
        <v>1</v>
      </c>
      <c r="H305" s="338" t="s">
        <v>6075</v>
      </c>
      <c r="I305" s="338" t="s">
        <v>9548</v>
      </c>
      <c r="J305" s="338" t="s">
        <v>9550</v>
      </c>
      <c r="K305" s="338" t="s">
        <v>6076</v>
      </c>
      <c r="L305" s="338"/>
      <c r="M305" s="338" t="s">
        <v>6442</v>
      </c>
      <c r="N305" s="338" t="s">
        <v>6443</v>
      </c>
      <c r="O305" s="337">
        <v>1</v>
      </c>
      <c r="P305" s="337">
        <v>1</v>
      </c>
      <c r="Q305" s="338"/>
      <c r="R305" s="338" t="s">
        <v>6088</v>
      </c>
      <c r="S305" s="338"/>
      <c r="T305" s="338"/>
      <c r="U305" s="338" t="s">
        <v>6449</v>
      </c>
      <c r="V305" s="337">
        <v>1</v>
      </c>
      <c r="W305" s="337">
        <v>1</v>
      </c>
      <c r="X305" s="338"/>
      <c r="Y305" s="338" t="s">
        <v>6081</v>
      </c>
      <c r="Z305" s="338" t="s">
        <v>8016</v>
      </c>
      <c r="AA305" s="338" t="s">
        <v>6079</v>
      </c>
      <c r="AB305" s="338"/>
      <c r="AC305" s="338" t="s">
        <v>6096</v>
      </c>
      <c r="AD305" s="338"/>
      <c r="AF305" s="502" t="str">
        <f>Table15[[#This Row],[code2]]</f>
        <v>PHL</v>
      </c>
      <c r="AG305" s="502" t="str">
        <f>Table15[[#This Row],[code5]]</f>
        <v>HOOFR</v>
      </c>
    </row>
    <row r="306" spans="1:33">
      <c r="A306" s="338" t="s">
        <v>6072</v>
      </c>
      <c r="B306" s="338" t="s">
        <v>6073</v>
      </c>
      <c r="C306" s="337">
        <v>1</v>
      </c>
      <c r="D306" s="338" t="s">
        <v>6074</v>
      </c>
      <c r="E306" s="338" t="s">
        <v>6075</v>
      </c>
      <c r="F306" s="337">
        <v>1</v>
      </c>
      <c r="G306" s="337">
        <v>1</v>
      </c>
      <c r="H306" s="338" t="s">
        <v>6075</v>
      </c>
      <c r="I306" s="338" t="s">
        <v>9548</v>
      </c>
      <c r="J306" s="338" t="s">
        <v>9550</v>
      </c>
      <c r="K306" s="338" t="s">
        <v>6076</v>
      </c>
      <c r="L306" s="338"/>
      <c r="M306" s="338" t="s">
        <v>6442</v>
      </c>
      <c r="N306" s="338" t="s">
        <v>6443</v>
      </c>
      <c r="O306" s="337">
        <v>1</v>
      </c>
      <c r="P306" s="337">
        <v>1</v>
      </c>
      <c r="Q306" s="338"/>
      <c r="R306" s="338" t="s">
        <v>6088</v>
      </c>
      <c r="S306" s="338"/>
      <c r="T306" s="338"/>
      <c r="U306" s="338" t="s">
        <v>6450</v>
      </c>
      <c r="V306" s="337">
        <v>1</v>
      </c>
      <c r="W306" s="337">
        <v>1</v>
      </c>
      <c r="X306" s="338"/>
      <c r="Y306" s="338" t="s">
        <v>493</v>
      </c>
      <c r="Z306" s="338" t="s">
        <v>7915</v>
      </c>
      <c r="AA306" s="338" t="s">
        <v>6079</v>
      </c>
      <c r="AB306" s="338"/>
      <c r="AC306" s="338" t="s">
        <v>6096</v>
      </c>
      <c r="AD306" s="338"/>
      <c r="AF306" s="502" t="str">
        <f>Table15[[#This Row],[code2]]</f>
        <v>PHL</v>
      </c>
      <c r="AG306" s="502" t="str">
        <f>Table15[[#This Row],[code5]]</f>
        <v>HOOFR</v>
      </c>
    </row>
    <row r="307" spans="1:33">
      <c r="A307" s="338" t="s">
        <v>6072</v>
      </c>
      <c r="B307" s="338" t="s">
        <v>6073</v>
      </c>
      <c r="C307" s="337">
        <v>1</v>
      </c>
      <c r="D307" s="338" t="s">
        <v>6074</v>
      </c>
      <c r="E307" s="338" t="s">
        <v>6075</v>
      </c>
      <c r="F307" s="337">
        <v>1</v>
      </c>
      <c r="G307" s="337">
        <v>1</v>
      </c>
      <c r="H307" s="338" t="s">
        <v>6075</v>
      </c>
      <c r="I307" s="338" t="s">
        <v>9548</v>
      </c>
      <c r="J307" s="338" t="s">
        <v>9550</v>
      </c>
      <c r="K307" s="338" t="s">
        <v>6076</v>
      </c>
      <c r="L307" s="338"/>
      <c r="M307" s="338" t="s">
        <v>6442</v>
      </c>
      <c r="N307" s="338" t="s">
        <v>6443</v>
      </c>
      <c r="O307" s="337">
        <v>1</v>
      </c>
      <c r="P307" s="337">
        <v>1</v>
      </c>
      <c r="Q307" s="338"/>
      <c r="R307" s="338" t="s">
        <v>6088</v>
      </c>
      <c r="S307" s="338"/>
      <c r="T307" s="338"/>
      <c r="U307" s="338" t="s">
        <v>6451</v>
      </c>
      <c r="V307" s="337">
        <v>1</v>
      </c>
      <c r="W307" s="337">
        <v>1</v>
      </c>
      <c r="X307" s="338"/>
      <c r="Y307" s="338" t="s">
        <v>6085</v>
      </c>
      <c r="Z307" s="338" t="s">
        <v>8734</v>
      </c>
      <c r="AA307" s="338" t="s">
        <v>6079</v>
      </c>
      <c r="AB307" s="338"/>
      <c r="AC307" s="338" t="s">
        <v>6096</v>
      </c>
      <c r="AD307" s="338"/>
      <c r="AF307" s="502" t="str">
        <f>Table15[[#This Row],[code2]]</f>
        <v>PHL</v>
      </c>
      <c r="AG307" s="502" t="str">
        <f>Table15[[#This Row],[code5]]</f>
        <v>HOOFR</v>
      </c>
    </row>
    <row r="308" spans="1:33">
      <c r="A308" s="338" t="s">
        <v>6072</v>
      </c>
      <c r="B308" s="338" t="s">
        <v>6073</v>
      </c>
      <c r="C308" s="337">
        <v>1</v>
      </c>
      <c r="D308" s="338" t="s">
        <v>6074</v>
      </c>
      <c r="E308" s="338" t="s">
        <v>6075</v>
      </c>
      <c r="F308" s="337">
        <v>1</v>
      </c>
      <c r="G308" s="337">
        <v>1</v>
      </c>
      <c r="H308" s="338" t="s">
        <v>6075</v>
      </c>
      <c r="I308" s="338" t="s">
        <v>9548</v>
      </c>
      <c r="J308" s="338" t="s">
        <v>9550</v>
      </c>
      <c r="K308" s="338" t="s">
        <v>6076</v>
      </c>
      <c r="L308" s="338"/>
      <c r="M308" s="338" t="s">
        <v>6442</v>
      </c>
      <c r="N308" s="338" t="s">
        <v>6443</v>
      </c>
      <c r="O308" s="337">
        <v>1</v>
      </c>
      <c r="P308" s="337">
        <v>1</v>
      </c>
      <c r="Q308" s="338"/>
      <c r="R308" s="338" t="s">
        <v>6088</v>
      </c>
      <c r="S308" s="338"/>
      <c r="T308" s="338"/>
      <c r="U308" s="338" t="s">
        <v>6452</v>
      </c>
      <c r="V308" s="337">
        <v>1</v>
      </c>
      <c r="W308" s="337">
        <v>1</v>
      </c>
      <c r="X308" s="338"/>
      <c r="Y308" s="338" t="s">
        <v>497</v>
      </c>
      <c r="Z308" s="338" t="s">
        <v>8014</v>
      </c>
      <c r="AA308" s="338" t="s">
        <v>6079</v>
      </c>
      <c r="AB308" s="338"/>
      <c r="AC308" s="338" t="s">
        <v>6101</v>
      </c>
      <c r="AD308" s="338"/>
      <c r="AF308" s="502" t="str">
        <f>Table15[[#This Row],[code2]]</f>
        <v>PHL</v>
      </c>
      <c r="AG308" s="502" t="str">
        <f>Table15[[#This Row],[code5]]</f>
        <v>HOOFR</v>
      </c>
    </row>
    <row r="309" spans="1:33">
      <c r="A309" s="338" t="s">
        <v>6072</v>
      </c>
      <c r="B309" s="338" t="s">
        <v>6073</v>
      </c>
      <c r="C309" s="337">
        <v>1</v>
      </c>
      <c r="D309" s="338" t="s">
        <v>6074</v>
      </c>
      <c r="E309" s="338" t="s">
        <v>6075</v>
      </c>
      <c r="F309" s="337">
        <v>1</v>
      </c>
      <c r="G309" s="337">
        <v>1</v>
      </c>
      <c r="H309" s="338" t="s">
        <v>6075</v>
      </c>
      <c r="I309" s="338" t="s">
        <v>9548</v>
      </c>
      <c r="J309" s="338" t="s">
        <v>9550</v>
      </c>
      <c r="K309" s="338" t="s">
        <v>6076</v>
      </c>
      <c r="L309" s="338"/>
      <c r="M309" s="338" t="s">
        <v>6442</v>
      </c>
      <c r="N309" s="338" t="s">
        <v>6443</v>
      </c>
      <c r="O309" s="337">
        <v>1</v>
      </c>
      <c r="P309" s="337">
        <v>1</v>
      </c>
      <c r="Q309" s="338"/>
      <c r="R309" s="338" t="s">
        <v>6088</v>
      </c>
      <c r="S309" s="338"/>
      <c r="T309" s="338"/>
      <c r="U309" s="338" t="s">
        <v>6453</v>
      </c>
      <c r="V309" s="337">
        <v>1</v>
      </c>
      <c r="W309" s="337">
        <v>1</v>
      </c>
      <c r="X309" s="338"/>
      <c r="Y309" s="338" t="s">
        <v>6081</v>
      </c>
      <c r="Z309" s="338" t="s">
        <v>8674</v>
      </c>
      <c r="AA309" s="338" t="s">
        <v>6079</v>
      </c>
      <c r="AB309" s="338"/>
      <c r="AC309" s="338" t="s">
        <v>6101</v>
      </c>
      <c r="AD309" s="338"/>
      <c r="AF309" s="502" t="str">
        <f>Table15[[#This Row],[code2]]</f>
        <v>PHL</v>
      </c>
      <c r="AG309" s="502" t="str">
        <f>Table15[[#This Row],[code5]]</f>
        <v>HOOFR</v>
      </c>
    </row>
    <row r="310" spans="1:33">
      <c r="A310" s="338" t="s">
        <v>6072</v>
      </c>
      <c r="B310" s="338" t="s">
        <v>6073</v>
      </c>
      <c r="C310" s="337">
        <v>1</v>
      </c>
      <c r="D310" s="338" t="s">
        <v>6074</v>
      </c>
      <c r="E310" s="338" t="s">
        <v>6075</v>
      </c>
      <c r="F310" s="337">
        <v>1</v>
      </c>
      <c r="G310" s="337">
        <v>1</v>
      </c>
      <c r="H310" s="338" t="s">
        <v>6075</v>
      </c>
      <c r="I310" s="338" t="s">
        <v>9548</v>
      </c>
      <c r="J310" s="338" t="s">
        <v>9550</v>
      </c>
      <c r="K310" s="338" t="s">
        <v>6076</v>
      </c>
      <c r="L310" s="338"/>
      <c r="M310" s="338" t="s">
        <v>6442</v>
      </c>
      <c r="N310" s="338" t="s">
        <v>6443</v>
      </c>
      <c r="O310" s="337">
        <v>1</v>
      </c>
      <c r="P310" s="337">
        <v>1</v>
      </c>
      <c r="Q310" s="338"/>
      <c r="R310" s="338" t="s">
        <v>6088</v>
      </c>
      <c r="S310" s="338"/>
      <c r="T310" s="338"/>
      <c r="U310" s="338" t="s">
        <v>6454</v>
      </c>
      <c r="V310" s="337">
        <v>1</v>
      </c>
      <c r="W310" s="337">
        <v>1</v>
      </c>
      <c r="X310" s="338"/>
      <c r="Y310" s="338" t="s">
        <v>493</v>
      </c>
      <c r="Z310" s="338" t="s">
        <v>7915</v>
      </c>
      <c r="AA310" s="338" t="s">
        <v>6079</v>
      </c>
      <c r="AB310" s="338"/>
      <c r="AC310" s="338" t="s">
        <v>6101</v>
      </c>
      <c r="AD310" s="338"/>
      <c r="AF310" s="502" t="str">
        <f>Table15[[#This Row],[code2]]</f>
        <v>PHL</v>
      </c>
      <c r="AG310" s="502" t="str">
        <f>Table15[[#This Row],[code5]]</f>
        <v>HOOFR</v>
      </c>
    </row>
    <row r="311" spans="1:33">
      <c r="A311" s="338" t="s">
        <v>6072</v>
      </c>
      <c r="B311" s="338" t="s">
        <v>6073</v>
      </c>
      <c r="C311" s="337">
        <v>1</v>
      </c>
      <c r="D311" s="338" t="s">
        <v>6074</v>
      </c>
      <c r="E311" s="338" t="s">
        <v>6075</v>
      </c>
      <c r="F311" s="337">
        <v>1</v>
      </c>
      <c r="G311" s="337">
        <v>1</v>
      </c>
      <c r="H311" s="338" t="s">
        <v>6075</v>
      </c>
      <c r="I311" s="338" t="s">
        <v>9548</v>
      </c>
      <c r="J311" s="338" t="s">
        <v>9550</v>
      </c>
      <c r="K311" s="338" t="s">
        <v>6076</v>
      </c>
      <c r="L311" s="338"/>
      <c r="M311" s="338" t="s">
        <v>6442</v>
      </c>
      <c r="N311" s="338" t="s">
        <v>6443</v>
      </c>
      <c r="O311" s="337">
        <v>1</v>
      </c>
      <c r="P311" s="337">
        <v>1</v>
      </c>
      <c r="Q311" s="338"/>
      <c r="R311" s="338" t="s">
        <v>6088</v>
      </c>
      <c r="S311" s="338"/>
      <c r="T311" s="338"/>
      <c r="U311" s="338" t="s">
        <v>6455</v>
      </c>
      <c r="V311" s="337">
        <v>1</v>
      </c>
      <c r="W311" s="337">
        <v>1</v>
      </c>
      <c r="X311" s="338"/>
      <c r="Y311" s="338" t="s">
        <v>6085</v>
      </c>
      <c r="Z311" s="338" t="s">
        <v>8016</v>
      </c>
      <c r="AA311" s="338" t="s">
        <v>6079</v>
      </c>
      <c r="AB311" s="338"/>
      <c r="AC311" s="338" t="s">
        <v>6101</v>
      </c>
      <c r="AD311" s="338"/>
      <c r="AF311" s="502" t="str">
        <f>Table15[[#This Row],[code2]]</f>
        <v>PHL</v>
      </c>
      <c r="AG311" s="502" t="str">
        <f>Table15[[#This Row],[code5]]</f>
        <v>HOOFR</v>
      </c>
    </row>
    <row r="312" spans="1:33">
      <c r="A312" s="338" t="s">
        <v>6072</v>
      </c>
      <c r="B312" s="338" t="s">
        <v>6073</v>
      </c>
      <c r="C312" s="337">
        <v>1</v>
      </c>
      <c r="D312" s="338" t="s">
        <v>6074</v>
      </c>
      <c r="E312" s="338" t="s">
        <v>6075</v>
      </c>
      <c r="F312" s="337">
        <v>1</v>
      </c>
      <c r="G312" s="337">
        <v>1</v>
      </c>
      <c r="H312" s="338" t="s">
        <v>6075</v>
      </c>
      <c r="I312" s="338" t="s">
        <v>9548</v>
      </c>
      <c r="J312" s="338" t="s">
        <v>9550</v>
      </c>
      <c r="K312" s="338" t="s">
        <v>6076</v>
      </c>
      <c r="L312" s="338"/>
      <c r="M312" s="338" t="s">
        <v>6442</v>
      </c>
      <c r="N312" s="338" t="s">
        <v>6443</v>
      </c>
      <c r="O312" s="337">
        <v>1</v>
      </c>
      <c r="P312" s="337">
        <v>1</v>
      </c>
      <c r="Q312" s="338"/>
      <c r="R312" s="338" t="s">
        <v>6088</v>
      </c>
      <c r="S312" s="338"/>
      <c r="T312" s="338"/>
      <c r="U312" s="338" t="s">
        <v>6456</v>
      </c>
      <c r="V312" s="337">
        <v>1</v>
      </c>
      <c r="W312" s="337">
        <v>1</v>
      </c>
      <c r="X312" s="338"/>
      <c r="Y312" s="338" t="s">
        <v>497</v>
      </c>
      <c r="Z312" s="338" t="s">
        <v>7916</v>
      </c>
      <c r="AA312" s="338" t="s">
        <v>6079</v>
      </c>
      <c r="AB312" s="338"/>
      <c r="AC312" s="338" t="s">
        <v>6106</v>
      </c>
      <c r="AD312" s="338"/>
      <c r="AF312" s="502" t="str">
        <f>Table15[[#This Row],[code2]]</f>
        <v>PHL</v>
      </c>
      <c r="AG312" s="502" t="str">
        <f>Table15[[#This Row],[code5]]</f>
        <v>HOOFR</v>
      </c>
    </row>
    <row r="313" spans="1:33">
      <c r="A313" s="338" t="s">
        <v>6072</v>
      </c>
      <c r="B313" s="338" t="s">
        <v>6073</v>
      </c>
      <c r="C313" s="337">
        <v>1</v>
      </c>
      <c r="D313" s="338" t="s">
        <v>6074</v>
      </c>
      <c r="E313" s="338" t="s">
        <v>6075</v>
      </c>
      <c r="F313" s="337">
        <v>1</v>
      </c>
      <c r="G313" s="337">
        <v>1</v>
      </c>
      <c r="H313" s="338" t="s">
        <v>6075</v>
      </c>
      <c r="I313" s="338" t="s">
        <v>9548</v>
      </c>
      <c r="J313" s="338" t="s">
        <v>9550</v>
      </c>
      <c r="K313" s="338" t="s">
        <v>6076</v>
      </c>
      <c r="L313" s="338"/>
      <c r="M313" s="338" t="s">
        <v>6442</v>
      </c>
      <c r="N313" s="338" t="s">
        <v>6443</v>
      </c>
      <c r="O313" s="337">
        <v>1</v>
      </c>
      <c r="P313" s="337">
        <v>1</v>
      </c>
      <c r="Q313" s="338"/>
      <c r="R313" s="338" t="s">
        <v>6088</v>
      </c>
      <c r="S313" s="338"/>
      <c r="T313" s="338"/>
      <c r="U313" s="338" t="s">
        <v>6457</v>
      </c>
      <c r="V313" s="337">
        <v>1</v>
      </c>
      <c r="W313" s="337">
        <v>1</v>
      </c>
      <c r="X313" s="338"/>
      <c r="Y313" s="338" t="s">
        <v>6081</v>
      </c>
      <c r="Z313" s="338" t="s">
        <v>9146</v>
      </c>
      <c r="AA313" s="338" t="s">
        <v>6079</v>
      </c>
      <c r="AB313" s="338"/>
      <c r="AC313" s="338" t="s">
        <v>6106</v>
      </c>
      <c r="AD313" s="338"/>
      <c r="AF313" s="502" t="str">
        <f>Table15[[#This Row],[code2]]</f>
        <v>PHL</v>
      </c>
      <c r="AG313" s="502" t="str">
        <f>Table15[[#This Row],[code5]]</f>
        <v>HOOFR</v>
      </c>
    </row>
    <row r="314" spans="1:33">
      <c r="A314" s="338" t="s">
        <v>6072</v>
      </c>
      <c r="B314" s="338" t="s">
        <v>6073</v>
      </c>
      <c r="C314" s="337">
        <v>1</v>
      </c>
      <c r="D314" s="338" t="s">
        <v>6074</v>
      </c>
      <c r="E314" s="338" t="s">
        <v>6075</v>
      </c>
      <c r="F314" s="337">
        <v>1</v>
      </c>
      <c r="G314" s="337">
        <v>1</v>
      </c>
      <c r="H314" s="338" t="s">
        <v>6075</v>
      </c>
      <c r="I314" s="338" t="s">
        <v>9548</v>
      </c>
      <c r="J314" s="338" t="s">
        <v>9550</v>
      </c>
      <c r="K314" s="338" t="s">
        <v>6076</v>
      </c>
      <c r="L314" s="338"/>
      <c r="M314" s="338" t="s">
        <v>6442</v>
      </c>
      <c r="N314" s="338" t="s">
        <v>6443</v>
      </c>
      <c r="O314" s="337">
        <v>1</v>
      </c>
      <c r="P314" s="337">
        <v>1</v>
      </c>
      <c r="Q314" s="338"/>
      <c r="R314" s="338" t="s">
        <v>6088</v>
      </c>
      <c r="S314" s="338"/>
      <c r="T314" s="338"/>
      <c r="U314" s="338" t="s">
        <v>6458</v>
      </c>
      <c r="V314" s="337">
        <v>1</v>
      </c>
      <c r="W314" s="337">
        <v>1</v>
      </c>
      <c r="X314" s="338"/>
      <c r="Y314" s="338" t="s">
        <v>493</v>
      </c>
      <c r="Z314" s="338" t="s">
        <v>8029</v>
      </c>
      <c r="AA314" s="338" t="s">
        <v>6079</v>
      </c>
      <c r="AB314" s="338"/>
      <c r="AC314" s="338" t="s">
        <v>6106</v>
      </c>
      <c r="AD314" s="338"/>
      <c r="AF314" s="502" t="str">
        <f>Table15[[#This Row],[code2]]</f>
        <v>PHL</v>
      </c>
      <c r="AG314" s="502" t="str">
        <f>Table15[[#This Row],[code5]]</f>
        <v>HOOFR</v>
      </c>
    </row>
    <row r="315" spans="1:33">
      <c r="A315" s="338" t="s">
        <v>6072</v>
      </c>
      <c r="B315" s="338" t="s">
        <v>6073</v>
      </c>
      <c r="C315" s="337">
        <v>1</v>
      </c>
      <c r="D315" s="338" t="s">
        <v>6074</v>
      </c>
      <c r="E315" s="338" t="s">
        <v>6075</v>
      </c>
      <c r="F315" s="337">
        <v>1</v>
      </c>
      <c r="G315" s="337">
        <v>1</v>
      </c>
      <c r="H315" s="338" t="s">
        <v>6075</v>
      </c>
      <c r="I315" s="338" t="s">
        <v>9548</v>
      </c>
      <c r="J315" s="338" t="s">
        <v>9550</v>
      </c>
      <c r="K315" s="338" t="s">
        <v>6076</v>
      </c>
      <c r="L315" s="338"/>
      <c r="M315" s="338" t="s">
        <v>6442</v>
      </c>
      <c r="N315" s="338" t="s">
        <v>6443</v>
      </c>
      <c r="O315" s="337">
        <v>1</v>
      </c>
      <c r="P315" s="337">
        <v>1</v>
      </c>
      <c r="Q315" s="338"/>
      <c r="R315" s="338" t="s">
        <v>6088</v>
      </c>
      <c r="S315" s="338"/>
      <c r="T315" s="338"/>
      <c r="U315" s="338" t="s">
        <v>6459</v>
      </c>
      <c r="V315" s="337">
        <v>1</v>
      </c>
      <c r="W315" s="337">
        <v>1</v>
      </c>
      <c r="X315" s="338"/>
      <c r="Y315" s="338" t="s">
        <v>6085</v>
      </c>
      <c r="Z315" s="338" t="s">
        <v>8347</v>
      </c>
      <c r="AA315" s="338" t="s">
        <v>6079</v>
      </c>
      <c r="AB315" s="338"/>
      <c r="AC315" s="338" t="s">
        <v>6106</v>
      </c>
      <c r="AD315" s="338"/>
      <c r="AF315" s="502" t="str">
        <f>Table15[[#This Row],[code2]]</f>
        <v>PHL</v>
      </c>
      <c r="AG315" s="502" t="str">
        <f>Table15[[#This Row],[code5]]</f>
        <v>HOOFR</v>
      </c>
    </row>
    <row r="316" spans="1:33">
      <c r="A316" s="338" t="s">
        <v>6072</v>
      </c>
      <c r="B316" s="338" t="s">
        <v>6073</v>
      </c>
      <c r="C316" s="337">
        <v>1</v>
      </c>
      <c r="D316" s="338" t="s">
        <v>6074</v>
      </c>
      <c r="E316" s="338" t="s">
        <v>6075</v>
      </c>
      <c r="F316" s="337">
        <v>1</v>
      </c>
      <c r="G316" s="337">
        <v>1</v>
      </c>
      <c r="H316" s="338" t="s">
        <v>6075</v>
      </c>
      <c r="I316" s="338" t="s">
        <v>9548</v>
      </c>
      <c r="J316" s="338" t="s">
        <v>9550</v>
      </c>
      <c r="K316" s="338" t="s">
        <v>6076</v>
      </c>
      <c r="L316" s="338"/>
      <c r="M316" s="338" t="s">
        <v>6442</v>
      </c>
      <c r="N316" s="338" t="s">
        <v>6443</v>
      </c>
      <c r="O316" s="337">
        <v>1</v>
      </c>
      <c r="P316" s="337">
        <v>1</v>
      </c>
      <c r="Q316" s="338"/>
      <c r="R316" s="338" t="s">
        <v>6088</v>
      </c>
      <c r="S316" s="338"/>
      <c r="T316" s="338"/>
      <c r="U316" s="338" t="s">
        <v>6460</v>
      </c>
      <c r="V316" s="337">
        <v>1</v>
      </c>
      <c r="W316" s="337">
        <v>1</v>
      </c>
      <c r="X316" s="338"/>
      <c r="Y316" s="338" t="s">
        <v>497</v>
      </c>
      <c r="Z316" s="338" t="s">
        <v>8023</v>
      </c>
      <c r="AA316" s="338" t="s">
        <v>6079</v>
      </c>
      <c r="AB316" s="338"/>
      <c r="AC316" s="338" t="s">
        <v>6111</v>
      </c>
      <c r="AD316" s="338"/>
      <c r="AF316" s="502" t="str">
        <f>Table15[[#This Row],[code2]]</f>
        <v>PHL</v>
      </c>
      <c r="AG316" s="502" t="str">
        <f>Table15[[#This Row],[code5]]</f>
        <v>HOOFR</v>
      </c>
    </row>
    <row r="317" spans="1:33">
      <c r="A317" s="338" t="s">
        <v>6072</v>
      </c>
      <c r="B317" s="338" t="s">
        <v>6073</v>
      </c>
      <c r="C317" s="337">
        <v>1</v>
      </c>
      <c r="D317" s="338" t="s">
        <v>6074</v>
      </c>
      <c r="E317" s="338" t="s">
        <v>6075</v>
      </c>
      <c r="F317" s="337">
        <v>1</v>
      </c>
      <c r="G317" s="337">
        <v>1</v>
      </c>
      <c r="H317" s="338" t="s">
        <v>6075</v>
      </c>
      <c r="I317" s="338" t="s">
        <v>9548</v>
      </c>
      <c r="J317" s="338" t="s">
        <v>9550</v>
      </c>
      <c r="K317" s="338" t="s">
        <v>6076</v>
      </c>
      <c r="L317" s="338"/>
      <c r="M317" s="338" t="s">
        <v>6442</v>
      </c>
      <c r="N317" s="338" t="s">
        <v>6443</v>
      </c>
      <c r="O317" s="337">
        <v>1</v>
      </c>
      <c r="P317" s="337">
        <v>1</v>
      </c>
      <c r="Q317" s="338"/>
      <c r="R317" s="338" t="s">
        <v>6088</v>
      </c>
      <c r="S317" s="338"/>
      <c r="T317" s="338"/>
      <c r="U317" s="338" t="s">
        <v>6461</v>
      </c>
      <c r="V317" s="337">
        <v>1</v>
      </c>
      <c r="W317" s="337">
        <v>1</v>
      </c>
      <c r="X317" s="338"/>
      <c r="Y317" s="338" t="s">
        <v>6081</v>
      </c>
      <c r="Z317" s="338" t="s">
        <v>9147</v>
      </c>
      <c r="AA317" s="338" t="s">
        <v>6079</v>
      </c>
      <c r="AB317" s="338"/>
      <c r="AC317" s="338" t="s">
        <v>6111</v>
      </c>
      <c r="AD317" s="338"/>
      <c r="AF317" s="502" t="str">
        <f>Table15[[#This Row],[code2]]</f>
        <v>PHL</v>
      </c>
      <c r="AG317" s="502" t="str">
        <f>Table15[[#This Row],[code5]]</f>
        <v>HOOFR</v>
      </c>
    </row>
    <row r="318" spans="1:33">
      <c r="A318" s="338" t="s">
        <v>6072</v>
      </c>
      <c r="B318" s="338" t="s">
        <v>6073</v>
      </c>
      <c r="C318" s="337">
        <v>1</v>
      </c>
      <c r="D318" s="338" t="s">
        <v>6074</v>
      </c>
      <c r="E318" s="338" t="s">
        <v>6075</v>
      </c>
      <c r="F318" s="337">
        <v>1</v>
      </c>
      <c r="G318" s="337">
        <v>1</v>
      </c>
      <c r="H318" s="338" t="s">
        <v>6075</v>
      </c>
      <c r="I318" s="338" t="s">
        <v>9548</v>
      </c>
      <c r="J318" s="338" t="s">
        <v>9550</v>
      </c>
      <c r="K318" s="338" t="s">
        <v>6076</v>
      </c>
      <c r="L318" s="338"/>
      <c r="M318" s="338" t="s">
        <v>6442</v>
      </c>
      <c r="N318" s="338" t="s">
        <v>6443</v>
      </c>
      <c r="O318" s="337">
        <v>1</v>
      </c>
      <c r="P318" s="337">
        <v>1</v>
      </c>
      <c r="Q318" s="338"/>
      <c r="R318" s="338" t="s">
        <v>6088</v>
      </c>
      <c r="S318" s="338"/>
      <c r="T318" s="338"/>
      <c r="U318" s="338" t="s">
        <v>6462</v>
      </c>
      <c r="V318" s="337">
        <v>1</v>
      </c>
      <c r="W318" s="337">
        <v>1</v>
      </c>
      <c r="X318" s="338"/>
      <c r="Y318" s="338" t="s">
        <v>493</v>
      </c>
      <c r="Z318" s="338" t="s">
        <v>8009</v>
      </c>
      <c r="AA318" s="338" t="s">
        <v>6079</v>
      </c>
      <c r="AB318" s="338"/>
      <c r="AC318" s="338" t="s">
        <v>6111</v>
      </c>
      <c r="AD318" s="338"/>
      <c r="AF318" s="502" t="str">
        <f>Table15[[#This Row],[code2]]</f>
        <v>PHL</v>
      </c>
      <c r="AG318" s="502" t="str">
        <f>Table15[[#This Row],[code5]]</f>
        <v>HOOFR</v>
      </c>
    </row>
    <row r="319" spans="1:33">
      <c r="A319" s="338" t="s">
        <v>6072</v>
      </c>
      <c r="B319" s="338" t="s">
        <v>6073</v>
      </c>
      <c r="C319" s="337">
        <v>1</v>
      </c>
      <c r="D319" s="338" t="s">
        <v>6074</v>
      </c>
      <c r="E319" s="338" t="s">
        <v>6075</v>
      </c>
      <c r="F319" s="337">
        <v>1</v>
      </c>
      <c r="G319" s="337">
        <v>1</v>
      </c>
      <c r="H319" s="338" t="s">
        <v>6075</v>
      </c>
      <c r="I319" s="338" t="s">
        <v>9548</v>
      </c>
      <c r="J319" s="338" t="s">
        <v>9550</v>
      </c>
      <c r="K319" s="338" t="s">
        <v>6076</v>
      </c>
      <c r="L319" s="338"/>
      <c r="M319" s="338" t="s">
        <v>6442</v>
      </c>
      <c r="N319" s="338" t="s">
        <v>6443</v>
      </c>
      <c r="O319" s="337">
        <v>1</v>
      </c>
      <c r="P319" s="337">
        <v>1</v>
      </c>
      <c r="Q319" s="338"/>
      <c r="R319" s="338" t="s">
        <v>6088</v>
      </c>
      <c r="S319" s="338"/>
      <c r="T319" s="338"/>
      <c r="U319" s="338" t="s">
        <v>6463</v>
      </c>
      <c r="V319" s="337">
        <v>1</v>
      </c>
      <c r="W319" s="337">
        <v>1</v>
      </c>
      <c r="X319" s="338"/>
      <c r="Y319" s="338" t="s">
        <v>6085</v>
      </c>
      <c r="Z319" s="338" t="s">
        <v>8347</v>
      </c>
      <c r="AA319" s="338" t="s">
        <v>6079</v>
      </c>
      <c r="AB319" s="338"/>
      <c r="AC319" s="338" t="s">
        <v>6111</v>
      </c>
      <c r="AD319" s="338"/>
      <c r="AF319" s="502" t="str">
        <f>Table15[[#This Row],[code2]]</f>
        <v>PHL</v>
      </c>
      <c r="AG319" s="502" t="str">
        <f>Table15[[#This Row],[code5]]</f>
        <v>HOOFR</v>
      </c>
    </row>
    <row r="320" spans="1:33">
      <c r="A320" s="338" t="s">
        <v>6072</v>
      </c>
      <c r="B320" s="338" t="s">
        <v>6073</v>
      </c>
      <c r="C320" s="337">
        <v>1</v>
      </c>
      <c r="D320" s="338" t="s">
        <v>6074</v>
      </c>
      <c r="E320" s="338" t="s">
        <v>6075</v>
      </c>
      <c r="F320" s="337">
        <v>1</v>
      </c>
      <c r="G320" s="337">
        <v>1</v>
      </c>
      <c r="H320" s="338" t="s">
        <v>6075</v>
      </c>
      <c r="I320" s="338" t="s">
        <v>9548</v>
      </c>
      <c r="J320" s="338" t="s">
        <v>9550</v>
      </c>
      <c r="K320" s="338" t="s">
        <v>6076</v>
      </c>
      <c r="L320" s="338"/>
      <c r="M320" s="338" t="s">
        <v>6442</v>
      </c>
      <c r="N320" s="338" t="s">
        <v>6443</v>
      </c>
      <c r="O320" s="337">
        <v>1</v>
      </c>
      <c r="P320" s="337">
        <v>1</v>
      </c>
      <c r="Q320" s="338"/>
      <c r="R320" s="338" t="s">
        <v>6088</v>
      </c>
      <c r="S320" s="338"/>
      <c r="T320" s="338"/>
      <c r="U320" s="338" t="s">
        <v>6464</v>
      </c>
      <c r="V320" s="337">
        <v>1</v>
      </c>
      <c r="W320" s="337">
        <v>1</v>
      </c>
      <c r="X320" s="338"/>
      <c r="Y320" s="338" t="s">
        <v>497</v>
      </c>
      <c r="Z320" s="338" t="s">
        <v>6137</v>
      </c>
      <c r="AA320" s="338" t="s">
        <v>6079</v>
      </c>
      <c r="AB320" s="338"/>
      <c r="AC320" s="338" t="s">
        <v>6117</v>
      </c>
      <c r="AD320" s="338"/>
      <c r="AF320" s="502" t="str">
        <f>Table15[[#This Row],[code2]]</f>
        <v>PHL</v>
      </c>
      <c r="AG320" s="502" t="str">
        <f>Table15[[#This Row],[code5]]</f>
        <v>HOOFR</v>
      </c>
    </row>
    <row r="321" spans="1:33">
      <c r="A321" s="338" t="s">
        <v>6072</v>
      </c>
      <c r="B321" s="338" t="s">
        <v>6073</v>
      </c>
      <c r="C321" s="337">
        <v>1</v>
      </c>
      <c r="D321" s="338" t="s">
        <v>6074</v>
      </c>
      <c r="E321" s="338" t="s">
        <v>6075</v>
      </c>
      <c r="F321" s="337">
        <v>1</v>
      </c>
      <c r="G321" s="337">
        <v>1</v>
      </c>
      <c r="H321" s="338" t="s">
        <v>6075</v>
      </c>
      <c r="I321" s="338" t="s">
        <v>9548</v>
      </c>
      <c r="J321" s="338" t="s">
        <v>9550</v>
      </c>
      <c r="K321" s="338" t="s">
        <v>6076</v>
      </c>
      <c r="L321" s="338"/>
      <c r="M321" s="338" t="s">
        <v>6442</v>
      </c>
      <c r="N321" s="338" t="s">
        <v>6443</v>
      </c>
      <c r="O321" s="337">
        <v>1</v>
      </c>
      <c r="P321" s="337">
        <v>1</v>
      </c>
      <c r="Q321" s="338"/>
      <c r="R321" s="338" t="s">
        <v>6088</v>
      </c>
      <c r="S321" s="338"/>
      <c r="T321" s="338"/>
      <c r="U321" s="338" t="s">
        <v>6465</v>
      </c>
      <c r="V321" s="337">
        <v>1</v>
      </c>
      <c r="W321" s="337">
        <v>1</v>
      </c>
      <c r="X321" s="338"/>
      <c r="Y321" s="338" t="s">
        <v>6081</v>
      </c>
      <c r="Z321" s="338" t="s">
        <v>6289</v>
      </c>
      <c r="AA321" s="338" t="s">
        <v>6079</v>
      </c>
      <c r="AB321" s="338"/>
      <c r="AC321" s="338" t="s">
        <v>6117</v>
      </c>
      <c r="AD321" s="338"/>
      <c r="AF321" s="502" t="str">
        <f>Table15[[#This Row],[code2]]</f>
        <v>PHL</v>
      </c>
      <c r="AG321" s="502" t="str">
        <f>Table15[[#This Row],[code5]]</f>
        <v>HOOFR</v>
      </c>
    </row>
    <row r="322" spans="1:33">
      <c r="A322" s="338" t="s">
        <v>6072</v>
      </c>
      <c r="B322" s="338" t="s">
        <v>6073</v>
      </c>
      <c r="C322" s="337">
        <v>1</v>
      </c>
      <c r="D322" s="338" t="s">
        <v>6074</v>
      </c>
      <c r="E322" s="338" t="s">
        <v>6075</v>
      </c>
      <c r="F322" s="337">
        <v>1</v>
      </c>
      <c r="G322" s="337">
        <v>1</v>
      </c>
      <c r="H322" s="338" t="s">
        <v>6075</v>
      </c>
      <c r="I322" s="338" t="s">
        <v>9548</v>
      </c>
      <c r="J322" s="338" t="s">
        <v>9550</v>
      </c>
      <c r="K322" s="338" t="s">
        <v>6076</v>
      </c>
      <c r="L322" s="338"/>
      <c r="M322" s="338" t="s">
        <v>6442</v>
      </c>
      <c r="N322" s="338" t="s">
        <v>6443</v>
      </c>
      <c r="O322" s="337">
        <v>1</v>
      </c>
      <c r="P322" s="337">
        <v>1</v>
      </c>
      <c r="Q322" s="338"/>
      <c r="R322" s="338" t="s">
        <v>6088</v>
      </c>
      <c r="S322" s="338"/>
      <c r="T322" s="338"/>
      <c r="U322" s="338" t="s">
        <v>6466</v>
      </c>
      <c r="V322" s="337">
        <v>1</v>
      </c>
      <c r="W322" s="337">
        <v>1</v>
      </c>
      <c r="X322" s="338"/>
      <c r="Y322" s="338" t="s">
        <v>493</v>
      </c>
      <c r="Z322" s="338" t="s">
        <v>6137</v>
      </c>
      <c r="AA322" s="338" t="s">
        <v>6079</v>
      </c>
      <c r="AB322" s="338"/>
      <c r="AC322" s="338" t="s">
        <v>6117</v>
      </c>
      <c r="AD322" s="338"/>
      <c r="AF322" s="502" t="str">
        <f>Table15[[#This Row],[code2]]</f>
        <v>PHL</v>
      </c>
      <c r="AG322" s="502" t="str">
        <f>Table15[[#This Row],[code5]]</f>
        <v>HOOFR</v>
      </c>
    </row>
    <row r="323" spans="1:33">
      <c r="A323" s="338" t="s">
        <v>6072</v>
      </c>
      <c r="B323" s="338" t="s">
        <v>6073</v>
      </c>
      <c r="C323" s="337">
        <v>1</v>
      </c>
      <c r="D323" s="338" t="s">
        <v>6074</v>
      </c>
      <c r="E323" s="338" t="s">
        <v>6075</v>
      </c>
      <c r="F323" s="337">
        <v>1</v>
      </c>
      <c r="G323" s="337">
        <v>1</v>
      </c>
      <c r="H323" s="338" t="s">
        <v>6075</v>
      </c>
      <c r="I323" s="338" t="s">
        <v>9548</v>
      </c>
      <c r="J323" s="338" t="s">
        <v>9550</v>
      </c>
      <c r="K323" s="338" t="s">
        <v>6076</v>
      </c>
      <c r="L323" s="338"/>
      <c r="M323" s="338" t="s">
        <v>6442</v>
      </c>
      <c r="N323" s="338" t="s">
        <v>6443</v>
      </c>
      <c r="O323" s="337">
        <v>1</v>
      </c>
      <c r="P323" s="337">
        <v>1</v>
      </c>
      <c r="Q323" s="338"/>
      <c r="R323" s="338" t="s">
        <v>6088</v>
      </c>
      <c r="S323" s="338"/>
      <c r="T323" s="338"/>
      <c r="U323" s="338" t="s">
        <v>6467</v>
      </c>
      <c r="V323" s="337">
        <v>1</v>
      </c>
      <c r="W323" s="337">
        <v>1</v>
      </c>
      <c r="X323" s="338"/>
      <c r="Y323" s="338" t="s">
        <v>6085</v>
      </c>
      <c r="Z323" s="338" t="s">
        <v>9096</v>
      </c>
      <c r="AA323" s="338" t="s">
        <v>6079</v>
      </c>
      <c r="AB323" s="338"/>
      <c r="AC323" s="338" t="s">
        <v>6117</v>
      </c>
      <c r="AD323" s="338"/>
      <c r="AF323" s="502" t="str">
        <f>Table15[[#This Row],[code2]]</f>
        <v>PHL</v>
      </c>
      <c r="AG323" s="502" t="str">
        <f>Table15[[#This Row],[code5]]</f>
        <v>HOOFR</v>
      </c>
    </row>
    <row r="324" spans="1:33">
      <c r="A324" s="338" t="s">
        <v>6072</v>
      </c>
      <c r="B324" s="338" t="s">
        <v>6073</v>
      </c>
      <c r="C324" s="337">
        <v>1</v>
      </c>
      <c r="D324" s="338" t="s">
        <v>6074</v>
      </c>
      <c r="E324" s="338" t="s">
        <v>6075</v>
      </c>
      <c r="F324" s="337">
        <v>1</v>
      </c>
      <c r="G324" s="337">
        <v>1</v>
      </c>
      <c r="H324" s="338" t="s">
        <v>6075</v>
      </c>
      <c r="I324" s="338" t="s">
        <v>9548</v>
      </c>
      <c r="J324" s="338" t="s">
        <v>9550</v>
      </c>
      <c r="K324" s="338" t="s">
        <v>6076</v>
      </c>
      <c r="L324" s="338"/>
      <c r="M324" s="338" t="s">
        <v>6442</v>
      </c>
      <c r="N324" s="338" t="s">
        <v>6443</v>
      </c>
      <c r="O324" s="337">
        <v>1</v>
      </c>
      <c r="P324" s="337">
        <v>1</v>
      </c>
      <c r="Q324" s="338"/>
      <c r="R324" s="338" t="s">
        <v>6088</v>
      </c>
      <c r="S324" s="338"/>
      <c r="T324" s="338"/>
      <c r="U324" s="338" t="s">
        <v>6468</v>
      </c>
      <c r="V324" s="337">
        <v>1</v>
      </c>
      <c r="W324" s="337">
        <v>1</v>
      </c>
      <c r="X324" s="338"/>
      <c r="Y324" s="338" t="s">
        <v>497</v>
      </c>
      <c r="Z324" s="338" t="s">
        <v>6137</v>
      </c>
      <c r="AA324" s="338" t="s">
        <v>6079</v>
      </c>
      <c r="AB324" s="338"/>
      <c r="AC324" s="338" t="s">
        <v>6122</v>
      </c>
      <c r="AD324" s="338"/>
      <c r="AF324" s="502" t="str">
        <f>Table15[[#This Row],[code2]]</f>
        <v>PHL</v>
      </c>
      <c r="AG324" s="502" t="str">
        <f>Table15[[#This Row],[code5]]</f>
        <v>HOOFR</v>
      </c>
    </row>
    <row r="325" spans="1:33">
      <c r="A325" s="338" t="s">
        <v>6072</v>
      </c>
      <c r="B325" s="338" t="s">
        <v>6073</v>
      </c>
      <c r="C325" s="337">
        <v>1</v>
      </c>
      <c r="D325" s="338" t="s">
        <v>6074</v>
      </c>
      <c r="E325" s="338" t="s">
        <v>6075</v>
      </c>
      <c r="F325" s="337">
        <v>1</v>
      </c>
      <c r="G325" s="337">
        <v>1</v>
      </c>
      <c r="H325" s="338" t="s">
        <v>6075</v>
      </c>
      <c r="I325" s="338" t="s">
        <v>9548</v>
      </c>
      <c r="J325" s="338" t="s">
        <v>9550</v>
      </c>
      <c r="K325" s="338" t="s">
        <v>6076</v>
      </c>
      <c r="L325" s="338"/>
      <c r="M325" s="338" t="s">
        <v>6442</v>
      </c>
      <c r="N325" s="338" t="s">
        <v>6443</v>
      </c>
      <c r="O325" s="337">
        <v>1</v>
      </c>
      <c r="P325" s="337">
        <v>1</v>
      </c>
      <c r="Q325" s="338"/>
      <c r="R325" s="338" t="s">
        <v>6088</v>
      </c>
      <c r="S325" s="338"/>
      <c r="T325" s="338"/>
      <c r="U325" s="338" t="s">
        <v>6469</v>
      </c>
      <c r="V325" s="337">
        <v>1</v>
      </c>
      <c r="W325" s="337">
        <v>1</v>
      </c>
      <c r="X325" s="338"/>
      <c r="Y325" s="338" t="s">
        <v>6081</v>
      </c>
      <c r="Z325" s="338" t="s">
        <v>9148</v>
      </c>
      <c r="AA325" s="338" t="s">
        <v>6079</v>
      </c>
      <c r="AB325" s="338"/>
      <c r="AC325" s="338" t="s">
        <v>6122</v>
      </c>
      <c r="AD325" s="338"/>
      <c r="AF325" s="502" t="str">
        <f>Table15[[#This Row],[code2]]</f>
        <v>PHL</v>
      </c>
      <c r="AG325" s="502" t="str">
        <f>Table15[[#This Row],[code5]]</f>
        <v>HOOFR</v>
      </c>
    </row>
    <row r="326" spans="1:33">
      <c r="A326" s="338" t="s">
        <v>6072</v>
      </c>
      <c r="B326" s="338" t="s">
        <v>6073</v>
      </c>
      <c r="C326" s="337">
        <v>1</v>
      </c>
      <c r="D326" s="338" t="s">
        <v>6074</v>
      </c>
      <c r="E326" s="338" t="s">
        <v>6075</v>
      </c>
      <c r="F326" s="337">
        <v>1</v>
      </c>
      <c r="G326" s="337">
        <v>1</v>
      </c>
      <c r="H326" s="338" t="s">
        <v>6075</v>
      </c>
      <c r="I326" s="338" t="s">
        <v>9548</v>
      </c>
      <c r="J326" s="338" t="s">
        <v>9550</v>
      </c>
      <c r="K326" s="338" t="s">
        <v>6076</v>
      </c>
      <c r="L326" s="338"/>
      <c r="M326" s="338" t="s">
        <v>6442</v>
      </c>
      <c r="N326" s="338" t="s">
        <v>6443</v>
      </c>
      <c r="O326" s="337">
        <v>1</v>
      </c>
      <c r="P326" s="337">
        <v>1</v>
      </c>
      <c r="Q326" s="338"/>
      <c r="R326" s="338" t="s">
        <v>6088</v>
      </c>
      <c r="S326" s="338"/>
      <c r="T326" s="338"/>
      <c r="U326" s="338" t="s">
        <v>6470</v>
      </c>
      <c r="V326" s="337">
        <v>1</v>
      </c>
      <c r="W326" s="337">
        <v>1</v>
      </c>
      <c r="X326" s="338"/>
      <c r="Y326" s="338" t="s">
        <v>493</v>
      </c>
      <c r="Z326" s="338" t="s">
        <v>6137</v>
      </c>
      <c r="AA326" s="338" t="s">
        <v>6079</v>
      </c>
      <c r="AB326" s="338"/>
      <c r="AC326" s="338" t="s">
        <v>6122</v>
      </c>
      <c r="AD326" s="338"/>
      <c r="AF326" s="502" t="str">
        <f>Table15[[#This Row],[code2]]</f>
        <v>PHL</v>
      </c>
      <c r="AG326" s="502" t="str">
        <f>Table15[[#This Row],[code5]]</f>
        <v>HOOFR</v>
      </c>
    </row>
    <row r="327" spans="1:33">
      <c r="A327" s="338" t="s">
        <v>6072</v>
      </c>
      <c r="B327" s="338" t="s">
        <v>6073</v>
      </c>
      <c r="C327" s="337">
        <v>1</v>
      </c>
      <c r="D327" s="338" t="s">
        <v>6074</v>
      </c>
      <c r="E327" s="338" t="s">
        <v>6075</v>
      </c>
      <c r="F327" s="337">
        <v>1</v>
      </c>
      <c r="G327" s="337">
        <v>1</v>
      </c>
      <c r="H327" s="338" t="s">
        <v>6075</v>
      </c>
      <c r="I327" s="338" t="s">
        <v>9548</v>
      </c>
      <c r="J327" s="338" t="s">
        <v>9550</v>
      </c>
      <c r="K327" s="338" t="s">
        <v>6076</v>
      </c>
      <c r="L327" s="338"/>
      <c r="M327" s="338" t="s">
        <v>6442</v>
      </c>
      <c r="N327" s="338" t="s">
        <v>6443</v>
      </c>
      <c r="O327" s="337">
        <v>1</v>
      </c>
      <c r="P327" s="337">
        <v>1</v>
      </c>
      <c r="Q327" s="338"/>
      <c r="R327" s="338" t="s">
        <v>6088</v>
      </c>
      <c r="S327" s="338"/>
      <c r="T327" s="338"/>
      <c r="U327" s="338" t="s">
        <v>6471</v>
      </c>
      <c r="V327" s="337">
        <v>1</v>
      </c>
      <c r="W327" s="337">
        <v>1</v>
      </c>
      <c r="X327" s="338"/>
      <c r="Y327" s="338" t="s">
        <v>6085</v>
      </c>
      <c r="Z327" s="338" t="s">
        <v>8740</v>
      </c>
      <c r="AA327" s="338" t="s">
        <v>6079</v>
      </c>
      <c r="AB327" s="338"/>
      <c r="AC327" s="338" t="s">
        <v>6122</v>
      </c>
      <c r="AD327" s="338"/>
      <c r="AF327" s="502" t="str">
        <f>Table15[[#This Row],[code2]]</f>
        <v>PHL</v>
      </c>
      <c r="AG327" s="502" t="str">
        <f>Table15[[#This Row],[code5]]</f>
        <v>HOOFR</v>
      </c>
    </row>
    <row r="328" spans="1:33">
      <c r="A328" s="338" t="s">
        <v>6072</v>
      </c>
      <c r="B328" s="338" t="s">
        <v>6073</v>
      </c>
      <c r="C328" s="337">
        <v>1</v>
      </c>
      <c r="D328" s="338" t="s">
        <v>6472</v>
      </c>
      <c r="E328" s="338" t="s">
        <v>6473</v>
      </c>
      <c r="F328" s="337">
        <v>1</v>
      </c>
      <c r="G328" s="337">
        <v>1</v>
      </c>
      <c r="H328" s="338" t="s">
        <v>6474</v>
      </c>
      <c r="I328" s="338" t="s">
        <v>9125</v>
      </c>
      <c r="J328" s="338" t="s">
        <v>9128</v>
      </c>
      <c r="K328" s="338" t="s">
        <v>6475</v>
      </c>
      <c r="L328" s="338"/>
      <c r="M328" s="338" t="s">
        <v>6476</v>
      </c>
      <c r="N328" s="338" t="s">
        <v>8314</v>
      </c>
      <c r="O328" s="337">
        <v>1</v>
      </c>
      <c r="P328" s="337">
        <v>1</v>
      </c>
      <c r="Q328" s="338" t="s">
        <v>6478</v>
      </c>
      <c r="R328" s="338"/>
      <c r="S328" s="338"/>
      <c r="T328" s="338" t="s">
        <v>8321</v>
      </c>
      <c r="U328" s="338" t="s">
        <v>4891</v>
      </c>
      <c r="V328" s="337">
        <v>1</v>
      </c>
      <c r="W328" s="337">
        <v>1</v>
      </c>
      <c r="X328" s="338" t="s">
        <v>6477</v>
      </c>
      <c r="Y328" s="338" t="s">
        <v>6318</v>
      </c>
      <c r="Z328" s="338" t="s">
        <v>9149</v>
      </c>
      <c r="AA328" s="338" t="s">
        <v>6079</v>
      </c>
      <c r="AB328" s="338"/>
      <c r="AC328" s="338"/>
      <c r="AD328" s="338"/>
      <c r="AF328" s="502" t="str">
        <f>Table15[[#This Row],[code2]]</f>
        <v>PEL</v>
      </c>
      <c r="AG328" s="502" t="str">
        <f>Table15[[#This Row],[code5]]</f>
        <v>EM</v>
      </c>
    </row>
    <row r="329" spans="1:33">
      <c r="A329" s="338" t="s">
        <v>6072</v>
      </c>
      <c r="B329" s="338" t="s">
        <v>6073</v>
      </c>
      <c r="C329" s="337">
        <v>1</v>
      </c>
      <c r="D329" s="338" t="s">
        <v>6472</v>
      </c>
      <c r="E329" s="338" t="s">
        <v>6473</v>
      </c>
      <c r="F329" s="337">
        <v>1</v>
      </c>
      <c r="G329" s="337">
        <v>1</v>
      </c>
      <c r="H329" s="338" t="s">
        <v>6474</v>
      </c>
      <c r="I329" s="338" t="s">
        <v>9125</v>
      </c>
      <c r="J329" s="338" t="s">
        <v>9128</v>
      </c>
      <c r="K329" s="338" t="s">
        <v>6475</v>
      </c>
      <c r="L329" s="338"/>
      <c r="M329" s="338" t="s">
        <v>6476</v>
      </c>
      <c r="N329" s="338" t="s">
        <v>8314</v>
      </c>
      <c r="O329" s="337">
        <v>1</v>
      </c>
      <c r="P329" s="337">
        <v>1</v>
      </c>
      <c r="Q329" s="338" t="s">
        <v>6478</v>
      </c>
      <c r="R329" s="338"/>
      <c r="S329" s="338"/>
      <c r="T329" s="338" t="s">
        <v>8321</v>
      </c>
      <c r="U329" s="338" t="s">
        <v>6480</v>
      </c>
      <c r="V329" s="337">
        <v>0</v>
      </c>
      <c r="W329" s="337">
        <v>0</v>
      </c>
      <c r="X329" s="338" t="s">
        <v>8336</v>
      </c>
      <c r="Y329" s="338" t="s">
        <v>6318</v>
      </c>
      <c r="Z329" s="338" t="s">
        <v>7023</v>
      </c>
      <c r="AA329" s="338" t="s">
        <v>6079</v>
      </c>
      <c r="AB329" s="338"/>
      <c r="AC329" s="338"/>
      <c r="AD329" s="338"/>
      <c r="AF329" s="502" t="str">
        <f>Table15[[#This Row],[code2]]</f>
        <v>PEL</v>
      </c>
      <c r="AG329" s="502" t="str">
        <f>Table15[[#This Row],[code5]]</f>
        <v>EM</v>
      </c>
    </row>
    <row r="330" spans="1:33">
      <c r="A330" s="338" t="s">
        <v>6072</v>
      </c>
      <c r="B330" s="338" t="s">
        <v>6073</v>
      </c>
      <c r="C330" s="337">
        <v>1</v>
      </c>
      <c r="D330" s="338" t="s">
        <v>6472</v>
      </c>
      <c r="E330" s="338" t="s">
        <v>6473</v>
      </c>
      <c r="F330" s="337">
        <v>1</v>
      </c>
      <c r="G330" s="337">
        <v>1</v>
      </c>
      <c r="H330" s="338" t="s">
        <v>6474</v>
      </c>
      <c r="I330" s="338" t="s">
        <v>9125</v>
      </c>
      <c r="J330" s="338" t="s">
        <v>9128</v>
      </c>
      <c r="K330" s="338" t="s">
        <v>6475</v>
      </c>
      <c r="L330" s="338"/>
      <c r="M330" s="338" t="s">
        <v>6476</v>
      </c>
      <c r="N330" s="338" t="s">
        <v>8314</v>
      </c>
      <c r="O330" s="337">
        <v>1</v>
      </c>
      <c r="P330" s="337">
        <v>1</v>
      </c>
      <c r="Q330" s="338" t="s">
        <v>6478</v>
      </c>
      <c r="R330" s="338"/>
      <c r="S330" s="338"/>
      <c r="T330" s="338" t="s">
        <v>8321</v>
      </c>
      <c r="U330" s="338" t="s">
        <v>6481</v>
      </c>
      <c r="V330" s="337">
        <v>0</v>
      </c>
      <c r="W330" s="337">
        <v>0</v>
      </c>
      <c r="X330" s="338" t="s">
        <v>8337</v>
      </c>
      <c r="Y330" s="338" t="s">
        <v>6318</v>
      </c>
      <c r="Z330" s="338" t="s">
        <v>7023</v>
      </c>
      <c r="AA330" s="338" t="s">
        <v>6079</v>
      </c>
      <c r="AB330" s="338"/>
      <c r="AC330" s="338"/>
      <c r="AD330" s="338"/>
      <c r="AF330" s="502" t="str">
        <f>Table15[[#This Row],[code2]]</f>
        <v>PEL</v>
      </c>
      <c r="AG330" s="502" t="str">
        <f>Table15[[#This Row],[code5]]</f>
        <v>EM</v>
      </c>
    </row>
    <row r="331" spans="1:33">
      <c r="A331" s="338" t="s">
        <v>6072</v>
      </c>
      <c r="B331" s="338" t="s">
        <v>6073</v>
      </c>
      <c r="C331" s="337">
        <v>1</v>
      </c>
      <c r="D331" s="338" t="s">
        <v>6472</v>
      </c>
      <c r="E331" s="338" t="s">
        <v>6473</v>
      </c>
      <c r="F331" s="337">
        <v>1</v>
      </c>
      <c r="G331" s="337">
        <v>1</v>
      </c>
      <c r="H331" s="338" t="s">
        <v>6474</v>
      </c>
      <c r="I331" s="338" t="s">
        <v>9125</v>
      </c>
      <c r="J331" s="338" t="s">
        <v>9128</v>
      </c>
      <c r="K331" s="338" t="s">
        <v>6475</v>
      </c>
      <c r="L331" s="338"/>
      <c r="M331" s="338" t="s">
        <v>6482</v>
      </c>
      <c r="N331" s="338" t="s">
        <v>8315</v>
      </c>
      <c r="O331" s="337">
        <v>0</v>
      </c>
      <c r="P331" s="337">
        <v>0</v>
      </c>
      <c r="Q331" s="338"/>
      <c r="R331" s="338" t="s">
        <v>14</v>
      </c>
      <c r="S331" s="338"/>
      <c r="T331" s="338" t="s">
        <v>6483</v>
      </c>
      <c r="U331" s="338" t="s">
        <v>6484</v>
      </c>
      <c r="V331" s="337">
        <v>0</v>
      </c>
      <c r="W331" s="337">
        <v>0</v>
      </c>
      <c r="X331" s="338"/>
      <c r="Y331" s="338" t="s">
        <v>6163</v>
      </c>
      <c r="Z331" s="338" t="s">
        <v>6164</v>
      </c>
      <c r="AA331" s="338" t="s">
        <v>6079</v>
      </c>
      <c r="AB331" s="338"/>
      <c r="AC331" s="338" t="s">
        <v>6165</v>
      </c>
      <c r="AD331" s="338"/>
      <c r="AF331" s="502" t="str">
        <f>Table15[[#This Row],[code2]]</f>
        <v>PEL</v>
      </c>
      <c r="AG331" s="502" t="str">
        <f>Table15[[#This Row],[code5]]</f>
        <v>EBFLP</v>
      </c>
    </row>
    <row r="332" spans="1:33">
      <c r="A332" s="338" t="s">
        <v>6072</v>
      </c>
      <c r="B332" s="338" t="s">
        <v>6073</v>
      </c>
      <c r="C332" s="337">
        <v>1</v>
      </c>
      <c r="D332" s="338" t="s">
        <v>6472</v>
      </c>
      <c r="E332" s="338" t="s">
        <v>6473</v>
      </c>
      <c r="F332" s="337">
        <v>1</v>
      </c>
      <c r="G332" s="337">
        <v>1</v>
      </c>
      <c r="H332" s="338" t="s">
        <v>6474</v>
      </c>
      <c r="I332" s="338" t="s">
        <v>9125</v>
      </c>
      <c r="J332" s="338" t="s">
        <v>9128</v>
      </c>
      <c r="K332" s="338" t="s">
        <v>6475</v>
      </c>
      <c r="L332" s="338"/>
      <c r="M332" s="338" t="s">
        <v>6482</v>
      </c>
      <c r="N332" s="338" t="s">
        <v>8315</v>
      </c>
      <c r="O332" s="337">
        <v>0</v>
      </c>
      <c r="P332" s="337">
        <v>0</v>
      </c>
      <c r="Q332" s="338"/>
      <c r="R332" s="338" t="s">
        <v>14</v>
      </c>
      <c r="S332" s="338"/>
      <c r="T332" s="338" t="s">
        <v>6483</v>
      </c>
      <c r="U332" s="338" t="s">
        <v>6485</v>
      </c>
      <c r="V332" s="337">
        <v>0</v>
      </c>
      <c r="W332" s="337">
        <v>0</v>
      </c>
      <c r="X332" s="338"/>
      <c r="Y332" s="338" t="s">
        <v>6167</v>
      </c>
      <c r="Z332" s="338" t="s">
        <v>5825</v>
      </c>
      <c r="AA332" s="338" t="s">
        <v>6079</v>
      </c>
      <c r="AB332" s="338"/>
      <c r="AC332" s="338" t="s">
        <v>6165</v>
      </c>
      <c r="AD332" s="338"/>
      <c r="AF332" s="502" t="str">
        <f>Table15[[#This Row],[code2]]</f>
        <v>PEL</v>
      </c>
      <c r="AG332" s="502" t="str">
        <f>Table15[[#This Row],[code5]]</f>
        <v>EBFLP</v>
      </c>
    </row>
    <row r="333" spans="1:33">
      <c r="A333" s="338" t="s">
        <v>6072</v>
      </c>
      <c r="B333" s="338" t="s">
        <v>6073</v>
      </c>
      <c r="C333" s="337">
        <v>1</v>
      </c>
      <c r="D333" s="338" t="s">
        <v>6472</v>
      </c>
      <c r="E333" s="338" t="s">
        <v>6473</v>
      </c>
      <c r="F333" s="337">
        <v>1</v>
      </c>
      <c r="G333" s="337">
        <v>1</v>
      </c>
      <c r="H333" s="338" t="s">
        <v>6474</v>
      </c>
      <c r="I333" s="338" t="s">
        <v>9125</v>
      </c>
      <c r="J333" s="338" t="s">
        <v>9128</v>
      </c>
      <c r="K333" s="338" t="s">
        <v>6475</v>
      </c>
      <c r="L333" s="338"/>
      <c r="M333" s="338" t="s">
        <v>6482</v>
      </c>
      <c r="N333" s="338" t="s">
        <v>8315</v>
      </c>
      <c r="O333" s="337">
        <v>0</v>
      </c>
      <c r="P333" s="337">
        <v>0</v>
      </c>
      <c r="Q333" s="338"/>
      <c r="R333" s="338" t="s">
        <v>14</v>
      </c>
      <c r="S333" s="338"/>
      <c r="T333" s="338" t="s">
        <v>6483</v>
      </c>
      <c r="U333" s="338" t="s">
        <v>6486</v>
      </c>
      <c r="V333" s="337">
        <v>0</v>
      </c>
      <c r="W333" s="337">
        <v>0</v>
      </c>
      <c r="X333" s="338"/>
      <c r="Y333" s="338" t="s">
        <v>6163</v>
      </c>
      <c r="Z333" s="338" t="s">
        <v>6169</v>
      </c>
      <c r="AA333" s="338" t="s">
        <v>6079</v>
      </c>
      <c r="AB333" s="338"/>
      <c r="AC333" s="338" t="s">
        <v>6170</v>
      </c>
      <c r="AD333" s="338"/>
      <c r="AF333" s="502" t="str">
        <f>Table15[[#This Row],[code2]]</f>
        <v>PEL</v>
      </c>
      <c r="AG333" s="502" t="str">
        <f>Table15[[#This Row],[code5]]</f>
        <v>EBFLP</v>
      </c>
    </row>
    <row r="334" spans="1:33">
      <c r="A334" s="338" t="s">
        <v>6072</v>
      </c>
      <c r="B334" s="338" t="s">
        <v>6073</v>
      </c>
      <c r="C334" s="337">
        <v>1</v>
      </c>
      <c r="D334" s="338" t="s">
        <v>6472</v>
      </c>
      <c r="E334" s="338" t="s">
        <v>6473</v>
      </c>
      <c r="F334" s="337">
        <v>1</v>
      </c>
      <c r="G334" s="337">
        <v>1</v>
      </c>
      <c r="H334" s="338" t="s">
        <v>6474</v>
      </c>
      <c r="I334" s="338" t="s">
        <v>9125</v>
      </c>
      <c r="J334" s="338" t="s">
        <v>9128</v>
      </c>
      <c r="K334" s="338" t="s">
        <v>6475</v>
      </c>
      <c r="L334" s="338"/>
      <c r="M334" s="338" t="s">
        <v>6482</v>
      </c>
      <c r="N334" s="338" t="s">
        <v>8315</v>
      </c>
      <c r="O334" s="337">
        <v>0</v>
      </c>
      <c r="P334" s="337">
        <v>0</v>
      </c>
      <c r="Q334" s="338"/>
      <c r="R334" s="338" t="s">
        <v>14</v>
      </c>
      <c r="S334" s="338"/>
      <c r="T334" s="338" t="s">
        <v>6483</v>
      </c>
      <c r="U334" s="338" t="s">
        <v>6487</v>
      </c>
      <c r="V334" s="337">
        <v>0</v>
      </c>
      <c r="W334" s="337">
        <v>0</v>
      </c>
      <c r="X334" s="338"/>
      <c r="Y334" s="338" t="s">
        <v>6167</v>
      </c>
      <c r="Z334" s="338" t="s">
        <v>5825</v>
      </c>
      <c r="AA334" s="338" t="s">
        <v>6079</v>
      </c>
      <c r="AB334" s="338"/>
      <c r="AC334" s="338" t="s">
        <v>6170</v>
      </c>
      <c r="AD334" s="338"/>
      <c r="AF334" s="502" t="str">
        <f>Table15[[#This Row],[code2]]</f>
        <v>PEL</v>
      </c>
      <c r="AG334" s="502" t="str">
        <f>Table15[[#This Row],[code5]]</f>
        <v>EBFLP</v>
      </c>
    </row>
    <row r="335" spans="1:33">
      <c r="A335" s="338" t="s">
        <v>6072</v>
      </c>
      <c r="B335" s="338" t="s">
        <v>6073</v>
      </c>
      <c r="C335" s="337">
        <v>1</v>
      </c>
      <c r="D335" s="338" t="s">
        <v>6472</v>
      </c>
      <c r="E335" s="338" t="s">
        <v>6473</v>
      </c>
      <c r="F335" s="337">
        <v>1</v>
      </c>
      <c r="G335" s="337">
        <v>1</v>
      </c>
      <c r="H335" s="338" t="s">
        <v>6474</v>
      </c>
      <c r="I335" s="338" t="s">
        <v>9125</v>
      </c>
      <c r="J335" s="338" t="s">
        <v>9128</v>
      </c>
      <c r="K335" s="338" t="s">
        <v>6475</v>
      </c>
      <c r="L335" s="338"/>
      <c r="M335" s="338" t="s">
        <v>6482</v>
      </c>
      <c r="N335" s="338" t="s">
        <v>8315</v>
      </c>
      <c r="O335" s="337">
        <v>0</v>
      </c>
      <c r="P335" s="337">
        <v>0</v>
      </c>
      <c r="Q335" s="338"/>
      <c r="R335" s="338" t="s">
        <v>14</v>
      </c>
      <c r="S335" s="338"/>
      <c r="T335" s="338" t="s">
        <v>6483</v>
      </c>
      <c r="U335" s="338" t="s">
        <v>6488</v>
      </c>
      <c r="V335" s="337">
        <v>0</v>
      </c>
      <c r="W335" s="337">
        <v>0</v>
      </c>
      <c r="X335" s="338"/>
      <c r="Y335" s="338" t="s">
        <v>6163</v>
      </c>
      <c r="Z335" s="338" t="s">
        <v>6173</v>
      </c>
      <c r="AA335" s="338" t="s">
        <v>6079</v>
      </c>
      <c r="AB335" s="338"/>
      <c r="AC335" s="338" t="s">
        <v>6174</v>
      </c>
      <c r="AD335" s="338"/>
      <c r="AF335" s="502" t="str">
        <f>Table15[[#This Row],[code2]]</f>
        <v>PEL</v>
      </c>
      <c r="AG335" s="502" t="str">
        <f>Table15[[#This Row],[code5]]</f>
        <v>EBFLP</v>
      </c>
    </row>
    <row r="336" spans="1:33">
      <c r="A336" s="338" t="s">
        <v>6072</v>
      </c>
      <c r="B336" s="338" t="s">
        <v>6073</v>
      </c>
      <c r="C336" s="337">
        <v>1</v>
      </c>
      <c r="D336" s="338" t="s">
        <v>6472</v>
      </c>
      <c r="E336" s="338" t="s">
        <v>6473</v>
      </c>
      <c r="F336" s="337">
        <v>1</v>
      </c>
      <c r="G336" s="337">
        <v>1</v>
      </c>
      <c r="H336" s="338" t="s">
        <v>6474</v>
      </c>
      <c r="I336" s="338" t="s">
        <v>9125</v>
      </c>
      <c r="J336" s="338" t="s">
        <v>9128</v>
      </c>
      <c r="K336" s="338" t="s">
        <v>6475</v>
      </c>
      <c r="L336" s="338"/>
      <c r="M336" s="338" t="s">
        <v>6482</v>
      </c>
      <c r="N336" s="338" t="s">
        <v>8315</v>
      </c>
      <c r="O336" s="337">
        <v>0</v>
      </c>
      <c r="P336" s="337">
        <v>0</v>
      </c>
      <c r="Q336" s="338"/>
      <c r="R336" s="338" t="s">
        <v>14</v>
      </c>
      <c r="S336" s="338"/>
      <c r="T336" s="338" t="s">
        <v>6483</v>
      </c>
      <c r="U336" s="338" t="s">
        <v>6489</v>
      </c>
      <c r="V336" s="337">
        <v>0</v>
      </c>
      <c r="W336" s="337">
        <v>0</v>
      </c>
      <c r="X336" s="338"/>
      <c r="Y336" s="338" t="s">
        <v>6167</v>
      </c>
      <c r="Z336" s="338" t="s">
        <v>5825</v>
      </c>
      <c r="AA336" s="338" t="s">
        <v>6079</v>
      </c>
      <c r="AB336" s="338"/>
      <c r="AC336" s="338" t="s">
        <v>6174</v>
      </c>
      <c r="AD336" s="338"/>
      <c r="AF336" s="502" t="str">
        <f>Table15[[#This Row],[code2]]</f>
        <v>PEL</v>
      </c>
      <c r="AG336" s="502" t="str">
        <f>Table15[[#This Row],[code5]]</f>
        <v>EBFLP</v>
      </c>
    </row>
    <row r="337" spans="1:33">
      <c r="A337" s="338" t="s">
        <v>6072</v>
      </c>
      <c r="B337" s="338" t="s">
        <v>6073</v>
      </c>
      <c r="C337" s="337">
        <v>1</v>
      </c>
      <c r="D337" s="338" t="s">
        <v>6472</v>
      </c>
      <c r="E337" s="338" t="s">
        <v>6473</v>
      </c>
      <c r="F337" s="337">
        <v>1</v>
      </c>
      <c r="G337" s="337">
        <v>1</v>
      </c>
      <c r="H337" s="338" t="s">
        <v>6474</v>
      </c>
      <c r="I337" s="338" t="s">
        <v>9125</v>
      </c>
      <c r="J337" s="338" t="s">
        <v>9128</v>
      </c>
      <c r="K337" s="338" t="s">
        <v>6475</v>
      </c>
      <c r="L337" s="338"/>
      <c r="M337" s="338" t="s">
        <v>6482</v>
      </c>
      <c r="N337" s="338" t="s">
        <v>8315</v>
      </c>
      <c r="O337" s="337">
        <v>0</v>
      </c>
      <c r="P337" s="337">
        <v>0</v>
      </c>
      <c r="Q337" s="338"/>
      <c r="R337" s="338" t="s">
        <v>14</v>
      </c>
      <c r="S337" s="338"/>
      <c r="T337" s="338" t="s">
        <v>6483</v>
      </c>
      <c r="U337" s="338" t="s">
        <v>6490</v>
      </c>
      <c r="V337" s="337">
        <v>0</v>
      </c>
      <c r="W337" s="337">
        <v>0</v>
      </c>
      <c r="X337" s="338"/>
      <c r="Y337" s="338" t="s">
        <v>6163</v>
      </c>
      <c r="Z337" s="338" t="s">
        <v>6177</v>
      </c>
      <c r="AA337" s="338" t="s">
        <v>6079</v>
      </c>
      <c r="AB337" s="338"/>
      <c r="AC337" s="338" t="s">
        <v>6491</v>
      </c>
      <c r="AD337" s="338"/>
      <c r="AF337" s="502" t="str">
        <f>Table15[[#This Row],[code2]]</f>
        <v>PEL</v>
      </c>
      <c r="AG337" s="502" t="str">
        <f>Table15[[#This Row],[code5]]</f>
        <v>EBFLP</v>
      </c>
    </row>
    <row r="338" spans="1:33">
      <c r="A338" s="338" t="s">
        <v>6072</v>
      </c>
      <c r="B338" s="338" t="s">
        <v>6073</v>
      </c>
      <c r="C338" s="337">
        <v>1</v>
      </c>
      <c r="D338" s="338" t="s">
        <v>6472</v>
      </c>
      <c r="E338" s="338" t="s">
        <v>6473</v>
      </c>
      <c r="F338" s="337">
        <v>1</v>
      </c>
      <c r="G338" s="337">
        <v>1</v>
      </c>
      <c r="H338" s="338" t="s">
        <v>6474</v>
      </c>
      <c r="I338" s="338" t="s">
        <v>9125</v>
      </c>
      <c r="J338" s="338" t="s">
        <v>9128</v>
      </c>
      <c r="K338" s="338" t="s">
        <v>6475</v>
      </c>
      <c r="L338" s="338"/>
      <c r="M338" s="338" t="s">
        <v>6482</v>
      </c>
      <c r="N338" s="338" t="s">
        <v>8315</v>
      </c>
      <c r="O338" s="337">
        <v>0</v>
      </c>
      <c r="P338" s="337">
        <v>0</v>
      </c>
      <c r="Q338" s="338"/>
      <c r="R338" s="338" t="s">
        <v>14</v>
      </c>
      <c r="S338" s="338"/>
      <c r="T338" s="338" t="s">
        <v>6483</v>
      </c>
      <c r="U338" s="338" t="s">
        <v>6492</v>
      </c>
      <c r="V338" s="337">
        <v>0</v>
      </c>
      <c r="W338" s="337">
        <v>0</v>
      </c>
      <c r="X338" s="338"/>
      <c r="Y338" s="338" t="s">
        <v>6163</v>
      </c>
      <c r="Z338" s="338" t="s">
        <v>6185</v>
      </c>
      <c r="AA338" s="338" t="s">
        <v>6079</v>
      </c>
      <c r="AB338" s="338"/>
      <c r="AC338" s="338" t="s">
        <v>6493</v>
      </c>
      <c r="AD338" s="338"/>
      <c r="AF338" s="502" t="str">
        <f>Table15[[#This Row],[code2]]</f>
        <v>PEL</v>
      </c>
      <c r="AG338" s="502" t="str">
        <f>Table15[[#This Row],[code5]]</f>
        <v>EBFLP</v>
      </c>
    </row>
    <row r="339" spans="1:33">
      <c r="A339" s="338" t="s">
        <v>6072</v>
      </c>
      <c r="B339" s="338" t="s">
        <v>6073</v>
      </c>
      <c r="C339" s="337">
        <v>1</v>
      </c>
      <c r="D339" s="338" t="s">
        <v>6472</v>
      </c>
      <c r="E339" s="338" t="s">
        <v>6473</v>
      </c>
      <c r="F339" s="337">
        <v>1</v>
      </c>
      <c r="G339" s="337">
        <v>1</v>
      </c>
      <c r="H339" s="338" t="s">
        <v>6474</v>
      </c>
      <c r="I339" s="338" t="s">
        <v>9125</v>
      </c>
      <c r="J339" s="338" t="s">
        <v>9128</v>
      </c>
      <c r="K339" s="338" t="s">
        <v>6475</v>
      </c>
      <c r="L339" s="338"/>
      <c r="M339" s="338" t="s">
        <v>6494</v>
      </c>
      <c r="N339" s="338" t="s">
        <v>8311</v>
      </c>
      <c r="O339" s="337">
        <v>0</v>
      </c>
      <c r="P339" s="337">
        <v>0</v>
      </c>
      <c r="Q339" s="338"/>
      <c r="R339" s="338" t="s">
        <v>14</v>
      </c>
      <c r="S339" s="338"/>
      <c r="T339" s="338"/>
      <c r="U339" s="338" t="s">
        <v>6495</v>
      </c>
      <c r="V339" s="337">
        <v>0</v>
      </c>
      <c r="W339" s="337">
        <v>0</v>
      </c>
      <c r="X339" s="338"/>
      <c r="Y339" s="338" t="s">
        <v>6318</v>
      </c>
      <c r="Z339" s="338" t="s">
        <v>6479</v>
      </c>
      <c r="AA339" s="338" t="s">
        <v>6079</v>
      </c>
      <c r="AB339" s="338"/>
      <c r="AC339" s="338" t="s">
        <v>6193</v>
      </c>
      <c r="AD339" s="338"/>
      <c r="AF339" s="502" t="str">
        <f>Table15[[#This Row],[code2]]</f>
        <v>PEL</v>
      </c>
      <c r="AG339" s="502" t="str">
        <f>Table15[[#This Row],[code5]]</f>
        <v>PELBFD</v>
      </c>
    </row>
    <row r="340" spans="1:33">
      <c r="A340" s="338" t="s">
        <v>6072</v>
      </c>
      <c r="B340" s="338" t="s">
        <v>6073</v>
      </c>
      <c r="C340" s="337">
        <v>1</v>
      </c>
      <c r="D340" s="338" t="s">
        <v>6472</v>
      </c>
      <c r="E340" s="338" t="s">
        <v>6473</v>
      </c>
      <c r="F340" s="337">
        <v>1</v>
      </c>
      <c r="G340" s="337">
        <v>1</v>
      </c>
      <c r="H340" s="338" t="s">
        <v>6474</v>
      </c>
      <c r="I340" s="338" t="s">
        <v>9125</v>
      </c>
      <c r="J340" s="338" t="s">
        <v>9128</v>
      </c>
      <c r="K340" s="338" t="s">
        <v>6475</v>
      </c>
      <c r="L340" s="338"/>
      <c r="M340" s="338" t="s">
        <v>6494</v>
      </c>
      <c r="N340" s="338" t="s">
        <v>8311</v>
      </c>
      <c r="O340" s="337">
        <v>0</v>
      </c>
      <c r="P340" s="337">
        <v>0</v>
      </c>
      <c r="Q340" s="338"/>
      <c r="R340" s="338" t="s">
        <v>14</v>
      </c>
      <c r="S340" s="338"/>
      <c r="T340" s="338"/>
      <c r="U340" s="338" t="s">
        <v>6497</v>
      </c>
      <c r="V340" s="337">
        <v>0</v>
      </c>
      <c r="W340" s="337">
        <v>0</v>
      </c>
      <c r="X340" s="338"/>
      <c r="Y340" s="338" t="s">
        <v>6318</v>
      </c>
      <c r="Z340" s="338" t="s">
        <v>8271</v>
      </c>
      <c r="AA340" s="338" t="s">
        <v>6079</v>
      </c>
      <c r="AB340" s="338"/>
      <c r="AC340" s="338" t="s">
        <v>6198</v>
      </c>
      <c r="AD340" s="338"/>
      <c r="AF340" s="502" t="str">
        <f>Table15[[#This Row],[code2]]</f>
        <v>PEL</v>
      </c>
      <c r="AG340" s="502" t="str">
        <f>Table15[[#This Row],[code5]]</f>
        <v>PELBFD</v>
      </c>
    </row>
    <row r="341" spans="1:33">
      <c r="A341" s="338" t="s">
        <v>6072</v>
      </c>
      <c r="B341" s="338" t="s">
        <v>6073</v>
      </c>
      <c r="C341" s="337">
        <v>1</v>
      </c>
      <c r="D341" s="338" t="s">
        <v>6472</v>
      </c>
      <c r="E341" s="338" t="s">
        <v>6473</v>
      </c>
      <c r="F341" s="337">
        <v>1</v>
      </c>
      <c r="G341" s="337">
        <v>1</v>
      </c>
      <c r="H341" s="338" t="s">
        <v>6474</v>
      </c>
      <c r="I341" s="338" t="s">
        <v>9125</v>
      </c>
      <c r="J341" s="338" t="s">
        <v>9128</v>
      </c>
      <c r="K341" s="338" t="s">
        <v>6475</v>
      </c>
      <c r="L341" s="338"/>
      <c r="M341" s="338" t="s">
        <v>6494</v>
      </c>
      <c r="N341" s="338" t="s">
        <v>8311</v>
      </c>
      <c r="O341" s="337">
        <v>0</v>
      </c>
      <c r="P341" s="337">
        <v>0</v>
      </c>
      <c r="Q341" s="338"/>
      <c r="R341" s="338" t="s">
        <v>14</v>
      </c>
      <c r="S341" s="338"/>
      <c r="T341" s="338"/>
      <c r="U341" s="338" t="s">
        <v>6499</v>
      </c>
      <c r="V341" s="337">
        <v>0</v>
      </c>
      <c r="W341" s="337">
        <v>0</v>
      </c>
      <c r="X341" s="338"/>
      <c r="Y341" s="338" t="s">
        <v>6318</v>
      </c>
      <c r="Z341" s="338" t="s">
        <v>8272</v>
      </c>
      <c r="AA341" s="338" t="s">
        <v>6079</v>
      </c>
      <c r="AB341" s="338"/>
      <c r="AC341" s="338" t="s">
        <v>6203</v>
      </c>
      <c r="AD341" s="338"/>
      <c r="AF341" s="502" t="str">
        <f>Table15[[#This Row],[code2]]</f>
        <v>PEL</v>
      </c>
      <c r="AG341" s="502" t="str">
        <f>Table15[[#This Row],[code5]]</f>
        <v>PELBFD</v>
      </c>
    </row>
    <row r="342" spans="1:33">
      <c r="A342" s="338" t="s">
        <v>6072</v>
      </c>
      <c r="B342" s="338" t="s">
        <v>6073</v>
      </c>
      <c r="C342" s="337">
        <v>1</v>
      </c>
      <c r="D342" s="338" t="s">
        <v>6472</v>
      </c>
      <c r="E342" s="338" t="s">
        <v>6473</v>
      </c>
      <c r="F342" s="337">
        <v>1</v>
      </c>
      <c r="G342" s="337">
        <v>1</v>
      </c>
      <c r="H342" s="338" t="s">
        <v>6474</v>
      </c>
      <c r="I342" s="338" t="s">
        <v>9125</v>
      </c>
      <c r="J342" s="338" t="s">
        <v>9128</v>
      </c>
      <c r="K342" s="338" t="s">
        <v>6475</v>
      </c>
      <c r="L342" s="338"/>
      <c r="M342" s="338" t="s">
        <v>6494</v>
      </c>
      <c r="N342" s="338" t="s">
        <v>8311</v>
      </c>
      <c r="O342" s="337">
        <v>0</v>
      </c>
      <c r="P342" s="337">
        <v>0</v>
      </c>
      <c r="Q342" s="338"/>
      <c r="R342" s="338" t="s">
        <v>14</v>
      </c>
      <c r="S342" s="338"/>
      <c r="T342" s="338"/>
      <c r="U342" s="338" t="s">
        <v>6500</v>
      </c>
      <c r="V342" s="337">
        <v>0</v>
      </c>
      <c r="W342" s="337">
        <v>0</v>
      </c>
      <c r="X342" s="338"/>
      <c r="Y342" s="338" t="s">
        <v>6318</v>
      </c>
      <c r="Z342" s="338" t="s">
        <v>7876</v>
      </c>
      <c r="AA342" s="338" t="s">
        <v>6079</v>
      </c>
      <c r="AB342" s="338"/>
      <c r="AC342" s="338" t="s">
        <v>6501</v>
      </c>
      <c r="AD342" s="338"/>
      <c r="AF342" s="502" t="str">
        <f>Table15[[#This Row],[code2]]</f>
        <v>PEL</v>
      </c>
      <c r="AG342" s="502" t="str">
        <f>Table15[[#This Row],[code5]]</f>
        <v>PELBFD</v>
      </c>
    </row>
    <row r="343" spans="1:33">
      <c r="A343" s="338" t="s">
        <v>6072</v>
      </c>
      <c r="B343" s="338" t="s">
        <v>6073</v>
      </c>
      <c r="C343" s="337">
        <v>1</v>
      </c>
      <c r="D343" s="338" t="s">
        <v>6472</v>
      </c>
      <c r="E343" s="338" t="s">
        <v>6473</v>
      </c>
      <c r="F343" s="337">
        <v>1</v>
      </c>
      <c r="G343" s="337">
        <v>1</v>
      </c>
      <c r="H343" s="338" t="s">
        <v>6474</v>
      </c>
      <c r="I343" s="338" t="s">
        <v>9125</v>
      </c>
      <c r="J343" s="338" t="s">
        <v>9128</v>
      </c>
      <c r="K343" s="338" t="s">
        <v>6475</v>
      </c>
      <c r="L343" s="338"/>
      <c r="M343" s="338" t="s">
        <v>6494</v>
      </c>
      <c r="N343" s="338" t="s">
        <v>8311</v>
      </c>
      <c r="O343" s="337">
        <v>0</v>
      </c>
      <c r="P343" s="337">
        <v>0</v>
      </c>
      <c r="Q343" s="338"/>
      <c r="R343" s="338" t="s">
        <v>14</v>
      </c>
      <c r="S343" s="338"/>
      <c r="T343" s="338"/>
      <c r="U343" s="338" t="s">
        <v>6502</v>
      </c>
      <c r="V343" s="337">
        <v>0</v>
      </c>
      <c r="W343" s="337">
        <v>0</v>
      </c>
      <c r="X343" s="338"/>
      <c r="Y343" s="338" t="s">
        <v>6318</v>
      </c>
      <c r="Z343" s="338" t="s">
        <v>8270</v>
      </c>
      <c r="AA343" s="338" t="s">
        <v>6079</v>
      </c>
      <c r="AB343" s="338"/>
      <c r="AC343" s="338" t="s">
        <v>6503</v>
      </c>
      <c r="AD343" s="338"/>
      <c r="AF343" s="502" t="str">
        <f>Table15[[#This Row],[code2]]</f>
        <v>PEL</v>
      </c>
      <c r="AG343" s="502" t="str">
        <f>Table15[[#This Row],[code5]]</f>
        <v>PELBFD</v>
      </c>
    </row>
    <row r="344" spans="1:33">
      <c r="A344" s="338" t="s">
        <v>6072</v>
      </c>
      <c r="B344" s="338" t="s">
        <v>6073</v>
      </c>
      <c r="C344" s="337">
        <v>1</v>
      </c>
      <c r="D344" s="338" t="s">
        <v>6472</v>
      </c>
      <c r="E344" s="338" t="s">
        <v>6473</v>
      </c>
      <c r="F344" s="337">
        <v>1</v>
      </c>
      <c r="G344" s="337">
        <v>1</v>
      </c>
      <c r="H344" s="338" t="s">
        <v>6474</v>
      </c>
      <c r="I344" s="338" t="s">
        <v>9125</v>
      </c>
      <c r="J344" s="338" t="s">
        <v>9128</v>
      </c>
      <c r="K344" s="338" t="s">
        <v>6475</v>
      </c>
      <c r="L344" s="338"/>
      <c r="M344" s="338" t="s">
        <v>6504</v>
      </c>
      <c r="N344" s="338" t="s">
        <v>8312</v>
      </c>
      <c r="O344" s="337">
        <v>0</v>
      </c>
      <c r="P344" s="337">
        <v>0</v>
      </c>
      <c r="Q344" s="338"/>
      <c r="R344" s="338" t="s">
        <v>14</v>
      </c>
      <c r="S344" s="338"/>
      <c r="T344" s="338"/>
      <c r="U344" s="338" t="s">
        <v>6505</v>
      </c>
      <c r="V344" s="337">
        <v>0</v>
      </c>
      <c r="W344" s="337">
        <v>0</v>
      </c>
      <c r="X344" s="338"/>
      <c r="Y344" s="338" t="s">
        <v>6318</v>
      </c>
      <c r="Z344" s="338" t="s">
        <v>8273</v>
      </c>
      <c r="AA344" s="338" t="s">
        <v>6079</v>
      </c>
      <c r="AB344" s="338"/>
      <c r="AC344" s="338" t="s">
        <v>6219</v>
      </c>
      <c r="AD344" s="338"/>
      <c r="AF344" s="502" t="str">
        <f>Table15[[#This Row],[code2]]</f>
        <v>PEL</v>
      </c>
      <c r="AG344" s="502" t="str">
        <f>Table15[[#This Row],[code5]]</f>
        <v>PELBFDS</v>
      </c>
    </row>
    <row r="345" spans="1:33">
      <c r="A345" s="338" t="s">
        <v>6072</v>
      </c>
      <c r="B345" s="338" t="s">
        <v>6073</v>
      </c>
      <c r="C345" s="337">
        <v>1</v>
      </c>
      <c r="D345" s="338" t="s">
        <v>6472</v>
      </c>
      <c r="E345" s="338" t="s">
        <v>6473</v>
      </c>
      <c r="F345" s="337">
        <v>1</v>
      </c>
      <c r="G345" s="337">
        <v>1</v>
      </c>
      <c r="H345" s="338" t="s">
        <v>6474</v>
      </c>
      <c r="I345" s="338" t="s">
        <v>9125</v>
      </c>
      <c r="J345" s="338" t="s">
        <v>9128</v>
      </c>
      <c r="K345" s="338" t="s">
        <v>6475</v>
      </c>
      <c r="L345" s="338"/>
      <c r="M345" s="338" t="s">
        <v>6504</v>
      </c>
      <c r="N345" s="338" t="s">
        <v>8312</v>
      </c>
      <c r="O345" s="337">
        <v>0</v>
      </c>
      <c r="P345" s="337">
        <v>0</v>
      </c>
      <c r="Q345" s="338"/>
      <c r="R345" s="338" t="s">
        <v>14</v>
      </c>
      <c r="S345" s="338"/>
      <c r="T345" s="338"/>
      <c r="U345" s="338" t="s">
        <v>6506</v>
      </c>
      <c r="V345" s="337">
        <v>0</v>
      </c>
      <c r="W345" s="337">
        <v>0</v>
      </c>
      <c r="X345" s="338"/>
      <c r="Y345" s="338" t="s">
        <v>6318</v>
      </c>
      <c r="Z345" s="338" t="s">
        <v>8274</v>
      </c>
      <c r="AA345" s="338" t="s">
        <v>6079</v>
      </c>
      <c r="AB345" s="338"/>
      <c r="AC345" s="338" t="s">
        <v>6224</v>
      </c>
      <c r="AD345" s="338"/>
      <c r="AF345" s="502" t="str">
        <f>Table15[[#This Row],[code2]]</f>
        <v>PEL</v>
      </c>
      <c r="AG345" s="502" t="str">
        <f>Table15[[#This Row],[code5]]</f>
        <v>PELBFDS</v>
      </c>
    </row>
    <row r="346" spans="1:33">
      <c r="A346" s="338" t="s">
        <v>6072</v>
      </c>
      <c r="B346" s="338" t="s">
        <v>6073</v>
      </c>
      <c r="C346" s="337">
        <v>1</v>
      </c>
      <c r="D346" s="338" t="s">
        <v>6472</v>
      </c>
      <c r="E346" s="338" t="s">
        <v>6473</v>
      </c>
      <c r="F346" s="337">
        <v>1</v>
      </c>
      <c r="G346" s="337">
        <v>1</v>
      </c>
      <c r="H346" s="338" t="s">
        <v>6474</v>
      </c>
      <c r="I346" s="338" t="s">
        <v>9125</v>
      </c>
      <c r="J346" s="338" t="s">
        <v>9128</v>
      </c>
      <c r="K346" s="338" t="s">
        <v>6475</v>
      </c>
      <c r="L346" s="338"/>
      <c r="M346" s="338" t="s">
        <v>6504</v>
      </c>
      <c r="N346" s="338" t="s">
        <v>8312</v>
      </c>
      <c r="O346" s="337">
        <v>0</v>
      </c>
      <c r="P346" s="337">
        <v>0</v>
      </c>
      <c r="Q346" s="338"/>
      <c r="R346" s="338" t="s">
        <v>14</v>
      </c>
      <c r="S346" s="338"/>
      <c r="T346" s="338"/>
      <c r="U346" s="338" t="s">
        <v>6507</v>
      </c>
      <c r="V346" s="337">
        <v>0</v>
      </c>
      <c r="W346" s="337">
        <v>0</v>
      </c>
      <c r="X346" s="338"/>
      <c r="Y346" s="338" t="s">
        <v>6318</v>
      </c>
      <c r="Z346" s="338" t="s">
        <v>8275</v>
      </c>
      <c r="AA346" s="338" t="s">
        <v>6079</v>
      </c>
      <c r="AB346" s="338"/>
      <c r="AC346" s="338" t="s">
        <v>6229</v>
      </c>
      <c r="AD346" s="338"/>
      <c r="AF346" s="502" t="str">
        <f>Table15[[#This Row],[code2]]</f>
        <v>PEL</v>
      </c>
      <c r="AG346" s="502" t="str">
        <f>Table15[[#This Row],[code5]]</f>
        <v>PELBFDS</v>
      </c>
    </row>
    <row r="347" spans="1:33">
      <c r="A347" s="338" t="s">
        <v>6072</v>
      </c>
      <c r="B347" s="338" t="s">
        <v>6073</v>
      </c>
      <c r="C347" s="337">
        <v>1</v>
      </c>
      <c r="D347" s="338" t="s">
        <v>6472</v>
      </c>
      <c r="E347" s="338" t="s">
        <v>6473</v>
      </c>
      <c r="F347" s="337">
        <v>1</v>
      </c>
      <c r="G347" s="337">
        <v>1</v>
      </c>
      <c r="H347" s="338" t="s">
        <v>6474</v>
      </c>
      <c r="I347" s="338" t="s">
        <v>9125</v>
      </c>
      <c r="J347" s="338" t="s">
        <v>9128</v>
      </c>
      <c r="K347" s="338" t="s">
        <v>6475</v>
      </c>
      <c r="L347" s="338"/>
      <c r="M347" s="338" t="s">
        <v>6504</v>
      </c>
      <c r="N347" s="338" t="s">
        <v>8312</v>
      </c>
      <c r="O347" s="337">
        <v>0</v>
      </c>
      <c r="P347" s="337">
        <v>0</v>
      </c>
      <c r="Q347" s="338"/>
      <c r="R347" s="338" t="s">
        <v>14</v>
      </c>
      <c r="S347" s="338"/>
      <c r="T347" s="338"/>
      <c r="U347" s="338" t="s">
        <v>6508</v>
      </c>
      <c r="V347" s="337">
        <v>0</v>
      </c>
      <c r="W347" s="337">
        <v>0</v>
      </c>
      <c r="X347" s="338"/>
      <c r="Y347" s="338" t="s">
        <v>6318</v>
      </c>
      <c r="Z347" s="338" t="s">
        <v>8276</v>
      </c>
      <c r="AA347" s="338" t="s">
        <v>6079</v>
      </c>
      <c r="AB347" s="338"/>
      <c r="AC347" s="338" t="s">
        <v>6234</v>
      </c>
      <c r="AD347" s="338"/>
      <c r="AF347" s="502" t="str">
        <f>Table15[[#This Row],[code2]]</f>
        <v>PEL</v>
      </c>
      <c r="AG347" s="502" t="str">
        <f>Table15[[#This Row],[code5]]</f>
        <v>PELBFDS</v>
      </c>
    </row>
    <row r="348" spans="1:33">
      <c r="A348" s="338" t="s">
        <v>6072</v>
      </c>
      <c r="B348" s="338" t="s">
        <v>6073</v>
      </c>
      <c r="C348" s="337">
        <v>1</v>
      </c>
      <c r="D348" s="338" t="s">
        <v>6472</v>
      </c>
      <c r="E348" s="338" t="s">
        <v>6473</v>
      </c>
      <c r="F348" s="337">
        <v>1</v>
      </c>
      <c r="G348" s="337">
        <v>1</v>
      </c>
      <c r="H348" s="338" t="s">
        <v>6474</v>
      </c>
      <c r="I348" s="338" t="s">
        <v>9125</v>
      </c>
      <c r="J348" s="338" t="s">
        <v>9128</v>
      </c>
      <c r="K348" s="338" t="s">
        <v>6475</v>
      </c>
      <c r="L348" s="338"/>
      <c r="M348" s="338" t="s">
        <v>6510</v>
      </c>
      <c r="N348" s="338" t="s">
        <v>8316</v>
      </c>
      <c r="O348" s="337">
        <v>0</v>
      </c>
      <c r="P348" s="337">
        <v>1</v>
      </c>
      <c r="Q348" s="338" t="s">
        <v>8316</v>
      </c>
      <c r="R348" s="338"/>
      <c r="S348" s="338"/>
      <c r="T348" s="338" t="s">
        <v>6511</v>
      </c>
      <c r="U348" s="338" t="s">
        <v>6512</v>
      </c>
      <c r="V348" s="337">
        <v>0</v>
      </c>
      <c r="W348" s="337">
        <v>1</v>
      </c>
      <c r="X348" s="338" t="s">
        <v>6078</v>
      </c>
      <c r="Y348" s="338" t="s">
        <v>6318</v>
      </c>
      <c r="Z348" s="338" t="s">
        <v>9150</v>
      </c>
      <c r="AA348" s="338" t="s">
        <v>6079</v>
      </c>
      <c r="AB348" s="338"/>
      <c r="AC348" s="338"/>
      <c r="AD348" s="338"/>
      <c r="AF348" s="502" t="str">
        <f>Table15[[#This Row],[code2]]</f>
        <v>PEL</v>
      </c>
      <c r="AG348" s="502" t="str">
        <f>Table15[[#This Row],[code5]]</f>
        <v>HEL</v>
      </c>
    </row>
    <row r="349" spans="1:33">
      <c r="A349" s="338" t="s">
        <v>6072</v>
      </c>
      <c r="B349" s="338" t="s">
        <v>6073</v>
      </c>
      <c r="C349" s="337">
        <v>1</v>
      </c>
      <c r="D349" s="338" t="s">
        <v>6472</v>
      </c>
      <c r="E349" s="338" t="s">
        <v>6473</v>
      </c>
      <c r="F349" s="337">
        <v>1</v>
      </c>
      <c r="G349" s="337">
        <v>1</v>
      </c>
      <c r="H349" s="338" t="s">
        <v>6474</v>
      </c>
      <c r="I349" s="338" t="s">
        <v>9125</v>
      </c>
      <c r="J349" s="338" t="s">
        <v>9128</v>
      </c>
      <c r="K349" s="338" t="s">
        <v>6475</v>
      </c>
      <c r="L349" s="338"/>
      <c r="M349" s="338" t="s">
        <v>8579</v>
      </c>
      <c r="N349" s="338" t="s">
        <v>8581</v>
      </c>
      <c r="O349" s="337">
        <v>1</v>
      </c>
      <c r="P349" s="337">
        <v>1</v>
      </c>
      <c r="Q349" s="338"/>
      <c r="R349" s="338" t="s">
        <v>8582</v>
      </c>
      <c r="S349" s="338" t="s">
        <v>8583</v>
      </c>
      <c r="T349" s="338"/>
      <c r="U349" s="338" t="s">
        <v>8585</v>
      </c>
      <c r="V349" s="337">
        <v>1</v>
      </c>
      <c r="W349" s="337">
        <v>1</v>
      </c>
      <c r="X349" s="338"/>
      <c r="Y349" s="338" t="s">
        <v>6318</v>
      </c>
      <c r="Z349" s="338" t="s">
        <v>7023</v>
      </c>
      <c r="AA349" s="338" t="s">
        <v>6079</v>
      </c>
      <c r="AB349" s="338"/>
      <c r="AC349" s="338" t="s">
        <v>7024</v>
      </c>
      <c r="AD349" s="338" t="s">
        <v>8583</v>
      </c>
      <c r="AF349" s="502" t="str">
        <f>Table15[[#This Row],[code2]]</f>
        <v>PEL</v>
      </c>
      <c r="AG349" s="502" t="str">
        <f>Table15[[#This Row],[code5]]</f>
        <v>EMCR</v>
      </c>
    </row>
    <row r="350" spans="1:33">
      <c r="A350" s="338" t="s">
        <v>6072</v>
      </c>
      <c r="B350" s="338" t="s">
        <v>6073</v>
      </c>
      <c r="C350" s="337">
        <v>1</v>
      </c>
      <c r="D350" s="338" t="s">
        <v>6472</v>
      </c>
      <c r="E350" s="338" t="s">
        <v>6473</v>
      </c>
      <c r="F350" s="337">
        <v>1</v>
      </c>
      <c r="G350" s="337">
        <v>1</v>
      </c>
      <c r="H350" s="338" t="s">
        <v>6474</v>
      </c>
      <c r="I350" s="338" t="s">
        <v>9125</v>
      </c>
      <c r="J350" s="338" t="s">
        <v>9128</v>
      </c>
      <c r="K350" s="338" t="s">
        <v>6475</v>
      </c>
      <c r="L350" s="338"/>
      <c r="M350" s="338" t="s">
        <v>8579</v>
      </c>
      <c r="N350" s="338" t="s">
        <v>8581</v>
      </c>
      <c r="O350" s="337">
        <v>1</v>
      </c>
      <c r="P350" s="337">
        <v>1</v>
      </c>
      <c r="Q350" s="338"/>
      <c r="R350" s="338" t="s">
        <v>8582</v>
      </c>
      <c r="S350" s="338" t="s">
        <v>8583</v>
      </c>
      <c r="T350" s="338"/>
      <c r="U350" s="338" t="s">
        <v>8586</v>
      </c>
      <c r="V350" s="337">
        <v>1</v>
      </c>
      <c r="W350" s="337">
        <v>1</v>
      </c>
      <c r="X350" s="338"/>
      <c r="Y350" s="338" t="s">
        <v>6318</v>
      </c>
      <c r="Z350" s="338" t="s">
        <v>7026</v>
      </c>
      <c r="AA350" s="338" t="s">
        <v>6079</v>
      </c>
      <c r="AB350" s="338"/>
      <c r="AC350" s="338" t="s">
        <v>7027</v>
      </c>
      <c r="AD350" s="338" t="s">
        <v>8583</v>
      </c>
      <c r="AF350" s="502" t="str">
        <f>Table15[[#This Row],[code2]]</f>
        <v>PEL</v>
      </c>
      <c r="AG350" s="502" t="str">
        <f>Table15[[#This Row],[code5]]</f>
        <v>EMCR</v>
      </c>
    </row>
    <row r="351" spans="1:33">
      <c r="A351" s="338" t="s">
        <v>6072</v>
      </c>
      <c r="B351" s="338" t="s">
        <v>6073</v>
      </c>
      <c r="C351" s="337">
        <v>1</v>
      </c>
      <c r="D351" s="338" t="s">
        <v>6472</v>
      </c>
      <c r="E351" s="338" t="s">
        <v>6473</v>
      </c>
      <c r="F351" s="337">
        <v>1</v>
      </c>
      <c r="G351" s="337">
        <v>1</v>
      </c>
      <c r="H351" s="338" t="s">
        <v>6474</v>
      </c>
      <c r="I351" s="338" t="s">
        <v>9125</v>
      </c>
      <c r="J351" s="338" t="s">
        <v>9128</v>
      </c>
      <c r="K351" s="338" t="s">
        <v>6475</v>
      </c>
      <c r="L351" s="338"/>
      <c r="M351" s="338" t="s">
        <v>8579</v>
      </c>
      <c r="N351" s="338" t="s">
        <v>8581</v>
      </c>
      <c r="O351" s="337">
        <v>1</v>
      </c>
      <c r="P351" s="337">
        <v>1</v>
      </c>
      <c r="Q351" s="338"/>
      <c r="R351" s="338" t="s">
        <v>8582</v>
      </c>
      <c r="S351" s="338" t="s">
        <v>8583</v>
      </c>
      <c r="T351" s="338"/>
      <c r="U351" s="338" t="s">
        <v>8587</v>
      </c>
      <c r="V351" s="337">
        <v>1</v>
      </c>
      <c r="W351" s="337">
        <v>1</v>
      </c>
      <c r="X351" s="338"/>
      <c r="Y351" s="338" t="s">
        <v>6318</v>
      </c>
      <c r="Z351" s="338" t="s">
        <v>7162</v>
      </c>
      <c r="AA351" s="338" t="s">
        <v>6079</v>
      </c>
      <c r="AB351" s="338"/>
      <c r="AC351" s="338" t="s">
        <v>8594</v>
      </c>
      <c r="AD351" s="338" t="s">
        <v>8583</v>
      </c>
      <c r="AF351" s="502" t="str">
        <f>Table15[[#This Row],[code2]]</f>
        <v>PEL</v>
      </c>
      <c r="AG351" s="502" t="str">
        <f>Table15[[#This Row],[code5]]</f>
        <v>EMCR</v>
      </c>
    </row>
    <row r="352" spans="1:33">
      <c r="A352" s="338" t="s">
        <v>6072</v>
      </c>
      <c r="B352" s="338" t="s">
        <v>6073</v>
      </c>
      <c r="C352" s="337">
        <v>1</v>
      </c>
      <c r="D352" s="338" t="s">
        <v>6472</v>
      </c>
      <c r="E352" s="338" t="s">
        <v>6473</v>
      </c>
      <c r="F352" s="337">
        <v>1</v>
      </c>
      <c r="G352" s="337">
        <v>1</v>
      </c>
      <c r="H352" s="338" t="s">
        <v>6474</v>
      </c>
      <c r="I352" s="338" t="s">
        <v>9125</v>
      </c>
      <c r="J352" s="338" t="s">
        <v>9128</v>
      </c>
      <c r="K352" s="338" t="s">
        <v>6475</v>
      </c>
      <c r="L352" s="338"/>
      <c r="M352" s="338" t="s">
        <v>8580</v>
      </c>
      <c r="N352" s="338" t="s">
        <v>8600</v>
      </c>
      <c r="O352" s="337">
        <v>0</v>
      </c>
      <c r="P352" s="337">
        <v>0</v>
      </c>
      <c r="Q352" s="338"/>
      <c r="R352" s="338"/>
      <c r="S352" s="338" t="s">
        <v>8584</v>
      </c>
      <c r="T352" s="338"/>
      <c r="U352" s="338" t="s">
        <v>8588</v>
      </c>
      <c r="V352" s="337">
        <v>0</v>
      </c>
      <c r="W352" s="337">
        <v>0</v>
      </c>
      <c r="X352" s="338"/>
      <c r="Y352" s="338"/>
      <c r="Z352" s="338" t="s">
        <v>7959</v>
      </c>
      <c r="AA352" s="338" t="s">
        <v>6079</v>
      </c>
      <c r="AB352" s="338"/>
      <c r="AC352" s="338"/>
      <c r="AD352" s="338" t="s">
        <v>8584</v>
      </c>
      <c r="AF352" s="502" t="str">
        <f>Table15[[#This Row],[code2]]</f>
        <v>PEL</v>
      </c>
      <c r="AG352" s="502" t="str">
        <f>Table15[[#This Row],[code5]]</f>
        <v>EMDR</v>
      </c>
    </row>
    <row r="353" spans="1:33">
      <c r="A353" s="338" t="s">
        <v>6072</v>
      </c>
      <c r="B353" s="338" t="s">
        <v>6073</v>
      </c>
      <c r="C353" s="337">
        <v>1</v>
      </c>
      <c r="D353" s="338" t="s">
        <v>6513</v>
      </c>
      <c r="E353" s="338" t="s">
        <v>6514</v>
      </c>
      <c r="F353" s="337">
        <v>1</v>
      </c>
      <c r="G353" s="337">
        <v>1</v>
      </c>
      <c r="H353" s="338" t="s">
        <v>6515</v>
      </c>
      <c r="I353" s="338" t="s">
        <v>9548</v>
      </c>
      <c r="J353" s="338" t="s">
        <v>9551</v>
      </c>
      <c r="K353" s="338" t="s">
        <v>6516</v>
      </c>
      <c r="L353" s="338" t="s">
        <v>6517</v>
      </c>
      <c r="M353" s="338" t="s">
        <v>4752</v>
      </c>
      <c r="N353" s="338" t="s">
        <v>6518</v>
      </c>
      <c r="O353" s="337">
        <v>1</v>
      </c>
      <c r="P353" s="337">
        <v>1</v>
      </c>
      <c r="Q353" s="338" t="s">
        <v>6077</v>
      </c>
      <c r="R353" s="338"/>
      <c r="S353" s="338"/>
      <c r="T353" s="338" t="s">
        <v>7910</v>
      </c>
      <c r="U353" s="338" t="s">
        <v>4754</v>
      </c>
      <c r="V353" s="337">
        <v>1</v>
      </c>
      <c r="W353" s="337">
        <v>1</v>
      </c>
      <c r="X353" s="338" t="s">
        <v>6078</v>
      </c>
      <c r="Y353" s="338" t="s">
        <v>497</v>
      </c>
      <c r="Z353" s="338" t="s">
        <v>9151</v>
      </c>
      <c r="AA353" s="338" t="s">
        <v>6079</v>
      </c>
      <c r="AB353" s="338"/>
      <c r="AC353" s="338"/>
      <c r="AD353" s="338"/>
      <c r="AF353" s="502" t="str">
        <f>Table15[[#This Row],[code2]]</f>
        <v>PRL</v>
      </c>
      <c r="AG353" s="502" t="str">
        <f>Table15[[#This Row],[code5]]</f>
        <v>IVR</v>
      </c>
    </row>
    <row r="354" spans="1:33">
      <c r="A354" s="338" t="s">
        <v>6072</v>
      </c>
      <c r="B354" s="338" t="s">
        <v>6073</v>
      </c>
      <c r="C354" s="337">
        <v>1</v>
      </c>
      <c r="D354" s="338" t="s">
        <v>6513</v>
      </c>
      <c r="E354" s="338" t="s">
        <v>6514</v>
      </c>
      <c r="F354" s="337">
        <v>1</v>
      </c>
      <c r="G354" s="337">
        <v>1</v>
      </c>
      <c r="H354" s="338" t="s">
        <v>6515</v>
      </c>
      <c r="I354" s="338" t="s">
        <v>9548</v>
      </c>
      <c r="J354" s="338" t="s">
        <v>9551</v>
      </c>
      <c r="K354" s="338" t="s">
        <v>6516</v>
      </c>
      <c r="L354" s="338" t="s">
        <v>6517</v>
      </c>
      <c r="M354" s="338" t="s">
        <v>4752</v>
      </c>
      <c r="N354" s="338" t="s">
        <v>6518</v>
      </c>
      <c r="O354" s="337">
        <v>1</v>
      </c>
      <c r="P354" s="337">
        <v>1</v>
      </c>
      <c r="Q354" s="338" t="s">
        <v>6077</v>
      </c>
      <c r="R354" s="338"/>
      <c r="S354" s="338"/>
      <c r="T354" s="338" t="s">
        <v>7910</v>
      </c>
      <c r="U354" s="338" t="s">
        <v>6520</v>
      </c>
      <c r="V354" s="337">
        <v>1</v>
      </c>
      <c r="W354" s="337">
        <v>1</v>
      </c>
      <c r="X354" s="338" t="s">
        <v>6078</v>
      </c>
      <c r="Y354" s="338" t="s">
        <v>6081</v>
      </c>
      <c r="Z354" s="338" t="s">
        <v>9151</v>
      </c>
      <c r="AA354" s="338" t="s">
        <v>6079</v>
      </c>
      <c r="AB354" s="338"/>
      <c r="AC354" s="338"/>
      <c r="AD354" s="338"/>
      <c r="AF354" s="502" t="str">
        <f>Table15[[#This Row],[code2]]</f>
        <v>PRL</v>
      </c>
      <c r="AG354" s="502" t="str">
        <f>Table15[[#This Row],[code5]]</f>
        <v>IVR</v>
      </c>
    </row>
    <row r="355" spans="1:33">
      <c r="A355" s="338" t="s">
        <v>6072</v>
      </c>
      <c r="B355" s="338" t="s">
        <v>6073</v>
      </c>
      <c r="C355" s="337">
        <v>1</v>
      </c>
      <c r="D355" s="338" t="s">
        <v>6513</v>
      </c>
      <c r="E355" s="338" t="s">
        <v>6514</v>
      </c>
      <c r="F355" s="337">
        <v>1</v>
      </c>
      <c r="G355" s="337">
        <v>1</v>
      </c>
      <c r="H355" s="338" t="s">
        <v>6515</v>
      </c>
      <c r="I355" s="338" t="s">
        <v>9548</v>
      </c>
      <c r="J355" s="338" t="s">
        <v>9551</v>
      </c>
      <c r="K355" s="338" t="s">
        <v>6516</v>
      </c>
      <c r="L355" s="338" t="s">
        <v>6517</v>
      </c>
      <c r="M355" s="338" t="s">
        <v>4752</v>
      </c>
      <c r="N355" s="338" t="s">
        <v>6518</v>
      </c>
      <c r="O355" s="337">
        <v>1</v>
      </c>
      <c r="P355" s="337">
        <v>1</v>
      </c>
      <c r="Q355" s="338" t="s">
        <v>6077</v>
      </c>
      <c r="R355" s="338"/>
      <c r="S355" s="338"/>
      <c r="T355" s="338" t="s">
        <v>7910</v>
      </c>
      <c r="U355" s="338" t="s">
        <v>4930</v>
      </c>
      <c r="V355" s="337">
        <v>1</v>
      </c>
      <c r="W355" s="337">
        <v>1</v>
      </c>
      <c r="X355" s="338" t="s">
        <v>6078</v>
      </c>
      <c r="Y355" s="338" t="s">
        <v>493</v>
      </c>
      <c r="Z355" s="338" t="s">
        <v>8657</v>
      </c>
      <c r="AA355" s="338" t="s">
        <v>6079</v>
      </c>
      <c r="AB355" s="338"/>
      <c r="AC355" s="338"/>
      <c r="AD355" s="338"/>
      <c r="AF355" s="502" t="str">
        <f>Table15[[#This Row],[code2]]</f>
        <v>PRL</v>
      </c>
      <c r="AG355" s="502" t="str">
        <f>Table15[[#This Row],[code5]]</f>
        <v>IVR</v>
      </c>
    </row>
    <row r="356" spans="1:33">
      <c r="A356" s="338" t="s">
        <v>6072</v>
      </c>
      <c r="B356" s="338" t="s">
        <v>6073</v>
      </c>
      <c r="C356" s="337">
        <v>1</v>
      </c>
      <c r="D356" s="338" t="s">
        <v>6513</v>
      </c>
      <c r="E356" s="338" t="s">
        <v>6514</v>
      </c>
      <c r="F356" s="337">
        <v>1</v>
      </c>
      <c r="G356" s="337">
        <v>1</v>
      </c>
      <c r="H356" s="338" t="s">
        <v>6515</v>
      </c>
      <c r="I356" s="338" t="s">
        <v>9548</v>
      </c>
      <c r="J356" s="338" t="s">
        <v>9551</v>
      </c>
      <c r="K356" s="338" t="s">
        <v>6516</v>
      </c>
      <c r="L356" s="338" t="s">
        <v>6517</v>
      </c>
      <c r="M356" s="338" t="s">
        <v>4752</v>
      </c>
      <c r="N356" s="338" t="s">
        <v>6518</v>
      </c>
      <c r="O356" s="337">
        <v>1</v>
      </c>
      <c r="P356" s="337">
        <v>1</v>
      </c>
      <c r="Q356" s="338" t="s">
        <v>6077</v>
      </c>
      <c r="R356" s="338"/>
      <c r="S356" s="338"/>
      <c r="T356" s="338" t="s">
        <v>7910</v>
      </c>
      <c r="U356" s="338" t="s">
        <v>6523</v>
      </c>
      <c r="V356" s="337">
        <v>1</v>
      </c>
      <c r="W356" s="337">
        <v>1</v>
      </c>
      <c r="X356" s="338" t="s">
        <v>6078</v>
      </c>
      <c r="Y356" s="338" t="s">
        <v>6085</v>
      </c>
      <c r="Z356" s="338" t="s">
        <v>9152</v>
      </c>
      <c r="AA356" s="338" t="s">
        <v>6079</v>
      </c>
      <c r="AB356" s="338"/>
      <c r="AC356" s="338"/>
      <c r="AD356" s="338"/>
      <c r="AF356" s="502" t="str">
        <f>Table15[[#This Row],[code2]]</f>
        <v>PRL</v>
      </c>
      <c r="AG356" s="502" t="str">
        <f>Table15[[#This Row],[code5]]</f>
        <v>IVR</v>
      </c>
    </row>
    <row r="357" spans="1:33">
      <c r="A357" s="338" t="s">
        <v>6072</v>
      </c>
      <c r="B357" s="338" t="s">
        <v>6073</v>
      </c>
      <c r="C357" s="337">
        <v>1</v>
      </c>
      <c r="D357" s="338" t="s">
        <v>6513</v>
      </c>
      <c r="E357" s="338" t="s">
        <v>6514</v>
      </c>
      <c r="F357" s="337">
        <v>1</v>
      </c>
      <c r="G357" s="337">
        <v>1</v>
      </c>
      <c r="H357" s="338" t="s">
        <v>6515</v>
      </c>
      <c r="I357" s="338" t="s">
        <v>9548</v>
      </c>
      <c r="J357" s="338" t="s">
        <v>9551</v>
      </c>
      <c r="K357" s="338" t="s">
        <v>6516</v>
      </c>
      <c r="L357" s="338" t="s">
        <v>6517</v>
      </c>
      <c r="M357" s="338" t="s">
        <v>4743</v>
      </c>
      <c r="N357" s="338" t="s">
        <v>8317</v>
      </c>
      <c r="O357" s="337">
        <v>0</v>
      </c>
      <c r="P357" s="337">
        <v>0</v>
      </c>
      <c r="Q357" s="338" t="s">
        <v>8317</v>
      </c>
      <c r="R357" s="338" t="s">
        <v>6088</v>
      </c>
      <c r="S357" s="338"/>
      <c r="T357" s="338" t="s">
        <v>6525</v>
      </c>
      <c r="U357" s="338" t="s">
        <v>6526</v>
      </c>
      <c r="V357" s="337">
        <v>0</v>
      </c>
      <c r="W357" s="337">
        <v>0</v>
      </c>
      <c r="X357" s="338"/>
      <c r="Y357" s="338" t="s">
        <v>497</v>
      </c>
      <c r="Z357" s="338" t="s">
        <v>7924</v>
      </c>
      <c r="AA357" s="338" t="s">
        <v>6079</v>
      </c>
      <c r="AB357" s="338"/>
      <c r="AC357" s="338" t="s">
        <v>6091</v>
      </c>
      <c r="AD357" s="338"/>
      <c r="AF357" s="502" t="str">
        <f>Table15[[#This Row],[code2]]</f>
        <v>PRL</v>
      </c>
      <c r="AG357" s="502" t="str">
        <f>Table15[[#This Row],[code5]]</f>
        <v>IFRB</v>
      </c>
    </row>
    <row r="358" spans="1:33">
      <c r="A358" s="338" t="s">
        <v>6072</v>
      </c>
      <c r="B358" s="338" t="s">
        <v>6073</v>
      </c>
      <c r="C358" s="337">
        <v>1</v>
      </c>
      <c r="D358" s="338" t="s">
        <v>6513</v>
      </c>
      <c r="E358" s="338" t="s">
        <v>6514</v>
      </c>
      <c r="F358" s="337">
        <v>1</v>
      </c>
      <c r="G358" s="337">
        <v>1</v>
      </c>
      <c r="H358" s="338" t="s">
        <v>6515</v>
      </c>
      <c r="I358" s="338" t="s">
        <v>9548</v>
      </c>
      <c r="J358" s="338" t="s">
        <v>9551</v>
      </c>
      <c r="K358" s="338" t="s">
        <v>6516</v>
      </c>
      <c r="L358" s="338" t="s">
        <v>6517</v>
      </c>
      <c r="M358" s="338" t="s">
        <v>4743</v>
      </c>
      <c r="N358" s="338" t="s">
        <v>8317</v>
      </c>
      <c r="O358" s="337">
        <v>0</v>
      </c>
      <c r="P358" s="337">
        <v>0</v>
      </c>
      <c r="Q358" s="338" t="s">
        <v>8317</v>
      </c>
      <c r="R358" s="338" t="s">
        <v>6088</v>
      </c>
      <c r="S358" s="338"/>
      <c r="T358" s="338" t="s">
        <v>6525</v>
      </c>
      <c r="U358" s="338" t="s">
        <v>6527</v>
      </c>
      <c r="V358" s="337">
        <v>0</v>
      </c>
      <c r="W358" s="337">
        <v>0</v>
      </c>
      <c r="X358" s="338"/>
      <c r="Y358" s="338" t="s">
        <v>6081</v>
      </c>
      <c r="Z358" s="338" t="s">
        <v>6496</v>
      </c>
      <c r="AA358" s="338" t="s">
        <v>6079</v>
      </c>
      <c r="AB358" s="338"/>
      <c r="AC358" s="338" t="s">
        <v>6091</v>
      </c>
      <c r="AD358" s="338"/>
      <c r="AF358" s="502" t="str">
        <f>Table15[[#This Row],[code2]]</f>
        <v>PRL</v>
      </c>
      <c r="AG358" s="502" t="str">
        <f>Table15[[#This Row],[code5]]</f>
        <v>IFRB</v>
      </c>
    </row>
    <row r="359" spans="1:33">
      <c r="A359" s="338" t="s">
        <v>6072</v>
      </c>
      <c r="B359" s="338" t="s">
        <v>6073</v>
      </c>
      <c r="C359" s="337">
        <v>1</v>
      </c>
      <c r="D359" s="338" t="s">
        <v>6513</v>
      </c>
      <c r="E359" s="338" t="s">
        <v>6514</v>
      </c>
      <c r="F359" s="337">
        <v>1</v>
      </c>
      <c r="G359" s="337">
        <v>1</v>
      </c>
      <c r="H359" s="338" t="s">
        <v>6515</v>
      </c>
      <c r="I359" s="338" t="s">
        <v>9548</v>
      </c>
      <c r="J359" s="338" t="s">
        <v>9551</v>
      </c>
      <c r="K359" s="338" t="s">
        <v>6516</v>
      </c>
      <c r="L359" s="338" t="s">
        <v>6517</v>
      </c>
      <c r="M359" s="338" t="s">
        <v>4743</v>
      </c>
      <c r="N359" s="338" t="s">
        <v>8317</v>
      </c>
      <c r="O359" s="337">
        <v>0</v>
      </c>
      <c r="P359" s="337">
        <v>0</v>
      </c>
      <c r="Q359" s="338" t="s">
        <v>8317</v>
      </c>
      <c r="R359" s="338" t="s">
        <v>6088</v>
      </c>
      <c r="S359" s="338"/>
      <c r="T359" s="338" t="s">
        <v>6525</v>
      </c>
      <c r="U359" s="338" t="s">
        <v>6528</v>
      </c>
      <c r="V359" s="337">
        <v>0</v>
      </c>
      <c r="W359" s="337">
        <v>0</v>
      </c>
      <c r="X359" s="338"/>
      <c r="Y359" s="338" t="s">
        <v>493</v>
      </c>
      <c r="Z359" s="338" t="s">
        <v>7925</v>
      </c>
      <c r="AA359" s="338" t="s">
        <v>6079</v>
      </c>
      <c r="AB359" s="338"/>
      <c r="AC359" s="338" t="s">
        <v>6091</v>
      </c>
      <c r="AD359" s="338"/>
      <c r="AF359" s="502" t="str">
        <f>Table15[[#This Row],[code2]]</f>
        <v>PRL</v>
      </c>
      <c r="AG359" s="502" t="str">
        <f>Table15[[#This Row],[code5]]</f>
        <v>IFRB</v>
      </c>
    </row>
    <row r="360" spans="1:33">
      <c r="A360" s="338" t="s">
        <v>6072</v>
      </c>
      <c r="B360" s="338" t="s">
        <v>6073</v>
      </c>
      <c r="C360" s="337">
        <v>1</v>
      </c>
      <c r="D360" s="338" t="s">
        <v>6513</v>
      </c>
      <c r="E360" s="338" t="s">
        <v>6514</v>
      </c>
      <c r="F360" s="337">
        <v>1</v>
      </c>
      <c r="G360" s="337">
        <v>1</v>
      </c>
      <c r="H360" s="338" t="s">
        <v>6515</v>
      </c>
      <c r="I360" s="338" t="s">
        <v>9548</v>
      </c>
      <c r="J360" s="338" t="s">
        <v>9551</v>
      </c>
      <c r="K360" s="338" t="s">
        <v>6516</v>
      </c>
      <c r="L360" s="338" t="s">
        <v>6517</v>
      </c>
      <c r="M360" s="338" t="s">
        <v>4743</v>
      </c>
      <c r="N360" s="338" t="s">
        <v>8317</v>
      </c>
      <c r="O360" s="337">
        <v>0</v>
      </c>
      <c r="P360" s="337">
        <v>0</v>
      </c>
      <c r="Q360" s="338" t="s">
        <v>8317</v>
      </c>
      <c r="R360" s="338" t="s">
        <v>6088</v>
      </c>
      <c r="S360" s="338"/>
      <c r="T360" s="338" t="s">
        <v>6525</v>
      </c>
      <c r="U360" s="338" t="s">
        <v>6529</v>
      </c>
      <c r="V360" s="337">
        <v>0</v>
      </c>
      <c r="W360" s="337">
        <v>0</v>
      </c>
      <c r="X360" s="338"/>
      <c r="Y360" s="338" t="s">
        <v>6085</v>
      </c>
      <c r="Z360" s="338" t="s">
        <v>8120</v>
      </c>
      <c r="AA360" s="338" t="s">
        <v>6079</v>
      </c>
      <c r="AB360" s="338"/>
      <c r="AC360" s="338" t="s">
        <v>6091</v>
      </c>
      <c r="AD360" s="338"/>
      <c r="AF360" s="502" t="str">
        <f>Table15[[#This Row],[code2]]</f>
        <v>PRL</v>
      </c>
      <c r="AG360" s="502" t="str">
        <f>Table15[[#This Row],[code5]]</f>
        <v>IFRB</v>
      </c>
    </row>
    <row r="361" spans="1:33">
      <c r="A361" s="338" t="s">
        <v>6072</v>
      </c>
      <c r="B361" s="338" t="s">
        <v>6073</v>
      </c>
      <c r="C361" s="337">
        <v>1</v>
      </c>
      <c r="D361" s="338" t="s">
        <v>6513</v>
      </c>
      <c r="E361" s="338" t="s">
        <v>6514</v>
      </c>
      <c r="F361" s="337">
        <v>1</v>
      </c>
      <c r="G361" s="337">
        <v>1</v>
      </c>
      <c r="H361" s="338" t="s">
        <v>6515</v>
      </c>
      <c r="I361" s="338" t="s">
        <v>9548</v>
      </c>
      <c r="J361" s="338" t="s">
        <v>9551</v>
      </c>
      <c r="K361" s="338" t="s">
        <v>6516</v>
      </c>
      <c r="L361" s="338" t="s">
        <v>6517</v>
      </c>
      <c r="M361" s="338" t="s">
        <v>4743</v>
      </c>
      <c r="N361" s="338" t="s">
        <v>8317</v>
      </c>
      <c r="O361" s="337">
        <v>0</v>
      </c>
      <c r="P361" s="337">
        <v>0</v>
      </c>
      <c r="Q361" s="338" t="s">
        <v>8317</v>
      </c>
      <c r="R361" s="338" t="s">
        <v>6088</v>
      </c>
      <c r="S361" s="338"/>
      <c r="T361" s="338" t="s">
        <v>6525</v>
      </c>
      <c r="U361" s="338" t="s">
        <v>6530</v>
      </c>
      <c r="V361" s="337">
        <v>0</v>
      </c>
      <c r="W361" s="337">
        <v>0</v>
      </c>
      <c r="X361" s="338"/>
      <c r="Y361" s="338" t="s">
        <v>497</v>
      </c>
      <c r="Z361" s="338" t="s">
        <v>8027</v>
      </c>
      <c r="AA361" s="338" t="s">
        <v>6079</v>
      </c>
      <c r="AB361" s="338"/>
      <c r="AC361" s="338" t="s">
        <v>6096</v>
      </c>
      <c r="AD361" s="338"/>
      <c r="AF361" s="502" t="str">
        <f>Table15[[#This Row],[code2]]</f>
        <v>PRL</v>
      </c>
      <c r="AG361" s="502" t="str">
        <f>Table15[[#This Row],[code5]]</f>
        <v>IFRB</v>
      </c>
    </row>
    <row r="362" spans="1:33">
      <c r="A362" s="338" t="s">
        <v>6072</v>
      </c>
      <c r="B362" s="338" t="s">
        <v>6073</v>
      </c>
      <c r="C362" s="337">
        <v>1</v>
      </c>
      <c r="D362" s="338" t="s">
        <v>6513</v>
      </c>
      <c r="E362" s="338" t="s">
        <v>6514</v>
      </c>
      <c r="F362" s="337">
        <v>1</v>
      </c>
      <c r="G362" s="337">
        <v>1</v>
      </c>
      <c r="H362" s="338" t="s">
        <v>6515</v>
      </c>
      <c r="I362" s="338" t="s">
        <v>9548</v>
      </c>
      <c r="J362" s="338" t="s">
        <v>9551</v>
      </c>
      <c r="K362" s="338" t="s">
        <v>6516</v>
      </c>
      <c r="L362" s="338" t="s">
        <v>6517</v>
      </c>
      <c r="M362" s="338" t="s">
        <v>4743</v>
      </c>
      <c r="N362" s="338" t="s">
        <v>8317</v>
      </c>
      <c r="O362" s="337">
        <v>0</v>
      </c>
      <c r="P362" s="337">
        <v>0</v>
      </c>
      <c r="Q362" s="338" t="s">
        <v>8317</v>
      </c>
      <c r="R362" s="338" t="s">
        <v>6088</v>
      </c>
      <c r="S362" s="338"/>
      <c r="T362" s="338" t="s">
        <v>6525</v>
      </c>
      <c r="U362" s="338" t="s">
        <v>6531</v>
      </c>
      <c r="V362" s="337">
        <v>0</v>
      </c>
      <c r="W362" s="337">
        <v>0</v>
      </c>
      <c r="X362" s="338"/>
      <c r="Y362" s="338" t="s">
        <v>6081</v>
      </c>
      <c r="Z362" s="338" t="s">
        <v>8127</v>
      </c>
      <c r="AA362" s="338" t="s">
        <v>6079</v>
      </c>
      <c r="AB362" s="338"/>
      <c r="AC362" s="338" t="s">
        <v>6096</v>
      </c>
      <c r="AD362" s="338"/>
      <c r="AF362" s="502" t="str">
        <f>Table15[[#This Row],[code2]]</f>
        <v>PRL</v>
      </c>
      <c r="AG362" s="502" t="str">
        <f>Table15[[#This Row],[code5]]</f>
        <v>IFRB</v>
      </c>
    </row>
    <row r="363" spans="1:33">
      <c r="A363" s="338" t="s">
        <v>6072</v>
      </c>
      <c r="B363" s="338" t="s">
        <v>6073</v>
      </c>
      <c r="C363" s="337">
        <v>1</v>
      </c>
      <c r="D363" s="338" t="s">
        <v>6513</v>
      </c>
      <c r="E363" s="338" t="s">
        <v>6514</v>
      </c>
      <c r="F363" s="337">
        <v>1</v>
      </c>
      <c r="G363" s="337">
        <v>1</v>
      </c>
      <c r="H363" s="338" t="s">
        <v>6515</v>
      </c>
      <c r="I363" s="338" t="s">
        <v>9548</v>
      </c>
      <c r="J363" s="338" t="s">
        <v>9551</v>
      </c>
      <c r="K363" s="338" t="s">
        <v>6516</v>
      </c>
      <c r="L363" s="338" t="s">
        <v>6517</v>
      </c>
      <c r="M363" s="338" t="s">
        <v>4743</v>
      </c>
      <c r="N363" s="338" t="s">
        <v>8317</v>
      </c>
      <c r="O363" s="337">
        <v>0</v>
      </c>
      <c r="P363" s="337">
        <v>0</v>
      </c>
      <c r="Q363" s="338" t="s">
        <v>8317</v>
      </c>
      <c r="R363" s="338" t="s">
        <v>6088</v>
      </c>
      <c r="S363" s="338"/>
      <c r="T363" s="338" t="s">
        <v>6525</v>
      </c>
      <c r="U363" s="338" t="s">
        <v>6532</v>
      </c>
      <c r="V363" s="337">
        <v>0</v>
      </c>
      <c r="W363" s="337">
        <v>0</v>
      </c>
      <c r="X363" s="338"/>
      <c r="Y363" s="338" t="s">
        <v>493</v>
      </c>
      <c r="Z363" s="338" t="s">
        <v>7877</v>
      </c>
      <c r="AA363" s="338" t="s">
        <v>6079</v>
      </c>
      <c r="AB363" s="338"/>
      <c r="AC363" s="338" t="s">
        <v>6096</v>
      </c>
      <c r="AD363" s="338"/>
      <c r="AF363" s="502" t="str">
        <f>Table15[[#This Row],[code2]]</f>
        <v>PRL</v>
      </c>
      <c r="AG363" s="502" t="str">
        <f>Table15[[#This Row],[code5]]</f>
        <v>IFRB</v>
      </c>
    </row>
    <row r="364" spans="1:33">
      <c r="A364" s="338" t="s">
        <v>6072</v>
      </c>
      <c r="B364" s="338" t="s">
        <v>6073</v>
      </c>
      <c r="C364" s="337">
        <v>1</v>
      </c>
      <c r="D364" s="338" t="s">
        <v>6513</v>
      </c>
      <c r="E364" s="338" t="s">
        <v>6514</v>
      </c>
      <c r="F364" s="337">
        <v>1</v>
      </c>
      <c r="G364" s="337">
        <v>1</v>
      </c>
      <c r="H364" s="338" t="s">
        <v>6515</v>
      </c>
      <c r="I364" s="338" t="s">
        <v>9548</v>
      </c>
      <c r="J364" s="338" t="s">
        <v>9551</v>
      </c>
      <c r="K364" s="338" t="s">
        <v>6516</v>
      </c>
      <c r="L364" s="338" t="s">
        <v>6517</v>
      </c>
      <c r="M364" s="338" t="s">
        <v>4743</v>
      </c>
      <c r="N364" s="338" t="s">
        <v>8317</v>
      </c>
      <c r="O364" s="337">
        <v>0</v>
      </c>
      <c r="P364" s="337">
        <v>0</v>
      </c>
      <c r="Q364" s="338" t="s">
        <v>8317</v>
      </c>
      <c r="R364" s="338" t="s">
        <v>6088</v>
      </c>
      <c r="S364" s="338"/>
      <c r="T364" s="338" t="s">
        <v>6525</v>
      </c>
      <c r="U364" s="338" t="s">
        <v>6533</v>
      </c>
      <c r="V364" s="337">
        <v>0</v>
      </c>
      <c r="W364" s="337">
        <v>0</v>
      </c>
      <c r="X364" s="338"/>
      <c r="Y364" s="338" t="s">
        <v>6085</v>
      </c>
      <c r="Z364" s="338" t="s">
        <v>8121</v>
      </c>
      <c r="AA364" s="338" t="s">
        <v>6079</v>
      </c>
      <c r="AB364" s="338"/>
      <c r="AC364" s="338" t="s">
        <v>6096</v>
      </c>
      <c r="AD364" s="338"/>
      <c r="AF364" s="502" t="str">
        <f>Table15[[#This Row],[code2]]</f>
        <v>PRL</v>
      </c>
      <c r="AG364" s="502" t="str">
        <f>Table15[[#This Row],[code5]]</f>
        <v>IFRB</v>
      </c>
    </row>
    <row r="365" spans="1:33">
      <c r="A365" s="338" t="s">
        <v>6072</v>
      </c>
      <c r="B365" s="338" t="s">
        <v>6073</v>
      </c>
      <c r="C365" s="337">
        <v>1</v>
      </c>
      <c r="D365" s="338" t="s">
        <v>6513</v>
      </c>
      <c r="E365" s="338" t="s">
        <v>6514</v>
      </c>
      <c r="F365" s="337">
        <v>1</v>
      </c>
      <c r="G365" s="337">
        <v>1</v>
      </c>
      <c r="H365" s="338" t="s">
        <v>6515</v>
      </c>
      <c r="I365" s="338" t="s">
        <v>9548</v>
      </c>
      <c r="J365" s="338" t="s">
        <v>9551</v>
      </c>
      <c r="K365" s="338" t="s">
        <v>6516</v>
      </c>
      <c r="L365" s="338" t="s">
        <v>6517</v>
      </c>
      <c r="M365" s="338" t="s">
        <v>4743</v>
      </c>
      <c r="N365" s="338" t="s">
        <v>8317</v>
      </c>
      <c r="O365" s="337">
        <v>0</v>
      </c>
      <c r="P365" s="337">
        <v>0</v>
      </c>
      <c r="Q365" s="338" t="s">
        <v>8317</v>
      </c>
      <c r="R365" s="338" t="s">
        <v>6088</v>
      </c>
      <c r="S365" s="338"/>
      <c r="T365" s="338" t="s">
        <v>6525</v>
      </c>
      <c r="U365" s="338" t="s">
        <v>6534</v>
      </c>
      <c r="V365" s="337">
        <v>0</v>
      </c>
      <c r="W365" s="337">
        <v>0</v>
      </c>
      <c r="X365" s="338"/>
      <c r="Y365" s="338" t="s">
        <v>497</v>
      </c>
      <c r="Z365" s="338" t="s">
        <v>8010</v>
      </c>
      <c r="AA365" s="338" t="s">
        <v>6079</v>
      </c>
      <c r="AB365" s="338"/>
      <c r="AC365" s="338" t="s">
        <v>6101</v>
      </c>
      <c r="AD365" s="338"/>
      <c r="AF365" s="502" t="str">
        <f>Table15[[#This Row],[code2]]</f>
        <v>PRL</v>
      </c>
      <c r="AG365" s="502" t="str">
        <f>Table15[[#This Row],[code5]]</f>
        <v>IFRB</v>
      </c>
    </row>
    <row r="366" spans="1:33">
      <c r="A366" s="338" t="s">
        <v>6072</v>
      </c>
      <c r="B366" s="338" t="s">
        <v>6073</v>
      </c>
      <c r="C366" s="337">
        <v>1</v>
      </c>
      <c r="D366" s="338" t="s">
        <v>6513</v>
      </c>
      <c r="E366" s="338" t="s">
        <v>6514</v>
      </c>
      <c r="F366" s="337">
        <v>1</v>
      </c>
      <c r="G366" s="337">
        <v>1</v>
      </c>
      <c r="H366" s="338" t="s">
        <v>6515</v>
      </c>
      <c r="I366" s="338" t="s">
        <v>9548</v>
      </c>
      <c r="J366" s="338" t="s">
        <v>9551</v>
      </c>
      <c r="K366" s="338" t="s">
        <v>6516</v>
      </c>
      <c r="L366" s="338" t="s">
        <v>6517</v>
      </c>
      <c r="M366" s="338" t="s">
        <v>4743</v>
      </c>
      <c r="N366" s="338" t="s">
        <v>8317</v>
      </c>
      <c r="O366" s="337">
        <v>0</v>
      </c>
      <c r="P366" s="337">
        <v>0</v>
      </c>
      <c r="Q366" s="338" t="s">
        <v>8317</v>
      </c>
      <c r="R366" s="338" t="s">
        <v>6088</v>
      </c>
      <c r="S366" s="338"/>
      <c r="T366" s="338" t="s">
        <v>6525</v>
      </c>
      <c r="U366" s="338" t="s">
        <v>6535</v>
      </c>
      <c r="V366" s="337">
        <v>0</v>
      </c>
      <c r="W366" s="337">
        <v>0</v>
      </c>
      <c r="X366" s="338"/>
      <c r="Y366" s="338" t="s">
        <v>6081</v>
      </c>
      <c r="Z366" s="338" t="s">
        <v>8273</v>
      </c>
      <c r="AA366" s="338" t="s">
        <v>6079</v>
      </c>
      <c r="AB366" s="338"/>
      <c r="AC366" s="338" t="s">
        <v>6101</v>
      </c>
      <c r="AD366" s="338"/>
      <c r="AF366" s="502" t="str">
        <f>Table15[[#This Row],[code2]]</f>
        <v>PRL</v>
      </c>
      <c r="AG366" s="502" t="str">
        <f>Table15[[#This Row],[code5]]</f>
        <v>IFRB</v>
      </c>
    </row>
    <row r="367" spans="1:33">
      <c r="A367" s="338" t="s">
        <v>6072</v>
      </c>
      <c r="B367" s="338" t="s">
        <v>6073</v>
      </c>
      <c r="C367" s="337">
        <v>1</v>
      </c>
      <c r="D367" s="338" t="s">
        <v>6513</v>
      </c>
      <c r="E367" s="338" t="s">
        <v>6514</v>
      </c>
      <c r="F367" s="337">
        <v>1</v>
      </c>
      <c r="G367" s="337">
        <v>1</v>
      </c>
      <c r="H367" s="338" t="s">
        <v>6515</v>
      </c>
      <c r="I367" s="338" t="s">
        <v>9548</v>
      </c>
      <c r="J367" s="338" t="s">
        <v>9551</v>
      </c>
      <c r="K367" s="338" t="s">
        <v>6516</v>
      </c>
      <c r="L367" s="338" t="s">
        <v>6517</v>
      </c>
      <c r="M367" s="338" t="s">
        <v>4743</v>
      </c>
      <c r="N367" s="338" t="s">
        <v>8317</v>
      </c>
      <c r="O367" s="337">
        <v>0</v>
      </c>
      <c r="P367" s="337">
        <v>0</v>
      </c>
      <c r="Q367" s="338" t="s">
        <v>8317</v>
      </c>
      <c r="R367" s="338" t="s">
        <v>6088</v>
      </c>
      <c r="S367" s="338"/>
      <c r="T367" s="338" t="s">
        <v>6525</v>
      </c>
      <c r="U367" s="338" t="s">
        <v>6536</v>
      </c>
      <c r="V367" s="337">
        <v>0</v>
      </c>
      <c r="W367" s="337">
        <v>0</v>
      </c>
      <c r="X367" s="338"/>
      <c r="Y367" s="338" t="s">
        <v>493</v>
      </c>
      <c r="Z367" s="338" t="s">
        <v>7974</v>
      </c>
      <c r="AA367" s="338" t="s">
        <v>6079</v>
      </c>
      <c r="AB367" s="338"/>
      <c r="AC367" s="338" t="s">
        <v>6101</v>
      </c>
      <c r="AD367" s="338"/>
      <c r="AF367" s="502" t="str">
        <f>Table15[[#This Row],[code2]]</f>
        <v>PRL</v>
      </c>
      <c r="AG367" s="502" t="str">
        <f>Table15[[#This Row],[code5]]</f>
        <v>IFRB</v>
      </c>
    </row>
    <row r="368" spans="1:33">
      <c r="A368" s="338" t="s">
        <v>6072</v>
      </c>
      <c r="B368" s="338" t="s">
        <v>6073</v>
      </c>
      <c r="C368" s="337">
        <v>1</v>
      </c>
      <c r="D368" s="338" t="s">
        <v>6513</v>
      </c>
      <c r="E368" s="338" t="s">
        <v>6514</v>
      </c>
      <c r="F368" s="337">
        <v>1</v>
      </c>
      <c r="G368" s="337">
        <v>1</v>
      </c>
      <c r="H368" s="338" t="s">
        <v>6515</v>
      </c>
      <c r="I368" s="338" t="s">
        <v>9548</v>
      </c>
      <c r="J368" s="338" t="s">
        <v>9551</v>
      </c>
      <c r="K368" s="338" t="s">
        <v>6516</v>
      </c>
      <c r="L368" s="338" t="s">
        <v>6517</v>
      </c>
      <c r="M368" s="338" t="s">
        <v>4743</v>
      </c>
      <c r="N368" s="338" t="s">
        <v>8317</v>
      </c>
      <c r="O368" s="337">
        <v>0</v>
      </c>
      <c r="P368" s="337">
        <v>0</v>
      </c>
      <c r="Q368" s="338" t="s">
        <v>8317</v>
      </c>
      <c r="R368" s="338" t="s">
        <v>6088</v>
      </c>
      <c r="S368" s="338"/>
      <c r="T368" s="338" t="s">
        <v>6525</v>
      </c>
      <c r="U368" s="338" t="s">
        <v>6537</v>
      </c>
      <c r="V368" s="337">
        <v>0</v>
      </c>
      <c r="W368" s="337">
        <v>0</v>
      </c>
      <c r="X368" s="338"/>
      <c r="Y368" s="338" t="s">
        <v>6085</v>
      </c>
      <c r="Z368" s="338" t="s">
        <v>8027</v>
      </c>
      <c r="AA368" s="338" t="s">
        <v>6079</v>
      </c>
      <c r="AB368" s="338"/>
      <c r="AC368" s="338" t="s">
        <v>6101</v>
      </c>
      <c r="AD368" s="338"/>
      <c r="AF368" s="502" t="str">
        <f>Table15[[#This Row],[code2]]</f>
        <v>PRL</v>
      </c>
      <c r="AG368" s="502" t="str">
        <f>Table15[[#This Row],[code5]]</f>
        <v>IFRB</v>
      </c>
    </row>
    <row r="369" spans="1:33">
      <c r="A369" s="338" t="s">
        <v>6072</v>
      </c>
      <c r="B369" s="338" t="s">
        <v>6073</v>
      </c>
      <c r="C369" s="337">
        <v>1</v>
      </c>
      <c r="D369" s="338" t="s">
        <v>6513</v>
      </c>
      <c r="E369" s="338" t="s">
        <v>6514</v>
      </c>
      <c r="F369" s="337">
        <v>1</v>
      </c>
      <c r="G369" s="337">
        <v>1</v>
      </c>
      <c r="H369" s="338" t="s">
        <v>6515</v>
      </c>
      <c r="I369" s="338" t="s">
        <v>9548</v>
      </c>
      <c r="J369" s="338" t="s">
        <v>9551</v>
      </c>
      <c r="K369" s="338" t="s">
        <v>6516</v>
      </c>
      <c r="L369" s="338" t="s">
        <v>6517</v>
      </c>
      <c r="M369" s="338" t="s">
        <v>4743</v>
      </c>
      <c r="N369" s="338" t="s">
        <v>8317</v>
      </c>
      <c r="O369" s="337">
        <v>0</v>
      </c>
      <c r="P369" s="337">
        <v>0</v>
      </c>
      <c r="Q369" s="338" t="s">
        <v>8317</v>
      </c>
      <c r="R369" s="338" t="s">
        <v>6088</v>
      </c>
      <c r="S369" s="338"/>
      <c r="T369" s="338" t="s">
        <v>6525</v>
      </c>
      <c r="U369" s="338" t="s">
        <v>6538</v>
      </c>
      <c r="V369" s="337">
        <v>0</v>
      </c>
      <c r="W369" s="337">
        <v>0</v>
      </c>
      <c r="X369" s="338"/>
      <c r="Y369" s="338" t="s">
        <v>497</v>
      </c>
      <c r="Z369" s="338" t="s">
        <v>7974</v>
      </c>
      <c r="AA369" s="338" t="s">
        <v>6079</v>
      </c>
      <c r="AB369" s="338"/>
      <c r="AC369" s="338" t="s">
        <v>6106</v>
      </c>
      <c r="AD369" s="338"/>
      <c r="AF369" s="502" t="str">
        <f>Table15[[#This Row],[code2]]</f>
        <v>PRL</v>
      </c>
      <c r="AG369" s="502" t="str">
        <f>Table15[[#This Row],[code5]]</f>
        <v>IFRB</v>
      </c>
    </row>
    <row r="370" spans="1:33">
      <c r="A370" s="338" t="s">
        <v>6072</v>
      </c>
      <c r="B370" s="338" t="s">
        <v>6073</v>
      </c>
      <c r="C370" s="337">
        <v>1</v>
      </c>
      <c r="D370" s="338" t="s">
        <v>6513</v>
      </c>
      <c r="E370" s="338" t="s">
        <v>6514</v>
      </c>
      <c r="F370" s="337">
        <v>1</v>
      </c>
      <c r="G370" s="337">
        <v>1</v>
      </c>
      <c r="H370" s="338" t="s">
        <v>6515</v>
      </c>
      <c r="I370" s="338" t="s">
        <v>9548</v>
      </c>
      <c r="J370" s="338" t="s">
        <v>9551</v>
      </c>
      <c r="K370" s="338" t="s">
        <v>6516</v>
      </c>
      <c r="L370" s="338" t="s">
        <v>6517</v>
      </c>
      <c r="M370" s="338" t="s">
        <v>4743</v>
      </c>
      <c r="N370" s="338" t="s">
        <v>8317</v>
      </c>
      <c r="O370" s="337">
        <v>0</v>
      </c>
      <c r="P370" s="337">
        <v>0</v>
      </c>
      <c r="Q370" s="338" t="s">
        <v>8317</v>
      </c>
      <c r="R370" s="338" t="s">
        <v>6088</v>
      </c>
      <c r="S370" s="338"/>
      <c r="T370" s="338" t="s">
        <v>6525</v>
      </c>
      <c r="U370" s="338" t="s">
        <v>6539</v>
      </c>
      <c r="V370" s="337">
        <v>0</v>
      </c>
      <c r="W370" s="337">
        <v>0</v>
      </c>
      <c r="X370" s="338"/>
      <c r="Y370" s="338" t="s">
        <v>6081</v>
      </c>
      <c r="Z370" s="338" t="s">
        <v>8277</v>
      </c>
      <c r="AA370" s="338" t="s">
        <v>6079</v>
      </c>
      <c r="AB370" s="338"/>
      <c r="AC370" s="338" t="s">
        <v>6106</v>
      </c>
      <c r="AD370" s="338"/>
      <c r="AF370" s="502" t="str">
        <f>Table15[[#This Row],[code2]]</f>
        <v>PRL</v>
      </c>
      <c r="AG370" s="502" t="str">
        <f>Table15[[#This Row],[code5]]</f>
        <v>IFRB</v>
      </c>
    </row>
    <row r="371" spans="1:33">
      <c r="A371" s="338" t="s">
        <v>6072</v>
      </c>
      <c r="B371" s="338" t="s">
        <v>6073</v>
      </c>
      <c r="C371" s="337">
        <v>1</v>
      </c>
      <c r="D371" s="338" t="s">
        <v>6513</v>
      </c>
      <c r="E371" s="338" t="s">
        <v>6514</v>
      </c>
      <c r="F371" s="337">
        <v>1</v>
      </c>
      <c r="G371" s="337">
        <v>1</v>
      </c>
      <c r="H371" s="338" t="s">
        <v>6515</v>
      </c>
      <c r="I371" s="338" t="s">
        <v>9548</v>
      </c>
      <c r="J371" s="338" t="s">
        <v>9551</v>
      </c>
      <c r="K371" s="338" t="s">
        <v>6516</v>
      </c>
      <c r="L371" s="338" t="s">
        <v>6517</v>
      </c>
      <c r="M371" s="338" t="s">
        <v>4743</v>
      </c>
      <c r="N371" s="338" t="s">
        <v>8317</v>
      </c>
      <c r="O371" s="337">
        <v>0</v>
      </c>
      <c r="P371" s="337">
        <v>0</v>
      </c>
      <c r="Q371" s="338" t="s">
        <v>8317</v>
      </c>
      <c r="R371" s="338" t="s">
        <v>6088</v>
      </c>
      <c r="S371" s="338"/>
      <c r="T371" s="338" t="s">
        <v>6525</v>
      </c>
      <c r="U371" s="338" t="s">
        <v>6540</v>
      </c>
      <c r="V371" s="337">
        <v>0</v>
      </c>
      <c r="W371" s="337">
        <v>0</v>
      </c>
      <c r="X371" s="338"/>
      <c r="Y371" s="338" t="s">
        <v>493</v>
      </c>
      <c r="Z371" s="338" t="s">
        <v>8023</v>
      </c>
      <c r="AA371" s="338" t="s">
        <v>6079</v>
      </c>
      <c r="AB371" s="338"/>
      <c r="AC371" s="338" t="s">
        <v>6106</v>
      </c>
      <c r="AD371" s="338"/>
      <c r="AF371" s="502" t="str">
        <f>Table15[[#This Row],[code2]]</f>
        <v>PRL</v>
      </c>
      <c r="AG371" s="502" t="str">
        <f>Table15[[#This Row],[code5]]</f>
        <v>IFRB</v>
      </c>
    </row>
    <row r="372" spans="1:33">
      <c r="A372" s="338" t="s">
        <v>6072</v>
      </c>
      <c r="B372" s="338" t="s">
        <v>6073</v>
      </c>
      <c r="C372" s="337">
        <v>1</v>
      </c>
      <c r="D372" s="338" t="s">
        <v>6513</v>
      </c>
      <c r="E372" s="338" t="s">
        <v>6514</v>
      </c>
      <c r="F372" s="337">
        <v>1</v>
      </c>
      <c r="G372" s="337">
        <v>1</v>
      </c>
      <c r="H372" s="338" t="s">
        <v>6515</v>
      </c>
      <c r="I372" s="338" t="s">
        <v>9548</v>
      </c>
      <c r="J372" s="338" t="s">
        <v>9551</v>
      </c>
      <c r="K372" s="338" t="s">
        <v>6516</v>
      </c>
      <c r="L372" s="338" t="s">
        <v>6517</v>
      </c>
      <c r="M372" s="338" t="s">
        <v>4743</v>
      </c>
      <c r="N372" s="338" t="s">
        <v>8317</v>
      </c>
      <c r="O372" s="337">
        <v>0</v>
      </c>
      <c r="P372" s="337">
        <v>0</v>
      </c>
      <c r="Q372" s="338" t="s">
        <v>8317</v>
      </c>
      <c r="R372" s="338" t="s">
        <v>6088</v>
      </c>
      <c r="S372" s="338"/>
      <c r="T372" s="338" t="s">
        <v>6525</v>
      </c>
      <c r="U372" s="338" t="s">
        <v>6541</v>
      </c>
      <c r="V372" s="337">
        <v>0</v>
      </c>
      <c r="W372" s="337">
        <v>0</v>
      </c>
      <c r="X372" s="338"/>
      <c r="Y372" s="338" t="s">
        <v>6085</v>
      </c>
      <c r="Z372" s="338" t="s">
        <v>8118</v>
      </c>
      <c r="AA372" s="338" t="s">
        <v>6079</v>
      </c>
      <c r="AB372" s="338"/>
      <c r="AC372" s="338" t="s">
        <v>6106</v>
      </c>
      <c r="AD372" s="338"/>
      <c r="AF372" s="502" t="str">
        <f>Table15[[#This Row],[code2]]</f>
        <v>PRL</v>
      </c>
      <c r="AG372" s="502" t="str">
        <f>Table15[[#This Row],[code5]]</f>
        <v>IFRB</v>
      </c>
    </row>
    <row r="373" spans="1:33">
      <c r="A373" s="338" t="s">
        <v>6072</v>
      </c>
      <c r="B373" s="338" t="s">
        <v>6073</v>
      </c>
      <c r="C373" s="337">
        <v>1</v>
      </c>
      <c r="D373" s="338" t="s">
        <v>6513</v>
      </c>
      <c r="E373" s="338" t="s">
        <v>6514</v>
      </c>
      <c r="F373" s="337">
        <v>1</v>
      </c>
      <c r="G373" s="337">
        <v>1</v>
      </c>
      <c r="H373" s="338" t="s">
        <v>6515</v>
      </c>
      <c r="I373" s="338" t="s">
        <v>9548</v>
      </c>
      <c r="J373" s="338" t="s">
        <v>9551</v>
      </c>
      <c r="K373" s="338" t="s">
        <v>6516</v>
      </c>
      <c r="L373" s="338" t="s">
        <v>6517</v>
      </c>
      <c r="M373" s="338" t="s">
        <v>4743</v>
      </c>
      <c r="N373" s="338" t="s">
        <v>8317</v>
      </c>
      <c r="O373" s="337">
        <v>0</v>
      </c>
      <c r="P373" s="337">
        <v>0</v>
      </c>
      <c r="Q373" s="338" t="s">
        <v>8317</v>
      </c>
      <c r="R373" s="338" t="s">
        <v>6088</v>
      </c>
      <c r="S373" s="338"/>
      <c r="T373" s="338" t="s">
        <v>6525</v>
      </c>
      <c r="U373" s="338" t="s">
        <v>6542</v>
      </c>
      <c r="V373" s="337">
        <v>0</v>
      </c>
      <c r="W373" s="337">
        <v>0</v>
      </c>
      <c r="X373" s="338"/>
      <c r="Y373" s="338" t="s">
        <v>497</v>
      </c>
      <c r="Z373" s="338" t="s">
        <v>7916</v>
      </c>
      <c r="AA373" s="338" t="s">
        <v>6079</v>
      </c>
      <c r="AB373" s="338"/>
      <c r="AC373" s="338" t="s">
        <v>6111</v>
      </c>
      <c r="AD373" s="338"/>
      <c r="AF373" s="502" t="str">
        <f>Table15[[#This Row],[code2]]</f>
        <v>PRL</v>
      </c>
      <c r="AG373" s="502" t="str">
        <f>Table15[[#This Row],[code5]]</f>
        <v>IFRB</v>
      </c>
    </row>
    <row r="374" spans="1:33">
      <c r="A374" s="338" t="s">
        <v>6072</v>
      </c>
      <c r="B374" s="338" t="s">
        <v>6073</v>
      </c>
      <c r="C374" s="337">
        <v>1</v>
      </c>
      <c r="D374" s="338" t="s">
        <v>6513</v>
      </c>
      <c r="E374" s="338" t="s">
        <v>6514</v>
      </c>
      <c r="F374" s="337">
        <v>1</v>
      </c>
      <c r="G374" s="337">
        <v>1</v>
      </c>
      <c r="H374" s="338" t="s">
        <v>6515</v>
      </c>
      <c r="I374" s="338" t="s">
        <v>9548</v>
      </c>
      <c r="J374" s="338" t="s">
        <v>9551</v>
      </c>
      <c r="K374" s="338" t="s">
        <v>6516</v>
      </c>
      <c r="L374" s="338" t="s">
        <v>6517</v>
      </c>
      <c r="M374" s="338" t="s">
        <v>4743</v>
      </c>
      <c r="N374" s="338" t="s">
        <v>8317</v>
      </c>
      <c r="O374" s="337">
        <v>0</v>
      </c>
      <c r="P374" s="337">
        <v>0</v>
      </c>
      <c r="Q374" s="338" t="s">
        <v>8317</v>
      </c>
      <c r="R374" s="338" t="s">
        <v>6088</v>
      </c>
      <c r="S374" s="338"/>
      <c r="T374" s="338" t="s">
        <v>6525</v>
      </c>
      <c r="U374" s="338" t="s">
        <v>6543</v>
      </c>
      <c r="V374" s="337">
        <v>0</v>
      </c>
      <c r="W374" s="337">
        <v>0</v>
      </c>
      <c r="X374" s="338"/>
      <c r="Y374" s="338" t="s">
        <v>6081</v>
      </c>
      <c r="Z374" s="338" t="s">
        <v>8019</v>
      </c>
      <c r="AA374" s="338" t="s">
        <v>6079</v>
      </c>
      <c r="AB374" s="338"/>
      <c r="AC374" s="338" t="s">
        <v>6111</v>
      </c>
      <c r="AD374" s="338"/>
      <c r="AF374" s="502" t="str">
        <f>Table15[[#This Row],[code2]]</f>
        <v>PRL</v>
      </c>
      <c r="AG374" s="502" t="str">
        <f>Table15[[#This Row],[code5]]</f>
        <v>IFRB</v>
      </c>
    </row>
    <row r="375" spans="1:33">
      <c r="A375" s="338" t="s">
        <v>6072</v>
      </c>
      <c r="B375" s="338" t="s">
        <v>6073</v>
      </c>
      <c r="C375" s="337">
        <v>1</v>
      </c>
      <c r="D375" s="338" t="s">
        <v>6513</v>
      </c>
      <c r="E375" s="338" t="s">
        <v>6514</v>
      </c>
      <c r="F375" s="337">
        <v>1</v>
      </c>
      <c r="G375" s="337">
        <v>1</v>
      </c>
      <c r="H375" s="338" t="s">
        <v>6515</v>
      </c>
      <c r="I375" s="338" t="s">
        <v>9548</v>
      </c>
      <c r="J375" s="338" t="s">
        <v>9551</v>
      </c>
      <c r="K375" s="338" t="s">
        <v>6516</v>
      </c>
      <c r="L375" s="338" t="s">
        <v>6517</v>
      </c>
      <c r="M375" s="338" t="s">
        <v>4743</v>
      </c>
      <c r="N375" s="338" t="s">
        <v>8317</v>
      </c>
      <c r="O375" s="337">
        <v>0</v>
      </c>
      <c r="P375" s="337">
        <v>0</v>
      </c>
      <c r="Q375" s="338" t="s">
        <v>8317</v>
      </c>
      <c r="R375" s="338" t="s">
        <v>6088</v>
      </c>
      <c r="S375" s="338"/>
      <c r="T375" s="338" t="s">
        <v>6525</v>
      </c>
      <c r="U375" s="338" t="s">
        <v>6544</v>
      </c>
      <c r="V375" s="337">
        <v>0</v>
      </c>
      <c r="W375" s="337">
        <v>0</v>
      </c>
      <c r="X375" s="338"/>
      <c r="Y375" s="338" t="s">
        <v>493</v>
      </c>
      <c r="Z375" s="338" t="s">
        <v>8029</v>
      </c>
      <c r="AA375" s="338" t="s">
        <v>6079</v>
      </c>
      <c r="AB375" s="338"/>
      <c r="AC375" s="338" t="s">
        <v>6111</v>
      </c>
      <c r="AD375" s="338"/>
      <c r="AF375" s="502" t="str">
        <f>Table15[[#This Row],[code2]]</f>
        <v>PRL</v>
      </c>
      <c r="AG375" s="502" t="str">
        <f>Table15[[#This Row],[code5]]</f>
        <v>IFRB</v>
      </c>
    </row>
    <row r="376" spans="1:33">
      <c r="A376" s="338" t="s">
        <v>6072</v>
      </c>
      <c r="B376" s="338" t="s">
        <v>6073</v>
      </c>
      <c r="C376" s="337">
        <v>1</v>
      </c>
      <c r="D376" s="338" t="s">
        <v>6513</v>
      </c>
      <c r="E376" s="338" t="s">
        <v>6514</v>
      </c>
      <c r="F376" s="337">
        <v>1</v>
      </c>
      <c r="G376" s="337">
        <v>1</v>
      </c>
      <c r="H376" s="338" t="s">
        <v>6515</v>
      </c>
      <c r="I376" s="338" t="s">
        <v>9548</v>
      </c>
      <c r="J376" s="338" t="s">
        <v>9551</v>
      </c>
      <c r="K376" s="338" t="s">
        <v>6516</v>
      </c>
      <c r="L376" s="338" t="s">
        <v>6517</v>
      </c>
      <c r="M376" s="338" t="s">
        <v>4743</v>
      </c>
      <c r="N376" s="338" t="s">
        <v>8317</v>
      </c>
      <c r="O376" s="337">
        <v>0</v>
      </c>
      <c r="P376" s="337">
        <v>0</v>
      </c>
      <c r="Q376" s="338" t="s">
        <v>8317</v>
      </c>
      <c r="R376" s="338" t="s">
        <v>6088</v>
      </c>
      <c r="S376" s="338"/>
      <c r="T376" s="338" t="s">
        <v>6525</v>
      </c>
      <c r="U376" s="338" t="s">
        <v>6545</v>
      </c>
      <c r="V376" s="337">
        <v>0</v>
      </c>
      <c r="W376" s="337">
        <v>0</v>
      </c>
      <c r="X376" s="338"/>
      <c r="Y376" s="338" t="s">
        <v>6085</v>
      </c>
      <c r="Z376" s="338" t="s">
        <v>8278</v>
      </c>
      <c r="AA376" s="338" t="s">
        <v>6079</v>
      </c>
      <c r="AB376" s="338"/>
      <c r="AC376" s="338" t="s">
        <v>6111</v>
      </c>
      <c r="AD376" s="338"/>
      <c r="AF376" s="502" t="str">
        <f>Table15[[#This Row],[code2]]</f>
        <v>PRL</v>
      </c>
      <c r="AG376" s="502" t="str">
        <f>Table15[[#This Row],[code5]]</f>
        <v>IFRB</v>
      </c>
    </row>
    <row r="377" spans="1:33">
      <c r="A377" s="338" t="s">
        <v>6072</v>
      </c>
      <c r="B377" s="338" t="s">
        <v>6073</v>
      </c>
      <c r="C377" s="337">
        <v>1</v>
      </c>
      <c r="D377" s="338" t="s">
        <v>6513</v>
      </c>
      <c r="E377" s="338" t="s">
        <v>6514</v>
      </c>
      <c r="F377" s="337">
        <v>1</v>
      </c>
      <c r="G377" s="337">
        <v>1</v>
      </c>
      <c r="H377" s="338" t="s">
        <v>6515</v>
      </c>
      <c r="I377" s="338" t="s">
        <v>9548</v>
      </c>
      <c r="J377" s="338" t="s">
        <v>9551</v>
      </c>
      <c r="K377" s="338" t="s">
        <v>6516</v>
      </c>
      <c r="L377" s="338" t="s">
        <v>6517</v>
      </c>
      <c r="M377" s="338" t="s">
        <v>4743</v>
      </c>
      <c r="N377" s="338" t="s">
        <v>8317</v>
      </c>
      <c r="O377" s="337">
        <v>0</v>
      </c>
      <c r="P377" s="337">
        <v>0</v>
      </c>
      <c r="Q377" s="338" t="s">
        <v>8317</v>
      </c>
      <c r="R377" s="338" t="s">
        <v>6088</v>
      </c>
      <c r="S377" s="338"/>
      <c r="T377" s="338" t="s">
        <v>6525</v>
      </c>
      <c r="U377" s="338" t="s">
        <v>6546</v>
      </c>
      <c r="V377" s="337">
        <v>0</v>
      </c>
      <c r="W377" s="337">
        <v>0</v>
      </c>
      <c r="X377" s="338"/>
      <c r="Y377" s="338" t="s">
        <v>497</v>
      </c>
      <c r="Z377" s="338" t="s">
        <v>6116</v>
      </c>
      <c r="AA377" s="338" t="s">
        <v>6079</v>
      </c>
      <c r="AB377" s="338"/>
      <c r="AC377" s="338" t="s">
        <v>6117</v>
      </c>
      <c r="AD377" s="338"/>
      <c r="AF377" s="502" t="str">
        <f>Table15[[#This Row],[code2]]</f>
        <v>PRL</v>
      </c>
      <c r="AG377" s="502" t="str">
        <f>Table15[[#This Row],[code5]]</f>
        <v>IFRB</v>
      </c>
    </row>
    <row r="378" spans="1:33">
      <c r="A378" s="338" t="s">
        <v>6072</v>
      </c>
      <c r="B378" s="338" t="s">
        <v>6073</v>
      </c>
      <c r="C378" s="337">
        <v>1</v>
      </c>
      <c r="D378" s="338" t="s">
        <v>6513</v>
      </c>
      <c r="E378" s="338" t="s">
        <v>6514</v>
      </c>
      <c r="F378" s="337">
        <v>1</v>
      </c>
      <c r="G378" s="337">
        <v>1</v>
      </c>
      <c r="H378" s="338" t="s">
        <v>6515</v>
      </c>
      <c r="I378" s="338" t="s">
        <v>9548</v>
      </c>
      <c r="J378" s="338" t="s">
        <v>9551</v>
      </c>
      <c r="K378" s="338" t="s">
        <v>6516</v>
      </c>
      <c r="L378" s="338" t="s">
        <v>6517</v>
      </c>
      <c r="M378" s="338" t="s">
        <v>4743</v>
      </c>
      <c r="N378" s="338" t="s">
        <v>8317</v>
      </c>
      <c r="O378" s="337">
        <v>0</v>
      </c>
      <c r="P378" s="337">
        <v>0</v>
      </c>
      <c r="Q378" s="338" t="s">
        <v>8317</v>
      </c>
      <c r="R378" s="338" t="s">
        <v>6088</v>
      </c>
      <c r="S378" s="338"/>
      <c r="T378" s="338" t="s">
        <v>6525</v>
      </c>
      <c r="U378" s="338" t="s">
        <v>6547</v>
      </c>
      <c r="V378" s="337">
        <v>0</v>
      </c>
      <c r="W378" s="337">
        <v>0</v>
      </c>
      <c r="X378" s="338"/>
      <c r="Y378" s="338" t="s">
        <v>6081</v>
      </c>
      <c r="Z378" s="338" t="s">
        <v>8125</v>
      </c>
      <c r="AA378" s="338" t="s">
        <v>6079</v>
      </c>
      <c r="AB378" s="338"/>
      <c r="AC378" s="338" t="s">
        <v>6117</v>
      </c>
      <c r="AD378" s="338"/>
      <c r="AF378" s="502" t="str">
        <f>Table15[[#This Row],[code2]]</f>
        <v>PRL</v>
      </c>
      <c r="AG378" s="502" t="str">
        <f>Table15[[#This Row],[code5]]</f>
        <v>IFRB</v>
      </c>
    </row>
    <row r="379" spans="1:33">
      <c r="A379" s="338" t="s">
        <v>6072</v>
      </c>
      <c r="B379" s="338" t="s">
        <v>6073</v>
      </c>
      <c r="C379" s="337">
        <v>1</v>
      </c>
      <c r="D379" s="338" t="s">
        <v>6513</v>
      </c>
      <c r="E379" s="338" t="s">
        <v>6514</v>
      </c>
      <c r="F379" s="337">
        <v>1</v>
      </c>
      <c r="G379" s="337">
        <v>1</v>
      </c>
      <c r="H379" s="338" t="s">
        <v>6515</v>
      </c>
      <c r="I379" s="338" t="s">
        <v>9548</v>
      </c>
      <c r="J379" s="338" t="s">
        <v>9551</v>
      </c>
      <c r="K379" s="338" t="s">
        <v>6516</v>
      </c>
      <c r="L379" s="338" t="s">
        <v>6517</v>
      </c>
      <c r="M379" s="338" t="s">
        <v>4743</v>
      </c>
      <c r="N379" s="338" t="s">
        <v>8317</v>
      </c>
      <c r="O379" s="337">
        <v>0</v>
      </c>
      <c r="P379" s="337">
        <v>0</v>
      </c>
      <c r="Q379" s="338" t="s">
        <v>8317</v>
      </c>
      <c r="R379" s="338" t="s">
        <v>6088</v>
      </c>
      <c r="S379" s="338"/>
      <c r="T379" s="338" t="s">
        <v>6525</v>
      </c>
      <c r="U379" s="338" t="s">
        <v>6548</v>
      </c>
      <c r="V379" s="337">
        <v>0</v>
      </c>
      <c r="W379" s="337">
        <v>0</v>
      </c>
      <c r="X379" s="338"/>
      <c r="Y379" s="338" t="s">
        <v>493</v>
      </c>
      <c r="Z379" s="338" t="s">
        <v>6116</v>
      </c>
      <c r="AA379" s="338" t="s">
        <v>6079</v>
      </c>
      <c r="AB379" s="338"/>
      <c r="AC379" s="338" t="s">
        <v>6117</v>
      </c>
      <c r="AD379" s="338"/>
      <c r="AF379" s="502" t="str">
        <f>Table15[[#This Row],[code2]]</f>
        <v>PRL</v>
      </c>
      <c r="AG379" s="502" t="str">
        <f>Table15[[#This Row],[code5]]</f>
        <v>IFRB</v>
      </c>
    </row>
    <row r="380" spans="1:33">
      <c r="A380" s="338" t="s">
        <v>6072</v>
      </c>
      <c r="B380" s="338" t="s">
        <v>6073</v>
      </c>
      <c r="C380" s="337">
        <v>1</v>
      </c>
      <c r="D380" s="338" t="s">
        <v>6513</v>
      </c>
      <c r="E380" s="338" t="s">
        <v>6514</v>
      </c>
      <c r="F380" s="337">
        <v>1</v>
      </c>
      <c r="G380" s="337">
        <v>1</v>
      </c>
      <c r="H380" s="338" t="s">
        <v>6515</v>
      </c>
      <c r="I380" s="338" t="s">
        <v>9548</v>
      </c>
      <c r="J380" s="338" t="s">
        <v>9551</v>
      </c>
      <c r="K380" s="338" t="s">
        <v>6516</v>
      </c>
      <c r="L380" s="338" t="s">
        <v>6517</v>
      </c>
      <c r="M380" s="338" t="s">
        <v>4743</v>
      </c>
      <c r="N380" s="338" t="s">
        <v>8317</v>
      </c>
      <c r="O380" s="337">
        <v>0</v>
      </c>
      <c r="P380" s="337">
        <v>0</v>
      </c>
      <c r="Q380" s="338" t="s">
        <v>8317</v>
      </c>
      <c r="R380" s="338" t="s">
        <v>6088</v>
      </c>
      <c r="S380" s="338"/>
      <c r="T380" s="338" t="s">
        <v>6525</v>
      </c>
      <c r="U380" s="338" t="s">
        <v>6549</v>
      </c>
      <c r="V380" s="337">
        <v>0</v>
      </c>
      <c r="W380" s="337">
        <v>0</v>
      </c>
      <c r="X380" s="338"/>
      <c r="Y380" s="338" t="s">
        <v>6085</v>
      </c>
      <c r="Z380" s="338" t="s">
        <v>8279</v>
      </c>
      <c r="AA380" s="338" t="s">
        <v>6079</v>
      </c>
      <c r="AB380" s="338"/>
      <c r="AC380" s="338" t="s">
        <v>6117</v>
      </c>
      <c r="AD380" s="338"/>
      <c r="AF380" s="502" t="str">
        <f>Table15[[#This Row],[code2]]</f>
        <v>PRL</v>
      </c>
      <c r="AG380" s="502" t="str">
        <f>Table15[[#This Row],[code5]]</f>
        <v>IFRB</v>
      </c>
    </row>
    <row r="381" spans="1:33">
      <c r="A381" s="338" t="s">
        <v>6072</v>
      </c>
      <c r="B381" s="338" t="s">
        <v>6073</v>
      </c>
      <c r="C381" s="337">
        <v>1</v>
      </c>
      <c r="D381" s="338" t="s">
        <v>6513</v>
      </c>
      <c r="E381" s="338" t="s">
        <v>6514</v>
      </c>
      <c r="F381" s="337">
        <v>1</v>
      </c>
      <c r="G381" s="337">
        <v>1</v>
      </c>
      <c r="H381" s="338" t="s">
        <v>6515</v>
      </c>
      <c r="I381" s="338" t="s">
        <v>9548</v>
      </c>
      <c r="J381" s="338" t="s">
        <v>9551</v>
      </c>
      <c r="K381" s="338" t="s">
        <v>6516</v>
      </c>
      <c r="L381" s="338" t="s">
        <v>6517</v>
      </c>
      <c r="M381" s="338" t="s">
        <v>4743</v>
      </c>
      <c r="N381" s="338" t="s">
        <v>8317</v>
      </c>
      <c r="O381" s="337">
        <v>0</v>
      </c>
      <c r="P381" s="337">
        <v>0</v>
      </c>
      <c r="Q381" s="338" t="s">
        <v>8317</v>
      </c>
      <c r="R381" s="338" t="s">
        <v>6088</v>
      </c>
      <c r="S381" s="338"/>
      <c r="T381" s="338" t="s">
        <v>6525</v>
      </c>
      <c r="U381" s="338" t="s">
        <v>6550</v>
      </c>
      <c r="V381" s="337">
        <v>0</v>
      </c>
      <c r="W381" s="337">
        <v>0</v>
      </c>
      <c r="X381" s="338"/>
      <c r="Y381" s="338" t="s">
        <v>497</v>
      </c>
      <c r="Z381" s="338" t="s">
        <v>6116</v>
      </c>
      <c r="AA381" s="338" t="s">
        <v>6079</v>
      </c>
      <c r="AB381" s="338"/>
      <c r="AC381" s="338" t="s">
        <v>6122</v>
      </c>
      <c r="AD381" s="338"/>
      <c r="AF381" s="502" t="str">
        <f>Table15[[#This Row],[code2]]</f>
        <v>PRL</v>
      </c>
      <c r="AG381" s="502" t="str">
        <f>Table15[[#This Row],[code5]]</f>
        <v>IFRB</v>
      </c>
    </row>
    <row r="382" spans="1:33">
      <c r="A382" s="338" t="s">
        <v>6072</v>
      </c>
      <c r="B382" s="338" t="s">
        <v>6073</v>
      </c>
      <c r="C382" s="337">
        <v>1</v>
      </c>
      <c r="D382" s="338" t="s">
        <v>6513</v>
      </c>
      <c r="E382" s="338" t="s">
        <v>6514</v>
      </c>
      <c r="F382" s="337">
        <v>1</v>
      </c>
      <c r="G382" s="337">
        <v>1</v>
      </c>
      <c r="H382" s="338" t="s">
        <v>6515</v>
      </c>
      <c r="I382" s="338" t="s">
        <v>9548</v>
      </c>
      <c r="J382" s="338" t="s">
        <v>9551</v>
      </c>
      <c r="K382" s="338" t="s">
        <v>6516</v>
      </c>
      <c r="L382" s="338" t="s">
        <v>6517</v>
      </c>
      <c r="M382" s="338" t="s">
        <v>4743</v>
      </c>
      <c r="N382" s="338" t="s">
        <v>8317</v>
      </c>
      <c r="O382" s="337">
        <v>0</v>
      </c>
      <c r="P382" s="337">
        <v>0</v>
      </c>
      <c r="Q382" s="338" t="s">
        <v>8317</v>
      </c>
      <c r="R382" s="338" t="s">
        <v>6088</v>
      </c>
      <c r="S382" s="338"/>
      <c r="T382" s="338" t="s">
        <v>6525</v>
      </c>
      <c r="U382" s="338" t="s">
        <v>6551</v>
      </c>
      <c r="V382" s="337">
        <v>0</v>
      </c>
      <c r="W382" s="337">
        <v>0</v>
      </c>
      <c r="X382" s="338"/>
      <c r="Y382" s="338" t="s">
        <v>6081</v>
      </c>
      <c r="Z382" s="338" t="s">
        <v>8253</v>
      </c>
      <c r="AA382" s="338" t="s">
        <v>6079</v>
      </c>
      <c r="AB382" s="338"/>
      <c r="AC382" s="338" t="s">
        <v>6122</v>
      </c>
      <c r="AD382" s="338"/>
      <c r="AF382" s="502" t="str">
        <f>Table15[[#This Row],[code2]]</f>
        <v>PRL</v>
      </c>
      <c r="AG382" s="502" t="str">
        <f>Table15[[#This Row],[code5]]</f>
        <v>IFRB</v>
      </c>
    </row>
    <row r="383" spans="1:33">
      <c r="A383" s="338" t="s">
        <v>6072</v>
      </c>
      <c r="B383" s="338" t="s">
        <v>6073</v>
      </c>
      <c r="C383" s="337">
        <v>1</v>
      </c>
      <c r="D383" s="338" t="s">
        <v>6513</v>
      </c>
      <c r="E383" s="338" t="s">
        <v>6514</v>
      </c>
      <c r="F383" s="337">
        <v>1</v>
      </c>
      <c r="G383" s="337">
        <v>1</v>
      </c>
      <c r="H383" s="338" t="s">
        <v>6515</v>
      </c>
      <c r="I383" s="338" t="s">
        <v>9548</v>
      </c>
      <c r="J383" s="338" t="s">
        <v>9551</v>
      </c>
      <c r="K383" s="338" t="s">
        <v>6516</v>
      </c>
      <c r="L383" s="338" t="s">
        <v>6517</v>
      </c>
      <c r="M383" s="338" t="s">
        <v>4743</v>
      </c>
      <c r="N383" s="338" t="s">
        <v>8317</v>
      </c>
      <c r="O383" s="337">
        <v>0</v>
      </c>
      <c r="P383" s="337">
        <v>0</v>
      </c>
      <c r="Q383" s="338" t="s">
        <v>8317</v>
      </c>
      <c r="R383" s="338" t="s">
        <v>6088</v>
      </c>
      <c r="S383" s="338"/>
      <c r="T383" s="338" t="s">
        <v>6525</v>
      </c>
      <c r="U383" s="338" t="s">
        <v>6552</v>
      </c>
      <c r="V383" s="337">
        <v>0</v>
      </c>
      <c r="W383" s="337">
        <v>0</v>
      </c>
      <c r="X383" s="338"/>
      <c r="Y383" s="338" t="s">
        <v>493</v>
      </c>
      <c r="Z383" s="338" t="s">
        <v>6116</v>
      </c>
      <c r="AA383" s="338" t="s">
        <v>6079</v>
      </c>
      <c r="AB383" s="338"/>
      <c r="AC383" s="338" t="s">
        <v>6122</v>
      </c>
      <c r="AD383" s="338"/>
      <c r="AF383" s="502" t="str">
        <f>Table15[[#This Row],[code2]]</f>
        <v>PRL</v>
      </c>
      <c r="AG383" s="502" t="str">
        <f>Table15[[#This Row],[code5]]</f>
        <v>IFRB</v>
      </c>
    </row>
    <row r="384" spans="1:33">
      <c r="A384" s="338" t="s">
        <v>6072</v>
      </c>
      <c r="B384" s="338" t="s">
        <v>6073</v>
      </c>
      <c r="C384" s="337">
        <v>1</v>
      </c>
      <c r="D384" s="338" t="s">
        <v>6513</v>
      </c>
      <c r="E384" s="338" t="s">
        <v>6514</v>
      </c>
      <c r="F384" s="337">
        <v>1</v>
      </c>
      <c r="G384" s="337">
        <v>1</v>
      </c>
      <c r="H384" s="338" t="s">
        <v>6515</v>
      </c>
      <c r="I384" s="338" t="s">
        <v>9548</v>
      </c>
      <c r="J384" s="338" t="s">
        <v>9551</v>
      </c>
      <c r="K384" s="338" t="s">
        <v>6516</v>
      </c>
      <c r="L384" s="338" t="s">
        <v>6517</v>
      </c>
      <c r="M384" s="338" t="s">
        <v>4743</v>
      </c>
      <c r="N384" s="338" t="s">
        <v>8317</v>
      </c>
      <c r="O384" s="337">
        <v>0</v>
      </c>
      <c r="P384" s="337">
        <v>0</v>
      </c>
      <c r="Q384" s="338" t="s">
        <v>8317</v>
      </c>
      <c r="R384" s="338" t="s">
        <v>6088</v>
      </c>
      <c r="S384" s="338"/>
      <c r="T384" s="338" t="s">
        <v>6525</v>
      </c>
      <c r="U384" s="338" t="s">
        <v>6553</v>
      </c>
      <c r="V384" s="337">
        <v>0</v>
      </c>
      <c r="W384" s="337">
        <v>0</v>
      </c>
      <c r="X384" s="338"/>
      <c r="Y384" s="338" t="s">
        <v>6085</v>
      </c>
      <c r="Z384" s="338" t="s">
        <v>8280</v>
      </c>
      <c r="AA384" s="338" t="s">
        <v>6079</v>
      </c>
      <c r="AB384" s="338"/>
      <c r="AC384" s="338" t="s">
        <v>6122</v>
      </c>
      <c r="AD384" s="338"/>
      <c r="AF384" s="502" t="str">
        <f>Table15[[#This Row],[code2]]</f>
        <v>PRL</v>
      </c>
      <c r="AG384" s="502" t="str">
        <f>Table15[[#This Row],[code5]]</f>
        <v>IFRB</v>
      </c>
    </row>
    <row r="385" spans="1:33">
      <c r="A385" s="338" t="s">
        <v>6072</v>
      </c>
      <c r="B385" s="338" t="s">
        <v>6073</v>
      </c>
      <c r="C385" s="337">
        <v>1</v>
      </c>
      <c r="D385" s="338" t="s">
        <v>6513</v>
      </c>
      <c r="E385" s="338" t="s">
        <v>6514</v>
      </c>
      <c r="F385" s="337">
        <v>1</v>
      </c>
      <c r="G385" s="337">
        <v>1</v>
      </c>
      <c r="H385" s="338" t="s">
        <v>6515</v>
      </c>
      <c r="I385" s="338" t="s">
        <v>9548</v>
      </c>
      <c r="J385" s="338" t="s">
        <v>9551</v>
      </c>
      <c r="K385" s="338" t="s">
        <v>6516</v>
      </c>
      <c r="L385" s="338" t="s">
        <v>6517</v>
      </c>
      <c r="M385" s="338" t="s">
        <v>4740</v>
      </c>
      <c r="N385" s="338" t="s">
        <v>8318</v>
      </c>
      <c r="O385" s="337">
        <v>1</v>
      </c>
      <c r="P385" s="337">
        <v>1</v>
      </c>
      <c r="Q385" s="338" t="s">
        <v>8318</v>
      </c>
      <c r="R385" s="338" t="s">
        <v>6088</v>
      </c>
      <c r="S385" s="338"/>
      <c r="T385" s="338" t="s">
        <v>7911</v>
      </c>
      <c r="U385" s="338" t="s">
        <v>4900</v>
      </c>
      <c r="V385" s="337">
        <v>1</v>
      </c>
      <c r="W385" s="337">
        <v>1</v>
      </c>
      <c r="X385" s="338"/>
      <c r="Y385" s="338" t="s">
        <v>497</v>
      </c>
      <c r="Z385" s="338" t="s">
        <v>8029</v>
      </c>
      <c r="AA385" s="338" t="s">
        <v>6079</v>
      </c>
      <c r="AB385" s="338"/>
      <c r="AC385" s="338" t="s">
        <v>6091</v>
      </c>
      <c r="AD385" s="338"/>
      <c r="AF385" s="502" t="str">
        <f>Table15[[#This Row],[code2]]</f>
        <v>PRL</v>
      </c>
      <c r="AG385" s="502" t="str">
        <f>Table15[[#This Row],[code5]]</f>
        <v>IFR</v>
      </c>
    </row>
    <row r="386" spans="1:33">
      <c r="A386" s="338" t="s">
        <v>6072</v>
      </c>
      <c r="B386" s="338" t="s">
        <v>6073</v>
      </c>
      <c r="C386" s="337">
        <v>1</v>
      </c>
      <c r="D386" s="338" t="s">
        <v>6513</v>
      </c>
      <c r="E386" s="338" t="s">
        <v>6514</v>
      </c>
      <c r="F386" s="337">
        <v>1</v>
      </c>
      <c r="G386" s="337">
        <v>1</v>
      </c>
      <c r="H386" s="338" t="s">
        <v>6515</v>
      </c>
      <c r="I386" s="338" t="s">
        <v>9548</v>
      </c>
      <c r="J386" s="338" t="s">
        <v>9551</v>
      </c>
      <c r="K386" s="338" t="s">
        <v>6516</v>
      </c>
      <c r="L386" s="338" t="s">
        <v>6517</v>
      </c>
      <c r="M386" s="338" t="s">
        <v>4740</v>
      </c>
      <c r="N386" s="338" t="s">
        <v>8318</v>
      </c>
      <c r="O386" s="337">
        <v>1</v>
      </c>
      <c r="P386" s="337">
        <v>1</v>
      </c>
      <c r="Q386" s="338" t="s">
        <v>8318</v>
      </c>
      <c r="R386" s="338" t="s">
        <v>6088</v>
      </c>
      <c r="S386" s="338"/>
      <c r="T386" s="338" t="s">
        <v>7911</v>
      </c>
      <c r="U386" s="338" t="s">
        <v>6554</v>
      </c>
      <c r="V386" s="337">
        <v>1</v>
      </c>
      <c r="W386" s="337">
        <v>1</v>
      </c>
      <c r="X386" s="338"/>
      <c r="Y386" s="338" t="s">
        <v>6081</v>
      </c>
      <c r="Z386" s="338" t="s">
        <v>9553</v>
      </c>
      <c r="AA386" s="338" t="s">
        <v>6079</v>
      </c>
      <c r="AB386" s="338"/>
      <c r="AC386" s="338" t="s">
        <v>6091</v>
      </c>
      <c r="AD386" s="338"/>
      <c r="AF386" s="502" t="str">
        <f>Table15[[#This Row],[code2]]</f>
        <v>PRL</v>
      </c>
      <c r="AG386" s="502" t="str">
        <f>Table15[[#This Row],[code5]]</f>
        <v>IFR</v>
      </c>
    </row>
    <row r="387" spans="1:33">
      <c r="A387" s="338" t="s">
        <v>6072</v>
      </c>
      <c r="B387" s="338" t="s">
        <v>6073</v>
      </c>
      <c r="C387" s="337">
        <v>1</v>
      </c>
      <c r="D387" s="338" t="s">
        <v>6513</v>
      </c>
      <c r="E387" s="338" t="s">
        <v>6514</v>
      </c>
      <c r="F387" s="337">
        <v>1</v>
      </c>
      <c r="G387" s="337">
        <v>1</v>
      </c>
      <c r="H387" s="338" t="s">
        <v>6515</v>
      </c>
      <c r="I387" s="338" t="s">
        <v>9548</v>
      </c>
      <c r="J387" s="338" t="s">
        <v>9551</v>
      </c>
      <c r="K387" s="338" t="s">
        <v>6516</v>
      </c>
      <c r="L387" s="338" t="s">
        <v>6517</v>
      </c>
      <c r="M387" s="338" t="s">
        <v>4740</v>
      </c>
      <c r="N387" s="338" t="s">
        <v>8318</v>
      </c>
      <c r="O387" s="337">
        <v>1</v>
      </c>
      <c r="P387" s="337">
        <v>1</v>
      </c>
      <c r="Q387" s="338" t="s">
        <v>8318</v>
      </c>
      <c r="R387" s="338" t="s">
        <v>6088</v>
      </c>
      <c r="S387" s="338"/>
      <c r="T387" s="338" t="s">
        <v>7911</v>
      </c>
      <c r="U387" s="338" t="s">
        <v>4922</v>
      </c>
      <c r="V387" s="337">
        <v>1</v>
      </c>
      <c r="W387" s="337">
        <v>1</v>
      </c>
      <c r="X387" s="338"/>
      <c r="Y387" s="338" t="s">
        <v>493</v>
      </c>
      <c r="Z387" s="338" t="s">
        <v>8030</v>
      </c>
      <c r="AA387" s="338" t="s">
        <v>6079</v>
      </c>
      <c r="AB387" s="338"/>
      <c r="AC387" s="338" t="s">
        <v>6091</v>
      </c>
      <c r="AD387" s="338"/>
      <c r="AF387" s="502" t="str">
        <f>Table15[[#This Row],[code2]]</f>
        <v>PRL</v>
      </c>
      <c r="AG387" s="502" t="str">
        <f>Table15[[#This Row],[code5]]</f>
        <v>IFR</v>
      </c>
    </row>
    <row r="388" spans="1:33">
      <c r="A388" s="338" t="s">
        <v>6072</v>
      </c>
      <c r="B388" s="338" t="s">
        <v>6073</v>
      </c>
      <c r="C388" s="337">
        <v>1</v>
      </c>
      <c r="D388" s="338" t="s">
        <v>6513</v>
      </c>
      <c r="E388" s="338" t="s">
        <v>6514</v>
      </c>
      <c r="F388" s="337">
        <v>1</v>
      </c>
      <c r="G388" s="337">
        <v>1</v>
      </c>
      <c r="H388" s="338" t="s">
        <v>6515</v>
      </c>
      <c r="I388" s="338" t="s">
        <v>9548</v>
      </c>
      <c r="J388" s="338" t="s">
        <v>9551</v>
      </c>
      <c r="K388" s="338" t="s">
        <v>6516</v>
      </c>
      <c r="L388" s="338" t="s">
        <v>6517</v>
      </c>
      <c r="M388" s="338" t="s">
        <v>4740</v>
      </c>
      <c r="N388" s="338" t="s">
        <v>8318</v>
      </c>
      <c r="O388" s="337">
        <v>1</v>
      </c>
      <c r="P388" s="337">
        <v>1</v>
      </c>
      <c r="Q388" s="338" t="s">
        <v>8318</v>
      </c>
      <c r="R388" s="338" t="s">
        <v>6088</v>
      </c>
      <c r="S388" s="338"/>
      <c r="T388" s="338" t="s">
        <v>7911</v>
      </c>
      <c r="U388" s="338" t="s">
        <v>6556</v>
      </c>
      <c r="V388" s="337">
        <v>1</v>
      </c>
      <c r="W388" s="337">
        <v>1</v>
      </c>
      <c r="X388" s="338"/>
      <c r="Y388" s="338" t="s">
        <v>6085</v>
      </c>
      <c r="Z388" s="338" t="s">
        <v>7958</v>
      </c>
      <c r="AA388" s="338" t="s">
        <v>6079</v>
      </c>
      <c r="AB388" s="338"/>
      <c r="AC388" s="338" t="s">
        <v>6091</v>
      </c>
      <c r="AD388" s="338"/>
      <c r="AF388" s="502" t="str">
        <f>Table15[[#This Row],[code2]]</f>
        <v>PRL</v>
      </c>
      <c r="AG388" s="502" t="str">
        <f>Table15[[#This Row],[code5]]</f>
        <v>IFR</v>
      </c>
    </row>
    <row r="389" spans="1:33">
      <c r="A389" s="338" t="s">
        <v>6072</v>
      </c>
      <c r="B389" s="338" t="s">
        <v>6073</v>
      </c>
      <c r="C389" s="337">
        <v>1</v>
      </c>
      <c r="D389" s="338" t="s">
        <v>6513</v>
      </c>
      <c r="E389" s="338" t="s">
        <v>6514</v>
      </c>
      <c r="F389" s="337">
        <v>1</v>
      </c>
      <c r="G389" s="337">
        <v>1</v>
      </c>
      <c r="H389" s="338" t="s">
        <v>6515</v>
      </c>
      <c r="I389" s="338" t="s">
        <v>9548</v>
      </c>
      <c r="J389" s="338" t="s">
        <v>9551</v>
      </c>
      <c r="K389" s="338" t="s">
        <v>6516</v>
      </c>
      <c r="L389" s="338" t="s">
        <v>6517</v>
      </c>
      <c r="M389" s="338" t="s">
        <v>4740</v>
      </c>
      <c r="N389" s="338" t="s">
        <v>8318</v>
      </c>
      <c r="O389" s="337">
        <v>1</v>
      </c>
      <c r="P389" s="337">
        <v>1</v>
      </c>
      <c r="Q389" s="338" t="s">
        <v>8318</v>
      </c>
      <c r="R389" s="338" t="s">
        <v>6088</v>
      </c>
      <c r="S389" s="338"/>
      <c r="T389" s="338" t="s">
        <v>7911</v>
      </c>
      <c r="U389" s="338" t="s">
        <v>4901</v>
      </c>
      <c r="V389" s="337">
        <v>1</v>
      </c>
      <c r="W389" s="337">
        <v>1</v>
      </c>
      <c r="X389" s="338"/>
      <c r="Y389" s="338" t="s">
        <v>497</v>
      </c>
      <c r="Z389" s="338" t="s">
        <v>7966</v>
      </c>
      <c r="AA389" s="338" t="s">
        <v>6079</v>
      </c>
      <c r="AB389" s="338"/>
      <c r="AC389" s="338" t="s">
        <v>6096</v>
      </c>
      <c r="AD389" s="338"/>
      <c r="AF389" s="502" t="str">
        <f>Table15[[#This Row],[code2]]</f>
        <v>PRL</v>
      </c>
      <c r="AG389" s="502" t="str">
        <f>Table15[[#This Row],[code5]]</f>
        <v>IFR</v>
      </c>
    </row>
    <row r="390" spans="1:33">
      <c r="A390" s="338" t="s">
        <v>6072</v>
      </c>
      <c r="B390" s="338" t="s">
        <v>6073</v>
      </c>
      <c r="C390" s="337">
        <v>1</v>
      </c>
      <c r="D390" s="338" t="s">
        <v>6513</v>
      </c>
      <c r="E390" s="338" t="s">
        <v>6514</v>
      </c>
      <c r="F390" s="337">
        <v>1</v>
      </c>
      <c r="G390" s="337">
        <v>1</v>
      </c>
      <c r="H390" s="338" t="s">
        <v>6515</v>
      </c>
      <c r="I390" s="338" t="s">
        <v>9548</v>
      </c>
      <c r="J390" s="338" t="s">
        <v>9551</v>
      </c>
      <c r="K390" s="338" t="s">
        <v>6516</v>
      </c>
      <c r="L390" s="338" t="s">
        <v>6517</v>
      </c>
      <c r="M390" s="338" t="s">
        <v>4740</v>
      </c>
      <c r="N390" s="338" t="s">
        <v>8318</v>
      </c>
      <c r="O390" s="337">
        <v>1</v>
      </c>
      <c r="P390" s="337">
        <v>1</v>
      </c>
      <c r="Q390" s="338" t="s">
        <v>8318</v>
      </c>
      <c r="R390" s="338" t="s">
        <v>6088</v>
      </c>
      <c r="S390" s="338"/>
      <c r="T390" s="338" t="s">
        <v>7911</v>
      </c>
      <c r="U390" s="338" t="s">
        <v>6558</v>
      </c>
      <c r="V390" s="337">
        <v>1</v>
      </c>
      <c r="W390" s="337">
        <v>1</v>
      </c>
      <c r="X390" s="338"/>
      <c r="Y390" s="338" t="s">
        <v>6081</v>
      </c>
      <c r="Z390" s="338" t="s">
        <v>9153</v>
      </c>
      <c r="AA390" s="338" t="s">
        <v>6079</v>
      </c>
      <c r="AB390" s="338"/>
      <c r="AC390" s="338" t="s">
        <v>6096</v>
      </c>
      <c r="AD390" s="338"/>
      <c r="AF390" s="502" t="str">
        <f>Table15[[#This Row],[code2]]</f>
        <v>PRL</v>
      </c>
      <c r="AG390" s="502" t="str">
        <f>Table15[[#This Row],[code5]]</f>
        <v>IFR</v>
      </c>
    </row>
    <row r="391" spans="1:33">
      <c r="A391" s="338" t="s">
        <v>6072</v>
      </c>
      <c r="B391" s="338" t="s">
        <v>6073</v>
      </c>
      <c r="C391" s="337">
        <v>1</v>
      </c>
      <c r="D391" s="338" t="s">
        <v>6513</v>
      </c>
      <c r="E391" s="338" t="s">
        <v>6514</v>
      </c>
      <c r="F391" s="337">
        <v>1</v>
      </c>
      <c r="G391" s="337">
        <v>1</v>
      </c>
      <c r="H391" s="338" t="s">
        <v>6515</v>
      </c>
      <c r="I391" s="338" t="s">
        <v>9548</v>
      </c>
      <c r="J391" s="338" t="s">
        <v>9551</v>
      </c>
      <c r="K391" s="338" t="s">
        <v>6516</v>
      </c>
      <c r="L391" s="338" t="s">
        <v>6517</v>
      </c>
      <c r="M391" s="338" t="s">
        <v>4740</v>
      </c>
      <c r="N391" s="338" t="s">
        <v>8318</v>
      </c>
      <c r="O391" s="337">
        <v>1</v>
      </c>
      <c r="P391" s="337">
        <v>1</v>
      </c>
      <c r="Q391" s="338" t="s">
        <v>8318</v>
      </c>
      <c r="R391" s="338" t="s">
        <v>6088</v>
      </c>
      <c r="S391" s="338"/>
      <c r="T391" s="338" t="s">
        <v>7911</v>
      </c>
      <c r="U391" s="338" t="s">
        <v>4923</v>
      </c>
      <c r="V391" s="337">
        <v>1</v>
      </c>
      <c r="W391" s="337">
        <v>1</v>
      </c>
      <c r="X391" s="338"/>
      <c r="Y391" s="338" t="s">
        <v>493</v>
      </c>
      <c r="Z391" s="338" t="s">
        <v>7915</v>
      </c>
      <c r="AA391" s="338" t="s">
        <v>6079</v>
      </c>
      <c r="AB391" s="338"/>
      <c r="AC391" s="338" t="s">
        <v>6096</v>
      </c>
      <c r="AD391" s="338"/>
      <c r="AF391" s="502" t="str">
        <f>Table15[[#This Row],[code2]]</f>
        <v>PRL</v>
      </c>
      <c r="AG391" s="502" t="str">
        <f>Table15[[#This Row],[code5]]</f>
        <v>IFR</v>
      </c>
    </row>
    <row r="392" spans="1:33">
      <c r="A392" s="338" t="s">
        <v>6072</v>
      </c>
      <c r="B392" s="338" t="s">
        <v>6073</v>
      </c>
      <c r="C392" s="337">
        <v>1</v>
      </c>
      <c r="D392" s="338" t="s">
        <v>6513</v>
      </c>
      <c r="E392" s="338" t="s">
        <v>6514</v>
      </c>
      <c r="F392" s="337">
        <v>1</v>
      </c>
      <c r="G392" s="337">
        <v>1</v>
      </c>
      <c r="H392" s="338" t="s">
        <v>6515</v>
      </c>
      <c r="I392" s="338" t="s">
        <v>9548</v>
      </c>
      <c r="J392" s="338" t="s">
        <v>9551</v>
      </c>
      <c r="K392" s="338" t="s">
        <v>6516</v>
      </c>
      <c r="L392" s="338" t="s">
        <v>6517</v>
      </c>
      <c r="M392" s="338" t="s">
        <v>4740</v>
      </c>
      <c r="N392" s="338" t="s">
        <v>8318</v>
      </c>
      <c r="O392" s="337">
        <v>1</v>
      </c>
      <c r="P392" s="337">
        <v>1</v>
      </c>
      <c r="Q392" s="338" t="s">
        <v>8318</v>
      </c>
      <c r="R392" s="338" t="s">
        <v>6088</v>
      </c>
      <c r="S392" s="338"/>
      <c r="T392" s="338" t="s">
        <v>7911</v>
      </c>
      <c r="U392" s="338" t="s">
        <v>6559</v>
      </c>
      <c r="V392" s="337">
        <v>1</v>
      </c>
      <c r="W392" s="337">
        <v>1</v>
      </c>
      <c r="X392" s="338"/>
      <c r="Y392" s="338" t="s">
        <v>6085</v>
      </c>
      <c r="Z392" s="338" t="s">
        <v>9154</v>
      </c>
      <c r="AA392" s="338" t="s">
        <v>6079</v>
      </c>
      <c r="AB392" s="338"/>
      <c r="AC392" s="338" t="s">
        <v>6096</v>
      </c>
      <c r="AD392" s="338"/>
      <c r="AF392" s="502" t="str">
        <f>Table15[[#This Row],[code2]]</f>
        <v>PRL</v>
      </c>
      <c r="AG392" s="502" t="str">
        <f>Table15[[#This Row],[code5]]</f>
        <v>IFR</v>
      </c>
    </row>
    <row r="393" spans="1:33">
      <c r="A393" s="338" t="s">
        <v>6072</v>
      </c>
      <c r="B393" s="338" t="s">
        <v>6073</v>
      </c>
      <c r="C393" s="337">
        <v>1</v>
      </c>
      <c r="D393" s="338" t="s">
        <v>6513</v>
      </c>
      <c r="E393" s="338" t="s">
        <v>6514</v>
      </c>
      <c r="F393" s="337">
        <v>1</v>
      </c>
      <c r="G393" s="337">
        <v>1</v>
      </c>
      <c r="H393" s="338" t="s">
        <v>6515</v>
      </c>
      <c r="I393" s="338" t="s">
        <v>9548</v>
      </c>
      <c r="J393" s="338" t="s">
        <v>9551</v>
      </c>
      <c r="K393" s="338" t="s">
        <v>6516</v>
      </c>
      <c r="L393" s="338" t="s">
        <v>6517</v>
      </c>
      <c r="M393" s="338" t="s">
        <v>4740</v>
      </c>
      <c r="N393" s="338" t="s">
        <v>8318</v>
      </c>
      <c r="O393" s="337">
        <v>1</v>
      </c>
      <c r="P393" s="337">
        <v>1</v>
      </c>
      <c r="Q393" s="338" t="s">
        <v>8318</v>
      </c>
      <c r="R393" s="338" t="s">
        <v>6088</v>
      </c>
      <c r="S393" s="338"/>
      <c r="T393" s="338" t="s">
        <v>7911</v>
      </c>
      <c r="U393" s="338" t="s">
        <v>4902</v>
      </c>
      <c r="V393" s="337">
        <v>1</v>
      </c>
      <c r="W393" s="337">
        <v>1</v>
      </c>
      <c r="X393" s="338"/>
      <c r="Y393" s="338" t="s">
        <v>497</v>
      </c>
      <c r="Z393" s="338" t="s">
        <v>7966</v>
      </c>
      <c r="AA393" s="338" t="s">
        <v>6079</v>
      </c>
      <c r="AB393" s="338"/>
      <c r="AC393" s="338" t="s">
        <v>6101</v>
      </c>
      <c r="AD393" s="338"/>
      <c r="AF393" s="502" t="str">
        <f>Table15[[#This Row],[code2]]</f>
        <v>PRL</v>
      </c>
      <c r="AG393" s="502" t="str">
        <f>Table15[[#This Row],[code5]]</f>
        <v>IFR</v>
      </c>
    </row>
    <row r="394" spans="1:33">
      <c r="A394" s="338" t="s">
        <v>6072</v>
      </c>
      <c r="B394" s="338" t="s">
        <v>6073</v>
      </c>
      <c r="C394" s="337">
        <v>1</v>
      </c>
      <c r="D394" s="338" t="s">
        <v>6513</v>
      </c>
      <c r="E394" s="338" t="s">
        <v>6514</v>
      </c>
      <c r="F394" s="337">
        <v>1</v>
      </c>
      <c r="G394" s="337">
        <v>1</v>
      </c>
      <c r="H394" s="338" t="s">
        <v>6515</v>
      </c>
      <c r="I394" s="338" t="s">
        <v>9548</v>
      </c>
      <c r="J394" s="338" t="s">
        <v>9551</v>
      </c>
      <c r="K394" s="338" t="s">
        <v>6516</v>
      </c>
      <c r="L394" s="338" t="s">
        <v>6517</v>
      </c>
      <c r="M394" s="338" t="s">
        <v>4740</v>
      </c>
      <c r="N394" s="338" t="s">
        <v>8318</v>
      </c>
      <c r="O394" s="337">
        <v>1</v>
      </c>
      <c r="P394" s="337">
        <v>1</v>
      </c>
      <c r="Q394" s="338" t="s">
        <v>8318</v>
      </c>
      <c r="R394" s="338" t="s">
        <v>6088</v>
      </c>
      <c r="S394" s="338"/>
      <c r="T394" s="338" t="s">
        <v>7911</v>
      </c>
      <c r="U394" s="338" t="s">
        <v>6560</v>
      </c>
      <c r="V394" s="337">
        <v>1</v>
      </c>
      <c r="W394" s="337">
        <v>1</v>
      </c>
      <c r="X394" s="338"/>
      <c r="Y394" s="338" t="s">
        <v>6081</v>
      </c>
      <c r="Z394" s="338" t="s">
        <v>9155</v>
      </c>
      <c r="AA394" s="338" t="s">
        <v>6079</v>
      </c>
      <c r="AB394" s="338"/>
      <c r="AC394" s="338" t="s">
        <v>6101</v>
      </c>
      <c r="AD394" s="338"/>
      <c r="AF394" s="502" t="str">
        <f>Table15[[#This Row],[code2]]</f>
        <v>PRL</v>
      </c>
      <c r="AG394" s="502" t="str">
        <f>Table15[[#This Row],[code5]]</f>
        <v>IFR</v>
      </c>
    </row>
    <row r="395" spans="1:33">
      <c r="A395" s="338" t="s">
        <v>6072</v>
      </c>
      <c r="B395" s="338" t="s">
        <v>6073</v>
      </c>
      <c r="C395" s="337">
        <v>1</v>
      </c>
      <c r="D395" s="338" t="s">
        <v>6513</v>
      </c>
      <c r="E395" s="338" t="s">
        <v>6514</v>
      </c>
      <c r="F395" s="337">
        <v>1</v>
      </c>
      <c r="G395" s="337">
        <v>1</v>
      </c>
      <c r="H395" s="338" t="s">
        <v>6515</v>
      </c>
      <c r="I395" s="338" t="s">
        <v>9548</v>
      </c>
      <c r="J395" s="338" t="s">
        <v>9551</v>
      </c>
      <c r="K395" s="338" t="s">
        <v>6516</v>
      </c>
      <c r="L395" s="338" t="s">
        <v>6517</v>
      </c>
      <c r="M395" s="338" t="s">
        <v>4740</v>
      </c>
      <c r="N395" s="338" t="s">
        <v>8318</v>
      </c>
      <c r="O395" s="337">
        <v>1</v>
      </c>
      <c r="P395" s="337">
        <v>1</v>
      </c>
      <c r="Q395" s="338" t="s">
        <v>8318</v>
      </c>
      <c r="R395" s="338" t="s">
        <v>6088</v>
      </c>
      <c r="S395" s="338"/>
      <c r="T395" s="338" t="s">
        <v>7911</v>
      </c>
      <c r="U395" s="338" t="s">
        <v>4924</v>
      </c>
      <c r="V395" s="337">
        <v>1</v>
      </c>
      <c r="W395" s="337">
        <v>1</v>
      </c>
      <c r="X395" s="338"/>
      <c r="Y395" s="338" t="s">
        <v>493</v>
      </c>
      <c r="Z395" s="338" t="s">
        <v>7915</v>
      </c>
      <c r="AA395" s="338" t="s">
        <v>6079</v>
      </c>
      <c r="AB395" s="338"/>
      <c r="AC395" s="338" t="s">
        <v>6101</v>
      </c>
      <c r="AD395" s="338"/>
      <c r="AF395" s="502" t="str">
        <f>Table15[[#This Row],[code2]]</f>
        <v>PRL</v>
      </c>
      <c r="AG395" s="502" t="str">
        <f>Table15[[#This Row],[code5]]</f>
        <v>IFR</v>
      </c>
    </row>
    <row r="396" spans="1:33">
      <c r="A396" s="338" t="s">
        <v>6072</v>
      </c>
      <c r="B396" s="338" t="s">
        <v>6073</v>
      </c>
      <c r="C396" s="337">
        <v>1</v>
      </c>
      <c r="D396" s="338" t="s">
        <v>6513</v>
      </c>
      <c r="E396" s="338" t="s">
        <v>6514</v>
      </c>
      <c r="F396" s="337">
        <v>1</v>
      </c>
      <c r="G396" s="337">
        <v>1</v>
      </c>
      <c r="H396" s="338" t="s">
        <v>6515</v>
      </c>
      <c r="I396" s="338" t="s">
        <v>9548</v>
      </c>
      <c r="J396" s="338" t="s">
        <v>9551</v>
      </c>
      <c r="K396" s="338" t="s">
        <v>6516</v>
      </c>
      <c r="L396" s="338" t="s">
        <v>6517</v>
      </c>
      <c r="M396" s="338" t="s">
        <v>4740</v>
      </c>
      <c r="N396" s="338" t="s">
        <v>8318</v>
      </c>
      <c r="O396" s="337">
        <v>1</v>
      </c>
      <c r="P396" s="337">
        <v>1</v>
      </c>
      <c r="Q396" s="338" t="s">
        <v>8318</v>
      </c>
      <c r="R396" s="338" t="s">
        <v>6088</v>
      </c>
      <c r="S396" s="338"/>
      <c r="T396" s="338" t="s">
        <v>7911</v>
      </c>
      <c r="U396" s="338" t="s">
        <v>6561</v>
      </c>
      <c r="V396" s="337">
        <v>1</v>
      </c>
      <c r="W396" s="337">
        <v>1</v>
      </c>
      <c r="X396" s="338"/>
      <c r="Y396" s="338" t="s">
        <v>6085</v>
      </c>
      <c r="Z396" s="338" t="s">
        <v>8658</v>
      </c>
      <c r="AA396" s="338" t="s">
        <v>6079</v>
      </c>
      <c r="AB396" s="338"/>
      <c r="AC396" s="338" t="s">
        <v>6101</v>
      </c>
      <c r="AD396" s="338"/>
      <c r="AF396" s="502" t="str">
        <f>Table15[[#This Row],[code2]]</f>
        <v>PRL</v>
      </c>
      <c r="AG396" s="502" t="str">
        <f>Table15[[#This Row],[code5]]</f>
        <v>IFR</v>
      </c>
    </row>
    <row r="397" spans="1:33">
      <c r="A397" s="338" t="s">
        <v>6072</v>
      </c>
      <c r="B397" s="338" t="s">
        <v>6073</v>
      </c>
      <c r="C397" s="337">
        <v>1</v>
      </c>
      <c r="D397" s="338" t="s">
        <v>6513</v>
      </c>
      <c r="E397" s="338" t="s">
        <v>6514</v>
      </c>
      <c r="F397" s="337">
        <v>1</v>
      </c>
      <c r="G397" s="337">
        <v>1</v>
      </c>
      <c r="H397" s="338" t="s">
        <v>6515</v>
      </c>
      <c r="I397" s="338" t="s">
        <v>9548</v>
      </c>
      <c r="J397" s="338" t="s">
        <v>9551</v>
      </c>
      <c r="K397" s="338" t="s">
        <v>6516</v>
      </c>
      <c r="L397" s="338" t="s">
        <v>6517</v>
      </c>
      <c r="M397" s="338" t="s">
        <v>4740</v>
      </c>
      <c r="N397" s="338" t="s">
        <v>8318</v>
      </c>
      <c r="O397" s="337">
        <v>1</v>
      </c>
      <c r="P397" s="337">
        <v>1</v>
      </c>
      <c r="Q397" s="338" t="s">
        <v>8318</v>
      </c>
      <c r="R397" s="338" t="s">
        <v>6088</v>
      </c>
      <c r="S397" s="338"/>
      <c r="T397" s="338" t="s">
        <v>7911</v>
      </c>
      <c r="U397" s="338" t="s">
        <v>4903</v>
      </c>
      <c r="V397" s="337">
        <v>1</v>
      </c>
      <c r="W397" s="337">
        <v>1</v>
      </c>
      <c r="X397" s="338"/>
      <c r="Y397" s="338" t="s">
        <v>497</v>
      </c>
      <c r="Z397" s="338" t="s">
        <v>8023</v>
      </c>
      <c r="AA397" s="338" t="s">
        <v>6079</v>
      </c>
      <c r="AB397" s="338"/>
      <c r="AC397" s="338" t="s">
        <v>6106</v>
      </c>
      <c r="AD397" s="338"/>
      <c r="AF397" s="502" t="str">
        <f>Table15[[#This Row],[code2]]</f>
        <v>PRL</v>
      </c>
      <c r="AG397" s="502" t="str">
        <f>Table15[[#This Row],[code5]]</f>
        <v>IFR</v>
      </c>
    </row>
    <row r="398" spans="1:33">
      <c r="A398" s="338" t="s">
        <v>6072</v>
      </c>
      <c r="B398" s="338" t="s">
        <v>6073</v>
      </c>
      <c r="C398" s="337">
        <v>1</v>
      </c>
      <c r="D398" s="338" t="s">
        <v>6513</v>
      </c>
      <c r="E398" s="338" t="s">
        <v>6514</v>
      </c>
      <c r="F398" s="337">
        <v>1</v>
      </c>
      <c r="G398" s="337">
        <v>1</v>
      </c>
      <c r="H398" s="338" t="s">
        <v>6515</v>
      </c>
      <c r="I398" s="338" t="s">
        <v>9548</v>
      </c>
      <c r="J398" s="338" t="s">
        <v>9551</v>
      </c>
      <c r="K398" s="338" t="s">
        <v>6516</v>
      </c>
      <c r="L398" s="338" t="s">
        <v>6517</v>
      </c>
      <c r="M398" s="338" t="s">
        <v>4740</v>
      </c>
      <c r="N398" s="338" t="s">
        <v>8318</v>
      </c>
      <c r="O398" s="337">
        <v>1</v>
      </c>
      <c r="P398" s="337">
        <v>1</v>
      </c>
      <c r="Q398" s="338" t="s">
        <v>8318</v>
      </c>
      <c r="R398" s="338" t="s">
        <v>6088</v>
      </c>
      <c r="S398" s="338"/>
      <c r="T398" s="338" t="s">
        <v>7911</v>
      </c>
      <c r="U398" s="338" t="s">
        <v>6562</v>
      </c>
      <c r="V398" s="337">
        <v>1</v>
      </c>
      <c r="W398" s="337">
        <v>1</v>
      </c>
      <c r="X398" s="338"/>
      <c r="Y398" s="338" t="s">
        <v>6081</v>
      </c>
      <c r="Z398" s="338" t="s">
        <v>9061</v>
      </c>
      <c r="AA398" s="338" t="s">
        <v>6079</v>
      </c>
      <c r="AB398" s="338"/>
      <c r="AC398" s="338" t="s">
        <v>6106</v>
      </c>
      <c r="AD398" s="338"/>
      <c r="AF398" s="502" t="str">
        <f>Table15[[#This Row],[code2]]</f>
        <v>PRL</v>
      </c>
      <c r="AG398" s="502" t="str">
        <f>Table15[[#This Row],[code5]]</f>
        <v>IFR</v>
      </c>
    </row>
    <row r="399" spans="1:33">
      <c r="A399" s="338" t="s">
        <v>6072</v>
      </c>
      <c r="B399" s="338" t="s">
        <v>6073</v>
      </c>
      <c r="C399" s="337">
        <v>1</v>
      </c>
      <c r="D399" s="338" t="s">
        <v>6513</v>
      </c>
      <c r="E399" s="338" t="s">
        <v>6514</v>
      </c>
      <c r="F399" s="337">
        <v>1</v>
      </c>
      <c r="G399" s="337">
        <v>1</v>
      </c>
      <c r="H399" s="338" t="s">
        <v>6515</v>
      </c>
      <c r="I399" s="338" t="s">
        <v>9548</v>
      </c>
      <c r="J399" s="338" t="s">
        <v>9551</v>
      </c>
      <c r="K399" s="338" t="s">
        <v>6516</v>
      </c>
      <c r="L399" s="338" t="s">
        <v>6517</v>
      </c>
      <c r="M399" s="338" t="s">
        <v>4740</v>
      </c>
      <c r="N399" s="338" t="s">
        <v>8318</v>
      </c>
      <c r="O399" s="337">
        <v>1</v>
      </c>
      <c r="P399" s="337">
        <v>1</v>
      </c>
      <c r="Q399" s="338" t="s">
        <v>8318</v>
      </c>
      <c r="R399" s="338" t="s">
        <v>6088</v>
      </c>
      <c r="S399" s="338"/>
      <c r="T399" s="338" t="s">
        <v>7911</v>
      </c>
      <c r="U399" s="338" t="s">
        <v>4925</v>
      </c>
      <c r="V399" s="337">
        <v>1</v>
      </c>
      <c r="W399" s="337">
        <v>1</v>
      </c>
      <c r="X399" s="338"/>
      <c r="Y399" s="338" t="s">
        <v>493</v>
      </c>
      <c r="Z399" s="338" t="s">
        <v>8029</v>
      </c>
      <c r="AA399" s="338" t="s">
        <v>6079</v>
      </c>
      <c r="AB399" s="338"/>
      <c r="AC399" s="338" t="s">
        <v>6106</v>
      </c>
      <c r="AD399" s="338"/>
      <c r="AF399" s="502" t="str">
        <f>Table15[[#This Row],[code2]]</f>
        <v>PRL</v>
      </c>
      <c r="AG399" s="502" t="str">
        <f>Table15[[#This Row],[code5]]</f>
        <v>IFR</v>
      </c>
    </row>
    <row r="400" spans="1:33">
      <c r="A400" s="338" t="s">
        <v>6072</v>
      </c>
      <c r="B400" s="338" t="s">
        <v>6073</v>
      </c>
      <c r="C400" s="337">
        <v>1</v>
      </c>
      <c r="D400" s="338" t="s">
        <v>6513</v>
      </c>
      <c r="E400" s="338" t="s">
        <v>6514</v>
      </c>
      <c r="F400" s="337">
        <v>1</v>
      </c>
      <c r="G400" s="337">
        <v>1</v>
      </c>
      <c r="H400" s="338" t="s">
        <v>6515</v>
      </c>
      <c r="I400" s="338" t="s">
        <v>9548</v>
      </c>
      <c r="J400" s="338" t="s">
        <v>9551</v>
      </c>
      <c r="K400" s="338" t="s">
        <v>6516</v>
      </c>
      <c r="L400" s="338" t="s">
        <v>6517</v>
      </c>
      <c r="M400" s="338" t="s">
        <v>4740</v>
      </c>
      <c r="N400" s="338" t="s">
        <v>8318</v>
      </c>
      <c r="O400" s="337">
        <v>1</v>
      </c>
      <c r="P400" s="337">
        <v>1</v>
      </c>
      <c r="Q400" s="338" t="s">
        <v>8318</v>
      </c>
      <c r="R400" s="338" t="s">
        <v>6088</v>
      </c>
      <c r="S400" s="338"/>
      <c r="T400" s="338" t="s">
        <v>7911</v>
      </c>
      <c r="U400" s="338" t="s">
        <v>6564</v>
      </c>
      <c r="V400" s="337">
        <v>1</v>
      </c>
      <c r="W400" s="337">
        <v>1</v>
      </c>
      <c r="X400" s="338"/>
      <c r="Y400" s="338" t="s">
        <v>6085</v>
      </c>
      <c r="Z400" s="338" t="s">
        <v>9156</v>
      </c>
      <c r="AA400" s="338" t="s">
        <v>6079</v>
      </c>
      <c r="AB400" s="338"/>
      <c r="AC400" s="338" t="s">
        <v>6106</v>
      </c>
      <c r="AD400" s="338"/>
      <c r="AF400" s="502" t="str">
        <f>Table15[[#This Row],[code2]]</f>
        <v>PRL</v>
      </c>
      <c r="AG400" s="502" t="str">
        <f>Table15[[#This Row],[code5]]</f>
        <v>IFR</v>
      </c>
    </row>
    <row r="401" spans="1:33">
      <c r="A401" s="338" t="s">
        <v>6072</v>
      </c>
      <c r="B401" s="338" t="s">
        <v>6073</v>
      </c>
      <c r="C401" s="337">
        <v>1</v>
      </c>
      <c r="D401" s="338" t="s">
        <v>6513</v>
      </c>
      <c r="E401" s="338" t="s">
        <v>6514</v>
      </c>
      <c r="F401" s="337">
        <v>1</v>
      </c>
      <c r="G401" s="337">
        <v>1</v>
      </c>
      <c r="H401" s="338" t="s">
        <v>6515</v>
      </c>
      <c r="I401" s="338" t="s">
        <v>9548</v>
      </c>
      <c r="J401" s="338" t="s">
        <v>9551</v>
      </c>
      <c r="K401" s="338" t="s">
        <v>6516</v>
      </c>
      <c r="L401" s="338" t="s">
        <v>6517</v>
      </c>
      <c r="M401" s="338" t="s">
        <v>4740</v>
      </c>
      <c r="N401" s="338" t="s">
        <v>8318</v>
      </c>
      <c r="O401" s="337">
        <v>1</v>
      </c>
      <c r="P401" s="337">
        <v>1</v>
      </c>
      <c r="Q401" s="338" t="s">
        <v>8318</v>
      </c>
      <c r="R401" s="338" t="s">
        <v>6088</v>
      </c>
      <c r="S401" s="338"/>
      <c r="T401" s="338" t="s">
        <v>7911</v>
      </c>
      <c r="U401" s="338" t="s">
        <v>4904</v>
      </c>
      <c r="V401" s="337">
        <v>1</v>
      </c>
      <c r="W401" s="337">
        <v>1</v>
      </c>
      <c r="X401" s="338"/>
      <c r="Y401" s="338" t="s">
        <v>497</v>
      </c>
      <c r="Z401" s="338" t="s">
        <v>8029</v>
      </c>
      <c r="AA401" s="338" t="s">
        <v>6079</v>
      </c>
      <c r="AB401" s="338"/>
      <c r="AC401" s="338" t="s">
        <v>6111</v>
      </c>
      <c r="AD401" s="338"/>
      <c r="AF401" s="502" t="str">
        <f>Table15[[#This Row],[code2]]</f>
        <v>PRL</v>
      </c>
      <c r="AG401" s="502" t="str">
        <f>Table15[[#This Row],[code5]]</f>
        <v>IFR</v>
      </c>
    </row>
    <row r="402" spans="1:33">
      <c r="A402" s="338" t="s">
        <v>6072</v>
      </c>
      <c r="B402" s="338" t="s">
        <v>6073</v>
      </c>
      <c r="C402" s="337">
        <v>1</v>
      </c>
      <c r="D402" s="338" t="s">
        <v>6513</v>
      </c>
      <c r="E402" s="338" t="s">
        <v>6514</v>
      </c>
      <c r="F402" s="337">
        <v>1</v>
      </c>
      <c r="G402" s="337">
        <v>1</v>
      </c>
      <c r="H402" s="338" t="s">
        <v>6515</v>
      </c>
      <c r="I402" s="338" t="s">
        <v>9548</v>
      </c>
      <c r="J402" s="338" t="s">
        <v>9551</v>
      </c>
      <c r="K402" s="338" t="s">
        <v>6516</v>
      </c>
      <c r="L402" s="338" t="s">
        <v>6517</v>
      </c>
      <c r="M402" s="338" t="s">
        <v>4740</v>
      </c>
      <c r="N402" s="338" t="s">
        <v>8318</v>
      </c>
      <c r="O402" s="337">
        <v>1</v>
      </c>
      <c r="P402" s="337">
        <v>1</v>
      </c>
      <c r="Q402" s="338" t="s">
        <v>8318</v>
      </c>
      <c r="R402" s="338" t="s">
        <v>6088</v>
      </c>
      <c r="S402" s="338"/>
      <c r="T402" s="338" t="s">
        <v>7911</v>
      </c>
      <c r="U402" s="338" t="s">
        <v>6565</v>
      </c>
      <c r="V402" s="337">
        <v>1</v>
      </c>
      <c r="W402" s="337">
        <v>1</v>
      </c>
      <c r="X402" s="338"/>
      <c r="Y402" s="338" t="s">
        <v>6081</v>
      </c>
      <c r="Z402" s="338" t="s">
        <v>9139</v>
      </c>
      <c r="AA402" s="338" t="s">
        <v>6079</v>
      </c>
      <c r="AB402" s="338"/>
      <c r="AC402" s="338" t="s">
        <v>6111</v>
      </c>
      <c r="AD402" s="338"/>
      <c r="AF402" s="502" t="str">
        <f>Table15[[#This Row],[code2]]</f>
        <v>PRL</v>
      </c>
      <c r="AG402" s="502" t="str">
        <f>Table15[[#This Row],[code5]]</f>
        <v>IFR</v>
      </c>
    </row>
    <row r="403" spans="1:33">
      <c r="A403" s="338" t="s">
        <v>6072</v>
      </c>
      <c r="B403" s="338" t="s">
        <v>6073</v>
      </c>
      <c r="C403" s="337">
        <v>1</v>
      </c>
      <c r="D403" s="338" t="s">
        <v>6513</v>
      </c>
      <c r="E403" s="338" t="s">
        <v>6514</v>
      </c>
      <c r="F403" s="337">
        <v>1</v>
      </c>
      <c r="G403" s="337">
        <v>1</v>
      </c>
      <c r="H403" s="338" t="s">
        <v>6515</v>
      </c>
      <c r="I403" s="338" t="s">
        <v>9548</v>
      </c>
      <c r="J403" s="338" t="s">
        <v>9551</v>
      </c>
      <c r="K403" s="338" t="s">
        <v>6516</v>
      </c>
      <c r="L403" s="338" t="s">
        <v>6517</v>
      </c>
      <c r="M403" s="338" t="s">
        <v>4740</v>
      </c>
      <c r="N403" s="338" t="s">
        <v>8318</v>
      </c>
      <c r="O403" s="337">
        <v>1</v>
      </c>
      <c r="P403" s="337">
        <v>1</v>
      </c>
      <c r="Q403" s="338" t="s">
        <v>8318</v>
      </c>
      <c r="R403" s="338" t="s">
        <v>6088</v>
      </c>
      <c r="S403" s="338"/>
      <c r="T403" s="338" t="s">
        <v>7911</v>
      </c>
      <c r="U403" s="338" t="s">
        <v>4926</v>
      </c>
      <c r="V403" s="337">
        <v>1</v>
      </c>
      <c r="W403" s="337">
        <v>1</v>
      </c>
      <c r="X403" s="338"/>
      <c r="Y403" s="338" t="s">
        <v>493</v>
      </c>
      <c r="Z403" s="338" t="s">
        <v>8009</v>
      </c>
      <c r="AA403" s="338" t="s">
        <v>6079</v>
      </c>
      <c r="AB403" s="338"/>
      <c r="AC403" s="338" t="s">
        <v>6111</v>
      </c>
      <c r="AD403" s="338"/>
      <c r="AF403" s="502" t="str">
        <f>Table15[[#This Row],[code2]]</f>
        <v>PRL</v>
      </c>
      <c r="AG403" s="502" t="str">
        <f>Table15[[#This Row],[code5]]</f>
        <v>IFR</v>
      </c>
    </row>
    <row r="404" spans="1:33">
      <c r="A404" s="338" t="s">
        <v>6072</v>
      </c>
      <c r="B404" s="338" t="s">
        <v>6073</v>
      </c>
      <c r="C404" s="337">
        <v>1</v>
      </c>
      <c r="D404" s="338" t="s">
        <v>6513</v>
      </c>
      <c r="E404" s="338" t="s">
        <v>6514</v>
      </c>
      <c r="F404" s="337">
        <v>1</v>
      </c>
      <c r="G404" s="337">
        <v>1</v>
      </c>
      <c r="H404" s="338" t="s">
        <v>6515</v>
      </c>
      <c r="I404" s="338" t="s">
        <v>9548</v>
      </c>
      <c r="J404" s="338" t="s">
        <v>9551</v>
      </c>
      <c r="K404" s="338" t="s">
        <v>6516</v>
      </c>
      <c r="L404" s="338" t="s">
        <v>6517</v>
      </c>
      <c r="M404" s="338" t="s">
        <v>4740</v>
      </c>
      <c r="N404" s="338" t="s">
        <v>8318</v>
      </c>
      <c r="O404" s="337">
        <v>1</v>
      </c>
      <c r="P404" s="337">
        <v>1</v>
      </c>
      <c r="Q404" s="338" t="s">
        <v>8318</v>
      </c>
      <c r="R404" s="338" t="s">
        <v>6088</v>
      </c>
      <c r="S404" s="338"/>
      <c r="T404" s="338" t="s">
        <v>7911</v>
      </c>
      <c r="U404" s="338" t="s">
        <v>6566</v>
      </c>
      <c r="V404" s="337">
        <v>1</v>
      </c>
      <c r="W404" s="337">
        <v>1</v>
      </c>
      <c r="X404" s="338"/>
      <c r="Y404" s="338" t="s">
        <v>6085</v>
      </c>
      <c r="Z404" s="338" t="s">
        <v>8589</v>
      </c>
      <c r="AA404" s="338" t="s">
        <v>6079</v>
      </c>
      <c r="AB404" s="338"/>
      <c r="AC404" s="338" t="s">
        <v>6111</v>
      </c>
      <c r="AD404" s="338"/>
      <c r="AF404" s="502" t="str">
        <f>Table15[[#This Row],[code2]]</f>
        <v>PRL</v>
      </c>
      <c r="AG404" s="502" t="str">
        <f>Table15[[#This Row],[code5]]</f>
        <v>IFR</v>
      </c>
    </row>
    <row r="405" spans="1:33">
      <c r="A405" s="338" t="s">
        <v>6072</v>
      </c>
      <c r="B405" s="338" t="s">
        <v>6073</v>
      </c>
      <c r="C405" s="337">
        <v>1</v>
      </c>
      <c r="D405" s="338" t="s">
        <v>6513</v>
      </c>
      <c r="E405" s="338" t="s">
        <v>6514</v>
      </c>
      <c r="F405" s="337">
        <v>1</v>
      </c>
      <c r="G405" s="337">
        <v>1</v>
      </c>
      <c r="H405" s="338" t="s">
        <v>6515</v>
      </c>
      <c r="I405" s="338" t="s">
        <v>9548</v>
      </c>
      <c r="J405" s="338" t="s">
        <v>9551</v>
      </c>
      <c r="K405" s="338" t="s">
        <v>6516</v>
      </c>
      <c r="L405" s="338" t="s">
        <v>6517</v>
      </c>
      <c r="M405" s="338" t="s">
        <v>4740</v>
      </c>
      <c r="N405" s="338" t="s">
        <v>8318</v>
      </c>
      <c r="O405" s="337">
        <v>1</v>
      </c>
      <c r="P405" s="337">
        <v>1</v>
      </c>
      <c r="Q405" s="338" t="s">
        <v>8318</v>
      </c>
      <c r="R405" s="338" t="s">
        <v>6088</v>
      </c>
      <c r="S405" s="338"/>
      <c r="T405" s="338" t="s">
        <v>7911</v>
      </c>
      <c r="U405" s="338" t="s">
        <v>4905</v>
      </c>
      <c r="V405" s="337">
        <v>1</v>
      </c>
      <c r="W405" s="337">
        <v>1</v>
      </c>
      <c r="X405" s="338"/>
      <c r="Y405" s="338" t="s">
        <v>497</v>
      </c>
      <c r="Z405" s="338" t="s">
        <v>6137</v>
      </c>
      <c r="AA405" s="338" t="s">
        <v>6079</v>
      </c>
      <c r="AB405" s="338"/>
      <c r="AC405" s="338" t="s">
        <v>6117</v>
      </c>
      <c r="AD405" s="338"/>
      <c r="AF405" s="502" t="str">
        <f>Table15[[#This Row],[code2]]</f>
        <v>PRL</v>
      </c>
      <c r="AG405" s="502" t="str">
        <f>Table15[[#This Row],[code5]]</f>
        <v>IFR</v>
      </c>
    </row>
    <row r="406" spans="1:33">
      <c r="A406" s="338" t="s">
        <v>6072</v>
      </c>
      <c r="B406" s="338" t="s">
        <v>6073</v>
      </c>
      <c r="C406" s="337">
        <v>1</v>
      </c>
      <c r="D406" s="338" t="s">
        <v>6513</v>
      </c>
      <c r="E406" s="338" t="s">
        <v>6514</v>
      </c>
      <c r="F406" s="337">
        <v>1</v>
      </c>
      <c r="G406" s="337">
        <v>1</v>
      </c>
      <c r="H406" s="338" t="s">
        <v>6515</v>
      </c>
      <c r="I406" s="338" t="s">
        <v>9548</v>
      </c>
      <c r="J406" s="338" t="s">
        <v>9551</v>
      </c>
      <c r="K406" s="338" t="s">
        <v>6516</v>
      </c>
      <c r="L406" s="338" t="s">
        <v>6517</v>
      </c>
      <c r="M406" s="338" t="s">
        <v>4740</v>
      </c>
      <c r="N406" s="338" t="s">
        <v>8318</v>
      </c>
      <c r="O406" s="337">
        <v>1</v>
      </c>
      <c r="P406" s="337">
        <v>1</v>
      </c>
      <c r="Q406" s="338" t="s">
        <v>8318</v>
      </c>
      <c r="R406" s="338" t="s">
        <v>6088</v>
      </c>
      <c r="S406" s="338"/>
      <c r="T406" s="338" t="s">
        <v>7911</v>
      </c>
      <c r="U406" s="338" t="s">
        <v>6567</v>
      </c>
      <c r="V406" s="337">
        <v>1</v>
      </c>
      <c r="W406" s="337">
        <v>1</v>
      </c>
      <c r="X406" s="338"/>
      <c r="Y406" s="338" t="s">
        <v>6081</v>
      </c>
      <c r="Z406" s="338" t="s">
        <v>9065</v>
      </c>
      <c r="AA406" s="338" t="s">
        <v>6079</v>
      </c>
      <c r="AB406" s="338"/>
      <c r="AC406" s="338" t="s">
        <v>6117</v>
      </c>
      <c r="AD406" s="338"/>
      <c r="AF406" s="502" t="str">
        <f>Table15[[#This Row],[code2]]</f>
        <v>PRL</v>
      </c>
      <c r="AG406" s="502" t="str">
        <f>Table15[[#This Row],[code5]]</f>
        <v>IFR</v>
      </c>
    </row>
    <row r="407" spans="1:33">
      <c r="A407" s="338" t="s">
        <v>6072</v>
      </c>
      <c r="B407" s="338" t="s">
        <v>6073</v>
      </c>
      <c r="C407" s="337">
        <v>1</v>
      </c>
      <c r="D407" s="338" t="s">
        <v>6513</v>
      </c>
      <c r="E407" s="338" t="s">
        <v>6514</v>
      </c>
      <c r="F407" s="337">
        <v>1</v>
      </c>
      <c r="G407" s="337">
        <v>1</v>
      </c>
      <c r="H407" s="338" t="s">
        <v>6515</v>
      </c>
      <c r="I407" s="338" t="s">
        <v>9548</v>
      </c>
      <c r="J407" s="338" t="s">
        <v>9551</v>
      </c>
      <c r="K407" s="338" t="s">
        <v>6516</v>
      </c>
      <c r="L407" s="338" t="s">
        <v>6517</v>
      </c>
      <c r="M407" s="338" t="s">
        <v>4740</v>
      </c>
      <c r="N407" s="338" t="s">
        <v>8318</v>
      </c>
      <c r="O407" s="337">
        <v>1</v>
      </c>
      <c r="P407" s="337">
        <v>1</v>
      </c>
      <c r="Q407" s="338" t="s">
        <v>8318</v>
      </c>
      <c r="R407" s="338" t="s">
        <v>6088</v>
      </c>
      <c r="S407" s="338"/>
      <c r="T407" s="338" t="s">
        <v>7911</v>
      </c>
      <c r="U407" s="338" t="s">
        <v>4927</v>
      </c>
      <c r="V407" s="337">
        <v>1</v>
      </c>
      <c r="W407" s="337">
        <v>1</v>
      </c>
      <c r="X407" s="338"/>
      <c r="Y407" s="338" t="s">
        <v>493</v>
      </c>
      <c r="Z407" s="338" t="s">
        <v>6137</v>
      </c>
      <c r="AA407" s="338" t="s">
        <v>6079</v>
      </c>
      <c r="AB407" s="338"/>
      <c r="AC407" s="338" t="s">
        <v>6117</v>
      </c>
      <c r="AD407" s="338"/>
      <c r="AF407" s="502" t="str">
        <f>Table15[[#This Row],[code2]]</f>
        <v>PRL</v>
      </c>
      <c r="AG407" s="502" t="str">
        <f>Table15[[#This Row],[code5]]</f>
        <v>IFR</v>
      </c>
    </row>
    <row r="408" spans="1:33">
      <c r="A408" s="338" t="s">
        <v>6072</v>
      </c>
      <c r="B408" s="338" t="s">
        <v>6073</v>
      </c>
      <c r="C408" s="337">
        <v>1</v>
      </c>
      <c r="D408" s="338" t="s">
        <v>6513</v>
      </c>
      <c r="E408" s="338" t="s">
        <v>6514</v>
      </c>
      <c r="F408" s="337">
        <v>1</v>
      </c>
      <c r="G408" s="337">
        <v>1</v>
      </c>
      <c r="H408" s="338" t="s">
        <v>6515</v>
      </c>
      <c r="I408" s="338" t="s">
        <v>9548</v>
      </c>
      <c r="J408" s="338" t="s">
        <v>9551</v>
      </c>
      <c r="K408" s="338" t="s">
        <v>6516</v>
      </c>
      <c r="L408" s="338" t="s">
        <v>6517</v>
      </c>
      <c r="M408" s="338" t="s">
        <v>4740</v>
      </c>
      <c r="N408" s="338" t="s">
        <v>8318</v>
      </c>
      <c r="O408" s="337">
        <v>1</v>
      </c>
      <c r="P408" s="337">
        <v>1</v>
      </c>
      <c r="Q408" s="338" t="s">
        <v>8318</v>
      </c>
      <c r="R408" s="338" t="s">
        <v>6088</v>
      </c>
      <c r="S408" s="338"/>
      <c r="T408" s="338" t="s">
        <v>7911</v>
      </c>
      <c r="U408" s="338" t="s">
        <v>6568</v>
      </c>
      <c r="V408" s="337">
        <v>1</v>
      </c>
      <c r="W408" s="337">
        <v>1</v>
      </c>
      <c r="X408" s="338"/>
      <c r="Y408" s="338" t="s">
        <v>6085</v>
      </c>
      <c r="Z408" s="338" t="s">
        <v>8658</v>
      </c>
      <c r="AA408" s="338" t="s">
        <v>6079</v>
      </c>
      <c r="AB408" s="338"/>
      <c r="AC408" s="338" t="s">
        <v>6117</v>
      </c>
      <c r="AD408" s="338"/>
      <c r="AF408" s="502" t="str">
        <f>Table15[[#This Row],[code2]]</f>
        <v>PRL</v>
      </c>
      <c r="AG408" s="502" t="str">
        <f>Table15[[#This Row],[code5]]</f>
        <v>IFR</v>
      </c>
    </row>
    <row r="409" spans="1:33">
      <c r="A409" s="338" t="s">
        <v>6072</v>
      </c>
      <c r="B409" s="338" t="s">
        <v>6073</v>
      </c>
      <c r="C409" s="337">
        <v>1</v>
      </c>
      <c r="D409" s="338" t="s">
        <v>6513</v>
      </c>
      <c r="E409" s="338" t="s">
        <v>6514</v>
      </c>
      <c r="F409" s="337">
        <v>1</v>
      </c>
      <c r="G409" s="337">
        <v>1</v>
      </c>
      <c r="H409" s="338" t="s">
        <v>6515</v>
      </c>
      <c r="I409" s="338" t="s">
        <v>9548</v>
      </c>
      <c r="J409" s="338" t="s">
        <v>9551</v>
      </c>
      <c r="K409" s="338" t="s">
        <v>6516</v>
      </c>
      <c r="L409" s="338" t="s">
        <v>6517</v>
      </c>
      <c r="M409" s="338" t="s">
        <v>4740</v>
      </c>
      <c r="N409" s="338" t="s">
        <v>8318</v>
      </c>
      <c r="O409" s="337">
        <v>1</v>
      </c>
      <c r="P409" s="337">
        <v>1</v>
      </c>
      <c r="Q409" s="338" t="s">
        <v>8318</v>
      </c>
      <c r="R409" s="338" t="s">
        <v>6088</v>
      </c>
      <c r="S409" s="338"/>
      <c r="T409" s="338" t="s">
        <v>7911</v>
      </c>
      <c r="U409" s="338" t="s">
        <v>4906</v>
      </c>
      <c r="V409" s="337">
        <v>1</v>
      </c>
      <c r="W409" s="337">
        <v>1</v>
      </c>
      <c r="X409" s="338"/>
      <c r="Y409" s="338" t="s">
        <v>497</v>
      </c>
      <c r="Z409" s="338" t="s">
        <v>6137</v>
      </c>
      <c r="AA409" s="338" t="s">
        <v>6079</v>
      </c>
      <c r="AB409" s="338"/>
      <c r="AC409" s="338" t="s">
        <v>6122</v>
      </c>
      <c r="AD409" s="338"/>
      <c r="AF409" s="502" t="str">
        <f>Table15[[#This Row],[code2]]</f>
        <v>PRL</v>
      </c>
      <c r="AG409" s="502" t="str">
        <f>Table15[[#This Row],[code5]]</f>
        <v>IFR</v>
      </c>
    </row>
    <row r="410" spans="1:33">
      <c r="A410" s="338" t="s">
        <v>6072</v>
      </c>
      <c r="B410" s="338" t="s">
        <v>6073</v>
      </c>
      <c r="C410" s="337">
        <v>1</v>
      </c>
      <c r="D410" s="338" t="s">
        <v>6513</v>
      </c>
      <c r="E410" s="338" t="s">
        <v>6514</v>
      </c>
      <c r="F410" s="337">
        <v>1</v>
      </c>
      <c r="G410" s="337">
        <v>1</v>
      </c>
      <c r="H410" s="338" t="s">
        <v>6515</v>
      </c>
      <c r="I410" s="338" t="s">
        <v>9548</v>
      </c>
      <c r="J410" s="338" t="s">
        <v>9551</v>
      </c>
      <c r="K410" s="338" t="s">
        <v>6516</v>
      </c>
      <c r="L410" s="338" t="s">
        <v>6517</v>
      </c>
      <c r="M410" s="338" t="s">
        <v>4740</v>
      </c>
      <c r="N410" s="338" t="s">
        <v>8318</v>
      </c>
      <c r="O410" s="337">
        <v>1</v>
      </c>
      <c r="P410" s="337">
        <v>1</v>
      </c>
      <c r="Q410" s="338" t="s">
        <v>8318</v>
      </c>
      <c r="R410" s="338" t="s">
        <v>6088</v>
      </c>
      <c r="S410" s="338"/>
      <c r="T410" s="338" t="s">
        <v>7911</v>
      </c>
      <c r="U410" s="338" t="s">
        <v>6569</v>
      </c>
      <c r="V410" s="337">
        <v>1</v>
      </c>
      <c r="W410" s="337">
        <v>1</v>
      </c>
      <c r="X410" s="338"/>
      <c r="Y410" s="338" t="s">
        <v>6081</v>
      </c>
      <c r="Z410" s="338" t="s">
        <v>9157</v>
      </c>
      <c r="AA410" s="338" t="s">
        <v>6079</v>
      </c>
      <c r="AB410" s="338"/>
      <c r="AC410" s="338" t="s">
        <v>6122</v>
      </c>
      <c r="AD410" s="338"/>
      <c r="AF410" s="502" t="str">
        <f>Table15[[#This Row],[code2]]</f>
        <v>PRL</v>
      </c>
      <c r="AG410" s="502" t="str">
        <f>Table15[[#This Row],[code5]]</f>
        <v>IFR</v>
      </c>
    </row>
    <row r="411" spans="1:33">
      <c r="A411" s="338" t="s">
        <v>6072</v>
      </c>
      <c r="B411" s="338" t="s">
        <v>6073</v>
      </c>
      <c r="C411" s="337">
        <v>1</v>
      </c>
      <c r="D411" s="338" t="s">
        <v>6513</v>
      </c>
      <c r="E411" s="338" t="s">
        <v>6514</v>
      </c>
      <c r="F411" s="337">
        <v>1</v>
      </c>
      <c r="G411" s="337">
        <v>1</v>
      </c>
      <c r="H411" s="338" t="s">
        <v>6515</v>
      </c>
      <c r="I411" s="338" t="s">
        <v>9548</v>
      </c>
      <c r="J411" s="338" t="s">
        <v>9551</v>
      </c>
      <c r="K411" s="338" t="s">
        <v>6516</v>
      </c>
      <c r="L411" s="338" t="s">
        <v>6517</v>
      </c>
      <c r="M411" s="338" t="s">
        <v>4740</v>
      </c>
      <c r="N411" s="338" t="s">
        <v>8318</v>
      </c>
      <c r="O411" s="337">
        <v>1</v>
      </c>
      <c r="P411" s="337">
        <v>1</v>
      </c>
      <c r="Q411" s="338" t="s">
        <v>8318</v>
      </c>
      <c r="R411" s="338" t="s">
        <v>6088</v>
      </c>
      <c r="S411" s="338"/>
      <c r="T411" s="338" t="s">
        <v>7911</v>
      </c>
      <c r="U411" s="338" t="s">
        <v>4928</v>
      </c>
      <c r="V411" s="337">
        <v>1</v>
      </c>
      <c r="W411" s="337">
        <v>1</v>
      </c>
      <c r="X411" s="338"/>
      <c r="Y411" s="338" t="s">
        <v>493</v>
      </c>
      <c r="Z411" s="338" t="s">
        <v>6137</v>
      </c>
      <c r="AA411" s="338" t="s">
        <v>6079</v>
      </c>
      <c r="AB411" s="338"/>
      <c r="AC411" s="338" t="s">
        <v>6122</v>
      </c>
      <c r="AD411" s="338"/>
      <c r="AF411" s="502" t="str">
        <f>Table15[[#This Row],[code2]]</f>
        <v>PRL</v>
      </c>
      <c r="AG411" s="502" t="str">
        <f>Table15[[#This Row],[code5]]</f>
        <v>IFR</v>
      </c>
    </row>
    <row r="412" spans="1:33">
      <c r="A412" s="338" t="s">
        <v>6072</v>
      </c>
      <c r="B412" s="338" t="s">
        <v>6073</v>
      </c>
      <c r="C412" s="337">
        <v>1</v>
      </c>
      <c r="D412" s="338" t="s">
        <v>6513</v>
      </c>
      <c r="E412" s="338" t="s">
        <v>6514</v>
      </c>
      <c r="F412" s="337">
        <v>1</v>
      </c>
      <c r="G412" s="337">
        <v>1</v>
      </c>
      <c r="H412" s="338" t="s">
        <v>6515</v>
      </c>
      <c r="I412" s="338" t="s">
        <v>9548</v>
      </c>
      <c r="J412" s="338" t="s">
        <v>9551</v>
      </c>
      <c r="K412" s="338" t="s">
        <v>6516</v>
      </c>
      <c r="L412" s="338" t="s">
        <v>6517</v>
      </c>
      <c r="M412" s="338" t="s">
        <v>4740</v>
      </c>
      <c r="N412" s="338" t="s">
        <v>8318</v>
      </c>
      <c r="O412" s="337">
        <v>1</v>
      </c>
      <c r="P412" s="337">
        <v>1</v>
      </c>
      <c r="Q412" s="338" t="s">
        <v>8318</v>
      </c>
      <c r="R412" s="338" t="s">
        <v>6088</v>
      </c>
      <c r="S412" s="338"/>
      <c r="T412" s="338" t="s">
        <v>7911</v>
      </c>
      <c r="U412" s="338" t="s">
        <v>6570</v>
      </c>
      <c r="V412" s="337">
        <v>1</v>
      </c>
      <c r="W412" s="337">
        <v>1</v>
      </c>
      <c r="X412" s="338"/>
      <c r="Y412" s="338" t="s">
        <v>6085</v>
      </c>
      <c r="Z412" s="338" t="s">
        <v>9158</v>
      </c>
      <c r="AA412" s="338" t="s">
        <v>6079</v>
      </c>
      <c r="AB412" s="338"/>
      <c r="AC412" s="338" t="s">
        <v>6122</v>
      </c>
      <c r="AD412" s="338"/>
      <c r="AF412" s="502" t="str">
        <f>Table15[[#This Row],[code2]]</f>
        <v>PRL</v>
      </c>
      <c r="AG412" s="502" t="str">
        <f>Table15[[#This Row],[code5]]</f>
        <v>IFR</v>
      </c>
    </row>
    <row r="413" spans="1:33">
      <c r="A413" s="338" t="s">
        <v>6072</v>
      </c>
      <c r="B413" s="338" t="s">
        <v>6073</v>
      </c>
      <c r="C413" s="337">
        <v>1</v>
      </c>
      <c r="D413" s="338" t="s">
        <v>6513</v>
      </c>
      <c r="E413" s="338" t="s">
        <v>6514</v>
      </c>
      <c r="F413" s="337">
        <v>1</v>
      </c>
      <c r="G413" s="337">
        <v>1</v>
      </c>
      <c r="H413" s="338" t="s">
        <v>6515</v>
      </c>
      <c r="I413" s="338" t="s">
        <v>9548</v>
      </c>
      <c r="J413" s="338" t="s">
        <v>9551</v>
      </c>
      <c r="K413" s="338" t="s">
        <v>6516</v>
      </c>
      <c r="L413" s="338" t="s">
        <v>6517</v>
      </c>
      <c r="M413" s="338" t="s">
        <v>6571</v>
      </c>
      <c r="N413" s="338" t="s">
        <v>8310</v>
      </c>
      <c r="O413" s="337">
        <v>0</v>
      </c>
      <c r="P413" s="337">
        <v>0</v>
      </c>
      <c r="Q413" s="338" t="s">
        <v>8310</v>
      </c>
      <c r="R413" s="338" t="s">
        <v>14</v>
      </c>
      <c r="S413" s="338"/>
      <c r="T413" s="338" t="s">
        <v>7908</v>
      </c>
      <c r="U413" s="338" t="s">
        <v>6572</v>
      </c>
      <c r="V413" s="337">
        <v>0</v>
      </c>
      <c r="W413" s="337">
        <v>0</v>
      </c>
      <c r="X413" s="338"/>
      <c r="Y413" s="338" t="s">
        <v>6163</v>
      </c>
      <c r="Z413" s="338" t="s">
        <v>6164</v>
      </c>
      <c r="AA413" s="338" t="s">
        <v>6079</v>
      </c>
      <c r="AB413" s="338"/>
      <c r="AC413" s="338" t="s">
        <v>6165</v>
      </c>
      <c r="AD413" s="338"/>
      <c r="AF413" s="502" t="str">
        <f>Table15[[#This Row],[code2]]</f>
        <v>PRL</v>
      </c>
      <c r="AG413" s="502" t="str">
        <f>Table15[[#This Row],[code5]]</f>
        <v>RBFLP</v>
      </c>
    </row>
    <row r="414" spans="1:33">
      <c r="A414" s="338" t="s">
        <v>6072</v>
      </c>
      <c r="B414" s="338" t="s">
        <v>6073</v>
      </c>
      <c r="C414" s="337">
        <v>1</v>
      </c>
      <c r="D414" s="338" t="s">
        <v>6513</v>
      </c>
      <c r="E414" s="338" t="s">
        <v>6514</v>
      </c>
      <c r="F414" s="337">
        <v>1</v>
      </c>
      <c r="G414" s="337">
        <v>1</v>
      </c>
      <c r="H414" s="338" t="s">
        <v>6515</v>
      </c>
      <c r="I414" s="338" t="s">
        <v>9548</v>
      </c>
      <c r="J414" s="338" t="s">
        <v>9551</v>
      </c>
      <c r="K414" s="338" t="s">
        <v>6516</v>
      </c>
      <c r="L414" s="338" t="s">
        <v>6517</v>
      </c>
      <c r="M414" s="338" t="s">
        <v>6571</v>
      </c>
      <c r="N414" s="338" t="s">
        <v>8310</v>
      </c>
      <c r="O414" s="337">
        <v>0</v>
      </c>
      <c r="P414" s="337">
        <v>0</v>
      </c>
      <c r="Q414" s="338" t="s">
        <v>8310</v>
      </c>
      <c r="R414" s="338" t="s">
        <v>14</v>
      </c>
      <c r="S414" s="338"/>
      <c r="T414" s="338" t="s">
        <v>7908</v>
      </c>
      <c r="U414" s="338" t="s">
        <v>6573</v>
      </c>
      <c r="V414" s="337">
        <v>0</v>
      </c>
      <c r="W414" s="337">
        <v>0</v>
      </c>
      <c r="X414" s="338"/>
      <c r="Y414" s="338" t="s">
        <v>6167</v>
      </c>
      <c r="Z414" s="338" t="s">
        <v>5825</v>
      </c>
      <c r="AA414" s="338" t="s">
        <v>6079</v>
      </c>
      <c r="AB414" s="338"/>
      <c r="AC414" s="338" t="s">
        <v>6165</v>
      </c>
      <c r="AD414" s="338"/>
      <c r="AF414" s="502" t="str">
        <f>Table15[[#This Row],[code2]]</f>
        <v>PRL</v>
      </c>
      <c r="AG414" s="502" t="str">
        <f>Table15[[#This Row],[code5]]</f>
        <v>RBFLP</v>
      </c>
    </row>
    <row r="415" spans="1:33">
      <c r="A415" s="338" t="s">
        <v>6072</v>
      </c>
      <c r="B415" s="338" t="s">
        <v>6073</v>
      </c>
      <c r="C415" s="337">
        <v>1</v>
      </c>
      <c r="D415" s="338" t="s">
        <v>6513</v>
      </c>
      <c r="E415" s="338" t="s">
        <v>6514</v>
      </c>
      <c r="F415" s="337">
        <v>1</v>
      </c>
      <c r="G415" s="337">
        <v>1</v>
      </c>
      <c r="H415" s="338" t="s">
        <v>6515</v>
      </c>
      <c r="I415" s="338" t="s">
        <v>9548</v>
      </c>
      <c r="J415" s="338" t="s">
        <v>9551</v>
      </c>
      <c r="K415" s="338" t="s">
        <v>6516</v>
      </c>
      <c r="L415" s="338" t="s">
        <v>6517</v>
      </c>
      <c r="M415" s="338" t="s">
        <v>6571</v>
      </c>
      <c r="N415" s="338" t="s">
        <v>8310</v>
      </c>
      <c r="O415" s="337">
        <v>0</v>
      </c>
      <c r="P415" s="337">
        <v>0</v>
      </c>
      <c r="Q415" s="338" t="s">
        <v>8310</v>
      </c>
      <c r="R415" s="338" t="s">
        <v>14</v>
      </c>
      <c r="S415" s="338"/>
      <c r="T415" s="338" t="s">
        <v>7908</v>
      </c>
      <c r="U415" s="338" t="s">
        <v>6574</v>
      </c>
      <c r="V415" s="337">
        <v>0</v>
      </c>
      <c r="W415" s="337">
        <v>0</v>
      </c>
      <c r="X415" s="338"/>
      <c r="Y415" s="338" t="s">
        <v>6163</v>
      </c>
      <c r="Z415" s="338" t="s">
        <v>6169</v>
      </c>
      <c r="AA415" s="338" t="s">
        <v>6079</v>
      </c>
      <c r="AB415" s="338"/>
      <c r="AC415" s="338" t="s">
        <v>6170</v>
      </c>
      <c r="AD415" s="338"/>
      <c r="AF415" s="502" t="str">
        <f>Table15[[#This Row],[code2]]</f>
        <v>PRL</v>
      </c>
      <c r="AG415" s="502" t="str">
        <f>Table15[[#This Row],[code5]]</f>
        <v>RBFLP</v>
      </c>
    </row>
    <row r="416" spans="1:33">
      <c r="A416" s="338" t="s">
        <v>6072</v>
      </c>
      <c r="B416" s="338" t="s">
        <v>6073</v>
      </c>
      <c r="C416" s="337">
        <v>1</v>
      </c>
      <c r="D416" s="338" t="s">
        <v>6513</v>
      </c>
      <c r="E416" s="338" t="s">
        <v>6514</v>
      </c>
      <c r="F416" s="337">
        <v>1</v>
      </c>
      <c r="G416" s="337">
        <v>1</v>
      </c>
      <c r="H416" s="338" t="s">
        <v>6515</v>
      </c>
      <c r="I416" s="338" t="s">
        <v>9548</v>
      </c>
      <c r="J416" s="338" t="s">
        <v>9551</v>
      </c>
      <c r="K416" s="338" t="s">
        <v>6516</v>
      </c>
      <c r="L416" s="338" t="s">
        <v>6517</v>
      </c>
      <c r="M416" s="338" t="s">
        <v>6571</v>
      </c>
      <c r="N416" s="338" t="s">
        <v>8310</v>
      </c>
      <c r="O416" s="337">
        <v>0</v>
      </c>
      <c r="P416" s="337">
        <v>0</v>
      </c>
      <c r="Q416" s="338" t="s">
        <v>8310</v>
      </c>
      <c r="R416" s="338" t="s">
        <v>14</v>
      </c>
      <c r="S416" s="338"/>
      <c r="T416" s="338" t="s">
        <v>7908</v>
      </c>
      <c r="U416" s="338" t="s">
        <v>6575</v>
      </c>
      <c r="V416" s="337">
        <v>0</v>
      </c>
      <c r="W416" s="337">
        <v>0</v>
      </c>
      <c r="X416" s="338"/>
      <c r="Y416" s="338" t="s">
        <v>6167</v>
      </c>
      <c r="Z416" s="338" t="s">
        <v>5825</v>
      </c>
      <c r="AA416" s="338" t="s">
        <v>6079</v>
      </c>
      <c r="AB416" s="338"/>
      <c r="AC416" s="338" t="s">
        <v>6170</v>
      </c>
      <c r="AD416" s="338"/>
      <c r="AF416" s="502" t="str">
        <f>Table15[[#This Row],[code2]]</f>
        <v>PRL</v>
      </c>
      <c r="AG416" s="502" t="str">
        <f>Table15[[#This Row],[code5]]</f>
        <v>RBFLP</v>
      </c>
    </row>
    <row r="417" spans="1:33">
      <c r="A417" s="338" t="s">
        <v>6072</v>
      </c>
      <c r="B417" s="338" t="s">
        <v>6073</v>
      </c>
      <c r="C417" s="337">
        <v>1</v>
      </c>
      <c r="D417" s="338" t="s">
        <v>6513</v>
      </c>
      <c r="E417" s="338" t="s">
        <v>6514</v>
      </c>
      <c r="F417" s="337">
        <v>1</v>
      </c>
      <c r="G417" s="337">
        <v>1</v>
      </c>
      <c r="H417" s="338" t="s">
        <v>6515</v>
      </c>
      <c r="I417" s="338" t="s">
        <v>9548</v>
      </c>
      <c r="J417" s="338" t="s">
        <v>9551</v>
      </c>
      <c r="K417" s="338" t="s">
        <v>6516</v>
      </c>
      <c r="L417" s="338" t="s">
        <v>6517</v>
      </c>
      <c r="M417" s="338" t="s">
        <v>6571</v>
      </c>
      <c r="N417" s="338" t="s">
        <v>8310</v>
      </c>
      <c r="O417" s="337">
        <v>0</v>
      </c>
      <c r="P417" s="337">
        <v>0</v>
      </c>
      <c r="Q417" s="338" t="s">
        <v>8310</v>
      </c>
      <c r="R417" s="338" t="s">
        <v>14</v>
      </c>
      <c r="S417" s="338"/>
      <c r="T417" s="338" t="s">
        <v>7908</v>
      </c>
      <c r="U417" s="338" t="s">
        <v>6576</v>
      </c>
      <c r="V417" s="337">
        <v>0</v>
      </c>
      <c r="W417" s="337">
        <v>0</v>
      </c>
      <c r="X417" s="338"/>
      <c r="Y417" s="338" t="s">
        <v>6163</v>
      </c>
      <c r="Z417" s="338" t="s">
        <v>6173</v>
      </c>
      <c r="AA417" s="338" t="s">
        <v>6079</v>
      </c>
      <c r="AB417" s="338"/>
      <c r="AC417" s="338" t="s">
        <v>6174</v>
      </c>
      <c r="AD417" s="338"/>
      <c r="AF417" s="502" t="str">
        <f>Table15[[#This Row],[code2]]</f>
        <v>PRL</v>
      </c>
      <c r="AG417" s="502" t="str">
        <f>Table15[[#This Row],[code5]]</f>
        <v>RBFLP</v>
      </c>
    </row>
    <row r="418" spans="1:33">
      <c r="A418" s="338" t="s">
        <v>6072</v>
      </c>
      <c r="B418" s="338" t="s">
        <v>6073</v>
      </c>
      <c r="C418" s="337">
        <v>1</v>
      </c>
      <c r="D418" s="338" t="s">
        <v>6513</v>
      </c>
      <c r="E418" s="338" t="s">
        <v>6514</v>
      </c>
      <c r="F418" s="337">
        <v>1</v>
      </c>
      <c r="G418" s="337">
        <v>1</v>
      </c>
      <c r="H418" s="338" t="s">
        <v>6515</v>
      </c>
      <c r="I418" s="338" t="s">
        <v>9548</v>
      </c>
      <c r="J418" s="338" t="s">
        <v>9551</v>
      </c>
      <c r="K418" s="338" t="s">
        <v>6516</v>
      </c>
      <c r="L418" s="338" t="s">
        <v>6517</v>
      </c>
      <c r="M418" s="338" t="s">
        <v>6571</v>
      </c>
      <c r="N418" s="338" t="s">
        <v>8310</v>
      </c>
      <c r="O418" s="337">
        <v>0</v>
      </c>
      <c r="P418" s="337">
        <v>0</v>
      </c>
      <c r="Q418" s="338" t="s">
        <v>8310</v>
      </c>
      <c r="R418" s="338" t="s">
        <v>14</v>
      </c>
      <c r="S418" s="338"/>
      <c r="T418" s="338" t="s">
        <v>7908</v>
      </c>
      <c r="U418" s="338" t="s">
        <v>6577</v>
      </c>
      <c r="V418" s="337">
        <v>0</v>
      </c>
      <c r="W418" s="337">
        <v>0</v>
      </c>
      <c r="X418" s="338"/>
      <c r="Y418" s="338" t="s">
        <v>6167</v>
      </c>
      <c r="Z418" s="338" t="s">
        <v>5825</v>
      </c>
      <c r="AA418" s="338" t="s">
        <v>6079</v>
      </c>
      <c r="AB418" s="338"/>
      <c r="AC418" s="338" t="s">
        <v>6174</v>
      </c>
      <c r="AD418" s="338"/>
      <c r="AF418" s="502" t="str">
        <f>Table15[[#This Row],[code2]]</f>
        <v>PRL</v>
      </c>
      <c r="AG418" s="502" t="str">
        <f>Table15[[#This Row],[code5]]</f>
        <v>RBFLP</v>
      </c>
    </row>
    <row r="419" spans="1:33">
      <c r="A419" s="338" t="s">
        <v>6072</v>
      </c>
      <c r="B419" s="338" t="s">
        <v>6073</v>
      </c>
      <c r="C419" s="337">
        <v>1</v>
      </c>
      <c r="D419" s="338" t="s">
        <v>6513</v>
      </c>
      <c r="E419" s="338" t="s">
        <v>6514</v>
      </c>
      <c r="F419" s="337">
        <v>1</v>
      </c>
      <c r="G419" s="337">
        <v>1</v>
      </c>
      <c r="H419" s="338" t="s">
        <v>6515</v>
      </c>
      <c r="I419" s="338" t="s">
        <v>9548</v>
      </c>
      <c r="J419" s="338" t="s">
        <v>9551</v>
      </c>
      <c r="K419" s="338" t="s">
        <v>6516</v>
      </c>
      <c r="L419" s="338" t="s">
        <v>6517</v>
      </c>
      <c r="M419" s="338" t="s">
        <v>6571</v>
      </c>
      <c r="N419" s="338" t="s">
        <v>8310</v>
      </c>
      <c r="O419" s="337">
        <v>0</v>
      </c>
      <c r="P419" s="337">
        <v>0</v>
      </c>
      <c r="Q419" s="338" t="s">
        <v>8310</v>
      </c>
      <c r="R419" s="338" t="s">
        <v>14</v>
      </c>
      <c r="S419" s="338"/>
      <c r="T419" s="338" t="s">
        <v>7908</v>
      </c>
      <c r="U419" s="338" t="s">
        <v>6578</v>
      </c>
      <c r="V419" s="337">
        <v>0</v>
      </c>
      <c r="W419" s="337">
        <v>0</v>
      </c>
      <c r="X419" s="338"/>
      <c r="Y419" s="338" t="s">
        <v>6163</v>
      </c>
      <c r="Z419" s="338" t="s">
        <v>6177</v>
      </c>
      <c r="AA419" s="338" t="s">
        <v>6079</v>
      </c>
      <c r="AB419" s="338"/>
      <c r="AC419" s="338" t="s">
        <v>6178</v>
      </c>
      <c r="AD419" s="338"/>
      <c r="AF419" s="502" t="str">
        <f>Table15[[#This Row],[code2]]</f>
        <v>PRL</v>
      </c>
      <c r="AG419" s="502" t="str">
        <f>Table15[[#This Row],[code5]]</f>
        <v>RBFLP</v>
      </c>
    </row>
    <row r="420" spans="1:33">
      <c r="A420" s="338" t="s">
        <v>6072</v>
      </c>
      <c r="B420" s="338" t="s">
        <v>6073</v>
      </c>
      <c r="C420" s="337">
        <v>1</v>
      </c>
      <c r="D420" s="338" t="s">
        <v>6513</v>
      </c>
      <c r="E420" s="338" t="s">
        <v>6514</v>
      </c>
      <c r="F420" s="337">
        <v>1</v>
      </c>
      <c r="G420" s="337">
        <v>1</v>
      </c>
      <c r="H420" s="338" t="s">
        <v>6515</v>
      </c>
      <c r="I420" s="338" t="s">
        <v>9548</v>
      </c>
      <c r="J420" s="338" t="s">
        <v>9551</v>
      </c>
      <c r="K420" s="338" t="s">
        <v>6516</v>
      </c>
      <c r="L420" s="338" t="s">
        <v>6517</v>
      </c>
      <c r="M420" s="338" t="s">
        <v>6571</v>
      </c>
      <c r="N420" s="338" t="s">
        <v>8310</v>
      </c>
      <c r="O420" s="337">
        <v>0</v>
      </c>
      <c r="P420" s="337">
        <v>0</v>
      </c>
      <c r="Q420" s="338" t="s">
        <v>8310</v>
      </c>
      <c r="R420" s="338" t="s">
        <v>14</v>
      </c>
      <c r="S420" s="338"/>
      <c r="T420" s="338" t="s">
        <v>7908</v>
      </c>
      <c r="U420" s="338" t="s">
        <v>6579</v>
      </c>
      <c r="V420" s="337">
        <v>0</v>
      </c>
      <c r="W420" s="337">
        <v>0</v>
      </c>
      <c r="X420" s="338"/>
      <c r="Y420" s="338" t="s">
        <v>6167</v>
      </c>
      <c r="Z420" s="338" t="s">
        <v>6180</v>
      </c>
      <c r="AA420" s="338" t="s">
        <v>6079</v>
      </c>
      <c r="AB420" s="338"/>
      <c r="AC420" s="338" t="s">
        <v>6178</v>
      </c>
      <c r="AD420" s="338"/>
      <c r="AF420" s="502" t="str">
        <f>Table15[[#This Row],[code2]]</f>
        <v>PRL</v>
      </c>
      <c r="AG420" s="502" t="str">
        <f>Table15[[#This Row],[code5]]</f>
        <v>RBFLP</v>
      </c>
    </row>
    <row r="421" spans="1:33">
      <c r="A421" s="338" t="s">
        <v>6072</v>
      </c>
      <c r="B421" s="338" t="s">
        <v>6073</v>
      </c>
      <c r="C421" s="337">
        <v>1</v>
      </c>
      <c r="D421" s="338" t="s">
        <v>6513</v>
      </c>
      <c r="E421" s="338" t="s">
        <v>6514</v>
      </c>
      <c r="F421" s="337">
        <v>1</v>
      </c>
      <c r="G421" s="337">
        <v>1</v>
      </c>
      <c r="H421" s="338" t="s">
        <v>6515</v>
      </c>
      <c r="I421" s="338" t="s">
        <v>9548</v>
      </c>
      <c r="J421" s="338" t="s">
        <v>9551</v>
      </c>
      <c r="K421" s="338" t="s">
        <v>6516</v>
      </c>
      <c r="L421" s="338" t="s">
        <v>6517</v>
      </c>
      <c r="M421" s="338" t="s">
        <v>6571</v>
      </c>
      <c r="N421" s="338" t="s">
        <v>8310</v>
      </c>
      <c r="O421" s="337">
        <v>0</v>
      </c>
      <c r="P421" s="337">
        <v>0</v>
      </c>
      <c r="Q421" s="338" t="s">
        <v>8310</v>
      </c>
      <c r="R421" s="338" t="s">
        <v>14</v>
      </c>
      <c r="S421" s="338"/>
      <c r="T421" s="338" t="s">
        <v>7908</v>
      </c>
      <c r="U421" s="338" t="s">
        <v>6580</v>
      </c>
      <c r="V421" s="337">
        <v>0</v>
      </c>
      <c r="W421" s="337">
        <v>0</v>
      </c>
      <c r="X421" s="338"/>
      <c r="Y421" s="338" t="s">
        <v>6163</v>
      </c>
      <c r="Z421" s="338" t="s">
        <v>6177</v>
      </c>
      <c r="AA421" s="338" t="s">
        <v>6079</v>
      </c>
      <c r="AB421" s="338"/>
      <c r="AC421" s="338" t="s">
        <v>6182</v>
      </c>
      <c r="AD421" s="338"/>
      <c r="AF421" s="502" t="str">
        <f>Table15[[#This Row],[code2]]</f>
        <v>PRL</v>
      </c>
      <c r="AG421" s="502" t="str">
        <f>Table15[[#This Row],[code5]]</f>
        <v>RBFLP</v>
      </c>
    </row>
    <row r="422" spans="1:33">
      <c r="A422" s="338" t="s">
        <v>6072</v>
      </c>
      <c r="B422" s="338" t="s">
        <v>6073</v>
      </c>
      <c r="C422" s="337">
        <v>1</v>
      </c>
      <c r="D422" s="338" t="s">
        <v>6513</v>
      </c>
      <c r="E422" s="338" t="s">
        <v>6514</v>
      </c>
      <c r="F422" s="337">
        <v>1</v>
      </c>
      <c r="G422" s="337">
        <v>1</v>
      </c>
      <c r="H422" s="338" t="s">
        <v>6515</v>
      </c>
      <c r="I422" s="338" t="s">
        <v>9548</v>
      </c>
      <c r="J422" s="338" t="s">
        <v>9551</v>
      </c>
      <c r="K422" s="338" t="s">
        <v>6516</v>
      </c>
      <c r="L422" s="338" t="s">
        <v>6517</v>
      </c>
      <c r="M422" s="338" t="s">
        <v>6571</v>
      </c>
      <c r="N422" s="338" t="s">
        <v>8310</v>
      </c>
      <c r="O422" s="337">
        <v>0</v>
      </c>
      <c r="P422" s="337">
        <v>0</v>
      </c>
      <c r="Q422" s="338" t="s">
        <v>8310</v>
      </c>
      <c r="R422" s="338" t="s">
        <v>14</v>
      </c>
      <c r="S422" s="338"/>
      <c r="T422" s="338" t="s">
        <v>7908</v>
      </c>
      <c r="U422" s="338" t="s">
        <v>6581</v>
      </c>
      <c r="V422" s="337">
        <v>0</v>
      </c>
      <c r="W422" s="337">
        <v>0</v>
      </c>
      <c r="X422" s="338"/>
      <c r="Y422" s="338" t="s">
        <v>6167</v>
      </c>
      <c r="Z422" s="338" t="s">
        <v>6180</v>
      </c>
      <c r="AA422" s="338" t="s">
        <v>6079</v>
      </c>
      <c r="AB422" s="338"/>
      <c r="AC422" s="338" t="s">
        <v>6182</v>
      </c>
      <c r="AD422" s="338"/>
      <c r="AF422" s="502" t="str">
        <f>Table15[[#This Row],[code2]]</f>
        <v>PRL</v>
      </c>
      <c r="AG422" s="502" t="str">
        <f>Table15[[#This Row],[code5]]</f>
        <v>RBFLP</v>
      </c>
    </row>
    <row r="423" spans="1:33">
      <c r="A423" s="338" t="s">
        <v>6072</v>
      </c>
      <c r="B423" s="338" t="s">
        <v>6073</v>
      </c>
      <c r="C423" s="337">
        <v>1</v>
      </c>
      <c r="D423" s="338" t="s">
        <v>6513</v>
      </c>
      <c r="E423" s="338" t="s">
        <v>6514</v>
      </c>
      <c r="F423" s="337">
        <v>1</v>
      </c>
      <c r="G423" s="337">
        <v>1</v>
      </c>
      <c r="H423" s="338" t="s">
        <v>6515</v>
      </c>
      <c r="I423" s="338" t="s">
        <v>9548</v>
      </c>
      <c r="J423" s="338" t="s">
        <v>9551</v>
      </c>
      <c r="K423" s="338" t="s">
        <v>6516</v>
      </c>
      <c r="L423" s="338" t="s">
        <v>6517</v>
      </c>
      <c r="M423" s="338" t="s">
        <v>6571</v>
      </c>
      <c r="N423" s="338" t="s">
        <v>8310</v>
      </c>
      <c r="O423" s="337">
        <v>0</v>
      </c>
      <c r="P423" s="337">
        <v>0</v>
      </c>
      <c r="Q423" s="338" t="s">
        <v>8310</v>
      </c>
      <c r="R423" s="338" t="s">
        <v>14</v>
      </c>
      <c r="S423" s="338"/>
      <c r="T423" s="338" t="s">
        <v>7908</v>
      </c>
      <c r="U423" s="338" t="s">
        <v>6582</v>
      </c>
      <c r="V423" s="337">
        <v>0</v>
      </c>
      <c r="W423" s="337">
        <v>0</v>
      </c>
      <c r="X423" s="338"/>
      <c r="Y423" s="338" t="s">
        <v>6163</v>
      </c>
      <c r="Z423" s="338" t="s">
        <v>6185</v>
      </c>
      <c r="AA423" s="338" t="s">
        <v>6079</v>
      </c>
      <c r="AB423" s="338"/>
      <c r="AC423" s="338" t="s">
        <v>6186</v>
      </c>
      <c r="AD423" s="338"/>
      <c r="AF423" s="502" t="str">
        <f>Table15[[#This Row],[code2]]</f>
        <v>PRL</v>
      </c>
      <c r="AG423" s="502" t="str">
        <f>Table15[[#This Row],[code5]]</f>
        <v>RBFLP</v>
      </c>
    </row>
    <row r="424" spans="1:33">
      <c r="A424" s="338" t="s">
        <v>6072</v>
      </c>
      <c r="B424" s="338" t="s">
        <v>6073</v>
      </c>
      <c r="C424" s="337">
        <v>1</v>
      </c>
      <c r="D424" s="338" t="s">
        <v>6513</v>
      </c>
      <c r="E424" s="338" t="s">
        <v>6514</v>
      </c>
      <c r="F424" s="337">
        <v>1</v>
      </c>
      <c r="G424" s="337">
        <v>1</v>
      </c>
      <c r="H424" s="338" t="s">
        <v>6515</v>
      </c>
      <c r="I424" s="338" t="s">
        <v>9548</v>
      </c>
      <c r="J424" s="338" t="s">
        <v>9551</v>
      </c>
      <c r="K424" s="338" t="s">
        <v>6516</v>
      </c>
      <c r="L424" s="338" t="s">
        <v>6517</v>
      </c>
      <c r="M424" s="338" t="s">
        <v>6571</v>
      </c>
      <c r="N424" s="338" t="s">
        <v>8310</v>
      </c>
      <c r="O424" s="337">
        <v>0</v>
      </c>
      <c r="P424" s="337">
        <v>0</v>
      </c>
      <c r="Q424" s="338" t="s">
        <v>8310</v>
      </c>
      <c r="R424" s="338" t="s">
        <v>14</v>
      </c>
      <c r="S424" s="338"/>
      <c r="T424" s="338" t="s">
        <v>7908</v>
      </c>
      <c r="U424" s="338" t="s">
        <v>6583</v>
      </c>
      <c r="V424" s="337">
        <v>0</v>
      </c>
      <c r="W424" s="337">
        <v>0</v>
      </c>
      <c r="X424" s="338"/>
      <c r="Y424" s="338" t="s">
        <v>6167</v>
      </c>
      <c r="Z424" s="338" t="s">
        <v>5825</v>
      </c>
      <c r="AA424" s="338" t="s">
        <v>6079</v>
      </c>
      <c r="AB424" s="338"/>
      <c r="AC424" s="338" t="s">
        <v>6186</v>
      </c>
      <c r="AD424" s="338"/>
      <c r="AF424" s="502" t="str">
        <f>Table15[[#This Row],[code2]]</f>
        <v>PRL</v>
      </c>
      <c r="AG424" s="502" t="str">
        <f>Table15[[#This Row],[code5]]</f>
        <v>RBFLP</v>
      </c>
    </row>
    <row r="425" spans="1:33">
      <c r="A425" s="338" t="s">
        <v>6072</v>
      </c>
      <c r="B425" s="338" t="s">
        <v>6073</v>
      </c>
      <c r="C425" s="337">
        <v>1</v>
      </c>
      <c r="D425" s="338" t="s">
        <v>6513</v>
      </c>
      <c r="E425" s="338" t="s">
        <v>6514</v>
      </c>
      <c r="F425" s="337">
        <v>1</v>
      </c>
      <c r="G425" s="337">
        <v>1</v>
      </c>
      <c r="H425" s="338" t="s">
        <v>6515</v>
      </c>
      <c r="I425" s="338" t="s">
        <v>9548</v>
      </c>
      <c r="J425" s="338" t="s">
        <v>9551</v>
      </c>
      <c r="K425" s="338" t="s">
        <v>6516</v>
      </c>
      <c r="L425" s="338" t="s">
        <v>6517</v>
      </c>
      <c r="M425" s="338" t="s">
        <v>6571</v>
      </c>
      <c r="N425" s="338" t="s">
        <v>8310</v>
      </c>
      <c r="O425" s="337">
        <v>0</v>
      </c>
      <c r="P425" s="337">
        <v>0</v>
      </c>
      <c r="Q425" s="338" t="s">
        <v>8310</v>
      </c>
      <c r="R425" s="338" t="s">
        <v>14</v>
      </c>
      <c r="S425" s="338"/>
      <c r="T425" s="338" t="s">
        <v>7908</v>
      </c>
      <c r="U425" s="338" t="s">
        <v>6584</v>
      </c>
      <c r="V425" s="337">
        <v>0</v>
      </c>
      <c r="W425" s="337">
        <v>0</v>
      </c>
      <c r="X425" s="338"/>
      <c r="Y425" s="338" t="s">
        <v>6163</v>
      </c>
      <c r="Z425" s="338" t="s">
        <v>6185</v>
      </c>
      <c r="AA425" s="338" t="s">
        <v>6079</v>
      </c>
      <c r="AB425" s="338"/>
      <c r="AC425" s="338" t="s">
        <v>6189</v>
      </c>
      <c r="AD425" s="338"/>
      <c r="AF425" s="502" t="str">
        <f>Table15[[#This Row],[code2]]</f>
        <v>PRL</v>
      </c>
      <c r="AG425" s="502" t="str">
        <f>Table15[[#This Row],[code5]]</f>
        <v>RBFLP</v>
      </c>
    </row>
    <row r="426" spans="1:33">
      <c r="A426" s="338" t="s">
        <v>6072</v>
      </c>
      <c r="B426" s="338" t="s">
        <v>6073</v>
      </c>
      <c r="C426" s="337">
        <v>1</v>
      </c>
      <c r="D426" s="338" t="s">
        <v>6513</v>
      </c>
      <c r="E426" s="338" t="s">
        <v>6514</v>
      </c>
      <c r="F426" s="337">
        <v>1</v>
      </c>
      <c r="G426" s="337">
        <v>1</v>
      </c>
      <c r="H426" s="338" t="s">
        <v>6515</v>
      </c>
      <c r="I426" s="338" t="s">
        <v>9548</v>
      </c>
      <c r="J426" s="338" t="s">
        <v>9551</v>
      </c>
      <c r="K426" s="338" t="s">
        <v>6516</v>
      </c>
      <c r="L426" s="338" t="s">
        <v>6517</v>
      </c>
      <c r="M426" s="338" t="s">
        <v>6571</v>
      </c>
      <c r="N426" s="338" t="s">
        <v>8310</v>
      </c>
      <c r="O426" s="337">
        <v>0</v>
      </c>
      <c r="P426" s="337">
        <v>0</v>
      </c>
      <c r="Q426" s="338" t="s">
        <v>8310</v>
      </c>
      <c r="R426" s="338" t="s">
        <v>14</v>
      </c>
      <c r="S426" s="338"/>
      <c r="T426" s="338" t="s">
        <v>7908</v>
      </c>
      <c r="U426" s="338" t="s">
        <v>6585</v>
      </c>
      <c r="V426" s="337">
        <v>0</v>
      </c>
      <c r="W426" s="337">
        <v>0</v>
      </c>
      <c r="X426" s="338"/>
      <c r="Y426" s="338" t="s">
        <v>6167</v>
      </c>
      <c r="Z426" s="338" t="s">
        <v>5825</v>
      </c>
      <c r="AA426" s="338" t="s">
        <v>6079</v>
      </c>
      <c r="AB426" s="338"/>
      <c r="AC426" s="338" t="s">
        <v>6189</v>
      </c>
      <c r="AD426" s="338"/>
      <c r="AF426" s="502" t="str">
        <f>Table15[[#This Row],[code2]]</f>
        <v>PRL</v>
      </c>
      <c r="AG426" s="502" t="str">
        <f>Table15[[#This Row],[code5]]</f>
        <v>RBFLP</v>
      </c>
    </row>
    <row r="427" spans="1:33">
      <c r="A427" s="338" t="s">
        <v>6072</v>
      </c>
      <c r="B427" s="338" t="s">
        <v>6073</v>
      </c>
      <c r="C427" s="337">
        <v>1</v>
      </c>
      <c r="D427" s="338" t="s">
        <v>6513</v>
      </c>
      <c r="E427" s="338" t="s">
        <v>6514</v>
      </c>
      <c r="F427" s="337">
        <v>1</v>
      </c>
      <c r="G427" s="337">
        <v>1</v>
      </c>
      <c r="H427" s="338" t="s">
        <v>6515</v>
      </c>
      <c r="I427" s="338" t="s">
        <v>9548</v>
      </c>
      <c r="J427" s="338" t="s">
        <v>9551</v>
      </c>
      <c r="K427" s="338" t="s">
        <v>6516</v>
      </c>
      <c r="L427" s="338" t="s">
        <v>6517</v>
      </c>
      <c r="M427" s="338" t="s">
        <v>6586</v>
      </c>
      <c r="N427" s="338" t="s">
        <v>8311</v>
      </c>
      <c r="O427" s="337">
        <v>0</v>
      </c>
      <c r="P427" s="337">
        <v>0</v>
      </c>
      <c r="Q427" s="338" t="s">
        <v>8311</v>
      </c>
      <c r="R427" s="338" t="s">
        <v>14</v>
      </c>
      <c r="S427" s="338"/>
      <c r="T427" s="338"/>
      <c r="U427" s="338" t="s">
        <v>6587</v>
      </c>
      <c r="V427" s="337">
        <v>0</v>
      </c>
      <c r="W427" s="337">
        <v>0</v>
      </c>
      <c r="X427" s="338"/>
      <c r="Y427" s="338" t="s">
        <v>497</v>
      </c>
      <c r="Z427" s="338" t="s">
        <v>6519</v>
      </c>
      <c r="AA427" s="338" t="s">
        <v>6079</v>
      </c>
      <c r="AB427" s="338"/>
      <c r="AC427" s="338" t="s">
        <v>6193</v>
      </c>
      <c r="AD427" s="338"/>
      <c r="AF427" s="502" t="str">
        <f>Table15[[#This Row],[code2]]</f>
        <v>PRL</v>
      </c>
      <c r="AG427" s="502" t="str">
        <f>Table15[[#This Row],[code5]]</f>
        <v>PRLBFD</v>
      </c>
    </row>
    <row r="428" spans="1:33">
      <c r="A428" s="338" t="s">
        <v>6072</v>
      </c>
      <c r="B428" s="338" t="s">
        <v>6073</v>
      </c>
      <c r="C428" s="337">
        <v>1</v>
      </c>
      <c r="D428" s="338" t="s">
        <v>6513</v>
      </c>
      <c r="E428" s="338" t="s">
        <v>6514</v>
      </c>
      <c r="F428" s="337">
        <v>1</v>
      </c>
      <c r="G428" s="337">
        <v>1</v>
      </c>
      <c r="H428" s="338" t="s">
        <v>6515</v>
      </c>
      <c r="I428" s="338" t="s">
        <v>9548</v>
      </c>
      <c r="J428" s="338" t="s">
        <v>9551</v>
      </c>
      <c r="K428" s="338" t="s">
        <v>6516</v>
      </c>
      <c r="L428" s="338" t="s">
        <v>6517</v>
      </c>
      <c r="M428" s="338" t="s">
        <v>6586</v>
      </c>
      <c r="N428" s="338" t="s">
        <v>8311</v>
      </c>
      <c r="O428" s="337">
        <v>0</v>
      </c>
      <c r="P428" s="337">
        <v>0</v>
      </c>
      <c r="Q428" s="338" t="s">
        <v>8311</v>
      </c>
      <c r="R428" s="338" t="s">
        <v>14</v>
      </c>
      <c r="S428" s="338"/>
      <c r="T428" s="338"/>
      <c r="U428" s="338" t="s">
        <v>6588</v>
      </c>
      <c r="V428" s="337">
        <v>0</v>
      </c>
      <c r="W428" s="337">
        <v>0</v>
      </c>
      <c r="X428" s="338"/>
      <c r="Y428" s="338" t="s">
        <v>6081</v>
      </c>
      <c r="Z428" s="338" t="s">
        <v>7830</v>
      </c>
      <c r="AA428" s="338" t="s">
        <v>6079</v>
      </c>
      <c r="AB428" s="338"/>
      <c r="AC428" s="338" t="s">
        <v>6193</v>
      </c>
      <c r="AD428" s="338"/>
      <c r="AF428" s="502" t="str">
        <f>Table15[[#This Row],[code2]]</f>
        <v>PRL</v>
      </c>
      <c r="AG428" s="502" t="str">
        <f>Table15[[#This Row],[code5]]</f>
        <v>PRLBFD</v>
      </c>
    </row>
    <row r="429" spans="1:33">
      <c r="A429" s="338" t="s">
        <v>6072</v>
      </c>
      <c r="B429" s="338" t="s">
        <v>6073</v>
      </c>
      <c r="C429" s="337">
        <v>1</v>
      </c>
      <c r="D429" s="338" t="s">
        <v>6513</v>
      </c>
      <c r="E429" s="338" t="s">
        <v>6514</v>
      </c>
      <c r="F429" s="337">
        <v>1</v>
      </c>
      <c r="G429" s="337">
        <v>1</v>
      </c>
      <c r="H429" s="338" t="s">
        <v>6515</v>
      </c>
      <c r="I429" s="338" t="s">
        <v>9548</v>
      </c>
      <c r="J429" s="338" t="s">
        <v>9551</v>
      </c>
      <c r="K429" s="338" t="s">
        <v>6516</v>
      </c>
      <c r="L429" s="338" t="s">
        <v>6517</v>
      </c>
      <c r="M429" s="338" t="s">
        <v>6586</v>
      </c>
      <c r="N429" s="338" t="s">
        <v>8311</v>
      </c>
      <c r="O429" s="337">
        <v>0</v>
      </c>
      <c r="P429" s="337">
        <v>0</v>
      </c>
      <c r="Q429" s="338" t="s">
        <v>8311</v>
      </c>
      <c r="R429" s="338" t="s">
        <v>14</v>
      </c>
      <c r="S429" s="338"/>
      <c r="T429" s="338"/>
      <c r="U429" s="338" t="s">
        <v>6590</v>
      </c>
      <c r="V429" s="337">
        <v>0</v>
      </c>
      <c r="W429" s="337">
        <v>0</v>
      </c>
      <c r="X429" s="338"/>
      <c r="Y429" s="338" t="s">
        <v>493</v>
      </c>
      <c r="Z429" s="338" t="s">
        <v>6522</v>
      </c>
      <c r="AA429" s="338" t="s">
        <v>6079</v>
      </c>
      <c r="AB429" s="338"/>
      <c r="AC429" s="338" t="s">
        <v>6193</v>
      </c>
      <c r="AD429" s="338"/>
      <c r="AF429" s="502" t="str">
        <f>Table15[[#This Row],[code2]]</f>
        <v>PRL</v>
      </c>
      <c r="AG429" s="502" t="str">
        <f>Table15[[#This Row],[code5]]</f>
        <v>PRLBFD</v>
      </c>
    </row>
    <row r="430" spans="1:33">
      <c r="A430" s="338" t="s">
        <v>6072</v>
      </c>
      <c r="B430" s="338" t="s">
        <v>6073</v>
      </c>
      <c r="C430" s="337">
        <v>1</v>
      </c>
      <c r="D430" s="338" t="s">
        <v>6513</v>
      </c>
      <c r="E430" s="338" t="s">
        <v>6514</v>
      </c>
      <c r="F430" s="337">
        <v>1</v>
      </c>
      <c r="G430" s="337">
        <v>1</v>
      </c>
      <c r="H430" s="338" t="s">
        <v>6515</v>
      </c>
      <c r="I430" s="338" t="s">
        <v>9548</v>
      </c>
      <c r="J430" s="338" t="s">
        <v>9551</v>
      </c>
      <c r="K430" s="338" t="s">
        <v>6516</v>
      </c>
      <c r="L430" s="338" t="s">
        <v>6517</v>
      </c>
      <c r="M430" s="338" t="s">
        <v>6586</v>
      </c>
      <c r="N430" s="338" t="s">
        <v>8311</v>
      </c>
      <c r="O430" s="337">
        <v>0</v>
      </c>
      <c r="P430" s="337">
        <v>0</v>
      </c>
      <c r="Q430" s="338" t="s">
        <v>8311</v>
      </c>
      <c r="R430" s="338" t="s">
        <v>14</v>
      </c>
      <c r="S430" s="338"/>
      <c r="T430" s="338"/>
      <c r="U430" s="338" t="s">
        <v>6592</v>
      </c>
      <c r="V430" s="337">
        <v>0</v>
      </c>
      <c r="W430" s="337">
        <v>0</v>
      </c>
      <c r="X430" s="338"/>
      <c r="Y430" s="338" t="s">
        <v>6085</v>
      </c>
      <c r="Z430" s="338" t="s">
        <v>8285</v>
      </c>
      <c r="AA430" s="338" t="s">
        <v>6079</v>
      </c>
      <c r="AB430" s="338"/>
      <c r="AC430" s="338" t="s">
        <v>6193</v>
      </c>
      <c r="AD430" s="338"/>
      <c r="AF430" s="502" t="str">
        <f>Table15[[#This Row],[code2]]</f>
        <v>PRL</v>
      </c>
      <c r="AG430" s="502" t="str">
        <f>Table15[[#This Row],[code5]]</f>
        <v>PRLBFD</v>
      </c>
    </row>
    <row r="431" spans="1:33">
      <c r="A431" s="338" t="s">
        <v>6072</v>
      </c>
      <c r="B431" s="338" t="s">
        <v>6073</v>
      </c>
      <c r="C431" s="337">
        <v>1</v>
      </c>
      <c r="D431" s="338" t="s">
        <v>6513</v>
      </c>
      <c r="E431" s="338" t="s">
        <v>6514</v>
      </c>
      <c r="F431" s="337">
        <v>1</v>
      </c>
      <c r="G431" s="337">
        <v>1</v>
      </c>
      <c r="H431" s="338" t="s">
        <v>6515</v>
      </c>
      <c r="I431" s="338" t="s">
        <v>9548</v>
      </c>
      <c r="J431" s="338" t="s">
        <v>9551</v>
      </c>
      <c r="K431" s="338" t="s">
        <v>6516</v>
      </c>
      <c r="L431" s="338" t="s">
        <v>6517</v>
      </c>
      <c r="M431" s="338" t="s">
        <v>6586</v>
      </c>
      <c r="N431" s="338" t="s">
        <v>8311</v>
      </c>
      <c r="O431" s="337">
        <v>0</v>
      </c>
      <c r="P431" s="337">
        <v>0</v>
      </c>
      <c r="Q431" s="338" t="s">
        <v>8311</v>
      </c>
      <c r="R431" s="338" t="s">
        <v>14</v>
      </c>
      <c r="S431" s="338"/>
      <c r="T431" s="338"/>
      <c r="U431" s="338" t="s">
        <v>6594</v>
      </c>
      <c r="V431" s="337">
        <v>0</v>
      </c>
      <c r="W431" s="337">
        <v>0</v>
      </c>
      <c r="X431" s="338"/>
      <c r="Y431" s="338" t="s">
        <v>497</v>
      </c>
      <c r="Z431" s="338" t="s">
        <v>6589</v>
      </c>
      <c r="AA431" s="338" t="s">
        <v>6079</v>
      </c>
      <c r="AB431" s="338"/>
      <c r="AC431" s="338" t="s">
        <v>6198</v>
      </c>
      <c r="AD431" s="338"/>
      <c r="AF431" s="502" t="str">
        <f>Table15[[#This Row],[code2]]</f>
        <v>PRL</v>
      </c>
      <c r="AG431" s="502" t="str">
        <f>Table15[[#This Row],[code5]]</f>
        <v>PRLBFD</v>
      </c>
    </row>
    <row r="432" spans="1:33">
      <c r="A432" s="338" t="s">
        <v>6072</v>
      </c>
      <c r="B432" s="338" t="s">
        <v>6073</v>
      </c>
      <c r="C432" s="337">
        <v>1</v>
      </c>
      <c r="D432" s="338" t="s">
        <v>6513</v>
      </c>
      <c r="E432" s="338" t="s">
        <v>6514</v>
      </c>
      <c r="F432" s="337">
        <v>1</v>
      </c>
      <c r="G432" s="337">
        <v>1</v>
      </c>
      <c r="H432" s="338" t="s">
        <v>6515</v>
      </c>
      <c r="I432" s="338" t="s">
        <v>9548</v>
      </c>
      <c r="J432" s="338" t="s">
        <v>9551</v>
      </c>
      <c r="K432" s="338" t="s">
        <v>6516</v>
      </c>
      <c r="L432" s="338" t="s">
        <v>6517</v>
      </c>
      <c r="M432" s="338" t="s">
        <v>6586</v>
      </c>
      <c r="N432" s="338" t="s">
        <v>8311</v>
      </c>
      <c r="O432" s="337">
        <v>0</v>
      </c>
      <c r="P432" s="337">
        <v>0</v>
      </c>
      <c r="Q432" s="338" t="s">
        <v>8311</v>
      </c>
      <c r="R432" s="338" t="s">
        <v>14</v>
      </c>
      <c r="S432" s="338"/>
      <c r="T432" s="338"/>
      <c r="U432" s="338" t="s">
        <v>6595</v>
      </c>
      <c r="V432" s="337">
        <v>0</v>
      </c>
      <c r="W432" s="337">
        <v>0</v>
      </c>
      <c r="X432" s="338"/>
      <c r="Y432" s="338" t="s">
        <v>6081</v>
      </c>
      <c r="Z432" s="338" t="s">
        <v>8255</v>
      </c>
      <c r="AA432" s="338" t="s">
        <v>6079</v>
      </c>
      <c r="AB432" s="338"/>
      <c r="AC432" s="338" t="s">
        <v>6198</v>
      </c>
      <c r="AD432" s="338"/>
      <c r="AF432" s="502" t="str">
        <f>Table15[[#This Row],[code2]]</f>
        <v>PRL</v>
      </c>
      <c r="AG432" s="502" t="str">
        <f>Table15[[#This Row],[code5]]</f>
        <v>PRLBFD</v>
      </c>
    </row>
    <row r="433" spans="1:33">
      <c r="A433" s="338" t="s">
        <v>6072</v>
      </c>
      <c r="B433" s="338" t="s">
        <v>6073</v>
      </c>
      <c r="C433" s="337">
        <v>1</v>
      </c>
      <c r="D433" s="338" t="s">
        <v>6513</v>
      </c>
      <c r="E433" s="338" t="s">
        <v>6514</v>
      </c>
      <c r="F433" s="337">
        <v>1</v>
      </c>
      <c r="G433" s="337">
        <v>1</v>
      </c>
      <c r="H433" s="338" t="s">
        <v>6515</v>
      </c>
      <c r="I433" s="338" t="s">
        <v>9548</v>
      </c>
      <c r="J433" s="338" t="s">
        <v>9551</v>
      </c>
      <c r="K433" s="338" t="s">
        <v>6516</v>
      </c>
      <c r="L433" s="338" t="s">
        <v>6517</v>
      </c>
      <c r="M433" s="338" t="s">
        <v>6586</v>
      </c>
      <c r="N433" s="338" t="s">
        <v>8311</v>
      </c>
      <c r="O433" s="337">
        <v>0</v>
      </c>
      <c r="P433" s="337">
        <v>0</v>
      </c>
      <c r="Q433" s="338" t="s">
        <v>8311</v>
      </c>
      <c r="R433" s="338" t="s">
        <v>14</v>
      </c>
      <c r="S433" s="338"/>
      <c r="T433" s="338"/>
      <c r="U433" s="338" t="s">
        <v>6597</v>
      </c>
      <c r="V433" s="337">
        <v>0</v>
      </c>
      <c r="W433" s="337">
        <v>0</v>
      </c>
      <c r="X433" s="338"/>
      <c r="Y433" s="338" t="s">
        <v>493</v>
      </c>
      <c r="Z433" s="338" t="s">
        <v>7924</v>
      </c>
      <c r="AA433" s="338" t="s">
        <v>6079</v>
      </c>
      <c r="AB433" s="338"/>
      <c r="AC433" s="338" t="s">
        <v>6198</v>
      </c>
      <c r="AD433" s="338"/>
      <c r="AF433" s="502" t="str">
        <f>Table15[[#This Row],[code2]]</f>
        <v>PRL</v>
      </c>
      <c r="AG433" s="502" t="str">
        <f>Table15[[#This Row],[code5]]</f>
        <v>PRLBFD</v>
      </c>
    </row>
    <row r="434" spans="1:33">
      <c r="A434" s="338" t="s">
        <v>6072</v>
      </c>
      <c r="B434" s="338" t="s">
        <v>6073</v>
      </c>
      <c r="C434" s="337">
        <v>1</v>
      </c>
      <c r="D434" s="338" t="s">
        <v>6513</v>
      </c>
      <c r="E434" s="338" t="s">
        <v>6514</v>
      </c>
      <c r="F434" s="337">
        <v>1</v>
      </c>
      <c r="G434" s="337">
        <v>1</v>
      </c>
      <c r="H434" s="338" t="s">
        <v>6515</v>
      </c>
      <c r="I434" s="338" t="s">
        <v>9548</v>
      </c>
      <c r="J434" s="338" t="s">
        <v>9551</v>
      </c>
      <c r="K434" s="338" t="s">
        <v>6516</v>
      </c>
      <c r="L434" s="338" t="s">
        <v>6517</v>
      </c>
      <c r="M434" s="338" t="s">
        <v>6586</v>
      </c>
      <c r="N434" s="338" t="s">
        <v>8311</v>
      </c>
      <c r="O434" s="337">
        <v>0</v>
      </c>
      <c r="P434" s="337">
        <v>0</v>
      </c>
      <c r="Q434" s="338" t="s">
        <v>8311</v>
      </c>
      <c r="R434" s="338" t="s">
        <v>14</v>
      </c>
      <c r="S434" s="338"/>
      <c r="T434" s="338"/>
      <c r="U434" s="338" t="s">
        <v>6599</v>
      </c>
      <c r="V434" s="337">
        <v>0</v>
      </c>
      <c r="W434" s="337">
        <v>0</v>
      </c>
      <c r="X434" s="338"/>
      <c r="Y434" s="338" t="s">
        <v>6085</v>
      </c>
      <c r="Z434" s="338" t="s">
        <v>7830</v>
      </c>
      <c r="AA434" s="338" t="s">
        <v>6079</v>
      </c>
      <c r="AB434" s="338"/>
      <c r="AC434" s="338" t="s">
        <v>6198</v>
      </c>
      <c r="AD434" s="338"/>
      <c r="AF434" s="502" t="str">
        <f>Table15[[#This Row],[code2]]</f>
        <v>PRL</v>
      </c>
      <c r="AG434" s="502" t="str">
        <f>Table15[[#This Row],[code5]]</f>
        <v>PRLBFD</v>
      </c>
    </row>
    <row r="435" spans="1:33">
      <c r="A435" s="338" t="s">
        <v>6072</v>
      </c>
      <c r="B435" s="338" t="s">
        <v>6073</v>
      </c>
      <c r="C435" s="337">
        <v>1</v>
      </c>
      <c r="D435" s="338" t="s">
        <v>6513</v>
      </c>
      <c r="E435" s="338" t="s">
        <v>6514</v>
      </c>
      <c r="F435" s="337">
        <v>1</v>
      </c>
      <c r="G435" s="337">
        <v>1</v>
      </c>
      <c r="H435" s="338" t="s">
        <v>6515</v>
      </c>
      <c r="I435" s="338" t="s">
        <v>9548</v>
      </c>
      <c r="J435" s="338" t="s">
        <v>9551</v>
      </c>
      <c r="K435" s="338" t="s">
        <v>6516</v>
      </c>
      <c r="L435" s="338" t="s">
        <v>6517</v>
      </c>
      <c r="M435" s="338" t="s">
        <v>6586</v>
      </c>
      <c r="N435" s="338" t="s">
        <v>8311</v>
      </c>
      <c r="O435" s="337">
        <v>0</v>
      </c>
      <c r="P435" s="337">
        <v>0</v>
      </c>
      <c r="Q435" s="338" t="s">
        <v>8311</v>
      </c>
      <c r="R435" s="338" t="s">
        <v>14</v>
      </c>
      <c r="S435" s="338"/>
      <c r="T435" s="338"/>
      <c r="U435" s="338" t="s">
        <v>6600</v>
      </c>
      <c r="V435" s="337">
        <v>0</v>
      </c>
      <c r="W435" s="337">
        <v>0</v>
      </c>
      <c r="X435" s="338"/>
      <c r="Y435" s="338" t="s">
        <v>497</v>
      </c>
      <c r="Z435" s="338" t="s">
        <v>6596</v>
      </c>
      <c r="AA435" s="338" t="s">
        <v>6079</v>
      </c>
      <c r="AB435" s="338"/>
      <c r="AC435" s="338" t="s">
        <v>6203</v>
      </c>
      <c r="AD435" s="338"/>
      <c r="AF435" s="502" t="str">
        <f>Table15[[#This Row],[code2]]</f>
        <v>PRL</v>
      </c>
      <c r="AG435" s="502" t="str">
        <f>Table15[[#This Row],[code5]]</f>
        <v>PRLBFD</v>
      </c>
    </row>
    <row r="436" spans="1:33">
      <c r="A436" s="338" t="s">
        <v>6072</v>
      </c>
      <c r="B436" s="338" t="s">
        <v>6073</v>
      </c>
      <c r="C436" s="337">
        <v>1</v>
      </c>
      <c r="D436" s="338" t="s">
        <v>6513</v>
      </c>
      <c r="E436" s="338" t="s">
        <v>6514</v>
      </c>
      <c r="F436" s="337">
        <v>1</v>
      </c>
      <c r="G436" s="337">
        <v>1</v>
      </c>
      <c r="H436" s="338" t="s">
        <v>6515</v>
      </c>
      <c r="I436" s="338" t="s">
        <v>9548</v>
      </c>
      <c r="J436" s="338" t="s">
        <v>9551</v>
      </c>
      <c r="K436" s="338" t="s">
        <v>6516</v>
      </c>
      <c r="L436" s="338" t="s">
        <v>6517</v>
      </c>
      <c r="M436" s="338" t="s">
        <v>6586</v>
      </c>
      <c r="N436" s="338" t="s">
        <v>8311</v>
      </c>
      <c r="O436" s="337">
        <v>0</v>
      </c>
      <c r="P436" s="337">
        <v>0</v>
      </c>
      <c r="Q436" s="338" t="s">
        <v>8311</v>
      </c>
      <c r="R436" s="338" t="s">
        <v>14</v>
      </c>
      <c r="S436" s="338"/>
      <c r="T436" s="338"/>
      <c r="U436" s="338" t="s">
        <v>6601</v>
      </c>
      <c r="V436" s="337">
        <v>0</v>
      </c>
      <c r="W436" s="337">
        <v>0</v>
      </c>
      <c r="X436" s="338"/>
      <c r="Y436" s="338" t="s">
        <v>6081</v>
      </c>
      <c r="Z436" s="338" t="s">
        <v>8257</v>
      </c>
      <c r="AA436" s="338" t="s">
        <v>6079</v>
      </c>
      <c r="AB436" s="338"/>
      <c r="AC436" s="338" t="s">
        <v>6203</v>
      </c>
      <c r="AD436" s="338"/>
      <c r="AF436" s="502" t="str">
        <f>Table15[[#This Row],[code2]]</f>
        <v>PRL</v>
      </c>
      <c r="AG436" s="502" t="str">
        <f>Table15[[#This Row],[code5]]</f>
        <v>PRLBFD</v>
      </c>
    </row>
    <row r="437" spans="1:33">
      <c r="A437" s="338" t="s">
        <v>6072</v>
      </c>
      <c r="B437" s="338" t="s">
        <v>6073</v>
      </c>
      <c r="C437" s="337">
        <v>1</v>
      </c>
      <c r="D437" s="338" t="s">
        <v>6513</v>
      </c>
      <c r="E437" s="338" t="s">
        <v>6514</v>
      </c>
      <c r="F437" s="337">
        <v>1</v>
      </c>
      <c r="G437" s="337">
        <v>1</v>
      </c>
      <c r="H437" s="338" t="s">
        <v>6515</v>
      </c>
      <c r="I437" s="338" t="s">
        <v>9548</v>
      </c>
      <c r="J437" s="338" t="s">
        <v>9551</v>
      </c>
      <c r="K437" s="338" t="s">
        <v>6516</v>
      </c>
      <c r="L437" s="338" t="s">
        <v>6517</v>
      </c>
      <c r="M437" s="338" t="s">
        <v>6586</v>
      </c>
      <c r="N437" s="338" t="s">
        <v>8311</v>
      </c>
      <c r="O437" s="337">
        <v>0</v>
      </c>
      <c r="P437" s="337">
        <v>0</v>
      </c>
      <c r="Q437" s="338" t="s">
        <v>8311</v>
      </c>
      <c r="R437" s="338" t="s">
        <v>14</v>
      </c>
      <c r="S437" s="338"/>
      <c r="T437" s="338"/>
      <c r="U437" s="338" t="s">
        <v>6603</v>
      </c>
      <c r="V437" s="337">
        <v>0</v>
      </c>
      <c r="W437" s="337">
        <v>0</v>
      </c>
      <c r="X437" s="338"/>
      <c r="Y437" s="338" t="s">
        <v>493</v>
      </c>
      <c r="Z437" s="338" t="s">
        <v>7744</v>
      </c>
      <c r="AA437" s="338" t="s">
        <v>6079</v>
      </c>
      <c r="AB437" s="338"/>
      <c r="AC437" s="338" t="s">
        <v>6203</v>
      </c>
      <c r="AD437" s="338"/>
      <c r="AF437" s="502" t="str">
        <f>Table15[[#This Row],[code2]]</f>
        <v>PRL</v>
      </c>
      <c r="AG437" s="502" t="str">
        <f>Table15[[#This Row],[code5]]</f>
        <v>PRLBFD</v>
      </c>
    </row>
    <row r="438" spans="1:33">
      <c r="A438" s="338" t="s">
        <v>6072</v>
      </c>
      <c r="B438" s="338" t="s">
        <v>6073</v>
      </c>
      <c r="C438" s="337">
        <v>1</v>
      </c>
      <c r="D438" s="338" t="s">
        <v>6513</v>
      </c>
      <c r="E438" s="338" t="s">
        <v>6514</v>
      </c>
      <c r="F438" s="337">
        <v>1</v>
      </c>
      <c r="G438" s="337">
        <v>1</v>
      </c>
      <c r="H438" s="338" t="s">
        <v>6515</v>
      </c>
      <c r="I438" s="338" t="s">
        <v>9548</v>
      </c>
      <c r="J438" s="338" t="s">
        <v>9551</v>
      </c>
      <c r="K438" s="338" t="s">
        <v>6516</v>
      </c>
      <c r="L438" s="338" t="s">
        <v>6517</v>
      </c>
      <c r="M438" s="338" t="s">
        <v>6586</v>
      </c>
      <c r="N438" s="338" t="s">
        <v>8311</v>
      </c>
      <c r="O438" s="337">
        <v>0</v>
      </c>
      <c r="P438" s="337">
        <v>0</v>
      </c>
      <c r="Q438" s="338" t="s">
        <v>8311</v>
      </c>
      <c r="R438" s="338" t="s">
        <v>14</v>
      </c>
      <c r="S438" s="338"/>
      <c r="T438" s="338"/>
      <c r="U438" s="338" t="s">
        <v>6605</v>
      </c>
      <c r="V438" s="337">
        <v>0</v>
      </c>
      <c r="W438" s="337">
        <v>0</v>
      </c>
      <c r="X438" s="338"/>
      <c r="Y438" s="338" t="s">
        <v>6085</v>
      </c>
      <c r="Z438" s="338" t="s">
        <v>8255</v>
      </c>
      <c r="AA438" s="338" t="s">
        <v>6079</v>
      </c>
      <c r="AB438" s="338"/>
      <c r="AC438" s="338" t="s">
        <v>6203</v>
      </c>
      <c r="AD438" s="338"/>
      <c r="AF438" s="502" t="str">
        <f>Table15[[#This Row],[code2]]</f>
        <v>PRL</v>
      </c>
      <c r="AG438" s="502" t="str">
        <f>Table15[[#This Row],[code5]]</f>
        <v>PRLBFD</v>
      </c>
    </row>
    <row r="439" spans="1:33">
      <c r="A439" s="338" t="s">
        <v>6072</v>
      </c>
      <c r="B439" s="338" t="s">
        <v>6073</v>
      </c>
      <c r="C439" s="337">
        <v>1</v>
      </c>
      <c r="D439" s="338" t="s">
        <v>6513</v>
      </c>
      <c r="E439" s="338" t="s">
        <v>6514</v>
      </c>
      <c r="F439" s="337">
        <v>1</v>
      </c>
      <c r="G439" s="337">
        <v>1</v>
      </c>
      <c r="H439" s="338" t="s">
        <v>6515</v>
      </c>
      <c r="I439" s="338" t="s">
        <v>9548</v>
      </c>
      <c r="J439" s="338" t="s">
        <v>9551</v>
      </c>
      <c r="K439" s="338" t="s">
        <v>6516</v>
      </c>
      <c r="L439" s="338" t="s">
        <v>6517</v>
      </c>
      <c r="M439" s="338" t="s">
        <v>6586</v>
      </c>
      <c r="N439" s="338" t="s">
        <v>8311</v>
      </c>
      <c r="O439" s="337">
        <v>0</v>
      </c>
      <c r="P439" s="337">
        <v>0</v>
      </c>
      <c r="Q439" s="338" t="s">
        <v>8311</v>
      </c>
      <c r="R439" s="338" t="s">
        <v>14</v>
      </c>
      <c r="S439" s="338"/>
      <c r="T439" s="338"/>
      <c r="U439" s="338" t="s">
        <v>6607</v>
      </c>
      <c r="V439" s="337">
        <v>0</v>
      </c>
      <c r="W439" s="337">
        <v>0</v>
      </c>
      <c r="X439" s="338"/>
      <c r="Y439" s="338" t="s">
        <v>497</v>
      </c>
      <c r="Z439" s="338" t="s">
        <v>7925</v>
      </c>
      <c r="AA439" s="338" t="s">
        <v>6079</v>
      </c>
      <c r="AB439" s="338"/>
      <c r="AC439" s="338" t="s">
        <v>6208</v>
      </c>
      <c r="AD439" s="338"/>
      <c r="AF439" s="502" t="str">
        <f>Table15[[#This Row],[code2]]</f>
        <v>PRL</v>
      </c>
      <c r="AG439" s="502" t="str">
        <f>Table15[[#This Row],[code5]]</f>
        <v>PRLBFD</v>
      </c>
    </row>
    <row r="440" spans="1:33">
      <c r="A440" s="338" t="s">
        <v>6072</v>
      </c>
      <c r="B440" s="338" t="s">
        <v>6073</v>
      </c>
      <c r="C440" s="337">
        <v>1</v>
      </c>
      <c r="D440" s="338" t="s">
        <v>6513</v>
      </c>
      <c r="E440" s="338" t="s">
        <v>6514</v>
      </c>
      <c r="F440" s="337">
        <v>1</v>
      </c>
      <c r="G440" s="337">
        <v>1</v>
      </c>
      <c r="H440" s="338" t="s">
        <v>6515</v>
      </c>
      <c r="I440" s="338" t="s">
        <v>9548</v>
      </c>
      <c r="J440" s="338" t="s">
        <v>9551</v>
      </c>
      <c r="K440" s="338" t="s">
        <v>6516</v>
      </c>
      <c r="L440" s="338" t="s">
        <v>6517</v>
      </c>
      <c r="M440" s="338" t="s">
        <v>6586</v>
      </c>
      <c r="N440" s="338" t="s">
        <v>8311</v>
      </c>
      <c r="O440" s="337">
        <v>0</v>
      </c>
      <c r="P440" s="337">
        <v>0</v>
      </c>
      <c r="Q440" s="338" t="s">
        <v>8311</v>
      </c>
      <c r="R440" s="338" t="s">
        <v>14</v>
      </c>
      <c r="S440" s="338"/>
      <c r="T440" s="338"/>
      <c r="U440" s="338" t="s">
        <v>6608</v>
      </c>
      <c r="V440" s="337">
        <v>0</v>
      </c>
      <c r="W440" s="337">
        <v>0</v>
      </c>
      <c r="X440" s="338"/>
      <c r="Y440" s="338" t="s">
        <v>6081</v>
      </c>
      <c r="Z440" s="338" t="s">
        <v>8119</v>
      </c>
      <c r="AA440" s="338" t="s">
        <v>6079</v>
      </c>
      <c r="AB440" s="338"/>
      <c r="AC440" s="338" t="s">
        <v>6208</v>
      </c>
      <c r="AD440" s="338"/>
      <c r="AF440" s="502" t="str">
        <f>Table15[[#This Row],[code2]]</f>
        <v>PRL</v>
      </c>
      <c r="AG440" s="502" t="str">
        <f>Table15[[#This Row],[code5]]</f>
        <v>PRLBFD</v>
      </c>
    </row>
    <row r="441" spans="1:33">
      <c r="A441" s="338" t="s">
        <v>6072</v>
      </c>
      <c r="B441" s="338" t="s">
        <v>6073</v>
      </c>
      <c r="C441" s="337">
        <v>1</v>
      </c>
      <c r="D441" s="338" t="s">
        <v>6513</v>
      </c>
      <c r="E441" s="338" t="s">
        <v>6514</v>
      </c>
      <c r="F441" s="337">
        <v>1</v>
      </c>
      <c r="G441" s="337">
        <v>1</v>
      </c>
      <c r="H441" s="338" t="s">
        <v>6515</v>
      </c>
      <c r="I441" s="338" t="s">
        <v>9548</v>
      </c>
      <c r="J441" s="338" t="s">
        <v>9551</v>
      </c>
      <c r="K441" s="338" t="s">
        <v>6516</v>
      </c>
      <c r="L441" s="338" t="s">
        <v>6517</v>
      </c>
      <c r="M441" s="338" t="s">
        <v>6586</v>
      </c>
      <c r="N441" s="338" t="s">
        <v>8311</v>
      </c>
      <c r="O441" s="337">
        <v>0</v>
      </c>
      <c r="P441" s="337">
        <v>0</v>
      </c>
      <c r="Q441" s="338" t="s">
        <v>8311</v>
      </c>
      <c r="R441" s="338" t="s">
        <v>14</v>
      </c>
      <c r="S441" s="338"/>
      <c r="T441" s="338"/>
      <c r="U441" s="338" t="s">
        <v>6609</v>
      </c>
      <c r="V441" s="337">
        <v>0</v>
      </c>
      <c r="W441" s="337">
        <v>0</v>
      </c>
      <c r="X441" s="338"/>
      <c r="Y441" s="338" t="s">
        <v>493</v>
      </c>
      <c r="Z441" s="338" t="s">
        <v>7749</v>
      </c>
      <c r="AA441" s="338" t="s">
        <v>6079</v>
      </c>
      <c r="AB441" s="338"/>
      <c r="AC441" s="338" t="s">
        <v>6208</v>
      </c>
      <c r="AD441" s="338"/>
      <c r="AF441" s="502" t="str">
        <f>Table15[[#This Row],[code2]]</f>
        <v>PRL</v>
      </c>
      <c r="AG441" s="502" t="str">
        <f>Table15[[#This Row],[code5]]</f>
        <v>PRLBFD</v>
      </c>
    </row>
    <row r="442" spans="1:33">
      <c r="A442" s="338" t="s">
        <v>6072</v>
      </c>
      <c r="B442" s="338" t="s">
        <v>6073</v>
      </c>
      <c r="C442" s="337">
        <v>1</v>
      </c>
      <c r="D442" s="338" t="s">
        <v>6513</v>
      </c>
      <c r="E442" s="338" t="s">
        <v>6514</v>
      </c>
      <c r="F442" s="337">
        <v>1</v>
      </c>
      <c r="G442" s="337">
        <v>1</v>
      </c>
      <c r="H442" s="338" t="s">
        <v>6515</v>
      </c>
      <c r="I442" s="338" t="s">
        <v>9548</v>
      </c>
      <c r="J442" s="338" t="s">
        <v>9551</v>
      </c>
      <c r="K442" s="338" t="s">
        <v>6516</v>
      </c>
      <c r="L442" s="338" t="s">
        <v>6517</v>
      </c>
      <c r="M442" s="338" t="s">
        <v>6586</v>
      </c>
      <c r="N442" s="338" t="s">
        <v>8311</v>
      </c>
      <c r="O442" s="337">
        <v>0</v>
      </c>
      <c r="P442" s="337">
        <v>0</v>
      </c>
      <c r="Q442" s="338" t="s">
        <v>8311</v>
      </c>
      <c r="R442" s="338" t="s">
        <v>14</v>
      </c>
      <c r="S442" s="338"/>
      <c r="T442" s="338"/>
      <c r="U442" s="338" t="s">
        <v>6610</v>
      </c>
      <c r="V442" s="337">
        <v>0</v>
      </c>
      <c r="W442" s="337">
        <v>0</v>
      </c>
      <c r="X442" s="338"/>
      <c r="Y442" s="338" t="s">
        <v>6085</v>
      </c>
      <c r="Z442" s="338" t="s">
        <v>8286</v>
      </c>
      <c r="AA442" s="338" t="s">
        <v>6079</v>
      </c>
      <c r="AB442" s="338"/>
      <c r="AC442" s="338" t="s">
        <v>6208</v>
      </c>
      <c r="AD442" s="338"/>
      <c r="AF442" s="502" t="str">
        <f>Table15[[#This Row],[code2]]</f>
        <v>PRL</v>
      </c>
      <c r="AG442" s="502" t="str">
        <f>Table15[[#This Row],[code5]]</f>
        <v>PRLBFD</v>
      </c>
    </row>
    <row r="443" spans="1:33">
      <c r="A443" s="338" t="s">
        <v>6072</v>
      </c>
      <c r="B443" s="338" t="s">
        <v>6073</v>
      </c>
      <c r="C443" s="337">
        <v>1</v>
      </c>
      <c r="D443" s="338" t="s">
        <v>6513</v>
      </c>
      <c r="E443" s="338" t="s">
        <v>6514</v>
      </c>
      <c r="F443" s="337">
        <v>1</v>
      </c>
      <c r="G443" s="337">
        <v>1</v>
      </c>
      <c r="H443" s="338" t="s">
        <v>6515</v>
      </c>
      <c r="I443" s="338" t="s">
        <v>9548</v>
      </c>
      <c r="J443" s="338" t="s">
        <v>9551</v>
      </c>
      <c r="K443" s="338" t="s">
        <v>6516</v>
      </c>
      <c r="L443" s="338" t="s">
        <v>6517</v>
      </c>
      <c r="M443" s="338" t="s">
        <v>6586</v>
      </c>
      <c r="N443" s="338" t="s">
        <v>8311</v>
      </c>
      <c r="O443" s="337">
        <v>0</v>
      </c>
      <c r="P443" s="337">
        <v>0</v>
      </c>
      <c r="Q443" s="338" t="s">
        <v>8311</v>
      </c>
      <c r="R443" s="338" t="s">
        <v>14</v>
      </c>
      <c r="S443" s="338"/>
      <c r="T443" s="338"/>
      <c r="U443" s="338" t="s">
        <v>6611</v>
      </c>
      <c r="V443" s="337">
        <v>0</v>
      </c>
      <c r="W443" s="337">
        <v>0</v>
      </c>
      <c r="X443" s="338"/>
      <c r="Y443" s="338" t="s">
        <v>497</v>
      </c>
      <c r="Z443" s="338" t="s">
        <v>8007</v>
      </c>
      <c r="AA443" s="338" t="s">
        <v>6079</v>
      </c>
      <c r="AB443" s="338"/>
      <c r="AC443" s="338" t="s">
        <v>6213</v>
      </c>
      <c r="AD443" s="338"/>
      <c r="AF443" s="502" t="str">
        <f>Table15[[#This Row],[code2]]</f>
        <v>PRL</v>
      </c>
      <c r="AG443" s="502" t="str">
        <f>Table15[[#This Row],[code5]]</f>
        <v>PRLBFD</v>
      </c>
    </row>
    <row r="444" spans="1:33">
      <c r="A444" s="338" t="s">
        <v>6072</v>
      </c>
      <c r="B444" s="338" t="s">
        <v>6073</v>
      </c>
      <c r="C444" s="337">
        <v>1</v>
      </c>
      <c r="D444" s="338" t="s">
        <v>6513</v>
      </c>
      <c r="E444" s="338" t="s">
        <v>6514</v>
      </c>
      <c r="F444" s="337">
        <v>1</v>
      </c>
      <c r="G444" s="337">
        <v>1</v>
      </c>
      <c r="H444" s="338" t="s">
        <v>6515</v>
      </c>
      <c r="I444" s="338" t="s">
        <v>9548</v>
      </c>
      <c r="J444" s="338" t="s">
        <v>9551</v>
      </c>
      <c r="K444" s="338" t="s">
        <v>6516</v>
      </c>
      <c r="L444" s="338" t="s">
        <v>6517</v>
      </c>
      <c r="M444" s="338" t="s">
        <v>6586</v>
      </c>
      <c r="N444" s="338" t="s">
        <v>8311</v>
      </c>
      <c r="O444" s="337">
        <v>0</v>
      </c>
      <c r="P444" s="337">
        <v>0</v>
      </c>
      <c r="Q444" s="338" t="s">
        <v>8311</v>
      </c>
      <c r="R444" s="338" t="s">
        <v>14</v>
      </c>
      <c r="S444" s="338"/>
      <c r="T444" s="338"/>
      <c r="U444" s="338" t="s">
        <v>6612</v>
      </c>
      <c r="V444" s="337">
        <v>0</v>
      </c>
      <c r="W444" s="337">
        <v>0</v>
      </c>
      <c r="X444" s="338"/>
      <c r="Y444" s="338" t="s">
        <v>6081</v>
      </c>
      <c r="Z444" s="338" t="s">
        <v>8287</v>
      </c>
      <c r="AA444" s="338" t="s">
        <v>6079</v>
      </c>
      <c r="AB444" s="338"/>
      <c r="AC444" s="338" t="s">
        <v>6213</v>
      </c>
      <c r="AD444" s="338"/>
      <c r="AF444" s="502" t="str">
        <f>Table15[[#This Row],[code2]]</f>
        <v>PRL</v>
      </c>
      <c r="AG444" s="502" t="str">
        <f>Table15[[#This Row],[code5]]</f>
        <v>PRLBFD</v>
      </c>
    </row>
    <row r="445" spans="1:33">
      <c r="A445" s="338" t="s">
        <v>6072</v>
      </c>
      <c r="B445" s="338" t="s">
        <v>6073</v>
      </c>
      <c r="C445" s="337">
        <v>1</v>
      </c>
      <c r="D445" s="338" t="s">
        <v>6513</v>
      </c>
      <c r="E445" s="338" t="s">
        <v>6514</v>
      </c>
      <c r="F445" s="337">
        <v>1</v>
      </c>
      <c r="G445" s="337">
        <v>1</v>
      </c>
      <c r="H445" s="338" t="s">
        <v>6515</v>
      </c>
      <c r="I445" s="338" t="s">
        <v>9548</v>
      </c>
      <c r="J445" s="338" t="s">
        <v>9551</v>
      </c>
      <c r="K445" s="338" t="s">
        <v>6516</v>
      </c>
      <c r="L445" s="338" t="s">
        <v>6517</v>
      </c>
      <c r="M445" s="338" t="s">
        <v>6586</v>
      </c>
      <c r="N445" s="338" t="s">
        <v>8311</v>
      </c>
      <c r="O445" s="337">
        <v>0</v>
      </c>
      <c r="P445" s="337">
        <v>0</v>
      </c>
      <c r="Q445" s="338" t="s">
        <v>8311</v>
      </c>
      <c r="R445" s="338" t="s">
        <v>14</v>
      </c>
      <c r="S445" s="338"/>
      <c r="T445" s="338"/>
      <c r="U445" s="338" t="s">
        <v>6613</v>
      </c>
      <c r="V445" s="337">
        <v>0</v>
      </c>
      <c r="W445" s="337">
        <v>0</v>
      </c>
      <c r="X445" s="338"/>
      <c r="Y445" s="338" t="s">
        <v>493</v>
      </c>
      <c r="Z445" s="338" t="s">
        <v>8021</v>
      </c>
      <c r="AA445" s="338" t="s">
        <v>6079</v>
      </c>
      <c r="AB445" s="338"/>
      <c r="AC445" s="338" t="s">
        <v>6213</v>
      </c>
      <c r="AD445" s="338"/>
      <c r="AF445" s="502" t="str">
        <f>Table15[[#This Row],[code2]]</f>
        <v>PRL</v>
      </c>
      <c r="AG445" s="502" t="str">
        <f>Table15[[#This Row],[code5]]</f>
        <v>PRLBFD</v>
      </c>
    </row>
    <row r="446" spans="1:33">
      <c r="A446" s="338" t="s">
        <v>6072</v>
      </c>
      <c r="B446" s="338" t="s">
        <v>6073</v>
      </c>
      <c r="C446" s="337">
        <v>1</v>
      </c>
      <c r="D446" s="338" t="s">
        <v>6513</v>
      </c>
      <c r="E446" s="338" t="s">
        <v>6514</v>
      </c>
      <c r="F446" s="337">
        <v>1</v>
      </c>
      <c r="G446" s="337">
        <v>1</v>
      </c>
      <c r="H446" s="338" t="s">
        <v>6515</v>
      </c>
      <c r="I446" s="338" t="s">
        <v>9548</v>
      </c>
      <c r="J446" s="338" t="s">
        <v>9551</v>
      </c>
      <c r="K446" s="338" t="s">
        <v>6516</v>
      </c>
      <c r="L446" s="338" t="s">
        <v>6517</v>
      </c>
      <c r="M446" s="338" t="s">
        <v>6586</v>
      </c>
      <c r="N446" s="338" t="s">
        <v>8311</v>
      </c>
      <c r="O446" s="337">
        <v>0</v>
      </c>
      <c r="P446" s="337">
        <v>0</v>
      </c>
      <c r="Q446" s="338" t="s">
        <v>8311</v>
      </c>
      <c r="R446" s="338" t="s">
        <v>14</v>
      </c>
      <c r="S446" s="338"/>
      <c r="T446" s="338"/>
      <c r="U446" s="338" t="s">
        <v>6614</v>
      </c>
      <c r="V446" s="337">
        <v>0</v>
      </c>
      <c r="W446" s="337">
        <v>0</v>
      </c>
      <c r="X446" s="338"/>
      <c r="Y446" s="338" t="s">
        <v>6085</v>
      </c>
      <c r="Z446" s="338" t="s">
        <v>8116</v>
      </c>
      <c r="AA446" s="338" t="s">
        <v>6079</v>
      </c>
      <c r="AB446" s="338"/>
      <c r="AC446" s="338" t="s">
        <v>6213</v>
      </c>
      <c r="AD446" s="338"/>
      <c r="AF446" s="502" t="str">
        <f>Table15[[#This Row],[code2]]</f>
        <v>PRL</v>
      </c>
      <c r="AG446" s="502" t="str">
        <f>Table15[[#This Row],[code5]]</f>
        <v>PRLBFD</v>
      </c>
    </row>
    <row r="447" spans="1:33">
      <c r="A447" s="338" t="s">
        <v>6072</v>
      </c>
      <c r="B447" s="338" t="s">
        <v>6073</v>
      </c>
      <c r="C447" s="337">
        <v>1</v>
      </c>
      <c r="D447" s="338" t="s">
        <v>6513</v>
      </c>
      <c r="E447" s="338" t="s">
        <v>6514</v>
      </c>
      <c r="F447" s="337">
        <v>1</v>
      </c>
      <c r="G447" s="337">
        <v>1</v>
      </c>
      <c r="H447" s="338" t="s">
        <v>6515</v>
      </c>
      <c r="I447" s="338" t="s">
        <v>9548</v>
      </c>
      <c r="J447" s="338" t="s">
        <v>9551</v>
      </c>
      <c r="K447" s="338" t="s">
        <v>6516</v>
      </c>
      <c r="L447" s="338" t="s">
        <v>6517</v>
      </c>
      <c r="M447" s="338" t="s">
        <v>6615</v>
      </c>
      <c r="N447" s="338" t="s">
        <v>8312</v>
      </c>
      <c r="O447" s="337">
        <v>0</v>
      </c>
      <c r="P447" s="337">
        <v>0</v>
      </c>
      <c r="Q447" s="338" t="s">
        <v>8312</v>
      </c>
      <c r="R447" s="338" t="s">
        <v>14</v>
      </c>
      <c r="S447" s="338"/>
      <c r="T447" s="338"/>
      <c r="U447" s="338" t="s">
        <v>6616</v>
      </c>
      <c r="V447" s="337">
        <v>0</v>
      </c>
      <c r="W447" s="337">
        <v>0</v>
      </c>
      <c r="X447" s="338"/>
      <c r="Y447" s="338" t="s">
        <v>497</v>
      </c>
      <c r="Z447" s="338" t="s">
        <v>6602</v>
      </c>
      <c r="AA447" s="338" t="s">
        <v>6079</v>
      </c>
      <c r="AB447" s="338"/>
      <c r="AC447" s="338" t="s">
        <v>6219</v>
      </c>
      <c r="AD447" s="338"/>
      <c r="AF447" s="502" t="str">
        <f>Table15[[#This Row],[code2]]</f>
        <v>PRL</v>
      </c>
      <c r="AG447" s="502" t="str">
        <f>Table15[[#This Row],[code5]]</f>
        <v>PRLBFDS</v>
      </c>
    </row>
    <row r="448" spans="1:33">
      <c r="A448" s="338" t="s">
        <v>6072</v>
      </c>
      <c r="B448" s="338" t="s">
        <v>6073</v>
      </c>
      <c r="C448" s="337">
        <v>1</v>
      </c>
      <c r="D448" s="338" t="s">
        <v>6513</v>
      </c>
      <c r="E448" s="338" t="s">
        <v>6514</v>
      </c>
      <c r="F448" s="337">
        <v>1</v>
      </c>
      <c r="G448" s="337">
        <v>1</v>
      </c>
      <c r="H448" s="338" t="s">
        <v>6515</v>
      </c>
      <c r="I448" s="338" t="s">
        <v>9548</v>
      </c>
      <c r="J448" s="338" t="s">
        <v>9551</v>
      </c>
      <c r="K448" s="338" t="s">
        <v>6516</v>
      </c>
      <c r="L448" s="338" t="s">
        <v>6517</v>
      </c>
      <c r="M448" s="338" t="s">
        <v>6615</v>
      </c>
      <c r="N448" s="338" t="s">
        <v>8312</v>
      </c>
      <c r="O448" s="337">
        <v>0</v>
      </c>
      <c r="P448" s="337">
        <v>0</v>
      </c>
      <c r="Q448" s="338" t="s">
        <v>8312</v>
      </c>
      <c r="R448" s="338" t="s">
        <v>14</v>
      </c>
      <c r="S448" s="338"/>
      <c r="T448" s="338"/>
      <c r="U448" s="338" t="s">
        <v>6617</v>
      </c>
      <c r="V448" s="337">
        <v>0</v>
      </c>
      <c r="W448" s="337">
        <v>0</v>
      </c>
      <c r="X448" s="338"/>
      <c r="Y448" s="338" t="s">
        <v>6081</v>
      </c>
      <c r="Z448" s="338" t="s">
        <v>6086</v>
      </c>
      <c r="AA448" s="338" t="s">
        <v>6079</v>
      </c>
      <c r="AB448" s="338"/>
      <c r="AC448" s="338" t="s">
        <v>6219</v>
      </c>
      <c r="AD448" s="338"/>
      <c r="AF448" s="502" t="str">
        <f>Table15[[#This Row],[code2]]</f>
        <v>PRL</v>
      </c>
      <c r="AG448" s="502" t="str">
        <f>Table15[[#This Row],[code5]]</f>
        <v>PRLBFDS</v>
      </c>
    </row>
    <row r="449" spans="1:33">
      <c r="A449" s="338" t="s">
        <v>6072</v>
      </c>
      <c r="B449" s="338" t="s">
        <v>6073</v>
      </c>
      <c r="C449" s="337">
        <v>1</v>
      </c>
      <c r="D449" s="338" t="s">
        <v>6513</v>
      </c>
      <c r="E449" s="338" t="s">
        <v>6514</v>
      </c>
      <c r="F449" s="337">
        <v>1</v>
      </c>
      <c r="G449" s="337">
        <v>1</v>
      </c>
      <c r="H449" s="338" t="s">
        <v>6515</v>
      </c>
      <c r="I449" s="338" t="s">
        <v>9548</v>
      </c>
      <c r="J449" s="338" t="s">
        <v>9551</v>
      </c>
      <c r="K449" s="338" t="s">
        <v>6516</v>
      </c>
      <c r="L449" s="338" t="s">
        <v>6517</v>
      </c>
      <c r="M449" s="338" t="s">
        <v>6615</v>
      </c>
      <c r="N449" s="338" t="s">
        <v>8312</v>
      </c>
      <c r="O449" s="337">
        <v>0</v>
      </c>
      <c r="P449" s="337">
        <v>0</v>
      </c>
      <c r="Q449" s="338" t="s">
        <v>8312</v>
      </c>
      <c r="R449" s="338" t="s">
        <v>14</v>
      </c>
      <c r="S449" s="338"/>
      <c r="T449" s="338"/>
      <c r="U449" s="338" t="s">
        <v>6619</v>
      </c>
      <c r="V449" s="337">
        <v>0</v>
      </c>
      <c r="W449" s="337">
        <v>0</v>
      </c>
      <c r="X449" s="338"/>
      <c r="Y449" s="338" t="s">
        <v>493</v>
      </c>
      <c r="Z449" s="338" t="s">
        <v>6083</v>
      </c>
      <c r="AA449" s="338" t="s">
        <v>6079</v>
      </c>
      <c r="AB449" s="338"/>
      <c r="AC449" s="338" t="s">
        <v>6219</v>
      </c>
      <c r="AD449" s="338"/>
      <c r="AF449" s="502" t="str">
        <f>Table15[[#This Row],[code2]]</f>
        <v>PRL</v>
      </c>
      <c r="AG449" s="502" t="str">
        <f>Table15[[#This Row],[code5]]</f>
        <v>PRLBFDS</v>
      </c>
    </row>
    <row r="450" spans="1:33">
      <c r="A450" s="338" t="s">
        <v>6072</v>
      </c>
      <c r="B450" s="338" t="s">
        <v>6073</v>
      </c>
      <c r="C450" s="337">
        <v>1</v>
      </c>
      <c r="D450" s="338" t="s">
        <v>6513</v>
      </c>
      <c r="E450" s="338" t="s">
        <v>6514</v>
      </c>
      <c r="F450" s="337">
        <v>1</v>
      </c>
      <c r="G450" s="337">
        <v>1</v>
      </c>
      <c r="H450" s="338" t="s">
        <v>6515</v>
      </c>
      <c r="I450" s="338" t="s">
        <v>9548</v>
      </c>
      <c r="J450" s="338" t="s">
        <v>9551</v>
      </c>
      <c r="K450" s="338" t="s">
        <v>6516</v>
      </c>
      <c r="L450" s="338" t="s">
        <v>6517</v>
      </c>
      <c r="M450" s="338" t="s">
        <v>6615</v>
      </c>
      <c r="N450" s="338" t="s">
        <v>8312</v>
      </c>
      <c r="O450" s="337">
        <v>0</v>
      </c>
      <c r="P450" s="337">
        <v>0</v>
      </c>
      <c r="Q450" s="338" t="s">
        <v>8312</v>
      </c>
      <c r="R450" s="338" t="s">
        <v>14</v>
      </c>
      <c r="S450" s="338"/>
      <c r="T450" s="338"/>
      <c r="U450" s="338" t="s">
        <v>6620</v>
      </c>
      <c r="V450" s="337">
        <v>0</v>
      </c>
      <c r="W450" s="337">
        <v>0</v>
      </c>
      <c r="X450" s="338"/>
      <c r="Y450" s="338" t="s">
        <v>6085</v>
      </c>
      <c r="Z450" s="338" t="s">
        <v>8257</v>
      </c>
      <c r="AA450" s="338" t="s">
        <v>6079</v>
      </c>
      <c r="AB450" s="338"/>
      <c r="AC450" s="338" t="s">
        <v>6219</v>
      </c>
      <c r="AD450" s="338"/>
      <c r="AF450" s="502" t="str">
        <f>Table15[[#This Row],[code2]]</f>
        <v>PRL</v>
      </c>
      <c r="AG450" s="502" t="str">
        <f>Table15[[#This Row],[code5]]</f>
        <v>PRLBFDS</v>
      </c>
    </row>
    <row r="451" spans="1:33">
      <c r="A451" s="338" t="s">
        <v>6072</v>
      </c>
      <c r="B451" s="338" t="s">
        <v>6073</v>
      </c>
      <c r="C451" s="337">
        <v>1</v>
      </c>
      <c r="D451" s="338" t="s">
        <v>6513</v>
      </c>
      <c r="E451" s="338" t="s">
        <v>6514</v>
      </c>
      <c r="F451" s="337">
        <v>1</v>
      </c>
      <c r="G451" s="337">
        <v>1</v>
      </c>
      <c r="H451" s="338" t="s">
        <v>6515</v>
      </c>
      <c r="I451" s="338" t="s">
        <v>9548</v>
      </c>
      <c r="J451" s="338" t="s">
        <v>9551</v>
      </c>
      <c r="K451" s="338" t="s">
        <v>6516</v>
      </c>
      <c r="L451" s="338" t="s">
        <v>6517</v>
      </c>
      <c r="M451" s="338" t="s">
        <v>6615</v>
      </c>
      <c r="N451" s="338" t="s">
        <v>8312</v>
      </c>
      <c r="O451" s="337">
        <v>0</v>
      </c>
      <c r="P451" s="337">
        <v>0</v>
      </c>
      <c r="Q451" s="338" t="s">
        <v>8312</v>
      </c>
      <c r="R451" s="338" t="s">
        <v>14</v>
      </c>
      <c r="S451" s="338"/>
      <c r="T451" s="338"/>
      <c r="U451" s="338" t="s">
        <v>6621</v>
      </c>
      <c r="V451" s="337">
        <v>0</v>
      </c>
      <c r="W451" s="337">
        <v>0</v>
      </c>
      <c r="X451" s="338"/>
      <c r="Y451" s="338" t="s">
        <v>497</v>
      </c>
      <c r="Z451" s="338" t="s">
        <v>6591</v>
      </c>
      <c r="AA451" s="338" t="s">
        <v>6079</v>
      </c>
      <c r="AB451" s="338"/>
      <c r="AC451" s="338" t="s">
        <v>6224</v>
      </c>
      <c r="AD451" s="338"/>
      <c r="AF451" s="502" t="str">
        <f>Table15[[#This Row],[code2]]</f>
        <v>PRL</v>
      </c>
      <c r="AG451" s="502" t="str">
        <f>Table15[[#This Row],[code5]]</f>
        <v>PRLBFDS</v>
      </c>
    </row>
    <row r="452" spans="1:33">
      <c r="A452" s="338" t="s">
        <v>6072</v>
      </c>
      <c r="B452" s="338" t="s">
        <v>6073</v>
      </c>
      <c r="C452" s="337">
        <v>1</v>
      </c>
      <c r="D452" s="338" t="s">
        <v>6513</v>
      </c>
      <c r="E452" s="338" t="s">
        <v>6514</v>
      </c>
      <c r="F452" s="337">
        <v>1</v>
      </c>
      <c r="G452" s="337">
        <v>1</v>
      </c>
      <c r="H452" s="338" t="s">
        <v>6515</v>
      </c>
      <c r="I452" s="338" t="s">
        <v>9548</v>
      </c>
      <c r="J452" s="338" t="s">
        <v>9551</v>
      </c>
      <c r="K452" s="338" t="s">
        <v>6516</v>
      </c>
      <c r="L452" s="338" t="s">
        <v>6517</v>
      </c>
      <c r="M452" s="338" t="s">
        <v>6615</v>
      </c>
      <c r="N452" s="338" t="s">
        <v>8312</v>
      </c>
      <c r="O452" s="337">
        <v>0</v>
      </c>
      <c r="P452" s="337">
        <v>0</v>
      </c>
      <c r="Q452" s="338" t="s">
        <v>8312</v>
      </c>
      <c r="R452" s="338" t="s">
        <v>14</v>
      </c>
      <c r="S452" s="338"/>
      <c r="T452" s="338"/>
      <c r="U452" s="338" t="s">
        <v>6622</v>
      </c>
      <c r="V452" s="337">
        <v>0</v>
      </c>
      <c r="W452" s="337">
        <v>0</v>
      </c>
      <c r="X452" s="338"/>
      <c r="Y452" s="338" t="s">
        <v>6081</v>
      </c>
      <c r="Z452" s="338" t="s">
        <v>6606</v>
      </c>
      <c r="AA452" s="338" t="s">
        <v>6079</v>
      </c>
      <c r="AB452" s="338"/>
      <c r="AC452" s="338" t="s">
        <v>6224</v>
      </c>
      <c r="AD452" s="338"/>
      <c r="AF452" s="502" t="str">
        <f>Table15[[#This Row],[code2]]</f>
        <v>PRL</v>
      </c>
      <c r="AG452" s="502" t="str">
        <f>Table15[[#This Row],[code5]]</f>
        <v>PRLBFDS</v>
      </c>
    </row>
    <row r="453" spans="1:33">
      <c r="A453" s="338" t="s">
        <v>6072</v>
      </c>
      <c r="B453" s="338" t="s">
        <v>6073</v>
      </c>
      <c r="C453" s="337">
        <v>1</v>
      </c>
      <c r="D453" s="338" t="s">
        <v>6513</v>
      </c>
      <c r="E453" s="338" t="s">
        <v>6514</v>
      </c>
      <c r="F453" s="337">
        <v>1</v>
      </c>
      <c r="G453" s="337">
        <v>1</v>
      </c>
      <c r="H453" s="338" t="s">
        <v>6515</v>
      </c>
      <c r="I453" s="338" t="s">
        <v>9548</v>
      </c>
      <c r="J453" s="338" t="s">
        <v>9551</v>
      </c>
      <c r="K453" s="338" t="s">
        <v>6516</v>
      </c>
      <c r="L453" s="338" t="s">
        <v>6517</v>
      </c>
      <c r="M453" s="338" t="s">
        <v>6615</v>
      </c>
      <c r="N453" s="338" t="s">
        <v>8312</v>
      </c>
      <c r="O453" s="337">
        <v>0</v>
      </c>
      <c r="P453" s="337">
        <v>0</v>
      </c>
      <c r="Q453" s="338" t="s">
        <v>8312</v>
      </c>
      <c r="R453" s="338" t="s">
        <v>14</v>
      </c>
      <c r="S453" s="338"/>
      <c r="T453" s="338"/>
      <c r="U453" s="338" t="s">
        <v>6623</v>
      </c>
      <c r="V453" s="337">
        <v>0</v>
      </c>
      <c r="W453" s="337">
        <v>0</v>
      </c>
      <c r="X453" s="338"/>
      <c r="Y453" s="338" t="s">
        <v>493</v>
      </c>
      <c r="Z453" s="338" t="s">
        <v>6519</v>
      </c>
      <c r="AA453" s="338" t="s">
        <v>6079</v>
      </c>
      <c r="AB453" s="338"/>
      <c r="AC453" s="338" t="s">
        <v>6224</v>
      </c>
      <c r="AD453" s="338"/>
      <c r="AF453" s="502" t="str">
        <f>Table15[[#This Row],[code2]]</f>
        <v>PRL</v>
      </c>
      <c r="AG453" s="502" t="str">
        <f>Table15[[#This Row],[code5]]</f>
        <v>PRLBFDS</v>
      </c>
    </row>
    <row r="454" spans="1:33">
      <c r="A454" s="338" t="s">
        <v>6072</v>
      </c>
      <c r="B454" s="338" t="s">
        <v>6073</v>
      </c>
      <c r="C454" s="337">
        <v>1</v>
      </c>
      <c r="D454" s="338" t="s">
        <v>6513</v>
      </c>
      <c r="E454" s="338" t="s">
        <v>6514</v>
      </c>
      <c r="F454" s="337">
        <v>1</v>
      </c>
      <c r="G454" s="337">
        <v>1</v>
      </c>
      <c r="H454" s="338" t="s">
        <v>6515</v>
      </c>
      <c r="I454" s="338" t="s">
        <v>9548</v>
      </c>
      <c r="J454" s="338" t="s">
        <v>9551</v>
      </c>
      <c r="K454" s="338" t="s">
        <v>6516</v>
      </c>
      <c r="L454" s="338" t="s">
        <v>6517</v>
      </c>
      <c r="M454" s="338" t="s">
        <v>6615</v>
      </c>
      <c r="N454" s="338" t="s">
        <v>8312</v>
      </c>
      <c r="O454" s="337">
        <v>0</v>
      </c>
      <c r="P454" s="337">
        <v>0</v>
      </c>
      <c r="Q454" s="338" t="s">
        <v>8312</v>
      </c>
      <c r="R454" s="338" t="s">
        <v>14</v>
      </c>
      <c r="S454" s="338"/>
      <c r="T454" s="338"/>
      <c r="U454" s="338" t="s">
        <v>6624</v>
      </c>
      <c r="V454" s="337">
        <v>0</v>
      </c>
      <c r="W454" s="337">
        <v>0</v>
      </c>
      <c r="X454" s="338"/>
      <c r="Y454" s="338" t="s">
        <v>6085</v>
      </c>
      <c r="Z454" s="338" t="s">
        <v>6557</v>
      </c>
      <c r="AA454" s="338" t="s">
        <v>6079</v>
      </c>
      <c r="AB454" s="338"/>
      <c r="AC454" s="338" t="s">
        <v>6224</v>
      </c>
      <c r="AD454" s="338"/>
      <c r="AF454" s="502" t="str">
        <f>Table15[[#This Row],[code2]]</f>
        <v>PRL</v>
      </c>
      <c r="AG454" s="502" t="str">
        <f>Table15[[#This Row],[code5]]</f>
        <v>PRLBFDS</v>
      </c>
    </row>
    <row r="455" spans="1:33">
      <c r="A455" s="338" t="s">
        <v>6072</v>
      </c>
      <c r="B455" s="338" t="s">
        <v>6073</v>
      </c>
      <c r="C455" s="337">
        <v>1</v>
      </c>
      <c r="D455" s="338" t="s">
        <v>6513</v>
      </c>
      <c r="E455" s="338" t="s">
        <v>6514</v>
      </c>
      <c r="F455" s="337">
        <v>1</v>
      </c>
      <c r="G455" s="337">
        <v>1</v>
      </c>
      <c r="H455" s="338" t="s">
        <v>6515</v>
      </c>
      <c r="I455" s="338" t="s">
        <v>9548</v>
      </c>
      <c r="J455" s="338" t="s">
        <v>9551</v>
      </c>
      <c r="K455" s="338" t="s">
        <v>6516</v>
      </c>
      <c r="L455" s="338" t="s">
        <v>6517</v>
      </c>
      <c r="M455" s="338" t="s">
        <v>6615</v>
      </c>
      <c r="N455" s="338" t="s">
        <v>8312</v>
      </c>
      <c r="O455" s="337">
        <v>0</v>
      </c>
      <c r="P455" s="337">
        <v>0</v>
      </c>
      <c r="Q455" s="338" t="s">
        <v>8312</v>
      </c>
      <c r="R455" s="338" t="s">
        <v>14</v>
      </c>
      <c r="S455" s="338"/>
      <c r="T455" s="338"/>
      <c r="U455" s="338" t="s">
        <v>6625</v>
      </c>
      <c r="V455" s="337">
        <v>0</v>
      </c>
      <c r="W455" s="337">
        <v>0</v>
      </c>
      <c r="X455" s="338"/>
      <c r="Y455" s="338" t="s">
        <v>497</v>
      </c>
      <c r="Z455" s="338" t="s">
        <v>6618</v>
      </c>
      <c r="AA455" s="338" t="s">
        <v>6079</v>
      </c>
      <c r="AB455" s="338"/>
      <c r="AC455" s="338" t="s">
        <v>6229</v>
      </c>
      <c r="AD455" s="338"/>
      <c r="AF455" s="502" t="str">
        <f>Table15[[#This Row],[code2]]</f>
        <v>PRL</v>
      </c>
      <c r="AG455" s="502" t="str">
        <f>Table15[[#This Row],[code5]]</f>
        <v>PRLBFDS</v>
      </c>
    </row>
    <row r="456" spans="1:33">
      <c r="A456" s="338" t="s">
        <v>6072</v>
      </c>
      <c r="B456" s="338" t="s">
        <v>6073</v>
      </c>
      <c r="C456" s="337">
        <v>1</v>
      </c>
      <c r="D456" s="338" t="s">
        <v>6513</v>
      </c>
      <c r="E456" s="338" t="s">
        <v>6514</v>
      </c>
      <c r="F456" s="337">
        <v>1</v>
      </c>
      <c r="G456" s="337">
        <v>1</v>
      </c>
      <c r="H456" s="338" t="s">
        <v>6515</v>
      </c>
      <c r="I456" s="338" t="s">
        <v>9548</v>
      </c>
      <c r="J456" s="338" t="s">
        <v>9551</v>
      </c>
      <c r="K456" s="338" t="s">
        <v>6516</v>
      </c>
      <c r="L456" s="338" t="s">
        <v>6517</v>
      </c>
      <c r="M456" s="338" t="s">
        <v>6615</v>
      </c>
      <c r="N456" s="338" t="s">
        <v>8312</v>
      </c>
      <c r="O456" s="337">
        <v>0</v>
      </c>
      <c r="P456" s="337">
        <v>0</v>
      </c>
      <c r="Q456" s="338" t="s">
        <v>8312</v>
      </c>
      <c r="R456" s="338" t="s">
        <v>14</v>
      </c>
      <c r="S456" s="338"/>
      <c r="T456" s="338"/>
      <c r="U456" s="338" t="s">
        <v>6626</v>
      </c>
      <c r="V456" s="337">
        <v>0</v>
      </c>
      <c r="W456" s="337">
        <v>0</v>
      </c>
      <c r="X456" s="338"/>
      <c r="Y456" s="338" t="s">
        <v>6081</v>
      </c>
      <c r="Z456" s="338" t="s">
        <v>6634</v>
      </c>
      <c r="AA456" s="338" t="s">
        <v>6079</v>
      </c>
      <c r="AB456" s="338"/>
      <c r="AC456" s="338" t="s">
        <v>6229</v>
      </c>
      <c r="AD456" s="338"/>
      <c r="AF456" s="502" t="str">
        <f>Table15[[#This Row],[code2]]</f>
        <v>PRL</v>
      </c>
      <c r="AG456" s="502" t="str">
        <f>Table15[[#This Row],[code5]]</f>
        <v>PRLBFDS</v>
      </c>
    </row>
    <row r="457" spans="1:33">
      <c r="A457" s="338" t="s">
        <v>6072</v>
      </c>
      <c r="B457" s="338" t="s">
        <v>6073</v>
      </c>
      <c r="C457" s="337">
        <v>1</v>
      </c>
      <c r="D457" s="338" t="s">
        <v>6513</v>
      </c>
      <c r="E457" s="338" t="s">
        <v>6514</v>
      </c>
      <c r="F457" s="337">
        <v>1</v>
      </c>
      <c r="G457" s="337">
        <v>1</v>
      </c>
      <c r="H457" s="338" t="s">
        <v>6515</v>
      </c>
      <c r="I457" s="338" t="s">
        <v>9548</v>
      </c>
      <c r="J457" s="338" t="s">
        <v>9551</v>
      </c>
      <c r="K457" s="338" t="s">
        <v>6516</v>
      </c>
      <c r="L457" s="338" t="s">
        <v>6517</v>
      </c>
      <c r="M457" s="338" t="s">
        <v>6615</v>
      </c>
      <c r="N457" s="338" t="s">
        <v>8312</v>
      </c>
      <c r="O457" s="337">
        <v>0</v>
      </c>
      <c r="P457" s="337">
        <v>0</v>
      </c>
      <c r="Q457" s="338" t="s">
        <v>8312</v>
      </c>
      <c r="R457" s="338" t="s">
        <v>14</v>
      </c>
      <c r="S457" s="338"/>
      <c r="T457" s="338"/>
      <c r="U457" s="338" t="s">
        <v>6627</v>
      </c>
      <c r="V457" s="337">
        <v>0</v>
      </c>
      <c r="W457" s="337">
        <v>0</v>
      </c>
      <c r="X457" s="338"/>
      <c r="Y457" s="338" t="s">
        <v>493</v>
      </c>
      <c r="Z457" s="338" t="s">
        <v>6555</v>
      </c>
      <c r="AA457" s="338" t="s">
        <v>6079</v>
      </c>
      <c r="AB457" s="338"/>
      <c r="AC457" s="338" t="s">
        <v>6229</v>
      </c>
      <c r="AD457" s="338"/>
      <c r="AF457" s="502" t="str">
        <f>Table15[[#This Row],[code2]]</f>
        <v>PRL</v>
      </c>
      <c r="AG457" s="502" t="str">
        <f>Table15[[#This Row],[code5]]</f>
        <v>PRLBFDS</v>
      </c>
    </row>
    <row r="458" spans="1:33">
      <c r="A458" s="338" t="s">
        <v>6072</v>
      </c>
      <c r="B458" s="338" t="s">
        <v>6073</v>
      </c>
      <c r="C458" s="337">
        <v>1</v>
      </c>
      <c r="D458" s="338" t="s">
        <v>6513</v>
      </c>
      <c r="E458" s="338" t="s">
        <v>6514</v>
      </c>
      <c r="F458" s="337">
        <v>1</v>
      </c>
      <c r="G458" s="337">
        <v>1</v>
      </c>
      <c r="H458" s="338" t="s">
        <v>6515</v>
      </c>
      <c r="I458" s="338" t="s">
        <v>9548</v>
      </c>
      <c r="J458" s="338" t="s">
        <v>9551</v>
      </c>
      <c r="K458" s="338" t="s">
        <v>6516</v>
      </c>
      <c r="L458" s="338" t="s">
        <v>6517</v>
      </c>
      <c r="M458" s="338" t="s">
        <v>6615</v>
      </c>
      <c r="N458" s="338" t="s">
        <v>8312</v>
      </c>
      <c r="O458" s="337">
        <v>0</v>
      </c>
      <c r="P458" s="337">
        <v>0</v>
      </c>
      <c r="Q458" s="338" t="s">
        <v>8312</v>
      </c>
      <c r="R458" s="338" t="s">
        <v>14</v>
      </c>
      <c r="S458" s="338"/>
      <c r="T458" s="338"/>
      <c r="U458" s="338" t="s">
        <v>6628</v>
      </c>
      <c r="V458" s="337">
        <v>0</v>
      </c>
      <c r="W458" s="337">
        <v>0</v>
      </c>
      <c r="X458" s="338"/>
      <c r="Y458" s="338" t="s">
        <v>6085</v>
      </c>
      <c r="Z458" s="338" t="s">
        <v>6086</v>
      </c>
      <c r="AA458" s="338" t="s">
        <v>6079</v>
      </c>
      <c r="AB458" s="338"/>
      <c r="AC458" s="338" t="s">
        <v>6229</v>
      </c>
      <c r="AD458" s="338"/>
      <c r="AF458" s="502" t="str">
        <f>Table15[[#This Row],[code2]]</f>
        <v>PRL</v>
      </c>
      <c r="AG458" s="502" t="str">
        <f>Table15[[#This Row],[code5]]</f>
        <v>PRLBFDS</v>
      </c>
    </row>
    <row r="459" spans="1:33">
      <c r="A459" s="338" t="s">
        <v>6072</v>
      </c>
      <c r="B459" s="338" t="s">
        <v>6073</v>
      </c>
      <c r="C459" s="337">
        <v>1</v>
      </c>
      <c r="D459" s="338" t="s">
        <v>6513</v>
      </c>
      <c r="E459" s="338" t="s">
        <v>6514</v>
      </c>
      <c r="F459" s="337">
        <v>1</v>
      </c>
      <c r="G459" s="337">
        <v>1</v>
      </c>
      <c r="H459" s="338" t="s">
        <v>6515</v>
      </c>
      <c r="I459" s="338" t="s">
        <v>9548</v>
      </c>
      <c r="J459" s="338" t="s">
        <v>9551</v>
      </c>
      <c r="K459" s="338" t="s">
        <v>6516</v>
      </c>
      <c r="L459" s="338" t="s">
        <v>6517</v>
      </c>
      <c r="M459" s="338" t="s">
        <v>6615</v>
      </c>
      <c r="N459" s="338" t="s">
        <v>8312</v>
      </c>
      <c r="O459" s="337">
        <v>0</v>
      </c>
      <c r="P459" s="337">
        <v>0</v>
      </c>
      <c r="Q459" s="338" t="s">
        <v>8312</v>
      </c>
      <c r="R459" s="338" t="s">
        <v>14</v>
      </c>
      <c r="S459" s="338"/>
      <c r="T459" s="338"/>
      <c r="U459" s="338" t="s">
        <v>6630</v>
      </c>
      <c r="V459" s="337">
        <v>0</v>
      </c>
      <c r="W459" s="337">
        <v>0</v>
      </c>
      <c r="X459" s="338"/>
      <c r="Y459" s="338" t="s">
        <v>497</v>
      </c>
      <c r="Z459" s="338" t="s">
        <v>6598</v>
      </c>
      <c r="AA459" s="338" t="s">
        <v>6079</v>
      </c>
      <c r="AB459" s="338"/>
      <c r="AC459" s="338" t="s">
        <v>6234</v>
      </c>
      <c r="AD459" s="338"/>
      <c r="AF459" s="502" t="str">
        <f>Table15[[#This Row],[code2]]</f>
        <v>PRL</v>
      </c>
      <c r="AG459" s="502" t="str">
        <f>Table15[[#This Row],[code5]]</f>
        <v>PRLBFDS</v>
      </c>
    </row>
    <row r="460" spans="1:33">
      <c r="A460" s="338" t="s">
        <v>6072</v>
      </c>
      <c r="B460" s="338" t="s">
        <v>6073</v>
      </c>
      <c r="C460" s="337">
        <v>1</v>
      </c>
      <c r="D460" s="338" t="s">
        <v>6513</v>
      </c>
      <c r="E460" s="338" t="s">
        <v>6514</v>
      </c>
      <c r="F460" s="337">
        <v>1</v>
      </c>
      <c r="G460" s="337">
        <v>1</v>
      </c>
      <c r="H460" s="338" t="s">
        <v>6515</v>
      </c>
      <c r="I460" s="338" t="s">
        <v>9548</v>
      </c>
      <c r="J460" s="338" t="s">
        <v>9551</v>
      </c>
      <c r="K460" s="338" t="s">
        <v>6516</v>
      </c>
      <c r="L460" s="338" t="s">
        <v>6517</v>
      </c>
      <c r="M460" s="338" t="s">
        <v>6615</v>
      </c>
      <c r="N460" s="338" t="s">
        <v>8312</v>
      </c>
      <c r="O460" s="337">
        <v>0</v>
      </c>
      <c r="P460" s="337">
        <v>0</v>
      </c>
      <c r="Q460" s="338" t="s">
        <v>8312</v>
      </c>
      <c r="R460" s="338" t="s">
        <v>14</v>
      </c>
      <c r="S460" s="338"/>
      <c r="T460" s="338"/>
      <c r="U460" s="338" t="s">
        <v>6631</v>
      </c>
      <c r="V460" s="337">
        <v>0</v>
      </c>
      <c r="W460" s="337">
        <v>0</v>
      </c>
      <c r="X460" s="338"/>
      <c r="Y460" s="338" t="s">
        <v>6081</v>
      </c>
      <c r="Z460" s="338" t="s">
        <v>6563</v>
      </c>
      <c r="AA460" s="338" t="s">
        <v>6079</v>
      </c>
      <c r="AB460" s="338"/>
      <c r="AC460" s="338" t="s">
        <v>6234</v>
      </c>
      <c r="AD460" s="338"/>
      <c r="AF460" s="502" t="str">
        <f>Table15[[#This Row],[code2]]</f>
        <v>PRL</v>
      </c>
      <c r="AG460" s="502" t="str">
        <f>Table15[[#This Row],[code5]]</f>
        <v>PRLBFDS</v>
      </c>
    </row>
    <row r="461" spans="1:33">
      <c r="A461" s="338" t="s">
        <v>6072</v>
      </c>
      <c r="B461" s="338" t="s">
        <v>6073</v>
      </c>
      <c r="C461" s="337">
        <v>1</v>
      </c>
      <c r="D461" s="338" t="s">
        <v>6513</v>
      </c>
      <c r="E461" s="338" t="s">
        <v>6514</v>
      </c>
      <c r="F461" s="337">
        <v>1</v>
      </c>
      <c r="G461" s="337">
        <v>1</v>
      </c>
      <c r="H461" s="338" t="s">
        <v>6515</v>
      </c>
      <c r="I461" s="338" t="s">
        <v>9548</v>
      </c>
      <c r="J461" s="338" t="s">
        <v>9551</v>
      </c>
      <c r="K461" s="338" t="s">
        <v>6516</v>
      </c>
      <c r="L461" s="338" t="s">
        <v>6517</v>
      </c>
      <c r="M461" s="338" t="s">
        <v>6615</v>
      </c>
      <c r="N461" s="338" t="s">
        <v>8312</v>
      </c>
      <c r="O461" s="337">
        <v>0</v>
      </c>
      <c r="P461" s="337">
        <v>0</v>
      </c>
      <c r="Q461" s="338" t="s">
        <v>8312</v>
      </c>
      <c r="R461" s="338" t="s">
        <v>14</v>
      </c>
      <c r="S461" s="338"/>
      <c r="T461" s="338"/>
      <c r="U461" s="338" t="s">
        <v>6632</v>
      </c>
      <c r="V461" s="337">
        <v>0</v>
      </c>
      <c r="W461" s="337">
        <v>0</v>
      </c>
      <c r="X461" s="338"/>
      <c r="Y461" s="338" t="s">
        <v>493</v>
      </c>
      <c r="Z461" s="338" t="s">
        <v>6589</v>
      </c>
      <c r="AA461" s="338" t="s">
        <v>6079</v>
      </c>
      <c r="AB461" s="338"/>
      <c r="AC461" s="338" t="s">
        <v>6234</v>
      </c>
      <c r="AD461" s="338"/>
      <c r="AF461" s="502" t="str">
        <f>Table15[[#This Row],[code2]]</f>
        <v>PRL</v>
      </c>
      <c r="AG461" s="502" t="str">
        <f>Table15[[#This Row],[code5]]</f>
        <v>PRLBFDS</v>
      </c>
    </row>
    <row r="462" spans="1:33">
      <c r="A462" s="338" t="s">
        <v>6072</v>
      </c>
      <c r="B462" s="338" t="s">
        <v>6073</v>
      </c>
      <c r="C462" s="337">
        <v>1</v>
      </c>
      <c r="D462" s="338" t="s">
        <v>6513</v>
      </c>
      <c r="E462" s="338" t="s">
        <v>6514</v>
      </c>
      <c r="F462" s="337">
        <v>1</v>
      </c>
      <c r="G462" s="337">
        <v>1</v>
      </c>
      <c r="H462" s="338" t="s">
        <v>6515</v>
      </c>
      <c r="I462" s="338" t="s">
        <v>9548</v>
      </c>
      <c r="J462" s="338" t="s">
        <v>9551</v>
      </c>
      <c r="K462" s="338" t="s">
        <v>6516</v>
      </c>
      <c r="L462" s="338" t="s">
        <v>6517</v>
      </c>
      <c r="M462" s="338" t="s">
        <v>6615</v>
      </c>
      <c r="N462" s="338" t="s">
        <v>8312</v>
      </c>
      <c r="O462" s="337">
        <v>0</v>
      </c>
      <c r="P462" s="337">
        <v>0</v>
      </c>
      <c r="Q462" s="338" t="s">
        <v>8312</v>
      </c>
      <c r="R462" s="338" t="s">
        <v>14</v>
      </c>
      <c r="S462" s="338"/>
      <c r="T462" s="338"/>
      <c r="U462" s="338" t="s">
        <v>6633</v>
      </c>
      <c r="V462" s="337">
        <v>0</v>
      </c>
      <c r="W462" s="337">
        <v>0</v>
      </c>
      <c r="X462" s="338"/>
      <c r="Y462" s="338" t="s">
        <v>6085</v>
      </c>
      <c r="Z462" s="338" t="s">
        <v>6606</v>
      </c>
      <c r="AA462" s="338" t="s">
        <v>6079</v>
      </c>
      <c r="AB462" s="338"/>
      <c r="AC462" s="338" t="s">
        <v>6234</v>
      </c>
      <c r="AD462" s="338"/>
      <c r="AF462" s="502" t="str">
        <f>Table15[[#This Row],[code2]]</f>
        <v>PRL</v>
      </c>
      <c r="AG462" s="502" t="str">
        <f>Table15[[#This Row],[code5]]</f>
        <v>PRLBFDS</v>
      </c>
    </row>
    <row r="463" spans="1:33">
      <c r="A463" s="338" t="s">
        <v>6072</v>
      </c>
      <c r="B463" s="338" t="s">
        <v>6073</v>
      </c>
      <c r="C463" s="337">
        <v>1</v>
      </c>
      <c r="D463" s="338" t="s">
        <v>6513</v>
      </c>
      <c r="E463" s="338" t="s">
        <v>6514</v>
      </c>
      <c r="F463" s="337">
        <v>1</v>
      </c>
      <c r="G463" s="337">
        <v>1</v>
      </c>
      <c r="H463" s="338" t="s">
        <v>6515</v>
      </c>
      <c r="I463" s="338" t="s">
        <v>9548</v>
      </c>
      <c r="J463" s="338" t="s">
        <v>9551</v>
      </c>
      <c r="K463" s="338" t="s">
        <v>6516</v>
      </c>
      <c r="L463" s="338" t="s">
        <v>6517</v>
      </c>
      <c r="M463" s="338" t="s">
        <v>6615</v>
      </c>
      <c r="N463" s="338" t="s">
        <v>8312</v>
      </c>
      <c r="O463" s="337">
        <v>0</v>
      </c>
      <c r="P463" s="337">
        <v>0</v>
      </c>
      <c r="Q463" s="338" t="s">
        <v>8312</v>
      </c>
      <c r="R463" s="338" t="s">
        <v>14</v>
      </c>
      <c r="S463" s="338"/>
      <c r="T463" s="338"/>
      <c r="U463" s="338" t="s">
        <v>6635</v>
      </c>
      <c r="V463" s="337">
        <v>0</v>
      </c>
      <c r="W463" s="337">
        <v>0</v>
      </c>
      <c r="X463" s="338"/>
      <c r="Y463" s="338" t="s">
        <v>497</v>
      </c>
      <c r="Z463" s="338" t="s">
        <v>6521</v>
      </c>
      <c r="AA463" s="338" t="s">
        <v>6079</v>
      </c>
      <c r="AB463" s="338"/>
      <c r="AC463" s="338" t="s">
        <v>6239</v>
      </c>
      <c r="AD463" s="338"/>
      <c r="AF463" s="502" t="str">
        <f>Table15[[#This Row],[code2]]</f>
        <v>PRL</v>
      </c>
      <c r="AG463" s="502" t="str">
        <f>Table15[[#This Row],[code5]]</f>
        <v>PRLBFDS</v>
      </c>
    </row>
    <row r="464" spans="1:33">
      <c r="A464" s="338" t="s">
        <v>6072</v>
      </c>
      <c r="B464" s="338" t="s">
        <v>6073</v>
      </c>
      <c r="C464" s="337">
        <v>1</v>
      </c>
      <c r="D464" s="338" t="s">
        <v>6513</v>
      </c>
      <c r="E464" s="338" t="s">
        <v>6514</v>
      </c>
      <c r="F464" s="337">
        <v>1</v>
      </c>
      <c r="G464" s="337">
        <v>1</v>
      </c>
      <c r="H464" s="338" t="s">
        <v>6515</v>
      </c>
      <c r="I464" s="338" t="s">
        <v>9548</v>
      </c>
      <c r="J464" s="338" t="s">
        <v>9551</v>
      </c>
      <c r="K464" s="338" t="s">
        <v>6516</v>
      </c>
      <c r="L464" s="338" t="s">
        <v>6517</v>
      </c>
      <c r="M464" s="338" t="s">
        <v>6615</v>
      </c>
      <c r="N464" s="338" t="s">
        <v>8312</v>
      </c>
      <c r="O464" s="337">
        <v>0</v>
      </c>
      <c r="P464" s="337">
        <v>0</v>
      </c>
      <c r="Q464" s="338" t="s">
        <v>8312</v>
      </c>
      <c r="R464" s="338" t="s">
        <v>14</v>
      </c>
      <c r="S464" s="338"/>
      <c r="T464" s="338"/>
      <c r="U464" s="338" t="s">
        <v>6636</v>
      </c>
      <c r="V464" s="337">
        <v>0</v>
      </c>
      <c r="W464" s="337">
        <v>0</v>
      </c>
      <c r="X464" s="338"/>
      <c r="Y464" s="338" t="s">
        <v>6081</v>
      </c>
      <c r="Z464" s="338" t="s">
        <v>8013</v>
      </c>
      <c r="AA464" s="338" t="s">
        <v>6079</v>
      </c>
      <c r="AB464" s="338"/>
      <c r="AC464" s="338" t="s">
        <v>6239</v>
      </c>
      <c r="AD464" s="338"/>
      <c r="AF464" s="502" t="str">
        <f>Table15[[#This Row],[code2]]</f>
        <v>PRL</v>
      </c>
      <c r="AG464" s="502" t="str">
        <f>Table15[[#This Row],[code5]]</f>
        <v>PRLBFDS</v>
      </c>
    </row>
    <row r="465" spans="1:33">
      <c r="A465" s="338" t="s">
        <v>6072</v>
      </c>
      <c r="B465" s="338" t="s">
        <v>6073</v>
      </c>
      <c r="C465" s="337">
        <v>1</v>
      </c>
      <c r="D465" s="338" t="s">
        <v>6513</v>
      </c>
      <c r="E465" s="338" t="s">
        <v>6514</v>
      </c>
      <c r="F465" s="337">
        <v>1</v>
      </c>
      <c r="G465" s="337">
        <v>1</v>
      </c>
      <c r="H465" s="338" t="s">
        <v>6515</v>
      </c>
      <c r="I465" s="338" t="s">
        <v>9548</v>
      </c>
      <c r="J465" s="338" t="s">
        <v>9551</v>
      </c>
      <c r="K465" s="338" t="s">
        <v>6516</v>
      </c>
      <c r="L465" s="338" t="s">
        <v>6517</v>
      </c>
      <c r="M465" s="338" t="s">
        <v>6615</v>
      </c>
      <c r="N465" s="338" t="s">
        <v>8312</v>
      </c>
      <c r="O465" s="337">
        <v>0</v>
      </c>
      <c r="P465" s="337">
        <v>0</v>
      </c>
      <c r="Q465" s="338" t="s">
        <v>8312</v>
      </c>
      <c r="R465" s="338" t="s">
        <v>14</v>
      </c>
      <c r="S465" s="338"/>
      <c r="T465" s="338"/>
      <c r="U465" s="338" t="s">
        <v>6637</v>
      </c>
      <c r="V465" s="337">
        <v>0</v>
      </c>
      <c r="W465" s="337">
        <v>0</v>
      </c>
      <c r="X465" s="338"/>
      <c r="Y465" s="338" t="s">
        <v>493</v>
      </c>
      <c r="Z465" s="338" t="s">
        <v>7926</v>
      </c>
      <c r="AA465" s="338" t="s">
        <v>6079</v>
      </c>
      <c r="AB465" s="338"/>
      <c r="AC465" s="338" t="s">
        <v>6239</v>
      </c>
      <c r="AD465" s="338"/>
      <c r="AF465" s="502" t="str">
        <f>Table15[[#This Row],[code2]]</f>
        <v>PRL</v>
      </c>
      <c r="AG465" s="502" t="str">
        <f>Table15[[#This Row],[code5]]</f>
        <v>PRLBFDS</v>
      </c>
    </row>
    <row r="466" spans="1:33">
      <c r="A466" s="338" t="s">
        <v>6072</v>
      </c>
      <c r="B466" s="338" t="s">
        <v>6073</v>
      </c>
      <c r="C466" s="337">
        <v>1</v>
      </c>
      <c r="D466" s="338" t="s">
        <v>6513</v>
      </c>
      <c r="E466" s="338" t="s">
        <v>6514</v>
      </c>
      <c r="F466" s="337">
        <v>1</v>
      </c>
      <c r="G466" s="337">
        <v>1</v>
      </c>
      <c r="H466" s="338" t="s">
        <v>6515</v>
      </c>
      <c r="I466" s="338" t="s">
        <v>9548</v>
      </c>
      <c r="J466" s="338" t="s">
        <v>9551</v>
      </c>
      <c r="K466" s="338" t="s">
        <v>6516</v>
      </c>
      <c r="L466" s="338" t="s">
        <v>6517</v>
      </c>
      <c r="M466" s="338" t="s">
        <v>6615</v>
      </c>
      <c r="N466" s="338" t="s">
        <v>8312</v>
      </c>
      <c r="O466" s="337">
        <v>0</v>
      </c>
      <c r="P466" s="337">
        <v>0</v>
      </c>
      <c r="Q466" s="338" t="s">
        <v>8312</v>
      </c>
      <c r="R466" s="338" t="s">
        <v>14</v>
      </c>
      <c r="S466" s="338"/>
      <c r="T466" s="338"/>
      <c r="U466" s="338" t="s">
        <v>6638</v>
      </c>
      <c r="V466" s="337">
        <v>0</v>
      </c>
      <c r="W466" s="337">
        <v>0</v>
      </c>
      <c r="X466" s="338"/>
      <c r="Y466" s="338" t="s">
        <v>6085</v>
      </c>
      <c r="Z466" s="338" t="s">
        <v>7925</v>
      </c>
      <c r="AA466" s="338" t="s">
        <v>6079</v>
      </c>
      <c r="AB466" s="338"/>
      <c r="AC466" s="338" t="s">
        <v>6239</v>
      </c>
      <c r="AD466" s="338"/>
      <c r="AF466" s="502" t="str">
        <f>Table15[[#This Row],[code2]]</f>
        <v>PRL</v>
      </c>
      <c r="AG466" s="502" t="str">
        <f>Table15[[#This Row],[code5]]</f>
        <v>PRLBFDS</v>
      </c>
    </row>
    <row r="467" spans="1:33">
      <c r="A467" s="338" t="s">
        <v>6072</v>
      </c>
      <c r="B467" s="338" t="s">
        <v>6073</v>
      </c>
      <c r="C467" s="337">
        <v>1</v>
      </c>
      <c r="D467" s="338" t="s">
        <v>6513</v>
      </c>
      <c r="E467" s="338" t="s">
        <v>6514</v>
      </c>
      <c r="F467" s="337">
        <v>1</v>
      </c>
      <c r="G467" s="337">
        <v>1</v>
      </c>
      <c r="H467" s="338" t="s">
        <v>6515</v>
      </c>
      <c r="I467" s="338" t="s">
        <v>9548</v>
      </c>
      <c r="J467" s="338" t="s">
        <v>9551</v>
      </c>
      <c r="K467" s="338" t="s">
        <v>6516</v>
      </c>
      <c r="L467" s="338" t="s">
        <v>6517</v>
      </c>
      <c r="M467" s="338" t="s">
        <v>6615</v>
      </c>
      <c r="N467" s="338" t="s">
        <v>8312</v>
      </c>
      <c r="O467" s="337">
        <v>0</v>
      </c>
      <c r="P467" s="337">
        <v>0</v>
      </c>
      <c r="Q467" s="338" t="s">
        <v>8312</v>
      </c>
      <c r="R467" s="338" t="s">
        <v>14</v>
      </c>
      <c r="S467" s="338"/>
      <c r="T467" s="338"/>
      <c r="U467" s="338" t="s">
        <v>6639</v>
      </c>
      <c r="V467" s="337">
        <v>0</v>
      </c>
      <c r="W467" s="337">
        <v>0</v>
      </c>
      <c r="X467" s="338"/>
      <c r="Y467" s="338" t="s">
        <v>497</v>
      </c>
      <c r="Z467" s="338" t="s">
        <v>6521</v>
      </c>
      <c r="AA467" s="338" t="s">
        <v>6079</v>
      </c>
      <c r="AB467" s="338"/>
      <c r="AC467" s="338" t="s">
        <v>6244</v>
      </c>
      <c r="AD467" s="338"/>
      <c r="AF467" s="502" t="str">
        <f>Table15[[#This Row],[code2]]</f>
        <v>PRL</v>
      </c>
      <c r="AG467" s="502" t="str">
        <f>Table15[[#This Row],[code5]]</f>
        <v>PRLBFDS</v>
      </c>
    </row>
    <row r="468" spans="1:33">
      <c r="A468" s="338" t="s">
        <v>6072</v>
      </c>
      <c r="B468" s="338" t="s">
        <v>6073</v>
      </c>
      <c r="C468" s="337">
        <v>1</v>
      </c>
      <c r="D468" s="338" t="s">
        <v>6513</v>
      </c>
      <c r="E468" s="338" t="s">
        <v>6514</v>
      </c>
      <c r="F468" s="337">
        <v>1</v>
      </c>
      <c r="G468" s="337">
        <v>1</v>
      </c>
      <c r="H468" s="338" t="s">
        <v>6515</v>
      </c>
      <c r="I468" s="338" t="s">
        <v>9548</v>
      </c>
      <c r="J468" s="338" t="s">
        <v>9551</v>
      </c>
      <c r="K468" s="338" t="s">
        <v>6516</v>
      </c>
      <c r="L468" s="338" t="s">
        <v>6517</v>
      </c>
      <c r="M468" s="338" t="s">
        <v>6615</v>
      </c>
      <c r="N468" s="338" t="s">
        <v>8312</v>
      </c>
      <c r="O468" s="337">
        <v>0</v>
      </c>
      <c r="P468" s="337">
        <v>0</v>
      </c>
      <c r="Q468" s="338" t="s">
        <v>8312</v>
      </c>
      <c r="R468" s="338" t="s">
        <v>14</v>
      </c>
      <c r="S468" s="338"/>
      <c r="T468" s="338"/>
      <c r="U468" s="338" t="s">
        <v>6640</v>
      </c>
      <c r="V468" s="337">
        <v>0</v>
      </c>
      <c r="W468" s="337">
        <v>0</v>
      </c>
      <c r="X468" s="338"/>
      <c r="Y468" s="338" t="s">
        <v>6081</v>
      </c>
      <c r="Z468" s="338" t="s">
        <v>8013</v>
      </c>
      <c r="AA468" s="338" t="s">
        <v>6079</v>
      </c>
      <c r="AB468" s="338"/>
      <c r="AC468" s="338" t="s">
        <v>6244</v>
      </c>
      <c r="AD468" s="338"/>
      <c r="AF468" s="502" t="str">
        <f>Table15[[#This Row],[code2]]</f>
        <v>PRL</v>
      </c>
      <c r="AG468" s="502" t="str">
        <f>Table15[[#This Row],[code5]]</f>
        <v>PRLBFDS</v>
      </c>
    </row>
    <row r="469" spans="1:33">
      <c r="A469" s="338" t="s">
        <v>6072</v>
      </c>
      <c r="B469" s="338" t="s">
        <v>6073</v>
      </c>
      <c r="C469" s="337">
        <v>1</v>
      </c>
      <c r="D469" s="338" t="s">
        <v>6513</v>
      </c>
      <c r="E469" s="338" t="s">
        <v>6514</v>
      </c>
      <c r="F469" s="337">
        <v>1</v>
      </c>
      <c r="G469" s="337">
        <v>1</v>
      </c>
      <c r="H469" s="338" t="s">
        <v>6515</v>
      </c>
      <c r="I469" s="338" t="s">
        <v>9548</v>
      </c>
      <c r="J469" s="338" t="s">
        <v>9551</v>
      </c>
      <c r="K469" s="338" t="s">
        <v>6516</v>
      </c>
      <c r="L469" s="338" t="s">
        <v>6517</v>
      </c>
      <c r="M469" s="338" t="s">
        <v>6615</v>
      </c>
      <c r="N469" s="338" t="s">
        <v>8312</v>
      </c>
      <c r="O469" s="337">
        <v>0</v>
      </c>
      <c r="P469" s="337">
        <v>0</v>
      </c>
      <c r="Q469" s="338" t="s">
        <v>8312</v>
      </c>
      <c r="R469" s="338" t="s">
        <v>14</v>
      </c>
      <c r="S469" s="338"/>
      <c r="T469" s="338"/>
      <c r="U469" s="338" t="s">
        <v>6641</v>
      </c>
      <c r="V469" s="337">
        <v>0</v>
      </c>
      <c r="W469" s="337">
        <v>0</v>
      </c>
      <c r="X469" s="338"/>
      <c r="Y469" s="338" t="s">
        <v>493</v>
      </c>
      <c r="Z469" s="338" t="s">
        <v>7926</v>
      </c>
      <c r="AA469" s="338" t="s">
        <v>6079</v>
      </c>
      <c r="AB469" s="338"/>
      <c r="AC469" s="338" t="s">
        <v>6244</v>
      </c>
      <c r="AD469" s="338"/>
      <c r="AF469" s="502" t="str">
        <f>Table15[[#This Row],[code2]]</f>
        <v>PRL</v>
      </c>
      <c r="AG469" s="502" t="str">
        <f>Table15[[#This Row],[code5]]</f>
        <v>PRLBFDS</v>
      </c>
    </row>
    <row r="470" spans="1:33">
      <c r="A470" s="338" t="s">
        <v>6072</v>
      </c>
      <c r="B470" s="338" t="s">
        <v>6073</v>
      </c>
      <c r="C470" s="337">
        <v>1</v>
      </c>
      <c r="D470" s="338" t="s">
        <v>6513</v>
      </c>
      <c r="E470" s="338" t="s">
        <v>6514</v>
      </c>
      <c r="F470" s="337">
        <v>1</v>
      </c>
      <c r="G470" s="337">
        <v>1</v>
      </c>
      <c r="H470" s="338" t="s">
        <v>6515</v>
      </c>
      <c r="I470" s="338" t="s">
        <v>9548</v>
      </c>
      <c r="J470" s="338" t="s">
        <v>9551</v>
      </c>
      <c r="K470" s="338" t="s">
        <v>6516</v>
      </c>
      <c r="L470" s="338" t="s">
        <v>6517</v>
      </c>
      <c r="M470" s="338" t="s">
        <v>6615</v>
      </c>
      <c r="N470" s="338" t="s">
        <v>8312</v>
      </c>
      <c r="O470" s="337">
        <v>0</v>
      </c>
      <c r="P470" s="337">
        <v>0</v>
      </c>
      <c r="Q470" s="338" t="s">
        <v>8312</v>
      </c>
      <c r="R470" s="338" t="s">
        <v>14</v>
      </c>
      <c r="S470" s="338"/>
      <c r="T470" s="338"/>
      <c r="U470" s="338" t="s">
        <v>6642</v>
      </c>
      <c r="V470" s="337">
        <v>0</v>
      </c>
      <c r="W470" s="337">
        <v>0</v>
      </c>
      <c r="X470" s="338"/>
      <c r="Y470" s="338" t="s">
        <v>6085</v>
      </c>
      <c r="Z470" s="338" t="s">
        <v>7925</v>
      </c>
      <c r="AA470" s="338" t="s">
        <v>6079</v>
      </c>
      <c r="AB470" s="338"/>
      <c r="AC470" s="338" t="s">
        <v>6244</v>
      </c>
      <c r="AD470" s="338"/>
      <c r="AF470" s="502" t="str">
        <f>Table15[[#This Row],[code2]]</f>
        <v>PRL</v>
      </c>
      <c r="AG470" s="502" t="str">
        <f>Table15[[#This Row],[code5]]</f>
        <v>PRLBFDS</v>
      </c>
    </row>
    <row r="471" spans="1:33">
      <c r="A471" s="338" t="s">
        <v>6072</v>
      </c>
      <c r="B471" s="338" t="s">
        <v>6073</v>
      </c>
      <c r="C471" s="337">
        <v>1</v>
      </c>
      <c r="D471" s="338" t="s">
        <v>6513</v>
      </c>
      <c r="E471" s="338" t="s">
        <v>6514</v>
      </c>
      <c r="F471" s="337">
        <v>1</v>
      </c>
      <c r="G471" s="337">
        <v>1</v>
      </c>
      <c r="H471" s="338" t="s">
        <v>6515</v>
      </c>
      <c r="I471" s="338" t="s">
        <v>9548</v>
      </c>
      <c r="J471" s="338" t="s">
        <v>9551</v>
      </c>
      <c r="K471" s="338" t="s">
        <v>6516</v>
      </c>
      <c r="L471" s="338" t="s">
        <v>6517</v>
      </c>
      <c r="M471" s="338" t="s">
        <v>6615</v>
      </c>
      <c r="N471" s="338" t="s">
        <v>8312</v>
      </c>
      <c r="O471" s="337">
        <v>0</v>
      </c>
      <c r="P471" s="337">
        <v>0</v>
      </c>
      <c r="Q471" s="338" t="s">
        <v>8312</v>
      </c>
      <c r="R471" s="338" t="s">
        <v>14</v>
      </c>
      <c r="S471" s="338"/>
      <c r="T471" s="338"/>
      <c r="U471" s="338" t="s">
        <v>6643</v>
      </c>
      <c r="V471" s="337">
        <v>0</v>
      </c>
      <c r="W471" s="337">
        <v>0</v>
      </c>
      <c r="X471" s="338"/>
      <c r="Y471" s="338" t="s">
        <v>497</v>
      </c>
      <c r="Z471" s="338" t="s">
        <v>8006</v>
      </c>
      <c r="AA471" s="338" t="s">
        <v>6079</v>
      </c>
      <c r="AB471" s="338"/>
      <c r="AC471" s="338" t="s">
        <v>6249</v>
      </c>
      <c r="AD471" s="338"/>
      <c r="AF471" s="502" t="str">
        <f>Table15[[#This Row],[code2]]</f>
        <v>PRL</v>
      </c>
      <c r="AG471" s="502" t="str">
        <f>Table15[[#This Row],[code5]]</f>
        <v>PRLBFDS</v>
      </c>
    </row>
    <row r="472" spans="1:33">
      <c r="A472" s="338" t="s">
        <v>6072</v>
      </c>
      <c r="B472" s="338" t="s">
        <v>6073</v>
      </c>
      <c r="C472" s="337">
        <v>1</v>
      </c>
      <c r="D472" s="338" t="s">
        <v>6513</v>
      </c>
      <c r="E472" s="338" t="s">
        <v>6514</v>
      </c>
      <c r="F472" s="337">
        <v>1</v>
      </c>
      <c r="G472" s="337">
        <v>1</v>
      </c>
      <c r="H472" s="338" t="s">
        <v>6515</v>
      </c>
      <c r="I472" s="338" t="s">
        <v>9548</v>
      </c>
      <c r="J472" s="338" t="s">
        <v>9551</v>
      </c>
      <c r="K472" s="338" t="s">
        <v>6516</v>
      </c>
      <c r="L472" s="338" t="s">
        <v>6517</v>
      </c>
      <c r="M472" s="338" t="s">
        <v>6615</v>
      </c>
      <c r="N472" s="338" t="s">
        <v>8312</v>
      </c>
      <c r="O472" s="337">
        <v>0</v>
      </c>
      <c r="P472" s="337">
        <v>0</v>
      </c>
      <c r="Q472" s="338" t="s">
        <v>8312</v>
      </c>
      <c r="R472" s="338" t="s">
        <v>14</v>
      </c>
      <c r="S472" s="338"/>
      <c r="T472" s="338"/>
      <c r="U472" s="338" t="s">
        <v>6644</v>
      </c>
      <c r="V472" s="337">
        <v>0</v>
      </c>
      <c r="W472" s="337">
        <v>0</v>
      </c>
      <c r="X472" s="338"/>
      <c r="Y472" s="338" t="s">
        <v>6081</v>
      </c>
      <c r="Z472" s="338" t="s">
        <v>6498</v>
      </c>
      <c r="AA472" s="338" t="s">
        <v>6079</v>
      </c>
      <c r="AB472" s="338"/>
      <c r="AC472" s="338" t="s">
        <v>6249</v>
      </c>
      <c r="AD472" s="338"/>
      <c r="AF472" s="502" t="str">
        <f>Table15[[#This Row],[code2]]</f>
        <v>PRL</v>
      </c>
      <c r="AG472" s="502" t="str">
        <f>Table15[[#This Row],[code5]]</f>
        <v>PRLBFDS</v>
      </c>
    </row>
    <row r="473" spans="1:33">
      <c r="A473" s="338" t="s">
        <v>6072</v>
      </c>
      <c r="B473" s="338" t="s">
        <v>6073</v>
      </c>
      <c r="C473" s="337">
        <v>1</v>
      </c>
      <c r="D473" s="338" t="s">
        <v>6513</v>
      </c>
      <c r="E473" s="338" t="s">
        <v>6514</v>
      </c>
      <c r="F473" s="337">
        <v>1</v>
      </c>
      <c r="G473" s="337">
        <v>1</v>
      </c>
      <c r="H473" s="338" t="s">
        <v>6515</v>
      </c>
      <c r="I473" s="338" t="s">
        <v>9548</v>
      </c>
      <c r="J473" s="338" t="s">
        <v>9551</v>
      </c>
      <c r="K473" s="338" t="s">
        <v>6516</v>
      </c>
      <c r="L473" s="338" t="s">
        <v>6517</v>
      </c>
      <c r="M473" s="338" t="s">
        <v>6615</v>
      </c>
      <c r="N473" s="338" t="s">
        <v>8312</v>
      </c>
      <c r="O473" s="337">
        <v>0</v>
      </c>
      <c r="P473" s="337">
        <v>0</v>
      </c>
      <c r="Q473" s="338" t="s">
        <v>8312</v>
      </c>
      <c r="R473" s="338" t="s">
        <v>14</v>
      </c>
      <c r="S473" s="338"/>
      <c r="T473" s="338"/>
      <c r="U473" s="338" t="s">
        <v>6645</v>
      </c>
      <c r="V473" s="337">
        <v>0</v>
      </c>
      <c r="W473" s="337">
        <v>0</v>
      </c>
      <c r="X473" s="338"/>
      <c r="Y473" s="338" t="s">
        <v>493</v>
      </c>
      <c r="Z473" s="338" t="s">
        <v>8021</v>
      </c>
      <c r="AA473" s="338" t="s">
        <v>6079</v>
      </c>
      <c r="AB473" s="338"/>
      <c r="AC473" s="338" t="s">
        <v>6249</v>
      </c>
      <c r="AD473" s="338"/>
      <c r="AF473" s="502" t="str">
        <f>Table15[[#This Row],[code2]]</f>
        <v>PRL</v>
      </c>
      <c r="AG473" s="502" t="str">
        <f>Table15[[#This Row],[code5]]</f>
        <v>PRLBFDS</v>
      </c>
    </row>
    <row r="474" spans="1:33">
      <c r="A474" s="338" t="s">
        <v>6072</v>
      </c>
      <c r="B474" s="338" t="s">
        <v>6073</v>
      </c>
      <c r="C474" s="337">
        <v>1</v>
      </c>
      <c r="D474" s="338" t="s">
        <v>6513</v>
      </c>
      <c r="E474" s="338" t="s">
        <v>6514</v>
      </c>
      <c r="F474" s="337">
        <v>1</v>
      </c>
      <c r="G474" s="337">
        <v>1</v>
      </c>
      <c r="H474" s="338" t="s">
        <v>6515</v>
      </c>
      <c r="I474" s="338" t="s">
        <v>9548</v>
      </c>
      <c r="J474" s="338" t="s">
        <v>9551</v>
      </c>
      <c r="K474" s="338" t="s">
        <v>6516</v>
      </c>
      <c r="L474" s="338" t="s">
        <v>6517</v>
      </c>
      <c r="M474" s="338" t="s">
        <v>6615</v>
      </c>
      <c r="N474" s="338" t="s">
        <v>8312</v>
      </c>
      <c r="O474" s="337">
        <v>0</v>
      </c>
      <c r="P474" s="337">
        <v>0</v>
      </c>
      <c r="Q474" s="338" t="s">
        <v>8312</v>
      </c>
      <c r="R474" s="338" t="s">
        <v>14</v>
      </c>
      <c r="S474" s="338"/>
      <c r="T474" s="338"/>
      <c r="U474" s="338" t="s">
        <v>6646</v>
      </c>
      <c r="V474" s="337">
        <v>0</v>
      </c>
      <c r="W474" s="337">
        <v>0</v>
      </c>
      <c r="X474" s="338"/>
      <c r="Y474" s="338" t="s">
        <v>6085</v>
      </c>
      <c r="Z474" s="338" t="s">
        <v>8288</v>
      </c>
      <c r="AA474" s="338" t="s">
        <v>6079</v>
      </c>
      <c r="AB474" s="338"/>
      <c r="AC474" s="338" t="s">
        <v>6249</v>
      </c>
      <c r="AD474" s="338"/>
      <c r="AF474" s="502" t="str">
        <f>Table15[[#This Row],[code2]]</f>
        <v>PRL</v>
      </c>
      <c r="AG474" s="502" t="str">
        <f>Table15[[#This Row],[code5]]</f>
        <v>PRLBFDS</v>
      </c>
    </row>
    <row r="475" spans="1:33">
      <c r="A475" s="338" t="s">
        <v>6072</v>
      </c>
      <c r="B475" s="338" t="s">
        <v>6073</v>
      </c>
      <c r="C475" s="337">
        <v>1</v>
      </c>
      <c r="D475" s="338" t="s">
        <v>6513</v>
      </c>
      <c r="E475" s="338" t="s">
        <v>6514</v>
      </c>
      <c r="F475" s="337">
        <v>1</v>
      </c>
      <c r="G475" s="337">
        <v>1</v>
      </c>
      <c r="H475" s="338" t="s">
        <v>6515</v>
      </c>
      <c r="I475" s="338" t="s">
        <v>9548</v>
      </c>
      <c r="J475" s="338" t="s">
        <v>9551</v>
      </c>
      <c r="K475" s="338" t="s">
        <v>6516</v>
      </c>
      <c r="L475" s="338" t="s">
        <v>6517</v>
      </c>
      <c r="M475" s="338" t="s">
        <v>6615</v>
      </c>
      <c r="N475" s="338" t="s">
        <v>8312</v>
      </c>
      <c r="O475" s="337">
        <v>0</v>
      </c>
      <c r="P475" s="337">
        <v>0</v>
      </c>
      <c r="Q475" s="338" t="s">
        <v>8312</v>
      </c>
      <c r="R475" s="338" t="s">
        <v>14</v>
      </c>
      <c r="S475" s="338"/>
      <c r="T475" s="338"/>
      <c r="U475" s="338" t="s">
        <v>6647</v>
      </c>
      <c r="V475" s="337">
        <v>0</v>
      </c>
      <c r="W475" s="337">
        <v>0</v>
      </c>
      <c r="X475" s="338"/>
      <c r="Y475" s="338" t="s">
        <v>497</v>
      </c>
      <c r="Z475" s="338" t="s">
        <v>8006</v>
      </c>
      <c r="AA475" s="338" t="s">
        <v>6079</v>
      </c>
      <c r="AB475" s="338"/>
      <c r="AC475" s="338" t="s">
        <v>6254</v>
      </c>
      <c r="AD475" s="338"/>
      <c r="AF475" s="502" t="str">
        <f>Table15[[#This Row],[code2]]</f>
        <v>PRL</v>
      </c>
      <c r="AG475" s="502" t="str">
        <f>Table15[[#This Row],[code5]]</f>
        <v>PRLBFDS</v>
      </c>
    </row>
    <row r="476" spans="1:33">
      <c r="A476" s="338" t="s">
        <v>6072</v>
      </c>
      <c r="B476" s="338" t="s">
        <v>6073</v>
      </c>
      <c r="C476" s="337">
        <v>1</v>
      </c>
      <c r="D476" s="338" t="s">
        <v>6513</v>
      </c>
      <c r="E476" s="338" t="s">
        <v>6514</v>
      </c>
      <c r="F476" s="337">
        <v>1</v>
      </c>
      <c r="G476" s="337">
        <v>1</v>
      </c>
      <c r="H476" s="338" t="s">
        <v>6515</v>
      </c>
      <c r="I476" s="338" t="s">
        <v>9548</v>
      </c>
      <c r="J476" s="338" t="s">
        <v>9551</v>
      </c>
      <c r="K476" s="338" t="s">
        <v>6516</v>
      </c>
      <c r="L476" s="338" t="s">
        <v>6517</v>
      </c>
      <c r="M476" s="338" t="s">
        <v>6615</v>
      </c>
      <c r="N476" s="338" t="s">
        <v>8312</v>
      </c>
      <c r="O476" s="337">
        <v>0</v>
      </c>
      <c r="P476" s="337">
        <v>0</v>
      </c>
      <c r="Q476" s="338" t="s">
        <v>8312</v>
      </c>
      <c r="R476" s="338" t="s">
        <v>14</v>
      </c>
      <c r="S476" s="338"/>
      <c r="T476" s="338"/>
      <c r="U476" s="338" t="s">
        <v>6648</v>
      </c>
      <c r="V476" s="337">
        <v>0</v>
      </c>
      <c r="W476" s="337">
        <v>0</v>
      </c>
      <c r="X476" s="338"/>
      <c r="Y476" s="338" t="s">
        <v>6081</v>
      </c>
      <c r="Z476" s="338" t="s">
        <v>6498</v>
      </c>
      <c r="AA476" s="338" t="s">
        <v>6079</v>
      </c>
      <c r="AB476" s="338"/>
      <c r="AC476" s="338" t="s">
        <v>6254</v>
      </c>
      <c r="AD476" s="338"/>
      <c r="AF476" s="502" t="str">
        <f>Table15[[#This Row],[code2]]</f>
        <v>PRL</v>
      </c>
      <c r="AG476" s="502" t="str">
        <f>Table15[[#This Row],[code5]]</f>
        <v>PRLBFDS</v>
      </c>
    </row>
    <row r="477" spans="1:33">
      <c r="A477" s="338" t="s">
        <v>6072</v>
      </c>
      <c r="B477" s="338" t="s">
        <v>6073</v>
      </c>
      <c r="C477" s="337">
        <v>1</v>
      </c>
      <c r="D477" s="338" t="s">
        <v>6513</v>
      </c>
      <c r="E477" s="338" t="s">
        <v>6514</v>
      </c>
      <c r="F477" s="337">
        <v>1</v>
      </c>
      <c r="G477" s="337">
        <v>1</v>
      </c>
      <c r="H477" s="338" t="s">
        <v>6515</v>
      </c>
      <c r="I477" s="338" t="s">
        <v>9548</v>
      </c>
      <c r="J477" s="338" t="s">
        <v>9551</v>
      </c>
      <c r="K477" s="338" t="s">
        <v>6516</v>
      </c>
      <c r="L477" s="338" t="s">
        <v>6517</v>
      </c>
      <c r="M477" s="338" t="s">
        <v>6615</v>
      </c>
      <c r="N477" s="338" t="s">
        <v>8312</v>
      </c>
      <c r="O477" s="337">
        <v>0</v>
      </c>
      <c r="P477" s="337">
        <v>0</v>
      </c>
      <c r="Q477" s="338" t="s">
        <v>8312</v>
      </c>
      <c r="R477" s="338" t="s">
        <v>14</v>
      </c>
      <c r="S477" s="338"/>
      <c r="T477" s="338"/>
      <c r="U477" s="338" t="s">
        <v>6649</v>
      </c>
      <c r="V477" s="337">
        <v>0</v>
      </c>
      <c r="W477" s="337">
        <v>0</v>
      </c>
      <c r="X477" s="338"/>
      <c r="Y477" s="338" t="s">
        <v>493</v>
      </c>
      <c r="Z477" s="338" t="s">
        <v>8021</v>
      </c>
      <c r="AA477" s="338" t="s">
        <v>6079</v>
      </c>
      <c r="AB477" s="338"/>
      <c r="AC477" s="338" t="s">
        <v>6254</v>
      </c>
      <c r="AD477" s="338"/>
      <c r="AF477" s="502" t="str">
        <f>Table15[[#This Row],[code2]]</f>
        <v>PRL</v>
      </c>
      <c r="AG477" s="502" t="str">
        <f>Table15[[#This Row],[code5]]</f>
        <v>PRLBFDS</v>
      </c>
    </row>
    <row r="478" spans="1:33">
      <c r="A478" s="338" t="s">
        <v>6072</v>
      </c>
      <c r="B478" s="338" t="s">
        <v>6073</v>
      </c>
      <c r="C478" s="337">
        <v>1</v>
      </c>
      <c r="D478" s="338" t="s">
        <v>6513</v>
      </c>
      <c r="E478" s="338" t="s">
        <v>6514</v>
      </c>
      <c r="F478" s="337">
        <v>1</v>
      </c>
      <c r="G478" s="337">
        <v>1</v>
      </c>
      <c r="H478" s="338" t="s">
        <v>6515</v>
      </c>
      <c r="I478" s="338" t="s">
        <v>9548</v>
      </c>
      <c r="J478" s="338" t="s">
        <v>9551</v>
      </c>
      <c r="K478" s="338" t="s">
        <v>6516</v>
      </c>
      <c r="L478" s="338" t="s">
        <v>6517</v>
      </c>
      <c r="M478" s="338" t="s">
        <v>6615</v>
      </c>
      <c r="N478" s="338" t="s">
        <v>8312</v>
      </c>
      <c r="O478" s="337">
        <v>0</v>
      </c>
      <c r="P478" s="337">
        <v>0</v>
      </c>
      <c r="Q478" s="338" t="s">
        <v>8312</v>
      </c>
      <c r="R478" s="338" t="s">
        <v>14</v>
      </c>
      <c r="S478" s="338"/>
      <c r="T478" s="338"/>
      <c r="U478" s="338" t="s">
        <v>6650</v>
      </c>
      <c r="V478" s="337">
        <v>0</v>
      </c>
      <c r="W478" s="337">
        <v>0</v>
      </c>
      <c r="X478" s="338"/>
      <c r="Y478" s="338" t="s">
        <v>6085</v>
      </c>
      <c r="Z478" s="338" t="s">
        <v>8288</v>
      </c>
      <c r="AA478" s="338" t="s">
        <v>6079</v>
      </c>
      <c r="AB478" s="338"/>
      <c r="AC478" s="338" t="s">
        <v>6254</v>
      </c>
      <c r="AD478" s="338"/>
      <c r="AF478" s="502" t="str">
        <f>Table15[[#This Row],[code2]]</f>
        <v>PRL</v>
      </c>
      <c r="AG478" s="502" t="str">
        <f>Table15[[#This Row],[code5]]</f>
        <v>PRLBFDS</v>
      </c>
    </row>
    <row r="479" spans="1:33">
      <c r="A479" s="338" t="s">
        <v>6072</v>
      </c>
      <c r="B479" s="338" t="s">
        <v>6073</v>
      </c>
      <c r="C479" s="337">
        <v>1</v>
      </c>
      <c r="D479" s="338" t="s">
        <v>6513</v>
      </c>
      <c r="E479" s="338" t="s">
        <v>6514</v>
      </c>
      <c r="F479" s="337">
        <v>1</v>
      </c>
      <c r="G479" s="337">
        <v>1</v>
      </c>
      <c r="H479" s="338" t="s">
        <v>6515</v>
      </c>
      <c r="I479" s="338" t="s">
        <v>9548</v>
      </c>
      <c r="J479" s="338" t="s">
        <v>9551</v>
      </c>
      <c r="K479" s="338" t="s">
        <v>6516</v>
      </c>
      <c r="L479" s="338" t="s">
        <v>6517</v>
      </c>
      <c r="M479" s="338" t="s">
        <v>6615</v>
      </c>
      <c r="N479" s="338" t="s">
        <v>8312</v>
      </c>
      <c r="O479" s="337">
        <v>0</v>
      </c>
      <c r="P479" s="337">
        <v>0</v>
      </c>
      <c r="Q479" s="338" t="s">
        <v>8312</v>
      </c>
      <c r="R479" s="338" t="s">
        <v>14</v>
      </c>
      <c r="S479" s="338"/>
      <c r="T479" s="338"/>
      <c r="U479" s="338" t="s">
        <v>6651</v>
      </c>
      <c r="V479" s="337">
        <v>0</v>
      </c>
      <c r="W479" s="337">
        <v>0</v>
      </c>
      <c r="X479" s="338"/>
      <c r="Y479" s="338" t="s">
        <v>497</v>
      </c>
      <c r="Z479" s="338" t="s">
        <v>8012</v>
      </c>
      <c r="AA479" s="338" t="s">
        <v>6079</v>
      </c>
      <c r="AB479" s="338"/>
      <c r="AC479" s="338" t="s">
        <v>6259</v>
      </c>
      <c r="AD479" s="338"/>
      <c r="AF479" s="502" t="str">
        <f>Table15[[#This Row],[code2]]</f>
        <v>PRL</v>
      </c>
      <c r="AG479" s="502" t="str">
        <f>Table15[[#This Row],[code5]]</f>
        <v>PRLBFDS</v>
      </c>
    </row>
    <row r="480" spans="1:33">
      <c r="A480" s="338" t="s">
        <v>6072</v>
      </c>
      <c r="B480" s="338" t="s">
        <v>6073</v>
      </c>
      <c r="C480" s="337">
        <v>1</v>
      </c>
      <c r="D480" s="338" t="s">
        <v>6513</v>
      </c>
      <c r="E480" s="338" t="s">
        <v>6514</v>
      </c>
      <c r="F480" s="337">
        <v>1</v>
      </c>
      <c r="G480" s="337">
        <v>1</v>
      </c>
      <c r="H480" s="338" t="s">
        <v>6515</v>
      </c>
      <c r="I480" s="338" t="s">
        <v>9548</v>
      </c>
      <c r="J480" s="338" t="s">
        <v>9551</v>
      </c>
      <c r="K480" s="338" t="s">
        <v>6516</v>
      </c>
      <c r="L480" s="338" t="s">
        <v>6517</v>
      </c>
      <c r="M480" s="338" t="s">
        <v>6615</v>
      </c>
      <c r="N480" s="338" t="s">
        <v>8312</v>
      </c>
      <c r="O480" s="337">
        <v>0</v>
      </c>
      <c r="P480" s="337">
        <v>0</v>
      </c>
      <c r="Q480" s="338" t="s">
        <v>8312</v>
      </c>
      <c r="R480" s="338" t="s">
        <v>14</v>
      </c>
      <c r="S480" s="338"/>
      <c r="T480" s="338"/>
      <c r="U480" s="338" t="s">
        <v>6652</v>
      </c>
      <c r="V480" s="337">
        <v>0</v>
      </c>
      <c r="W480" s="337">
        <v>0</v>
      </c>
      <c r="X480" s="338"/>
      <c r="Y480" s="338" t="s">
        <v>6081</v>
      </c>
      <c r="Z480" s="338" t="s">
        <v>8287</v>
      </c>
      <c r="AA480" s="338" t="s">
        <v>6079</v>
      </c>
      <c r="AB480" s="338"/>
      <c r="AC480" s="338" t="s">
        <v>6259</v>
      </c>
      <c r="AD480" s="338"/>
      <c r="AF480" s="502" t="str">
        <f>Table15[[#This Row],[code2]]</f>
        <v>PRL</v>
      </c>
      <c r="AG480" s="502" t="str">
        <f>Table15[[#This Row],[code5]]</f>
        <v>PRLBFDS</v>
      </c>
    </row>
    <row r="481" spans="1:33">
      <c r="A481" s="338" t="s">
        <v>6072</v>
      </c>
      <c r="B481" s="338" t="s">
        <v>6073</v>
      </c>
      <c r="C481" s="337">
        <v>1</v>
      </c>
      <c r="D481" s="338" t="s">
        <v>6513</v>
      </c>
      <c r="E481" s="338" t="s">
        <v>6514</v>
      </c>
      <c r="F481" s="337">
        <v>1</v>
      </c>
      <c r="G481" s="337">
        <v>1</v>
      </c>
      <c r="H481" s="338" t="s">
        <v>6515</v>
      </c>
      <c r="I481" s="338" t="s">
        <v>9548</v>
      </c>
      <c r="J481" s="338" t="s">
        <v>9551</v>
      </c>
      <c r="K481" s="338" t="s">
        <v>6516</v>
      </c>
      <c r="L481" s="338" t="s">
        <v>6517</v>
      </c>
      <c r="M481" s="338" t="s">
        <v>6615</v>
      </c>
      <c r="N481" s="338" t="s">
        <v>8312</v>
      </c>
      <c r="O481" s="337">
        <v>0</v>
      </c>
      <c r="P481" s="337">
        <v>0</v>
      </c>
      <c r="Q481" s="338" t="s">
        <v>8312</v>
      </c>
      <c r="R481" s="338" t="s">
        <v>14</v>
      </c>
      <c r="S481" s="338"/>
      <c r="T481" s="338"/>
      <c r="U481" s="338" t="s">
        <v>6653</v>
      </c>
      <c r="V481" s="337">
        <v>0</v>
      </c>
      <c r="W481" s="337">
        <v>0</v>
      </c>
      <c r="X481" s="338"/>
      <c r="Y481" s="338" t="s">
        <v>493</v>
      </c>
      <c r="Z481" s="338" t="s">
        <v>8014</v>
      </c>
      <c r="AA481" s="338" t="s">
        <v>6079</v>
      </c>
      <c r="AB481" s="338"/>
      <c r="AC481" s="338" t="s">
        <v>6259</v>
      </c>
      <c r="AD481" s="338"/>
      <c r="AF481" s="502" t="str">
        <f>Table15[[#This Row],[code2]]</f>
        <v>PRL</v>
      </c>
      <c r="AG481" s="502" t="str">
        <f>Table15[[#This Row],[code5]]</f>
        <v>PRLBFDS</v>
      </c>
    </row>
    <row r="482" spans="1:33">
      <c r="A482" s="338" t="s">
        <v>6072</v>
      </c>
      <c r="B482" s="338" t="s">
        <v>6073</v>
      </c>
      <c r="C482" s="337">
        <v>1</v>
      </c>
      <c r="D482" s="338" t="s">
        <v>6513</v>
      </c>
      <c r="E482" s="338" t="s">
        <v>6514</v>
      </c>
      <c r="F482" s="337">
        <v>1</v>
      </c>
      <c r="G482" s="337">
        <v>1</v>
      </c>
      <c r="H482" s="338" t="s">
        <v>6515</v>
      </c>
      <c r="I482" s="338" t="s">
        <v>9548</v>
      </c>
      <c r="J482" s="338" t="s">
        <v>9551</v>
      </c>
      <c r="K482" s="338" t="s">
        <v>6516</v>
      </c>
      <c r="L482" s="338" t="s">
        <v>6517</v>
      </c>
      <c r="M482" s="338" t="s">
        <v>6615</v>
      </c>
      <c r="N482" s="338" t="s">
        <v>8312</v>
      </c>
      <c r="O482" s="337">
        <v>0</v>
      </c>
      <c r="P482" s="337">
        <v>0</v>
      </c>
      <c r="Q482" s="338" t="s">
        <v>8312</v>
      </c>
      <c r="R482" s="338" t="s">
        <v>14</v>
      </c>
      <c r="S482" s="338"/>
      <c r="T482" s="338"/>
      <c r="U482" s="338" t="s">
        <v>6654</v>
      </c>
      <c r="V482" s="337">
        <v>0</v>
      </c>
      <c r="W482" s="337">
        <v>0</v>
      </c>
      <c r="X482" s="338"/>
      <c r="Y482" s="338" t="s">
        <v>6085</v>
      </c>
      <c r="Z482" s="338" t="s">
        <v>8127</v>
      </c>
      <c r="AA482" s="338" t="s">
        <v>6079</v>
      </c>
      <c r="AB482" s="338"/>
      <c r="AC482" s="338" t="s">
        <v>6259</v>
      </c>
      <c r="AD482" s="338"/>
      <c r="AF482" s="502" t="str">
        <f>Table15[[#This Row],[code2]]</f>
        <v>PRL</v>
      </c>
      <c r="AG482" s="502" t="str">
        <f>Table15[[#This Row],[code5]]</f>
        <v>PRLBFDS</v>
      </c>
    </row>
    <row r="483" spans="1:33">
      <c r="A483" s="338" t="s">
        <v>6072</v>
      </c>
      <c r="B483" s="338" t="s">
        <v>6073</v>
      </c>
      <c r="C483" s="337">
        <v>1</v>
      </c>
      <c r="D483" s="338" t="s">
        <v>6513</v>
      </c>
      <c r="E483" s="338" t="s">
        <v>6514</v>
      </c>
      <c r="F483" s="337">
        <v>1</v>
      </c>
      <c r="G483" s="337">
        <v>1</v>
      </c>
      <c r="H483" s="338" t="s">
        <v>6515</v>
      </c>
      <c r="I483" s="338" t="s">
        <v>9548</v>
      </c>
      <c r="J483" s="338" t="s">
        <v>9551</v>
      </c>
      <c r="K483" s="338" t="s">
        <v>6516</v>
      </c>
      <c r="L483" s="338" t="s">
        <v>6517</v>
      </c>
      <c r="M483" s="338" t="s">
        <v>6615</v>
      </c>
      <c r="N483" s="338" t="s">
        <v>8312</v>
      </c>
      <c r="O483" s="337">
        <v>0</v>
      </c>
      <c r="P483" s="337">
        <v>0</v>
      </c>
      <c r="Q483" s="338" t="s">
        <v>8312</v>
      </c>
      <c r="R483" s="338" t="s">
        <v>14</v>
      </c>
      <c r="S483" s="338"/>
      <c r="T483" s="338"/>
      <c r="U483" s="338" t="s">
        <v>6655</v>
      </c>
      <c r="V483" s="337">
        <v>0</v>
      </c>
      <c r="W483" s="337">
        <v>0</v>
      </c>
      <c r="X483" s="338"/>
      <c r="Y483" s="338" t="s">
        <v>497</v>
      </c>
      <c r="Z483" s="338" t="s">
        <v>8012</v>
      </c>
      <c r="AA483" s="338" t="s">
        <v>6079</v>
      </c>
      <c r="AB483" s="338"/>
      <c r="AC483" s="338" t="s">
        <v>6264</v>
      </c>
      <c r="AD483" s="338"/>
      <c r="AF483" s="502" t="str">
        <f>Table15[[#This Row],[code2]]</f>
        <v>PRL</v>
      </c>
      <c r="AG483" s="502" t="str">
        <f>Table15[[#This Row],[code5]]</f>
        <v>PRLBFDS</v>
      </c>
    </row>
    <row r="484" spans="1:33">
      <c r="A484" s="338" t="s">
        <v>6072</v>
      </c>
      <c r="B484" s="338" t="s">
        <v>6073</v>
      </c>
      <c r="C484" s="337">
        <v>1</v>
      </c>
      <c r="D484" s="338" t="s">
        <v>6513</v>
      </c>
      <c r="E484" s="338" t="s">
        <v>6514</v>
      </c>
      <c r="F484" s="337">
        <v>1</v>
      </c>
      <c r="G484" s="337">
        <v>1</v>
      </c>
      <c r="H484" s="338" t="s">
        <v>6515</v>
      </c>
      <c r="I484" s="338" t="s">
        <v>9548</v>
      </c>
      <c r="J484" s="338" t="s">
        <v>9551</v>
      </c>
      <c r="K484" s="338" t="s">
        <v>6516</v>
      </c>
      <c r="L484" s="338" t="s">
        <v>6517</v>
      </c>
      <c r="M484" s="338" t="s">
        <v>6615</v>
      </c>
      <c r="N484" s="338" t="s">
        <v>8312</v>
      </c>
      <c r="O484" s="337">
        <v>0</v>
      </c>
      <c r="P484" s="337">
        <v>0</v>
      </c>
      <c r="Q484" s="338" t="s">
        <v>8312</v>
      </c>
      <c r="R484" s="338" t="s">
        <v>14</v>
      </c>
      <c r="S484" s="338"/>
      <c r="T484" s="338"/>
      <c r="U484" s="338" t="s">
        <v>6656</v>
      </c>
      <c r="V484" s="337">
        <v>0</v>
      </c>
      <c r="W484" s="337">
        <v>0</v>
      </c>
      <c r="X484" s="338"/>
      <c r="Y484" s="338" t="s">
        <v>6081</v>
      </c>
      <c r="Z484" s="338" t="s">
        <v>8287</v>
      </c>
      <c r="AA484" s="338" t="s">
        <v>6079</v>
      </c>
      <c r="AB484" s="338"/>
      <c r="AC484" s="338" t="s">
        <v>6264</v>
      </c>
      <c r="AD484" s="338"/>
      <c r="AF484" s="502" t="str">
        <f>Table15[[#This Row],[code2]]</f>
        <v>PRL</v>
      </c>
      <c r="AG484" s="502" t="str">
        <f>Table15[[#This Row],[code5]]</f>
        <v>PRLBFDS</v>
      </c>
    </row>
    <row r="485" spans="1:33">
      <c r="A485" s="338" t="s">
        <v>6072</v>
      </c>
      <c r="B485" s="338" t="s">
        <v>6073</v>
      </c>
      <c r="C485" s="337">
        <v>1</v>
      </c>
      <c r="D485" s="338" t="s">
        <v>6513</v>
      </c>
      <c r="E485" s="338" t="s">
        <v>6514</v>
      </c>
      <c r="F485" s="337">
        <v>1</v>
      </c>
      <c r="G485" s="337">
        <v>1</v>
      </c>
      <c r="H485" s="338" t="s">
        <v>6515</v>
      </c>
      <c r="I485" s="338" t="s">
        <v>9548</v>
      </c>
      <c r="J485" s="338" t="s">
        <v>9551</v>
      </c>
      <c r="K485" s="338" t="s">
        <v>6516</v>
      </c>
      <c r="L485" s="338" t="s">
        <v>6517</v>
      </c>
      <c r="M485" s="338" t="s">
        <v>6615</v>
      </c>
      <c r="N485" s="338" t="s">
        <v>8312</v>
      </c>
      <c r="O485" s="337">
        <v>0</v>
      </c>
      <c r="P485" s="337">
        <v>0</v>
      </c>
      <c r="Q485" s="338" t="s">
        <v>8312</v>
      </c>
      <c r="R485" s="338" t="s">
        <v>14</v>
      </c>
      <c r="S485" s="338"/>
      <c r="T485" s="338"/>
      <c r="U485" s="338" t="s">
        <v>6657</v>
      </c>
      <c r="V485" s="337">
        <v>0</v>
      </c>
      <c r="W485" s="337">
        <v>0</v>
      </c>
      <c r="X485" s="338"/>
      <c r="Y485" s="338" t="s">
        <v>493</v>
      </c>
      <c r="Z485" s="338" t="s">
        <v>8014</v>
      </c>
      <c r="AA485" s="338" t="s">
        <v>6079</v>
      </c>
      <c r="AB485" s="338"/>
      <c r="AC485" s="338" t="s">
        <v>6264</v>
      </c>
      <c r="AD485" s="338"/>
      <c r="AF485" s="502" t="str">
        <f>Table15[[#This Row],[code2]]</f>
        <v>PRL</v>
      </c>
      <c r="AG485" s="502" t="str">
        <f>Table15[[#This Row],[code5]]</f>
        <v>PRLBFDS</v>
      </c>
    </row>
    <row r="486" spans="1:33">
      <c r="A486" s="338" t="s">
        <v>6072</v>
      </c>
      <c r="B486" s="338" t="s">
        <v>6073</v>
      </c>
      <c r="C486" s="337">
        <v>1</v>
      </c>
      <c r="D486" s="338" t="s">
        <v>6513</v>
      </c>
      <c r="E486" s="338" t="s">
        <v>6514</v>
      </c>
      <c r="F486" s="337">
        <v>1</v>
      </c>
      <c r="G486" s="337">
        <v>1</v>
      </c>
      <c r="H486" s="338" t="s">
        <v>6515</v>
      </c>
      <c r="I486" s="338" t="s">
        <v>9548</v>
      </c>
      <c r="J486" s="338" t="s">
        <v>9551</v>
      </c>
      <c r="K486" s="338" t="s">
        <v>6516</v>
      </c>
      <c r="L486" s="338" t="s">
        <v>6517</v>
      </c>
      <c r="M486" s="338" t="s">
        <v>6615</v>
      </c>
      <c r="N486" s="338" t="s">
        <v>8312</v>
      </c>
      <c r="O486" s="337">
        <v>0</v>
      </c>
      <c r="P486" s="337">
        <v>0</v>
      </c>
      <c r="Q486" s="338" t="s">
        <v>8312</v>
      </c>
      <c r="R486" s="338" t="s">
        <v>14</v>
      </c>
      <c r="S486" s="338"/>
      <c r="T486" s="338"/>
      <c r="U486" s="338" t="s">
        <v>6658</v>
      </c>
      <c r="V486" s="337">
        <v>0</v>
      </c>
      <c r="W486" s="337">
        <v>0</v>
      </c>
      <c r="X486" s="338"/>
      <c r="Y486" s="338" t="s">
        <v>6085</v>
      </c>
      <c r="Z486" s="338" t="s">
        <v>8127</v>
      </c>
      <c r="AA486" s="338" t="s">
        <v>6079</v>
      </c>
      <c r="AB486" s="338"/>
      <c r="AC486" s="338" t="s">
        <v>6264</v>
      </c>
      <c r="AD486" s="338"/>
      <c r="AF486" s="502" t="str">
        <f>Table15[[#This Row],[code2]]</f>
        <v>PRL</v>
      </c>
      <c r="AG486" s="502" t="str">
        <f>Table15[[#This Row],[code5]]</f>
        <v>PRLBFDS</v>
      </c>
    </row>
    <row r="487" spans="1:33">
      <c r="A487" s="338" t="s">
        <v>6072</v>
      </c>
      <c r="B487" s="338" t="s">
        <v>6073</v>
      </c>
      <c r="C487" s="337">
        <v>1</v>
      </c>
      <c r="D487" s="338" t="s">
        <v>6513</v>
      </c>
      <c r="E487" s="338" t="s">
        <v>6514</v>
      </c>
      <c r="F487" s="337">
        <v>1</v>
      </c>
      <c r="G487" s="337">
        <v>1</v>
      </c>
      <c r="H487" s="338" t="s">
        <v>6515</v>
      </c>
      <c r="I487" s="338" t="s">
        <v>9548</v>
      </c>
      <c r="J487" s="338" t="s">
        <v>9551</v>
      </c>
      <c r="K487" s="338" t="s">
        <v>6516</v>
      </c>
      <c r="L487" s="338" t="s">
        <v>6517</v>
      </c>
      <c r="M487" s="338" t="s">
        <v>6615</v>
      </c>
      <c r="N487" s="338" t="s">
        <v>8312</v>
      </c>
      <c r="O487" s="337">
        <v>0</v>
      </c>
      <c r="P487" s="337">
        <v>0</v>
      </c>
      <c r="Q487" s="338" t="s">
        <v>8312</v>
      </c>
      <c r="R487" s="338" t="s">
        <v>14</v>
      </c>
      <c r="S487" s="338"/>
      <c r="T487" s="338"/>
      <c r="U487" s="338" t="s">
        <v>6659</v>
      </c>
      <c r="V487" s="337">
        <v>0</v>
      </c>
      <c r="W487" s="337">
        <v>0</v>
      </c>
      <c r="X487" s="338"/>
      <c r="Y487" s="338" t="s">
        <v>497</v>
      </c>
      <c r="Z487" s="338" t="s">
        <v>8014</v>
      </c>
      <c r="AA487" s="338" t="s">
        <v>6079</v>
      </c>
      <c r="AB487" s="338"/>
      <c r="AC487" s="338" t="s">
        <v>6269</v>
      </c>
      <c r="AD487" s="338"/>
      <c r="AF487" s="502" t="str">
        <f>Table15[[#This Row],[code2]]</f>
        <v>PRL</v>
      </c>
      <c r="AG487" s="502" t="str">
        <f>Table15[[#This Row],[code5]]</f>
        <v>PRLBFDS</v>
      </c>
    </row>
    <row r="488" spans="1:33">
      <c r="A488" s="338" t="s">
        <v>6072</v>
      </c>
      <c r="B488" s="338" t="s">
        <v>6073</v>
      </c>
      <c r="C488" s="337">
        <v>1</v>
      </c>
      <c r="D488" s="338" t="s">
        <v>6513</v>
      </c>
      <c r="E488" s="338" t="s">
        <v>6514</v>
      </c>
      <c r="F488" s="337">
        <v>1</v>
      </c>
      <c r="G488" s="337">
        <v>1</v>
      </c>
      <c r="H488" s="338" t="s">
        <v>6515</v>
      </c>
      <c r="I488" s="338" t="s">
        <v>9548</v>
      </c>
      <c r="J488" s="338" t="s">
        <v>9551</v>
      </c>
      <c r="K488" s="338" t="s">
        <v>6516</v>
      </c>
      <c r="L488" s="338" t="s">
        <v>6517</v>
      </c>
      <c r="M488" s="338" t="s">
        <v>6615</v>
      </c>
      <c r="N488" s="338" t="s">
        <v>8312</v>
      </c>
      <c r="O488" s="337">
        <v>0</v>
      </c>
      <c r="P488" s="337">
        <v>0</v>
      </c>
      <c r="Q488" s="338" t="s">
        <v>8312</v>
      </c>
      <c r="R488" s="338" t="s">
        <v>14</v>
      </c>
      <c r="S488" s="338"/>
      <c r="T488" s="338"/>
      <c r="U488" s="338" t="s">
        <v>6660</v>
      </c>
      <c r="V488" s="337">
        <v>0</v>
      </c>
      <c r="W488" s="337">
        <v>0</v>
      </c>
      <c r="X488" s="338"/>
      <c r="Y488" s="338" t="s">
        <v>6081</v>
      </c>
      <c r="Z488" s="338" t="s">
        <v>8116</v>
      </c>
      <c r="AA488" s="338" t="s">
        <v>6079</v>
      </c>
      <c r="AB488" s="338"/>
      <c r="AC488" s="338" t="s">
        <v>6269</v>
      </c>
      <c r="AD488" s="338"/>
      <c r="AF488" s="502" t="str">
        <f>Table15[[#This Row],[code2]]</f>
        <v>PRL</v>
      </c>
      <c r="AG488" s="502" t="str">
        <f>Table15[[#This Row],[code5]]</f>
        <v>PRLBFDS</v>
      </c>
    </row>
    <row r="489" spans="1:33">
      <c r="A489" s="338" t="s">
        <v>6072</v>
      </c>
      <c r="B489" s="338" t="s">
        <v>6073</v>
      </c>
      <c r="C489" s="337">
        <v>1</v>
      </c>
      <c r="D489" s="338" t="s">
        <v>6513</v>
      </c>
      <c r="E489" s="338" t="s">
        <v>6514</v>
      </c>
      <c r="F489" s="337">
        <v>1</v>
      </c>
      <c r="G489" s="337">
        <v>1</v>
      </c>
      <c r="H489" s="338" t="s">
        <v>6515</v>
      </c>
      <c r="I489" s="338" t="s">
        <v>9548</v>
      </c>
      <c r="J489" s="338" t="s">
        <v>9551</v>
      </c>
      <c r="K489" s="338" t="s">
        <v>6516</v>
      </c>
      <c r="L489" s="338" t="s">
        <v>6517</v>
      </c>
      <c r="M489" s="338" t="s">
        <v>6615</v>
      </c>
      <c r="N489" s="338" t="s">
        <v>8312</v>
      </c>
      <c r="O489" s="337">
        <v>0</v>
      </c>
      <c r="P489" s="337">
        <v>0</v>
      </c>
      <c r="Q489" s="338" t="s">
        <v>8312</v>
      </c>
      <c r="R489" s="338" t="s">
        <v>14</v>
      </c>
      <c r="S489" s="338"/>
      <c r="T489" s="338"/>
      <c r="U489" s="338" t="s">
        <v>6661</v>
      </c>
      <c r="V489" s="337">
        <v>0</v>
      </c>
      <c r="W489" s="337">
        <v>0</v>
      </c>
      <c r="X489" s="338"/>
      <c r="Y489" s="338" t="s">
        <v>493</v>
      </c>
      <c r="Z489" s="338" t="s">
        <v>7966</v>
      </c>
      <c r="AA489" s="338" t="s">
        <v>6079</v>
      </c>
      <c r="AB489" s="338"/>
      <c r="AC489" s="338" t="s">
        <v>6269</v>
      </c>
      <c r="AD489" s="338"/>
      <c r="AF489" s="502" t="str">
        <f>Table15[[#This Row],[code2]]</f>
        <v>PRL</v>
      </c>
      <c r="AG489" s="502" t="str">
        <f>Table15[[#This Row],[code5]]</f>
        <v>PRLBFDS</v>
      </c>
    </row>
    <row r="490" spans="1:33">
      <c r="A490" s="338" t="s">
        <v>6072</v>
      </c>
      <c r="B490" s="338" t="s">
        <v>6073</v>
      </c>
      <c r="C490" s="337">
        <v>1</v>
      </c>
      <c r="D490" s="338" t="s">
        <v>6513</v>
      </c>
      <c r="E490" s="338" t="s">
        <v>6514</v>
      </c>
      <c r="F490" s="337">
        <v>1</v>
      </c>
      <c r="G490" s="337">
        <v>1</v>
      </c>
      <c r="H490" s="338" t="s">
        <v>6515</v>
      </c>
      <c r="I490" s="338" t="s">
        <v>9548</v>
      </c>
      <c r="J490" s="338" t="s">
        <v>9551</v>
      </c>
      <c r="K490" s="338" t="s">
        <v>6516</v>
      </c>
      <c r="L490" s="338" t="s">
        <v>6517</v>
      </c>
      <c r="M490" s="338" t="s">
        <v>6615</v>
      </c>
      <c r="N490" s="338" t="s">
        <v>8312</v>
      </c>
      <c r="O490" s="337">
        <v>0</v>
      </c>
      <c r="P490" s="337">
        <v>0</v>
      </c>
      <c r="Q490" s="338" t="s">
        <v>8312</v>
      </c>
      <c r="R490" s="338" t="s">
        <v>14</v>
      </c>
      <c r="S490" s="338"/>
      <c r="T490" s="338"/>
      <c r="U490" s="338" t="s">
        <v>6662</v>
      </c>
      <c r="V490" s="337">
        <v>0</v>
      </c>
      <c r="W490" s="337">
        <v>0</v>
      </c>
      <c r="X490" s="338"/>
      <c r="Y490" s="338" t="s">
        <v>6085</v>
      </c>
      <c r="Z490" s="338" t="s">
        <v>8273</v>
      </c>
      <c r="AA490" s="338" t="s">
        <v>6079</v>
      </c>
      <c r="AB490" s="338"/>
      <c r="AC490" s="338" t="s">
        <v>6269</v>
      </c>
      <c r="AD490" s="338"/>
      <c r="AF490" s="502" t="str">
        <f>Table15[[#This Row],[code2]]</f>
        <v>PRL</v>
      </c>
      <c r="AG490" s="502" t="str">
        <f>Table15[[#This Row],[code5]]</f>
        <v>PRLBFDS</v>
      </c>
    </row>
    <row r="491" spans="1:33">
      <c r="A491" s="338" t="s">
        <v>6072</v>
      </c>
      <c r="B491" s="338" t="s">
        <v>6073</v>
      </c>
      <c r="C491" s="337">
        <v>1</v>
      </c>
      <c r="D491" s="338" t="s">
        <v>6513</v>
      </c>
      <c r="E491" s="338" t="s">
        <v>6514</v>
      </c>
      <c r="F491" s="337">
        <v>1</v>
      </c>
      <c r="G491" s="337">
        <v>1</v>
      </c>
      <c r="H491" s="338" t="s">
        <v>6515</v>
      </c>
      <c r="I491" s="338" t="s">
        <v>9548</v>
      </c>
      <c r="J491" s="338" t="s">
        <v>9551</v>
      </c>
      <c r="K491" s="338" t="s">
        <v>6516</v>
      </c>
      <c r="L491" s="338" t="s">
        <v>6517</v>
      </c>
      <c r="M491" s="338" t="s">
        <v>6615</v>
      </c>
      <c r="N491" s="338" t="s">
        <v>8312</v>
      </c>
      <c r="O491" s="337">
        <v>0</v>
      </c>
      <c r="P491" s="337">
        <v>0</v>
      </c>
      <c r="Q491" s="338" t="s">
        <v>8312</v>
      </c>
      <c r="R491" s="338" t="s">
        <v>14</v>
      </c>
      <c r="S491" s="338"/>
      <c r="T491" s="338"/>
      <c r="U491" s="338" t="s">
        <v>6663</v>
      </c>
      <c r="V491" s="337">
        <v>0</v>
      </c>
      <c r="W491" s="337">
        <v>0</v>
      </c>
      <c r="X491" s="338"/>
      <c r="Y491" s="338" t="s">
        <v>497</v>
      </c>
      <c r="Z491" s="338" t="s">
        <v>8014</v>
      </c>
      <c r="AA491" s="338" t="s">
        <v>6079</v>
      </c>
      <c r="AB491" s="338"/>
      <c r="AC491" s="338" t="s">
        <v>6274</v>
      </c>
      <c r="AD491" s="338"/>
      <c r="AF491" s="502" t="str">
        <f>Table15[[#This Row],[code2]]</f>
        <v>PRL</v>
      </c>
      <c r="AG491" s="502" t="str">
        <f>Table15[[#This Row],[code5]]</f>
        <v>PRLBFDS</v>
      </c>
    </row>
    <row r="492" spans="1:33">
      <c r="A492" s="338" t="s">
        <v>6072</v>
      </c>
      <c r="B492" s="338" t="s">
        <v>6073</v>
      </c>
      <c r="C492" s="337">
        <v>1</v>
      </c>
      <c r="D492" s="338" t="s">
        <v>6513</v>
      </c>
      <c r="E492" s="338" t="s">
        <v>6514</v>
      </c>
      <c r="F492" s="337">
        <v>1</v>
      </c>
      <c r="G492" s="337">
        <v>1</v>
      </c>
      <c r="H492" s="338" t="s">
        <v>6515</v>
      </c>
      <c r="I492" s="338" t="s">
        <v>9548</v>
      </c>
      <c r="J492" s="338" t="s">
        <v>9551</v>
      </c>
      <c r="K492" s="338" t="s">
        <v>6516</v>
      </c>
      <c r="L492" s="338" t="s">
        <v>6517</v>
      </c>
      <c r="M492" s="338" t="s">
        <v>6615</v>
      </c>
      <c r="N492" s="338" t="s">
        <v>8312</v>
      </c>
      <c r="O492" s="337">
        <v>0</v>
      </c>
      <c r="P492" s="337">
        <v>0</v>
      </c>
      <c r="Q492" s="338" t="s">
        <v>8312</v>
      </c>
      <c r="R492" s="338" t="s">
        <v>14</v>
      </c>
      <c r="S492" s="338"/>
      <c r="T492" s="338"/>
      <c r="U492" s="338" t="s">
        <v>6664</v>
      </c>
      <c r="V492" s="337">
        <v>0</v>
      </c>
      <c r="W492" s="337">
        <v>0</v>
      </c>
      <c r="X492" s="338"/>
      <c r="Y492" s="338" t="s">
        <v>6081</v>
      </c>
      <c r="Z492" s="338" t="s">
        <v>8116</v>
      </c>
      <c r="AA492" s="338" t="s">
        <v>6079</v>
      </c>
      <c r="AB492" s="338"/>
      <c r="AC492" s="338" t="s">
        <v>6274</v>
      </c>
      <c r="AD492" s="338"/>
      <c r="AF492" s="502" t="str">
        <f>Table15[[#This Row],[code2]]</f>
        <v>PRL</v>
      </c>
      <c r="AG492" s="502" t="str">
        <f>Table15[[#This Row],[code5]]</f>
        <v>PRLBFDS</v>
      </c>
    </row>
    <row r="493" spans="1:33">
      <c r="A493" s="338" t="s">
        <v>6072</v>
      </c>
      <c r="B493" s="338" t="s">
        <v>6073</v>
      </c>
      <c r="C493" s="337">
        <v>1</v>
      </c>
      <c r="D493" s="338" t="s">
        <v>6513</v>
      </c>
      <c r="E493" s="338" t="s">
        <v>6514</v>
      </c>
      <c r="F493" s="337">
        <v>1</v>
      </c>
      <c r="G493" s="337">
        <v>1</v>
      </c>
      <c r="H493" s="338" t="s">
        <v>6515</v>
      </c>
      <c r="I493" s="338" t="s">
        <v>9548</v>
      </c>
      <c r="J493" s="338" t="s">
        <v>9551</v>
      </c>
      <c r="K493" s="338" t="s">
        <v>6516</v>
      </c>
      <c r="L493" s="338" t="s">
        <v>6517</v>
      </c>
      <c r="M493" s="338" t="s">
        <v>6615</v>
      </c>
      <c r="N493" s="338" t="s">
        <v>8312</v>
      </c>
      <c r="O493" s="337">
        <v>0</v>
      </c>
      <c r="P493" s="337">
        <v>0</v>
      </c>
      <c r="Q493" s="338" t="s">
        <v>8312</v>
      </c>
      <c r="R493" s="338" t="s">
        <v>14</v>
      </c>
      <c r="S493" s="338"/>
      <c r="T493" s="338"/>
      <c r="U493" s="338" t="s">
        <v>6665</v>
      </c>
      <c r="V493" s="337">
        <v>0</v>
      </c>
      <c r="W493" s="337">
        <v>0</v>
      </c>
      <c r="X493" s="338"/>
      <c r="Y493" s="338" t="s">
        <v>493</v>
      </c>
      <c r="Z493" s="338" t="s">
        <v>7966</v>
      </c>
      <c r="AA493" s="338" t="s">
        <v>6079</v>
      </c>
      <c r="AB493" s="338"/>
      <c r="AC493" s="338" t="s">
        <v>6274</v>
      </c>
      <c r="AD493" s="338"/>
      <c r="AF493" s="502" t="str">
        <f>Table15[[#This Row],[code2]]</f>
        <v>PRL</v>
      </c>
      <c r="AG493" s="502" t="str">
        <f>Table15[[#This Row],[code5]]</f>
        <v>PRLBFDS</v>
      </c>
    </row>
    <row r="494" spans="1:33">
      <c r="A494" s="338" t="s">
        <v>6072</v>
      </c>
      <c r="B494" s="338" t="s">
        <v>6073</v>
      </c>
      <c r="C494" s="337">
        <v>1</v>
      </c>
      <c r="D494" s="338" t="s">
        <v>6513</v>
      </c>
      <c r="E494" s="338" t="s">
        <v>6514</v>
      </c>
      <c r="F494" s="337">
        <v>1</v>
      </c>
      <c r="G494" s="337">
        <v>1</v>
      </c>
      <c r="H494" s="338" t="s">
        <v>6515</v>
      </c>
      <c r="I494" s="338" t="s">
        <v>9548</v>
      </c>
      <c r="J494" s="338" t="s">
        <v>9551</v>
      </c>
      <c r="K494" s="338" t="s">
        <v>6516</v>
      </c>
      <c r="L494" s="338" t="s">
        <v>6517</v>
      </c>
      <c r="M494" s="338" t="s">
        <v>6615</v>
      </c>
      <c r="N494" s="338" t="s">
        <v>8312</v>
      </c>
      <c r="O494" s="337">
        <v>0</v>
      </c>
      <c r="P494" s="337">
        <v>0</v>
      </c>
      <c r="Q494" s="338" t="s">
        <v>8312</v>
      </c>
      <c r="R494" s="338" t="s">
        <v>14</v>
      </c>
      <c r="S494" s="338"/>
      <c r="T494" s="338"/>
      <c r="U494" s="338" t="s">
        <v>6666</v>
      </c>
      <c r="V494" s="337">
        <v>0</v>
      </c>
      <c r="W494" s="337">
        <v>0</v>
      </c>
      <c r="X494" s="338"/>
      <c r="Y494" s="338" t="s">
        <v>6085</v>
      </c>
      <c r="Z494" s="338" t="s">
        <v>8273</v>
      </c>
      <c r="AA494" s="338" t="s">
        <v>6079</v>
      </c>
      <c r="AB494" s="338"/>
      <c r="AC494" s="338" t="s">
        <v>6274</v>
      </c>
      <c r="AD494" s="338"/>
      <c r="AF494" s="502" t="str">
        <f>Table15[[#This Row],[code2]]</f>
        <v>PRL</v>
      </c>
      <c r="AG494" s="502" t="str">
        <f>Table15[[#This Row],[code5]]</f>
        <v>PRLBFDS</v>
      </c>
    </row>
    <row r="495" spans="1:33">
      <c r="A495" s="338" t="s">
        <v>6072</v>
      </c>
      <c r="B495" s="338" t="s">
        <v>6073</v>
      </c>
      <c r="C495" s="337">
        <v>1</v>
      </c>
      <c r="D495" s="338" t="s">
        <v>6513</v>
      </c>
      <c r="E495" s="338" t="s">
        <v>6514</v>
      </c>
      <c r="F495" s="337">
        <v>1</v>
      </c>
      <c r="G495" s="337">
        <v>1</v>
      </c>
      <c r="H495" s="338" t="s">
        <v>6515</v>
      </c>
      <c r="I495" s="338" t="s">
        <v>9548</v>
      </c>
      <c r="J495" s="338" t="s">
        <v>9551</v>
      </c>
      <c r="K495" s="338" t="s">
        <v>6516</v>
      </c>
      <c r="L495" s="338" t="s">
        <v>6517</v>
      </c>
      <c r="M495" s="338" t="s">
        <v>6615</v>
      </c>
      <c r="N495" s="338" t="s">
        <v>8312</v>
      </c>
      <c r="O495" s="337">
        <v>0</v>
      </c>
      <c r="P495" s="337">
        <v>0</v>
      </c>
      <c r="Q495" s="338" t="s">
        <v>8312</v>
      </c>
      <c r="R495" s="338" t="s">
        <v>14</v>
      </c>
      <c r="S495" s="338"/>
      <c r="T495" s="338"/>
      <c r="U495" s="338" t="s">
        <v>6667</v>
      </c>
      <c r="V495" s="337">
        <v>0</v>
      </c>
      <c r="W495" s="337">
        <v>0</v>
      </c>
      <c r="X495" s="338"/>
      <c r="Y495" s="338" t="s">
        <v>497</v>
      </c>
      <c r="Z495" s="338" t="s">
        <v>8015</v>
      </c>
      <c r="AA495" s="338" t="s">
        <v>6079</v>
      </c>
      <c r="AB495" s="338"/>
      <c r="AC495" s="338" t="s">
        <v>6279</v>
      </c>
      <c r="AD495" s="338"/>
      <c r="AF495" s="502" t="str">
        <f>Table15[[#This Row],[code2]]</f>
        <v>PRL</v>
      </c>
      <c r="AG495" s="502" t="str">
        <f>Table15[[#This Row],[code5]]</f>
        <v>PRLBFDS</v>
      </c>
    </row>
    <row r="496" spans="1:33">
      <c r="A496" s="338" t="s">
        <v>6072</v>
      </c>
      <c r="B496" s="338" t="s">
        <v>6073</v>
      </c>
      <c r="C496" s="337">
        <v>1</v>
      </c>
      <c r="D496" s="338" t="s">
        <v>6513</v>
      </c>
      <c r="E496" s="338" t="s">
        <v>6514</v>
      </c>
      <c r="F496" s="337">
        <v>1</v>
      </c>
      <c r="G496" s="337">
        <v>1</v>
      </c>
      <c r="H496" s="338" t="s">
        <v>6515</v>
      </c>
      <c r="I496" s="338" t="s">
        <v>9548</v>
      </c>
      <c r="J496" s="338" t="s">
        <v>9551</v>
      </c>
      <c r="K496" s="338" t="s">
        <v>6516</v>
      </c>
      <c r="L496" s="338" t="s">
        <v>6517</v>
      </c>
      <c r="M496" s="338" t="s">
        <v>6615</v>
      </c>
      <c r="N496" s="338" t="s">
        <v>8312</v>
      </c>
      <c r="O496" s="337">
        <v>0</v>
      </c>
      <c r="P496" s="337">
        <v>0</v>
      </c>
      <c r="Q496" s="338" t="s">
        <v>8312</v>
      </c>
      <c r="R496" s="338" t="s">
        <v>14</v>
      </c>
      <c r="S496" s="338"/>
      <c r="T496" s="338"/>
      <c r="U496" s="338" t="s">
        <v>6668</v>
      </c>
      <c r="V496" s="337">
        <v>0</v>
      </c>
      <c r="W496" s="337">
        <v>0</v>
      </c>
      <c r="X496" s="338"/>
      <c r="Y496" s="338" t="s">
        <v>6081</v>
      </c>
      <c r="Z496" s="338" t="s">
        <v>8274</v>
      </c>
      <c r="AA496" s="338" t="s">
        <v>6079</v>
      </c>
      <c r="AB496" s="338"/>
      <c r="AC496" s="338" t="s">
        <v>6279</v>
      </c>
      <c r="AD496" s="338"/>
      <c r="AF496" s="502" t="str">
        <f>Table15[[#This Row],[code2]]</f>
        <v>PRL</v>
      </c>
      <c r="AG496" s="502" t="str">
        <f>Table15[[#This Row],[code5]]</f>
        <v>PRLBFDS</v>
      </c>
    </row>
    <row r="497" spans="1:33">
      <c r="A497" s="338" t="s">
        <v>6072</v>
      </c>
      <c r="B497" s="338" t="s">
        <v>6073</v>
      </c>
      <c r="C497" s="337">
        <v>1</v>
      </c>
      <c r="D497" s="338" t="s">
        <v>6513</v>
      </c>
      <c r="E497" s="338" t="s">
        <v>6514</v>
      </c>
      <c r="F497" s="337">
        <v>1</v>
      </c>
      <c r="G497" s="337">
        <v>1</v>
      </c>
      <c r="H497" s="338" t="s">
        <v>6515</v>
      </c>
      <c r="I497" s="338" t="s">
        <v>9548</v>
      </c>
      <c r="J497" s="338" t="s">
        <v>9551</v>
      </c>
      <c r="K497" s="338" t="s">
        <v>6516</v>
      </c>
      <c r="L497" s="338" t="s">
        <v>6517</v>
      </c>
      <c r="M497" s="338" t="s">
        <v>6615</v>
      </c>
      <c r="N497" s="338" t="s">
        <v>8312</v>
      </c>
      <c r="O497" s="337">
        <v>0</v>
      </c>
      <c r="P497" s="337">
        <v>0</v>
      </c>
      <c r="Q497" s="338" t="s">
        <v>8312</v>
      </c>
      <c r="R497" s="338" t="s">
        <v>14</v>
      </c>
      <c r="S497" s="338"/>
      <c r="T497" s="338"/>
      <c r="U497" s="338" t="s">
        <v>6669</v>
      </c>
      <c r="V497" s="337">
        <v>0</v>
      </c>
      <c r="W497" s="337">
        <v>0</v>
      </c>
      <c r="X497" s="338"/>
      <c r="Y497" s="338" t="s">
        <v>493</v>
      </c>
      <c r="Z497" s="338" t="s">
        <v>7915</v>
      </c>
      <c r="AA497" s="338" t="s">
        <v>6079</v>
      </c>
      <c r="AB497" s="338"/>
      <c r="AC497" s="338" t="s">
        <v>6279</v>
      </c>
      <c r="AD497" s="338"/>
      <c r="AF497" s="502" t="str">
        <f>Table15[[#This Row],[code2]]</f>
        <v>PRL</v>
      </c>
      <c r="AG497" s="502" t="str">
        <f>Table15[[#This Row],[code5]]</f>
        <v>PRLBFDS</v>
      </c>
    </row>
    <row r="498" spans="1:33">
      <c r="A498" s="338" t="s">
        <v>6072</v>
      </c>
      <c r="B498" s="338" t="s">
        <v>6073</v>
      </c>
      <c r="C498" s="337">
        <v>1</v>
      </c>
      <c r="D498" s="338" t="s">
        <v>6513</v>
      </c>
      <c r="E498" s="338" t="s">
        <v>6514</v>
      </c>
      <c r="F498" s="337">
        <v>1</v>
      </c>
      <c r="G498" s="337">
        <v>1</v>
      </c>
      <c r="H498" s="338" t="s">
        <v>6515</v>
      </c>
      <c r="I498" s="338" t="s">
        <v>9548</v>
      </c>
      <c r="J498" s="338" t="s">
        <v>9551</v>
      </c>
      <c r="K498" s="338" t="s">
        <v>6516</v>
      </c>
      <c r="L498" s="338" t="s">
        <v>6517</v>
      </c>
      <c r="M498" s="338" t="s">
        <v>6615</v>
      </c>
      <c r="N498" s="338" t="s">
        <v>8312</v>
      </c>
      <c r="O498" s="337">
        <v>0</v>
      </c>
      <c r="P498" s="337">
        <v>0</v>
      </c>
      <c r="Q498" s="338" t="s">
        <v>8312</v>
      </c>
      <c r="R498" s="338" t="s">
        <v>14</v>
      </c>
      <c r="S498" s="338"/>
      <c r="T498" s="338"/>
      <c r="U498" s="338" t="s">
        <v>6670</v>
      </c>
      <c r="V498" s="337">
        <v>0</v>
      </c>
      <c r="W498" s="337">
        <v>0</v>
      </c>
      <c r="X498" s="338"/>
      <c r="Y498" s="338" t="s">
        <v>6085</v>
      </c>
      <c r="Z498" s="338" t="s">
        <v>8289</v>
      </c>
      <c r="AA498" s="338" t="s">
        <v>6079</v>
      </c>
      <c r="AB498" s="338"/>
      <c r="AC498" s="338" t="s">
        <v>6279</v>
      </c>
      <c r="AD498" s="338"/>
      <c r="AF498" s="502" t="str">
        <f>Table15[[#This Row],[code2]]</f>
        <v>PRL</v>
      </c>
      <c r="AG498" s="502" t="str">
        <f>Table15[[#This Row],[code5]]</f>
        <v>PRLBFDS</v>
      </c>
    </row>
    <row r="499" spans="1:33">
      <c r="A499" s="338" t="s">
        <v>6072</v>
      </c>
      <c r="B499" s="338" t="s">
        <v>6073</v>
      </c>
      <c r="C499" s="337">
        <v>1</v>
      </c>
      <c r="D499" s="338" t="s">
        <v>6513</v>
      </c>
      <c r="E499" s="338" t="s">
        <v>6514</v>
      </c>
      <c r="F499" s="337">
        <v>1</v>
      </c>
      <c r="G499" s="337">
        <v>1</v>
      </c>
      <c r="H499" s="338" t="s">
        <v>6515</v>
      </c>
      <c r="I499" s="338" t="s">
        <v>9548</v>
      </c>
      <c r="J499" s="338" t="s">
        <v>9551</v>
      </c>
      <c r="K499" s="338" t="s">
        <v>6516</v>
      </c>
      <c r="L499" s="338" t="s">
        <v>6517</v>
      </c>
      <c r="M499" s="338" t="s">
        <v>6615</v>
      </c>
      <c r="N499" s="338" t="s">
        <v>8312</v>
      </c>
      <c r="O499" s="337">
        <v>0</v>
      </c>
      <c r="P499" s="337">
        <v>0</v>
      </c>
      <c r="Q499" s="338" t="s">
        <v>8312</v>
      </c>
      <c r="R499" s="338" t="s">
        <v>14</v>
      </c>
      <c r="S499" s="338"/>
      <c r="T499" s="338"/>
      <c r="U499" s="338" t="s">
        <v>6671</v>
      </c>
      <c r="V499" s="337">
        <v>0</v>
      </c>
      <c r="W499" s="337">
        <v>0</v>
      </c>
      <c r="X499" s="338"/>
      <c r="Y499" s="338" t="s">
        <v>497</v>
      </c>
      <c r="Z499" s="338" t="s">
        <v>8015</v>
      </c>
      <c r="AA499" s="338" t="s">
        <v>6079</v>
      </c>
      <c r="AB499" s="338"/>
      <c r="AC499" s="338" t="s">
        <v>6284</v>
      </c>
      <c r="AD499" s="338"/>
      <c r="AF499" s="502" t="str">
        <f>Table15[[#This Row],[code2]]</f>
        <v>PRL</v>
      </c>
      <c r="AG499" s="502" t="str">
        <f>Table15[[#This Row],[code5]]</f>
        <v>PRLBFDS</v>
      </c>
    </row>
    <row r="500" spans="1:33">
      <c r="A500" s="338" t="s">
        <v>6072</v>
      </c>
      <c r="B500" s="338" t="s">
        <v>6073</v>
      </c>
      <c r="C500" s="337">
        <v>1</v>
      </c>
      <c r="D500" s="338" t="s">
        <v>6513</v>
      </c>
      <c r="E500" s="338" t="s">
        <v>6514</v>
      </c>
      <c r="F500" s="337">
        <v>1</v>
      </c>
      <c r="G500" s="337">
        <v>1</v>
      </c>
      <c r="H500" s="338" t="s">
        <v>6515</v>
      </c>
      <c r="I500" s="338" t="s">
        <v>9548</v>
      </c>
      <c r="J500" s="338" t="s">
        <v>9551</v>
      </c>
      <c r="K500" s="338" t="s">
        <v>6516</v>
      </c>
      <c r="L500" s="338" t="s">
        <v>6517</v>
      </c>
      <c r="M500" s="338" t="s">
        <v>6615</v>
      </c>
      <c r="N500" s="338" t="s">
        <v>8312</v>
      </c>
      <c r="O500" s="337">
        <v>0</v>
      </c>
      <c r="P500" s="337">
        <v>0</v>
      </c>
      <c r="Q500" s="338" t="s">
        <v>8312</v>
      </c>
      <c r="R500" s="338" t="s">
        <v>14</v>
      </c>
      <c r="S500" s="338"/>
      <c r="T500" s="338"/>
      <c r="U500" s="338" t="s">
        <v>6672</v>
      </c>
      <c r="V500" s="337">
        <v>0</v>
      </c>
      <c r="W500" s="337">
        <v>0</v>
      </c>
      <c r="X500" s="338"/>
      <c r="Y500" s="338" t="s">
        <v>6081</v>
      </c>
      <c r="Z500" s="338" t="s">
        <v>8274</v>
      </c>
      <c r="AA500" s="338" t="s">
        <v>6079</v>
      </c>
      <c r="AB500" s="338"/>
      <c r="AC500" s="338" t="s">
        <v>6284</v>
      </c>
      <c r="AD500" s="338"/>
      <c r="AF500" s="502" t="str">
        <f>Table15[[#This Row],[code2]]</f>
        <v>PRL</v>
      </c>
      <c r="AG500" s="502" t="str">
        <f>Table15[[#This Row],[code5]]</f>
        <v>PRLBFDS</v>
      </c>
    </row>
    <row r="501" spans="1:33">
      <c r="A501" s="338" t="s">
        <v>6072</v>
      </c>
      <c r="B501" s="338" t="s">
        <v>6073</v>
      </c>
      <c r="C501" s="337">
        <v>1</v>
      </c>
      <c r="D501" s="338" t="s">
        <v>6513</v>
      </c>
      <c r="E501" s="338" t="s">
        <v>6514</v>
      </c>
      <c r="F501" s="337">
        <v>1</v>
      </c>
      <c r="G501" s="337">
        <v>1</v>
      </c>
      <c r="H501" s="338" t="s">
        <v>6515</v>
      </c>
      <c r="I501" s="338" t="s">
        <v>9548</v>
      </c>
      <c r="J501" s="338" t="s">
        <v>9551</v>
      </c>
      <c r="K501" s="338" t="s">
        <v>6516</v>
      </c>
      <c r="L501" s="338" t="s">
        <v>6517</v>
      </c>
      <c r="M501" s="338" t="s">
        <v>6615</v>
      </c>
      <c r="N501" s="338" t="s">
        <v>8312</v>
      </c>
      <c r="O501" s="337">
        <v>0</v>
      </c>
      <c r="P501" s="337">
        <v>0</v>
      </c>
      <c r="Q501" s="338" t="s">
        <v>8312</v>
      </c>
      <c r="R501" s="338" t="s">
        <v>14</v>
      </c>
      <c r="S501" s="338"/>
      <c r="T501" s="338"/>
      <c r="U501" s="338" t="s">
        <v>6673</v>
      </c>
      <c r="V501" s="337">
        <v>0</v>
      </c>
      <c r="W501" s="337">
        <v>0</v>
      </c>
      <c r="X501" s="338"/>
      <c r="Y501" s="338" t="s">
        <v>493</v>
      </c>
      <c r="Z501" s="338" t="s">
        <v>7915</v>
      </c>
      <c r="AA501" s="338" t="s">
        <v>6079</v>
      </c>
      <c r="AB501" s="338"/>
      <c r="AC501" s="338" t="s">
        <v>6284</v>
      </c>
      <c r="AD501" s="338"/>
      <c r="AF501" s="502" t="str">
        <f>Table15[[#This Row],[code2]]</f>
        <v>PRL</v>
      </c>
      <c r="AG501" s="502" t="str">
        <f>Table15[[#This Row],[code5]]</f>
        <v>PRLBFDS</v>
      </c>
    </row>
    <row r="502" spans="1:33">
      <c r="A502" s="338" t="s">
        <v>6072</v>
      </c>
      <c r="B502" s="338" t="s">
        <v>6073</v>
      </c>
      <c r="C502" s="337">
        <v>1</v>
      </c>
      <c r="D502" s="338" t="s">
        <v>6513</v>
      </c>
      <c r="E502" s="338" t="s">
        <v>6514</v>
      </c>
      <c r="F502" s="337">
        <v>1</v>
      </c>
      <c r="G502" s="337">
        <v>1</v>
      </c>
      <c r="H502" s="338" t="s">
        <v>6515</v>
      </c>
      <c r="I502" s="338" t="s">
        <v>9548</v>
      </c>
      <c r="J502" s="338" t="s">
        <v>9551</v>
      </c>
      <c r="K502" s="338" t="s">
        <v>6516</v>
      </c>
      <c r="L502" s="338" t="s">
        <v>6517</v>
      </c>
      <c r="M502" s="338" t="s">
        <v>6615</v>
      </c>
      <c r="N502" s="338" t="s">
        <v>8312</v>
      </c>
      <c r="O502" s="337">
        <v>0</v>
      </c>
      <c r="P502" s="337">
        <v>0</v>
      </c>
      <c r="Q502" s="338" t="s">
        <v>8312</v>
      </c>
      <c r="R502" s="338" t="s">
        <v>14</v>
      </c>
      <c r="S502" s="338"/>
      <c r="T502" s="338"/>
      <c r="U502" s="338" t="s">
        <v>6674</v>
      </c>
      <c r="V502" s="337">
        <v>0</v>
      </c>
      <c r="W502" s="337">
        <v>0</v>
      </c>
      <c r="X502" s="338"/>
      <c r="Y502" s="338" t="s">
        <v>6085</v>
      </c>
      <c r="Z502" s="338" t="s">
        <v>8289</v>
      </c>
      <c r="AA502" s="338" t="s">
        <v>6079</v>
      </c>
      <c r="AB502" s="338"/>
      <c r="AC502" s="338" t="s">
        <v>6284</v>
      </c>
      <c r="AD502" s="338"/>
      <c r="AF502" s="502" t="str">
        <f>Table15[[#This Row],[code2]]</f>
        <v>PRL</v>
      </c>
      <c r="AG502" s="502" t="str">
        <f>Table15[[#This Row],[code5]]</f>
        <v>PRLBFDS</v>
      </c>
    </row>
    <row r="503" spans="1:33">
      <c r="A503" s="338" t="s">
        <v>6072</v>
      </c>
      <c r="B503" s="338" t="s">
        <v>6073</v>
      </c>
      <c r="C503" s="337">
        <v>1</v>
      </c>
      <c r="D503" s="338" t="s">
        <v>6513</v>
      </c>
      <c r="E503" s="338" t="s">
        <v>6514</v>
      </c>
      <c r="F503" s="337">
        <v>1</v>
      </c>
      <c r="G503" s="337">
        <v>1</v>
      </c>
      <c r="H503" s="338" t="s">
        <v>6515</v>
      </c>
      <c r="I503" s="338" t="s">
        <v>9548</v>
      </c>
      <c r="J503" s="338" t="s">
        <v>9551</v>
      </c>
      <c r="K503" s="338" t="s">
        <v>6516</v>
      </c>
      <c r="L503" s="338" t="s">
        <v>6517</v>
      </c>
      <c r="M503" s="338" t="s">
        <v>6615</v>
      </c>
      <c r="N503" s="338" t="s">
        <v>8312</v>
      </c>
      <c r="O503" s="337">
        <v>0</v>
      </c>
      <c r="P503" s="337">
        <v>0</v>
      </c>
      <c r="Q503" s="338" t="s">
        <v>8312</v>
      </c>
      <c r="R503" s="338" t="s">
        <v>14</v>
      </c>
      <c r="S503" s="338"/>
      <c r="T503" s="338"/>
      <c r="U503" s="338" t="s">
        <v>6675</v>
      </c>
      <c r="V503" s="337">
        <v>0</v>
      </c>
      <c r="W503" s="337">
        <v>0</v>
      </c>
      <c r="X503" s="338"/>
      <c r="Y503" s="338" t="s">
        <v>497</v>
      </c>
      <c r="Z503" s="338" t="s">
        <v>6289</v>
      </c>
      <c r="AA503" s="338" t="s">
        <v>6079</v>
      </c>
      <c r="AB503" s="338"/>
      <c r="AC503" s="338" t="s">
        <v>6290</v>
      </c>
      <c r="AD503" s="338"/>
      <c r="AF503" s="502" t="str">
        <f>Table15[[#This Row],[code2]]</f>
        <v>PRL</v>
      </c>
      <c r="AG503" s="502" t="str">
        <f>Table15[[#This Row],[code5]]</f>
        <v>PRLBFDS</v>
      </c>
    </row>
    <row r="504" spans="1:33">
      <c r="A504" s="338" t="s">
        <v>6072</v>
      </c>
      <c r="B504" s="338" t="s">
        <v>6073</v>
      </c>
      <c r="C504" s="337">
        <v>1</v>
      </c>
      <c r="D504" s="338" t="s">
        <v>6513</v>
      </c>
      <c r="E504" s="338" t="s">
        <v>6514</v>
      </c>
      <c r="F504" s="337">
        <v>1</v>
      </c>
      <c r="G504" s="337">
        <v>1</v>
      </c>
      <c r="H504" s="338" t="s">
        <v>6515</v>
      </c>
      <c r="I504" s="338" t="s">
        <v>9548</v>
      </c>
      <c r="J504" s="338" t="s">
        <v>9551</v>
      </c>
      <c r="K504" s="338" t="s">
        <v>6516</v>
      </c>
      <c r="L504" s="338" t="s">
        <v>6517</v>
      </c>
      <c r="M504" s="338" t="s">
        <v>6615</v>
      </c>
      <c r="N504" s="338" t="s">
        <v>8312</v>
      </c>
      <c r="O504" s="337">
        <v>0</v>
      </c>
      <c r="P504" s="337">
        <v>0</v>
      </c>
      <c r="Q504" s="338" t="s">
        <v>8312</v>
      </c>
      <c r="R504" s="338" t="s">
        <v>14</v>
      </c>
      <c r="S504" s="338"/>
      <c r="T504" s="338"/>
      <c r="U504" s="338" t="s">
        <v>6676</v>
      </c>
      <c r="V504" s="337">
        <v>0</v>
      </c>
      <c r="W504" s="337">
        <v>0</v>
      </c>
      <c r="X504" s="338"/>
      <c r="Y504" s="338" t="s">
        <v>6081</v>
      </c>
      <c r="Z504" s="338" t="s">
        <v>8281</v>
      </c>
      <c r="AA504" s="338" t="s">
        <v>6079</v>
      </c>
      <c r="AB504" s="338"/>
      <c r="AC504" s="338" t="s">
        <v>6290</v>
      </c>
      <c r="AD504" s="338"/>
      <c r="AF504" s="502" t="str">
        <f>Table15[[#This Row],[code2]]</f>
        <v>PRL</v>
      </c>
      <c r="AG504" s="502" t="str">
        <f>Table15[[#This Row],[code5]]</f>
        <v>PRLBFDS</v>
      </c>
    </row>
    <row r="505" spans="1:33">
      <c r="A505" s="338" t="s">
        <v>6072</v>
      </c>
      <c r="B505" s="338" t="s">
        <v>6073</v>
      </c>
      <c r="C505" s="337">
        <v>1</v>
      </c>
      <c r="D505" s="338" t="s">
        <v>6513</v>
      </c>
      <c r="E505" s="338" t="s">
        <v>6514</v>
      </c>
      <c r="F505" s="337">
        <v>1</v>
      </c>
      <c r="G505" s="337">
        <v>1</v>
      </c>
      <c r="H505" s="338" t="s">
        <v>6515</v>
      </c>
      <c r="I505" s="338" t="s">
        <v>9548</v>
      </c>
      <c r="J505" s="338" t="s">
        <v>9551</v>
      </c>
      <c r="K505" s="338" t="s">
        <v>6516</v>
      </c>
      <c r="L505" s="338" t="s">
        <v>6517</v>
      </c>
      <c r="M505" s="338" t="s">
        <v>6615</v>
      </c>
      <c r="N505" s="338" t="s">
        <v>8312</v>
      </c>
      <c r="O505" s="337">
        <v>0</v>
      </c>
      <c r="P505" s="337">
        <v>0</v>
      </c>
      <c r="Q505" s="338" t="s">
        <v>8312</v>
      </c>
      <c r="R505" s="338" t="s">
        <v>14</v>
      </c>
      <c r="S505" s="338"/>
      <c r="T505" s="338"/>
      <c r="U505" s="338" t="s">
        <v>6677</v>
      </c>
      <c r="V505" s="337">
        <v>0</v>
      </c>
      <c r="W505" s="337">
        <v>0</v>
      </c>
      <c r="X505" s="338"/>
      <c r="Y505" s="338" t="s">
        <v>493</v>
      </c>
      <c r="Z505" s="338" t="s">
        <v>6289</v>
      </c>
      <c r="AA505" s="338" t="s">
        <v>6079</v>
      </c>
      <c r="AB505" s="338"/>
      <c r="AC505" s="338" t="s">
        <v>6290</v>
      </c>
      <c r="AD505" s="338"/>
      <c r="AF505" s="502" t="str">
        <f>Table15[[#This Row],[code2]]</f>
        <v>PRL</v>
      </c>
      <c r="AG505" s="502" t="str">
        <f>Table15[[#This Row],[code5]]</f>
        <v>PRLBFDS</v>
      </c>
    </row>
    <row r="506" spans="1:33">
      <c r="A506" s="338" t="s">
        <v>6072</v>
      </c>
      <c r="B506" s="338" t="s">
        <v>6073</v>
      </c>
      <c r="C506" s="337">
        <v>1</v>
      </c>
      <c r="D506" s="338" t="s">
        <v>6513</v>
      </c>
      <c r="E506" s="338" t="s">
        <v>6514</v>
      </c>
      <c r="F506" s="337">
        <v>1</v>
      </c>
      <c r="G506" s="337">
        <v>1</v>
      </c>
      <c r="H506" s="338" t="s">
        <v>6515</v>
      </c>
      <c r="I506" s="338" t="s">
        <v>9548</v>
      </c>
      <c r="J506" s="338" t="s">
        <v>9551</v>
      </c>
      <c r="K506" s="338" t="s">
        <v>6516</v>
      </c>
      <c r="L506" s="338" t="s">
        <v>6517</v>
      </c>
      <c r="M506" s="338" t="s">
        <v>6615</v>
      </c>
      <c r="N506" s="338" t="s">
        <v>8312</v>
      </c>
      <c r="O506" s="337">
        <v>0</v>
      </c>
      <c r="P506" s="337">
        <v>0</v>
      </c>
      <c r="Q506" s="338" t="s">
        <v>8312</v>
      </c>
      <c r="R506" s="338" t="s">
        <v>14</v>
      </c>
      <c r="S506" s="338"/>
      <c r="T506" s="338"/>
      <c r="U506" s="338" t="s">
        <v>6678</v>
      </c>
      <c r="V506" s="337">
        <v>0</v>
      </c>
      <c r="W506" s="337">
        <v>0</v>
      </c>
      <c r="X506" s="338"/>
      <c r="Y506" s="338" t="s">
        <v>6085</v>
      </c>
      <c r="Z506" s="338" t="s">
        <v>8029</v>
      </c>
      <c r="AA506" s="338" t="s">
        <v>6079</v>
      </c>
      <c r="AB506" s="338"/>
      <c r="AC506" s="338" t="s">
        <v>6290</v>
      </c>
      <c r="AD506" s="338"/>
      <c r="AF506" s="502" t="str">
        <f>Table15[[#This Row],[code2]]</f>
        <v>PRL</v>
      </c>
      <c r="AG506" s="502" t="str">
        <f>Table15[[#This Row],[code5]]</f>
        <v>PRLBFDS</v>
      </c>
    </row>
    <row r="507" spans="1:33">
      <c r="A507" s="338" t="s">
        <v>6072</v>
      </c>
      <c r="B507" s="338" t="s">
        <v>6073</v>
      </c>
      <c r="C507" s="337">
        <v>1</v>
      </c>
      <c r="D507" s="338" t="s">
        <v>6513</v>
      </c>
      <c r="E507" s="338" t="s">
        <v>6514</v>
      </c>
      <c r="F507" s="337">
        <v>1</v>
      </c>
      <c r="G507" s="337">
        <v>1</v>
      </c>
      <c r="H507" s="338" t="s">
        <v>6515</v>
      </c>
      <c r="I507" s="338" t="s">
        <v>9548</v>
      </c>
      <c r="J507" s="338" t="s">
        <v>9551</v>
      </c>
      <c r="K507" s="338" t="s">
        <v>6516</v>
      </c>
      <c r="L507" s="338" t="s">
        <v>6517</v>
      </c>
      <c r="M507" s="338" t="s">
        <v>6615</v>
      </c>
      <c r="N507" s="338" t="s">
        <v>8312</v>
      </c>
      <c r="O507" s="337">
        <v>0</v>
      </c>
      <c r="P507" s="337">
        <v>0</v>
      </c>
      <c r="Q507" s="338" t="s">
        <v>8312</v>
      </c>
      <c r="R507" s="338" t="s">
        <v>14</v>
      </c>
      <c r="S507" s="338"/>
      <c r="T507" s="338"/>
      <c r="U507" s="338" t="s">
        <v>6679</v>
      </c>
      <c r="V507" s="337">
        <v>0</v>
      </c>
      <c r="W507" s="337">
        <v>0</v>
      </c>
      <c r="X507" s="338"/>
      <c r="Y507" s="338" t="s">
        <v>497</v>
      </c>
      <c r="Z507" s="338" t="s">
        <v>6289</v>
      </c>
      <c r="AA507" s="338" t="s">
        <v>6079</v>
      </c>
      <c r="AB507" s="338"/>
      <c r="AC507" s="338" t="s">
        <v>6295</v>
      </c>
      <c r="AD507" s="338"/>
      <c r="AF507" s="502" t="str">
        <f>Table15[[#This Row],[code2]]</f>
        <v>PRL</v>
      </c>
      <c r="AG507" s="502" t="str">
        <f>Table15[[#This Row],[code5]]</f>
        <v>PRLBFDS</v>
      </c>
    </row>
    <row r="508" spans="1:33">
      <c r="A508" s="338" t="s">
        <v>6072</v>
      </c>
      <c r="B508" s="338" t="s">
        <v>6073</v>
      </c>
      <c r="C508" s="337">
        <v>1</v>
      </c>
      <c r="D508" s="338" t="s">
        <v>6513</v>
      </c>
      <c r="E508" s="338" t="s">
        <v>6514</v>
      </c>
      <c r="F508" s="337">
        <v>1</v>
      </c>
      <c r="G508" s="337">
        <v>1</v>
      </c>
      <c r="H508" s="338" t="s">
        <v>6515</v>
      </c>
      <c r="I508" s="338" t="s">
        <v>9548</v>
      </c>
      <c r="J508" s="338" t="s">
        <v>9551</v>
      </c>
      <c r="K508" s="338" t="s">
        <v>6516</v>
      </c>
      <c r="L508" s="338" t="s">
        <v>6517</v>
      </c>
      <c r="M508" s="338" t="s">
        <v>6615</v>
      </c>
      <c r="N508" s="338" t="s">
        <v>8312</v>
      </c>
      <c r="O508" s="337">
        <v>0</v>
      </c>
      <c r="P508" s="337">
        <v>0</v>
      </c>
      <c r="Q508" s="338" t="s">
        <v>8312</v>
      </c>
      <c r="R508" s="338" t="s">
        <v>14</v>
      </c>
      <c r="S508" s="338"/>
      <c r="T508" s="338"/>
      <c r="U508" s="338" t="s">
        <v>6680</v>
      </c>
      <c r="V508" s="337">
        <v>0</v>
      </c>
      <c r="W508" s="337">
        <v>0</v>
      </c>
      <c r="X508" s="338"/>
      <c r="Y508" s="338" t="s">
        <v>6081</v>
      </c>
      <c r="Z508" s="338" t="s">
        <v>8281</v>
      </c>
      <c r="AA508" s="338" t="s">
        <v>6079</v>
      </c>
      <c r="AB508" s="338"/>
      <c r="AC508" s="338" t="s">
        <v>6295</v>
      </c>
      <c r="AD508" s="338"/>
      <c r="AF508" s="502" t="str">
        <f>Table15[[#This Row],[code2]]</f>
        <v>PRL</v>
      </c>
      <c r="AG508" s="502" t="str">
        <f>Table15[[#This Row],[code5]]</f>
        <v>PRLBFDS</v>
      </c>
    </row>
    <row r="509" spans="1:33">
      <c r="A509" s="338" t="s">
        <v>6072</v>
      </c>
      <c r="B509" s="338" t="s">
        <v>6073</v>
      </c>
      <c r="C509" s="337">
        <v>1</v>
      </c>
      <c r="D509" s="338" t="s">
        <v>6513</v>
      </c>
      <c r="E509" s="338" t="s">
        <v>6514</v>
      </c>
      <c r="F509" s="337">
        <v>1</v>
      </c>
      <c r="G509" s="337">
        <v>1</v>
      </c>
      <c r="H509" s="338" t="s">
        <v>6515</v>
      </c>
      <c r="I509" s="338" t="s">
        <v>9548</v>
      </c>
      <c r="J509" s="338" t="s">
        <v>9551</v>
      </c>
      <c r="K509" s="338" t="s">
        <v>6516</v>
      </c>
      <c r="L509" s="338" t="s">
        <v>6517</v>
      </c>
      <c r="M509" s="338" t="s">
        <v>6615</v>
      </c>
      <c r="N509" s="338" t="s">
        <v>8312</v>
      </c>
      <c r="O509" s="337">
        <v>0</v>
      </c>
      <c r="P509" s="337">
        <v>0</v>
      </c>
      <c r="Q509" s="338" t="s">
        <v>8312</v>
      </c>
      <c r="R509" s="338" t="s">
        <v>14</v>
      </c>
      <c r="S509" s="338"/>
      <c r="T509" s="338"/>
      <c r="U509" s="338" t="s">
        <v>6681</v>
      </c>
      <c r="V509" s="337">
        <v>0</v>
      </c>
      <c r="W509" s="337">
        <v>0</v>
      </c>
      <c r="X509" s="338"/>
      <c r="Y509" s="338" t="s">
        <v>493</v>
      </c>
      <c r="Z509" s="338" t="s">
        <v>6289</v>
      </c>
      <c r="AA509" s="338" t="s">
        <v>6079</v>
      </c>
      <c r="AB509" s="338"/>
      <c r="AC509" s="338" t="s">
        <v>6295</v>
      </c>
      <c r="AD509" s="338"/>
      <c r="AF509" s="502" t="str">
        <f>Table15[[#This Row],[code2]]</f>
        <v>PRL</v>
      </c>
      <c r="AG509" s="502" t="str">
        <f>Table15[[#This Row],[code5]]</f>
        <v>PRLBFDS</v>
      </c>
    </row>
    <row r="510" spans="1:33">
      <c r="A510" s="338" t="s">
        <v>6072</v>
      </c>
      <c r="B510" s="338" t="s">
        <v>6073</v>
      </c>
      <c r="C510" s="337">
        <v>1</v>
      </c>
      <c r="D510" s="338" t="s">
        <v>6513</v>
      </c>
      <c r="E510" s="338" t="s">
        <v>6514</v>
      </c>
      <c r="F510" s="337">
        <v>1</v>
      </c>
      <c r="G510" s="337">
        <v>1</v>
      </c>
      <c r="H510" s="338" t="s">
        <v>6515</v>
      </c>
      <c r="I510" s="338" t="s">
        <v>9548</v>
      </c>
      <c r="J510" s="338" t="s">
        <v>9551</v>
      </c>
      <c r="K510" s="338" t="s">
        <v>6516</v>
      </c>
      <c r="L510" s="338" t="s">
        <v>6517</v>
      </c>
      <c r="M510" s="338" t="s">
        <v>6615</v>
      </c>
      <c r="N510" s="338" t="s">
        <v>8312</v>
      </c>
      <c r="O510" s="337">
        <v>0</v>
      </c>
      <c r="P510" s="337">
        <v>0</v>
      </c>
      <c r="Q510" s="338" t="s">
        <v>8312</v>
      </c>
      <c r="R510" s="338" t="s">
        <v>14</v>
      </c>
      <c r="S510" s="338"/>
      <c r="T510" s="338"/>
      <c r="U510" s="338" t="s">
        <v>6682</v>
      </c>
      <c r="V510" s="337">
        <v>0</v>
      </c>
      <c r="W510" s="337">
        <v>0</v>
      </c>
      <c r="X510" s="338"/>
      <c r="Y510" s="338" t="s">
        <v>6085</v>
      </c>
      <c r="Z510" s="338" t="s">
        <v>8029</v>
      </c>
      <c r="AA510" s="338" t="s">
        <v>6079</v>
      </c>
      <c r="AB510" s="338"/>
      <c r="AC510" s="338" t="s">
        <v>6295</v>
      </c>
      <c r="AD510" s="338"/>
      <c r="AF510" s="502" t="str">
        <f>Table15[[#This Row],[code2]]</f>
        <v>PRL</v>
      </c>
      <c r="AG510" s="502" t="str">
        <f>Table15[[#This Row],[code5]]</f>
        <v>PRLBFDS</v>
      </c>
    </row>
    <row r="511" spans="1:33">
      <c r="A511" s="338" t="s">
        <v>6072</v>
      </c>
      <c r="B511" s="338" t="s">
        <v>6073</v>
      </c>
      <c r="C511" s="337">
        <v>1</v>
      </c>
      <c r="D511" s="338" t="s">
        <v>6513</v>
      </c>
      <c r="E511" s="338" t="s">
        <v>6514</v>
      </c>
      <c r="F511" s="337">
        <v>1</v>
      </c>
      <c r="G511" s="337">
        <v>1</v>
      </c>
      <c r="H511" s="338" t="s">
        <v>6515</v>
      </c>
      <c r="I511" s="338" t="s">
        <v>9548</v>
      </c>
      <c r="J511" s="338" t="s">
        <v>9551</v>
      </c>
      <c r="K511" s="338" t="s">
        <v>6516</v>
      </c>
      <c r="L511" s="338" t="s">
        <v>6517</v>
      </c>
      <c r="M511" s="338" t="s">
        <v>6615</v>
      </c>
      <c r="N511" s="338" t="s">
        <v>8312</v>
      </c>
      <c r="O511" s="337">
        <v>0</v>
      </c>
      <c r="P511" s="337">
        <v>0</v>
      </c>
      <c r="Q511" s="338" t="s">
        <v>8312</v>
      </c>
      <c r="R511" s="338" t="s">
        <v>14</v>
      </c>
      <c r="S511" s="338"/>
      <c r="T511" s="338"/>
      <c r="U511" s="338" t="s">
        <v>6683</v>
      </c>
      <c r="V511" s="337">
        <v>0</v>
      </c>
      <c r="W511" s="337">
        <v>0</v>
      </c>
      <c r="X511" s="338"/>
      <c r="Y511" s="338" t="s">
        <v>497</v>
      </c>
      <c r="Z511" s="338" t="s">
        <v>6289</v>
      </c>
      <c r="AA511" s="338" t="s">
        <v>6079</v>
      </c>
      <c r="AB511" s="338"/>
      <c r="AC511" s="338" t="s">
        <v>6300</v>
      </c>
      <c r="AD511" s="338"/>
      <c r="AF511" s="502" t="str">
        <f>Table15[[#This Row],[code2]]</f>
        <v>PRL</v>
      </c>
      <c r="AG511" s="502" t="str">
        <f>Table15[[#This Row],[code5]]</f>
        <v>PRLBFDS</v>
      </c>
    </row>
    <row r="512" spans="1:33">
      <c r="A512" s="338" t="s">
        <v>6072</v>
      </c>
      <c r="B512" s="338" t="s">
        <v>6073</v>
      </c>
      <c r="C512" s="337">
        <v>1</v>
      </c>
      <c r="D512" s="338" t="s">
        <v>6513</v>
      </c>
      <c r="E512" s="338" t="s">
        <v>6514</v>
      </c>
      <c r="F512" s="337">
        <v>1</v>
      </c>
      <c r="G512" s="337">
        <v>1</v>
      </c>
      <c r="H512" s="338" t="s">
        <v>6515</v>
      </c>
      <c r="I512" s="338" t="s">
        <v>9548</v>
      </c>
      <c r="J512" s="338" t="s">
        <v>9551</v>
      </c>
      <c r="K512" s="338" t="s">
        <v>6516</v>
      </c>
      <c r="L512" s="338" t="s">
        <v>6517</v>
      </c>
      <c r="M512" s="338" t="s">
        <v>6615</v>
      </c>
      <c r="N512" s="338" t="s">
        <v>8312</v>
      </c>
      <c r="O512" s="337">
        <v>0</v>
      </c>
      <c r="P512" s="337">
        <v>0</v>
      </c>
      <c r="Q512" s="338" t="s">
        <v>8312</v>
      </c>
      <c r="R512" s="338" t="s">
        <v>14</v>
      </c>
      <c r="S512" s="338"/>
      <c r="T512" s="338"/>
      <c r="U512" s="338" t="s">
        <v>6684</v>
      </c>
      <c r="V512" s="337">
        <v>0</v>
      </c>
      <c r="W512" s="337">
        <v>0</v>
      </c>
      <c r="X512" s="338"/>
      <c r="Y512" s="338" t="s">
        <v>6081</v>
      </c>
      <c r="Z512" s="338" t="s">
        <v>8290</v>
      </c>
      <c r="AA512" s="338" t="s">
        <v>6079</v>
      </c>
      <c r="AB512" s="338"/>
      <c r="AC512" s="338" t="s">
        <v>6300</v>
      </c>
      <c r="AD512" s="338"/>
      <c r="AF512" s="502" t="str">
        <f>Table15[[#This Row],[code2]]</f>
        <v>PRL</v>
      </c>
      <c r="AG512" s="502" t="str">
        <f>Table15[[#This Row],[code5]]</f>
        <v>PRLBFDS</v>
      </c>
    </row>
    <row r="513" spans="1:33">
      <c r="A513" s="338" t="s">
        <v>6072</v>
      </c>
      <c r="B513" s="338" t="s">
        <v>6073</v>
      </c>
      <c r="C513" s="337">
        <v>1</v>
      </c>
      <c r="D513" s="338" t="s">
        <v>6513</v>
      </c>
      <c r="E513" s="338" t="s">
        <v>6514</v>
      </c>
      <c r="F513" s="337">
        <v>1</v>
      </c>
      <c r="G513" s="337">
        <v>1</v>
      </c>
      <c r="H513" s="338" t="s">
        <v>6515</v>
      </c>
      <c r="I513" s="338" t="s">
        <v>9548</v>
      </c>
      <c r="J513" s="338" t="s">
        <v>9551</v>
      </c>
      <c r="K513" s="338" t="s">
        <v>6516</v>
      </c>
      <c r="L513" s="338" t="s">
        <v>6517</v>
      </c>
      <c r="M513" s="338" t="s">
        <v>6615</v>
      </c>
      <c r="N513" s="338" t="s">
        <v>8312</v>
      </c>
      <c r="O513" s="337">
        <v>0</v>
      </c>
      <c r="P513" s="337">
        <v>0</v>
      </c>
      <c r="Q513" s="338" t="s">
        <v>8312</v>
      </c>
      <c r="R513" s="338" t="s">
        <v>14</v>
      </c>
      <c r="S513" s="338"/>
      <c r="T513" s="338"/>
      <c r="U513" s="338" t="s">
        <v>6685</v>
      </c>
      <c r="V513" s="337">
        <v>0</v>
      </c>
      <c r="W513" s="337">
        <v>0</v>
      </c>
      <c r="X513" s="338"/>
      <c r="Y513" s="338" t="s">
        <v>493</v>
      </c>
      <c r="Z513" s="338" t="s">
        <v>6289</v>
      </c>
      <c r="AA513" s="338" t="s">
        <v>6079</v>
      </c>
      <c r="AB513" s="338"/>
      <c r="AC513" s="338" t="s">
        <v>6300</v>
      </c>
      <c r="AD513" s="338"/>
      <c r="AF513" s="502" t="str">
        <f>Table15[[#This Row],[code2]]</f>
        <v>PRL</v>
      </c>
      <c r="AG513" s="502" t="str">
        <f>Table15[[#This Row],[code5]]</f>
        <v>PRLBFDS</v>
      </c>
    </row>
    <row r="514" spans="1:33">
      <c r="A514" s="338" t="s">
        <v>6072</v>
      </c>
      <c r="B514" s="338" t="s">
        <v>6073</v>
      </c>
      <c r="C514" s="337">
        <v>1</v>
      </c>
      <c r="D514" s="338" t="s">
        <v>6513</v>
      </c>
      <c r="E514" s="338" t="s">
        <v>6514</v>
      </c>
      <c r="F514" s="337">
        <v>1</v>
      </c>
      <c r="G514" s="337">
        <v>1</v>
      </c>
      <c r="H514" s="338" t="s">
        <v>6515</v>
      </c>
      <c r="I514" s="338" t="s">
        <v>9548</v>
      </c>
      <c r="J514" s="338" t="s">
        <v>9551</v>
      </c>
      <c r="K514" s="338" t="s">
        <v>6516</v>
      </c>
      <c r="L514" s="338" t="s">
        <v>6517</v>
      </c>
      <c r="M514" s="338" t="s">
        <v>6615</v>
      </c>
      <c r="N514" s="338" t="s">
        <v>8312</v>
      </c>
      <c r="O514" s="337">
        <v>0</v>
      </c>
      <c r="P514" s="337">
        <v>0</v>
      </c>
      <c r="Q514" s="338" t="s">
        <v>8312</v>
      </c>
      <c r="R514" s="338" t="s">
        <v>14</v>
      </c>
      <c r="S514" s="338"/>
      <c r="T514" s="338"/>
      <c r="U514" s="338" t="s">
        <v>6686</v>
      </c>
      <c r="V514" s="337">
        <v>0</v>
      </c>
      <c r="W514" s="337">
        <v>0</v>
      </c>
      <c r="X514" s="338"/>
      <c r="Y514" s="338" t="s">
        <v>6085</v>
      </c>
      <c r="Z514" s="338" t="s">
        <v>8249</v>
      </c>
      <c r="AA514" s="338" t="s">
        <v>6079</v>
      </c>
      <c r="AB514" s="338"/>
      <c r="AC514" s="338" t="s">
        <v>6300</v>
      </c>
      <c r="AD514" s="338"/>
      <c r="AF514" s="502" t="str">
        <f>Table15[[#This Row],[code2]]</f>
        <v>PRL</v>
      </c>
      <c r="AG514" s="502" t="str">
        <f>Table15[[#This Row],[code5]]</f>
        <v>PRLBFDS</v>
      </c>
    </row>
    <row r="515" spans="1:33">
      <c r="A515" s="338" t="s">
        <v>6072</v>
      </c>
      <c r="B515" s="338" t="s">
        <v>6073</v>
      </c>
      <c r="C515" s="337">
        <v>1</v>
      </c>
      <c r="D515" s="338" t="s">
        <v>6513</v>
      </c>
      <c r="E515" s="338" t="s">
        <v>6514</v>
      </c>
      <c r="F515" s="337">
        <v>1</v>
      </c>
      <c r="G515" s="337">
        <v>1</v>
      </c>
      <c r="H515" s="338" t="s">
        <v>6515</v>
      </c>
      <c r="I515" s="338" t="s">
        <v>9548</v>
      </c>
      <c r="J515" s="338" t="s">
        <v>9551</v>
      </c>
      <c r="K515" s="338" t="s">
        <v>6516</v>
      </c>
      <c r="L515" s="338" t="s">
        <v>6517</v>
      </c>
      <c r="M515" s="338" t="s">
        <v>6615</v>
      </c>
      <c r="N515" s="338" t="s">
        <v>8312</v>
      </c>
      <c r="O515" s="337">
        <v>0</v>
      </c>
      <c r="P515" s="337">
        <v>0</v>
      </c>
      <c r="Q515" s="338" t="s">
        <v>8312</v>
      </c>
      <c r="R515" s="338" t="s">
        <v>14</v>
      </c>
      <c r="S515" s="338"/>
      <c r="T515" s="338"/>
      <c r="U515" s="338" t="s">
        <v>6687</v>
      </c>
      <c r="V515" s="337">
        <v>0</v>
      </c>
      <c r="W515" s="337">
        <v>0</v>
      </c>
      <c r="X515" s="338"/>
      <c r="Y515" s="338" t="s">
        <v>497</v>
      </c>
      <c r="Z515" s="338" t="s">
        <v>6289</v>
      </c>
      <c r="AA515" s="338" t="s">
        <v>6079</v>
      </c>
      <c r="AB515" s="338"/>
      <c r="AC515" s="338" t="s">
        <v>6305</v>
      </c>
      <c r="AD515" s="338"/>
      <c r="AF515" s="502" t="str">
        <f>Table15[[#This Row],[code2]]</f>
        <v>PRL</v>
      </c>
      <c r="AG515" s="502" t="str">
        <f>Table15[[#This Row],[code5]]</f>
        <v>PRLBFDS</v>
      </c>
    </row>
    <row r="516" spans="1:33">
      <c r="A516" s="338" t="s">
        <v>6072</v>
      </c>
      <c r="B516" s="338" t="s">
        <v>6073</v>
      </c>
      <c r="C516" s="337">
        <v>1</v>
      </c>
      <c r="D516" s="338" t="s">
        <v>6513</v>
      </c>
      <c r="E516" s="338" t="s">
        <v>6514</v>
      </c>
      <c r="F516" s="337">
        <v>1</v>
      </c>
      <c r="G516" s="337">
        <v>1</v>
      </c>
      <c r="H516" s="338" t="s">
        <v>6515</v>
      </c>
      <c r="I516" s="338" t="s">
        <v>9548</v>
      </c>
      <c r="J516" s="338" t="s">
        <v>9551</v>
      </c>
      <c r="K516" s="338" t="s">
        <v>6516</v>
      </c>
      <c r="L516" s="338" t="s">
        <v>6517</v>
      </c>
      <c r="M516" s="338" t="s">
        <v>6615</v>
      </c>
      <c r="N516" s="338" t="s">
        <v>8312</v>
      </c>
      <c r="O516" s="337">
        <v>0</v>
      </c>
      <c r="P516" s="337">
        <v>0</v>
      </c>
      <c r="Q516" s="338" t="s">
        <v>8312</v>
      </c>
      <c r="R516" s="338" t="s">
        <v>14</v>
      </c>
      <c r="S516" s="338"/>
      <c r="T516" s="338"/>
      <c r="U516" s="338" t="s">
        <v>6688</v>
      </c>
      <c r="V516" s="337">
        <v>0</v>
      </c>
      <c r="W516" s="337">
        <v>0</v>
      </c>
      <c r="X516" s="338"/>
      <c r="Y516" s="338" t="s">
        <v>6081</v>
      </c>
      <c r="Z516" s="338" t="s">
        <v>8290</v>
      </c>
      <c r="AA516" s="338" t="s">
        <v>6079</v>
      </c>
      <c r="AB516" s="338"/>
      <c r="AC516" s="338" t="s">
        <v>6305</v>
      </c>
      <c r="AD516" s="338"/>
      <c r="AF516" s="502" t="str">
        <f>Table15[[#This Row],[code2]]</f>
        <v>PRL</v>
      </c>
      <c r="AG516" s="502" t="str">
        <f>Table15[[#This Row],[code5]]</f>
        <v>PRLBFDS</v>
      </c>
    </row>
    <row r="517" spans="1:33">
      <c r="A517" s="338" t="s">
        <v>6072</v>
      </c>
      <c r="B517" s="338" t="s">
        <v>6073</v>
      </c>
      <c r="C517" s="337">
        <v>1</v>
      </c>
      <c r="D517" s="338" t="s">
        <v>6513</v>
      </c>
      <c r="E517" s="338" t="s">
        <v>6514</v>
      </c>
      <c r="F517" s="337">
        <v>1</v>
      </c>
      <c r="G517" s="337">
        <v>1</v>
      </c>
      <c r="H517" s="338" t="s">
        <v>6515</v>
      </c>
      <c r="I517" s="338" t="s">
        <v>9548</v>
      </c>
      <c r="J517" s="338" t="s">
        <v>9551</v>
      </c>
      <c r="K517" s="338" t="s">
        <v>6516</v>
      </c>
      <c r="L517" s="338" t="s">
        <v>6517</v>
      </c>
      <c r="M517" s="338" t="s">
        <v>6615</v>
      </c>
      <c r="N517" s="338" t="s">
        <v>8312</v>
      </c>
      <c r="O517" s="337">
        <v>0</v>
      </c>
      <c r="P517" s="337">
        <v>0</v>
      </c>
      <c r="Q517" s="338" t="s">
        <v>8312</v>
      </c>
      <c r="R517" s="338" t="s">
        <v>14</v>
      </c>
      <c r="S517" s="338"/>
      <c r="T517" s="338"/>
      <c r="U517" s="338" t="s">
        <v>6689</v>
      </c>
      <c r="V517" s="337">
        <v>0</v>
      </c>
      <c r="W517" s="337">
        <v>0</v>
      </c>
      <c r="X517" s="338"/>
      <c r="Y517" s="338" t="s">
        <v>493</v>
      </c>
      <c r="Z517" s="338" t="s">
        <v>6289</v>
      </c>
      <c r="AA517" s="338" t="s">
        <v>6079</v>
      </c>
      <c r="AB517" s="338"/>
      <c r="AC517" s="338" t="s">
        <v>6305</v>
      </c>
      <c r="AD517" s="338"/>
      <c r="AF517" s="502" t="str">
        <f>Table15[[#This Row],[code2]]</f>
        <v>PRL</v>
      </c>
      <c r="AG517" s="502" t="str">
        <f>Table15[[#This Row],[code5]]</f>
        <v>PRLBFDS</v>
      </c>
    </row>
    <row r="518" spans="1:33">
      <c r="A518" s="338" t="s">
        <v>6072</v>
      </c>
      <c r="B518" s="338" t="s">
        <v>6073</v>
      </c>
      <c r="C518" s="337">
        <v>1</v>
      </c>
      <c r="D518" s="338" t="s">
        <v>6513</v>
      </c>
      <c r="E518" s="338" t="s">
        <v>6514</v>
      </c>
      <c r="F518" s="337">
        <v>1</v>
      </c>
      <c r="G518" s="337">
        <v>1</v>
      </c>
      <c r="H518" s="338" t="s">
        <v>6515</v>
      </c>
      <c r="I518" s="338" t="s">
        <v>9548</v>
      </c>
      <c r="J518" s="338" t="s">
        <v>9551</v>
      </c>
      <c r="K518" s="338" t="s">
        <v>6516</v>
      </c>
      <c r="L518" s="338" t="s">
        <v>6517</v>
      </c>
      <c r="M518" s="338" t="s">
        <v>6615</v>
      </c>
      <c r="N518" s="338" t="s">
        <v>8312</v>
      </c>
      <c r="O518" s="337">
        <v>0</v>
      </c>
      <c r="P518" s="337">
        <v>0</v>
      </c>
      <c r="Q518" s="338" t="s">
        <v>8312</v>
      </c>
      <c r="R518" s="338" t="s">
        <v>14</v>
      </c>
      <c r="S518" s="338"/>
      <c r="T518" s="338"/>
      <c r="U518" s="338" t="s">
        <v>6690</v>
      </c>
      <c r="V518" s="337">
        <v>0</v>
      </c>
      <c r="W518" s="337">
        <v>0</v>
      </c>
      <c r="X518" s="338"/>
      <c r="Y518" s="338" t="s">
        <v>6085</v>
      </c>
      <c r="Z518" s="338" t="s">
        <v>8249</v>
      </c>
      <c r="AA518" s="338" t="s">
        <v>6079</v>
      </c>
      <c r="AB518" s="338"/>
      <c r="AC518" s="338" t="s">
        <v>6305</v>
      </c>
      <c r="AD518" s="338"/>
      <c r="AF518" s="502" t="str">
        <f>Table15[[#This Row],[code2]]</f>
        <v>PRL</v>
      </c>
      <c r="AG518" s="502" t="str">
        <f>Table15[[#This Row],[code5]]</f>
        <v>PRLBFDS</v>
      </c>
    </row>
    <row r="519" spans="1:33">
      <c r="A519" s="338" t="s">
        <v>6072</v>
      </c>
      <c r="B519" s="338" t="s">
        <v>6073</v>
      </c>
      <c r="C519" s="337">
        <v>1</v>
      </c>
      <c r="D519" s="338" t="s">
        <v>6513</v>
      </c>
      <c r="E519" s="338" t="s">
        <v>6514</v>
      </c>
      <c r="F519" s="337">
        <v>1</v>
      </c>
      <c r="G519" s="337">
        <v>1</v>
      </c>
      <c r="H519" s="338" t="s">
        <v>6515</v>
      </c>
      <c r="I519" s="338" t="s">
        <v>9548</v>
      </c>
      <c r="J519" s="338" t="s">
        <v>9551</v>
      </c>
      <c r="K519" s="338" t="s">
        <v>6516</v>
      </c>
      <c r="L519" s="338" t="s">
        <v>6517</v>
      </c>
      <c r="M519" s="338" t="s">
        <v>6691</v>
      </c>
      <c r="N519" s="338" t="s">
        <v>8941</v>
      </c>
      <c r="O519" s="337">
        <v>0</v>
      </c>
      <c r="P519" s="337">
        <v>0</v>
      </c>
      <c r="Q519" s="338"/>
      <c r="R519" s="338"/>
      <c r="S519" s="338"/>
      <c r="T519" s="338" t="s">
        <v>7912</v>
      </c>
      <c r="U519" s="338" t="s">
        <v>6692</v>
      </c>
      <c r="V519" s="337">
        <v>0</v>
      </c>
      <c r="W519" s="337">
        <v>0</v>
      </c>
      <c r="X519" s="338" t="s">
        <v>6078</v>
      </c>
      <c r="Y519" s="338" t="s">
        <v>497</v>
      </c>
      <c r="Z519" s="338" t="s">
        <v>8657</v>
      </c>
      <c r="AA519" s="338" t="s">
        <v>6079</v>
      </c>
      <c r="AB519" s="338"/>
      <c r="AC519" s="338"/>
      <c r="AD519" s="338"/>
      <c r="AF519" s="502" t="str">
        <f>Table15[[#This Row],[code2]]</f>
        <v>PRL</v>
      </c>
      <c r="AG519" s="502" t="str">
        <f>Table15[[#This Row],[code5]]</f>
        <v>ILL</v>
      </c>
    </row>
    <row r="520" spans="1:33">
      <c r="A520" s="338" t="s">
        <v>6072</v>
      </c>
      <c r="B520" s="338" t="s">
        <v>6073</v>
      </c>
      <c r="C520" s="337">
        <v>1</v>
      </c>
      <c r="D520" s="338" t="s">
        <v>6513</v>
      </c>
      <c r="E520" s="338" t="s">
        <v>6514</v>
      </c>
      <c r="F520" s="337">
        <v>1</v>
      </c>
      <c r="G520" s="337">
        <v>1</v>
      </c>
      <c r="H520" s="338" t="s">
        <v>6515</v>
      </c>
      <c r="I520" s="338" t="s">
        <v>9548</v>
      </c>
      <c r="J520" s="338" t="s">
        <v>9551</v>
      </c>
      <c r="K520" s="338" t="s">
        <v>6516</v>
      </c>
      <c r="L520" s="338" t="s">
        <v>6517</v>
      </c>
      <c r="M520" s="338" t="s">
        <v>6691</v>
      </c>
      <c r="N520" s="338" t="s">
        <v>8941</v>
      </c>
      <c r="O520" s="337">
        <v>0</v>
      </c>
      <c r="P520" s="337">
        <v>0</v>
      </c>
      <c r="Q520" s="338"/>
      <c r="R520" s="338"/>
      <c r="S520" s="338"/>
      <c r="T520" s="338" t="s">
        <v>7912</v>
      </c>
      <c r="U520" s="338" t="s">
        <v>6693</v>
      </c>
      <c r="V520" s="337">
        <v>0</v>
      </c>
      <c r="W520" s="337">
        <v>0</v>
      </c>
      <c r="X520" s="338" t="s">
        <v>6078</v>
      </c>
      <c r="Y520" s="338" t="s">
        <v>6081</v>
      </c>
      <c r="Z520" s="338" t="s">
        <v>8657</v>
      </c>
      <c r="AA520" s="338" t="s">
        <v>6079</v>
      </c>
      <c r="AB520" s="338"/>
      <c r="AC520" s="338"/>
      <c r="AD520" s="338"/>
      <c r="AF520" s="502" t="str">
        <f>Table15[[#This Row],[code2]]</f>
        <v>PRL</v>
      </c>
      <c r="AG520" s="502" t="str">
        <f>Table15[[#This Row],[code5]]</f>
        <v>ILL</v>
      </c>
    </row>
    <row r="521" spans="1:33">
      <c r="A521" s="338" t="s">
        <v>6072</v>
      </c>
      <c r="B521" s="338" t="s">
        <v>6073</v>
      </c>
      <c r="C521" s="337">
        <v>1</v>
      </c>
      <c r="D521" s="338" t="s">
        <v>6513</v>
      </c>
      <c r="E521" s="338" t="s">
        <v>6514</v>
      </c>
      <c r="F521" s="337">
        <v>1</v>
      </c>
      <c r="G521" s="337">
        <v>1</v>
      </c>
      <c r="H521" s="338" t="s">
        <v>6515</v>
      </c>
      <c r="I521" s="338" t="s">
        <v>9548</v>
      </c>
      <c r="J521" s="338" t="s">
        <v>9551</v>
      </c>
      <c r="K521" s="338" t="s">
        <v>6516</v>
      </c>
      <c r="L521" s="338" t="s">
        <v>6517</v>
      </c>
      <c r="M521" s="338" t="s">
        <v>6691</v>
      </c>
      <c r="N521" s="338" t="s">
        <v>8941</v>
      </c>
      <c r="O521" s="337">
        <v>0</v>
      </c>
      <c r="P521" s="337">
        <v>0</v>
      </c>
      <c r="Q521" s="338"/>
      <c r="R521" s="338"/>
      <c r="S521" s="338"/>
      <c r="T521" s="338" t="s">
        <v>7912</v>
      </c>
      <c r="U521" s="338" t="s">
        <v>6694</v>
      </c>
      <c r="V521" s="337">
        <v>0</v>
      </c>
      <c r="W521" s="337">
        <v>0</v>
      </c>
      <c r="X521" s="338" t="s">
        <v>6078</v>
      </c>
      <c r="Y521" s="338" t="s">
        <v>493</v>
      </c>
      <c r="Z521" s="338" t="s">
        <v>8736</v>
      </c>
      <c r="AA521" s="338" t="s">
        <v>6079</v>
      </c>
      <c r="AB521" s="338"/>
      <c r="AC521" s="338"/>
      <c r="AD521" s="338"/>
      <c r="AF521" s="502" t="str">
        <f>Table15[[#This Row],[code2]]</f>
        <v>PRL</v>
      </c>
      <c r="AG521" s="502" t="str">
        <f>Table15[[#This Row],[code5]]</f>
        <v>ILL</v>
      </c>
    </row>
    <row r="522" spans="1:33">
      <c r="A522" s="338" t="s">
        <v>6072</v>
      </c>
      <c r="B522" s="338" t="s">
        <v>6073</v>
      </c>
      <c r="C522" s="337">
        <v>1</v>
      </c>
      <c r="D522" s="338" t="s">
        <v>6513</v>
      </c>
      <c r="E522" s="338" t="s">
        <v>6514</v>
      </c>
      <c r="F522" s="337">
        <v>1</v>
      </c>
      <c r="G522" s="337">
        <v>1</v>
      </c>
      <c r="H522" s="338" t="s">
        <v>6515</v>
      </c>
      <c r="I522" s="338" t="s">
        <v>9548</v>
      </c>
      <c r="J522" s="338" t="s">
        <v>9551</v>
      </c>
      <c r="K522" s="338" t="s">
        <v>6516</v>
      </c>
      <c r="L522" s="338" t="s">
        <v>6517</v>
      </c>
      <c r="M522" s="338" t="s">
        <v>6691</v>
      </c>
      <c r="N522" s="338" t="s">
        <v>8941</v>
      </c>
      <c r="O522" s="337">
        <v>0</v>
      </c>
      <c r="P522" s="337">
        <v>0</v>
      </c>
      <c r="Q522" s="338"/>
      <c r="R522" s="338"/>
      <c r="S522" s="338"/>
      <c r="T522" s="338" t="s">
        <v>7912</v>
      </c>
      <c r="U522" s="338" t="s">
        <v>6695</v>
      </c>
      <c r="V522" s="337">
        <v>0</v>
      </c>
      <c r="W522" s="337">
        <v>0</v>
      </c>
      <c r="X522" s="338" t="s">
        <v>6078</v>
      </c>
      <c r="Y522" s="338" t="s">
        <v>6085</v>
      </c>
      <c r="Z522" s="338" t="s">
        <v>8737</v>
      </c>
      <c r="AA522" s="338" t="s">
        <v>6079</v>
      </c>
      <c r="AB522" s="338"/>
      <c r="AC522" s="338"/>
      <c r="AD522" s="338"/>
      <c r="AF522" s="502" t="str">
        <f>Table15[[#This Row],[code2]]</f>
        <v>PRL</v>
      </c>
      <c r="AG522" s="502" t="str">
        <f>Table15[[#This Row],[code5]]</f>
        <v>ILL</v>
      </c>
    </row>
    <row r="523" spans="1:33">
      <c r="A523" s="338" t="s">
        <v>6072</v>
      </c>
      <c r="B523" s="338" t="s">
        <v>6073</v>
      </c>
      <c r="C523" s="337">
        <v>1</v>
      </c>
      <c r="D523" s="338" t="s">
        <v>6513</v>
      </c>
      <c r="E523" s="338" t="s">
        <v>6514</v>
      </c>
      <c r="F523" s="337">
        <v>1</v>
      </c>
      <c r="G523" s="337">
        <v>1</v>
      </c>
      <c r="H523" s="338" t="s">
        <v>6515</v>
      </c>
      <c r="I523" s="338" t="s">
        <v>9548</v>
      </c>
      <c r="J523" s="338" t="s">
        <v>9551</v>
      </c>
      <c r="K523" s="338" t="s">
        <v>6516</v>
      </c>
      <c r="L523" s="338" t="s">
        <v>6517</v>
      </c>
      <c r="M523" s="338" t="s">
        <v>6696</v>
      </c>
      <c r="N523" s="338" t="s">
        <v>6315</v>
      </c>
      <c r="O523" s="337">
        <v>0</v>
      </c>
      <c r="P523" s="337">
        <v>0</v>
      </c>
      <c r="Q523" s="338" t="s">
        <v>6315</v>
      </c>
      <c r="R523" s="338"/>
      <c r="S523" s="338"/>
      <c r="T523" s="338" t="s">
        <v>6316</v>
      </c>
      <c r="U523" s="338" t="s">
        <v>6697</v>
      </c>
      <c r="V523" s="337">
        <v>0</v>
      </c>
      <c r="W523" s="337">
        <v>0</v>
      </c>
      <c r="X523" s="338" t="s">
        <v>6078</v>
      </c>
      <c r="Y523" s="338" t="s">
        <v>6318</v>
      </c>
      <c r="Z523" s="338" t="s">
        <v>8738</v>
      </c>
      <c r="AA523" s="338" t="s">
        <v>6079</v>
      </c>
      <c r="AB523" s="338"/>
      <c r="AC523" s="338"/>
      <c r="AD523" s="338"/>
      <c r="AF523" s="502" t="str">
        <f>Table15[[#This Row],[code2]]</f>
        <v>PRL</v>
      </c>
      <c r="AG523" s="502" t="str">
        <f>Table15[[#This Row],[code5]]</f>
        <v>IMS</v>
      </c>
    </row>
    <row r="524" spans="1:33">
      <c r="A524" s="338" t="s">
        <v>6072</v>
      </c>
      <c r="B524" s="338" t="s">
        <v>6073</v>
      </c>
      <c r="C524" s="337">
        <v>1</v>
      </c>
      <c r="D524" s="338" t="s">
        <v>6513</v>
      </c>
      <c r="E524" s="338" t="s">
        <v>6514</v>
      </c>
      <c r="F524" s="337">
        <v>1</v>
      </c>
      <c r="G524" s="337">
        <v>1</v>
      </c>
      <c r="H524" s="338" t="s">
        <v>6515</v>
      </c>
      <c r="I524" s="338" t="s">
        <v>9548</v>
      </c>
      <c r="J524" s="338" t="s">
        <v>9551</v>
      </c>
      <c r="K524" s="338" t="s">
        <v>6516</v>
      </c>
      <c r="L524" s="338" t="s">
        <v>6517</v>
      </c>
      <c r="M524" s="338" t="s">
        <v>6696</v>
      </c>
      <c r="N524" s="338" t="s">
        <v>6315</v>
      </c>
      <c r="O524" s="337">
        <v>0</v>
      </c>
      <c r="P524" s="337">
        <v>0</v>
      </c>
      <c r="Q524" s="338" t="s">
        <v>6315</v>
      </c>
      <c r="R524" s="338"/>
      <c r="S524" s="338"/>
      <c r="T524" s="338" t="s">
        <v>6316</v>
      </c>
      <c r="U524" s="338" t="s">
        <v>6698</v>
      </c>
      <c r="V524" s="337">
        <v>0</v>
      </c>
      <c r="W524" s="337">
        <v>0</v>
      </c>
      <c r="X524" s="338" t="s">
        <v>6078</v>
      </c>
      <c r="Y524" s="338" t="s">
        <v>6320</v>
      </c>
      <c r="Z524" s="338" t="s">
        <v>8738</v>
      </c>
      <c r="AA524" s="338" t="s">
        <v>6079</v>
      </c>
      <c r="AB524" s="338"/>
      <c r="AC524" s="338"/>
      <c r="AD524" s="338"/>
      <c r="AF524" s="502" t="str">
        <f>Table15[[#This Row],[code2]]</f>
        <v>PRL</v>
      </c>
      <c r="AG524" s="502" t="str">
        <f>Table15[[#This Row],[code5]]</f>
        <v>IMS</v>
      </c>
    </row>
    <row r="525" spans="1:33">
      <c r="A525" s="338" t="s">
        <v>6072</v>
      </c>
      <c r="B525" s="338" t="s">
        <v>6073</v>
      </c>
      <c r="C525" s="337">
        <v>1</v>
      </c>
      <c r="D525" s="338" t="s">
        <v>6513</v>
      </c>
      <c r="E525" s="338" t="s">
        <v>6514</v>
      </c>
      <c r="F525" s="337">
        <v>1</v>
      </c>
      <c r="G525" s="337">
        <v>1</v>
      </c>
      <c r="H525" s="338" t="s">
        <v>6515</v>
      </c>
      <c r="I525" s="338" t="s">
        <v>9548</v>
      </c>
      <c r="J525" s="338" t="s">
        <v>9551</v>
      </c>
      <c r="K525" s="338" t="s">
        <v>6516</v>
      </c>
      <c r="L525" s="338" t="s">
        <v>6517</v>
      </c>
      <c r="M525" s="338" t="s">
        <v>4761</v>
      </c>
      <c r="N525" s="338" t="s">
        <v>6142</v>
      </c>
      <c r="O525" s="337">
        <v>1</v>
      </c>
      <c r="P525" s="337">
        <v>1</v>
      </c>
      <c r="Q525" s="338"/>
      <c r="R525" s="338"/>
      <c r="S525" s="338"/>
      <c r="T525" s="338" t="s">
        <v>7913</v>
      </c>
      <c r="U525" s="338" t="s">
        <v>4762</v>
      </c>
      <c r="V525" s="337">
        <v>1</v>
      </c>
      <c r="W525" s="337">
        <v>1</v>
      </c>
      <c r="X525" s="338" t="s">
        <v>8460</v>
      </c>
      <c r="Y525" s="338" t="s">
        <v>497</v>
      </c>
      <c r="Z525" s="338" t="s">
        <v>9140</v>
      </c>
      <c r="AA525" s="338" t="s">
        <v>6079</v>
      </c>
      <c r="AB525" s="338"/>
      <c r="AC525" s="338"/>
      <c r="AD525" s="338"/>
      <c r="AF525" s="502" t="str">
        <f>Table15[[#This Row],[code2]]</f>
        <v>PRL</v>
      </c>
      <c r="AG525" s="502" t="str">
        <f>Table15[[#This Row],[code5]]</f>
        <v>ISP</v>
      </c>
    </row>
    <row r="526" spans="1:33">
      <c r="A526" s="338" t="s">
        <v>6072</v>
      </c>
      <c r="B526" s="338" t="s">
        <v>6073</v>
      </c>
      <c r="C526" s="337">
        <v>1</v>
      </c>
      <c r="D526" s="338" t="s">
        <v>6513</v>
      </c>
      <c r="E526" s="338" t="s">
        <v>6514</v>
      </c>
      <c r="F526" s="337">
        <v>1</v>
      </c>
      <c r="G526" s="337">
        <v>1</v>
      </c>
      <c r="H526" s="338" t="s">
        <v>6515</v>
      </c>
      <c r="I526" s="338" t="s">
        <v>9548</v>
      </c>
      <c r="J526" s="338" t="s">
        <v>9551</v>
      </c>
      <c r="K526" s="338" t="s">
        <v>6516</v>
      </c>
      <c r="L526" s="338" t="s">
        <v>6517</v>
      </c>
      <c r="M526" s="338" t="s">
        <v>4761</v>
      </c>
      <c r="N526" s="338" t="s">
        <v>6142</v>
      </c>
      <c r="O526" s="337">
        <v>1</v>
      </c>
      <c r="P526" s="337">
        <v>1</v>
      </c>
      <c r="Q526" s="338"/>
      <c r="R526" s="338"/>
      <c r="S526" s="338"/>
      <c r="T526" s="338" t="s">
        <v>7913</v>
      </c>
      <c r="U526" s="338" t="s">
        <v>6699</v>
      </c>
      <c r="V526" s="337">
        <v>1</v>
      </c>
      <c r="W526" s="337">
        <v>1</v>
      </c>
      <c r="X526" s="338" t="s">
        <v>8460</v>
      </c>
      <c r="Y526" s="338" t="s">
        <v>6081</v>
      </c>
      <c r="Z526" s="338" t="s">
        <v>9140</v>
      </c>
      <c r="AA526" s="338" t="s">
        <v>6079</v>
      </c>
      <c r="AB526" s="338"/>
      <c r="AC526" s="338"/>
      <c r="AD526" s="338"/>
      <c r="AF526" s="502" t="str">
        <f>Table15[[#This Row],[code2]]</f>
        <v>PRL</v>
      </c>
      <c r="AG526" s="502" t="str">
        <f>Table15[[#This Row],[code5]]</f>
        <v>ISP</v>
      </c>
    </row>
    <row r="527" spans="1:33">
      <c r="A527" s="338" t="s">
        <v>6072</v>
      </c>
      <c r="B527" s="338" t="s">
        <v>6073</v>
      </c>
      <c r="C527" s="337">
        <v>1</v>
      </c>
      <c r="D527" s="338" t="s">
        <v>6513</v>
      </c>
      <c r="E527" s="338" t="s">
        <v>6514</v>
      </c>
      <c r="F527" s="337">
        <v>1</v>
      </c>
      <c r="G527" s="337">
        <v>1</v>
      </c>
      <c r="H527" s="338" t="s">
        <v>6515</v>
      </c>
      <c r="I527" s="338" t="s">
        <v>9548</v>
      </c>
      <c r="J527" s="338" t="s">
        <v>9551</v>
      </c>
      <c r="K527" s="338" t="s">
        <v>6516</v>
      </c>
      <c r="L527" s="338" t="s">
        <v>6517</v>
      </c>
      <c r="M527" s="338" t="s">
        <v>4761</v>
      </c>
      <c r="N527" s="338" t="s">
        <v>6142</v>
      </c>
      <c r="O527" s="337">
        <v>1</v>
      </c>
      <c r="P527" s="337">
        <v>1</v>
      </c>
      <c r="Q527" s="338"/>
      <c r="R527" s="338"/>
      <c r="S527" s="338"/>
      <c r="T527" s="338" t="s">
        <v>7913</v>
      </c>
      <c r="U527" s="338" t="s">
        <v>4932</v>
      </c>
      <c r="V527" s="337">
        <v>1</v>
      </c>
      <c r="W527" s="337">
        <v>1</v>
      </c>
      <c r="X527" s="338" t="s">
        <v>8460</v>
      </c>
      <c r="Y527" s="338" t="s">
        <v>493</v>
      </c>
      <c r="Z527" s="338" t="s">
        <v>9098</v>
      </c>
      <c r="AA527" s="338" t="s">
        <v>6079</v>
      </c>
      <c r="AB527" s="338"/>
      <c r="AC527" s="338"/>
      <c r="AD527" s="338"/>
      <c r="AF527" s="502" t="str">
        <f>Table15[[#This Row],[code2]]</f>
        <v>PRL</v>
      </c>
      <c r="AG527" s="502" t="str">
        <f>Table15[[#This Row],[code5]]</f>
        <v>ISP</v>
      </c>
    </row>
    <row r="528" spans="1:33">
      <c r="A528" s="338" t="s">
        <v>6072</v>
      </c>
      <c r="B528" s="338" t="s">
        <v>6073</v>
      </c>
      <c r="C528" s="337">
        <v>1</v>
      </c>
      <c r="D528" s="338" t="s">
        <v>6513</v>
      </c>
      <c r="E528" s="338" t="s">
        <v>6514</v>
      </c>
      <c r="F528" s="337">
        <v>1</v>
      </c>
      <c r="G528" s="337">
        <v>1</v>
      </c>
      <c r="H528" s="338" t="s">
        <v>6515</v>
      </c>
      <c r="I528" s="338" t="s">
        <v>9548</v>
      </c>
      <c r="J528" s="338" t="s">
        <v>9551</v>
      </c>
      <c r="K528" s="338" t="s">
        <v>6516</v>
      </c>
      <c r="L528" s="338" t="s">
        <v>6517</v>
      </c>
      <c r="M528" s="338" t="s">
        <v>4761</v>
      </c>
      <c r="N528" s="338" t="s">
        <v>6142</v>
      </c>
      <c r="O528" s="337">
        <v>1</v>
      </c>
      <c r="P528" s="337">
        <v>1</v>
      </c>
      <c r="Q528" s="338"/>
      <c r="R528" s="338"/>
      <c r="S528" s="338"/>
      <c r="T528" s="338" t="s">
        <v>7913</v>
      </c>
      <c r="U528" s="338" t="s">
        <v>6700</v>
      </c>
      <c r="V528" s="337">
        <v>1</v>
      </c>
      <c r="W528" s="337">
        <v>1</v>
      </c>
      <c r="X528" s="338" t="s">
        <v>8460</v>
      </c>
      <c r="Y528" s="338" t="s">
        <v>6085</v>
      </c>
      <c r="Z528" s="338" t="s">
        <v>9140</v>
      </c>
      <c r="AA528" s="338" t="s">
        <v>6079</v>
      </c>
      <c r="AB528" s="338"/>
      <c r="AC528" s="338"/>
      <c r="AD528" s="338"/>
      <c r="AF528" s="502" t="str">
        <f>Table15[[#This Row],[code2]]</f>
        <v>PRL</v>
      </c>
      <c r="AG528" s="502" t="str">
        <f>Table15[[#This Row],[code5]]</f>
        <v>ISP</v>
      </c>
    </row>
    <row r="529" spans="1:33">
      <c r="A529" s="338" t="s">
        <v>6072</v>
      </c>
      <c r="B529" s="338" t="s">
        <v>6073</v>
      </c>
      <c r="C529" s="337">
        <v>1</v>
      </c>
      <c r="D529" s="338" t="s">
        <v>6513</v>
      </c>
      <c r="E529" s="338" t="s">
        <v>6514</v>
      </c>
      <c r="F529" s="337">
        <v>1</v>
      </c>
      <c r="G529" s="337">
        <v>1</v>
      </c>
      <c r="H529" s="338" t="s">
        <v>6515</v>
      </c>
      <c r="I529" s="338" t="s">
        <v>9548</v>
      </c>
      <c r="J529" s="338" t="s">
        <v>9551</v>
      </c>
      <c r="K529" s="338" t="s">
        <v>6516</v>
      </c>
      <c r="L529" s="338" t="s">
        <v>6517</v>
      </c>
      <c r="M529" s="338" t="s">
        <v>4761</v>
      </c>
      <c r="N529" s="338" t="s">
        <v>6142</v>
      </c>
      <c r="O529" s="337">
        <v>1</v>
      </c>
      <c r="P529" s="337">
        <v>1</v>
      </c>
      <c r="Q529" s="338"/>
      <c r="R529" s="338"/>
      <c r="S529" s="338"/>
      <c r="T529" s="338" t="s">
        <v>7913</v>
      </c>
      <c r="U529" s="338" t="s">
        <v>6713</v>
      </c>
      <c r="V529" s="337">
        <v>0</v>
      </c>
      <c r="W529" s="337">
        <v>0</v>
      </c>
      <c r="X529" s="338" t="s">
        <v>8461</v>
      </c>
      <c r="Y529" s="338" t="s">
        <v>497</v>
      </c>
      <c r="Z529" s="338" t="s">
        <v>7966</v>
      </c>
      <c r="AA529" s="338" t="s">
        <v>6079</v>
      </c>
      <c r="AB529" s="338"/>
      <c r="AC529" s="338"/>
      <c r="AD529" s="338"/>
      <c r="AF529" s="502" t="str">
        <f>Table15[[#This Row],[code2]]</f>
        <v>PRL</v>
      </c>
      <c r="AG529" s="502" t="str">
        <f>Table15[[#This Row],[code5]]</f>
        <v>ISP</v>
      </c>
    </row>
    <row r="530" spans="1:33">
      <c r="A530" s="338" t="s">
        <v>6072</v>
      </c>
      <c r="B530" s="338" t="s">
        <v>6073</v>
      </c>
      <c r="C530" s="337">
        <v>1</v>
      </c>
      <c r="D530" s="338" t="s">
        <v>6513</v>
      </c>
      <c r="E530" s="338" t="s">
        <v>6514</v>
      </c>
      <c r="F530" s="337">
        <v>1</v>
      </c>
      <c r="G530" s="337">
        <v>1</v>
      </c>
      <c r="H530" s="338" t="s">
        <v>6515</v>
      </c>
      <c r="I530" s="338" t="s">
        <v>9548</v>
      </c>
      <c r="J530" s="338" t="s">
        <v>9551</v>
      </c>
      <c r="K530" s="338" t="s">
        <v>6516</v>
      </c>
      <c r="L530" s="338" t="s">
        <v>6517</v>
      </c>
      <c r="M530" s="338" t="s">
        <v>4761</v>
      </c>
      <c r="N530" s="338" t="s">
        <v>6142</v>
      </c>
      <c r="O530" s="337">
        <v>1</v>
      </c>
      <c r="P530" s="337">
        <v>1</v>
      </c>
      <c r="Q530" s="338"/>
      <c r="R530" s="338"/>
      <c r="S530" s="338"/>
      <c r="T530" s="338" t="s">
        <v>7913</v>
      </c>
      <c r="U530" s="338" t="s">
        <v>6714</v>
      </c>
      <c r="V530" s="337">
        <v>0</v>
      </c>
      <c r="W530" s="337">
        <v>0</v>
      </c>
      <c r="X530" s="338" t="s">
        <v>8461</v>
      </c>
      <c r="Y530" s="338" t="s">
        <v>6081</v>
      </c>
      <c r="Z530" s="338" t="s">
        <v>7966</v>
      </c>
      <c r="AA530" s="338" t="s">
        <v>6079</v>
      </c>
      <c r="AB530" s="338"/>
      <c r="AC530" s="338"/>
      <c r="AD530" s="338"/>
      <c r="AF530" s="502" t="str">
        <f>Table15[[#This Row],[code2]]</f>
        <v>PRL</v>
      </c>
      <c r="AG530" s="502" t="str">
        <f>Table15[[#This Row],[code5]]</f>
        <v>ISP</v>
      </c>
    </row>
    <row r="531" spans="1:33">
      <c r="A531" s="338" t="s">
        <v>6072</v>
      </c>
      <c r="B531" s="338" t="s">
        <v>6073</v>
      </c>
      <c r="C531" s="337">
        <v>1</v>
      </c>
      <c r="D531" s="338" t="s">
        <v>6513</v>
      </c>
      <c r="E531" s="338" t="s">
        <v>6514</v>
      </c>
      <c r="F531" s="337">
        <v>1</v>
      </c>
      <c r="G531" s="337">
        <v>1</v>
      </c>
      <c r="H531" s="338" t="s">
        <v>6515</v>
      </c>
      <c r="I531" s="338" t="s">
        <v>9548</v>
      </c>
      <c r="J531" s="338" t="s">
        <v>9551</v>
      </c>
      <c r="K531" s="338" t="s">
        <v>6516</v>
      </c>
      <c r="L531" s="338" t="s">
        <v>6517</v>
      </c>
      <c r="M531" s="338" t="s">
        <v>4761</v>
      </c>
      <c r="N531" s="338" t="s">
        <v>6142</v>
      </c>
      <c r="O531" s="337">
        <v>1</v>
      </c>
      <c r="P531" s="337">
        <v>1</v>
      </c>
      <c r="Q531" s="338"/>
      <c r="R531" s="338"/>
      <c r="S531" s="338"/>
      <c r="T531" s="338" t="s">
        <v>7913</v>
      </c>
      <c r="U531" s="338" t="s">
        <v>6715</v>
      </c>
      <c r="V531" s="337">
        <v>0</v>
      </c>
      <c r="W531" s="337">
        <v>0</v>
      </c>
      <c r="X531" s="338" t="s">
        <v>8461</v>
      </c>
      <c r="Y531" s="338" t="s">
        <v>493</v>
      </c>
      <c r="Z531" s="338" t="s">
        <v>7967</v>
      </c>
      <c r="AA531" s="338" t="s">
        <v>6079</v>
      </c>
      <c r="AB531" s="338"/>
      <c r="AC531" s="338"/>
      <c r="AD531" s="338"/>
      <c r="AF531" s="502" t="str">
        <f>Table15[[#This Row],[code2]]</f>
        <v>PRL</v>
      </c>
      <c r="AG531" s="502" t="str">
        <f>Table15[[#This Row],[code5]]</f>
        <v>ISP</v>
      </c>
    </row>
    <row r="532" spans="1:33">
      <c r="A532" s="338" t="s">
        <v>6072</v>
      </c>
      <c r="B532" s="338" t="s">
        <v>6073</v>
      </c>
      <c r="C532" s="337">
        <v>1</v>
      </c>
      <c r="D532" s="338" t="s">
        <v>6513</v>
      </c>
      <c r="E532" s="338" t="s">
        <v>6514</v>
      </c>
      <c r="F532" s="337">
        <v>1</v>
      </c>
      <c r="G532" s="337">
        <v>1</v>
      </c>
      <c r="H532" s="338" t="s">
        <v>6515</v>
      </c>
      <c r="I532" s="338" t="s">
        <v>9548</v>
      </c>
      <c r="J532" s="338" t="s">
        <v>9551</v>
      </c>
      <c r="K532" s="338" t="s">
        <v>6516</v>
      </c>
      <c r="L532" s="338" t="s">
        <v>6517</v>
      </c>
      <c r="M532" s="338" t="s">
        <v>4761</v>
      </c>
      <c r="N532" s="338" t="s">
        <v>6142</v>
      </c>
      <c r="O532" s="337">
        <v>1</v>
      </c>
      <c r="P532" s="337">
        <v>1</v>
      </c>
      <c r="Q532" s="338"/>
      <c r="R532" s="338"/>
      <c r="S532" s="338"/>
      <c r="T532" s="338" t="s">
        <v>7913</v>
      </c>
      <c r="U532" s="338" t="s">
        <v>6716</v>
      </c>
      <c r="V532" s="337">
        <v>0</v>
      </c>
      <c r="W532" s="337">
        <v>0</v>
      </c>
      <c r="X532" s="338" t="s">
        <v>8461</v>
      </c>
      <c r="Y532" s="338" t="s">
        <v>6085</v>
      </c>
      <c r="Z532" s="338" t="s">
        <v>8292</v>
      </c>
      <c r="AA532" s="338" t="s">
        <v>6079</v>
      </c>
      <c r="AB532" s="338"/>
      <c r="AC532" s="338"/>
      <c r="AD532" s="338"/>
      <c r="AF532" s="502" t="str">
        <f>Table15[[#This Row],[code2]]</f>
        <v>PRL</v>
      </c>
      <c r="AG532" s="502" t="str">
        <f>Table15[[#This Row],[code5]]</f>
        <v>ISP</v>
      </c>
    </row>
    <row r="533" spans="1:33">
      <c r="A533" s="338" t="s">
        <v>6072</v>
      </c>
      <c r="B533" s="338" t="s">
        <v>6073</v>
      </c>
      <c r="C533" s="337">
        <v>1</v>
      </c>
      <c r="D533" s="338" t="s">
        <v>6513</v>
      </c>
      <c r="E533" s="338" t="s">
        <v>6514</v>
      </c>
      <c r="F533" s="337">
        <v>1</v>
      </c>
      <c r="G533" s="337">
        <v>1</v>
      </c>
      <c r="H533" s="338" t="s">
        <v>6515</v>
      </c>
      <c r="I533" s="338" t="s">
        <v>9548</v>
      </c>
      <c r="J533" s="338" t="s">
        <v>9551</v>
      </c>
      <c r="K533" s="338" t="s">
        <v>6516</v>
      </c>
      <c r="L533" s="338" t="s">
        <v>6517</v>
      </c>
      <c r="M533" s="338" t="s">
        <v>4761</v>
      </c>
      <c r="N533" s="338" t="s">
        <v>6142</v>
      </c>
      <c r="O533" s="337">
        <v>1</v>
      </c>
      <c r="P533" s="337">
        <v>1</v>
      </c>
      <c r="Q533" s="338"/>
      <c r="R533" s="338"/>
      <c r="S533" s="338"/>
      <c r="T533" s="338" t="s">
        <v>7913</v>
      </c>
      <c r="U533" s="338" t="s">
        <v>6709</v>
      </c>
      <c r="V533" s="337">
        <v>1</v>
      </c>
      <c r="W533" s="337">
        <v>0</v>
      </c>
      <c r="X533" s="338" t="s">
        <v>8462</v>
      </c>
      <c r="Y533" s="338" t="s">
        <v>497</v>
      </c>
      <c r="Z533" s="338" t="s">
        <v>8023</v>
      </c>
      <c r="AA533" s="338" t="s">
        <v>6079</v>
      </c>
      <c r="AB533" s="338"/>
      <c r="AC533" s="338"/>
      <c r="AD533" s="338"/>
      <c r="AF533" s="502" t="str">
        <f>Table15[[#This Row],[code2]]</f>
        <v>PRL</v>
      </c>
      <c r="AG533" s="502" t="str">
        <f>Table15[[#This Row],[code5]]</f>
        <v>ISP</v>
      </c>
    </row>
    <row r="534" spans="1:33">
      <c r="A534" s="338" t="s">
        <v>6072</v>
      </c>
      <c r="B534" s="338" t="s">
        <v>6073</v>
      </c>
      <c r="C534" s="337">
        <v>1</v>
      </c>
      <c r="D534" s="338" t="s">
        <v>6513</v>
      </c>
      <c r="E534" s="338" t="s">
        <v>6514</v>
      </c>
      <c r="F534" s="337">
        <v>1</v>
      </c>
      <c r="G534" s="337">
        <v>1</v>
      </c>
      <c r="H534" s="338" t="s">
        <v>6515</v>
      </c>
      <c r="I534" s="338" t="s">
        <v>9548</v>
      </c>
      <c r="J534" s="338" t="s">
        <v>9551</v>
      </c>
      <c r="K534" s="338" t="s">
        <v>6516</v>
      </c>
      <c r="L534" s="338" t="s">
        <v>6517</v>
      </c>
      <c r="M534" s="338" t="s">
        <v>4761</v>
      </c>
      <c r="N534" s="338" t="s">
        <v>6142</v>
      </c>
      <c r="O534" s="337">
        <v>1</v>
      </c>
      <c r="P534" s="337">
        <v>1</v>
      </c>
      <c r="Q534" s="338"/>
      <c r="R534" s="338"/>
      <c r="S534" s="338"/>
      <c r="T534" s="338" t="s">
        <v>7913</v>
      </c>
      <c r="U534" s="338" t="s">
        <v>6710</v>
      </c>
      <c r="V534" s="337">
        <v>1</v>
      </c>
      <c r="W534" s="337">
        <v>0</v>
      </c>
      <c r="X534" s="338" t="s">
        <v>8462</v>
      </c>
      <c r="Y534" s="338" t="s">
        <v>6081</v>
      </c>
      <c r="Z534" s="338" t="s">
        <v>8023</v>
      </c>
      <c r="AA534" s="338" t="s">
        <v>6079</v>
      </c>
      <c r="AB534" s="338"/>
      <c r="AC534" s="338"/>
      <c r="AD534" s="338"/>
      <c r="AF534" s="502" t="str">
        <f>Table15[[#This Row],[code2]]</f>
        <v>PRL</v>
      </c>
      <c r="AG534" s="502" t="str">
        <f>Table15[[#This Row],[code5]]</f>
        <v>ISP</v>
      </c>
    </row>
    <row r="535" spans="1:33">
      <c r="A535" s="338" t="s">
        <v>6072</v>
      </c>
      <c r="B535" s="338" t="s">
        <v>6073</v>
      </c>
      <c r="C535" s="337">
        <v>1</v>
      </c>
      <c r="D535" s="338" t="s">
        <v>6513</v>
      </c>
      <c r="E535" s="338" t="s">
        <v>6514</v>
      </c>
      <c r="F535" s="337">
        <v>1</v>
      </c>
      <c r="G535" s="337">
        <v>1</v>
      </c>
      <c r="H535" s="338" t="s">
        <v>6515</v>
      </c>
      <c r="I535" s="338" t="s">
        <v>9548</v>
      </c>
      <c r="J535" s="338" t="s">
        <v>9551</v>
      </c>
      <c r="K535" s="338" t="s">
        <v>6516</v>
      </c>
      <c r="L535" s="338" t="s">
        <v>6517</v>
      </c>
      <c r="M535" s="338" t="s">
        <v>4761</v>
      </c>
      <c r="N535" s="338" t="s">
        <v>6142</v>
      </c>
      <c r="O535" s="337">
        <v>1</v>
      </c>
      <c r="P535" s="337">
        <v>1</v>
      </c>
      <c r="Q535" s="338"/>
      <c r="R535" s="338"/>
      <c r="S535" s="338"/>
      <c r="T535" s="338" t="s">
        <v>7913</v>
      </c>
      <c r="U535" s="338" t="s">
        <v>6711</v>
      </c>
      <c r="V535" s="337">
        <v>1</v>
      </c>
      <c r="W535" s="337">
        <v>0</v>
      </c>
      <c r="X535" s="338" t="s">
        <v>8462</v>
      </c>
      <c r="Y535" s="338" t="s">
        <v>493</v>
      </c>
      <c r="Z535" s="338" t="s">
        <v>7970</v>
      </c>
      <c r="AA535" s="338" t="s">
        <v>6079</v>
      </c>
      <c r="AB535" s="338"/>
      <c r="AC535" s="338"/>
      <c r="AD535" s="338"/>
      <c r="AF535" s="502" t="str">
        <f>Table15[[#This Row],[code2]]</f>
        <v>PRL</v>
      </c>
      <c r="AG535" s="502" t="str">
        <f>Table15[[#This Row],[code5]]</f>
        <v>ISP</v>
      </c>
    </row>
    <row r="536" spans="1:33">
      <c r="A536" s="338" t="s">
        <v>6072</v>
      </c>
      <c r="B536" s="338" t="s">
        <v>6073</v>
      </c>
      <c r="C536" s="337">
        <v>1</v>
      </c>
      <c r="D536" s="338" t="s">
        <v>6513</v>
      </c>
      <c r="E536" s="338" t="s">
        <v>6514</v>
      </c>
      <c r="F536" s="337">
        <v>1</v>
      </c>
      <c r="G536" s="337">
        <v>1</v>
      </c>
      <c r="H536" s="338" t="s">
        <v>6515</v>
      </c>
      <c r="I536" s="338" t="s">
        <v>9548</v>
      </c>
      <c r="J536" s="338" t="s">
        <v>9551</v>
      </c>
      <c r="K536" s="338" t="s">
        <v>6516</v>
      </c>
      <c r="L536" s="338" t="s">
        <v>6517</v>
      </c>
      <c r="M536" s="338" t="s">
        <v>4761</v>
      </c>
      <c r="N536" s="338" t="s">
        <v>6142</v>
      </c>
      <c r="O536" s="337">
        <v>1</v>
      </c>
      <c r="P536" s="337">
        <v>1</v>
      </c>
      <c r="Q536" s="338"/>
      <c r="R536" s="338"/>
      <c r="S536" s="338"/>
      <c r="T536" s="338" t="s">
        <v>7913</v>
      </c>
      <c r="U536" s="338" t="s">
        <v>6712</v>
      </c>
      <c r="V536" s="337">
        <v>1</v>
      </c>
      <c r="W536" s="337">
        <v>0</v>
      </c>
      <c r="X536" s="338" t="s">
        <v>8462</v>
      </c>
      <c r="Y536" s="338" t="s">
        <v>6085</v>
      </c>
      <c r="Z536" s="338" t="s">
        <v>8117</v>
      </c>
      <c r="AA536" s="338" t="s">
        <v>6079</v>
      </c>
      <c r="AB536" s="338"/>
      <c r="AC536" s="338"/>
      <c r="AD536" s="338"/>
      <c r="AF536" s="502" t="str">
        <f>Table15[[#This Row],[code2]]</f>
        <v>PRL</v>
      </c>
      <c r="AG536" s="502" t="str">
        <f>Table15[[#This Row],[code5]]</f>
        <v>ISP</v>
      </c>
    </row>
    <row r="537" spans="1:33">
      <c r="A537" s="338" t="s">
        <v>6072</v>
      </c>
      <c r="B537" s="338" t="s">
        <v>6073</v>
      </c>
      <c r="C537" s="337">
        <v>1</v>
      </c>
      <c r="D537" s="338" t="s">
        <v>6513</v>
      </c>
      <c r="E537" s="338" t="s">
        <v>6514</v>
      </c>
      <c r="F537" s="337">
        <v>1</v>
      </c>
      <c r="G537" s="337">
        <v>1</v>
      </c>
      <c r="H537" s="338" t="s">
        <v>6515</v>
      </c>
      <c r="I537" s="338" t="s">
        <v>9548</v>
      </c>
      <c r="J537" s="338" t="s">
        <v>9551</v>
      </c>
      <c r="K537" s="338" t="s">
        <v>6516</v>
      </c>
      <c r="L537" s="338" t="s">
        <v>6517</v>
      </c>
      <c r="M537" s="338" t="s">
        <v>4761</v>
      </c>
      <c r="N537" s="338" t="s">
        <v>6142</v>
      </c>
      <c r="O537" s="337">
        <v>1</v>
      </c>
      <c r="P537" s="337">
        <v>1</v>
      </c>
      <c r="Q537" s="338"/>
      <c r="R537" s="338"/>
      <c r="S537" s="338"/>
      <c r="T537" s="338" t="s">
        <v>7913</v>
      </c>
      <c r="U537" s="338" t="s">
        <v>6705</v>
      </c>
      <c r="V537" s="337">
        <v>1</v>
      </c>
      <c r="W537" s="337">
        <v>1</v>
      </c>
      <c r="X537" s="338" t="s">
        <v>8463</v>
      </c>
      <c r="Y537" s="338" t="s">
        <v>497</v>
      </c>
      <c r="Z537" s="338" t="s">
        <v>8029</v>
      </c>
      <c r="AA537" s="338" t="s">
        <v>6079</v>
      </c>
      <c r="AB537" s="338"/>
      <c r="AC537" s="338"/>
      <c r="AD537" s="338"/>
      <c r="AF537" s="502" t="str">
        <f>Table15[[#This Row],[code2]]</f>
        <v>PRL</v>
      </c>
      <c r="AG537" s="502" t="str">
        <f>Table15[[#This Row],[code5]]</f>
        <v>ISP</v>
      </c>
    </row>
    <row r="538" spans="1:33">
      <c r="A538" s="338" t="s">
        <v>6072</v>
      </c>
      <c r="B538" s="338" t="s">
        <v>6073</v>
      </c>
      <c r="C538" s="337">
        <v>1</v>
      </c>
      <c r="D538" s="338" t="s">
        <v>6513</v>
      </c>
      <c r="E538" s="338" t="s">
        <v>6514</v>
      </c>
      <c r="F538" s="337">
        <v>1</v>
      </c>
      <c r="G538" s="337">
        <v>1</v>
      </c>
      <c r="H538" s="338" t="s">
        <v>6515</v>
      </c>
      <c r="I538" s="338" t="s">
        <v>9548</v>
      </c>
      <c r="J538" s="338" t="s">
        <v>9551</v>
      </c>
      <c r="K538" s="338" t="s">
        <v>6516</v>
      </c>
      <c r="L538" s="338" t="s">
        <v>6517</v>
      </c>
      <c r="M538" s="338" t="s">
        <v>4761</v>
      </c>
      <c r="N538" s="338" t="s">
        <v>6142</v>
      </c>
      <c r="O538" s="337">
        <v>1</v>
      </c>
      <c r="P538" s="337">
        <v>1</v>
      </c>
      <c r="Q538" s="338"/>
      <c r="R538" s="338"/>
      <c r="S538" s="338"/>
      <c r="T538" s="338" t="s">
        <v>7913</v>
      </c>
      <c r="U538" s="338" t="s">
        <v>6706</v>
      </c>
      <c r="V538" s="337">
        <v>1</v>
      </c>
      <c r="W538" s="337">
        <v>1</v>
      </c>
      <c r="X538" s="338" t="s">
        <v>8463</v>
      </c>
      <c r="Y538" s="338" t="s">
        <v>6081</v>
      </c>
      <c r="Z538" s="338" t="s">
        <v>8029</v>
      </c>
      <c r="AA538" s="338" t="s">
        <v>6079</v>
      </c>
      <c r="AB538" s="338"/>
      <c r="AC538" s="338"/>
      <c r="AD538" s="338"/>
      <c r="AF538" s="502" t="str">
        <f>Table15[[#This Row],[code2]]</f>
        <v>PRL</v>
      </c>
      <c r="AG538" s="502" t="str">
        <f>Table15[[#This Row],[code5]]</f>
        <v>ISP</v>
      </c>
    </row>
    <row r="539" spans="1:33">
      <c r="A539" s="338" t="s">
        <v>6072</v>
      </c>
      <c r="B539" s="338" t="s">
        <v>6073</v>
      </c>
      <c r="C539" s="337">
        <v>1</v>
      </c>
      <c r="D539" s="338" t="s">
        <v>6513</v>
      </c>
      <c r="E539" s="338" t="s">
        <v>6514</v>
      </c>
      <c r="F539" s="337">
        <v>1</v>
      </c>
      <c r="G539" s="337">
        <v>1</v>
      </c>
      <c r="H539" s="338" t="s">
        <v>6515</v>
      </c>
      <c r="I539" s="338" t="s">
        <v>9548</v>
      </c>
      <c r="J539" s="338" t="s">
        <v>9551</v>
      </c>
      <c r="K539" s="338" t="s">
        <v>6516</v>
      </c>
      <c r="L539" s="338" t="s">
        <v>6517</v>
      </c>
      <c r="M539" s="338" t="s">
        <v>4761</v>
      </c>
      <c r="N539" s="338" t="s">
        <v>6142</v>
      </c>
      <c r="O539" s="337">
        <v>1</v>
      </c>
      <c r="P539" s="337">
        <v>1</v>
      </c>
      <c r="Q539" s="338"/>
      <c r="R539" s="338"/>
      <c r="S539" s="338"/>
      <c r="T539" s="338" t="s">
        <v>7913</v>
      </c>
      <c r="U539" s="338" t="s">
        <v>6707</v>
      </c>
      <c r="V539" s="337">
        <v>1</v>
      </c>
      <c r="W539" s="337">
        <v>1</v>
      </c>
      <c r="X539" s="338" t="s">
        <v>8463</v>
      </c>
      <c r="Y539" s="338" t="s">
        <v>493</v>
      </c>
      <c r="Z539" s="338" t="s">
        <v>8018</v>
      </c>
      <c r="AA539" s="338" t="s">
        <v>6079</v>
      </c>
      <c r="AB539" s="338"/>
      <c r="AC539" s="338"/>
      <c r="AD539" s="338"/>
      <c r="AF539" s="502" t="str">
        <f>Table15[[#This Row],[code2]]</f>
        <v>PRL</v>
      </c>
      <c r="AG539" s="502" t="str">
        <f>Table15[[#This Row],[code5]]</f>
        <v>ISP</v>
      </c>
    </row>
    <row r="540" spans="1:33">
      <c r="A540" s="338" t="s">
        <v>6072</v>
      </c>
      <c r="B540" s="338" t="s">
        <v>6073</v>
      </c>
      <c r="C540" s="337">
        <v>1</v>
      </c>
      <c r="D540" s="338" t="s">
        <v>6513</v>
      </c>
      <c r="E540" s="338" t="s">
        <v>6514</v>
      </c>
      <c r="F540" s="337">
        <v>1</v>
      </c>
      <c r="G540" s="337">
        <v>1</v>
      </c>
      <c r="H540" s="338" t="s">
        <v>6515</v>
      </c>
      <c r="I540" s="338" t="s">
        <v>9548</v>
      </c>
      <c r="J540" s="338" t="s">
        <v>9551</v>
      </c>
      <c r="K540" s="338" t="s">
        <v>6516</v>
      </c>
      <c r="L540" s="338" t="s">
        <v>6517</v>
      </c>
      <c r="M540" s="338" t="s">
        <v>4761</v>
      </c>
      <c r="N540" s="338" t="s">
        <v>6142</v>
      </c>
      <c r="O540" s="337">
        <v>1</v>
      </c>
      <c r="P540" s="337">
        <v>1</v>
      </c>
      <c r="Q540" s="338"/>
      <c r="R540" s="338"/>
      <c r="S540" s="338"/>
      <c r="T540" s="338" t="s">
        <v>7913</v>
      </c>
      <c r="U540" s="338" t="s">
        <v>6708</v>
      </c>
      <c r="V540" s="337">
        <v>1</v>
      </c>
      <c r="W540" s="337">
        <v>1</v>
      </c>
      <c r="X540" s="338" t="s">
        <v>8463</v>
      </c>
      <c r="Y540" s="338" t="s">
        <v>6085</v>
      </c>
      <c r="Z540" s="338" t="s">
        <v>9159</v>
      </c>
      <c r="AA540" s="338" t="s">
        <v>6079</v>
      </c>
      <c r="AB540" s="338"/>
      <c r="AC540" s="338"/>
      <c r="AD540" s="338"/>
      <c r="AF540" s="502" t="str">
        <f>Table15[[#This Row],[code2]]</f>
        <v>PRL</v>
      </c>
      <c r="AG540" s="502" t="str">
        <f>Table15[[#This Row],[code5]]</f>
        <v>ISP</v>
      </c>
    </row>
    <row r="541" spans="1:33">
      <c r="A541" s="338" t="s">
        <v>6072</v>
      </c>
      <c r="B541" s="338" t="s">
        <v>6073</v>
      </c>
      <c r="C541" s="337">
        <v>1</v>
      </c>
      <c r="D541" s="338" t="s">
        <v>6513</v>
      </c>
      <c r="E541" s="338" t="s">
        <v>6514</v>
      </c>
      <c r="F541" s="337">
        <v>1</v>
      </c>
      <c r="G541" s="337">
        <v>1</v>
      </c>
      <c r="H541" s="338" t="s">
        <v>6515</v>
      </c>
      <c r="I541" s="338" t="s">
        <v>9548</v>
      </c>
      <c r="J541" s="338" t="s">
        <v>9551</v>
      </c>
      <c r="K541" s="338" t="s">
        <v>6516</v>
      </c>
      <c r="L541" s="338" t="s">
        <v>6517</v>
      </c>
      <c r="M541" s="338" t="s">
        <v>4761</v>
      </c>
      <c r="N541" s="338" t="s">
        <v>6142</v>
      </c>
      <c r="O541" s="337">
        <v>1</v>
      </c>
      <c r="P541" s="337">
        <v>1</v>
      </c>
      <c r="Q541" s="338"/>
      <c r="R541" s="338"/>
      <c r="S541" s="338"/>
      <c r="T541" s="338" t="s">
        <v>7913</v>
      </c>
      <c r="U541" s="338" t="s">
        <v>6701</v>
      </c>
      <c r="V541" s="337">
        <v>1</v>
      </c>
      <c r="W541" s="337">
        <v>1</v>
      </c>
      <c r="X541" s="338" t="s">
        <v>8464</v>
      </c>
      <c r="Y541" s="338" t="s">
        <v>497</v>
      </c>
      <c r="Z541" s="338" t="s">
        <v>8254</v>
      </c>
      <c r="AA541" s="338" t="s">
        <v>6079</v>
      </c>
      <c r="AB541" s="338"/>
      <c r="AC541" s="338"/>
      <c r="AD541" s="338"/>
      <c r="AF541" s="502" t="str">
        <f>Table15[[#This Row],[code2]]</f>
        <v>PRL</v>
      </c>
      <c r="AG541" s="502" t="str">
        <f>Table15[[#This Row],[code5]]</f>
        <v>ISP</v>
      </c>
    </row>
    <row r="542" spans="1:33">
      <c r="A542" s="338" t="s">
        <v>6072</v>
      </c>
      <c r="B542" s="338" t="s">
        <v>6073</v>
      </c>
      <c r="C542" s="337">
        <v>1</v>
      </c>
      <c r="D542" s="338" t="s">
        <v>6513</v>
      </c>
      <c r="E542" s="338" t="s">
        <v>6514</v>
      </c>
      <c r="F542" s="337">
        <v>1</v>
      </c>
      <c r="G542" s="337">
        <v>1</v>
      </c>
      <c r="H542" s="338" t="s">
        <v>6515</v>
      </c>
      <c r="I542" s="338" t="s">
        <v>9548</v>
      </c>
      <c r="J542" s="338" t="s">
        <v>9551</v>
      </c>
      <c r="K542" s="338" t="s">
        <v>6516</v>
      </c>
      <c r="L542" s="338" t="s">
        <v>6517</v>
      </c>
      <c r="M542" s="338" t="s">
        <v>4761</v>
      </c>
      <c r="N542" s="338" t="s">
        <v>6142</v>
      </c>
      <c r="O542" s="337">
        <v>1</v>
      </c>
      <c r="P542" s="337">
        <v>1</v>
      </c>
      <c r="Q542" s="338"/>
      <c r="R542" s="338"/>
      <c r="S542" s="338"/>
      <c r="T542" s="338" t="s">
        <v>7913</v>
      </c>
      <c r="U542" s="338" t="s">
        <v>6702</v>
      </c>
      <c r="V542" s="337">
        <v>1</v>
      </c>
      <c r="W542" s="337">
        <v>1</v>
      </c>
      <c r="X542" s="338" t="s">
        <v>8464</v>
      </c>
      <c r="Y542" s="338" t="s">
        <v>6081</v>
      </c>
      <c r="Z542" s="338" t="s">
        <v>8254</v>
      </c>
      <c r="AA542" s="338" t="s">
        <v>6079</v>
      </c>
      <c r="AB542" s="338"/>
      <c r="AC542" s="338"/>
      <c r="AD542" s="338"/>
      <c r="AF542" s="502" t="str">
        <f>Table15[[#This Row],[code2]]</f>
        <v>PRL</v>
      </c>
      <c r="AG542" s="502" t="str">
        <f>Table15[[#This Row],[code5]]</f>
        <v>ISP</v>
      </c>
    </row>
    <row r="543" spans="1:33">
      <c r="A543" s="338" t="s">
        <v>6072</v>
      </c>
      <c r="B543" s="338" t="s">
        <v>6073</v>
      </c>
      <c r="C543" s="337">
        <v>1</v>
      </c>
      <c r="D543" s="338" t="s">
        <v>6513</v>
      </c>
      <c r="E543" s="338" t="s">
        <v>6514</v>
      </c>
      <c r="F543" s="337">
        <v>1</v>
      </c>
      <c r="G543" s="337">
        <v>1</v>
      </c>
      <c r="H543" s="338" t="s">
        <v>6515</v>
      </c>
      <c r="I543" s="338" t="s">
        <v>9548</v>
      </c>
      <c r="J543" s="338" t="s">
        <v>9551</v>
      </c>
      <c r="K543" s="338" t="s">
        <v>6516</v>
      </c>
      <c r="L543" s="338" t="s">
        <v>6517</v>
      </c>
      <c r="M543" s="338" t="s">
        <v>4761</v>
      </c>
      <c r="N543" s="338" t="s">
        <v>6142</v>
      </c>
      <c r="O543" s="337">
        <v>1</v>
      </c>
      <c r="P543" s="337">
        <v>1</v>
      </c>
      <c r="Q543" s="338"/>
      <c r="R543" s="338"/>
      <c r="S543" s="338"/>
      <c r="T543" s="338" t="s">
        <v>7913</v>
      </c>
      <c r="U543" s="338" t="s">
        <v>6703</v>
      </c>
      <c r="V543" s="337">
        <v>1</v>
      </c>
      <c r="W543" s="337">
        <v>1</v>
      </c>
      <c r="X543" s="338" t="s">
        <v>8464</v>
      </c>
      <c r="Y543" s="338" t="s">
        <v>493</v>
      </c>
      <c r="Z543" s="338" t="s">
        <v>6116</v>
      </c>
      <c r="AA543" s="338" t="s">
        <v>6079</v>
      </c>
      <c r="AB543" s="338"/>
      <c r="AC543" s="338"/>
      <c r="AD543" s="338"/>
      <c r="AF543" s="502" t="str">
        <f>Table15[[#This Row],[code2]]</f>
        <v>PRL</v>
      </c>
      <c r="AG543" s="502" t="str">
        <f>Table15[[#This Row],[code5]]</f>
        <v>ISP</v>
      </c>
    </row>
    <row r="544" spans="1:33">
      <c r="A544" s="338" t="s">
        <v>6072</v>
      </c>
      <c r="B544" s="338" t="s">
        <v>6073</v>
      </c>
      <c r="C544" s="337">
        <v>1</v>
      </c>
      <c r="D544" s="338" t="s">
        <v>6513</v>
      </c>
      <c r="E544" s="338" t="s">
        <v>6514</v>
      </c>
      <c r="F544" s="337">
        <v>1</v>
      </c>
      <c r="G544" s="337">
        <v>1</v>
      </c>
      <c r="H544" s="338" t="s">
        <v>6515</v>
      </c>
      <c r="I544" s="338" t="s">
        <v>9548</v>
      </c>
      <c r="J544" s="338" t="s">
        <v>9551</v>
      </c>
      <c r="K544" s="338" t="s">
        <v>6516</v>
      </c>
      <c r="L544" s="338" t="s">
        <v>6517</v>
      </c>
      <c r="M544" s="338" t="s">
        <v>4761</v>
      </c>
      <c r="N544" s="338" t="s">
        <v>6142</v>
      </c>
      <c r="O544" s="337">
        <v>1</v>
      </c>
      <c r="P544" s="337">
        <v>1</v>
      </c>
      <c r="Q544" s="338"/>
      <c r="R544" s="338"/>
      <c r="S544" s="338"/>
      <c r="T544" s="338" t="s">
        <v>7913</v>
      </c>
      <c r="U544" s="338" t="s">
        <v>6704</v>
      </c>
      <c r="V544" s="337">
        <v>1</v>
      </c>
      <c r="W544" s="337">
        <v>1</v>
      </c>
      <c r="X544" s="338" t="s">
        <v>8464</v>
      </c>
      <c r="Y544" s="338" t="s">
        <v>6085</v>
      </c>
      <c r="Z544" s="338" t="s">
        <v>8293</v>
      </c>
      <c r="AA544" s="338" t="s">
        <v>6079</v>
      </c>
      <c r="AB544" s="338"/>
      <c r="AC544" s="338"/>
      <c r="AD544" s="338"/>
      <c r="AF544" s="502" t="str">
        <f>Table15[[#This Row],[code2]]</f>
        <v>PRL</v>
      </c>
      <c r="AG544" s="502" t="str">
        <f>Table15[[#This Row],[code5]]</f>
        <v>ISP</v>
      </c>
    </row>
    <row r="545" spans="1:33">
      <c r="A545" s="338" t="s">
        <v>6072</v>
      </c>
      <c r="B545" s="338" t="s">
        <v>6073</v>
      </c>
      <c r="C545" s="337">
        <v>1</v>
      </c>
      <c r="D545" s="338" t="s">
        <v>6513</v>
      </c>
      <c r="E545" s="338" t="s">
        <v>6514</v>
      </c>
      <c r="F545" s="337">
        <v>1</v>
      </c>
      <c r="G545" s="337">
        <v>1</v>
      </c>
      <c r="H545" s="338" t="s">
        <v>6515</v>
      </c>
      <c r="I545" s="338" t="s">
        <v>9548</v>
      </c>
      <c r="J545" s="338" t="s">
        <v>9551</v>
      </c>
      <c r="K545" s="338" t="s">
        <v>6516</v>
      </c>
      <c r="L545" s="338" t="s">
        <v>6517</v>
      </c>
      <c r="M545" s="338" t="s">
        <v>4761</v>
      </c>
      <c r="N545" s="338" t="s">
        <v>6142</v>
      </c>
      <c r="O545" s="337">
        <v>1</v>
      </c>
      <c r="P545" s="337">
        <v>1</v>
      </c>
      <c r="Q545" s="338"/>
      <c r="R545" s="338"/>
      <c r="S545" s="338"/>
      <c r="T545" s="338" t="s">
        <v>7913</v>
      </c>
      <c r="U545" s="338" t="s">
        <v>8456</v>
      </c>
      <c r="V545" s="337">
        <v>0</v>
      </c>
      <c r="W545" s="337">
        <v>0</v>
      </c>
      <c r="X545" s="338" t="s">
        <v>8465</v>
      </c>
      <c r="Y545" s="338" t="s">
        <v>497</v>
      </c>
      <c r="Z545" s="338" t="s">
        <v>9140</v>
      </c>
      <c r="AA545" s="338" t="s">
        <v>6079</v>
      </c>
      <c r="AB545" s="338"/>
      <c r="AC545" s="338"/>
      <c r="AD545" s="338"/>
      <c r="AF545" s="502" t="str">
        <f>Table15[[#This Row],[code2]]</f>
        <v>PRL</v>
      </c>
      <c r="AG545" s="502" t="str">
        <f>Table15[[#This Row],[code5]]</f>
        <v>ISP</v>
      </c>
    </row>
    <row r="546" spans="1:33">
      <c r="A546" s="338" t="s">
        <v>6072</v>
      </c>
      <c r="B546" s="338" t="s">
        <v>6073</v>
      </c>
      <c r="C546" s="337">
        <v>1</v>
      </c>
      <c r="D546" s="338" t="s">
        <v>6513</v>
      </c>
      <c r="E546" s="338" t="s">
        <v>6514</v>
      </c>
      <c r="F546" s="337">
        <v>1</v>
      </c>
      <c r="G546" s="337">
        <v>1</v>
      </c>
      <c r="H546" s="338" t="s">
        <v>6515</v>
      </c>
      <c r="I546" s="338" t="s">
        <v>9548</v>
      </c>
      <c r="J546" s="338" t="s">
        <v>9551</v>
      </c>
      <c r="K546" s="338" t="s">
        <v>6516</v>
      </c>
      <c r="L546" s="338" t="s">
        <v>6517</v>
      </c>
      <c r="M546" s="338" t="s">
        <v>4761</v>
      </c>
      <c r="N546" s="338" t="s">
        <v>6142</v>
      </c>
      <c r="O546" s="337">
        <v>1</v>
      </c>
      <c r="P546" s="337">
        <v>1</v>
      </c>
      <c r="Q546" s="338"/>
      <c r="R546" s="338"/>
      <c r="S546" s="338"/>
      <c r="T546" s="338" t="s">
        <v>7913</v>
      </c>
      <c r="U546" s="338" t="s">
        <v>8457</v>
      </c>
      <c r="V546" s="337">
        <v>0</v>
      </c>
      <c r="W546" s="337">
        <v>0</v>
      </c>
      <c r="X546" s="338" t="s">
        <v>8465</v>
      </c>
      <c r="Y546" s="338" t="s">
        <v>6081</v>
      </c>
      <c r="Z546" s="338" t="s">
        <v>9140</v>
      </c>
      <c r="AA546" s="338" t="s">
        <v>6079</v>
      </c>
      <c r="AB546" s="338"/>
      <c r="AC546" s="338"/>
      <c r="AD546" s="338"/>
      <c r="AF546" s="502" t="str">
        <f>Table15[[#This Row],[code2]]</f>
        <v>PRL</v>
      </c>
      <c r="AG546" s="502" t="str">
        <f>Table15[[#This Row],[code5]]</f>
        <v>ISP</v>
      </c>
    </row>
    <row r="547" spans="1:33">
      <c r="A547" s="338" t="s">
        <v>6072</v>
      </c>
      <c r="B547" s="338" t="s">
        <v>6073</v>
      </c>
      <c r="C547" s="337">
        <v>1</v>
      </c>
      <c r="D547" s="338" t="s">
        <v>6513</v>
      </c>
      <c r="E547" s="338" t="s">
        <v>6514</v>
      </c>
      <c r="F547" s="337">
        <v>1</v>
      </c>
      <c r="G547" s="337">
        <v>1</v>
      </c>
      <c r="H547" s="338" t="s">
        <v>6515</v>
      </c>
      <c r="I547" s="338" t="s">
        <v>9548</v>
      </c>
      <c r="J547" s="338" t="s">
        <v>9551</v>
      </c>
      <c r="K547" s="338" t="s">
        <v>6516</v>
      </c>
      <c r="L547" s="338" t="s">
        <v>6517</v>
      </c>
      <c r="M547" s="338" t="s">
        <v>4761</v>
      </c>
      <c r="N547" s="338" t="s">
        <v>6142</v>
      </c>
      <c r="O547" s="337">
        <v>1</v>
      </c>
      <c r="P547" s="337">
        <v>1</v>
      </c>
      <c r="Q547" s="338"/>
      <c r="R547" s="338"/>
      <c r="S547" s="338"/>
      <c r="T547" s="338" t="s">
        <v>7913</v>
      </c>
      <c r="U547" s="338" t="s">
        <v>8458</v>
      </c>
      <c r="V547" s="337">
        <v>0</v>
      </c>
      <c r="W547" s="337">
        <v>0</v>
      </c>
      <c r="X547" s="338" t="s">
        <v>8465</v>
      </c>
      <c r="Y547" s="338" t="s">
        <v>493</v>
      </c>
      <c r="Z547" s="338" t="s">
        <v>9098</v>
      </c>
      <c r="AA547" s="338" t="s">
        <v>6079</v>
      </c>
      <c r="AB547" s="338"/>
      <c r="AC547" s="338"/>
      <c r="AD547" s="338"/>
      <c r="AF547" s="502" t="str">
        <f>Table15[[#This Row],[code2]]</f>
        <v>PRL</v>
      </c>
      <c r="AG547" s="502" t="str">
        <f>Table15[[#This Row],[code5]]</f>
        <v>ISP</v>
      </c>
    </row>
    <row r="548" spans="1:33">
      <c r="A548" s="338" t="s">
        <v>6072</v>
      </c>
      <c r="B548" s="338" t="s">
        <v>6073</v>
      </c>
      <c r="C548" s="337">
        <v>1</v>
      </c>
      <c r="D548" s="338" t="s">
        <v>6513</v>
      </c>
      <c r="E548" s="338" t="s">
        <v>6514</v>
      </c>
      <c r="F548" s="337">
        <v>1</v>
      </c>
      <c r="G548" s="337">
        <v>1</v>
      </c>
      <c r="H548" s="338" t="s">
        <v>6515</v>
      </c>
      <c r="I548" s="338" t="s">
        <v>9548</v>
      </c>
      <c r="J548" s="338" t="s">
        <v>9551</v>
      </c>
      <c r="K548" s="338" t="s">
        <v>6516</v>
      </c>
      <c r="L548" s="338" t="s">
        <v>6517</v>
      </c>
      <c r="M548" s="338" t="s">
        <v>4761</v>
      </c>
      <c r="N548" s="338" t="s">
        <v>6142</v>
      </c>
      <c r="O548" s="337">
        <v>1</v>
      </c>
      <c r="P548" s="337">
        <v>1</v>
      </c>
      <c r="Q548" s="338"/>
      <c r="R548" s="338"/>
      <c r="S548" s="338"/>
      <c r="T548" s="338" t="s">
        <v>7913</v>
      </c>
      <c r="U548" s="338" t="s">
        <v>8459</v>
      </c>
      <c r="V548" s="337">
        <v>0</v>
      </c>
      <c r="W548" s="337">
        <v>0</v>
      </c>
      <c r="X548" s="338" t="s">
        <v>8465</v>
      </c>
      <c r="Y548" s="338" t="s">
        <v>6085</v>
      </c>
      <c r="Z548" s="338" t="s">
        <v>9140</v>
      </c>
      <c r="AA548" s="338" t="s">
        <v>6079</v>
      </c>
      <c r="AB548" s="338"/>
      <c r="AC548" s="338"/>
      <c r="AD548" s="338"/>
      <c r="AF548" s="502" t="str">
        <f>Table15[[#This Row],[code2]]</f>
        <v>PRL</v>
      </c>
      <c r="AG548" s="502" t="str">
        <f>Table15[[#This Row],[code5]]</f>
        <v>ISP</v>
      </c>
    </row>
    <row r="549" spans="1:33">
      <c r="A549" s="338" t="s">
        <v>6072</v>
      </c>
      <c r="B549" s="338" t="s">
        <v>6073</v>
      </c>
      <c r="C549" s="337">
        <v>1</v>
      </c>
      <c r="D549" s="338" t="s">
        <v>6513</v>
      </c>
      <c r="E549" s="338" t="s">
        <v>6514</v>
      </c>
      <c r="F549" s="337">
        <v>1</v>
      </c>
      <c r="G549" s="337">
        <v>1</v>
      </c>
      <c r="H549" s="338" t="s">
        <v>6515</v>
      </c>
      <c r="I549" s="338" t="s">
        <v>9548</v>
      </c>
      <c r="J549" s="338" t="s">
        <v>9551</v>
      </c>
      <c r="K549" s="338" t="s">
        <v>6516</v>
      </c>
      <c r="L549" s="338" t="s">
        <v>6517</v>
      </c>
      <c r="M549" s="338" t="s">
        <v>6717</v>
      </c>
      <c r="N549" s="338" t="s">
        <v>8372</v>
      </c>
      <c r="O549" s="337">
        <v>0</v>
      </c>
      <c r="P549" s="337">
        <v>0</v>
      </c>
      <c r="Q549" s="338"/>
      <c r="R549" s="338" t="s">
        <v>6088</v>
      </c>
      <c r="S549" s="338" t="s">
        <v>92</v>
      </c>
      <c r="T549" s="338" t="s">
        <v>7914</v>
      </c>
      <c r="U549" s="338" t="s">
        <v>6718</v>
      </c>
      <c r="V549" s="337">
        <v>0</v>
      </c>
      <c r="W549" s="337">
        <v>0</v>
      </c>
      <c r="X549" s="338"/>
      <c r="Y549" s="338" t="s">
        <v>6318</v>
      </c>
      <c r="Z549" s="338" t="s">
        <v>7924</v>
      </c>
      <c r="AA549" s="338" t="s">
        <v>6079</v>
      </c>
      <c r="AB549" s="338"/>
      <c r="AC549" s="338" t="s">
        <v>6091</v>
      </c>
      <c r="AD549" s="338" t="s">
        <v>6719</v>
      </c>
      <c r="AF549" s="502" t="str">
        <f>Table15[[#This Row],[code2]]</f>
        <v>PRL</v>
      </c>
      <c r="AG549" s="502" t="str">
        <f>Table15[[#This Row],[code5]]</f>
        <v>ILA</v>
      </c>
    </row>
    <row r="550" spans="1:33">
      <c r="A550" s="338" t="s">
        <v>6072</v>
      </c>
      <c r="B550" s="338" t="s">
        <v>6073</v>
      </c>
      <c r="C550" s="337">
        <v>1</v>
      </c>
      <c r="D550" s="338" t="s">
        <v>6513</v>
      </c>
      <c r="E550" s="338" t="s">
        <v>6514</v>
      </c>
      <c r="F550" s="337">
        <v>1</v>
      </c>
      <c r="G550" s="337">
        <v>1</v>
      </c>
      <c r="H550" s="338" t="s">
        <v>6515</v>
      </c>
      <c r="I550" s="338" t="s">
        <v>9548</v>
      </c>
      <c r="J550" s="338" t="s">
        <v>9551</v>
      </c>
      <c r="K550" s="338" t="s">
        <v>6516</v>
      </c>
      <c r="L550" s="338" t="s">
        <v>6517</v>
      </c>
      <c r="M550" s="338" t="s">
        <v>6717</v>
      </c>
      <c r="N550" s="338" t="s">
        <v>8372</v>
      </c>
      <c r="O550" s="337">
        <v>0</v>
      </c>
      <c r="P550" s="337">
        <v>0</v>
      </c>
      <c r="Q550" s="338"/>
      <c r="R550" s="338" t="s">
        <v>6088</v>
      </c>
      <c r="S550" s="338" t="s">
        <v>92</v>
      </c>
      <c r="T550" s="338" t="s">
        <v>7914</v>
      </c>
      <c r="U550" s="338" t="s">
        <v>6720</v>
      </c>
      <c r="V550" s="337">
        <v>0</v>
      </c>
      <c r="W550" s="337">
        <v>0</v>
      </c>
      <c r="X550" s="338"/>
      <c r="Y550" s="338" t="s">
        <v>6318</v>
      </c>
      <c r="Z550" s="338" t="s">
        <v>6496</v>
      </c>
      <c r="AA550" s="338" t="s">
        <v>6079</v>
      </c>
      <c r="AB550" s="338"/>
      <c r="AC550" s="338" t="s">
        <v>6091</v>
      </c>
      <c r="AD550" s="338" t="s">
        <v>6721</v>
      </c>
      <c r="AF550" s="502" t="str">
        <f>Table15[[#This Row],[code2]]</f>
        <v>PRL</v>
      </c>
      <c r="AG550" s="502" t="str">
        <f>Table15[[#This Row],[code5]]</f>
        <v>ILA</v>
      </c>
    </row>
    <row r="551" spans="1:33">
      <c r="A551" s="338" t="s">
        <v>6072</v>
      </c>
      <c r="B551" s="338" t="s">
        <v>6073</v>
      </c>
      <c r="C551" s="337">
        <v>1</v>
      </c>
      <c r="D551" s="338" t="s">
        <v>6513</v>
      </c>
      <c r="E551" s="338" t="s">
        <v>6514</v>
      </c>
      <c r="F551" s="337">
        <v>1</v>
      </c>
      <c r="G551" s="337">
        <v>1</v>
      </c>
      <c r="H551" s="338" t="s">
        <v>6515</v>
      </c>
      <c r="I551" s="338" t="s">
        <v>9548</v>
      </c>
      <c r="J551" s="338" t="s">
        <v>9551</v>
      </c>
      <c r="K551" s="338" t="s">
        <v>6516</v>
      </c>
      <c r="L551" s="338" t="s">
        <v>6517</v>
      </c>
      <c r="M551" s="338" t="s">
        <v>6717</v>
      </c>
      <c r="N551" s="338" t="s">
        <v>8372</v>
      </c>
      <c r="O551" s="337">
        <v>0</v>
      </c>
      <c r="P551" s="337">
        <v>0</v>
      </c>
      <c r="Q551" s="338"/>
      <c r="R551" s="338" t="s">
        <v>6088</v>
      </c>
      <c r="S551" s="338" t="s">
        <v>92</v>
      </c>
      <c r="T551" s="338" t="s">
        <v>7914</v>
      </c>
      <c r="U551" s="338" t="s">
        <v>4907</v>
      </c>
      <c r="V551" s="337">
        <v>0</v>
      </c>
      <c r="W551" s="337">
        <v>0</v>
      </c>
      <c r="X551" s="338"/>
      <c r="Y551" s="338" t="s">
        <v>6318</v>
      </c>
      <c r="Z551" s="338" t="s">
        <v>7926</v>
      </c>
      <c r="AA551" s="338" t="s">
        <v>6079</v>
      </c>
      <c r="AB551" s="338"/>
      <c r="AC551" s="338" t="s">
        <v>6091</v>
      </c>
      <c r="AD551" s="338" t="s">
        <v>6722</v>
      </c>
      <c r="AF551" s="502" t="str">
        <f>Table15[[#This Row],[code2]]</f>
        <v>PRL</v>
      </c>
      <c r="AG551" s="502" t="str">
        <f>Table15[[#This Row],[code5]]</f>
        <v>ILA</v>
      </c>
    </row>
    <row r="552" spans="1:33">
      <c r="A552" s="338" t="s">
        <v>6072</v>
      </c>
      <c r="B552" s="338" t="s">
        <v>6073</v>
      </c>
      <c r="C552" s="337">
        <v>1</v>
      </c>
      <c r="D552" s="338" t="s">
        <v>6513</v>
      </c>
      <c r="E552" s="338" t="s">
        <v>6514</v>
      </c>
      <c r="F552" s="337">
        <v>1</v>
      </c>
      <c r="G552" s="337">
        <v>1</v>
      </c>
      <c r="H552" s="338" t="s">
        <v>6515</v>
      </c>
      <c r="I552" s="338" t="s">
        <v>9548</v>
      </c>
      <c r="J552" s="338" t="s">
        <v>9551</v>
      </c>
      <c r="K552" s="338" t="s">
        <v>6516</v>
      </c>
      <c r="L552" s="338" t="s">
        <v>6517</v>
      </c>
      <c r="M552" s="338" t="s">
        <v>6717</v>
      </c>
      <c r="N552" s="338" t="s">
        <v>8372</v>
      </c>
      <c r="O552" s="337">
        <v>0</v>
      </c>
      <c r="P552" s="337">
        <v>0</v>
      </c>
      <c r="Q552" s="338"/>
      <c r="R552" s="338" t="s">
        <v>6088</v>
      </c>
      <c r="S552" s="338" t="s">
        <v>92</v>
      </c>
      <c r="T552" s="338" t="s">
        <v>7914</v>
      </c>
      <c r="U552" s="338" t="s">
        <v>6723</v>
      </c>
      <c r="V552" s="337">
        <v>0</v>
      </c>
      <c r="W552" s="337">
        <v>0</v>
      </c>
      <c r="X552" s="338"/>
      <c r="Y552" s="338" t="s">
        <v>6318</v>
      </c>
      <c r="Z552" s="338" t="s">
        <v>8252</v>
      </c>
      <c r="AA552" s="338" t="s">
        <v>6079</v>
      </c>
      <c r="AB552" s="338"/>
      <c r="AC552" s="338" t="s">
        <v>6091</v>
      </c>
      <c r="AD552" s="338" t="s">
        <v>6724</v>
      </c>
      <c r="AF552" s="502" t="str">
        <f>Table15[[#This Row],[code2]]</f>
        <v>PRL</v>
      </c>
      <c r="AG552" s="502" t="str">
        <f>Table15[[#This Row],[code5]]</f>
        <v>ILA</v>
      </c>
    </row>
    <row r="553" spans="1:33">
      <c r="A553" s="338" t="s">
        <v>6072</v>
      </c>
      <c r="B553" s="338" t="s">
        <v>6073</v>
      </c>
      <c r="C553" s="337">
        <v>1</v>
      </c>
      <c r="D553" s="338" t="s">
        <v>6513</v>
      </c>
      <c r="E553" s="338" t="s">
        <v>6514</v>
      </c>
      <c r="F553" s="337">
        <v>1</v>
      </c>
      <c r="G553" s="337">
        <v>1</v>
      </c>
      <c r="H553" s="338" t="s">
        <v>6515</v>
      </c>
      <c r="I553" s="338" t="s">
        <v>9548</v>
      </c>
      <c r="J553" s="338" t="s">
        <v>9551</v>
      </c>
      <c r="K553" s="338" t="s">
        <v>6516</v>
      </c>
      <c r="L553" s="338" t="s">
        <v>6517</v>
      </c>
      <c r="M553" s="338" t="s">
        <v>6717</v>
      </c>
      <c r="N553" s="338" t="s">
        <v>8372</v>
      </c>
      <c r="O553" s="337">
        <v>0</v>
      </c>
      <c r="P553" s="337">
        <v>0</v>
      </c>
      <c r="Q553" s="338"/>
      <c r="R553" s="338" t="s">
        <v>6088</v>
      </c>
      <c r="S553" s="338" t="s">
        <v>92</v>
      </c>
      <c r="T553" s="338" t="s">
        <v>7914</v>
      </c>
      <c r="U553" s="338" t="s">
        <v>6725</v>
      </c>
      <c r="V553" s="337">
        <v>0</v>
      </c>
      <c r="W553" s="337">
        <v>0</v>
      </c>
      <c r="X553" s="338"/>
      <c r="Y553" s="338" t="s">
        <v>6318</v>
      </c>
      <c r="Z553" s="338" t="s">
        <v>7969</v>
      </c>
      <c r="AA553" s="338" t="s">
        <v>6079</v>
      </c>
      <c r="AB553" s="338"/>
      <c r="AC553" s="338" t="s">
        <v>6096</v>
      </c>
      <c r="AD553" s="338" t="s">
        <v>6719</v>
      </c>
      <c r="AF553" s="502" t="str">
        <f>Table15[[#This Row],[code2]]</f>
        <v>PRL</v>
      </c>
      <c r="AG553" s="502" t="str">
        <f>Table15[[#This Row],[code5]]</f>
        <v>ILA</v>
      </c>
    </row>
    <row r="554" spans="1:33">
      <c r="A554" s="338" t="s">
        <v>6072</v>
      </c>
      <c r="B554" s="338" t="s">
        <v>6073</v>
      </c>
      <c r="C554" s="337">
        <v>1</v>
      </c>
      <c r="D554" s="338" t="s">
        <v>6513</v>
      </c>
      <c r="E554" s="338" t="s">
        <v>6514</v>
      </c>
      <c r="F554" s="337">
        <v>1</v>
      </c>
      <c r="G554" s="337">
        <v>1</v>
      </c>
      <c r="H554" s="338" t="s">
        <v>6515</v>
      </c>
      <c r="I554" s="338" t="s">
        <v>9548</v>
      </c>
      <c r="J554" s="338" t="s">
        <v>9551</v>
      </c>
      <c r="K554" s="338" t="s">
        <v>6516</v>
      </c>
      <c r="L554" s="338" t="s">
        <v>6517</v>
      </c>
      <c r="M554" s="338" t="s">
        <v>6717</v>
      </c>
      <c r="N554" s="338" t="s">
        <v>8372</v>
      </c>
      <c r="O554" s="337">
        <v>0</v>
      </c>
      <c r="P554" s="337">
        <v>0</v>
      </c>
      <c r="Q554" s="338"/>
      <c r="R554" s="338" t="s">
        <v>6088</v>
      </c>
      <c r="S554" s="338" t="s">
        <v>92</v>
      </c>
      <c r="T554" s="338" t="s">
        <v>7914</v>
      </c>
      <c r="U554" s="338" t="s">
        <v>6726</v>
      </c>
      <c r="V554" s="337">
        <v>0</v>
      </c>
      <c r="W554" s="337">
        <v>0</v>
      </c>
      <c r="X554" s="338"/>
      <c r="Y554" s="338" t="s">
        <v>6318</v>
      </c>
      <c r="Z554" s="338" t="s">
        <v>8026</v>
      </c>
      <c r="AA554" s="338" t="s">
        <v>6079</v>
      </c>
      <c r="AB554" s="338"/>
      <c r="AC554" s="338" t="s">
        <v>6096</v>
      </c>
      <c r="AD554" s="338" t="s">
        <v>6721</v>
      </c>
      <c r="AF554" s="502" t="str">
        <f>Table15[[#This Row],[code2]]</f>
        <v>PRL</v>
      </c>
      <c r="AG554" s="502" t="str">
        <f>Table15[[#This Row],[code5]]</f>
        <v>ILA</v>
      </c>
    </row>
    <row r="555" spans="1:33">
      <c r="A555" s="338" t="s">
        <v>6072</v>
      </c>
      <c r="B555" s="338" t="s">
        <v>6073</v>
      </c>
      <c r="C555" s="337">
        <v>1</v>
      </c>
      <c r="D555" s="338" t="s">
        <v>6513</v>
      </c>
      <c r="E555" s="338" t="s">
        <v>6514</v>
      </c>
      <c r="F555" s="337">
        <v>1</v>
      </c>
      <c r="G555" s="337">
        <v>1</v>
      </c>
      <c r="H555" s="338" t="s">
        <v>6515</v>
      </c>
      <c r="I555" s="338" t="s">
        <v>9548</v>
      </c>
      <c r="J555" s="338" t="s">
        <v>9551</v>
      </c>
      <c r="K555" s="338" t="s">
        <v>6516</v>
      </c>
      <c r="L555" s="338" t="s">
        <v>6517</v>
      </c>
      <c r="M555" s="338" t="s">
        <v>6717</v>
      </c>
      <c r="N555" s="338" t="s">
        <v>8372</v>
      </c>
      <c r="O555" s="337">
        <v>0</v>
      </c>
      <c r="P555" s="337">
        <v>0</v>
      </c>
      <c r="Q555" s="338"/>
      <c r="R555" s="338" t="s">
        <v>6088</v>
      </c>
      <c r="S555" s="338" t="s">
        <v>92</v>
      </c>
      <c r="T555" s="338" t="s">
        <v>7914</v>
      </c>
      <c r="U555" s="338" t="s">
        <v>4908</v>
      </c>
      <c r="V555" s="337">
        <v>0</v>
      </c>
      <c r="W555" s="337">
        <v>0</v>
      </c>
      <c r="X555" s="338"/>
      <c r="Y555" s="338" t="s">
        <v>6318</v>
      </c>
      <c r="Z555" s="338" t="s">
        <v>8021</v>
      </c>
      <c r="AA555" s="338" t="s">
        <v>6079</v>
      </c>
      <c r="AB555" s="338"/>
      <c r="AC555" s="338" t="s">
        <v>6096</v>
      </c>
      <c r="AD555" s="338" t="s">
        <v>6722</v>
      </c>
      <c r="AF555" s="502" t="str">
        <f>Table15[[#This Row],[code2]]</f>
        <v>PRL</v>
      </c>
      <c r="AG555" s="502" t="str">
        <f>Table15[[#This Row],[code5]]</f>
        <v>ILA</v>
      </c>
    </row>
    <row r="556" spans="1:33">
      <c r="A556" s="338" t="s">
        <v>6072</v>
      </c>
      <c r="B556" s="338" t="s">
        <v>6073</v>
      </c>
      <c r="C556" s="337">
        <v>1</v>
      </c>
      <c r="D556" s="338" t="s">
        <v>6513</v>
      </c>
      <c r="E556" s="338" t="s">
        <v>6514</v>
      </c>
      <c r="F556" s="337">
        <v>1</v>
      </c>
      <c r="G556" s="337">
        <v>1</v>
      </c>
      <c r="H556" s="338" t="s">
        <v>6515</v>
      </c>
      <c r="I556" s="338" t="s">
        <v>9548</v>
      </c>
      <c r="J556" s="338" t="s">
        <v>9551</v>
      </c>
      <c r="K556" s="338" t="s">
        <v>6516</v>
      </c>
      <c r="L556" s="338" t="s">
        <v>6517</v>
      </c>
      <c r="M556" s="338" t="s">
        <v>6717</v>
      </c>
      <c r="N556" s="338" t="s">
        <v>8372</v>
      </c>
      <c r="O556" s="337">
        <v>0</v>
      </c>
      <c r="P556" s="337">
        <v>0</v>
      </c>
      <c r="Q556" s="338"/>
      <c r="R556" s="338" t="s">
        <v>6088</v>
      </c>
      <c r="S556" s="338" t="s">
        <v>92</v>
      </c>
      <c r="T556" s="338" t="s">
        <v>7914</v>
      </c>
      <c r="U556" s="338" t="s">
        <v>6727</v>
      </c>
      <c r="V556" s="337">
        <v>0</v>
      </c>
      <c r="W556" s="337">
        <v>0</v>
      </c>
      <c r="X556" s="338"/>
      <c r="Y556" s="338" t="s">
        <v>6318</v>
      </c>
      <c r="Z556" s="338" t="s">
        <v>8347</v>
      </c>
      <c r="AA556" s="338" t="s">
        <v>6079</v>
      </c>
      <c r="AB556" s="338"/>
      <c r="AC556" s="338" t="s">
        <v>6096</v>
      </c>
      <c r="AD556" s="338" t="s">
        <v>6724</v>
      </c>
      <c r="AF556" s="502" t="str">
        <f>Table15[[#This Row],[code2]]</f>
        <v>PRL</v>
      </c>
      <c r="AG556" s="502" t="str">
        <f>Table15[[#This Row],[code5]]</f>
        <v>ILA</v>
      </c>
    </row>
    <row r="557" spans="1:33">
      <c r="A557" s="338" t="s">
        <v>6072</v>
      </c>
      <c r="B557" s="338" t="s">
        <v>6073</v>
      </c>
      <c r="C557" s="337">
        <v>1</v>
      </c>
      <c r="D557" s="338" t="s">
        <v>6513</v>
      </c>
      <c r="E557" s="338" t="s">
        <v>6514</v>
      </c>
      <c r="F557" s="337">
        <v>1</v>
      </c>
      <c r="G557" s="337">
        <v>1</v>
      </c>
      <c r="H557" s="338" t="s">
        <v>6515</v>
      </c>
      <c r="I557" s="338" t="s">
        <v>9548</v>
      </c>
      <c r="J557" s="338" t="s">
        <v>9551</v>
      </c>
      <c r="K557" s="338" t="s">
        <v>6516</v>
      </c>
      <c r="L557" s="338" t="s">
        <v>6517</v>
      </c>
      <c r="M557" s="338" t="s">
        <v>6717</v>
      </c>
      <c r="N557" s="338" t="s">
        <v>8372</v>
      </c>
      <c r="O557" s="337">
        <v>0</v>
      </c>
      <c r="P557" s="337">
        <v>0</v>
      </c>
      <c r="Q557" s="338"/>
      <c r="R557" s="338" t="s">
        <v>6088</v>
      </c>
      <c r="S557" s="338" t="s">
        <v>92</v>
      </c>
      <c r="T557" s="338" t="s">
        <v>7914</v>
      </c>
      <c r="U557" s="338" t="s">
        <v>6728</v>
      </c>
      <c r="V557" s="337">
        <v>0</v>
      </c>
      <c r="W557" s="337">
        <v>0</v>
      </c>
      <c r="X557" s="338"/>
      <c r="Y557" s="338" t="s">
        <v>6318</v>
      </c>
      <c r="Z557" s="338" t="s">
        <v>7972</v>
      </c>
      <c r="AA557" s="338" t="s">
        <v>6079</v>
      </c>
      <c r="AB557" s="338"/>
      <c r="AC557" s="338" t="s">
        <v>6101</v>
      </c>
      <c r="AD557" s="338" t="s">
        <v>6719</v>
      </c>
      <c r="AF557" s="502" t="str">
        <f>Table15[[#This Row],[code2]]</f>
        <v>PRL</v>
      </c>
      <c r="AG557" s="502" t="str">
        <f>Table15[[#This Row],[code5]]</f>
        <v>ILA</v>
      </c>
    </row>
    <row r="558" spans="1:33">
      <c r="A558" s="338" t="s">
        <v>6072</v>
      </c>
      <c r="B558" s="338" t="s">
        <v>6073</v>
      </c>
      <c r="C558" s="337">
        <v>1</v>
      </c>
      <c r="D558" s="338" t="s">
        <v>6513</v>
      </c>
      <c r="E558" s="338" t="s">
        <v>6514</v>
      </c>
      <c r="F558" s="337">
        <v>1</v>
      </c>
      <c r="G558" s="337">
        <v>1</v>
      </c>
      <c r="H558" s="338" t="s">
        <v>6515</v>
      </c>
      <c r="I558" s="338" t="s">
        <v>9548</v>
      </c>
      <c r="J558" s="338" t="s">
        <v>9551</v>
      </c>
      <c r="K558" s="338" t="s">
        <v>6516</v>
      </c>
      <c r="L558" s="338" t="s">
        <v>6517</v>
      </c>
      <c r="M558" s="338" t="s">
        <v>6717</v>
      </c>
      <c r="N558" s="338" t="s">
        <v>8372</v>
      </c>
      <c r="O558" s="337">
        <v>0</v>
      </c>
      <c r="P558" s="337">
        <v>0</v>
      </c>
      <c r="Q558" s="338"/>
      <c r="R558" s="338" t="s">
        <v>6088</v>
      </c>
      <c r="S558" s="338" t="s">
        <v>92</v>
      </c>
      <c r="T558" s="338" t="s">
        <v>7914</v>
      </c>
      <c r="U558" s="338" t="s">
        <v>6729</v>
      </c>
      <c r="V558" s="337">
        <v>0</v>
      </c>
      <c r="W558" s="337">
        <v>0</v>
      </c>
      <c r="X558" s="338"/>
      <c r="Y558" s="338" t="s">
        <v>6318</v>
      </c>
      <c r="Z558" s="338" t="s">
        <v>8291</v>
      </c>
      <c r="AA558" s="338" t="s">
        <v>6079</v>
      </c>
      <c r="AB558" s="338"/>
      <c r="AC558" s="338" t="s">
        <v>6101</v>
      </c>
      <c r="AD558" s="338" t="s">
        <v>6721</v>
      </c>
      <c r="AF558" s="502" t="str">
        <f>Table15[[#This Row],[code2]]</f>
        <v>PRL</v>
      </c>
      <c r="AG558" s="502" t="str">
        <f>Table15[[#This Row],[code5]]</f>
        <v>ILA</v>
      </c>
    </row>
    <row r="559" spans="1:33">
      <c r="A559" s="338" t="s">
        <v>6072</v>
      </c>
      <c r="B559" s="338" t="s">
        <v>6073</v>
      </c>
      <c r="C559" s="337">
        <v>1</v>
      </c>
      <c r="D559" s="338" t="s">
        <v>6513</v>
      </c>
      <c r="E559" s="338" t="s">
        <v>6514</v>
      </c>
      <c r="F559" s="337">
        <v>1</v>
      </c>
      <c r="G559" s="337">
        <v>1</v>
      </c>
      <c r="H559" s="338" t="s">
        <v>6515</v>
      </c>
      <c r="I559" s="338" t="s">
        <v>9548</v>
      </c>
      <c r="J559" s="338" t="s">
        <v>9551</v>
      </c>
      <c r="K559" s="338" t="s">
        <v>6516</v>
      </c>
      <c r="L559" s="338" t="s">
        <v>6517</v>
      </c>
      <c r="M559" s="338" t="s">
        <v>6717</v>
      </c>
      <c r="N559" s="338" t="s">
        <v>8372</v>
      </c>
      <c r="O559" s="337">
        <v>0</v>
      </c>
      <c r="P559" s="337">
        <v>0</v>
      </c>
      <c r="Q559" s="338"/>
      <c r="R559" s="338" t="s">
        <v>6088</v>
      </c>
      <c r="S559" s="338" t="s">
        <v>92</v>
      </c>
      <c r="T559" s="338" t="s">
        <v>7914</v>
      </c>
      <c r="U559" s="338" t="s">
        <v>4909</v>
      </c>
      <c r="V559" s="337">
        <v>0</v>
      </c>
      <c r="W559" s="337">
        <v>0</v>
      </c>
      <c r="X559" s="338"/>
      <c r="Y559" s="338" t="s">
        <v>6318</v>
      </c>
      <c r="Z559" s="338" t="s">
        <v>8014</v>
      </c>
      <c r="AA559" s="338" t="s">
        <v>6079</v>
      </c>
      <c r="AB559" s="338"/>
      <c r="AC559" s="338" t="s">
        <v>6101</v>
      </c>
      <c r="AD559" s="338" t="s">
        <v>6722</v>
      </c>
      <c r="AF559" s="502" t="str">
        <f>Table15[[#This Row],[code2]]</f>
        <v>PRL</v>
      </c>
      <c r="AG559" s="502" t="str">
        <f>Table15[[#This Row],[code5]]</f>
        <v>ILA</v>
      </c>
    </row>
    <row r="560" spans="1:33">
      <c r="A560" s="338" t="s">
        <v>6072</v>
      </c>
      <c r="B560" s="338" t="s">
        <v>6073</v>
      </c>
      <c r="C560" s="337">
        <v>1</v>
      </c>
      <c r="D560" s="338" t="s">
        <v>6513</v>
      </c>
      <c r="E560" s="338" t="s">
        <v>6514</v>
      </c>
      <c r="F560" s="337">
        <v>1</v>
      </c>
      <c r="G560" s="337">
        <v>1</v>
      </c>
      <c r="H560" s="338" t="s">
        <v>6515</v>
      </c>
      <c r="I560" s="338" t="s">
        <v>9548</v>
      </c>
      <c r="J560" s="338" t="s">
        <v>9551</v>
      </c>
      <c r="K560" s="338" t="s">
        <v>6516</v>
      </c>
      <c r="L560" s="338" t="s">
        <v>6517</v>
      </c>
      <c r="M560" s="338" t="s">
        <v>6717</v>
      </c>
      <c r="N560" s="338" t="s">
        <v>8372</v>
      </c>
      <c r="O560" s="337">
        <v>0</v>
      </c>
      <c r="P560" s="337">
        <v>0</v>
      </c>
      <c r="Q560" s="338"/>
      <c r="R560" s="338" t="s">
        <v>6088</v>
      </c>
      <c r="S560" s="338" t="s">
        <v>92</v>
      </c>
      <c r="T560" s="338" t="s">
        <v>7914</v>
      </c>
      <c r="U560" s="338" t="s">
        <v>6730</v>
      </c>
      <c r="V560" s="337">
        <v>0</v>
      </c>
      <c r="W560" s="337">
        <v>0</v>
      </c>
      <c r="X560" s="338"/>
      <c r="Y560" s="338" t="s">
        <v>6318</v>
      </c>
      <c r="Z560" s="338" t="s">
        <v>8018</v>
      </c>
      <c r="AA560" s="338" t="s">
        <v>6079</v>
      </c>
      <c r="AB560" s="338"/>
      <c r="AC560" s="338" t="s">
        <v>6101</v>
      </c>
      <c r="AD560" s="338" t="s">
        <v>6724</v>
      </c>
      <c r="AF560" s="502" t="str">
        <f>Table15[[#This Row],[code2]]</f>
        <v>PRL</v>
      </c>
      <c r="AG560" s="502" t="str">
        <f>Table15[[#This Row],[code5]]</f>
        <v>ILA</v>
      </c>
    </row>
    <row r="561" spans="1:33">
      <c r="A561" s="338" t="s">
        <v>6072</v>
      </c>
      <c r="B561" s="338" t="s">
        <v>6073</v>
      </c>
      <c r="C561" s="337">
        <v>1</v>
      </c>
      <c r="D561" s="338" t="s">
        <v>6513</v>
      </c>
      <c r="E561" s="338" t="s">
        <v>6514</v>
      </c>
      <c r="F561" s="337">
        <v>1</v>
      </c>
      <c r="G561" s="337">
        <v>1</v>
      </c>
      <c r="H561" s="338" t="s">
        <v>6515</v>
      </c>
      <c r="I561" s="338" t="s">
        <v>9548</v>
      </c>
      <c r="J561" s="338" t="s">
        <v>9551</v>
      </c>
      <c r="K561" s="338" t="s">
        <v>6516</v>
      </c>
      <c r="L561" s="338" t="s">
        <v>6517</v>
      </c>
      <c r="M561" s="338" t="s">
        <v>6717</v>
      </c>
      <c r="N561" s="338" t="s">
        <v>8372</v>
      </c>
      <c r="O561" s="337">
        <v>0</v>
      </c>
      <c r="P561" s="337">
        <v>0</v>
      </c>
      <c r="Q561" s="338"/>
      <c r="R561" s="338" t="s">
        <v>6088</v>
      </c>
      <c r="S561" s="338" t="s">
        <v>92</v>
      </c>
      <c r="T561" s="338" t="s">
        <v>7914</v>
      </c>
      <c r="U561" s="338" t="s">
        <v>6731</v>
      </c>
      <c r="V561" s="337">
        <v>0</v>
      </c>
      <c r="W561" s="337">
        <v>0</v>
      </c>
      <c r="X561" s="338"/>
      <c r="Y561" s="338" t="s">
        <v>6318</v>
      </c>
      <c r="Z561" s="338" t="s">
        <v>7974</v>
      </c>
      <c r="AA561" s="338" t="s">
        <v>6079</v>
      </c>
      <c r="AB561" s="338"/>
      <c r="AC561" s="338" t="s">
        <v>6106</v>
      </c>
      <c r="AD561" s="338" t="s">
        <v>6719</v>
      </c>
      <c r="AF561" s="502" t="str">
        <f>Table15[[#This Row],[code2]]</f>
        <v>PRL</v>
      </c>
      <c r="AG561" s="502" t="str">
        <f>Table15[[#This Row],[code5]]</f>
        <v>ILA</v>
      </c>
    </row>
    <row r="562" spans="1:33">
      <c r="A562" s="338" t="s">
        <v>6072</v>
      </c>
      <c r="B562" s="338" t="s">
        <v>6073</v>
      </c>
      <c r="C562" s="337">
        <v>1</v>
      </c>
      <c r="D562" s="338" t="s">
        <v>6513</v>
      </c>
      <c r="E562" s="338" t="s">
        <v>6514</v>
      </c>
      <c r="F562" s="337">
        <v>1</v>
      </c>
      <c r="G562" s="337">
        <v>1</v>
      </c>
      <c r="H562" s="338" t="s">
        <v>6515</v>
      </c>
      <c r="I562" s="338" t="s">
        <v>9548</v>
      </c>
      <c r="J562" s="338" t="s">
        <v>9551</v>
      </c>
      <c r="K562" s="338" t="s">
        <v>6516</v>
      </c>
      <c r="L562" s="338" t="s">
        <v>6517</v>
      </c>
      <c r="M562" s="338" t="s">
        <v>6717</v>
      </c>
      <c r="N562" s="338" t="s">
        <v>8372</v>
      </c>
      <c r="O562" s="337">
        <v>0</v>
      </c>
      <c r="P562" s="337">
        <v>0</v>
      </c>
      <c r="Q562" s="338"/>
      <c r="R562" s="338" t="s">
        <v>6088</v>
      </c>
      <c r="S562" s="338" t="s">
        <v>92</v>
      </c>
      <c r="T562" s="338" t="s">
        <v>7914</v>
      </c>
      <c r="U562" s="338" t="s">
        <v>6732</v>
      </c>
      <c r="V562" s="337">
        <v>0</v>
      </c>
      <c r="W562" s="337">
        <v>0</v>
      </c>
      <c r="X562" s="338"/>
      <c r="Y562" s="338" t="s">
        <v>6318</v>
      </c>
      <c r="Z562" s="338" t="s">
        <v>8021</v>
      </c>
      <c r="AA562" s="338" t="s">
        <v>6079</v>
      </c>
      <c r="AB562" s="338"/>
      <c r="AC562" s="338" t="s">
        <v>6106</v>
      </c>
      <c r="AD562" s="338" t="s">
        <v>6721</v>
      </c>
      <c r="AF562" s="502" t="str">
        <f>Table15[[#This Row],[code2]]</f>
        <v>PRL</v>
      </c>
      <c r="AG562" s="502" t="str">
        <f>Table15[[#This Row],[code5]]</f>
        <v>ILA</v>
      </c>
    </row>
    <row r="563" spans="1:33">
      <c r="A563" s="338" t="s">
        <v>6072</v>
      </c>
      <c r="B563" s="338" t="s">
        <v>6073</v>
      </c>
      <c r="C563" s="337">
        <v>1</v>
      </c>
      <c r="D563" s="338" t="s">
        <v>6513</v>
      </c>
      <c r="E563" s="338" t="s">
        <v>6514</v>
      </c>
      <c r="F563" s="337">
        <v>1</v>
      </c>
      <c r="G563" s="337">
        <v>1</v>
      </c>
      <c r="H563" s="338" t="s">
        <v>6515</v>
      </c>
      <c r="I563" s="338" t="s">
        <v>9548</v>
      </c>
      <c r="J563" s="338" t="s">
        <v>9551</v>
      </c>
      <c r="K563" s="338" t="s">
        <v>6516</v>
      </c>
      <c r="L563" s="338" t="s">
        <v>6517</v>
      </c>
      <c r="M563" s="338" t="s">
        <v>6717</v>
      </c>
      <c r="N563" s="338" t="s">
        <v>8372</v>
      </c>
      <c r="O563" s="337">
        <v>0</v>
      </c>
      <c r="P563" s="337">
        <v>0</v>
      </c>
      <c r="Q563" s="338"/>
      <c r="R563" s="338" t="s">
        <v>6088</v>
      </c>
      <c r="S563" s="338" t="s">
        <v>92</v>
      </c>
      <c r="T563" s="338" t="s">
        <v>7914</v>
      </c>
      <c r="U563" s="338" t="s">
        <v>4910</v>
      </c>
      <c r="V563" s="337">
        <v>0</v>
      </c>
      <c r="W563" s="337">
        <v>0</v>
      </c>
      <c r="X563" s="338"/>
      <c r="Y563" s="338" t="s">
        <v>6318</v>
      </c>
      <c r="Z563" s="338" t="s">
        <v>7966</v>
      </c>
      <c r="AA563" s="338" t="s">
        <v>6079</v>
      </c>
      <c r="AB563" s="338"/>
      <c r="AC563" s="338" t="s">
        <v>6106</v>
      </c>
      <c r="AD563" s="338" t="s">
        <v>6722</v>
      </c>
      <c r="AF563" s="502" t="str">
        <f>Table15[[#This Row],[code2]]</f>
        <v>PRL</v>
      </c>
      <c r="AG563" s="502" t="str">
        <f>Table15[[#This Row],[code5]]</f>
        <v>ILA</v>
      </c>
    </row>
    <row r="564" spans="1:33">
      <c r="A564" s="338" t="s">
        <v>6072</v>
      </c>
      <c r="B564" s="338" t="s">
        <v>6073</v>
      </c>
      <c r="C564" s="337">
        <v>1</v>
      </c>
      <c r="D564" s="338" t="s">
        <v>6513</v>
      </c>
      <c r="E564" s="338" t="s">
        <v>6514</v>
      </c>
      <c r="F564" s="337">
        <v>1</v>
      </c>
      <c r="G564" s="337">
        <v>1</v>
      </c>
      <c r="H564" s="338" t="s">
        <v>6515</v>
      </c>
      <c r="I564" s="338" t="s">
        <v>9548</v>
      </c>
      <c r="J564" s="338" t="s">
        <v>9551</v>
      </c>
      <c r="K564" s="338" t="s">
        <v>6516</v>
      </c>
      <c r="L564" s="338" t="s">
        <v>6517</v>
      </c>
      <c r="M564" s="338" t="s">
        <v>6717</v>
      </c>
      <c r="N564" s="338" t="s">
        <v>8372</v>
      </c>
      <c r="O564" s="337">
        <v>0</v>
      </c>
      <c r="P564" s="337">
        <v>0</v>
      </c>
      <c r="Q564" s="338"/>
      <c r="R564" s="338" t="s">
        <v>6088</v>
      </c>
      <c r="S564" s="338" t="s">
        <v>92</v>
      </c>
      <c r="T564" s="338" t="s">
        <v>7914</v>
      </c>
      <c r="U564" s="338" t="s">
        <v>6733</v>
      </c>
      <c r="V564" s="337">
        <v>0</v>
      </c>
      <c r="W564" s="337">
        <v>0</v>
      </c>
      <c r="X564" s="338"/>
      <c r="Y564" s="338" t="s">
        <v>6318</v>
      </c>
      <c r="Z564" s="338" t="s">
        <v>8018</v>
      </c>
      <c r="AA564" s="338" t="s">
        <v>6079</v>
      </c>
      <c r="AB564" s="338"/>
      <c r="AC564" s="338" t="s">
        <v>6106</v>
      </c>
      <c r="AD564" s="338" t="s">
        <v>6724</v>
      </c>
      <c r="AF564" s="502" t="str">
        <f>Table15[[#This Row],[code2]]</f>
        <v>PRL</v>
      </c>
      <c r="AG564" s="502" t="str">
        <f>Table15[[#This Row],[code5]]</f>
        <v>ILA</v>
      </c>
    </row>
    <row r="565" spans="1:33">
      <c r="A565" s="338" t="s">
        <v>6072</v>
      </c>
      <c r="B565" s="338" t="s">
        <v>6073</v>
      </c>
      <c r="C565" s="337">
        <v>1</v>
      </c>
      <c r="D565" s="338" t="s">
        <v>6513</v>
      </c>
      <c r="E565" s="338" t="s">
        <v>6514</v>
      </c>
      <c r="F565" s="337">
        <v>1</v>
      </c>
      <c r="G565" s="337">
        <v>1</v>
      </c>
      <c r="H565" s="338" t="s">
        <v>6515</v>
      </c>
      <c r="I565" s="338" t="s">
        <v>9548</v>
      </c>
      <c r="J565" s="338" t="s">
        <v>9551</v>
      </c>
      <c r="K565" s="338" t="s">
        <v>6516</v>
      </c>
      <c r="L565" s="338" t="s">
        <v>6517</v>
      </c>
      <c r="M565" s="338" t="s">
        <v>6717</v>
      </c>
      <c r="N565" s="338" t="s">
        <v>8372</v>
      </c>
      <c r="O565" s="337">
        <v>0</v>
      </c>
      <c r="P565" s="337">
        <v>0</v>
      </c>
      <c r="Q565" s="338"/>
      <c r="R565" s="338" t="s">
        <v>6088</v>
      </c>
      <c r="S565" s="338" t="s">
        <v>92</v>
      </c>
      <c r="T565" s="338" t="s">
        <v>7914</v>
      </c>
      <c r="U565" s="338" t="s">
        <v>6734</v>
      </c>
      <c r="V565" s="337">
        <v>0</v>
      </c>
      <c r="W565" s="337">
        <v>0</v>
      </c>
      <c r="X565" s="338"/>
      <c r="Y565" s="338" t="s">
        <v>6318</v>
      </c>
      <c r="Z565" s="338" t="s">
        <v>7916</v>
      </c>
      <c r="AA565" s="338" t="s">
        <v>6079</v>
      </c>
      <c r="AB565" s="338"/>
      <c r="AC565" s="338" t="s">
        <v>6111</v>
      </c>
      <c r="AD565" s="338" t="s">
        <v>6719</v>
      </c>
      <c r="AF565" s="502" t="str">
        <f>Table15[[#This Row],[code2]]</f>
        <v>PRL</v>
      </c>
      <c r="AG565" s="502" t="str">
        <f>Table15[[#This Row],[code5]]</f>
        <v>ILA</v>
      </c>
    </row>
    <row r="566" spans="1:33">
      <c r="A566" s="338" t="s">
        <v>6072</v>
      </c>
      <c r="B566" s="338" t="s">
        <v>6073</v>
      </c>
      <c r="C566" s="337">
        <v>1</v>
      </c>
      <c r="D566" s="338" t="s">
        <v>6513</v>
      </c>
      <c r="E566" s="338" t="s">
        <v>6514</v>
      </c>
      <c r="F566" s="337">
        <v>1</v>
      </c>
      <c r="G566" s="337">
        <v>1</v>
      </c>
      <c r="H566" s="338" t="s">
        <v>6515</v>
      </c>
      <c r="I566" s="338" t="s">
        <v>9548</v>
      </c>
      <c r="J566" s="338" t="s">
        <v>9551</v>
      </c>
      <c r="K566" s="338" t="s">
        <v>6516</v>
      </c>
      <c r="L566" s="338" t="s">
        <v>6517</v>
      </c>
      <c r="M566" s="338" t="s">
        <v>6717</v>
      </c>
      <c r="N566" s="338" t="s">
        <v>8372</v>
      </c>
      <c r="O566" s="337">
        <v>0</v>
      </c>
      <c r="P566" s="337">
        <v>0</v>
      </c>
      <c r="Q566" s="338"/>
      <c r="R566" s="338" t="s">
        <v>6088</v>
      </c>
      <c r="S566" s="338" t="s">
        <v>92</v>
      </c>
      <c r="T566" s="338" t="s">
        <v>7914</v>
      </c>
      <c r="U566" s="338" t="s">
        <v>6735</v>
      </c>
      <c r="V566" s="337">
        <v>0</v>
      </c>
      <c r="W566" s="337">
        <v>0</v>
      </c>
      <c r="X566" s="338"/>
      <c r="Y566" s="338" t="s">
        <v>6318</v>
      </c>
      <c r="Z566" s="338" t="s">
        <v>7485</v>
      </c>
      <c r="AA566" s="338" t="s">
        <v>6079</v>
      </c>
      <c r="AB566" s="338"/>
      <c r="AC566" s="338" t="s">
        <v>6111</v>
      </c>
      <c r="AD566" s="338" t="s">
        <v>6721</v>
      </c>
      <c r="AF566" s="502" t="str">
        <f>Table15[[#This Row],[code2]]</f>
        <v>PRL</v>
      </c>
      <c r="AG566" s="502" t="str">
        <f>Table15[[#This Row],[code5]]</f>
        <v>ILA</v>
      </c>
    </row>
    <row r="567" spans="1:33">
      <c r="A567" s="338" t="s">
        <v>6072</v>
      </c>
      <c r="B567" s="338" t="s">
        <v>6073</v>
      </c>
      <c r="C567" s="337">
        <v>1</v>
      </c>
      <c r="D567" s="338" t="s">
        <v>6513</v>
      </c>
      <c r="E567" s="338" t="s">
        <v>6514</v>
      </c>
      <c r="F567" s="337">
        <v>1</v>
      </c>
      <c r="G567" s="337">
        <v>1</v>
      </c>
      <c r="H567" s="338" t="s">
        <v>6515</v>
      </c>
      <c r="I567" s="338" t="s">
        <v>9548</v>
      </c>
      <c r="J567" s="338" t="s">
        <v>9551</v>
      </c>
      <c r="K567" s="338" t="s">
        <v>6516</v>
      </c>
      <c r="L567" s="338" t="s">
        <v>6517</v>
      </c>
      <c r="M567" s="338" t="s">
        <v>6717</v>
      </c>
      <c r="N567" s="338" t="s">
        <v>8372</v>
      </c>
      <c r="O567" s="337">
        <v>0</v>
      </c>
      <c r="P567" s="337">
        <v>0</v>
      </c>
      <c r="Q567" s="338"/>
      <c r="R567" s="338" t="s">
        <v>6088</v>
      </c>
      <c r="S567" s="338" t="s">
        <v>92</v>
      </c>
      <c r="T567" s="338" t="s">
        <v>7914</v>
      </c>
      <c r="U567" s="338" t="s">
        <v>4911</v>
      </c>
      <c r="V567" s="337">
        <v>0</v>
      </c>
      <c r="W567" s="337">
        <v>0</v>
      </c>
      <c r="X567" s="338"/>
      <c r="Y567" s="338" t="s">
        <v>6318</v>
      </c>
      <c r="Z567" s="338" t="s">
        <v>7915</v>
      </c>
      <c r="AA567" s="338" t="s">
        <v>6079</v>
      </c>
      <c r="AB567" s="338"/>
      <c r="AC567" s="338" t="s">
        <v>6111</v>
      </c>
      <c r="AD567" s="338" t="s">
        <v>6722</v>
      </c>
      <c r="AF567" s="502" t="str">
        <f>Table15[[#This Row],[code2]]</f>
        <v>PRL</v>
      </c>
      <c r="AG567" s="502" t="str">
        <f>Table15[[#This Row],[code5]]</f>
        <v>ILA</v>
      </c>
    </row>
    <row r="568" spans="1:33">
      <c r="A568" s="338" t="s">
        <v>6072</v>
      </c>
      <c r="B568" s="338" t="s">
        <v>6073</v>
      </c>
      <c r="C568" s="337">
        <v>1</v>
      </c>
      <c r="D568" s="338" t="s">
        <v>6513</v>
      </c>
      <c r="E568" s="338" t="s">
        <v>6514</v>
      </c>
      <c r="F568" s="337">
        <v>1</v>
      </c>
      <c r="G568" s="337">
        <v>1</v>
      </c>
      <c r="H568" s="338" t="s">
        <v>6515</v>
      </c>
      <c r="I568" s="338" t="s">
        <v>9548</v>
      </c>
      <c r="J568" s="338" t="s">
        <v>9551</v>
      </c>
      <c r="K568" s="338" t="s">
        <v>6516</v>
      </c>
      <c r="L568" s="338" t="s">
        <v>6517</v>
      </c>
      <c r="M568" s="338" t="s">
        <v>6717</v>
      </c>
      <c r="N568" s="338" t="s">
        <v>8372</v>
      </c>
      <c r="O568" s="337">
        <v>0</v>
      </c>
      <c r="P568" s="337">
        <v>0</v>
      </c>
      <c r="Q568" s="338"/>
      <c r="R568" s="338" t="s">
        <v>6088</v>
      </c>
      <c r="S568" s="338" t="s">
        <v>92</v>
      </c>
      <c r="T568" s="338" t="s">
        <v>7914</v>
      </c>
      <c r="U568" s="338" t="s">
        <v>6736</v>
      </c>
      <c r="V568" s="337">
        <v>0</v>
      </c>
      <c r="W568" s="337">
        <v>0</v>
      </c>
      <c r="X568" s="338"/>
      <c r="Y568" s="338" t="s">
        <v>6318</v>
      </c>
      <c r="Z568" s="338" t="s">
        <v>8290</v>
      </c>
      <c r="AA568" s="338" t="s">
        <v>6079</v>
      </c>
      <c r="AB568" s="338"/>
      <c r="AC568" s="338" t="s">
        <v>6111</v>
      </c>
      <c r="AD568" s="338" t="s">
        <v>6724</v>
      </c>
      <c r="AF568" s="502" t="str">
        <f>Table15[[#This Row],[code2]]</f>
        <v>PRL</v>
      </c>
      <c r="AG568" s="502" t="str">
        <f>Table15[[#This Row],[code5]]</f>
        <v>ILA</v>
      </c>
    </row>
    <row r="569" spans="1:33">
      <c r="A569" s="338" t="s">
        <v>6072</v>
      </c>
      <c r="B569" s="338" t="s">
        <v>6073</v>
      </c>
      <c r="C569" s="337">
        <v>1</v>
      </c>
      <c r="D569" s="338" t="s">
        <v>6513</v>
      </c>
      <c r="E569" s="338" t="s">
        <v>6514</v>
      </c>
      <c r="F569" s="337">
        <v>1</v>
      </c>
      <c r="G569" s="337">
        <v>1</v>
      </c>
      <c r="H569" s="338" t="s">
        <v>6515</v>
      </c>
      <c r="I569" s="338" t="s">
        <v>9548</v>
      </c>
      <c r="J569" s="338" t="s">
        <v>9551</v>
      </c>
      <c r="K569" s="338" t="s">
        <v>6516</v>
      </c>
      <c r="L569" s="338" t="s">
        <v>6517</v>
      </c>
      <c r="M569" s="338" t="s">
        <v>6717</v>
      </c>
      <c r="N569" s="338" t="s">
        <v>8372</v>
      </c>
      <c r="O569" s="337">
        <v>0</v>
      </c>
      <c r="P569" s="337">
        <v>0</v>
      </c>
      <c r="Q569" s="338"/>
      <c r="R569" s="338" t="s">
        <v>6088</v>
      </c>
      <c r="S569" s="338" t="s">
        <v>92</v>
      </c>
      <c r="T569" s="338" t="s">
        <v>7914</v>
      </c>
      <c r="U569" s="338" t="s">
        <v>6737</v>
      </c>
      <c r="V569" s="337">
        <v>0</v>
      </c>
      <c r="W569" s="337">
        <v>0</v>
      </c>
      <c r="X569" s="338"/>
      <c r="Y569" s="338" t="s">
        <v>6318</v>
      </c>
      <c r="Z569" s="338" t="s">
        <v>6738</v>
      </c>
      <c r="AA569" s="338" t="s">
        <v>6079</v>
      </c>
      <c r="AB569" s="338"/>
      <c r="AC569" s="338" t="s">
        <v>6117</v>
      </c>
      <c r="AD569" s="338" t="s">
        <v>6719</v>
      </c>
      <c r="AF569" s="502" t="str">
        <f>Table15[[#This Row],[code2]]</f>
        <v>PRL</v>
      </c>
      <c r="AG569" s="502" t="str">
        <f>Table15[[#This Row],[code5]]</f>
        <v>ILA</v>
      </c>
    </row>
    <row r="570" spans="1:33">
      <c r="A570" s="338" t="s">
        <v>6072</v>
      </c>
      <c r="B570" s="338" t="s">
        <v>6073</v>
      </c>
      <c r="C570" s="337">
        <v>1</v>
      </c>
      <c r="D570" s="338" t="s">
        <v>6513</v>
      </c>
      <c r="E570" s="338" t="s">
        <v>6514</v>
      </c>
      <c r="F570" s="337">
        <v>1</v>
      </c>
      <c r="G570" s="337">
        <v>1</v>
      </c>
      <c r="H570" s="338" t="s">
        <v>6515</v>
      </c>
      <c r="I570" s="338" t="s">
        <v>9548</v>
      </c>
      <c r="J570" s="338" t="s">
        <v>9551</v>
      </c>
      <c r="K570" s="338" t="s">
        <v>6516</v>
      </c>
      <c r="L570" s="338" t="s">
        <v>6517</v>
      </c>
      <c r="M570" s="338" t="s">
        <v>6717</v>
      </c>
      <c r="N570" s="338" t="s">
        <v>8372</v>
      </c>
      <c r="O570" s="337">
        <v>0</v>
      </c>
      <c r="P570" s="337">
        <v>0</v>
      </c>
      <c r="Q570" s="338"/>
      <c r="R570" s="338" t="s">
        <v>6088</v>
      </c>
      <c r="S570" s="338" t="s">
        <v>92</v>
      </c>
      <c r="T570" s="338" t="s">
        <v>7914</v>
      </c>
      <c r="U570" s="338" t="s">
        <v>6739</v>
      </c>
      <c r="V570" s="337">
        <v>0</v>
      </c>
      <c r="W570" s="337">
        <v>0</v>
      </c>
      <c r="X570" s="338"/>
      <c r="Y570" s="338" t="s">
        <v>6318</v>
      </c>
      <c r="Z570" s="338" t="s">
        <v>8029</v>
      </c>
      <c r="AA570" s="338" t="s">
        <v>6079</v>
      </c>
      <c r="AB570" s="338"/>
      <c r="AC570" s="338" t="s">
        <v>6117</v>
      </c>
      <c r="AD570" s="338" t="s">
        <v>6721</v>
      </c>
      <c r="AF570" s="502" t="str">
        <f>Table15[[#This Row],[code2]]</f>
        <v>PRL</v>
      </c>
      <c r="AG570" s="502" t="str">
        <f>Table15[[#This Row],[code5]]</f>
        <v>ILA</v>
      </c>
    </row>
    <row r="571" spans="1:33">
      <c r="A571" s="338" t="s">
        <v>6072</v>
      </c>
      <c r="B571" s="338" t="s">
        <v>6073</v>
      </c>
      <c r="C571" s="337">
        <v>1</v>
      </c>
      <c r="D571" s="338" t="s">
        <v>6513</v>
      </c>
      <c r="E571" s="338" t="s">
        <v>6514</v>
      </c>
      <c r="F571" s="337">
        <v>1</v>
      </c>
      <c r="G571" s="337">
        <v>1</v>
      </c>
      <c r="H571" s="338" t="s">
        <v>6515</v>
      </c>
      <c r="I571" s="338" t="s">
        <v>9548</v>
      </c>
      <c r="J571" s="338" t="s">
        <v>9551</v>
      </c>
      <c r="K571" s="338" t="s">
        <v>6516</v>
      </c>
      <c r="L571" s="338" t="s">
        <v>6517</v>
      </c>
      <c r="M571" s="338" t="s">
        <v>6717</v>
      </c>
      <c r="N571" s="338" t="s">
        <v>8372</v>
      </c>
      <c r="O571" s="337">
        <v>0</v>
      </c>
      <c r="P571" s="337">
        <v>0</v>
      </c>
      <c r="Q571" s="338"/>
      <c r="R571" s="338" t="s">
        <v>6088</v>
      </c>
      <c r="S571" s="338" t="s">
        <v>92</v>
      </c>
      <c r="T571" s="338" t="s">
        <v>7914</v>
      </c>
      <c r="U571" s="338" t="s">
        <v>4912</v>
      </c>
      <c r="V571" s="337">
        <v>0</v>
      </c>
      <c r="W571" s="337">
        <v>0</v>
      </c>
      <c r="X571" s="338"/>
      <c r="Y571" s="338" t="s">
        <v>6318</v>
      </c>
      <c r="Z571" s="338" t="s">
        <v>6289</v>
      </c>
      <c r="AA571" s="338" t="s">
        <v>6079</v>
      </c>
      <c r="AB571" s="338"/>
      <c r="AC571" s="338" t="s">
        <v>6117</v>
      </c>
      <c r="AD571" s="338" t="s">
        <v>6722</v>
      </c>
      <c r="AF571" s="502" t="str">
        <f>Table15[[#This Row],[code2]]</f>
        <v>PRL</v>
      </c>
      <c r="AG571" s="502" t="str">
        <f>Table15[[#This Row],[code5]]</f>
        <v>ILA</v>
      </c>
    </row>
    <row r="572" spans="1:33">
      <c r="A572" s="338" t="s">
        <v>6072</v>
      </c>
      <c r="B572" s="338" t="s">
        <v>6073</v>
      </c>
      <c r="C572" s="337">
        <v>1</v>
      </c>
      <c r="D572" s="338" t="s">
        <v>6513</v>
      </c>
      <c r="E572" s="338" t="s">
        <v>6514</v>
      </c>
      <c r="F572" s="337">
        <v>1</v>
      </c>
      <c r="G572" s="337">
        <v>1</v>
      </c>
      <c r="H572" s="338" t="s">
        <v>6515</v>
      </c>
      <c r="I572" s="338" t="s">
        <v>9548</v>
      </c>
      <c r="J572" s="338" t="s">
        <v>9551</v>
      </c>
      <c r="K572" s="338" t="s">
        <v>6516</v>
      </c>
      <c r="L572" s="338" t="s">
        <v>6517</v>
      </c>
      <c r="M572" s="338" t="s">
        <v>6717</v>
      </c>
      <c r="N572" s="338" t="s">
        <v>8372</v>
      </c>
      <c r="O572" s="337">
        <v>0</v>
      </c>
      <c r="P572" s="337">
        <v>0</v>
      </c>
      <c r="Q572" s="338"/>
      <c r="R572" s="338" t="s">
        <v>6088</v>
      </c>
      <c r="S572" s="338" t="s">
        <v>92</v>
      </c>
      <c r="T572" s="338" t="s">
        <v>7914</v>
      </c>
      <c r="U572" s="338" t="s">
        <v>6740</v>
      </c>
      <c r="V572" s="337">
        <v>0</v>
      </c>
      <c r="W572" s="337">
        <v>0</v>
      </c>
      <c r="X572" s="338"/>
      <c r="Y572" s="338" t="s">
        <v>6318</v>
      </c>
      <c r="Z572" s="338" t="s">
        <v>8293</v>
      </c>
      <c r="AA572" s="338" t="s">
        <v>6079</v>
      </c>
      <c r="AB572" s="338"/>
      <c r="AC572" s="338" t="s">
        <v>6117</v>
      </c>
      <c r="AD572" s="338" t="s">
        <v>6724</v>
      </c>
      <c r="AF572" s="502" t="str">
        <f>Table15[[#This Row],[code2]]</f>
        <v>PRL</v>
      </c>
      <c r="AG572" s="502" t="str">
        <f>Table15[[#This Row],[code5]]</f>
        <v>ILA</v>
      </c>
    </row>
    <row r="573" spans="1:33">
      <c r="A573" s="338" t="s">
        <v>6072</v>
      </c>
      <c r="B573" s="338" t="s">
        <v>6073</v>
      </c>
      <c r="C573" s="337">
        <v>1</v>
      </c>
      <c r="D573" s="338" t="s">
        <v>6513</v>
      </c>
      <c r="E573" s="338" t="s">
        <v>6514</v>
      </c>
      <c r="F573" s="337">
        <v>1</v>
      </c>
      <c r="G573" s="337">
        <v>1</v>
      </c>
      <c r="H573" s="338" t="s">
        <v>6515</v>
      </c>
      <c r="I573" s="338" t="s">
        <v>9548</v>
      </c>
      <c r="J573" s="338" t="s">
        <v>9551</v>
      </c>
      <c r="K573" s="338" t="s">
        <v>6516</v>
      </c>
      <c r="L573" s="338" t="s">
        <v>6517</v>
      </c>
      <c r="M573" s="338" t="s">
        <v>6717</v>
      </c>
      <c r="N573" s="338" t="s">
        <v>8372</v>
      </c>
      <c r="O573" s="337">
        <v>0</v>
      </c>
      <c r="P573" s="337">
        <v>0</v>
      </c>
      <c r="Q573" s="338"/>
      <c r="R573" s="338" t="s">
        <v>6088</v>
      </c>
      <c r="S573" s="338" t="s">
        <v>92</v>
      </c>
      <c r="T573" s="338" t="s">
        <v>7914</v>
      </c>
      <c r="U573" s="338" t="s">
        <v>6741</v>
      </c>
      <c r="V573" s="337">
        <v>0</v>
      </c>
      <c r="W573" s="337">
        <v>0</v>
      </c>
      <c r="X573" s="338"/>
      <c r="Y573" s="338" t="s">
        <v>6318</v>
      </c>
      <c r="Z573" s="338" t="s">
        <v>6738</v>
      </c>
      <c r="AA573" s="338" t="s">
        <v>6079</v>
      </c>
      <c r="AB573" s="338"/>
      <c r="AC573" s="338" t="s">
        <v>6122</v>
      </c>
      <c r="AD573" s="338" t="s">
        <v>6719</v>
      </c>
      <c r="AF573" s="502" t="str">
        <f>Table15[[#This Row],[code2]]</f>
        <v>PRL</v>
      </c>
      <c r="AG573" s="502" t="str">
        <f>Table15[[#This Row],[code5]]</f>
        <v>ILA</v>
      </c>
    </row>
    <row r="574" spans="1:33">
      <c r="A574" s="338" t="s">
        <v>6072</v>
      </c>
      <c r="B574" s="338" t="s">
        <v>6073</v>
      </c>
      <c r="C574" s="337">
        <v>1</v>
      </c>
      <c r="D574" s="338" t="s">
        <v>6513</v>
      </c>
      <c r="E574" s="338" t="s">
        <v>6514</v>
      </c>
      <c r="F574" s="337">
        <v>1</v>
      </c>
      <c r="G574" s="337">
        <v>1</v>
      </c>
      <c r="H574" s="338" t="s">
        <v>6515</v>
      </c>
      <c r="I574" s="338" t="s">
        <v>9548</v>
      </c>
      <c r="J574" s="338" t="s">
        <v>9551</v>
      </c>
      <c r="K574" s="338" t="s">
        <v>6516</v>
      </c>
      <c r="L574" s="338" t="s">
        <v>6517</v>
      </c>
      <c r="M574" s="338" t="s">
        <v>6717</v>
      </c>
      <c r="N574" s="338" t="s">
        <v>8372</v>
      </c>
      <c r="O574" s="337">
        <v>0</v>
      </c>
      <c r="P574" s="337">
        <v>0</v>
      </c>
      <c r="Q574" s="338"/>
      <c r="R574" s="338" t="s">
        <v>6088</v>
      </c>
      <c r="S574" s="338" t="s">
        <v>92</v>
      </c>
      <c r="T574" s="338" t="s">
        <v>7914</v>
      </c>
      <c r="U574" s="338" t="s">
        <v>6742</v>
      </c>
      <c r="V574" s="337">
        <v>0</v>
      </c>
      <c r="W574" s="337">
        <v>0</v>
      </c>
      <c r="X574" s="338"/>
      <c r="Y574" s="338" t="s">
        <v>6318</v>
      </c>
      <c r="Z574" s="338" t="s">
        <v>8032</v>
      </c>
      <c r="AA574" s="338" t="s">
        <v>6079</v>
      </c>
      <c r="AB574" s="338"/>
      <c r="AC574" s="338" t="s">
        <v>6122</v>
      </c>
      <c r="AD574" s="338" t="s">
        <v>6721</v>
      </c>
      <c r="AF574" s="502" t="str">
        <f>Table15[[#This Row],[code2]]</f>
        <v>PRL</v>
      </c>
      <c r="AG574" s="502" t="str">
        <f>Table15[[#This Row],[code5]]</f>
        <v>ILA</v>
      </c>
    </row>
    <row r="575" spans="1:33">
      <c r="A575" s="338" t="s">
        <v>6072</v>
      </c>
      <c r="B575" s="338" t="s">
        <v>6073</v>
      </c>
      <c r="C575" s="337">
        <v>1</v>
      </c>
      <c r="D575" s="338" t="s">
        <v>6513</v>
      </c>
      <c r="E575" s="338" t="s">
        <v>6514</v>
      </c>
      <c r="F575" s="337">
        <v>1</v>
      </c>
      <c r="G575" s="337">
        <v>1</v>
      </c>
      <c r="H575" s="338" t="s">
        <v>6515</v>
      </c>
      <c r="I575" s="338" t="s">
        <v>9548</v>
      </c>
      <c r="J575" s="338" t="s">
        <v>9551</v>
      </c>
      <c r="K575" s="338" t="s">
        <v>6516</v>
      </c>
      <c r="L575" s="338" t="s">
        <v>6517</v>
      </c>
      <c r="M575" s="338" t="s">
        <v>6717</v>
      </c>
      <c r="N575" s="338" t="s">
        <v>8372</v>
      </c>
      <c r="O575" s="337">
        <v>0</v>
      </c>
      <c r="P575" s="337">
        <v>0</v>
      </c>
      <c r="Q575" s="338"/>
      <c r="R575" s="338" t="s">
        <v>6088</v>
      </c>
      <c r="S575" s="338" t="s">
        <v>92</v>
      </c>
      <c r="T575" s="338" t="s">
        <v>7914</v>
      </c>
      <c r="U575" s="338" t="s">
        <v>4913</v>
      </c>
      <c r="V575" s="337">
        <v>0</v>
      </c>
      <c r="W575" s="337">
        <v>0</v>
      </c>
      <c r="X575" s="338"/>
      <c r="Y575" s="338" t="s">
        <v>6318</v>
      </c>
      <c r="Z575" s="338" t="s">
        <v>6289</v>
      </c>
      <c r="AA575" s="338" t="s">
        <v>6079</v>
      </c>
      <c r="AB575" s="338"/>
      <c r="AC575" s="338" t="s">
        <v>6122</v>
      </c>
      <c r="AD575" s="338" t="s">
        <v>6722</v>
      </c>
      <c r="AF575" s="502" t="str">
        <f>Table15[[#This Row],[code2]]</f>
        <v>PRL</v>
      </c>
      <c r="AG575" s="502" t="str">
        <f>Table15[[#This Row],[code5]]</f>
        <v>ILA</v>
      </c>
    </row>
    <row r="576" spans="1:33">
      <c r="A576" s="338" t="s">
        <v>6072</v>
      </c>
      <c r="B576" s="338" t="s">
        <v>6073</v>
      </c>
      <c r="C576" s="337">
        <v>1</v>
      </c>
      <c r="D576" s="338" t="s">
        <v>6513</v>
      </c>
      <c r="E576" s="338" t="s">
        <v>6514</v>
      </c>
      <c r="F576" s="337">
        <v>1</v>
      </c>
      <c r="G576" s="337">
        <v>1</v>
      </c>
      <c r="H576" s="338" t="s">
        <v>6515</v>
      </c>
      <c r="I576" s="338" t="s">
        <v>9548</v>
      </c>
      <c r="J576" s="338" t="s">
        <v>9551</v>
      </c>
      <c r="K576" s="338" t="s">
        <v>6516</v>
      </c>
      <c r="L576" s="338" t="s">
        <v>6517</v>
      </c>
      <c r="M576" s="338" t="s">
        <v>6717</v>
      </c>
      <c r="N576" s="338" t="s">
        <v>8372</v>
      </c>
      <c r="O576" s="337">
        <v>0</v>
      </c>
      <c r="P576" s="337">
        <v>0</v>
      </c>
      <c r="Q576" s="338"/>
      <c r="R576" s="338" t="s">
        <v>6088</v>
      </c>
      <c r="S576" s="338" t="s">
        <v>92</v>
      </c>
      <c r="T576" s="338" t="s">
        <v>7914</v>
      </c>
      <c r="U576" s="338" t="s">
        <v>6743</v>
      </c>
      <c r="V576" s="337">
        <v>0</v>
      </c>
      <c r="W576" s="337">
        <v>0</v>
      </c>
      <c r="X576" s="338"/>
      <c r="Y576" s="338" t="s">
        <v>6318</v>
      </c>
      <c r="Z576" s="338" t="s">
        <v>8284</v>
      </c>
      <c r="AA576" s="338" t="s">
        <v>6079</v>
      </c>
      <c r="AB576" s="338"/>
      <c r="AC576" s="338" t="s">
        <v>6122</v>
      </c>
      <c r="AD576" s="338" t="s">
        <v>6724</v>
      </c>
      <c r="AF576" s="502" t="str">
        <f>Table15[[#This Row],[code2]]</f>
        <v>PRL</v>
      </c>
      <c r="AG576" s="502" t="str">
        <f>Table15[[#This Row],[code5]]</f>
        <v>ILA</v>
      </c>
    </row>
    <row r="577" spans="1:33">
      <c r="A577" s="338" t="s">
        <v>6072</v>
      </c>
      <c r="B577" s="338" t="s">
        <v>6073</v>
      </c>
      <c r="C577" s="337">
        <v>1</v>
      </c>
      <c r="D577" s="338" t="s">
        <v>6513</v>
      </c>
      <c r="E577" s="338" t="s">
        <v>6514</v>
      </c>
      <c r="F577" s="337">
        <v>1</v>
      </c>
      <c r="G577" s="337">
        <v>1</v>
      </c>
      <c r="H577" s="338" t="s">
        <v>6515</v>
      </c>
      <c r="I577" s="338" t="s">
        <v>9548</v>
      </c>
      <c r="J577" s="338" t="s">
        <v>9551</v>
      </c>
      <c r="K577" s="338" t="s">
        <v>6516</v>
      </c>
      <c r="L577" s="338" t="s">
        <v>6517</v>
      </c>
      <c r="M577" s="338" t="s">
        <v>6744</v>
      </c>
      <c r="N577" s="338" t="s">
        <v>8313</v>
      </c>
      <c r="O577" s="337">
        <v>0</v>
      </c>
      <c r="P577" s="337">
        <v>0</v>
      </c>
      <c r="Q577" s="338" t="s">
        <v>8313</v>
      </c>
      <c r="R577" s="338" t="s">
        <v>6088</v>
      </c>
      <c r="S577" s="338"/>
      <c r="T577" s="338"/>
      <c r="U577" s="338" t="s">
        <v>6745</v>
      </c>
      <c r="V577" s="337">
        <v>0</v>
      </c>
      <c r="W577" s="337">
        <v>0</v>
      </c>
      <c r="X577" s="338"/>
      <c r="Y577" s="338" t="s">
        <v>497</v>
      </c>
      <c r="Z577" s="338" t="s">
        <v>6522</v>
      </c>
      <c r="AA577" s="338" t="s">
        <v>6079</v>
      </c>
      <c r="AB577" s="338"/>
      <c r="AC577" s="338" t="s">
        <v>6239</v>
      </c>
      <c r="AD577" s="338"/>
      <c r="AF577" s="502" t="str">
        <f>Table15[[#This Row],[code2]]</f>
        <v>PRL</v>
      </c>
      <c r="AG577" s="502" t="str">
        <f>Table15[[#This Row],[code5]]</f>
        <v>FLVRINVNBF</v>
      </c>
    </row>
    <row r="578" spans="1:33">
      <c r="A578" s="338" t="s">
        <v>6072</v>
      </c>
      <c r="B578" s="338" t="s">
        <v>6073</v>
      </c>
      <c r="C578" s="337">
        <v>1</v>
      </c>
      <c r="D578" s="338" t="s">
        <v>6513</v>
      </c>
      <c r="E578" s="338" t="s">
        <v>6514</v>
      </c>
      <c r="F578" s="337">
        <v>1</v>
      </c>
      <c r="G578" s="337">
        <v>1</v>
      </c>
      <c r="H578" s="338" t="s">
        <v>6515</v>
      </c>
      <c r="I578" s="338" t="s">
        <v>9548</v>
      </c>
      <c r="J578" s="338" t="s">
        <v>9551</v>
      </c>
      <c r="K578" s="338" t="s">
        <v>6516</v>
      </c>
      <c r="L578" s="338" t="s">
        <v>6517</v>
      </c>
      <c r="M578" s="338" t="s">
        <v>6744</v>
      </c>
      <c r="N578" s="338" t="s">
        <v>8313</v>
      </c>
      <c r="O578" s="337">
        <v>0</v>
      </c>
      <c r="P578" s="337">
        <v>0</v>
      </c>
      <c r="Q578" s="338" t="s">
        <v>8313</v>
      </c>
      <c r="R578" s="338" t="s">
        <v>6088</v>
      </c>
      <c r="S578" s="338"/>
      <c r="T578" s="338"/>
      <c r="U578" s="338" t="s">
        <v>6746</v>
      </c>
      <c r="V578" s="337">
        <v>0</v>
      </c>
      <c r="W578" s="337">
        <v>0</v>
      </c>
      <c r="X578" s="338"/>
      <c r="Y578" s="338" t="s">
        <v>6081</v>
      </c>
      <c r="Z578" s="338" t="s">
        <v>8020</v>
      </c>
      <c r="AA578" s="338" t="s">
        <v>6079</v>
      </c>
      <c r="AB578" s="338"/>
      <c r="AC578" s="338" t="s">
        <v>6239</v>
      </c>
      <c r="AD578" s="338"/>
      <c r="AF578" s="502" t="str">
        <f>Table15[[#This Row],[code2]]</f>
        <v>PRL</v>
      </c>
      <c r="AG578" s="502" t="str">
        <f>Table15[[#This Row],[code5]]</f>
        <v>FLVRINVNBF</v>
      </c>
    </row>
    <row r="579" spans="1:33">
      <c r="A579" s="338" t="s">
        <v>6072</v>
      </c>
      <c r="B579" s="338" t="s">
        <v>6073</v>
      </c>
      <c r="C579" s="337">
        <v>1</v>
      </c>
      <c r="D579" s="338" t="s">
        <v>6513</v>
      </c>
      <c r="E579" s="338" t="s">
        <v>6514</v>
      </c>
      <c r="F579" s="337">
        <v>1</v>
      </c>
      <c r="G579" s="337">
        <v>1</v>
      </c>
      <c r="H579" s="338" t="s">
        <v>6515</v>
      </c>
      <c r="I579" s="338" t="s">
        <v>9548</v>
      </c>
      <c r="J579" s="338" t="s">
        <v>9551</v>
      </c>
      <c r="K579" s="338" t="s">
        <v>6516</v>
      </c>
      <c r="L579" s="338" t="s">
        <v>6517</v>
      </c>
      <c r="M579" s="338" t="s">
        <v>6744</v>
      </c>
      <c r="N579" s="338" t="s">
        <v>8313</v>
      </c>
      <c r="O579" s="337">
        <v>0</v>
      </c>
      <c r="P579" s="337">
        <v>0</v>
      </c>
      <c r="Q579" s="338" t="s">
        <v>8313</v>
      </c>
      <c r="R579" s="338" t="s">
        <v>6088</v>
      </c>
      <c r="S579" s="338"/>
      <c r="T579" s="338"/>
      <c r="U579" s="338" t="s">
        <v>6747</v>
      </c>
      <c r="V579" s="337">
        <v>0</v>
      </c>
      <c r="W579" s="337">
        <v>0</v>
      </c>
      <c r="X579" s="338"/>
      <c r="Y579" s="338" t="s">
        <v>493</v>
      </c>
      <c r="Z579" s="338" t="s">
        <v>8022</v>
      </c>
      <c r="AA579" s="338" t="s">
        <v>6079</v>
      </c>
      <c r="AB579" s="338"/>
      <c r="AC579" s="338" t="s">
        <v>6239</v>
      </c>
      <c r="AD579" s="338"/>
      <c r="AF579" s="502" t="str">
        <f>Table15[[#This Row],[code2]]</f>
        <v>PRL</v>
      </c>
      <c r="AG579" s="502" t="str">
        <f>Table15[[#This Row],[code5]]</f>
        <v>FLVRINVNBF</v>
      </c>
    </row>
    <row r="580" spans="1:33">
      <c r="A580" s="338" t="s">
        <v>6072</v>
      </c>
      <c r="B580" s="338" t="s">
        <v>6073</v>
      </c>
      <c r="C580" s="337">
        <v>1</v>
      </c>
      <c r="D580" s="338" t="s">
        <v>6513</v>
      </c>
      <c r="E580" s="338" t="s">
        <v>6514</v>
      </c>
      <c r="F580" s="337">
        <v>1</v>
      </c>
      <c r="G580" s="337">
        <v>1</v>
      </c>
      <c r="H580" s="338" t="s">
        <v>6515</v>
      </c>
      <c r="I580" s="338" t="s">
        <v>9548</v>
      </c>
      <c r="J580" s="338" t="s">
        <v>9551</v>
      </c>
      <c r="K580" s="338" t="s">
        <v>6516</v>
      </c>
      <c r="L580" s="338" t="s">
        <v>6517</v>
      </c>
      <c r="M580" s="338" t="s">
        <v>6744</v>
      </c>
      <c r="N580" s="338" t="s">
        <v>8313</v>
      </c>
      <c r="O580" s="337">
        <v>0</v>
      </c>
      <c r="P580" s="337">
        <v>0</v>
      </c>
      <c r="Q580" s="338" t="s">
        <v>8313</v>
      </c>
      <c r="R580" s="338" t="s">
        <v>6088</v>
      </c>
      <c r="S580" s="338"/>
      <c r="T580" s="338"/>
      <c r="U580" s="338" t="s">
        <v>6748</v>
      </c>
      <c r="V580" s="337">
        <v>0</v>
      </c>
      <c r="W580" s="337">
        <v>0</v>
      </c>
      <c r="X580" s="338"/>
      <c r="Y580" s="338" t="s">
        <v>6085</v>
      </c>
      <c r="Z580" s="338" t="s">
        <v>8017</v>
      </c>
      <c r="AA580" s="338" t="s">
        <v>6079</v>
      </c>
      <c r="AB580" s="338"/>
      <c r="AC580" s="338" t="s">
        <v>6239</v>
      </c>
      <c r="AD580" s="338"/>
      <c r="AF580" s="502" t="str">
        <f>Table15[[#This Row],[code2]]</f>
        <v>PRL</v>
      </c>
      <c r="AG580" s="502" t="str">
        <f>Table15[[#This Row],[code5]]</f>
        <v>FLVRINVNBF</v>
      </c>
    </row>
    <row r="581" spans="1:33">
      <c r="A581" s="338" t="s">
        <v>6072</v>
      </c>
      <c r="B581" s="338" t="s">
        <v>6073</v>
      </c>
      <c r="C581" s="337">
        <v>1</v>
      </c>
      <c r="D581" s="338" t="s">
        <v>6513</v>
      </c>
      <c r="E581" s="338" t="s">
        <v>6514</v>
      </c>
      <c r="F581" s="337">
        <v>1</v>
      </c>
      <c r="G581" s="337">
        <v>1</v>
      </c>
      <c r="H581" s="338" t="s">
        <v>6515</v>
      </c>
      <c r="I581" s="338" t="s">
        <v>9548</v>
      </c>
      <c r="J581" s="338" t="s">
        <v>9551</v>
      </c>
      <c r="K581" s="338" t="s">
        <v>6516</v>
      </c>
      <c r="L581" s="338" t="s">
        <v>6517</v>
      </c>
      <c r="M581" s="338" t="s">
        <v>6744</v>
      </c>
      <c r="N581" s="338" t="s">
        <v>8313</v>
      </c>
      <c r="O581" s="337">
        <v>0</v>
      </c>
      <c r="P581" s="337">
        <v>0</v>
      </c>
      <c r="Q581" s="338" t="s">
        <v>8313</v>
      </c>
      <c r="R581" s="338" t="s">
        <v>6088</v>
      </c>
      <c r="S581" s="338"/>
      <c r="T581" s="338"/>
      <c r="U581" s="338" t="s">
        <v>6749</v>
      </c>
      <c r="V581" s="337">
        <v>0</v>
      </c>
      <c r="W581" s="337">
        <v>0</v>
      </c>
      <c r="X581" s="338"/>
      <c r="Y581" s="338" t="s">
        <v>497</v>
      </c>
      <c r="Z581" s="338" t="s">
        <v>6522</v>
      </c>
      <c r="AA581" s="338" t="s">
        <v>6079</v>
      </c>
      <c r="AB581" s="338"/>
      <c r="AC581" s="338" t="s">
        <v>6244</v>
      </c>
      <c r="AD581" s="338"/>
      <c r="AF581" s="502" t="str">
        <f>Table15[[#This Row],[code2]]</f>
        <v>PRL</v>
      </c>
      <c r="AG581" s="502" t="str">
        <f>Table15[[#This Row],[code5]]</f>
        <v>FLVRINVNBF</v>
      </c>
    </row>
    <row r="582" spans="1:33">
      <c r="A582" s="338" t="s">
        <v>6072</v>
      </c>
      <c r="B582" s="338" t="s">
        <v>6073</v>
      </c>
      <c r="C582" s="337">
        <v>1</v>
      </c>
      <c r="D582" s="338" t="s">
        <v>6513</v>
      </c>
      <c r="E582" s="338" t="s">
        <v>6514</v>
      </c>
      <c r="F582" s="337">
        <v>1</v>
      </c>
      <c r="G582" s="337">
        <v>1</v>
      </c>
      <c r="H582" s="338" t="s">
        <v>6515</v>
      </c>
      <c r="I582" s="338" t="s">
        <v>9548</v>
      </c>
      <c r="J582" s="338" t="s">
        <v>9551</v>
      </c>
      <c r="K582" s="338" t="s">
        <v>6516</v>
      </c>
      <c r="L582" s="338" t="s">
        <v>6517</v>
      </c>
      <c r="M582" s="338" t="s">
        <v>6744</v>
      </c>
      <c r="N582" s="338" t="s">
        <v>8313</v>
      </c>
      <c r="O582" s="337">
        <v>0</v>
      </c>
      <c r="P582" s="337">
        <v>0</v>
      </c>
      <c r="Q582" s="338" t="s">
        <v>8313</v>
      </c>
      <c r="R582" s="338" t="s">
        <v>6088</v>
      </c>
      <c r="S582" s="338"/>
      <c r="T582" s="338"/>
      <c r="U582" s="338" t="s">
        <v>6750</v>
      </c>
      <c r="V582" s="337">
        <v>0</v>
      </c>
      <c r="W582" s="337">
        <v>0</v>
      </c>
      <c r="X582" s="338"/>
      <c r="Y582" s="338" t="s">
        <v>6081</v>
      </c>
      <c r="Z582" s="338" t="s">
        <v>8020</v>
      </c>
      <c r="AA582" s="338" t="s">
        <v>6079</v>
      </c>
      <c r="AB582" s="338"/>
      <c r="AC582" s="338" t="s">
        <v>6244</v>
      </c>
      <c r="AD582" s="338"/>
      <c r="AF582" s="502" t="str">
        <f>Table15[[#This Row],[code2]]</f>
        <v>PRL</v>
      </c>
      <c r="AG582" s="502" t="str">
        <f>Table15[[#This Row],[code5]]</f>
        <v>FLVRINVNBF</v>
      </c>
    </row>
    <row r="583" spans="1:33">
      <c r="A583" s="338" t="s">
        <v>6072</v>
      </c>
      <c r="B583" s="338" t="s">
        <v>6073</v>
      </c>
      <c r="C583" s="337">
        <v>1</v>
      </c>
      <c r="D583" s="338" t="s">
        <v>6513</v>
      </c>
      <c r="E583" s="338" t="s">
        <v>6514</v>
      </c>
      <c r="F583" s="337">
        <v>1</v>
      </c>
      <c r="G583" s="337">
        <v>1</v>
      </c>
      <c r="H583" s="338" t="s">
        <v>6515</v>
      </c>
      <c r="I583" s="338" t="s">
        <v>9548</v>
      </c>
      <c r="J583" s="338" t="s">
        <v>9551</v>
      </c>
      <c r="K583" s="338" t="s">
        <v>6516</v>
      </c>
      <c r="L583" s="338" t="s">
        <v>6517</v>
      </c>
      <c r="M583" s="338" t="s">
        <v>6744</v>
      </c>
      <c r="N583" s="338" t="s">
        <v>8313</v>
      </c>
      <c r="O583" s="337">
        <v>0</v>
      </c>
      <c r="P583" s="337">
        <v>0</v>
      </c>
      <c r="Q583" s="338" t="s">
        <v>8313</v>
      </c>
      <c r="R583" s="338" t="s">
        <v>6088</v>
      </c>
      <c r="S583" s="338"/>
      <c r="T583" s="338"/>
      <c r="U583" s="338" t="s">
        <v>6751</v>
      </c>
      <c r="V583" s="337">
        <v>0</v>
      </c>
      <c r="W583" s="337">
        <v>0</v>
      </c>
      <c r="X583" s="338"/>
      <c r="Y583" s="338" t="s">
        <v>493</v>
      </c>
      <c r="Z583" s="338" t="s">
        <v>8022</v>
      </c>
      <c r="AA583" s="338" t="s">
        <v>6079</v>
      </c>
      <c r="AB583" s="338"/>
      <c r="AC583" s="338" t="s">
        <v>6244</v>
      </c>
      <c r="AD583" s="338"/>
      <c r="AF583" s="502" t="str">
        <f>Table15[[#This Row],[code2]]</f>
        <v>PRL</v>
      </c>
      <c r="AG583" s="502" t="str">
        <f>Table15[[#This Row],[code5]]</f>
        <v>FLVRINVNBF</v>
      </c>
    </row>
    <row r="584" spans="1:33">
      <c r="A584" s="338" t="s">
        <v>6072</v>
      </c>
      <c r="B584" s="338" t="s">
        <v>6073</v>
      </c>
      <c r="C584" s="337">
        <v>1</v>
      </c>
      <c r="D584" s="338" t="s">
        <v>6513</v>
      </c>
      <c r="E584" s="338" t="s">
        <v>6514</v>
      </c>
      <c r="F584" s="337">
        <v>1</v>
      </c>
      <c r="G584" s="337">
        <v>1</v>
      </c>
      <c r="H584" s="338" t="s">
        <v>6515</v>
      </c>
      <c r="I584" s="338" t="s">
        <v>9548</v>
      </c>
      <c r="J584" s="338" t="s">
        <v>9551</v>
      </c>
      <c r="K584" s="338" t="s">
        <v>6516</v>
      </c>
      <c r="L584" s="338" t="s">
        <v>6517</v>
      </c>
      <c r="M584" s="338" t="s">
        <v>6744</v>
      </c>
      <c r="N584" s="338" t="s">
        <v>8313</v>
      </c>
      <c r="O584" s="337">
        <v>0</v>
      </c>
      <c r="P584" s="337">
        <v>0</v>
      </c>
      <c r="Q584" s="338" t="s">
        <v>8313</v>
      </c>
      <c r="R584" s="338" t="s">
        <v>6088</v>
      </c>
      <c r="S584" s="338"/>
      <c r="T584" s="338"/>
      <c r="U584" s="338" t="s">
        <v>6752</v>
      </c>
      <c r="V584" s="337">
        <v>0</v>
      </c>
      <c r="W584" s="337">
        <v>0</v>
      </c>
      <c r="X584" s="338"/>
      <c r="Y584" s="338" t="s">
        <v>6085</v>
      </c>
      <c r="Z584" s="338" t="s">
        <v>8017</v>
      </c>
      <c r="AA584" s="338" t="s">
        <v>6079</v>
      </c>
      <c r="AB584" s="338"/>
      <c r="AC584" s="338" t="s">
        <v>6244</v>
      </c>
      <c r="AD584" s="338"/>
      <c r="AF584" s="502" t="str">
        <f>Table15[[#This Row],[code2]]</f>
        <v>PRL</v>
      </c>
      <c r="AG584" s="502" t="str">
        <f>Table15[[#This Row],[code5]]</f>
        <v>FLVRINVNBF</v>
      </c>
    </row>
    <row r="585" spans="1:33">
      <c r="A585" s="338" t="s">
        <v>6072</v>
      </c>
      <c r="B585" s="338" t="s">
        <v>6073</v>
      </c>
      <c r="C585" s="337">
        <v>1</v>
      </c>
      <c r="D585" s="338" t="s">
        <v>6513</v>
      </c>
      <c r="E585" s="338" t="s">
        <v>6514</v>
      </c>
      <c r="F585" s="337">
        <v>1</v>
      </c>
      <c r="G585" s="337">
        <v>1</v>
      </c>
      <c r="H585" s="338" t="s">
        <v>6515</v>
      </c>
      <c r="I585" s="338" t="s">
        <v>9548</v>
      </c>
      <c r="J585" s="338" t="s">
        <v>9551</v>
      </c>
      <c r="K585" s="338" t="s">
        <v>6516</v>
      </c>
      <c r="L585" s="338" t="s">
        <v>6517</v>
      </c>
      <c r="M585" s="338" t="s">
        <v>6744</v>
      </c>
      <c r="N585" s="338" t="s">
        <v>8313</v>
      </c>
      <c r="O585" s="337">
        <v>0</v>
      </c>
      <c r="P585" s="337">
        <v>0</v>
      </c>
      <c r="Q585" s="338" t="s">
        <v>8313</v>
      </c>
      <c r="R585" s="338" t="s">
        <v>6088</v>
      </c>
      <c r="S585" s="338"/>
      <c r="T585" s="338"/>
      <c r="U585" s="338" t="s">
        <v>6753</v>
      </c>
      <c r="V585" s="337">
        <v>0</v>
      </c>
      <c r="W585" s="337">
        <v>0</v>
      </c>
      <c r="X585" s="338"/>
      <c r="Y585" s="338" t="s">
        <v>497</v>
      </c>
      <c r="Z585" s="338" t="s">
        <v>7877</v>
      </c>
      <c r="AA585" s="338" t="s">
        <v>6079</v>
      </c>
      <c r="AB585" s="338"/>
      <c r="AC585" s="338" t="s">
        <v>6249</v>
      </c>
      <c r="AD585" s="338"/>
      <c r="AF585" s="502" t="str">
        <f>Table15[[#This Row],[code2]]</f>
        <v>PRL</v>
      </c>
      <c r="AG585" s="502" t="str">
        <f>Table15[[#This Row],[code5]]</f>
        <v>FLVRINVNBF</v>
      </c>
    </row>
    <row r="586" spans="1:33">
      <c r="A586" s="338" t="s">
        <v>6072</v>
      </c>
      <c r="B586" s="338" t="s">
        <v>6073</v>
      </c>
      <c r="C586" s="337">
        <v>1</v>
      </c>
      <c r="D586" s="338" t="s">
        <v>6513</v>
      </c>
      <c r="E586" s="338" t="s">
        <v>6514</v>
      </c>
      <c r="F586" s="337">
        <v>1</v>
      </c>
      <c r="G586" s="337">
        <v>1</v>
      </c>
      <c r="H586" s="338" t="s">
        <v>6515</v>
      </c>
      <c r="I586" s="338" t="s">
        <v>9548</v>
      </c>
      <c r="J586" s="338" t="s">
        <v>9551</v>
      </c>
      <c r="K586" s="338" t="s">
        <v>6516</v>
      </c>
      <c r="L586" s="338" t="s">
        <v>6517</v>
      </c>
      <c r="M586" s="338" t="s">
        <v>6744</v>
      </c>
      <c r="N586" s="338" t="s">
        <v>8313</v>
      </c>
      <c r="O586" s="337">
        <v>0</v>
      </c>
      <c r="P586" s="337">
        <v>0</v>
      </c>
      <c r="Q586" s="338" t="s">
        <v>8313</v>
      </c>
      <c r="R586" s="338" t="s">
        <v>6088</v>
      </c>
      <c r="S586" s="338"/>
      <c r="T586" s="338"/>
      <c r="U586" s="338" t="s">
        <v>6754</v>
      </c>
      <c r="V586" s="337">
        <v>0</v>
      </c>
      <c r="W586" s="337">
        <v>0</v>
      </c>
      <c r="X586" s="338"/>
      <c r="Y586" s="338" t="s">
        <v>6081</v>
      </c>
      <c r="Z586" s="338" t="s">
        <v>8292</v>
      </c>
      <c r="AA586" s="338" t="s">
        <v>6079</v>
      </c>
      <c r="AB586" s="338"/>
      <c r="AC586" s="338" t="s">
        <v>6249</v>
      </c>
      <c r="AD586" s="338"/>
      <c r="AF586" s="502" t="str">
        <f>Table15[[#This Row],[code2]]</f>
        <v>PRL</v>
      </c>
      <c r="AG586" s="502" t="str">
        <f>Table15[[#This Row],[code5]]</f>
        <v>FLVRINVNBF</v>
      </c>
    </row>
    <row r="587" spans="1:33">
      <c r="A587" s="338" t="s">
        <v>6072</v>
      </c>
      <c r="B587" s="338" t="s">
        <v>6073</v>
      </c>
      <c r="C587" s="337">
        <v>1</v>
      </c>
      <c r="D587" s="338" t="s">
        <v>6513</v>
      </c>
      <c r="E587" s="338" t="s">
        <v>6514</v>
      </c>
      <c r="F587" s="337">
        <v>1</v>
      </c>
      <c r="G587" s="337">
        <v>1</v>
      </c>
      <c r="H587" s="338" t="s">
        <v>6515</v>
      </c>
      <c r="I587" s="338" t="s">
        <v>9548</v>
      </c>
      <c r="J587" s="338" t="s">
        <v>9551</v>
      </c>
      <c r="K587" s="338" t="s">
        <v>6516</v>
      </c>
      <c r="L587" s="338" t="s">
        <v>6517</v>
      </c>
      <c r="M587" s="338" t="s">
        <v>6744</v>
      </c>
      <c r="N587" s="338" t="s">
        <v>8313</v>
      </c>
      <c r="O587" s="337">
        <v>0</v>
      </c>
      <c r="P587" s="337">
        <v>0</v>
      </c>
      <c r="Q587" s="338" t="s">
        <v>8313</v>
      </c>
      <c r="R587" s="338" t="s">
        <v>6088</v>
      </c>
      <c r="S587" s="338"/>
      <c r="T587" s="338"/>
      <c r="U587" s="338" t="s">
        <v>6755</v>
      </c>
      <c r="V587" s="337">
        <v>0</v>
      </c>
      <c r="W587" s="337">
        <v>0</v>
      </c>
      <c r="X587" s="338"/>
      <c r="Y587" s="338" t="s">
        <v>493</v>
      </c>
      <c r="Z587" s="338" t="s">
        <v>8008</v>
      </c>
      <c r="AA587" s="338" t="s">
        <v>6079</v>
      </c>
      <c r="AB587" s="338"/>
      <c r="AC587" s="338" t="s">
        <v>6249</v>
      </c>
      <c r="AD587" s="338"/>
      <c r="AF587" s="502" t="str">
        <f>Table15[[#This Row],[code2]]</f>
        <v>PRL</v>
      </c>
      <c r="AG587" s="502" t="str">
        <f>Table15[[#This Row],[code5]]</f>
        <v>FLVRINVNBF</v>
      </c>
    </row>
    <row r="588" spans="1:33">
      <c r="A588" s="338" t="s">
        <v>6072</v>
      </c>
      <c r="B588" s="338" t="s">
        <v>6073</v>
      </c>
      <c r="C588" s="337">
        <v>1</v>
      </c>
      <c r="D588" s="338" t="s">
        <v>6513</v>
      </c>
      <c r="E588" s="338" t="s">
        <v>6514</v>
      </c>
      <c r="F588" s="337">
        <v>1</v>
      </c>
      <c r="G588" s="337">
        <v>1</v>
      </c>
      <c r="H588" s="338" t="s">
        <v>6515</v>
      </c>
      <c r="I588" s="338" t="s">
        <v>9548</v>
      </c>
      <c r="J588" s="338" t="s">
        <v>9551</v>
      </c>
      <c r="K588" s="338" t="s">
        <v>6516</v>
      </c>
      <c r="L588" s="338" t="s">
        <v>6517</v>
      </c>
      <c r="M588" s="338" t="s">
        <v>6744</v>
      </c>
      <c r="N588" s="338" t="s">
        <v>8313</v>
      </c>
      <c r="O588" s="337">
        <v>0</v>
      </c>
      <c r="P588" s="337">
        <v>0</v>
      </c>
      <c r="Q588" s="338" t="s">
        <v>8313</v>
      </c>
      <c r="R588" s="338" t="s">
        <v>6088</v>
      </c>
      <c r="S588" s="338"/>
      <c r="T588" s="338"/>
      <c r="U588" s="338" t="s">
        <v>6756</v>
      </c>
      <c r="V588" s="337">
        <v>0</v>
      </c>
      <c r="W588" s="337">
        <v>0</v>
      </c>
      <c r="X588" s="338"/>
      <c r="Y588" s="338" t="s">
        <v>6085</v>
      </c>
      <c r="Z588" s="338" t="s">
        <v>8020</v>
      </c>
      <c r="AA588" s="338" t="s">
        <v>6079</v>
      </c>
      <c r="AB588" s="338"/>
      <c r="AC588" s="338" t="s">
        <v>6249</v>
      </c>
      <c r="AD588" s="338"/>
      <c r="AF588" s="502" t="str">
        <f>Table15[[#This Row],[code2]]</f>
        <v>PRL</v>
      </c>
      <c r="AG588" s="502" t="str">
        <f>Table15[[#This Row],[code5]]</f>
        <v>FLVRINVNBF</v>
      </c>
    </row>
    <row r="589" spans="1:33">
      <c r="A589" s="338" t="s">
        <v>6072</v>
      </c>
      <c r="B589" s="338" t="s">
        <v>6073</v>
      </c>
      <c r="C589" s="337">
        <v>1</v>
      </c>
      <c r="D589" s="338" t="s">
        <v>6513</v>
      </c>
      <c r="E589" s="338" t="s">
        <v>6514</v>
      </c>
      <c r="F589" s="337">
        <v>1</v>
      </c>
      <c r="G589" s="337">
        <v>1</v>
      </c>
      <c r="H589" s="338" t="s">
        <v>6515</v>
      </c>
      <c r="I589" s="338" t="s">
        <v>9548</v>
      </c>
      <c r="J589" s="338" t="s">
        <v>9551</v>
      </c>
      <c r="K589" s="338" t="s">
        <v>6516</v>
      </c>
      <c r="L589" s="338" t="s">
        <v>6517</v>
      </c>
      <c r="M589" s="338" t="s">
        <v>6744</v>
      </c>
      <c r="N589" s="338" t="s">
        <v>8313</v>
      </c>
      <c r="O589" s="337">
        <v>0</v>
      </c>
      <c r="P589" s="337">
        <v>0</v>
      </c>
      <c r="Q589" s="338" t="s">
        <v>8313</v>
      </c>
      <c r="R589" s="338" t="s">
        <v>6088</v>
      </c>
      <c r="S589" s="338"/>
      <c r="T589" s="338"/>
      <c r="U589" s="338" t="s">
        <v>6757</v>
      </c>
      <c r="V589" s="337">
        <v>0</v>
      </c>
      <c r="W589" s="337">
        <v>0</v>
      </c>
      <c r="X589" s="338"/>
      <c r="Y589" s="338" t="s">
        <v>497</v>
      </c>
      <c r="Z589" s="338" t="s">
        <v>7877</v>
      </c>
      <c r="AA589" s="338" t="s">
        <v>6079</v>
      </c>
      <c r="AB589" s="338"/>
      <c r="AC589" s="338" t="s">
        <v>6254</v>
      </c>
      <c r="AD589" s="338"/>
      <c r="AF589" s="502" t="str">
        <f>Table15[[#This Row],[code2]]</f>
        <v>PRL</v>
      </c>
      <c r="AG589" s="502" t="str">
        <f>Table15[[#This Row],[code5]]</f>
        <v>FLVRINVNBF</v>
      </c>
    </row>
    <row r="590" spans="1:33">
      <c r="A590" s="338" t="s">
        <v>6072</v>
      </c>
      <c r="B590" s="338" t="s">
        <v>6073</v>
      </c>
      <c r="C590" s="337">
        <v>1</v>
      </c>
      <c r="D590" s="338" t="s">
        <v>6513</v>
      </c>
      <c r="E590" s="338" t="s">
        <v>6514</v>
      </c>
      <c r="F590" s="337">
        <v>1</v>
      </c>
      <c r="G590" s="337">
        <v>1</v>
      </c>
      <c r="H590" s="338" t="s">
        <v>6515</v>
      </c>
      <c r="I590" s="338" t="s">
        <v>9548</v>
      </c>
      <c r="J590" s="338" t="s">
        <v>9551</v>
      </c>
      <c r="K590" s="338" t="s">
        <v>6516</v>
      </c>
      <c r="L590" s="338" t="s">
        <v>6517</v>
      </c>
      <c r="M590" s="338" t="s">
        <v>6744</v>
      </c>
      <c r="N590" s="338" t="s">
        <v>8313</v>
      </c>
      <c r="O590" s="337">
        <v>0</v>
      </c>
      <c r="P590" s="337">
        <v>0</v>
      </c>
      <c r="Q590" s="338" t="s">
        <v>8313</v>
      </c>
      <c r="R590" s="338" t="s">
        <v>6088</v>
      </c>
      <c r="S590" s="338"/>
      <c r="T590" s="338"/>
      <c r="U590" s="338" t="s">
        <v>6758</v>
      </c>
      <c r="V590" s="337">
        <v>0</v>
      </c>
      <c r="W590" s="337">
        <v>0</v>
      </c>
      <c r="X590" s="338"/>
      <c r="Y590" s="338" t="s">
        <v>6081</v>
      </c>
      <c r="Z590" s="338" t="s">
        <v>8292</v>
      </c>
      <c r="AA590" s="338" t="s">
        <v>6079</v>
      </c>
      <c r="AB590" s="338"/>
      <c r="AC590" s="338" t="s">
        <v>6254</v>
      </c>
      <c r="AD590" s="338"/>
      <c r="AF590" s="502" t="str">
        <f>Table15[[#This Row],[code2]]</f>
        <v>PRL</v>
      </c>
      <c r="AG590" s="502" t="str">
        <f>Table15[[#This Row],[code5]]</f>
        <v>FLVRINVNBF</v>
      </c>
    </row>
    <row r="591" spans="1:33">
      <c r="A591" s="338" t="s">
        <v>6072</v>
      </c>
      <c r="B591" s="338" t="s">
        <v>6073</v>
      </c>
      <c r="C591" s="337">
        <v>1</v>
      </c>
      <c r="D591" s="338" t="s">
        <v>6513</v>
      </c>
      <c r="E591" s="338" t="s">
        <v>6514</v>
      </c>
      <c r="F591" s="337">
        <v>1</v>
      </c>
      <c r="G591" s="337">
        <v>1</v>
      </c>
      <c r="H591" s="338" t="s">
        <v>6515</v>
      </c>
      <c r="I591" s="338" t="s">
        <v>9548</v>
      </c>
      <c r="J591" s="338" t="s">
        <v>9551</v>
      </c>
      <c r="K591" s="338" t="s">
        <v>6516</v>
      </c>
      <c r="L591" s="338" t="s">
        <v>6517</v>
      </c>
      <c r="M591" s="338" t="s">
        <v>6744</v>
      </c>
      <c r="N591" s="338" t="s">
        <v>8313</v>
      </c>
      <c r="O591" s="337">
        <v>0</v>
      </c>
      <c r="P591" s="337">
        <v>0</v>
      </c>
      <c r="Q591" s="338" t="s">
        <v>8313</v>
      </c>
      <c r="R591" s="338" t="s">
        <v>6088</v>
      </c>
      <c r="S591" s="338"/>
      <c r="T591" s="338"/>
      <c r="U591" s="338" t="s">
        <v>6759</v>
      </c>
      <c r="V591" s="337">
        <v>0</v>
      </c>
      <c r="W591" s="337">
        <v>0</v>
      </c>
      <c r="X591" s="338"/>
      <c r="Y591" s="338" t="s">
        <v>493</v>
      </c>
      <c r="Z591" s="338" t="s">
        <v>8008</v>
      </c>
      <c r="AA591" s="338" t="s">
        <v>6079</v>
      </c>
      <c r="AB591" s="338"/>
      <c r="AC591" s="338" t="s">
        <v>6254</v>
      </c>
      <c r="AD591" s="338"/>
      <c r="AF591" s="502" t="str">
        <f>Table15[[#This Row],[code2]]</f>
        <v>PRL</v>
      </c>
      <c r="AG591" s="502" t="str">
        <f>Table15[[#This Row],[code5]]</f>
        <v>FLVRINVNBF</v>
      </c>
    </row>
    <row r="592" spans="1:33">
      <c r="A592" s="338" t="s">
        <v>6072</v>
      </c>
      <c r="B592" s="338" t="s">
        <v>6073</v>
      </c>
      <c r="C592" s="337">
        <v>1</v>
      </c>
      <c r="D592" s="338" t="s">
        <v>6513</v>
      </c>
      <c r="E592" s="338" t="s">
        <v>6514</v>
      </c>
      <c r="F592" s="337">
        <v>1</v>
      </c>
      <c r="G592" s="337">
        <v>1</v>
      </c>
      <c r="H592" s="338" t="s">
        <v>6515</v>
      </c>
      <c r="I592" s="338" t="s">
        <v>9548</v>
      </c>
      <c r="J592" s="338" t="s">
        <v>9551</v>
      </c>
      <c r="K592" s="338" t="s">
        <v>6516</v>
      </c>
      <c r="L592" s="338" t="s">
        <v>6517</v>
      </c>
      <c r="M592" s="338" t="s">
        <v>6744</v>
      </c>
      <c r="N592" s="338" t="s">
        <v>8313</v>
      </c>
      <c r="O592" s="337">
        <v>0</v>
      </c>
      <c r="P592" s="337">
        <v>0</v>
      </c>
      <c r="Q592" s="338" t="s">
        <v>8313</v>
      </c>
      <c r="R592" s="338" t="s">
        <v>6088</v>
      </c>
      <c r="S592" s="338"/>
      <c r="T592" s="338"/>
      <c r="U592" s="338" t="s">
        <v>6760</v>
      </c>
      <c r="V592" s="337">
        <v>0</v>
      </c>
      <c r="W592" s="337">
        <v>0</v>
      </c>
      <c r="X592" s="338"/>
      <c r="Y592" s="338" t="s">
        <v>6085</v>
      </c>
      <c r="Z592" s="338" t="s">
        <v>8020</v>
      </c>
      <c r="AA592" s="338" t="s">
        <v>6079</v>
      </c>
      <c r="AB592" s="338"/>
      <c r="AC592" s="338" t="s">
        <v>6254</v>
      </c>
      <c r="AD592" s="338"/>
      <c r="AF592" s="502" t="str">
        <f>Table15[[#This Row],[code2]]</f>
        <v>PRL</v>
      </c>
      <c r="AG592" s="502" t="str">
        <f>Table15[[#This Row],[code5]]</f>
        <v>FLVRINVNBF</v>
      </c>
    </row>
    <row r="593" spans="1:33">
      <c r="A593" s="338" t="s">
        <v>6072</v>
      </c>
      <c r="B593" s="338" t="s">
        <v>6073</v>
      </c>
      <c r="C593" s="337">
        <v>1</v>
      </c>
      <c r="D593" s="338" t="s">
        <v>6513</v>
      </c>
      <c r="E593" s="338" t="s">
        <v>6514</v>
      </c>
      <c r="F593" s="337">
        <v>1</v>
      </c>
      <c r="G593" s="337">
        <v>1</v>
      </c>
      <c r="H593" s="338" t="s">
        <v>6515</v>
      </c>
      <c r="I593" s="338" t="s">
        <v>9548</v>
      </c>
      <c r="J593" s="338" t="s">
        <v>9551</v>
      </c>
      <c r="K593" s="338" t="s">
        <v>6516</v>
      </c>
      <c r="L593" s="338" t="s">
        <v>6517</v>
      </c>
      <c r="M593" s="338" t="s">
        <v>6744</v>
      </c>
      <c r="N593" s="338" t="s">
        <v>8313</v>
      </c>
      <c r="O593" s="337">
        <v>0</v>
      </c>
      <c r="P593" s="337">
        <v>0</v>
      </c>
      <c r="Q593" s="338" t="s">
        <v>8313</v>
      </c>
      <c r="R593" s="338" t="s">
        <v>6088</v>
      </c>
      <c r="S593" s="338"/>
      <c r="T593" s="338"/>
      <c r="U593" s="338" t="s">
        <v>6761</v>
      </c>
      <c r="V593" s="337">
        <v>0</v>
      </c>
      <c r="W593" s="337">
        <v>0</v>
      </c>
      <c r="X593" s="338"/>
      <c r="Y593" s="338" t="s">
        <v>497</v>
      </c>
      <c r="Z593" s="338" t="s">
        <v>7974</v>
      </c>
      <c r="AA593" s="338" t="s">
        <v>6079</v>
      </c>
      <c r="AB593" s="338"/>
      <c r="AC593" s="338" t="s">
        <v>6259</v>
      </c>
      <c r="AD593" s="338"/>
      <c r="AF593" s="502" t="str">
        <f>Table15[[#This Row],[code2]]</f>
        <v>PRL</v>
      </c>
      <c r="AG593" s="502" t="str">
        <f>Table15[[#This Row],[code5]]</f>
        <v>FLVRINVNBF</v>
      </c>
    </row>
    <row r="594" spans="1:33">
      <c r="A594" s="338" t="s">
        <v>6072</v>
      </c>
      <c r="B594" s="338" t="s">
        <v>6073</v>
      </c>
      <c r="C594" s="337">
        <v>1</v>
      </c>
      <c r="D594" s="338" t="s">
        <v>6513</v>
      </c>
      <c r="E594" s="338" t="s">
        <v>6514</v>
      </c>
      <c r="F594" s="337">
        <v>1</v>
      </c>
      <c r="G594" s="337">
        <v>1</v>
      </c>
      <c r="H594" s="338" t="s">
        <v>6515</v>
      </c>
      <c r="I594" s="338" t="s">
        <v>9548</v>
      </c>
      <c r="J594" s="338" t="s">
        <v>9551</v>
      </c>
      <c r="K594" s="338" t="s">
        <v>6516</v>
      </c>
      <c r="L594" s="338" t="s">
        <v>6517</v>
      </c>
      <c r="M594" s="338" t="s">
        <v>6744</v>
      </c>
      <c r="N594" s="338" t="s">
        <v>8313</v>
      </c>
      <c r="O594" s="337">
        <v>0</v>
      </c>
      <c r="P594" s="337">
        <v>0</v>
      </c>
      <c r="Q594" s="338" t="s">
        <v>8313</v>
      </c>
      <c r="R594" s="338" t="s">
        <v>6088</v>
      </c>
      <c r="S594" s="338"/>
      <c r="T594" s="338"/>
      <c r="U594" s="338" t="s">
        <v>6762</v>
      </c>
      <c r="V594" s="337">
        <v>0</v>
      </c>
      <c r="W594" s="337">
        <v>0</v>
      </c>
      <c r="X594" s="338"/>
      <c r="Y594" s="338" t="s">
        <v>6081</v>
      </c>
      <c r="Z594" s="338" t="s">
        <v>8282</v>
      </c>
      <c r="AA594" s="338" t="s">
        <v>6079</v>
      </c>
      <c r="AB594" s="338"/>
      <c r="AC594" s="338" t="s">
        <v>6259</v>
      </c>
      <c r="AD594" s="338"/>
      <c r="AF594" s="502" t="str">
        <f>Table15[[#This Row],[code2]]</f>
        <v>PRL</v>
      </c>
      <c r="AG594" s="502" t="str">
        <f>Table15[[#This Row],[code5]]</f>
        <v>FLVRINVNBF</v>
      </c>
    </row>
    <row r="595" spans="1:33">
      <c r="A595" s="338" t="s">
        <v>6072</v>
      </c>
      <c r="B595" s="338" t="s">
        <v>6073</v>
      </c>
      <c r="C595" s="337">
        <v>1</v>
      </c>
      <c r="D595" s="338" t="s">
        <v>6513</v>
      </c>
      <c r="E595" s="338" t="s">
        <v>6514</v>
      </c>
      <c r="F595" s="337">
        <v>1</v>
      </c>
      <c r="G595" s="337">
        <v>1</v>
      </c>
      <c r="H595" s="338" t="s">
        <v>6515</v>
      </c>
      <c r="I595" s="338" t="s">
        <v>9548</v>
      </c>
      <c r="J595" s="338" t="s">
        <v>9551</v>
      </c>
      <c r="K595" s="338" t="s">
        <v>6516</v>
      </c>
      <c r="L595" s="338" t="s">
        <v>6517</v>
      </c>
      <c r="M595" s="338" t="s">
        <v>6744</v>
      </c>
      <c r="N595" s="338" t="s">
        <v>8313</v>
      </c>
      <c r="O595" s="337">
        <v>0</v>
      </c>
      <c r="P595" s="337">
        <v>0</v>
      </c>
      <c r="Q595" s="338" t="s">
        <v>8313</v>
      </c>
      <c r="R595" s="338" t="s">
        <v>6088</v>
      </c>
      <c r="S595" s="338"/>
      <c r="T595" s="338"/>
      <c r="U595" s="338" t="s">
        <v>6763</v>
      </c>
      <c r="V595" s="337">
        <v>0</v>
      </c>
      <c r="W595" s="337">
        <v>0</v>
      </c>
      <c r="X595" s="338"/>
      <c r="Y595" s="338" t="s">
        <v>493</v>
      </c>
      <c r="Z595" s="338" t="s">
        <v>7916</v>
      </c>
      <c r="AA595" s="338" t="s">
        <v>6079</v>
      </c>
      <c r="AB595" s="338"/>
      <c r="AC595" s="338" t="s">
        <v>6259</v>
      </c>
      <c r="AD595" s="338"/>
      <c r="AF595" s="502" t="str">
        <f>Table15[[#This Row],[code2]]</f>
        <v>PRL</v>
      </c>
      <c r="AG595" s="502" t="str">
        <f>Table15[[#This Row],[code5]]</f>
        <v>FLVRINVNBF</v>
      </c>
    </row>
    <row r="596" spans="1:33">
      <c r="A596" s="338" t="s">
        <v>6072</v>
      </c>
      <c r="B596" s="338" t="s">
        <v>6073</v>
      </c>
      <c r="C596" s="337">
        <v>1</v>
      </c>
      <c r="D596" s="338" t="s">
        <v>6513</v>
      </c>
      <c r="E596" s="338" t="s">
        <v>6514</v>
      </c>
      <c r="F596" s="337">
        <v>1</v>
      </c>
      <c r="G596" s="337">
        <v>1</v>
      </c>
      <c r="H596" s="338" t="s">
        <v>6515</v>
      </c>
      <c r="I596" s="338" t="s">
        <v>9548</v>
      </c>
      <c r="J596" s="338" t="s">
        <v>9551</v>
      </c>
      <c r="K596" s="338" t="s">
        <v>6516</v>
      </c>
      <c r="L596" s="338" t="s">
        <v>6517</v>
      </c>
      <c r="M596" s="338" t="s">
        <v>6744</v>
      </c>
      <c r="N596" s="338" t="s">
        <v>8313</v>
      </c>
      <c r="O596" s="337">
        <v>0</v>
      </c>
      <c r="P596" s="337">
        <v>0</v>
      </c>
      <c r="Q596" s="338" t="s">
        <v>8313</v>
      </c>
      <c r="R596" s="338" t="s">
        <v>6088</v>
      </c>
      <c r="S596" s="338"/>
      <c r="T596" s="338"/>
      <c r="U596" s="338" t="s">
        <v>6764</v>
      </c>
      <c r="V596" s="337">
        <v>0</v>
      </c>
      <c r="W596" s="337">
        <v>0</v>
      </c>
      <c r="X596" s="338"/>
      <c r="Y596" s="338" t="s">
        <v>6085</v>
      </c>
      <c r="Z596" s="338" t="s">
        <v>8283</v>
      </c>
      <c r="AA596" s="338" t="s">
        <v>6079</v>
      </c>
      <c r="AB596" s="338"/>
      <c r="AC596" s="338" t="s">
        <v>6259</v>
      </c>
      <c r="AD596" s="338"/>
      <c r="AF596" s="502" t="str">
        <f>Table15[[#This Row],[code2]]</f>
        <v>PRL</v>
      </c>
      <c r="AG596" s="502" t="str">
        <f>Table15[[#This Row],[code5]]</f>
        <v>FLVRINVNBF</v>
      </c>
    </row>
    <row r="597" spans="1:33">
      <c r="A597" s="338" t="s">
        <v>6072</v>
      </c>
      <c r="B597" s="338" t="s">
        <v>6073</v>
      </c>
      <c r="C597" s="337">
        <v>1</v>
      </c>
      <c r="D597" s="338" t="s">
        <v>6513</v>
      </c>
      <c r="E597" s="338" t="s">
        <v>6514</v>
      </c>
      <c r="F597" s="337">
        <v>1</v>
      </c>
      <c r="G597" s="337">
        <v>1</v>
      </c>
      <c r="H597" s="338" t="s">
        <v>6515</v>
      </c>
      <c r="I597" s="338" t="s">
        <v>9548</v>
      </c>
      <c r="J597" s="338" t="s">
        <v>9551</v>
      </c>
      <c r="K597" s="338" t="s">
        <v>6516</v>
      </c>
      <c r="L597" s="338" t="s">
        <v>6517</v>
      </c>
      <c r="M597" s="338" t="s">
        <v>6744</v>
      </c>
      <c r="N597" s="338" t="s">
        <v>8313</v>
      </c>
      <c r="O597" s="337">
        <v>0</v>
      </c>
      <c r="P597" s="337">
        <v>0</v>
      </c>
      <c r="Q597" s="338" t="s">
        <v>8313</v>
      </c>
      <c r="R597" s="338" t="s">
        <v>6088</v>
      </c>
      <c r="S597" s="338"/>
      <c r="T597" s="338"/>
      <c r="U597" s="338" t="s">
        <v>6765</v>
      </c>
      <c r="V597" s="337">
        <v>0</v>
      </c>
      <c r="W597" s="337">
        <v>0</v>
      </c>
      <c r="X597" s="338"/>
      <c r="Y597" s="338" t="s">
        <v>497</v>
      </c>
      <c r="Z597" s="338" t="s">
        <v>7974</v>
      </c>
      <c r="AA597" s="338" t="s">
        <v>6079</v>
      </c>
      <c r="AB597" s="338"/>
      <c r="AC597" s="338" t="s">
        <v>6264</v>
      </c>
      <c r="AD597" s="338"/>
      <c r="AF597" s="502" t="str">
        <f>Table15[[#This Row],[code2]]</f>
        <v>PRL</v>
      </c>
      <c r="AG597" s="502" t="str">
        <f>Table15[[#This Row],[code5]]</f>
        <v>FLVRINVNBF</v>
      </c>
    </row>
    <row r="598" spans="1:33">
      <c r="A598" s="338" t="s">
        <v>6072</v>
      </c>
      <c r="B598" s="338" t="s">
        <v>6073</v>
      </c>
      <c r="C598" s="337">
        <v>1</v>
      </c>
      <c r="D598" s="338" t="s">
        <v>6513</v>
      </c>
      <c r="E598" s="338" t="s">
        <v>6514</v>
      </c>
      <c r="F598" s="337">
        <v>1</v>
      </c>
      <c r="G598" s="337">
        <v>1</v>
      </c>
      <c r="H598" s="338" t="s">
        <v>6515</v>
      </c>
      <c r="I598" s="338" t="s">
        <v>9548</v>
      </c>
      <c r="J598" s="338" t="s">
        <v>9551</v>
      </c>
      <c r="K598" s="338" t="s">
        <v>6516</v>
      </c>
      <c r="L598" s="338" t="s">
        <v>6517</v>
      </c>
      <c r="M598" s="338" t="s">
        <v>6744</v>
      </c>
      <c r="N598" s="338" t="s">
        <v>8313</v>
      </c>
      <c r="O598" s="337">
        <v>0</v>
      </c>
      <c r="P598" s="337">
        <v>0</v>
      </c>
      <c r="Q598" s="338" t="s">
        <v>8313</v>
      </c>
      <c r="R598" s="338" t="s">
        <v>6088</v>
      </c>
      <c r="S598" s="338"/>
      <c r="T598" s="338"/>
      <c r="U598" s="338" t="s">
        <v>6766</v>
      </c>
      <c r="V598" s="337">
        <v>0</v>
      </c>
      <c r="W598" s="337">
        <v>0</v>
      </c>
      <c r="X598" s="338"/>
      <c r="Y598" s="338" t="s">
        <v>6081</v>
      </c>
      <c r="Z598" s="338" t="s">
        <v>8282</v>
      </c>
      <c r="AA598" s="338" t="s">
        <v>6079</v>
      </c>
      <c r="AB598" s="338"/>
      <c r="AC598" s="338" t="s">
        <v>6264</v>
      </c>
      <c r="AD598" s="338"/>
      <c r="AF598" s="502" t="str">
        <f>Table15[[#This Row],[code2]]</f>
        <v>PRL</v>
      </c>
      <c r="AG598" s="502" t="str">
        <f>Table15[[#This Row],[code5]]</f>
        <v>FLVRINVNBF</v>
      </c>
    </row>
    <row r="599" spans="1:33">
      <c r="A599" s="338" t="s">
        <v>6072</v>
      </c>
      <c r="B599" s="338" t="s">
        <v>6073</v>
      </c>
      <c r="C599" s="337">
        <v>1</v>
      </c>
      <c r="D599" s="338" t="s">
        <v>6513</v>
      </c>
      <c r="E599" s="338" t="s">
        <v>6514</v>
      </c>
      <c r="F599" s="337">
        <v>1</v>
      </c>
      <c r="G599" s="337">
        <v>1</v>
      </c>
      <c r="H599" s="338" t="s">
        <v>6515</v>
      </c>
      <c r="I599" s="338" t="s">
        <v>9548</v>
      </c>
      <c r="J599" s="338" t="s">
        <v>9551</v>
      </c>
      <c r="K599" s="338" t="s">
        <v>6516</v>
      </c>
      <c r="L599" s="338" t="s">
        <v>6517</v>
      </c>
      <c r="M599" s="338" t="s">
        <v>6744</v>
      </c>
      <c r="N599" s="338" t="s">
        <v>8313</v>
      </c>
      <c r="O599" s="337">
        <v>0</v>
      </c>
      <c r="P599" s="337">
        <v>0</v>
      </c>
      <c r="Q599" s="338" t="s">
        <v>8313</v>
      </c>
      <c r="R599" s="338" t="s">
        <v>6088</v>
      </c>
      <c r="S599" s="338"/>
      <c r="T599" s="338"/>
      <c r="U599" s="338" t="s">
        <v>6767</v>
      </c>
      <c r="V599" s="337">
        <v>0</v>
      </c>
      <c r="W599" s="337">
        <v>0</v>
      </c>
      <c r="X599" s="338"/>
      <c r="Y599" s="338" t="s">
        <v>493</v>
      </c>
      <c r="Z599" s="338" t="s">
        <v>7916</v>
      </c>
      <c r="AA599" s="338" t="s">
        <v>6079</v>
      </c>
      <c r="AB599" s="338"/>
      <c r="AC599" s="338" t="s">
        <v>6264</v>
      </c>
      <c r="AD599" s="338"/>
      <c r="AF599" s="502" t="str">
        <f>Table15[[#This Row],[code2]]</f>
        <v>PRL</v>
      </c>
      <c r="AG599" s="502" t="str">
        <f>Table15[[#This Row],[code5]]</f>
        <v>FLVRINVNBF</v>
      </c>
    </row>
    <row r="600" spans="1:33">
      <c r="A600" s="338" t="s">
        <v>6072</v>
      </c>
      <c r="B600" s="338" t="s">
        <v>6073</v>
      </c>
      <c r="C600" s="337">
        <v>1</v>
      </c>
      <c r="D600" s="338" t="s">
        <v>6513</v>
      </c>
      <c r="E600" s="338" t="s">
        <v>6514</v>
      </c>
      <c r="F600" s="337">
        <v>1</v>
      </c>
      <c r="G600" s="337">
        <v>1</v>
      </c>
      <c r="H600" s="338" t="s">
        <v>6515</v>
      </c>
      <c r="I600" s="338" t="s">
        <v>9548</v>
      </c>
      <c r="J600" s="338" t="s">
        <v>9551</v>
      </c>
      <c r="K600" s="338" t="s">
        <v>6516</v>
      </c>
      <c r="L600" s="338" t="s">
        <v>6517</v>
      </c>
      <c r="M600" s="338" t="s">
        <v>6744</v>
      </c>
      <c r="N600" s="338" t="s">
        <v>8313</v>
      </c>
      <c r="O600" s="337">
        <v>0</v>
      </c>
      <c r="P600" s="337">
        <v>0</v>
      </c>
      <c r="Q600" s="338" t="s">
        <v>8313</v>
      </c>
      <c r="R600" s="338" t="s">
        <v>6088</v>
      </c>
      <c r="S600" s="338"/>
      <c r="T600" s="338"/>
      <c r="U600" s="338" t="s">
        <v>6768</v>
      </c>
      <c r="V600" s="337">
        <v>0</v>
      </c>
      <c r="W600" s="337">
        <v>0</v>
      </c>
      <c r="X600" s="338"/>
      <c r="Y600" s="338" t="s">
        <v>6085</v>
      </c>
      <c r="Z600" s="338" t="s">
        <v>8283</v>
      </c>
      <c r="AA600" s="338" t="s">
        <v>6079</v>
      </c>
      <c r="AB600" s="338"/>
      <c r="AC600" s="338" t="s">
        <v>6264</v>
      </c>
      <c r="AD600" s="338"/>
      <c r="AF600" s="502" t="str">
        <f>Table15[[#This Row],[code2]]</f>
        <v>PRL</v>
      </c>
      <c r="AG600" s="502" t="str">
        <f>Table15[[#This Row],[code5]]</f>
        <v>FLVRINVNBF</v>
      </c>
    </row>
    <row r="601" spans="1:33">
      <c r="A601" s="338" t="s">
        <v>6072</v>
      </c>
      <c r="B601" s="338" t="s">
        <v>6073</v>
      </c>
      <c r="C601" s="337">
        <v>1</v>
      </c>
      <c r="D601" s="338" t="s">
        <v>6513</v>
      </c>
      <c r="E601" s="338" t="s">
        <v>6514</v>
      </c>
      <c r="F601" s="337">
        <v>1</v>
      </c>
      <c r="G601" s="337">
        <v>1</v>
      </c>
      <c r="H601" s="338" t="s">
        <v>6515</v>
      </c>
      <c r="I601" s="338" t="s">
        <v>9548</v>
      </c>
      <c r="J601" s="338" t="s">
        <v>9551</v>
      </c>
      <c r="K601" s="338" t="s">
        <v>6516</v>
      </c>
      <c r="L601" s="338" t="s">
        <v>6517</v>
      </c>
      <c r="M601" s="338" t="s">
        <v>6744</v>
      </c>
      <c r="N601" s="338" t="s">
        <v>8313</v>
      </c>
      <c r="O601" s="337">
        <v>0</v>
      </c>
      <c r="P601" s="337">
        <v>0</v>
      </c>
      <c r="Q601" s="338" t="s">
        <v>8313</v>
      </c>
      <c r="R601" s="338" t="s">
        <v>6088</v>
      </c>
      <c r="S601" s="338"/>
      <c r="T601" s="338"/>
      <c r="U601" s="338" t="s">
        <v>6769</v>
      </c>
      <c r="V601" s="337">
        <v>0</v>
      </c>
      <c r="W601" s="337">
        <v>0</v>
      </c>
      <c r="X601" s="338"/>
      <c r="Y601" s="338" t="s">
        <v>497</v>
      </c>
      <c r="Z601" s="338" t="s">
        <v>7916</v>
      </c>
      <c r="AA601" s="338" t="s">
        <v>6079</v>
      </c>
      <c r="AB601" s="338"/>
      <c r="AC601" s="338" t="s">
        <v>6269</v>
      </c>
      <c r="AD601" s="338"/>
      <c r="AF601" s="502" t="str">
        <f>Table15[[#This Row],[code2]]</f>
        <v>PRL</v>
      </c>
      <c r="AG601" s="502" t="str">
        <f>Table15[[#This Row],[code5]]</f>
        <v>FLVRINVNBF</v>
      </c>
    </row>
    <row r="602" spans="1:33">
      <c r="A602" s="338" t="s">
        <v>6072</v>
      </c>
      <c r="B602" s="338" t="s">
        <v>6073</v>
      </c>
      <c r="C602" s="337">
        <v>1</v>
      </c>
      <c r="D602" s="338" t="s">
        <v>6513</v>
      </c>
      <c r="E602" s="338" t="s">
        <v>6514</v>
      </c>
      <c r="F602" s="337">
        <v>1</v>
      </c>
      <c r="G602" s="337">
        <v>1</v>
      </c>
      <c r="H602" s="338" t="s">
        <v>6515</v>
      </c>
      <c r="I602" s="338" t="s">
        <v>9548</v>
      </c>
      <c r="J602" s="338" t="s">
        <v>9551</v>
      </c>
      <c r="K602" s="338" t="s">
        <v>6516</v>
      </c>
      <c r="L602" s="338" t="s">
        <v>6517</v>
      </c>
      <c r="M602" s="338" t="s">
        <v>6744</v>
      </c>
      <c r="N602" s="338" t="s">
        <v>8313</v>
      </c>
      <c r="O602" s="337">
        <v>0</v>
      </c>
      <c r="P602" s="337">
        <v>0</v>
      </c>
      <c r="Q602" s="338" t="s">
        <v>8313</v>
      </c>
      <c r="R602" s="338" t="s">
        <v>6088</v>
      </c>
      <c r="S602" s="338"/>
      <c r="T602" s="338"/>
      <c r="U602" s="338" t="s">
        <v>6770</v>
      </c>
      <c r="V602" s="337">
        <v>0</v>
      </c>
      <c r="W602" s="337">
        <v>0</v>
      </c>
      <c r="X602" s="338"/>
      <c r="Y602" s="338" t="s">
        <v>6081</v>
      </c>
      <c r="Z602" s="338" t="s">
        <v>8282</v>
      </c>
      <c r="AA602" s="338" t="s">
        <v>6079</v>
      </c>
      <c r="AB602" s="338"/>
      <c r="AC602" s="338" t="s">
        <v>6269</v>
      </c>
      <c r="AD602" s="338"/>
      <c r="AF602" s="502" t="str">
        <f>Table15[[#This Row],[code2]]</f>
        <v>PRL</v>
      </c>
      <c r="AG602" s="502" t="str">
        <f>Table15[[#This Row],[code5]]</f>
        <v>FLVRINVNBF</v>
      </c>
    </row>
    <row r="603" spans="1:33">
      <c r="A603" s="338" t="s">
        <v>6072</v>
      </c>
      <c r="B603" s="338" t="s">
        <v>6073</v>
      </c>
      <c r="C603" s="337">
        <v>1</v>
      </c>
      <c r="D603" s="338" t="s">
        <v>6513</v>
      </c>
      <c r="E603" s="338" t="s">
        <v>6514</v>
      </c>
      <c r="F603" s="337">
        <v>1</v>
      </c>
      <c r="G603" s="337">
        <v>1</v>
      </c>
      <c r="H603" s="338" t="s">
        <v>6515</v>
      </c>
      <c r="I603" s="338" t="s">
        <v>9548</v>
      </c>
      <c r="J603" s="338" t="s">
        <v>9551</v>
      </c>
      <c r="K603" s="338" t="s">
        <v>6516</v>
      </c>
      <c r="L603" s="338" t="s">
        <v>6517</v>
      </c>
      <c r="M603" s="338" t="s">
        <v>6744</v>
      </c>
      <c r="N603" s="338" t="s">
        <v>8313</v>
      </c>
      <c r="O603" s="337">
        <v>0</v>
      </c>
      <c r="P603" s="337">
        <v>0</v>
      </c>
      <c r="Q603" s="338" t="s">
        <v>8313</v>
      </c>
      <c r="R603" s="338" t="s">
        <v>6088</v>
      </c>
      <c r="S603" s="338"/>
      <c r="T603" s="338"/>
      <c r="U603" s="338" t="s">
        <v>6771</v>
      </c>
      <c r="V603" s="337">
        <v>0</v>
      </c>
      <c r="W603" s="337">
        <v>0</v>
      </c>
      <c r="X603" s="338"/>
      <c r="Y603" s="338" t="s">
        <v>493</v>
      </c>
      <c r="Z603" s="338" t="s">
        <v>8029</v>
      </c>
      <c r="AA603" s="338" t="s">
        <v>6079</v>
      </c>
      <c r="AB603" s="338"/>
      <c r="AC603" s="338" t="s">
        <v>6269</v>
      </c>
      <c r="AD603" s="338"/>
      <c r="AF603" s="502" t="str">
        <f>Table15[[#This Row],[code2]]</f>
        <v>PRL</v>
      </c>
      <c r="AG603" s="502" t="str">
        <f>Table15[[#This Row],[code5]]</f>
        <v>FLVRINVNBF</v>
      </c>
    </row>
    <row r="604" spans="1:33">
      <c r="A604" s="338" t="s">
        <v>6072</v>
      </c>
      <c r="B604" s="338" t="s">
        <v>6073</v>
      </c>
      <c r="C604" s="337">
        <v>1</v>
      </c>
      <c r="D604" s="338" t="s">
        <v>6513</v>
      </c>
      <c r="E604" s="338" t="s">
        <v>6514</v>
      </c>
      <c r="F604" s="337">
        <v>1</v>
      </c>
      <c r="G604" s="337">
        <v>1</v>
      </c>
      <c r="H604" s="338" t="s">
        <v>6515</v>
      </c>
      <c r="I604" s="338" t="s">
        <v>9548</v>
      </c>
      <c r="J604" s="338" t="s">
        <v>9551</v>
      </c>
      <c r="K604" s="338" t="s">
        <v>6516</v>
      </c>
      <c r="L604" s="338" t="s">
        <v>6517</v>
      </c>
      <c r="M604" s="338" t="s">
        <v>6744</v>
      </c>
      <c r="N604" s="338" t="s">
        <v>8313</v>
      </c>
      <c r="O604" s="337">
        <v>0</v>
      </c>
      <c r="P604" s="337">
        <v>0</v>
      </c>
      <c r="Q604" s="338" t="s">
        <v>8313</v>
      </c>
      <c r="R604" s="338" t="s">
        <v>6088</v>
      </c>
      <c r="S604" s="338"/>
      <c r="T604" s="338"/>
      <c r="U604" s="338" t="s">
        <v>6772</v>
      </c>
      <c r="V604" s="337">
        <v>0</v>
      </c>
      <c r="W604" s="337">
        <v>0</v>
      </c>
      <c r="X604" s="338"/>
      <c r="Y604" s="338" t="s">
        <v>6085</v>
      </c>
      <c r="Z604" s="338" t="s">
        <v>8264</v>
      </c>
      <c r="AA604" s="338" t="s">
        <v>6079</v>
      </c>
      <c r="AB604" s="338"/>
      <c r="AC604" s="338" t="s">
        <v>6269</v>
      </c>
      <c r="AD604" s="338"/>
      <c r="AF604" s="502" t="str">
        <f>Table15[[#This Row],[code2]]</f>
        <v>PRL</v>
      </c>
      <c r="AG604" s="502" t="str">
        <f>Table15[[#This Row],[code5]]</f>
        <v>FLVRINVNBF</v>
      </c>
    </row>
    <row r="605" spans="1:33">
      <c r="A605" s="338" t="s">
        <v>6072</v>
      </c>
      <c r="B605" s="338" t="s">
        <v>6073</v>
      </c>
      <c r="C605" s="337">
        <v>1</v>
      </c>
      <c r="D605" s="338" t="s">
        <v>6513</v>
      </c>
      <c r="E605" s="338" t="s">
        <v>6514</v>
      </c>
      <c r="F605" s="337">
        <v>1</v>
      </c>
      <c r="G605" s="337">
        <v>1</v>
      </c>
      <c r="H605" s="338" t="s">
        <v>6515</v>
      </c>
      <c r="I605" s="338" t="s">
        <v>9548</v>
      </c>
      <c r="J605" s="338" t="s">
        <v>9551</v>
      </c>
      <c r="K605" s="338" t="s">
        <v>6516</v>
      </c>
      <c r="L605" s="338" t="s">
        <v>6517</v>
      </c>
      <c r="M605" s="338" t="s">
        <v>6744</v>
      </c>
      <c r="N605" s="338" t="s">
        <v>8313</v>
      </c>
      <c r="O605" s="337">
        <v>0</v>
      </c>
      <c r="P605" s="337">
        <v>0</v>
      </c>
      <c r="Q605" s="338" t="s">
        <v>8313</v>
      </c>
      <c r="R605" s="338" t="s">
        <v>6088</v>
      </c>
      <c r="S605" s="338"/>
      <c r="T605" s="338"/>
      <c r="U605" s="338" t="s">
        <v>6773</v>
      </c>
      <c r="V605" s="337">
        <v>0</v>
      </c>
      <c r="W605" s="337">
        <v>0</v>
      </c>
      <c r="X605" s="338"/>
      <c r="Y605" s="338" t="s">
        <v>497</v>
      </c>
      <c r="Z605" s="338" t="s">
        <v>7916</v>
      </c>
      <c r="AA605" s="338" t="s">
        <v>6079</v>
      </c>
      <c r="AB605" s="338"/>
      <c r="AC605" s="338" t="s">
        <v>6274</v>
      </c>
      <c r="AD605" s="338"/>
      <c r="AF605" s="502" t="str">
        <f>Table15[[#This Row],[code2]]</f>
        <v>PRL</v>
      </c>
      <c r="AG605" s="502" t="str">
        <f>Table15[[#This Row],[code5]]</f>
        <v>FLVRINVNBF</v>
      </c>
    </row>
    <row r="606" spans="1:33">
      <c r="A606" s="338" t="s">
        <v>6072</v>
      </c>
      <c r="B606" s="338" t="s">
        <v>6073</v>
      </c>
      <c r="C606" s="337">
        <v>1</v>
      </c>
      <c r="D606" s="338" t="s">
        <v>6513</v>
      </c>
      <c r="E606" s="338" t="s">
        <v>6514</v>
      </c>
      <c r="F606" s="337">
        <v>1</v>
      </c>
      <c r="G606" s="337">
        <v>1</v>
      </c>
      <c r="H606" s="338" t="s">
        <v>6515</v>
      </c>
      <c r="I606" s="338" t="s">
        <v>9548</v>
      </c>
      <c r="J606" s="338" t="s">
        <v>9551</v>
      </c>
      <c r="K606" s="338" t="s">
        <v>6516</v>
      </c>
      <c r="L606" s="338" t="s">
        <v>6517</v>
      </c>
      <c r="M606" s="338" t="s">
        <v>6744</v>
      </c>
      <c r="N606" s="338" t="s">
        <v>8313</v>
      </c>
      <c r="O606" s="337">
        <v>0</v>
      </c>
      <c r="P606" s="337">
        <v>0</v>
      </c>
      <c r="Q606" s="338" t="s">
        <v>8313</v>
      </c>
      <c r="R606" s="338" t="s">
        <v>6088</v>
      </c>
      <c r="S606" s="338"/>
      <c r="T606" s="338"/>
      <c r="U606" s="338" t="s">
        <v>6774</v>
      </c>
      <c r="V606" s="337">
        <v>0</v>
      </c>
      <c r="W606" s="337">
        <v>0</v>
      </c>
      <c r="X606" s="338"/>
      <c r="Y606" s="338" t="s">
        <v>6081</v>
      </c>
      <c r="Z606" s="338" t="s">
        <v>8282</v>
      </c>
      <c r="AA606" s="338" t="s">
        <v>6079</v>
      </c>
      <c r="AB606" s="338"/>
      <c r="AC606" s="338" t="s">
        <v>6274</v>
      </c>
      <c r="AD606" s="338"/>
      <c r="AF606" s="502" t="str">
        <f>Table15[[#This Row],[code2]]</f>
        <v>PRL</v>
      </c>
      <c r="AG606" s="502" t="str">
        <f>Table15[[#This Row],[code5]]</f>
        <v>FLVRINVNBF</v>
      </c>
    </row>
    <row r="607" spans="1:33">
      <c r="A607" s="338" t="s">
        <v>6072</v>
      </c>
      <c r="B607" s="338" t="s">
        <v>6073</v>
      </c>
      <c r="C607" s="337">
        <v>1</v>
      </c>
      <c r="D607" s="338" t="s">
        <v>6513</v>
      </c>
      <c r="E607" s="338" t="s">
        <v>6514</v>
      </c>
      <c r="F607" s="337">
        <v>1</v>
      </c>
      <c r="G607" s="337">
        <v>1</v>
      </c>
      <c r="H607" s="338" t="s">
        <v>6515</v>
      </c>
      <c r="I607" s="338" t="s">
        <v>9548</v>
      </c>
      <c r="J607" s="338" t="s">
        <v>9551</v>
      </c>
      <c r="K607" s="338" t="s">
        <v>6516</v>
      </c>
      <c r="L607" s="338" t="s">
        <v>6517</v>
      </c>
      <c r="M607" s="338" t="s">
        <v>6744</v>
      </c>
      <c r="N607" s="338" t="s">
        <v>8313</v>
      </c>
      <c r="O607" s="337">
        <v>0</v>
      </c>
      <c r="P607" s="337">
        <v>0</v>
      </c>
      <c r="Q607" s="338" t="s">
        <v>8313</v>
      </c>
      <c r="R607" s="338" t="s">
        <v>6088</v>
      </c>
      <c r="S607" s="338"/>
      <c r="T607" s="338"/>
      <c r="U607" s="338" t="s">
        <v>6775</v>
      </c>
      <c r="V607" s="337">
        <v>0</v>
      </c>
      <c r="W607" s="337">
        <v>0</v>
      </c>
      <c r="X607" s="338"/>
      <c r="Y607" s="338" t="s">
        <v>493</v>
      </c>
      <c r="Z607" s="338" t="s">
        <v>8029</v>
      </c>
      <c r="AA607" s="338" t="s">
        <v>6079</v>
      </c>
      <c r="AB607" s="338"/>
      <c r="AC607" s="338" t="s">
        <v>6274</v>
      </c>
      <c r="AD607" s="338"/>
      <c r="AF607" s="502" t="str">
        <f>Table15[[#This Row],[code2]]</f>
        <v>PRL</v>
      </c>
      <c r="AG607" s="502" t="str">
        <f>Table15[[#This Row],[code5]]</f>
        <v>FLVRINVNBF</v>
      </c>
    </row>
    <row r="608" spans="1:33">
      <c r="A608" s="338" t="s">
        <v>6072</v>
      </c>
      <c r="B608" s="338" t="s">
        <v>6073</v>
      </c>
      <c r="C608" s="337">
        <v>1</v>
      </c>
      <c r="D608" s="338" t="s">
        <v>6513</v>
      </c>
      <c r="E608" s="338" t="s">
        <v>6514</v>
      </c>
      <c r="F608" s="337">
        <v>1</v>
      </c>
      <c r="G608" s="337">
        <v>1</v>
      </c>
      <c r="H608" s="338" t="s">
        <v>6515</v>
      </c>
      <c r="I608" s="338" t="s">
        <v>9548</v>
      </c>
      <c r="J608" s="338" t="s">
        <v>9551</v>
      </c>
      <c r="K608" s="338" t="s">
        <v>6516</v>
      </c>
      <c r="L608" s="338" t="s">
        <v>6517</v>
      </c>
      <c r="M608" s="338" t="s">
        <v>6744</v>
      </c>
      <c r="N608" s="338" t="s">
        <v>8313</v>
      </c>
      <c r="O608" s="337">
        <v>0</v>
      </c>
      <c r="P608" s="337">
        <v>0</v>
      </c>
      <c r="Q608" s="338" t="s">
        <v>8313</v>
      </c>
      <c r="R608" s="338" t="s">
        <v>6088</v>
      </c>
      <c r="S608" s="338"/>
      <c r="T608" s="338"/>
      <c r="U608" s="338" t="s">
        <v>6776</v>
      </c>
      <c r="V608" s="337">
        <v>0</v>
      </c>
      <c r="W608" s="337">
        <v>0</v>
      </c>
      <c r="X608" s="338"/>
      <c r="Y608" s="338" t="s">
        <v>6085</v>
      </c>
      <c r="Z608" s="338" t="s">
        <v>8264</v>
      </c>
      <c r="AA608" s="338" t="s">
        <v>6079</v>
      </c>
      <c r="AB608" s="338"/>
      <c r="AC608" s="338" t="s">
        <v>6274</v>
      </c>
      <c r="AD608" s="338"/>
      <c r="AF608" s="502" t="str">
        <f>Table15[[#This Row],[code2]]</f>
        <v>PRL</v>
      </c>
      <c r="AG608" s="502" t="str">
        <f>Table15[[#This Row],[code5]]</f>
        <v>FLVRINVNBF</v>
      </c>
    </row>
    <row r="609" spans="1:33">
      <c r="A609" s="338" t="s">
        <v>6072</v>
      </c>
      <c r="B609" s="338" t="s">
        <v>6073</v>
      </c>
      <c r="C609" s="337">
        <v>1</v>
      </c>
      <c r="D609" s="338" t="s">
        <v>6513</v>
      </c>
      <c r="E609" s="338" t="s">
        <v>6514</v>
      </c>
      <c r="F609" s="337">
        <v>1</v>
      </c>
      <c r="G609" s="337">
        <v>1</v>
      </c>
      <c r="H609" s="338" t="s">
        <v>6515</v>
      </c>
      <c r="I609" s="338" t="s">
        <v>9548</v>
      </c>
      <c r="J609" s="338" t="s">
        <v>9551</v>
      </c>
      <c r="K609" s="338" t="s">
        <v>6516</v>
      </c>
      <c r="L609" s="338" t="s">
        <v>6517</v>
      </c>
      <c r="M609" s="338" t="s">
        <v>6744</v>
      </c>
      <c r="N609" s="338" t="s">
        <v>8313</v>
      </c>
      <c r="O609" s="337">
        <v>0</v>
      </c>
      <c r="P609" s="337">
        <v>0</v>
      </c>
      <c r="Q609" s="338" t="s">
        <v>8313</v>
      </c>
      <c r="R609" s="338" t="s">
        <v>6088</v>
      </c>
      <c r="S609" s="338"/>
      <c r="T609" s="338"/>
      <c r="U609" s="338" t="s">
        <v>6777</v>
      </c>
      <c r="V609" s="337">
        <v>0</v>
      </c>
      <c r="W609" s="337">
        <v>0</v>
      </c>
      <c r="X609" s="338"/>
      <c r="Y609" s="338" t="s">
        <v>497</v>
      </c>
      <c r="Z609" s="338" t="s">
        <v>8023</v>
      </c>
      <c r="AA609" s="338" t="s">
        <v>6079</v>
      </c>
      <c r="AB609" s="338"/>
      <c r="AC609" s="338" t="s">
        <v>6279</v>
      </c>
      <c r="AD609" s="338"/>
      <c r="AF609" s="502" t="str">
        <f>Table15[[#This Row],[code2]]</f>
        <v>PRL</v>
      </c>
      <c r="AG609" s="502" t="str">
        <f>Table15[[#This Row],[code5]]</f>
        <v>FLVRINVNBF</v>
      </c>
    </row>
    <row r="610" spans="1:33">
      <c r="A610" s="338" t="s">
        <v>6072</v>
      </c>
      <c r="B610" s="338" t="s">
        <v>6073</v>
      </c>
      <c r="C610" s="337">
        <v>1</v>
      </c>
      <c r="D610" s="338" t="s">
        <v>6513</v>
      </c>
      <c r="E610" s="338" t="s">
        <v>6514</v>
      </c>
      <c r="F610" s="337">
        <v>1</v>
      </c>
      <c r="G610" s="337">
        <v>1</v>
      </c>
      <c r="H610" s="338" t="s">
        <v>6515</v>
      </c>
      <c r="I610" s="338" t="s">
        <v>9548</v>
      </c>
      <c r="J610" s="338" t="s">
        <v>9551</v>
      </c>
      <c r="K610" s="338" t="s">
        <v>6516</v>
      </c>
      <c r="L610" s="338" t="s">
        <v>6517</v>
      </c>
      <c r="M610" s="338" t="s">
        <v>6744</v>
      </c>
      <c r="N610" s="338" t="s">
        <v>8313</v>
      </c>
      <c r="O610" s="337">
        <v>0</v>
      </c>
      <c r="P610" s="337">
        <v>0</v>
      </c>
      <c r="Q610" s="338" t="s">
        <v>8313</v>
      </c>
      <c r="R610" s="338" t="s">
        <v>6088</v>
      </c>
      <c r="S610" s="338"/>
      <c r="T610" s="338"/>
      <c r="U610" s="338" t="s">
        <v>6778</v>
      </c>
      <c r="V610" s="337">
        <v>0</v>
      </c>
      <c r="W610" s="337">
        <v>0</v>
      </c>
      <c r="X610" s="338"/>
      <c r="Y610" s="338" t="s">
        <v>6081</v>
      </c>
      <c r="Z610" s="338" t="s">
        <v>8017</v>
      </c>
      <c r="AA610" s="338" t="s">
        <v>6079</v>
      </c>
      <c r="AB610" s="338"/>
      <c r="AC610" s="338" t="s">
        <v>6279</v>
      </c>
      <c r="AD610" s="338"/>
      <c r="AF610" s="502" t="str">
        <f>Table15[[#This Row],[code2]]</f>
        <v>PRL</v>
      </c>
      <c r="AG610" s="502" t="str">
        <f>Table15[[#This Row],[code5]]</f>
        <v>FLVRINVNBF</v>
      </c>
    </row>
    <row r="611" spans="1:33">
      <c r="A611" s="338" t="s">
        <v>6072</v>
      </c>
      <c r="B611" s="338" t="s">
        <v>6073</v>
      </c>
      <c r="C611" s="337">
        <v>1</v>
      </c>
      <c r="D611" s="338" t="s">
        <v>6513</v>
      </c>
      <c r="E611" s="338" t="s">
        <v>6514</v>
      </c>
      <c r="F611" s="337">
        <v>1</v>
      </c>
      <c r="G611" s="337">
        <v>1</v>
      </c>
      <c r="H611" s="338" t="s">
        <v>6515</v>
      </c>
      <c r="I611" s="338" t="s">
        <v>9548</v>
      </c>
      <c r="J611" s="338" t="s">
        <v>9551</v>
      </c>
      <c r="K611" s="338" t="s">
        <v>6516</v>
      </c>
      <c r="L611" s="338" t="s">
        <v>6517</v>
      </c>
      <c r="M611" s="338" t="s">
        <v>6744</v>
      </c>
      <c r="N611" s="338" t="s">
        <v>8313</v>
      </c>
      <c r="O611" s="337">
        <v>0</v>
      </c>
      <c r="P611" s="337">
        <v>0</v>
      </c>
      <c r="Q611" s="338" t="s">
        <v>8313</v>
      </c>
      <c r="R611" s="338" t="s">
        <v>6088</v>
      </c>
      <c r="S611" s="338"/>
      <c r="T611" s="338"/>
      <c r="U611" s="338" t="s">
        <v>6779</v>
      </c>
      <c r="V611" s="337">
        <v>0</v>
      </c>
      <c r="W611" s="337">
        <v>0</v>
      </c>
      <c r="X611" s="338"/>
      <c r="Y611" s="338" t="s">
        <v>493</v>
      </c>
      <c r="Z611" s="338" t="s">
        <v>8009</v>
      </c>
      <c r="AA611" s="338" t="s">
        <v>6079</v>
      </c>
      <c r="AB611" s="338"/>
      <c r="AC611" s="338" t="s">
        <v>6279</v>
      </c>
      <c r="AD611" s="338"/>
      <c r="AF611" s="502" t="str">
        <f>Table15[[#This Row],[code2]]</f>
        <v>PRL</v>
      </c>
      <c r="AG611" s="502" t="str">
        <f>Table15[[#This Row],[code5]]</f>
        <v>FLVRINVNBF</v>
      </c>
    </row>
    <row r="612" spans="1:33">
      <c r="A612" s="338" t="s">
        <v>6072</v>
      </c>
      <c r="B612" s="338" t="s">
        <v>6073</v>
      </c>
      <c r="C612" s="337">
        <v>1</v>
      </c>
      <c r="D612" s="338" t="s">
        <v>6513</v>
      </c>
      <c r="E612" s="338" t="s">
        <v>6514</v>
      </c>
      <c r="F612" s="337">
        <v>1</v>
      </c>
      <c r="G612" s="337">
        <v>1</v>
      </c>
      <c r="H612" s="338" t="s">
        <v>6515</v>
      </c>
      <c r="I612" s="338" t="s">
        <v>9548</v>
      </c>
      <c r="J612" s="338" t="s">
        <v>9551</v>
      </c>
      <c r="K612" s="338" t="s">
        <v>6516</v>
      </c>
      <c r="L612" s="338" t="s">
        <v>6517</v>
      </c>
      <c r="M612" s="338" t="s">
        <v>6744</v>
      </c>
      <c r="N612" s="338" t="s">
        <v>8313</v>
      </c>
      <c r="O612" s="337">
        <v>0</v>
      </c>
      <c r="P612" s="337">
        <v>0</v>
      </c>
      <c r="Q612" s="338" t="s">
        <v>8313</v>
      </c>
      <c r="R612" s="338" t="s">
        <v>6088</v>
      </c>
      <c r="S612" s="338"/>
      <c r="T612" s="338"/>
      <c r="U612" s="338" t="s">
        <v>6780</v>
      </c>
      <c r="V612" s="337">
        <v>0</v>
      </c>
      <c r="W612" s="337">
        <v>0</v>
      </c>
      <c r="X612" s="338"/>
      <c r="Y612" s="338" t="s">
        <v>6085</v>
      </c>
      <c r="Z612" s="338" t="s">
        <v>8125</v>
      </c>
      <c r="AA612" s="338" t="s">
        <v>6079</v>
      </c>
      <c r="AB612" s="338"/>
      <c r="AC612" s="338" t="s">
        <v>6279</v>
      </c>
      <c r="AD612" s="338"/>
      <c r="AF612" s="502" t="str">
        <f>Table15[[#This Row],[code2]]</f>
        <v>PRL</v>
      </c>
      <c r="AG612" s="502" t="str">
        <f>Table15[[#This Row],[code5]]</f>
        <v>FLVRINVNBF</v>
      </c>
    </row>
    <row r="613" spans="1:33">
      <c r="A613" s="338" t="s">
        <v>6072</v>
      </c>
      <c r="B613" s="338" t="s">
        <v>6073</v>
      </c>
      <c r="C613" s="337">
        <v>1</v>
      </c>
      <c r="D613" s="338" t="s">
        <v>6513</v>
      </c>
      <c r="E613" s="338" t="s">
        <v>6514</v>
      </c>
      <c r="F613" s="337">
        <v>1</v>
      </c>
      <c r="G613" s="337">
        <v>1</v>
      </c>
      <c r="H613" s="338" t="s">
        <v>6515</v>
      </c>
      <c r="I613" s="338" t="s">
        <v>9548</v>
      </c>
      <c r="J613" s="338" t="s">
        <v>9551</v>
      </c>
      <c r="K613" s="338" t="s">
        <v>6516</v>
      </c>
      <c r="L613" s="338" t="s">
        <v>6517</v>
      </c>
      <c r="M613" s="338" t="s">
        <v>6744</v>
      </c>
      <c r="N613" s="338" t="s">
        <v>8313</v>
      </c>
      <c r="O613" s="337">
        <v>0</v>
      </c>
      <c r="P613" s="337">
        <v>0</v>
      </c>
      <c r="Q613" s="338" t="s">
        <v>8313</v>
      </c>
      <c r="R613" s="338" t="s">
        <v>6088</v>
      </c>
      <c r="S613" s="338"/>
      <c r="T613" s="338"/>
      <c r="U613" s="338" t="s">
        <v>6781</v>
      </c>
      <c r="V613" s="337">
        <v>0</v>
      </c>
      <c r="W613" s="337">
        <v>0</v>
      </c>
      <c r="X613" s="338"/>
      <c r="Y613" s="338" t="s">
        <v>497</v>
      </c>
      <c r="Z613" s="338" t="s">
        <v>8023</v>
      </c>
      <c r="AA613" s="338" t="s">
        <v>6079</v>
      </c>
      <c r="AB613" s="338"/>
      <c r="AC613" s="338" t="s">
        <v>6284</v>
      </c>
      <c r="AD613" s="338"/>
      <c r="AF613" s="502" t="str">
        <f>Table15[[#This Row],[code2]]</f>
        <v>PRL</v>
      </c>
      <c r="AG613" s="502" t="str">
        <f>Table15[[#This Row],[code5]]</f>
        <v>FLVRINVNBF</v>
      </c>
    </row>
    <row r="614" spans="1:33">
      <c r="A614" s="338" t="s">
        <v>6072</v>
      </c>
      <c r="B614" s="338" t="s">
        <v>6073</v>
      </c>
      <c r="C614" s="337">
        <v>1</v>
      </c>
      <c r="D614" s="338" t="s">
        <v>6513</v>
      </c>
      <c r="E614" s="338" t="s">
        <v>6514</v>
      </c>
      <c r="F614" s="337">
        <v>1</v>
      </c>
      <c r="G614" s="337">
        <v>1</v>
      </c>
      <c r="H614" s="338" t="s">
        <v>6515</v>
      </c>
      <c r="I614" s="338" t="s">
        <v>9548</v>
      </c>
      <c r="J614" s="338" t="s">
        <v>9551</v>
      </c>
      <c r="K614" s="338" t="s">
        <v>6516</v>
      </c>
      <c r="L614" s="338" t="s">
        <v>6517</v>
      </c>
      <c r="M614" s="338" t="s">
        <v>6744</v>
      </c>
      <c r="N614" s="338" t="s">
        <v>8313</v>
      </c>
      <c r="O614" s="337">
        <v>0</v>
      </c>
      <c r="P614" s="337">
        <v>0</v>
      </c>
      <c r="Q614" s="338" t="s">
        <v>8313</v>
      </c>
      <c r="R614" s="338" t="s">
        <v>6088</v>
      </c>
      <c r="S614" s="338"/>
      <c r="T614" s="338"/>
      <c r="U614" s="338" t="s">
        <v>6782</v>
      </c>
      <c r="V614" s="337">
        <v>0</v>
      </c>
      <c r="W614" s="337">
        <v>0</v>
      </c>
      <c r="X614" s="338"/>
      <c r="Y614" s="338" t="s">
        <v>6081</v>
      </c>
      <c r="Z614" s="338" t="s">
        <v>8017</v>
      </c>
      <c r="AA614" s="338" t="s">
        <v>6079</v>
      </c>
      <c r="AB614" s="338"/>
      <c r="AC614" s="338" t="s">
        <v>6284</v>
      </c>
      <c r="AD614" s="338"/>
      <c r="AF614" s="502" t="str">
        <f>Table15[[#This Row],[code2]]</f>
        <v>PRL</v>
      </c>
      <c r="AG614" s="502" t="str">
        <f>Table15[[#This Row],[code5]]</f>
        <v>FLVRINVNBF</v>
      </c>
    </row>
    <row r="615" spans="1:33">
      <c r="A615" s="338" t="s">
        <v>6072</v>
      </c>
      <c r="B615" s="338" t="s">
        <v>6073</v>
      </c>
      <c r="C615" s="337">
        <v>1</v>
      </c>
      <c r="D615" s="338" t="s">
        <v>6513</v>
      </c>
      <c r="E615" s="338" t="s">
        <v>6514</v>
      </c>
      <c r="F615" s="337">
        <v>1</v>
      </c>
      <c r="G615" s="337">
        <v>1</v>
      </c>
      <c r="H615" s="338" t="s">
        <v>6515</v>
      </c>
      <c r="I615" s="338" t="s">
        <v>9548</v>
      </c>
      <c r="J615" s="338" t="s">
        <v>9551</v>
      </c>
      <c r="K615" s="338" t="s">
        <v>6516</v>
      </c>
      <c r="L615" s="338" t="s">
        <v>6517</v>
      </c>
      <c r="M615" s="338" t="s">
        <v>6744</v>
      </c>
      <c r="N615" s="338" t="s">
        <v>8313</v>
      </c>
      <c r="O615" s="337">
        <v>0</v>
      </c>
      <c r="P615" s="337">
        <v>0</v>
      </c>
      <c r="Q615" s="338" t="s">
        <v>8313</v>
      </c>
      <c r="R615" s="338" t="s">
        <v>6088</v>
      </c>
      <c r="S615" s="338"/>
      <c r="T615" s="338"/>
      <c r="U615" s="338" t="s">
        <v>6783</v>
      </c>
      <c r="V615" s="337">
        <v>0</v>
      </c>
      <c r="W615" s="337">
        <v>0</v>
      </c>
      <c r="X615" s="338"/>
      <c r="Y615" s="338" t="s">
        <v>493</v>
      </c>
      <c r="Z615" s="338" t="s">
        <v>8009</v>
      </c>
      <c r="AA615" s="338" t="s">
        <v>6079</v>
      </c>
      <c r="AB615" s="338"/>
      <c r="AC615" s="338" t="s">
        <v>6284</v>
      </c>
      <c r="AD615" s="338"/>
      <c r="AF615" s="502" t="str">
        <f>Table15[[#This Row],[code2]]</f>
        <v>PRL</v>
      </c>
      <c r="AG615" s="502" t="str">
        <f>Table15[[#This Row],[code5]]</f>
        <v>FLVRINVNBF</v>
      </c>
    </row>
    <row r="616" spans="1:33">
      <c r="A616" s="338" t="s">
        <v>6072</v>
      </c>
      <c r="B616" s="338" t="s">
        <v>6073</v>
      </c>
      <c r="C616" s="337">
        <v>1</v>
      </c>
      <c r="D616" s="338" t="s">
        <v>6513</v>
      </c>
      <c r="E616" s="338" t="s">
        <v>6514</v>
      </c>
      <c r="F616" s="337">
        <v>1</v>
      </c>
      <c r="G616" s="337">
        <v>1</v>
      </c>
      <c r="H616" s="338" t="s">
        <v>6515</v>
      </c>
      <c r="I616" s="338" t="s">
        <v>9548</v>
      </c>
      <c r="J616" s="338" t="s">
        <v>9551</v>
      </c>
      <c r="K616" s="338" t="s">
        <v>6516</v>
      </c>
      <c r="L616" s="338" t="s">
        <v>6517</v>
      </c>
      <c r="M616" s="338" t="s">
        <v>6744</v>
      </c>
      <c r="N616" s="338" t="s">
        <v>8313</v>
      </c>
      <c r="O616" s="337">
        <v>0</v>
      </c>
      <c r="P616" s="337">
        <v>0</v>
      </c>
      <c r="Q616" s="338" t="s">
        <v>8313</v>
      </c>
      <c r="R616" s="338" t="s">
        <v>6088</v>
      </c>
      <c r="S616" s="338"/>
      <c r="T616" s="338"/>
      <c r="U616" s="338" t="s">
        <v>6784</v>
      </c>
      <c r="V616" s="337">
        <v>0</v>
      </c>
      <c r="W616" s="337">
        <v>0</v>
      </c>
      <c r="X616" s="338"/>
      <c r="Y616" s="338" t="s">
        <v>6085</v>
      </c>
      <c r="Z616" s="338" t="s">
        <v>8125</v>
      </c>
      <c r="AA616" s="338" t="s">
        <v>6079</v>
      </c>
      <c r="AB616" s="338"/>
      <c r="AC616" s="338" t="s">
        <v>6284</v>
      </c>
      <c r="AD616" s="338"/>
      <c r="AF616" s="502" t="str">
        <f>Table15[[#This Row],[code2]]</f>
        <v>PRL</v>
      </c>
      <c r="AG616" s="502" t="str">
        <f>Table15[[#This Row],[code5]]</f>
        <v>FLVRINVNBF</v>
      </c>
    </row>
    <row r="617" spans="1:33">
      <c r="A617" s="338" t="s">
        <v>6072</v>
      </c>
      <c r="B617" s="338" t="s">
        <v>6073</v>
      </c>
      <c r="C617" s="337">
        <v>1</v>
      </c>
      <c r="D617" s="338" t="s">
        <v>6513</v>
      </c>
      <c r="E617" s="338" t="s">
        <v>6514</v>
      </c>
      <c r="F617" s="337">
        <v>1</v>
      </c>
      <c r="G617" s="337">
        <v>1</v>
      </c>
      <c r="H617" s="338" t="s">
        <v>6515</v>
      </c>
      <c r="I617" s="338" t="s">
        <v>9548</v>
      </c>
      <c r="J617" s="338" t="s">
        <v>9551</v>
      </c>
      <c r="K617" s="338" t="s">
        <v>6516</v>
      </c>
      <c r="L617" s="338" t="s">
        <v>6517</v>
      </c>
      <c r="M617" s="338" t="s">
        <v>6744</v>
      </c>
      <c r="N617" s="338" t="s">
        <v>8313</v>
      </c>
      <c r="O617" s="337">
        <v>0</v>
      </c>
      <c r="P617" s="337">
        <v>0</v>
      </c>
      <c r="Q617" s="338" t="s">
        <v>8313</v>
      </c>
      <c r="R617" s="338" t="s">
        <v>6088</v>
      </c>
      <c r="S617" s="338"/>
      <c r="T617" s="338"/>
      <c r="U617" s="338" t="s">
        <v>6785</v>
      </c>
      <c r="V617" s="337">
        <v>0</v>
      </c>
      <c r="W617" s="337">
        <v>0</v>
      </c>
      <c r="X617" s="338"/>
      <c r="Y617" s="338" t="s">
        <v>497</v>
      </c>
      <c r="Z617" s="338" t="s">
        <v>6368</v>
      </c>
      <c r="AA617" s="338" t="s">
        <v>6079</v>
      </c>
      <c r="AB617" s="338"/>
      <c r="AC617" s="338" t="s">
        <v>6290</v>
      </c>
      <c r="AD617" s="338"/>
      <c r="AF617" s="502" t="str">
        <f>Table15[[#This Row],[code2]]</f>
        <v>PRL</v>
      </c>
      <c r="AG617" s="502" t="str">
        <f>Table15[[#This Row],[code5]]</f>
        <v>FLVRINVNBF</v>
      </c>
    </row>
    <row r="618" spans="1:33">
      <c r="A618" s="338" t="s">
        <v>6072</v>
      </c>
      <c r="B618" s="338" t="s">
        <v>6073</v>
      </c>
      <c r="C618" s="337">
        <v>1</v>
      </c>
      <c r="D618" s="338" t="s">
        <v>6513</v>
      </c>
      <c r="E618" s="338" t="s">
        <v>6514</v>
      </c>
      <c r="F618" s="337">
        <v>1</v>
      </c>
      <c r="G618" s="337">
        <v>1</v>
      </c>
      <c r="H618" s="338" t="s">
        <v>6515</v>
      </c>
      <c r="I618" s="338" t="s">
        <v>9548</v>
      </c>
      <c r="J618" s="338" t="s">
        <v>9551</v>
      </c>
      <c r="K618" s="338" t="s">
        <v>6516</v>
      </c>
      <c r="L618" s="338" t="s">
        <v>6517</v>
      </c>
      <c r="M618" s="338" t="s">
        <v>6744</v>
      </c>
      <c r="N618" s="338" t="s">
        <v>8313</v>
      </c>
      <c r="O618" s="337">
        <v>0</v>
      </c>
      <c r="P618" s="337">
        <v>0</v>
      </c>
      <c r="Q618" s="338" t="s">
        <v>8313</v>
      </c>
      <c r="R618" s="338" t="s">
        <v>6088</v>
      </c>
      <c r="S618" s="338"/>
      <c r="T618" s="338"/>
      <c r="U618" s="338" t="s">
        <v>6786</v>
      </c>
      <c r="V618" s="337">
        <v>0</v>
      </c>
      <c r="W618" s="337">
        <v>0</v>
      </c>
      <c r="X618" s="338"/>
      <c r="Y618" s="338" t="s">
        <v>6081</v>
      </c>
      <c r="Z618" s="338" t="s">
        <v>8122</v>
      </c>
      <c r="AA618" s="338" t="s">
        <v>6079</v>
      </c>
      <c r="AB618" s="338"/>
      <c r="AC618" s="338" t="s">
        <v>6290</v>
      </c>
      <c r="AD618" s="338"/>
      <c r="AF618" s="502" t="str">
        <f>Table15[[#This Row],[code2]]</f>
        <v>PRL</v>
      </c>
      <c r="AG618" s="502" t="str">
        <f>Table15[[#This Row],[code5]]</f>
        <v>FLVRINVNBF</v>
      </c>
    </row>
    <row r="619" spans="1:33">
      <c r="A619" s="338" t="s">
        <v>6072</v>
      </c>
      <c r="B619" s="338" t="s">
        <v>6073</v>
      </c>
      <c r="C619" s="337">
        <v>1</v>
      </c>
      <c r="D619" s="338" t="s">
        <v>6513</v>
      </c>
      <c r="E619" s="338" t="s">
        <v>6514</v>
      </c>
      <c r="F619" s="337">
        <v>1</v>
      </c>
      <c r="G619" s="337">
        <v>1</v>
      </c>
      <c r="H619" s="338" t="s">
        <v>6515</v>
      </c>
      <c r="I619" s="338" t="s">
        <v>9548</v>
      </c>
      <c r="J619" s="338" t="s">
        <v>9551</v>
      </c>
      <c r="K619" s="338" t="s">
        <v>6516</v>
      </c>
      <c r="L619" s="338" t="s">
        <v>6517</v>
      </c>
      <c r="M619" s="338" t="s">
        <v>6744</v>
      </c>
      <c r="N619" s="338" t="s">
        <v>8313</v>
      </c>
      <c r="O619" s="337">
        <v>0</v>
      </c>
      <c r="P619" s="337">
        <v>0</v>
      </c>
      <c r="Q619" s="338" t="s">
        <v>8313</v>
      </c>
      <c r="R619" s="338" t="s">
        <v>6088</v>
      </c>
      <c r="S619" s="338"/>
      <c r="T619" s="338"/>
      <c r="U619" s="338" t="s">
        <v>6787</v>
      </c>
      <c r="V619" s="337">
        <v>0</v>
      </c>
      <c r="W619" s="337">
        <v>0</v>
      </c>
      <c r="X619" s="338"/>
      <c r="Y619" s="338" t="s">
        <v>493</v>
      </c>
      <c r="Z619" s="338" t="s">
        <v>6368</v>
      </c>
      <c r="AA619" s="338" t="s">
        <v>6079</v>
      </c>
      <c r="AB619" s="338"/>
      <c r="AC619" s="338" t="s">
        <v>6290</v>
      </c>
      <c r="AD619" s="338"/>
      <c r="AF619" s="502" t="str">
        <f>Table15[[#This Row],[code2]]</f>
        <v>PRL</v>
      </c>
      <c r="AG619" s="502" t="str">
        <f>Table15[[#This Row],[code5]]</f>
        <v>FLVRINVNBF</v>
      </c>
    </row>
    <row r="620" spans="1:33">
      <c r="A620" s="338" t="s">
        <v>6072</v>
      </c>
      <c r="B620" s="338" t="s">
        <v>6073</v>
      </c>
      <c r="C620" s="337">
        <v>1</v>
      </c>
      <c r="D620" s="338" t="s">
        <v>6513</v>
      </c>
      <c r="E620" s="338" t="s">
        <v>6514</v>
      </c>
      <c r="F620" s="337">
        <v>1</v>
      </c>
      <c r="G620" s="337">
        <v>1</v>
      </c>
      <c r="H620" s="338" t="s">
        <v>6515</v>
      </c>
      <c r="I620" s="338" t="s">
        <v>9548</v>
      </c>
      <c r="J620" s="338" t="s">
        <v>9551</v>
      </c>
      <c r="K620" s="338" t="s">
        <v>6516</v>
      </c>
      <c r="L620" s="338" t="s">
        <v>6517</v>
      </c>
      <c r="M620" s="338" t="s">
        <v>6744</v>
      </c>
      <c r="N620" s="338" t="s">
        <v>8313</v>
      </c>
      <c r="O620" s="337">
        <v>0</v>
      </c>
      <c r="P620" s="337">
        <v>0</v>
      </c>
      <c r="Q620" s="338" t="s">
        <v>8313</v>
      </c>
      <c r="R620" s="338" t="s">
        <v>6088</v>
      </c>
      <c r="S620" s="338"/>
      <c r="T620" s="338"/>
      <c r="U620" s="338" t="s">
        <v>6788</v>
      </c>
      <c r="V620" s="337">
        <v>0</v>
      </c>
      <c r="W620" s="337">
        <v>0</v>
      </c>
      <c r="X620" s="338"/>
      <c r="Y620" s="338" t="s">
        <v>6085</v>
      </c>
      <c r="Z620" s="338" t="s">
        <v>8268</v>
      </c>
      <c r="AA620" s="338" t="s">
        <v>6079</v>
      </c>
      <c r="AB620" s="338"/>
      <c r="AC620" s="338" t="s">
        <v>6290</v>
      </c>
      <c r="AD620" s="338"/>
      <c r="AF620" s="502" t="str">
        <f>Table15[[#This Row],[code2]]</f>
        <v>PRL</v>
      </c>
      <c r="AG620" s="502" t="str">
        <f>Table15[[#This Row],[code5]]</f>
        <v>FLVRINVNBF</v>
      </c>
    </row>
    <row r="621" spans="1:33">
      <c r="A621" s="338" t="s">
        <v>6072</v>
      </c>
      <c r="B621" s="338" t="s">
        <v>6073</v>
      </c>
      <c r="C621" s="337">
        <v>1</v>
      </c>
      <c r="D621" s="338" t="s">
        <v>6513</v>
      </c>
      <c r="E621" s="338" t="s">
        <v>6514</v>
      </c>
      <c r="F621" s="337">
        <v>1</v>
      </c>
      <c r="G621" s="337">
        <v>1</v>
      </c>
      <c r="H621" s="338" t="s">
        <v>6515</v>
      </c>
      <c r="I621" s="338" t="s">
        <v>9548</v>
      </c>
      <c r="J621" s="338" t="s">
        <v>9551</v>
      </c>
      <c r="K621" s="338" t="s">
        <v>6516</v>
      </c>
      <c r="L621" s="338" t="s">
        <v>6517</v>
      </c>
      <c r="M621" s="338" t="s">
        <v>6744</v>
      </c>
      <c r="N621" s="338" t="s">
        <v>8313</v>
      </c>
      <c r="O621" s="337">
        <v>0</v>
      </c>
      <c r="P621" s="337">
        <v>0</v>
      </c>
      <c r="Q621" s="338" t="s">
        <v>8313</v>
      </c>
      <c r="R621" s="338" t="s">
        <v>6088</v>
      </c>
      <c r="S621" s="338"/>
      <c r="T621" s="338"/>
      <c r="U621" s="338" t="s">
        <v>6789</v>
      </c>
      <c r="V621" s="337">
        <v>0</v>
      </c>
      <c r="W621" s="337">
        <v>0</v>
      </c>
      <c r="X621" s="338"/>
      <c r="Y621" s="338" t="s">
        <v>497</v>
      </c>
      <c r="Z621" s="338" t="s">
        <v>6368</v>
      </c>
      <c r="AA621" s="338" t="s">
        <v>6079</v>
      </c>
      <c r="AB621" s="338"/>
      <c r="AC621" s="338" t="s">
        <v>6295</v>
      </c>
      <c r="AD621" s="338"/>
      <c r="AF621" s="502" t="str">
        <f>Table15[[#This Row],[code2]]</f>
        <v>PRL</v>
      </c>
      <c r="AG621" s="502" t="str">
        <f>Table15[[#This Row],[code5]]</f>
        <v>FLVRINVNBF</v>
      </c>
    </row>
    <row r="622" spans="1:33">
      <c r="A622" s="338" t="s">
        <v>6072</v>
      </c>
      <c r="B622" s="338" t="s">
        <v>6073</v>
      </c>
      <c r="C622" s="337">
        <v>1</v>
      </c>
      <c r="D622" s="338" t="s">
        <v>6513</v>
      </c>
      <c r="E622" s="338" t="s">
        <v>6514</v>
      </c>
      <c r="F622" s="337">
        <v>1</v>
      </c>
      <c r="G622" s="337">
        <v>1</v>
      </c>
      <c r="H622" s="338" t="s">
        <v>6515</v>
      </c>
      <c r="I622" s="338" t="s">
        <v>9548</v>
      </c>
      <c r="J622" s="338" t="s">
        <v>9551</v>
      </c>
      <c r="K622" s="338" t="s">
        <v>6516</v>
      </c>
      <c r="L622" s="338" t="s">
        <v>6517</v>
      </c>
      <c r="M622" s="338" t="s">
        <v>6744</v>
      </c>
      <c r="N622" s="338" t="s">
        <v>8313</v>
      </c>
      <c r="O622" s="337">
        <v>0</v>
      </c>
      <c r="P622" s="337">
        <v>0</v>
      </c>
      <c r="Q622" s="338" t="s">
        <v>8313</v>
      </c>
      <c r="R622" s="338" t="s">
        <v>6088</v>
      </c>
      <c r="S622" s="338"/>
      <c r="T622" s="338"/>
      <c r="U622" s="338" t="s">
        <v>6790</v>
      </c>
      <c r="V622" s="337">
        <v>0</v>
      </c>
      <c r="W622" s="337">
        <v>0</v>
      </c>
      <c r="X622" s="338"/>
      <c r="Y622" s="338" t="s">
        <v>6081</v>
      </c>
      <c r="Z622" s="338" t="s">
        <v>8122</v>
      </c>
      <c r="AA622" s="338" t="s">
        <v>6079</v>
      </c>
      <c r="AB622" s="338"/>
      <c r="AC622" s="338" t="s">
        <v>6295</v>
      </c>
      <c r="AD622" s="338"/>
      <c r="AF622" s="502" t="str">
        <f>Table15[[#This Row],[code2]]</f>
        <v>PRL</v>
      </c>
      <c r="AG622" s="502" t="str">
        <f>Table15[[#This Row],[code5]]</f>
        <v>FLVRINVNBF</v>
      </c>
    </row>
    <row r="623" spans="1:33">
      <c r="A623" s="338" t="s">
        <v>6072</v>
      </c>
      <c r="B623" s="338" t="s">
        <v>6073</v>
      </c>
      <c r="C623" s="337">
        <v>1</v>
      </c>
      <c r="D623" s="338" t="s">
        <v>6513</v>
      </c>
      <c r="E623" s="338" t="s">
        <v>6514</v>
      </c>
      <c r="F623" s="337">
        <v>1</v>
      </c>
      <c r="G623" s="337">
        <v>1</v>
      </c>
      <c r="H623" s="338" t="s">
        <v>6515</v>
      </c>
      <c r="I623" s="338" t="s">
        <v>9548</v>
      </c>
      <c r="J623" s="338" t="s">
        <v>9551</v>
      </c>
      <c r="K623" s="338" t="s">
        <v>6516</v>
      </c>
      <c r="L623" s="338" t="s">
        <v>6517</v>
      </c>
      <c r="M623" s="338" t="s">
        <v>6744</v>
      </c>
      <c r="N623" s="338" t="s">
        <v>8313</v>
      </c>
      <c r="O623" s="337">
        <v>0</v>
      </c>
      <c r="P623" s="337">
        <v>0</v>
      </c>
      <c r="Q623" s="338" t="s">
        <v>8313</v>
      </c>
      <c r="R623" s="338" t="s">
        <v>6088</v>
      </c>
      <c r="S623" s="338"/>
      <c r="T623" s="338"/>
      <c r="U623" s="338" t="s">
        <v>6791</v>
      </c>
      <c r="V623" s="337">
        <v>0</v>
      </c>
      <c r="W623" s="337">
        <v>0</v>
      </c>
      <c r="X623" s="338"/>
      <c r="Y623" s="338" t="s">
        <v>493</v>
      </c>
      <c r="Z623" s="338" t="s">
        <v>6368</v>
      </c>
      <c r="AA623" s="338" t="s">
        <v>6079</v>
      </c>
      <c r="AB623" s="338"/>
      <c r="AC623" s="338" t="s">
        <v>6295</v>
      </c>
      <c r="AD623" s="338"/>
      <c r="AF623" s="502" t="str">
        <f>Table15[[#This Row],[code2]]</f>
        <v>PRL</v>
      </c>
      <c r="AG623" s="502" t="str">
        <f>Table15[[#This Row],[code5]]</f>
        <v>FLVRINVNBF</v>
      </c>
    </row>
    <row r="624" spans="1:33">
      <c r="A624" s="338" t="s">
        <v>6072</v>
      </c>
      <c r="B624" s="338" t="s">
        <v>6073</v>
      </c>
      <c r="C624" s="337">
        <v>1</v>
      </c>
      <c r="D624" s="338" t="s">
        <v>6513</v>
      </c>
      <c r="E624" s="338" t="s">
        <v>6514</v>
      </c>
      <c r="F624" s="337">
        <v>1</v>
      </c>
      <c r="G624" s="337">
        <v>1</v>
      </c>
      <c r="H624" s="338" t="s">
        <v>6515</v>
      </c>
      <c r="I624" s="338" t="s">
        <v>9548</v>
      </c>
      <c r="J624" s="338" t="s">
        <v>9551</v>
      </c>
      <c r="K624" s="338" t="s">
        <v>6516</v>
      </c>
      <c r="L624" s="338" t="s">
        <v>6517</v>
      </c>
      <c r="M624" s="338" t="s">
        <v>6744</v>
      </c>
      <c r="N624" s="338" t="s">
        <v>8313</v>
      </c>
      <c r="O624" s="337">
        <v>0</v>
      </c>
      <c r="P624" s="337">
        <v>0</v>
      </c>
      <c r="Q624" s="338" t="s">
        <v>8313</v>
      </c>
      <c r="R624" s="338" t="s">
        <v>6088</v>
      </c>
      <c r="S624" s="338"/>
      <c r="T624" s="338"/>
      <c r="U624" s="338" t="s">
        <v>6792</v>
      </c>
      <c r="V624" s="337">
        <v>0</v>
      </c>
      <c r="W624" s="337">
        <v>0</v>
      </c>
      <c r="X624" s="338"/>
      <c r="Y624" s="338" t="s">
        <v>6085</v>
      </c>
      <c r="Z624" s="338" t="s">
        <v>8268</v>
      </c>
      <c r="AA624" s="338" t="s">
        <v>6079</v>
      </c>
      <c r="AB624" s="338"/>
      <c r="AC624" s="338" t="s">
        <v>6295</v>
      </c>
      <c r="AD624" s="338"/>
      <c r="AF624" s="502" t="str">
        <f>Table15[[#This Row],[code2]]</f>
        <v>PRL</v>
      </c>
      <c r="AG624" s="502" t="str">
        <f>Table15[[#This Row],[code5]]</f>
        <v>FLVRINVNBF</v>
      </c>
    </row>
    <row r="625" spans="1:33">
      <c r="A625" s="338" t="s">
        <v>6072</v>
      </c>
      <c r="B625" s="338" t="s">
        <v>6073</v>
      </c>
      <c r="C625" s="337">
        <v>1</v>
      </c>
      <c r="D625" s="338" t="s">
        <v>6513</v>
      </c>
      <c r="E625" s="338" t="s">
        <v>6514</v>
      </c>
      <c r="F625" s="337">
        <v>1</v>
      </c>
      <c r="G625" s="337">
        <v>1</v>
      </c>
      <c r="H625" s="338" t="s">
        <v>6515</v>
      </c>
      <c r="I625" s="338" t="s">
        <v>9548</v>
      </c>
      <c r="J625" s="338" t="s">
        <v>9551</v>
      </c>
      <c r="K625" s="338" t="s">
        <v>6516</v>
      </c>
      <c r="L625" s="338" t="s">
        <v>6517</v>
      </c>
      <c r="M625" s="338" t="s">
        <v>6744</v>
      </c>
      <c r="N625" s="338" t="s">
        <v>8313</v>
      </c>
      <c r="O625" s="337">
        <v>0</v>
      </c>
      <c r="P625" s="337">
        <v>0</v>
      </c>
      <c r="Q625" s="338" t="s">
        <v>8313</v>
      </c>
      <c r="R625" s="338" t="s">
        <v>6088</v>
      </c>
      <c r="S625" s="338"/>
      <c r="T625" s="338"/>
      <c r="U625" s="338" t="s">
        <v>6793</v>
      </c>
      <c r="V625" s="337">
        <v>0</v>
      </c>
      <c r="W625" s="337">
        <v>0</v>
      </c>
      <c r="X625" s="338"/>
      <c r="Y625" s="338" t="s">
        <v>497</v>
      </c>
      <c r="Z625" s="338" t="s">
        <v>6368</v>
      </c>
      <c r="AA625" s="338" t="s">
        <v>6079</v>
      </c>
      <c r="AB625" s="338"/>
      <c r="AC625" s="338" t="s">
        <v>6300</v>
      </c>
      <c r="AD625" s="338"/>
      <c r="AF625" s="502" t="str">
        <f>Table15[[#This Row],[code2]]</f>
        <v>PRL</v>
      </c>
      <c r="AG625" s="502" t="str">
        <f>Table15[[#This Row],[code5]]</f>
        <v>FLVRINVNBF</v>
      </c>
    </row>
    <row r="626" spans="1:33">
      <c r="A626" s="338" t="s">
        <v>6072</v>
      </c>
      <c r="B626" s="338" t="s">
        <v>6073</v>
      </c>
      <c r="C626" s="337">
        <v>1</v>
      </c>
      <c r="D626" s="338" t="s">
        <v>6513</v>
      </c>
      <c r="E626" s="338" t="s">
        <v>6514</v>
      </c>
      <c r="F626" s="337">
        <v>1</v>
      </c>
      <c r="G626" s="337">
        <v>1</v>
      </c>
      <c r="H626" s="338" t="s">
        <v>6515</v>
      </c>
      <c r="I626" s="338" t="s">
        <v>9548</v>
      </c>
      <c r="J626" s="338" t="s">
        <v>9551</v>
      </c>
      <c r="K626" s="338" t="s">
        <v>6516</v>
      </c>
      <c r="L626" s="338" t="s">
        <v>6517</v>
      </c>
      <c r="M626" s="338" t="s">
        <v>6744</v>
      </c>
      <c r="N626" s="338" t="s">
        <v>8313</v>
      </c>
      <c r="O626" s="337">
        <v>0</v>
      </c>
      <c r="P626" s="337">
        <v>0</v>
      </c>
      <c r="Q626" s="338" t="s">
        <v>8313</v>
      </c>
      <c r="R626" s="338" t="s">
        <v>6088</v>
      </c>
      <c r="S626" s="338"/>
      <c r="T626" s="338"/>
      <c r="U626" s="338" t="s">
        <v>6794</v>
      </c>
      <c r="V626" s="337">
        <v>0</v>
      </c>
      <c r="W626" s="337">
        <v>0</v>
      </c>
      <c r="X626" s="338"/>
      <c r="Y626" s="338" t="s">
        <v>6081</v>
      </c>
      <c r="Z626" s="338" t="s">
        <v>8033</v>
      </c>
      <c r="AA626" s="338" t="s">
        <v>6079</v>
      </c>
      <c r="AB626" s="338"/>
      <c r="AC626" s="338" t="s">
        <v>6300</v>
      </c>
      <c r="AD626" s="338"/>
      <c r="AF626" s="502" t="str">
        <f>Table15[[#This Row],[code2]]</f>
        <v>PRL</v>
      </c>
      <c r="AG626" s="502" t="str">
        <f>Table15[[#This Row],[code5]]</f>
        <v>FLVRINVNBF</v>
      </c>
    </row>
    <row r="627" spans="1:33">
      <c r="A627" s="338" t="s">
        <v>6072</v>
      </c>
      <c r="B627" s="338" t="s">
        <v>6073</v>
      </c>
      <c r="C627" s="337">
        <v>1</v>
      </c>
      <c r="D627" s="338" t="s">
        <v>6513</v>
      </c>
      <c r="E627" s="338" t="s">
        <v>6514</v>
      </c>
      <c r="F627" s="337">
        <v>1</v>
      </c>
      <c r="G627" s="337">
        <v>1</v>
      </c>
      <c r="H627" s="338" t="s">
        <v>6515</v>
      </c>
      <c r="I627" s="338" t="s">
        <v>9548</v>
      </c>
      <c r="J627" s="338" t="s">
        <v>9551</v>
      </c>
      <c r="K627" s="338" t="s">
        <v>6516</v>
      </c>
      <c r="L627" s="338" t="s">
        <v>6517</v>
      </c>
      <c r="M627" s="338" t="s">
        <v>6744</v>
      </c>
      <c r="N627" s="338" t="s">
        <v>8313</v>
      </c>
      <c r="O627" s="337">
        <v>0</v>
      </c>
      <c r="P627" s="337">
        <v>0</v>
      </c>
      <c r="Q627" s="338" t="s">
        <v>8313</v>
      </c>
      <c r="R627" s="338" t="s">
        <v>6088</v>
      </c>
      <c r="S627" s="338"/>
      <c r="T627" s="338"/>
      <c r="U627" s="338" t="s">
        <v>6795</v>
      </c>
      <c r="V627" s="337">
        <v>0</v>
      </c>
      <c r="W627" s="337">
        <v>0</v>
      </c>
      <c r="X627" s="338"/>
      <c r="Y627" s="338" t="s">
        <v>493</v>
      </c>
      <c r="Z627" s="338" t="s">
        <v>6368</v>
      </c>
      <c r="AA627" s="338" t="s">
        <v>6079</v>
      </c>
      <c r="AB627" s="338"/>
      <c r="AC627" s="338" t="s">
        <v>6300</v>
      </c>
      <c r="AD627" s="338"/>
      <c r="AF627" s="502" t="str">
        <f>Table15[[#This Row],[code2]]</f>
        <v>PRL</v>
      </c>
      <c r="AG627" s="502" t="str">
        <f>Table15[[#This Row],[code5]]</f>
        <v>FLVRINVNBF</v>
      </c>
    </row>
    <row r="628" spans="1:33">
      <c r="A628" s="338" t="s">
        <v>6072</v>
      </c>
      <c r="B628" s="338" t="s">
        <v>6073</v>
      </c>
      <c r="C628" s="337">
        <v>1</v>
      </c>
      <c r="D628" s="338" t="s">
        <v>6513</v>
      </c>
      <c r="E628" s="338" t="s">
        <v>6514</v>
      </c>
      <c r="F628" s="337">
        <v>1</v>
      </c>
      <c r="G628" s="337">
        <v>1</v>
      </c>
      <c r="H628" s="338" t="s">
        <v>6515</v>
      </c>
      <c r="I628" s="338" t="s">
        <v>9548</v>
      </c>
      <c r="J628" s="338" t="s">
        <v>9551</v>
      </c>
      <c r="K628" s="338" t="s">
        <v>6516</v>
      </c>
      <c r="L628" s="338" t="s">
        <v>6517</v>
      </c>
      <c r="M628" s="338" t="s">
        <v>6744</v>
      </c>
      <c r="N628" s="338" t="s">
        <v>8313</v>
      </c>
      <c r="O628" s="337">
        <v>0</v>
      </c>
      <c r="P628" s="337">
        <v>0</v>
      </c>
      <c r="Q628" s="338" t="s">
        <v>8313</v>
      </c>
      <c r="R628" s="338" t="s">
        <v>6088</v>
      </c>
      <c r="S628" s="338"/>
      <c r="T628" s="338"/>
      <c r="U628" s="338" t="s">
        <v>6796</v>
      </c>
      <c r="V628" s="337">
        <v>0</v>
      </c>
      <c r="W628" s="337">
        <v>0</v>
      </c>
      <c r="X628" s="338"/>
      <c r="Y628" s="338" t="s">
        <v>6085</v>
      </c>
      <c r="Z628" s="338" t="s">
        <v>8293</v>
      </c>
      <c r="AA628" s="338" t="s">
        <v>6079</v>
      </c>
      <c r="AB628" s="338"/>
      <c r="AC628" s="338" t="s">
        <v>6300</v>
      </c>
      <c r="AD628" s="338"/>
      <c r="AF628" s="502" t="str">
        <f>Table15[[#This Row],[code2]]</f>
        <v>PRL</v>
      </c>
      <c r="AG628" s="502" t="str">
        <f>Table15[[#This Row],[code5]]</f>
        <v>FLVRINVNBF</v>
      </c>
    </row>
    <row r="629" spans="1:33">
      <c r="A629" s="338" t="s">
        <v>6072</v>
      </c>
      <c r="B629" s="338" t="s">
        <v>6073</v>
      </c>
      <c r="C629" s="337">
        <v>1</v>
      </c>
      <c r="D629" s="338" t="s">
        <v>6513</v>
      </c>
      <c r="E629" s="338" t="s">
        <v>6514</v>
      </c>
      <c r="F629" s="337">
        <v>1</v>
      </c>
      <c r="G629" s="337">
        <v>1</v>
      </c>
      <c r="H629" s="338" t="s">
        <v>6515</v>
      </c>
      <c r="I629" s="338" t="s">
        <v>9548</v>
      </c>
      <c r="J629" s="338" t="s">
        <v>9551</v>
      </c>
      <c r="K629" s="338" t="s">
        <v>6516</v>
      </c>
      <c r="L629" s="338" t="s">
        <v>6517</v>
      </c>
      <c r="M629" s="338" t="s">
        <v>6744</v>
      </c>
      <c r="N629" s="338" t="s">
        <v>8313</v>
      </c>
      <c r="O629" s="337">
        <v>0</v>
      </c>
      <c r="P629" s="337">
        <v>0</v>
      </c>
      <c r="Q629" s="338" t="s">
        <v>8313</v>
      </c>
      <c r="R629" s="338" t="s">
        <v>6088</v>
      </c>
      <c r="S629" s="338"/>
      <c r="T629" s="338"/>
      <c r="U629" s="338" t="s">
        <v>6797</v>
      </c>
      <c r="V629" s="337">
        <v>0</v>
      </c>
      <c r="W629" s="337">
        <v>0</v>
      </c>
      <c r="X629" s="338"/>
      <c r="Y629" s="338" t="s">
        <v>497</v>
      </c>
      <c r="Z629" s="338" t="s">
        <v>6368</v>
      </c>
      <c r="AA629" s="338" t="s">
        <v>6079</v>
      </c>
      <c r="AB629" s="338"/>
      <c r="AC629" s="338" t="s">
        <v>6305</v>
      </c>
      <c r="AD629" s="338"/>
      <c r="AF629" s="502" t="str">
        <f>Table15[[#This Row],[code2]]</f>
        <v>PRL</v>
      </c>
      <c r="AG629" s="502" t="str">
        <f>Table15[[#This Row],[code5]]</f>
        <v>FLVRINVNBF</v>
      </c>
    </row>
    <row r="630" spans="1:33">
      <c r="A630" s="338" t="s">
        <v>6072</v>
      </c>
      <c r="B630" s="338" t="s">
        <v>6073</v>
      </c>
      <c r="C630" s="337">
        <v>1</v>
      </c>
      <c r="D630" s="338" t="s">
        <v>6513</v>
      </c>
      <c r="E630" s="338" t="s">
        <v>6514</v>
      </c>
      <c r="F630" s="337">
        <v>1</v>
      </c>
      <c r="G630" s="337">
        <v>1</v>
      </c>
      <c r="H630" s="338" t="s">
        <v>6515</v>
      </c>
      <c r="I630" s="338" t="s">
        <v>9548</v>
      </c>
      <c r="J630" s="338" t="s">
        <v>9551</v>
      </c>
      <c r="K630" s="338" t="s">
        <v>6516</v>
      </c>
      <c r="L630" s="338" t="s">
        <v>6517</v>
      </c>
      <c r="M630" s="338" t="s">
        <v>6744</v>
      </c>
      <c r="N630" s="338" t="s">
        <v>8313</v>
      </c>
      <c r="O630" s="337">
        <v>0</v>
      </c>
      <c r="P630" s="337">
        <v>0</v>
      </c>
      <c r="Q630" s="338" t="s">
        <v>8313</v>
      </c>
      <c r="R630" s="338" t="s">
        <v>6088</v>
      </c>
      <c r="S630" s="338"/>
      <c r="T630" s="338"/>
      <c r="U630" s="338" t="s">
        <v>6798</v>
      </c>
      <c r="V630" s="337">
        <v>0</v>
      </c>
      <c r="W630" s="337">
        <v>0</v>
      </c>
      <c r="X630" s="338"/>
      <c r="Y630" s="338" t="s">
        <v>6081</v>
      </c>
      <c r="Z630" s="338" t="s">
        <v>8033</v>
      </c>
      <c r="AA630" s="338" t="s">
        <v>6079</v>
      </c>
      <c r="AB630" s="338"/>
      <c r="AC630" s="338" t="s">
        <v>6305</v>
      </c>
      <c r="AD630" s="338"/>
      <c r="AF630" s="502" t="str">
        <f>Table15[[#This Row],[code2]]</f>
        <v>PRL</v>
      </c>
      <c r="AG630" s="502" t="str">
        <f>Table15[[#This Row],[code5]]</f>
        <v>FLVRINVNBF</v>
      </c>
    </row>
    <row r="631" spans="1:33">
      <c r="A631" s="338" t="s">
        <v>6072</v>
      </c>
      <c r="B631" s="338" t="s">
        <v>6073</v>
      </c>
      <c r="C631" s="337">
        <v>1</v>
      </c>
      <c r="D631" s="338" t="s">
        <v>6513</v>
      </c>
      <c r="E631" s="338" t="s">
        <v>6514</v>
      </c>
      <c r="F631" s="337">
        <v>1</v>
      </c>
      <c r="G631" s="337">
        <v>1</v>
      </c>
      <c r="H631" s="338" t="s">
        <v>6515</v>
      </c>
      <c r="I631" s="338" t="s">
        <v>9548</v>
      </c>
      <c r="J631" s="338" t="s">
        <v>9551</v>
      </c>
      <c r="K631" s="338" t="s">
        <v>6516</v>
      </c>
      <c r="L631" s="338" t="s">
        <v>6517</v>
      </c>
      <c r="M631" s="338" t="s">
        <v>6744</v>
      </c>
      <c r="N631" s="338" t="s">
        <v>8313</v>
      </c>
      <c r="O631" s="337">
        <v>0</v>
      </c>
      <c r="P631" s="337">
        <v>0</v>
      </c>
      <c r="Q631" s="338" t="s">
        <v>8313</v>
      </c>
      <c r="R631" s="338" t="s">
        <v>6088</v>
      </c>
      <c r="S631" s="338"/>
      <c r="T631" s="338"/>
      <c r="U631" s="338" t="s">
        <v>6799</v>
      </c>
      <c r="V631" s="337">
        <v>0</v>
      </c>
      <c r="W631" s="337">
        <v>0</v>
      </c>
      <c r="X631" s="338"/>
      <c r="Y631" s="338" t="s">
        <v>493</v>
      </c>
      <c r="Z631" s="338" t="s">
        <v>6368</v>
      </c>
      <c r="AA631" s="338" t="s">
        <v>6079</v>
      </c>
      <c r="AB631" s="338"/>
      <c r="AC631" s="338" t="s">
        <v>6305</v>
      </c>
      <c r="AD631" s="338"/>
      <c r="AF631" s="502" t="str">
        <f>Table15[[#This Row],[code2]]</f>
        <v>PRL</v>
      </c>
      <c r="AG631" s="502" t="str">
        <f>Table15[[#This Row],[code5]]</f>
        <v>FLVRINVNBF</v>
      </c>
    </row>
    <row r="632" spans="1:33">
      <c r="A632" s="338" t="s">
        <v>6072</v>
      </c>
      <c r="B632" s="338" t="s">
        <v>6073</v>
      </c>
      <c r="C632" s="337">
        <v>1</v>
      </c>
      <c r="D632" s="338" t="s">
        <v>6513</v>
      </c>
      <c r="E632" s="338" t="s">
        <v>6514</v>
      </c>
      <c r="F632" s="337">
        <v>1</v>
      </c>
      <c r="G632" s="337">
        <v>1</v>
      </c>
      <c r="H632" s="338" t="s">
        <v>6515</v>
      </c>
      <c r="I632" s="338" t="s">
        <v>9548</v>
      </c>
      <c r="J632" s="338" t="s">
        <v>9551</v>
      </c>
      <c r="K632" s="338" t="s">
        <v>6516</v>
      </c>
      <c r="L632" s="338" t="s">
        <v>6517</v>
      </c>
      <c r="M632" s="338" t="s">
        <v>6744</v>
      </c>
      <c r="N632" s="338" t="s">
        <v>8313</v>
      </c>
      <c r="O632" s="337">
        <v>0</v>
      </c>
      <c r="P632" s="337">
        <v>0</v>
      </c>
      <c r="Q632" s="338" t="s">
        <v>8313</v>
      </c>
      <c r="R632" s="338" t="s">
        <v>6088</v>
      </c>
      <c r="S632" s="338"/>
      <c r="T632" s="338"/>
      <c r="U632" s="338" t="s">
        <v>6800</v>
      </c>
      <c r="V632" s="337">
        <v>0</v>
      </c>
      <c r="W632" s="337">
        <v>0</v>
      </c>
      <c r="X632" s="338"/>
      <c r="Y632" s="338" t="s">
        <v>6085</v>
      </c>
      <c r="Z632" s="338" t="s">
        <v>8293</v>
      </c>
      <c r="AA632" s="338" t="s">
        <v>6079</v>
      </c>
      <c r="AB632" s="338"/>
      <c r="AC632" s="338" t="s">
        <v>6305</v>
      </c>
      <c r="AD632" s="338"/>
      <c r="AF632" s="502" t="str">
        <f>Table15[[#This Row],[code2]]</f>
        <v>PRL</v>
      </c>
      <c r="AG632" s="502" t="str">
        <f>Table15[[#This Row],[code5]]</f>
        <v>FLVRINVNBF</v>
      </c>
    </row>
    <row r="633" spans="1:33">
      <c r="A633" s="338" t="s">
        <v>6072</v>
      </c>
      <c r="B633" s="338" t="s">
        <v>6073</v>
      </c>
      <c r="C633" s="337">
        <v>1</v>
      </c>
      <c r="D633" s="338" t="s">
        <v>6513</v>
      </c>
      <c r="E633" s="338" t="s">
        <v>6514</v>
      </c>
      <c r="F633" s="337">
        <v>1</v>
      </c>
      <c r="G633" s="337">
        <v>1</v>
      </c>
      <c r="H633" s="338" t="s">
        <v>6515</v>
      </c>
      <c r="I633" s="338" t="s">
        <v>9548</v>
      </c>
      <c r="J633" s="338" t="s">
        <v>9551</v>
      </c>
      <c r="K633" s="338" t="s">
        <v>6516</v>
      </c>
      <c r="L633" s="338" t="s">
        <v>6517</v>
      </c>
      <c r="M633" s="338" t="s">
        <v>6801</v>
      </c>
      <c r="N633" s="338" t="s">
        <v>8319</v>
      </c>
      <c r="O633" s="337">
        <v>0</v>
      </c>
      <c r="P633" s="337">
        <v>0</v>
      </c>
      <c r="Q633" s="338" t="s">
        <v>8319</v>
      </c>
      <c r="R633" s="338" t="s">
        <v>6088</v>
      </c>
      <c r="S633" s="338" t="s">
        <v>92</v>
      </c>
      <c r="T633" s="338"/>
      <c r="U633" s="338" t="s">
        <v>6802</v>
      </c>
      <c r="V633" s="337">
        <v>0</v>
      </c>
      <c r="W633" s="337">
        <v>0</v>
      </c>
      <c r="X633" s="338"/>
      <c r="Y633" s="338" t="s">
        <v>6318</v>
      </c>
      <c r="Z633" s="338" t="s">
        <v>6521</v>
      </c>
      <c r="AA633" s="338" t="s">
        <v>6079</v>
      </c>
      <c r="AB633" s="338"/>
      <c r="AC633" s="338" t="s">
        <v>6091</v>
      </c>
      <c r="AD633" s="338" t="s">
        <v>6719</v>
      </c>
      <c r="AF633" s="502" t="str">
        <f>Table15[[#This Row],[code2]]</f>
        <v>PRL</v>
      </c>
      <c r="AG633" s="502" t="str">
        <f>Table15[[#This Row],[code5]]</f>
        <v>ILALVR</v>
      </c>
    </row>
    <row r="634" spans="1:33">
      <c r="A634" s="338" t="s">
        <v>6072</v>
      </c>
      <c r="B634" s="338" t="s">
        <v>6073</v>
      </c>
      <c r="C634" s="337">
        <v>1</v>
      </c>
      <c r="D634" s="338" t="s">
        <v>6513</v>
      </c>
      <c r="E634" s="338" t="s">
        <v>6514</v>
      </c>
      <c r="F634" s="337">
        <v>1</v>
      </c>
      <c r="G634" s="337">
        <v>1</v>
      </c>
      <c r="H634" s="338" t="s">
        <v>6515</v>
      </c>
      <c r="I634" s="338" t="s">
        <v>9548</v>
      </c>
      <c r="J634" s="338" t="s">
        <v>9551</v>
      </c>
      <c r="K634" s="338" t="s">
        <v>6516</v>
      </c>
      <c r="L634" s="338" t="s">
        <v>6517</v>
      </c>
      <c r="M634" s="338" t="s">
        <v>6801</v>
      </c>
      <c r="N634" s="338" t="s">
        <v>8319</v>
      </c>
      <c r="O634" s="337">
        <v>0</v>
      </c>
      <c r="P634" s="337">
        <v>0</v>
      </c>
      <c r="Q634" s="338" t="s">
        <v>8319</v>
      </c>
      <c r="R634" s="338" t="s">
        <v>6088</v>
      </c>
      <c r="S634" s="338" t="s">
        <v>92</v>
      </c>
      <c r="T634" s="338"/>
      <c r="U634" s="338" t="s">
        <v>6803</v>
      </c>
      <c r="V634" s="337">
        <v>0</v>
      </c>
      <c r="W634" s="337">
        <v>0</v>
      </c>
      <c r="X634" s="338"/>
      <c r="Y634" s="338" t="s">
        <v>6318</v>
      </c>
      <c r="Z634" s="338" t="s">
        <v>8013</v>
      </c>
      <c r="AA634" s="338" t="s">
        <v>6079</v>
      </c>
      <c r="AB634" s="338"/>
      <c r="AC634" s="338" t="s">
        <v>6091</v>
      </c>
      <c r="AD634" s="338" t="s">
        <v>6721</v>
      </c>
      <c r="AF634" s="502" t="str">
        <f>Table15[[#This Row],[code2]]</f>
        <v>PRL</v>
      </c>
      <c r="AG634" s="502" t="str">
        <f>Table15[[#This Row],[code5]]</f>
        <v>ILALVR</v>
      </c>
    </row>
    <row r="635" spans="1:33">
      <c r="A635" s="338" t="s">
        <v>6072</v>
      </c>
      <c r="B635" s="338" t="s">
        <v>6073</v>
      </c>
      <c r="C635" s="337">
        <v>1</v>
      </c>
      <c r="D635" s="338" t="s">
        <v>6513</v>
      </c>
      <c r="E635" s="338" t="s">
        <v>6514</v>
      </c>
      <c r="F635" s="337">
        <v>1</v>
      </c>
      <c r="G635" s="337">
        <v>1</v>
      </c>
      <c r="H635" s="338" t="s">
        <v>6515</v>
      </c>
      <c r="I635" s="338" t="s">
        <v>9548</v>
      </c>
      <c r="J635" s="338" t="s">
        <v>9551</v>
      </c>
      <c r="K635" s="338" t="s">
        <v>6516</v>
      </c>
      <c r="L635" s="338" t="s">
        <v>6517</v>
      </c>
      <c r="M635" s="338" t="s">
        <v>6801</v>
      </c>
      <c r="N635" s="338" t="s">
        <v>8319</v>
      </c>
      <c r="O635" s="337">
        <v>0</v>
      </c>
      <c r="P635" s="337">
        <v>0</v>
      </c>
      <c r="Q635" s="338" t="s">
        <v>8319</v>
      </c>
      <c r="R635" s="338" t="s">
        <v>6088</v>
      </c>
      <c r="S635" s="338" t="s">
        <v>92</v>
      </c>
      <c r="T635" s="338"/>
      <c r="U635" s="338" t="s">
        <v>6804</v>
      </c>
      <c r="V635" s="337">
        <v>0</v>
      </c>
      <c r="W635" s="337">
        <v>0</v>
      </c>
      <c r="X635" s="338"/>
      <c r="Y635" s="338" t="s">
        <v>6318</v>
      </c>
      <c r="Z635" s="338" t="s">
        <v>6522</v>
      </c>
      <c r="AA635" s="338" t="s">
        <v>6079</v>
      </c>
      <c r="AB635" s="338"/>
      <c r="AC635" s="338" t="s">
        <v>6091</v>
      </c>
      <c r="AD635" s="338" t="s">
        <v>6722</v>
      </c>
      <c r="AF635" s="502" t="str">
        <f>Table15[[#This Row],[code2]]</f>
        <v>PRL</v>
      </c>
      <c r="AG635" s="502" t="str">
        <f>Table15[[#This Row],[code5]]</f>
        <v>ILALVR</v>
      </c>
    </row>
    <row r="636" spans="1:33">
      <c r="A636" s="338" t="s">
        <v>6072</v>
      </c>
      <c r="B636" s="338" t="s">
        <v>6073</v>
      </c>
      <c r="C636" s="337">
        <v>1</v>
      </c>
      <c r="D636" s="338" t="s">
        <v>6513</v>
      </c>
      <c r="E636" s="338" t="s">
        <v>6514</v>
      </c>
      <c r="F636" s="337">
        <v>1</v>
      </c>
      <c r="G636" s="337">
        <v>1</v>
      </c>
      <c r="H636" s="338" t="s">
        <v>6515</v>
      </c>
      <c r="I636" s="338" t="s">
        <v>9548</v>
      </c>
      <c r="J636" s="338" t="s">
        <v>9551</v>
      </c>
      <c r="K636" s="338" t="s">
        <v>6516</v>
      </c>
      <c r="L636" s="338" t="s">
        <v>6517</v>
      </c>
      <c r="M636" s="338" t="s">
        <v>6801</v>
      </c>
      <c r="N636" s="338" t="s">
        <v>8319</v>
      </c>
      <c r="O636" s="337">
        <v>0</v>
      </c>
      <c r="P636" s="337">
        <v>0</v>
      </c>
      <c r="Q636" s="338" t="s">
        <v>8319</v>
      </c>
      <c r="R636" s="338" t="s">
        <v>6088</v>
      </c>
      <c r="S636" s="338" t="s">
        <v>92</v>
      </c>
      <c r="T636" s="338"/>
      <c r="U636" s="338" t="s">
        <v>6805</v>
      </c>
      <c r="V636" s="337">
        <v>0</v>
      </c>
      <c r="W636" s="337">
        <v>0</v>
      </c>
      <c r="X636" s="338"/>
      <c r="Y636" s="338" t="s">
        <v>6318</v>
      </c>
      <c r="Z636" s="338" t="s">
        <v>8020</v>
      </c>
      <c r="AA636" s="338" t="s">
        <v>6079</v>
      </c>
      <c r="AB636" s="338"/>
      <c r="AC636" s="338" t="s">
        <v>6091</v>
      </c>
      <c r="AD636" s="338" t="s">
        <v>6724</v>
      </c>
      <c r="AF636" s="502" t="str">
        <f>Table15[[#This Row],[code2]]</f>
        <v>PRL</v>
      </c>
      <c r="AG636" s="502" t="str">
        <f>Table15[[#This Row],[code5]]</f>
        <v>ILALVR</v>
      </c>
    </row>
    <row r="637" spans="1:33">
      <c r="A637" s="338" t="s">
        <v>6072</v>
      </c>
      <c r="B637" s="338" t="s">
        <v>6073</v>
      </c>
      <c r="C637" s="337">
        <v>1</v>
      </c>
      <c r="D637" s="338" t="s">
        <v>6513</v>
      </c>
      <c r="E637" s="338" t="s">
        <v>6514</v>
      </c>
      <c r="F637" s="337">
        <v>1</v>
      </c>
      <c r="G637" s="337">
        <v>1</v>
      </c>
      <c r="H637" s="338" t="s">
        <v>6515</v>
      </c>
      <c r="I637" s="338" t="s">
        <v>9548</v>
      </c>
      <c r="J637" s="338" t="s">
        <v>9551</v>
      </c>
      <c r="K637" s="338" t="s">
        <v>6516</v>
      </c>
      <c r="L637" s="338" t="s">
        <v>6517</v>
      </c>
      <c r="M637" s="338" t="s">
        <v>6801</v>
      </c>
      <c r="N637" s="338" t="s">
        <v>8319</v>
      </c>
      <c r="O637" s="337">
        <v>0</v>
      </c>
      <c r="P637" s="337">
        <v>0</v>
      </c>
      <c r="Q637" s="338" t="s">
        <v>8319</v>
      </c>
      <c r="R637" s="338" t="s">
        <v>6088</v>
      </c>
      <c r="S637" s="338" t="s">
        <v>92</v>
      </c>
      <c r="T637" s="338"/>
      <c r="U637" s="338" t="s">
        <v>6806</v>
      </c>
      <c r="V637" s="337">
        <v>0</v>
      </c>
      <c r="W637" s="337">
        <v>0</v>
      </c>
      <c r="X637" s="338"/>
      <c r="Y637" s="338" t="s">
        <v>6318</v>
      </c>
      <c r="Z637" s="338" t="s">
        <v>7749</v>
      </c>
      <c r="AA637" s="338" t="s">
        <v>6079</v>
      </c>
      <c r="AB637" s="338"/>
      <c r="AC637" s="338" t="s">
        <v>6096</v>
      </c>
      <c r="AD637" s="338" t="s">
        <v>6719</v>
      </c>
      <c r="AF637" s="502" t="str">
        <f>Table15[[#This Row],[code2]]</f>
        <v>PRL</v>
      </c>
      <c r="AG637" s="502" t="str">
        <f>Table15[[#This Row],[code5]]</f>
        <v>ILALVR</v>
      </c>
    </row>
    <row r="638" spans="1:33">
      <c r="A638" s="338" t="s">
        <v>6072</v>
      </c>
      <c r="B638" s="338" t="s">
        <v>6073</v>
      </c>
      <c r="C638" s="337">
        <v>1</v>
      </c>
      <c r="D638" s="338" t="s">
        <v>6513</v>
      </c>
      <c r="E638" s="338" t="s">
        <v>6514</v>
      </c>
      <c r="F638" s="337">
        <v>1</v>
      </c>
      <c r="G638" s="337">
        <v>1</v>
      </c>
      <c r="H638" s="338" t="s">
        <v>6515</v>
      </c>
      <c r="I638" s="338" t="s">
        <v>9548</v>
      </c>
      <c r="J638" s="338" t="s">
        <v>9551</v>
      </c>
      <c r="K638" s="338" t="s">
        <v>6516</v>
      </c>
      <c r="L638" s="338" t="s">
        <v>6517</v>
      </c>
      <c r="M638" s="338" t="s">
        <v>6801</v>
      </c>
      <c r="N638" s="338" t="s">
        <v>8319</v>
      </c>
      <c r="O638" s="337">
        <v>0</v>
      </c>
      <c r="P638" s="337">
        <v>0</v>
      </c>
      <c r="Q638" s="338" t="s">
        <v>8319</v>
      </c>
      <c r="R638" s="338" t="s">
        <v>6088</v>
      </c>
      <c r="S638" s="338" t="s">
        <v>92</v>
      </c>
      <c r="T638" s="338"/>
      <c r="U638" s="338" t="s">
        <v>6807</v>
      </c>
      <c r="V638" s="337">
        <v>0</v>
      </c>
      <c r="W638" s="337">
        <v>0</v>
      </c>
      <c r="X638" s="338"/>
      <c r="Y638" s="338" t="s">
        <v>6318</v>
      </c>
      <c r="Z638" s="338" t="s">
        <v>8294</v>
      </c>
      <c r="AA638" s="338" t="s">
        <v>6079</v>
      </c>
      <c r="AB638" s="338"/>
      <c r="AC638" s="338" t="s">
        <v>6096</v>
      </c>
      <c r="AD638" s="338" t="s">
        <v>6721</v>
      </c>
      <c r="AF638" s="502" t="str">
        <f>Table15[[#This Row],[code2]]</f>
        <v>PRL</v>
      </c>
      <c r="AG638" s="502" t="str">
        <f>Table15[[#This Row],[code5]]</f>
        <v>ILALVR</v>
      </c>
    </row>
    <row r="639" spans="1:33">
      <c r="A639" s="338" t="s">
        <v>6072</v>
      </c>
      <c r="B639" s="338" t="s">
        <v>6073</v>
      </c>
      <c r="C639" s="337">
        <v>1</v>
      </c>
      <c r="D639" s="338" t="s">
        <v>6513</v>
      </c>
      <c r="E639" s="338" t="s">
        <v>6514</v>
      </c>
      <c r="F639" s="337">
        <v>1</v>
      </c>
      <c r="G639" s="337">
        <v>1</v>
      </c>
      <c r="H639" s="338" t="s">
        <v>6515</v>
      </c>
      <c r="I639" s="338" t="s">
        <v>9548</v>
      </c>
      <c r="J639" s="338" t="s">
        <v>9551</v>
      </c>
      <c r="K639" s="338" t="s">
        <v>6516</v>
      </c>
      <c r="L639" s="338" t="s">
        <v>6517</v>
      </c>
      <c r="M639" s="338" t="s">
        <v>6801</v>
      </c>
      <c r="N639" s="338" t="s">
        <v>8319</v>
      </c>
      <c r="O639" s="337">
        <v>0</v>
      </c>
      <c r="P639" s="337">
        <v>0</v>
      </c>
      <c r="Q639" s="338" t="s">
        <v>8319</v>
      </c>
      <c r="R639" s="338" t="s">
        <v>6088</v>
      </c>
      <c r="S639" s="338" t="s">
        <v>92</v>
      </c>
      <c r="T639" s="338"/>
      <c r="U639" s="338" t="s">
        <v>6808</v>
      </c>
      <c r="V639" s="337">
        <v>0</v>
      </c>
      <c r="W639" s="337">
        <v>0</v>
      </c>
      <c r="X639" s="338"/>
      <c r="Y639" s="338" t="s">
        <v>6318</v>
      </c>
      <c r="Z639" s="338" t="s">
        <v>8027</v>
      </c>
      <c r="AA639" s="338" t="s">
        <v>6079</v>
      </c>
      <c r="AB639" s="338"/>
      <c r="AC639" s="338" t="s">
        <v>6096</v>
      </c>
      <c r="AD639" s="338" t="s">
        <v>6722</v>
      </c>
      <c r="AF639" s="502" t="str">
        <f>Table15[[#This Row],[code2]]</f>
        <v>PRL</v>
      </c>
      <c r="AG639" s="502" t="str">
        <f>Table15[[#This Row],[code5]]</f>
        <v>ILALVR</v>
      </c>
    </row>
    <row r="640" spans="1:33">
      <c r="A640" s="338" t="s">
        <v>6072</v>
      </c>
      <c r="B640" s="338" t="s">
        <v>6073</v>
      </c>
      <c r="C640" s="337">
        <v>1</v>
      </c>
      <c r="D640" s="338" t="s">
        <v>6513</v>
      </c>
      <c r="E640" s="338" t="s">
        <v>6514</v>
      </c>
      <c r="F640" s="337">
        <v>1</v>
      </c>
      <c r="G640" s="337">
        <v>1</v>
      </c>
      <c r="H640" s="338" t="s">
        <v>6515</v>
      </c>
      <c r="I640" s="338" t="s">
        <v>9548</v>
      </c>
      <c r="J640" s="338" t="s">
        <v>9551</v>
      </c>
      <c r="K640" s="338" t="s">
        <v>6516</v>
      </c>
      <c r="L640" s="338" t="s">
        <v>6517</v>
      </c>
      <c r="M640" s="338" t="s">
        <v>6801</v>
      </c>
      <c r="N640" s="338" t="s">
        <v>8319</v>
      </c>
      <c r="O640" s="337">
        <v>0</v>
      </c>
      <c r="P640" s="337">
        <v>0</v>
      </c>
      <c r="Q640" s="338" t="s">
        <v>8319</v>
      </c>
      <c r="R640" s="338" t="s">
        <v>6088</v>
      </c>
      <c r="S640" s="338" t="s">
        <v>92</v>
      </c>
      <c r="T640" s="338"/>
      <c r="U640" s="338" t="s">
        <v>6809</v>
      </c>
      <c r="V640" s="337">
        <v>0</v>
      </c>
      <c r="W640" s="337">
        <v>0</v>
      </c>
      <c r="X640" s="338"/>
      <c r="Y640" s="338" t="s">
        <v>6318</v>
      </c>
      <c r="Z640" s="338" t="s">
        <v>8128</v>
      </c>
      <c r="AA640" s="338" t="s">
        <v>6079</v>
      </c>
      <c r="AB640" s="338"/>
      <c r="AC640" s="338" t="s">
        <v>6096</v>
      </c>
      <c r="AD640" s="338" t="s">
        <v>6724</v>
      </c>
      <c r="AF640" s="502" t="str">
        <f>Table15[[#This Row],[code2]]</f>
        <v>PRL</v>
      </c>
      <c r="AG640" s="502" t="str">
        <f>Table15[[#This Row],[code5]]</f>
        <v>ILALVR</v>
      </c>
    </row>
    <row r="641" spans="1:33">
      <c r="A641" s="338" t="s">
        <v>6072</v>
      </c>
      <c r="B641" s="338" t="s">
        <v>6073</v>
      </c>
      <c r="C641" s="337">
        <v>1</v>
      </c>
      <c r="D641" s="338" t="s">
        <v>6513</v>
      </c>
      <c r="E641" s="338" t="s">
        <v>6514</v>
      </c>
      <c r="F641" s="337">
        <v>1</v>
      </c>
      <c r="G641" s="337">
        <v>1</v>
      </c>
      <c r="H641" s="338" t="s">
        <v>6515</v>
      </c>
      <c r="I641" s="338" t="s">
        <v>9548</v>
      </c>
      <c r="J641" s="338" t="s">
        <v>9551</v>
      </c>
      <c r="K641" s="338" t="s">
        <v>6516</v>
      </c>
      <c r="L641" s="338" t="s">
        <v>6517</v>
      </c>
      <c r="M641" s="338" t="s">
        <v>6801</v>
      </c>
      <c r="N641" s="338" t="s">
        <v>8319</v>
      </c>
      <c r="O641" s="337">
        <v>0</v>
      </c>
      <c r="P641" s="337">
        <v>0</v>
      </c>
      <c r="Q641" s="338" t="s">
        <v>8319</v>
      </c>
      <c r="R641" s="338" t="s">
        <v>6088</v>
      </c>
      <c r="S641" s="338" t="s">
        <v>92</v>
      </c>
      <c r="T641" s="338"/>
      <c r="U641" s="338" t="s">
        <v>6810</v>
      </c>
      <c r="V641" s="337">
        <v>0</v>
      </c>
      <c r="W641" s="337">
        <v>0</v>
      </c>
      <c r="X641" s="338"/>
      <c r="Y641" s="338" t="s">
        <v>6318</v>
      </c>
      <c r="Z641" s="338" t="s">
        <v>8011</v>
      </c>
      <c r="AA641" s="338" t="s">
        <v>6079</v>
      </c>
      <c r="AB641" s="338"/>
      <c r="AC641" s="338" t="s">
        <v>6101</v>
      </c>
      <c r="AD641" s="338" t="s">
        <v>6719</v>
      </c>
      <c r="AF641" s="502" t="str">
        <f>Table15[[#This Row],[code2]]</f>
        <v>PRL</v>
      </c>
      <c r="AG641" s="502" t="str">
        <f>Table15[[#This Row],[code5]]</f>
        <v>ILALVR</v>
      </c>
    </row>
    <row r="642" spans="1:33">
      <c r="A642" s="338" t="s">
        <v>6072</v>
      </c>
      <c r="B642" s="338" t="s">
        <v>6073</v>
      </c>
      <c r="C642" s="337">
        <v>1</v>
      </c>
      <c r="D642" s="338" t="s">
        <v>6513</v>
      </c>
      <c r="E642" s="338" t="s">
        <v>6514</v>
      </c>
      <c r="F642" s="337">
        <v>1</v>
      </c>
      <c r="G642" s="337">
        <v>1</v>
      </c>
      <c r="H642" s="338" t="s">
        <v>6515</v>
      </c>
      <c r="I642" s="338" t="s">
        <v>9548</v>
      </c>
      <c r="J642" s="338" t="s">
        <v>9551</v>
      </c>
      <c r="K642" s="338" t="s">
        <v>6516</v>
      </c>
      <c r="L642" s="338" t="s">
        <v>6517</v>
      </c>
      <c r="M642" s="338" t="s">
        <v>6801</v>
      </c>
      <c r="N642" s="338" t="s">
        <v>8319</v>
      </c>
      <c r="O642" s="337">
        <v>0</v>
      </c>
      <c r="P642" s="337">
        <v>0</v>
      </c>
      <c r="Q642" s="338" t="s">
        <v>8319</v>
      </c>
      <c r="R642" s="338" t="s">
        <v>6088</v>
      </c>
      <c r="S642" s="338" t="s">
        <v>92</v>
      </c>
      <c r="T642" s="338"/>
      <c r="U642" s="338" t="s">
        <v>6811</v>
      </c>
      <c r="V642" s="337">
        <v>0</v>
      </c>
      <c r="W642" s="337">
        <v>0</v>
      </c>
      <c r="X642" s="338"/>
      <c r="Y642" s="338" t="s">
        <v>6318</v>
      </c>
      <c r="Z642" s="338" t="s">
        <v>8295</v>
      </c>
      <c r="AA642" s="338" t="s">
        <v>6079</v>
      </c>
      <c r="AB642" s="338"/>
      <c r="AC642" s="338" t="s">
        <v>6101</v>
      </c>
      <c r="AD642" s="338" t="s">
        <v>6721</v>
      </c>
      <c r="AF642" s="502" t="str">
        <f>Table15[[#This Row],[code2]]</f>
        <v>PRL</v>
      </c>
      <c r="AG642" s="502" t="str">
        <f>Table15[[#This Row],[code5]]</f>
        <v>ILALVR</v>
      </c>
    </row>
    <row r="643" spans="1:33">
      <c r="A643" s="338" t="s">
        <v>6072</v>
      </c>
      <c r="B643" s="338" t="s">
        <v>6073</v>
      </c>
      <c r="C643" s="337">
        <v>1</v>
      </c>
      <c r="D643" s="338" t="s">
        <v>6513</v>
      </c>
      <c r="E643" s="338" t="s">
        <v>6514</v>
      </c>
      <c r="F643" s="337">
        <v>1</v>
      </c>
      <c r="G643" s="337">
        <v>1</v>
      </c>
      <c r="H643" s="338" t="s">
        <v>6515</v>
      </c>
      <c r="I643" s="338" t="s">
        <v>9548</v>
      </c>
      <c r="J643" s="338" t="s">
        <v>9551</v>
      </c>
      <c r="K643" s="338" t="s">
        <v>6516</v>
      </c>
      <c r="L643" s="338" t="s">
        <v>6517</v>
      </c>
      <c r="M643" s="338" t="s">
        <v>6801</v>
      </c>
      <c r="N643" s="338" t="s">
        <v>8319</v>
      </c>
      <c r="O643" s="337">
        <v>0</v>
      </c>
      <c r="P643" s="337">
        <v>0</v>
      </c>
      <c r="Q643" s="338" t="s">
        <v>8319</v>
      </c>
      <c r="R643" s="338" t="s">
        <v>6088</v>
      </c>
      <c r="S643" s="338" t="s">
        <v>92</v>
      </c>
      <c r="T643" s="338"/>
      <c r="U643" s="338" t="s">
        <v>6812</v>
      </c>
      <c r="V643" s="337">
        <v>0</v>
      </c>
      <c r="W643" s="337">
        <v>0</v>
      </c>
      <c r="X643" s="338"/>
      <c r="Y643" s="338" t="s">
        <v>6318</v>
      </c>
      <c r="Z643" s="338" t="s">
        <v>8010</v>
      </c>
      <c r="AA643" s="338" t="s">
        <v>6079</v>
      </c>
      <c r="AB643" s="338"/>
      <c r="AC643" s="338" t="s">
        <v>6101</v>
      </c>
      <c r="AD643" s="338" t="s">
        <v>6722</v>
      </c>
      <c r="AF643" s="502" t="str">
        <f>Table15[[#This Row],[code2]]</f>
        <v>PRL</v>
      </c>
      <c r="AG643" s="502" t="str">
        <f>Table15[[#This Row],[code5]]</f>
        <v>ILALVR</v>
      </c>
    </row>
    <row r="644" spans="1:33">
      <c r="A644" s="338" t="s">
        <v>6072</v>
      </c>
      <c r="B644" s="338" t="s">
        <v>6073</v>
      </c>
      <c r="C644" s="337">
        <v>1</v>
      </c>
      <c r="D644" s="338" t="s">
        <v>6513</v>
      </c>
      <c r="E644" s="338" t="s">
        <v>6514</v>
      </c>
      <c r="F644" s="337">
        <v>1</v>
      </c>
      <c r="G644" s="337">
        <v>1</v>
      </c>
      <c r="H644" s="338" t="s">
        <v>6515</v>
      </c>
      <c r="I644" s="338" t="s">
        <v>9548</v>
      </c>
      <c r="J644" s="338" t="s">
        <v>9551</v>
      </c>
      <c r="K644" s="338" t="s">
        <v>6516</v>
      </c>
      <c r="L644" s="338" t="s">
        <v>6517</v>
      </c>
      <c r="M644" s="338" t="s">
        <v>6801</v>
      </c>
      <c r="N644" s="338" t="s">
        <v>8319</v>
      </c>
      <c r="O644" s="337">
        <v>0</v>
      </c>
      <c r="P644" s="337">
        <v>0</v>
      </c>
      <c r="Q644" s="338" t="s">
        <v>8319</v>
      </c>
      <c r="R644" s="338" t="s">
        <v>6088</v>
      </c>
      <c r="S644" s="338" t="s">
        <v>92</v>
      </c>
      <c r="T644" s="338"/>
      <c r="U644" s="338" t="s">
        <v>6813</v>
      </c>
      <c r="V644" s="337">
        <v>0</v>
      </c>
      <c r="W644" s="337">
        <v>0</v>
      </c>
      <c r="X644" s="338"/>
      <c r="Y644" s="338" t="s">
        <v>6318</v>
      </c>
      <c r="Z644" s="338" t="s">
        <v>8281</v>
      </c>
      <c r="AA644" s="338" t="s">
        <v>6079</v>
      </c>
      <c r="AB644" s="338"/>
      <c r="AC644" s="338" t="s">
        <v>6101</v>
      </c>
      <c r="AD644" s="338" t="s">
        <v>6724</v>
      </c>
      <c r="AF644" s="502" t="str">
        <f>Table15[[#This Row],[code2]]</f>
        <v>PRL</v>
      </c>
      <c r="AG644" s="502" t="str">
        <f>Table15[[#This Row],[code5]]</f>
        <v>ILALVR</v>
      </c>
    </row>
    <row r="645" spans="1:33">
      <c r="A645" s="338" t="s">
        <v>6072</v>
      </c>
      <c r="B645" s="338" t="s">
        <v>6073</v>
      </c>
      <c r="C645" s="337">
        <v>1</v>
      </c>
      <c r="D645" s="338" t="s">
        <v>6513</v>
      </c>
      <c r="E645" s="338" t="s">
        <v>6514</v>
      </c>
      <c r="F645" s="337">
        <v>1</v>
      </c>
      <c r="G645" s="337">
        <v>1</v>
      </c>
      <c r="H645" s="338" t="s">
        <v>6515</v>
      </c>
      <c r="I645" s="338" t="s">
        <v>9548</v>
      </c>
      <c r="J645" s="338" t="s">
        <v>9551</v>
      </c>
      <c r="K645" s="338" t="s">
        <v>6516</v>
      </c>
      <c r="L645" s="338" t="s">
        <v>6517</v>
      </c>
      <c r="M645" s="338" t="s">
        <v>6801</v>
      </c>
      <c r="N645" s="338" t="s">
        <v>8319</v>
      </c>
      <c r="O645" s="337">
        <v>0</v>
      </c>
      <c r="P645" s="337">
        <v>0</v>
      </c>
      <c r="Q645" s="338" t="s">
        <v>8319</v>
      </c>
      <c r="R645" s="338" t="s">
        <v>6088</v>
      </c>
      <c r="S645" s="338" t="s">
        <v>92</v>
      </c>
      <c r="T645" s="338"/>
      <c r="U645" s="338" t="s">
        <v>6814</v>
      </c>
      <c r="V645" s="337">
        <v>0</v>
      </c>
      <c r="W645" s="337">
        <v>0</v>
      </c>
      <c r="X645" s="338"/>
      <c r="Y645" s="338" t="s">
        <v>6318</v>
      </c>
      <c r="Z645" s="338" t="s">
        <v>8014</v>
      </c>
      <c r="AA645" s="338" t="s">
        <v>6079</v>
      </c>
      <c r="AB645" s="338"/>
      <c r="AC645" s="338" t="s">
        <v>6106</v>
      </c>
      <c r="AD645" s="338" t="s">
        <v>6719</v>
      </c>
      <c r="AF645" s="502" t="str">
        <f>Table15[[#This Row],[code2]]</f>
        <v>PRL</v>
      </c>
      <c r="AG645" s="502" t="str">
        <f>Table15[[#This Row],[code5]]</f>
        <v>ILALVR</v>
      </c>
    </row>
    <row r="646" spans="1:33">
      <c r="A646" s="338" t="s">
        <v>6072</v>
      </c>
      <c r="B646" s="338" t="s">
        <v>6073</v>
      </c>
      <c r="C646" s="337">
        <v>1</v>
      </c>
      <c r="D646" s="338" t="s">
        <v>6513</v>
      </c>
      <c r="E646" s="338" t="s">
        <v>6514</v>
      </c>
      <c r="F646" s="337">
        <v>1</v>
      </c>
      <c r="G646" s="337">
        <v>1</v>
      </c>
      <c r="H646" s="338" t="s">
        <v>6515</v>
      </c>
      <c r="I646" s="338" t="s">
        <v>9548</v>
      </c>
      <c r="J646" s="338" t="s">
        <v>9551</v>
      </c>
      <c r="K646" s="338" t="s">
        <v>6516</v>
      </c>
      <c r="L646" s="338" t="s">
        <v>6517</v>
      </c>
      <c r="M646" s="338" t="s">
        <v>6801</v>
      </c>
      <c r="N646" s="338" t="s">
        <v>8319</v>
      </c>
      <c r="O646" s="337">
        <v>0</v>
      </c>
      <c r="P646" s="337">
        <v>0</v>
      </c>
      <c r="Q646" s="338" t="s">
        <v>8319</v>
      </c>
      <c r="R646" s="338" t="s">
        <v>6088</v>
      </c>
      <c r="S646" s="338" t="s">
        <v>92</v>
      </c>
      <c r="T646" s="338"/>
      <c r="U646" s="338" t="s">
        <v>6815</v>
      </c>
      <c r="V646" s="337">
        <v>0</v>
      </c>
      <c r="W646" s="337">
        <v>0</v>
      </c>
      <c r="X646" s="338"/>
      <c r="Y646" s="338" t="s">
        <v>6318</v>
      </c>
      <c r="Z646" s="338" t="s">
        <v>7969</v>
      </c>
      <c r="AA646" s="338" t="s">
        <v>6079</v>
      </c>
      <c r="AB646" s="338"/>
      <c r="AC646" s="338" t="s">
        <v>6106</v>
      </c>
      <c r="AD646" s="338" t="s">
        <v>6721</v>
      </c>
      <c r="AF646" s="502" t="str">
        <f>Table15[[#This Row],[code2]]</f>
        <v>PRL</v>
      </c>
      <c r="AG646" s="502" t="str">
        <f>Table15[[#This Row],[code5]]</f>
        <v>ILALVR</v>
      </c>
    </row>
    <row r="647" spans="1:33">
      <c r="A647" s="338" t="s">
        <v>6072</v>
      </c>
      <c r="B647" s="338" t="s">
        <v>6073</v>
      </c>
      <c r="C647" s="337">
        <v>1</v>
      </c>
      <c r="D647" s="338" t="s">
        <v>6513</v>
      </c>
      <c r="E647" s="338" t="s">
        <v>6514</v>
      </c>
      <c r="F647" s="337">
        <v>1</v>
      </c>
      <c r="G647" s="337">
        <v>1</v>
      </c>
      <c r="H647" s="338" t="s">
        <v>6515</v>
      </c>
      <c r="I647" s="338" t="s">
        <v>9548</v>
      </c>
      <c r="J647" s="338" t="s">
        <v>9551</v>
      </c>
      <c r="K647" s="338" t="s">
        <v>6516</v>
      </c>
      <c r="L647" s="338" t="s">
        <v>6517</v>
      </c>
      <c r="M647" s="338" t="s">
        <v>6801</v>
      </c>
      <c r="N647" s="338" t="s">
        <v>8319</v>
      </c>
      <c r="O647" s="337">
        <v>0</v>
      </c>
      <c r="P647" s="337">
        <v>0</v>
      </c>
      <c r="Q647" s="338" t="s">
        <v>8319</v>
      </c>
      <c r="R647" s="338" t="s">
        <v>6088</v>
      </c>
      <c r="S647" s="338" t="s">
        <v>92</v>
      </c>
      <c r="T647" s="338"/>
      <c r="U647" s="338" t="s">
        <v>6816</v>
      </c>
      <c r="V647" s="337">
        <v>0</v>
      </c>
      <c r="W647" s="337">
        <v>0</v>
      </c>
      <c r="X647" s="338"/>
      <c r="Y647" s="338" t="s">
        <v>6318</v>
      </c>
      <c r="Z647" s="338" t="s">
        <v>7916</v>
      </c>
      <c r="AA647" s="338" t="s">
        <v>6079</v>
      </c>
      <c r="AB647" s="338"/>
      <c r="AC647" s="338" t="s">
        <v>6106</v>
      </c>
      <c r="AD647" s="338" t="s">
        <v>6722</v>
      </c>
      <c r="AF647" s="502" t="str">
        <f>Table15[[#This Row],[code2]]</f>
        <v>PRL</v>
      </c>
      <c r="AG647" s="502" t="str">
        <f>Table15[[#This Row],[code5]]</f>
        <v>ILALVR</v>
      </c>
    </row>
    <row r="648" spans="1:33">
      <c r="A648" s="338" t="s">
        <v>6072</v>
      </c>
      <c r="B648" s="338" t="s">
        <v>6073</v>
      </c>
      <c r="C648" s="337">
        <v>1</v>
      </c>
      <c r="D648" s="338" t="s">
        <v>6513</v>
      </c>
      <c r="E648" s="338" t="s">
        <v>6514</v>
      </c>
      <c r="F648" s="337">
        <v>1</v>
      </c>
      <c r="G648" s="337">
        <v>1</v>
      </c>
      <c r="H648" s="338" t="s">
        <v>6515</v>
      </c>
      <c r="I648" s="338" t="s">
        <v>9548</v>
      </c>
      <c r="J648" s="338" t="s">
        <v>9551</v>
      </c>
      <c r="K648" s="338" t="s">
        <v>6516</v>
      </c>
      <c r="L648" s="338" t="s">
        <v>6517</v>
      </c>
      <c r="M648" s="338" t="s">
        <v>6801</v>
      </c>
      <c r="N648" s="338" t="s">
        <v>8319</v>
      </c>
      <c r="O648" s="337">
        <v>0</v>
      </c>
      <c r="P648" s="337">
        <v>0</v>
      </c>
      <c r="Q648" s="338" t="s">
        <v>8319</v>
      </c>
      <c r="R648" s="338" t="s">
        <v>6088</v>
      </c>
      <c r="S648" s="338" t="s">
        <v>92</v>
      </c>
      <c r="T648" s="338"/>
      <c r="U648" s="338" t="s">
        <v>6817</v>
      </c>
      <c r="V648" s="337">
        <v>0</v>
      </c>
      <c r="W648" s="337">
        <v>0</v>
      </c>
      <c r="X648" s="338"/>
      <c r="Y648" s="338" t="s">
        <v>6318</v>
      </c>
      <c r="Z648" s="338" t="s">
        <v>8282</v>
      </c>
      <c r="AA648" s="338" t="s">
        <v>6079</v>
      </c>
      <c r="AB648" s="338"/>
      <c r="AC648" s="338" t="s">
        <v>6106</v>
      </c>
      <c r="AD648" s="338" t="s">
        <v>6724</v>
      </c>
      <c r="AF648" s="502" t="str">
        <f>Table15[[#This Row],[code2]]</f>
        <v>PRL</v>
      </c>
      <c r="AG648" s="502" t="str">
        <f>Table15[[#This Row],[code5]]</f>
        <v>ILALVR</v>
      </c>
    </row>
    <row r="649" spans="1:33">
      <c r="A649" s="338" t="s">
        <v>6072</v>
      </c>
      <c r="B649" s="338" t="s">
        <v>6073</v>
      </c>
      <c r="C649" s="337">
        <v>1</v>
      </c>
      <c r="D649" s="338" t="s">
        <v>6513</v>
      </c>
      <c r="E649" s="338" t="s">
        <v>6514</v>
      </c>
      <c r="F649" s="337">
        <v>1</v>
      </c>
      <c r="G649" s="337">
        <v>1</v>
      </c>
      <c r="H649" s="338" t="s">
        <v>6515</v>
      </c>
      <c r="I649" s="338" t="s">
        <v>9548</v>
      </c>
      <c r="J649" s="338" t="s">
        <v>9551</v>
      </c>
      <c r="K649" s="338" t="s">
        <v>6516</v>
      </c>
      <c r="L649" s="338" t="s">
        <v>6517</v>
      </c>
      <c r="M649" s="338" t="s">
        <v>6801</v>
      </c>
      <c r="N649" s="338" t="s">
        <v>8319</v>
      </c>
      <c r="O649" s="337">
        <v>0</v>
      </c>
      <c r="P649" s="337">
        <v>0</v>
      </c>
      <c r="Q649" s="338" t="s">
        <v>8319</v>
      </c>
      <c r="R649" s="338" t="s">
        <v>6088</v>
      </c>
      <c r="S649" s="338" t="s">
        <v>92</v>
      </c>
      <c r="T649" s="338"/>
      <c r="U649" s="338" t="s">
        <v>6818</v>
      </c>
      <c r="V649" s="337">
        <v>0</v>
      </c>
      <c r="W649" s="337">
        <v>0</v>
      </c>
      <c r="X649" s="338"/>
      <c r="Y649" s="338" t="s">
        <v>6318</v>
      </c>
      <c r="Z649" s="338" t="s">
        <v>8015</v>
      </c>
      <c r="AA649" s="338" t="s">
        <v>6079</v>
      </c>
      <c r="AB649" s="338"/>
      <c r="AC649" s="338" t="s">
        <v>6111</v>
      </c>
      <c r="AD649" s="338" t="s">
        <v>6719</v>
      </c>
      <c r="AF649" s="502" t="str">
        <f>Table15[[#This Row],[code2]]</f>
        <v>PRL</v>
      </c>
      <c r="AG649" s="502" t="str">
        <f>Table15[[#This Row],[code5]]</f>
        <v>ILALVR</v>
      </c>
    </row>
    <row r="650" spans="1:33">
      <c r="A650" s="338" t="s">
        <v>6072</v>
      </c>
      <c r="B650" s="338" t="s">
        <v>6073</v>
      </c>
      <c r="C650" s="337">
        <v>1</v>
      </c>
      <c r="D650" s="338" t="s">
        <v>6513</v>
      </c>
      <c r="E650" s="338" t="s">
        <v>6514</v>
      </c>
      <c r="F650" s="337">
        <v>1</v>
      </c>
      <c r="G650" s="337">
        <v>1</v>
      </c>
      <c r="H650" s="338" t="s">
        <v>6515</v>
      </c>
      <c r="I650" s="338" t="s">
        <v>9548</v>
      </c>
      <c r="J650" s="338" t="s">
        <v>9551</v>
      </c>
      <c r="K650" s="338" t="s">
        <v>6516</v>
      </c>
      <c r="L650" s="338" t="s">
        <v>6517</v>
      </c>
      <c r="M650" s="338" t="s">
        <v>6801</v>
      </c>
      <c r="N650" s="338" t="s">
        <v>8319</v>
      </c>
      <c r="O650" s="337">
        <v>0</v>
      </c>
      <c r="P650" s="337">
        <v>0</v>
      </c>
      <c r="Q650" s="338" t="s">
        <v>8319</v>
      </c>
      <c r="R650" s="338" t="s">
        <v>6088</v>
      </c>
      <c r="S650" s="338" t="s">
        <v>92</v>
      </c>
      <c r="T650" s="338"/>
      <c r="U650" s="338" t="s">
        <v>6819</v>
      </c>
      <c r="V650" s="337">
        <v>0</v>
      </c>
      <c r="W650" s="337">
        <v>0</v>
      </c>
      <c r="X650" s="338"/>
      <c r="Y650" s="338" t="s">
        <v>6318</v>
      </c>
      <c r="Z650" s="338" t="s">
        <v>8027</v>
      </c>
      <c r="AA650" s="338" t="s">
        <v>6079</v>
      </c>
      <c r="AB650" s="338"/>
      <c r="AC650" s="338" t="s">
        <v>6111</v>
      </c>
      <c r="AD650" s="338" t="s">
        <v>6721</v>
      </c>
      <c r="AF650" s="502" t="str">
        <f>Table15[[#This Row],[code2]]</f>
        <v>PRL</v>
      </c>
      <c r="AG650" s="502" t="str">
        <f>Table15[[#This Row],[code5]]</f>
        <v>ILALVR</v>
      </c>
    </row>
    <row r="651" spans="1:33">
      <c r="A651" s="338" t="s">
        <v>6072</v>
      </c>
      <c r="B651" s="338" t="s">
        <v>6073</v>
      </c>
      <c r="C651" s="337">
        <v>1</v>
      </c>
      <c r="D651" s="338" t="s">
        <v>6513</v>
      </c>
      <c r="E651" s="338" t="s">
        <v>6514</v>
      </c>
      <c r="F651" s="337">
        <v>1</v>
      </c>
      <c r="G651" s="337">
        <v>1</v>
      </c>
      <c r="H651" s="338" t="s">
        <v>6515</v>
      </c>
      <c r="I651" s="338" t="s">
        <v>9548</v>
      </c>
      <c r="J651" s="338" t="s">
        <v>9551</v>
      </c>
      <c r="K651" s="338" t="s">
        <v>6516</v>
      </c>
      <c r="L651" s="338" t="s">
        <v>6517</v>
      </c>
      <c r="M651" s="338" t="s">
        <v>6801</v>
      </c>
      <c r="N651" s="338" t="s">
        <v>8319</v>
      </c>
      <c r="O651" s="337">
        <v>0</v>
      </c>
      <c r="P651" s="337">
        <v>0</v>
      </c>
      <c r="Q651" s="338" t="s">
        <v>8319</v>
      </c>
      <c r="R651" s="338" t="s">
        <v>6088</v>
      </c>
      <c r="S651" s="338" t="s">
        <v>92</v>
      </c>
      <c r="T651" s="338"/>
      <c r="U651" s="338" t="s">
        <v>6820</v>
      </c>
      <c r="V651" s="337">
        <v>0</v>
      </c>
      <c r="W651" s="337">
        <v>0</v>
      </c>
      <c r="X651" s="338"/>
      <c r="Y651" s="338" t="s">
        <v>6318</v>
      </c>
      <c r="Z651" s="338" t="s">
        <v>8023</v>
      </c>
      <c r="AA651" s="338" t="s">
        <v>6079</v>
      </c>
      <c r="AB651" s="338"/>
      <c r="AC651" s="338" t="s">
        <v>6111</v>
      </c>
      <c r="AD651" s="338" t="s">
        <v>6722</v>
      </c>
      <c r="AF651" s="502" t="str">
        <f>Table15[[#This Row],[code2]]</f>
        <v>PRL</v>
      </c>
      <c r="AG651" s="502" t="str">
        <f>Table15[[#This Row],[code5]]</f>
        <v>ILALVR</v>
      </c>
    </row>
    <row r="652" spans="1:33">
      <c r="A652" s="338" t="s">
        <v>6072</v>
      </c>
      <c r="B652" s="338" t="s">
        <v>6073</v>
      </c>
      <c r="C652" s="337">
        <v>1</v>
      </c>
      <c r="D652" s="338" t="s">
        <v>6513</v>
      </c>
      <c r="E652" s="338" t="s">
        <v>6514</v>
      </c>
      <c r="F652" s="337">
        <v>1</v>
      </c>
      <c r="G652" s="337">
        <v>1</v>
      </c>
      <c r="H652" s="338" t="s">
        <v>6515</v>
      </c>
      <c r="I652" s="338" t="s">
        <v>9548</v>
      </c>
      <c r="J652" s="338" t="s">
        <v>9551</v>
      </c>
      <c r="K652" s="338" t="s">
        <v>6516</v>
      </c>
      <c r="L652" s="338" t="s">
        <v>6517</v>
      </c>
      <c r="M652" s="338" t="s">
        <v>6801</v>
      </c>
      <c r="N652" s="338" t="s">
        <v>8319</v>
      </c>
      <c r="O652" s="337">
        <v>0</v>
      </c>
      <c r="P652" s="337">
        <v>0</v>
      </c>
      <c r="Q652" s="338" t="s">
        <v>8319</v>
      </c>
      <c r="R652" s="338" t="s">
        <v>6088</v>
      </c>
      <c r="S652" s="338" t="s">
        <v>92</v>
      </c>
      <c r="T652" s="338"/>
      <c r="U652" s="338" t="s">
        <v>6821</v>
      </c>
      <c r="V652" s="337">
        <v>0</v>
      </c>
      <c r="W652" s="337">
        <v>0</v>
      </c>
      <c r="X652" s="338"/>
      <c r="Y652" s="338" t="s">
        <v>6318</v>
      </c>
      <c r="Z652" s="338" t="s">
        <v>8117</v>
      </c>
      <c r="AA652" s="338" t="s">
        <v>6079</v>
      </c>
      <c r="AB652" s="338"/>
      <c r="AC652" s="338" t="s">
        <v>6111</v>
      </c>
      <c r="AD652" s="338" t="s">
        <v>6724</v>
      </c>
      <c r="AF652" s="502" t="str">
        <f>Table15[[#This Row],[code2]]</f>
        <v>PRL</v>
      </c>
      <c r="AG652" s="502" t="str">
        <f>Table15[[#This Row],[code5]]</f>
        <v>ILALVR</v>
      </c>
    </row>
    <row r="653" spans="1:33">
      <c r="A653" s="338" t="s">
        <v>6072</v>
      </c>
      <c r="B653" s="338" t="s">
        <v>6073</v>
      </c>
      <c r="C653" s="337">
        <v>1</v>
      </c>
      <c r="D653" s="338" t="s">
        <v>6513</v>
      </c>
      <c r="E653" s="338" t="s">
        <v>6514</v>
      </c>
      <c r="F653" s="337">
        <v>1</v>
      </c>
      <c r="G653" s="337">
        <v>1</v>
      </c>
      <c r="H653" s="338" t="s">
        <v>6515</v>
      </c>
      <c r="I653" s="338" t="s">
        <v>9548</v>
      </c>
      <c r="J653" s="338" t="s">
        <v>9551</v>
      </c>
      <c r="K653" s="338" t="s">
        <v>6516</v>
      </c>
      <c r="L653" s="338" t="s">
        <v>6517</v>
      </c>
      <c r="M653" s="338" t="s">
        <v>6801</v>
      </c>
      <c r="N653" s="338" t="s">
        <v>8319</v>
      </c>
      <c r="O653" s="337">
        <v>0</v>
      </c>
      <c r="P653" s="337">
        <v>0</v>
      </c>
      <c r="Q653" s="338" t="s">
        <v>8319</v>
      </c>
      <c r="R653" s="338" t="s">
        <v>6088</v>
      </c>
      <c r="S653" s="338" t="s">
        <v>92</v>
      </c>
      <c r="T653" s="338"/>
      <c r="U653" s="338" t="s">
        <v>6822</v>
      </c>
      <c r="V653" s="337">
        <v>0</v>
      </c>
      <c r="W653" s="337">
        <v>0</v>
      </c>
      <c r="X653" s="338"/>
      <c r="Y653" s="338" t="s">
        <v>6318</v>
      </c>
      <c r="Z653" s="338" t="s">
        <v>6823</v>
      </c>
      <c r="AA653" s="338" t="s">
        <v>6079</v>
      </c>
      <c r="AB653" s="338"/>
      <c r="AC653" s="338" t="s">
        <v>6117</v>
      </c>
      <c r="AD653" s="338" t="s">
        <v>6719</v>
      </c>
      <c r="AF653" s="502" t="str">
        <f>Table15[[#This Row],[code2]]</f>
        <v>PRL</v>
      </c>
      <c r="AG653" s="502" t="str">
        <f>Table15[[#This Row],[code5]]</f>
        <v>ILALVR</v>
      </c>
    </row>
    <row r="654" spans="1:33">
      <c r="A654" s="338" t="s">
        <v>6072</v>
      </c>
      <c r="B654" s="338" t="s">
        <v>6073</v>
      </c>
      <c r="C654" s="337">
        <v>1</v>
      </c>
      <c r="D654" s="338" t="s">
        <v>6513</v>
      </c>
      <c r="E654" s="338" t="s">
        <v>6514</v>
      </c>
      <c r="F654" s="337">
        <v>1</v>
      </c>
      <c r="G654" s="337">
        <v>1</v>
      </c>
      <c r="H654" s="338" t="s">
        <v>6515</v>
      </c>
      <c r="I654" s="338" t="s">
        <v>9548</v>
      </c>
      <c r="J654" s="338" t="s">
        <v>9551</v>
      </c>
      <c r="K654" s="338" t="s">
        <v>6516</v>
      </c>
      <c r="L654" s="338" t="s">
        <v>6517</v>
      </c>
      <c r="M654" s="338" t="s">
        <v>6801</v>
      </c>
      <c r="N654" s="338" t="s">
        <v>8319</v>
      </c>
      <c r="O654" s="337">
        <v>0</v>
      </c>
      <c r="P654" s="337">
        <v>0</v>
      </c>
      <c r="Q654" s="338" t="s">
        <v>8319</v>
      </c>
      <c r="R654" s="338" t="s">
        <v>6088</v>
      </c>
      <c r="S654" s="338" t="s">
        <v>92</v>
      </c>
      <c r="T654" s="338"/>
      <c r="U654" s="338" t="s">
        <v>6824</v>
      </c>
      <c r="V654" s="337">
        <v>0</v>
      </c>
      <c r="W654" s="337">
        <v>0</v>
      </c>
      <c r="X654" s="338"/>
      <c r="Y654" s="338" t="s">
        <v>6318</v>
      </c>
      <c r="Z654" s="338" t="s">
        <v>8296</v>
      </c>
      <c r="AA654" s="338" t="s">
        <v>6079</v>
      </c>
      <c r="AB654" s="338"/>
      <c r="AC654" s="338" t="s">
        <v>6117</v>
      </c>
      <c r="AD654" s="338" t="s">
        <v>6721</v>
      </c>
      <c r="AF654" s="502" t="str">
        <f>Table15[[#This Row],[code2]]</f>
        <v>PRL</v>
      </c>
      <c r="AG654" s="502" t="str">
        <f>Table15[[#This Row],[code5]]</f>
        <v>ILALVR</v>
      </c>
    </row>
    <row r="655" spans="1:33">
      <c r="A655" s="338" t="s">
        <v>6072</v>
      </c>
      <c r="B655" s="338" t="s">
        <v>6073</v>
      </c>
      <c r="C655" s="337">
        <v>1</v>
      </c>
      <c r="D655" s="338" t="s">
        <v>6513</v>
      </c>
      <c r="E655" s="338" t="s">
        <v>6514</v>
      </c>
      <c r="F655" s="337">
        <v>1</v>
      </c>
      <c r="G655" s="337">
        <v>1</v>
      </c>
      <c r="H655" s="338" t="s">
        <v>6515</v>
      </c>
      <c r="I655" s="338" t="s">
        <v>9548</v>
      </c>
      <c r="J655" s="338" t="s">
        <v>9551</v>
      </c>
      <c r="K655" s="338" t="s">
        <v>6516</v>
      </c>
      <c r="L655" s="338" t="s">
        <v>6517</v>
      </c>
      <c r="M655" s="338" t="s">
        <v>6801</v>
      </c>
      <c r="N655" s="338" t="s">
        <v>8319</v>
      </c>
      <c r="O655" s="337">
        <v>0</v>
      </c>
      <c r="P655" s="337">
        <v>0</v>
      </c>
      <c r="Q655" s="338" t="s">
        <v>8319</v>
      </c>
      <c r="R655" s="338" t="s">
        <v>6088</v>
      </c>
      <c r="S655" s="338" t="s">
        <v>92</v>
      </c>
      <c r="T655" s="338"/>
      <c r="U655" s="338" t="s">
        <v>6825</v>
      </c>
      <c r="V655" s="337">
        <v>0</v>
      </c>
      <c r="W655" s="337">
        <v>0</v>
      </c>
      <c r="X655" s="338"/>
      <c r="Y655" s="338" t="s">
        <v>6318</v>
      </c>
      <c r="Z655" s="338" t="s">
        <v>6826</v>
      </c>
      <c r="AA655" s="338" t="s">
        <v>6079</v>
      </c>
      <c r="AB655" s="338"/>
      <c r="AC655" s="338" t="s">
        <v>6117</v>
      </c>
      <c r="AD655" s="338" t="s">
        <v>6722</v>
      </c>
      <c r="AF655" s="502" t="str">
        <f>Table15[[#This Row],[code2]]</f>
        <v>PRL</v>
      </c>
      <c r="AG655" s="502" t="str">
        <f>Table15[[#This Row],[code5]]</f>
        <v>ILALVR</v>
      </c>
    </row>
    <row r="656" spans="1:33">
      <c r="A656" s="338" t="s">
        <v>6072</v>
      </c>
      <c r="B656" s="338" t="s">
        <v>6073</v>
      </c>
      <c r="C656" s="337">
        <v>1</v>
      </c>
      <c r="D656" s="338" t="s">
        <v>6513</v>
      </c>
      <c r="E656" s="338" t="s">
        <v>6514</v>
      </c>
      <c r="F656" s="337">
        <v>1</v>
      </c>
      <c r="G656" s="337">
        <v>1</v>
      </c>
      <c r="H656" s="338" t="s">
        <v>6515</v>
      </c>
      <c r="I656" s="338" t="s">
        <v>9548</v>
      </c>
      <c r="J656" s="338" t="s">
        <v>9551</v>
      </c>
      <c r="K656" s="338" t="s">
        <v>6516</v>
      </c>
      <c r="L656" s="338" t="s">
        <v>6517</v>
      </c>
      <c r="M656" s="338" t="s">
        <v>6801</v>
      </c>
      <c r="N656" s="338" t="s">
        <v>8319</v>
      </c>
      <c r="O656" s="337">
        <v>0</v>
      </c>
      <c r="P656" s="337">
        <v>0</v>
      </c>
      <c r="Q656" s="338" t="s">
        <v>8319</v>
      </c>
      <c r="R656" s="338" t="s">
        <v>6088</v>
      </c>
      <c r="S656" s="338" t="s">
        <v>92</v>
      </c>
      <c r="T656" s="338"/>
      <c r="U656" s="338" t="s">
        <v>6827</v>
      </c>
      <c r="V656" s="337">
        <v>0</v>
      </c>
      <c r="W656" s="337">
        <v>0</v>
      </c>
      <c r="X656" s="338"/>
      <c r="Y656" s="338" t="s">
        <v>6318</v>
      </c>
      <c r="Z656" s="338" t="s">
        <v>8297</v>
      </c>
      <c r="AA656" s="338" t="s">
        <v>6079</v>
      </c>
      <c r="AB656" s="338"/>
      <c r="AC656" s="338" t="s">
        <v>6117</v>
      </c>
      <c r="AD656" s="338" t="s">
        <v>6724</v>
      </c>
      <c r="AF656" s="502" t="str">
        <f>Table15[[#This Row],[code2]]</f>
        <v>PRL</v>
      </c>
      <c r="AG656" s="502" t="str">
        <f>Table15[[#This Row],[code5]]</f>
        <v>ILALVR</v>
      </c>
    </row>
    <row r="657" spans="1:33">
      <c r="A657" s="338" t="s">
        <v>6072</v>
      </c>
      <c r="B657" s="338" t="s">
        <v>6073</v>
      </c>
      <c r="C657" s="337">
        <v>1</v>
      </c>
      <c r="D657" s="338" t="s">
        <v>6513</v>
      </c>
      <c r="E657" s="338" t="s">
        <v>6514</v>
      </c>
      <c r="F657" s="337">
        <v>1</v>
      </c>
      <c r="G657" s="337">
        <v>1</v>
      </c>
      <c r="H657" s="338" t="s">
        <v>6515</v>
      </c>
      <c r="I657" s="338" t="s">
        <v>9548</v>
      </c>
      <c r="J657" s="338" t="s">
        <v>9551</v>
      </c>
      <c r="K657" s="338" t="s">
        <v>6516</v>
      </c>
      <c r="L657" s="338" t="s">
        <v>6517</v>
      </c>
      <c r="M657" s="338" t="s">
        <v>6801</v>
      </c>
      <c r="N657" s="338" t="s">
        <v>8319</v>
      </c>
      <c r="O657" s="337">
        <v>0</v>
      </c>
      <c r="P657" s="337">
        <v>0</v>
      </c>
      <c r="Q657" s="338" t="s">
        <v>8319</v>
      </c>
      <c r="R657" s="338" t="s">
        <v>6088</v>
      </c>
      <c r="S657" s="338" t="s">
        <v>92</v>
      </c>
      <c r="T657" s="338"/>
      <c r="U657" s="338" t="s">
        <v>6828</v>
      </c>
      <c r="V657" s="337">
        <v>0</v>
      </c>
      <c r="W657" s="337">
        <v>0</v>
      </c>
      <c r="X657" s="338"/>
      <c r="Y657" s="338" t="s">
        <v>6318</v>
      </c>
      <c r="Z657" s="338" t="s">
        <v>6823</v>
      </c>
      <c r="AA657" s="338" t="s">
        <v>6079</v>
      </c>
      <c r="AB657" s="338"/>
      <c r="AC657" s="338" t="s">
        <v>6122</v>
      </c>
      <c r="AD657" s="338" t="s">
        <v>6719</v>
      </c>
      <c r="AF657" s="502" t="str">
        <f>Table15[[#This Row],[code2]]</f>
        <v>PRL</v>
      </c>
      <c r="AG657" s="502" t="str">
        <f>Table15[[#This Row],[code5]]</f>
        <v>ILALVR</v>
      </c>
    </row>
    <row r="658" spans="1:33">
      <c r="A658" s="338" t="s">
        <v>6072</v>
      </c>
      <c r="B658" s="338" t="s">
        <v>6073</v>
      </c>
      <c r="C658" s="337">
        <v>1</v>
      </c>
      <c r="D658" s="338" t="s">
        <v>6513</v>
      </c>
      <c r="E658" s="338" t="s">
        <v>6514</v>
      </c>
      <c r="F658" s="337">
        <v>1</v>
      </c>
      <c r="G658" s="337">
        <v>1</v>
      </c>
      <c r="H658" s="338" t="s">
        <v>6515</v>
      </c>
      <c r="I658" s="338" t="s">
        <v>9548</v>
      </c>
      <c r="J658" s="338" t="s">
        <v>9551</v>
      </c>
      <c r="K658" s="338" t="s">
        <v>6516</v>
      </c>
      <c r="L658" s="338" t="s">
        <v>6517</v>
      </c>
      <c r="M658" s="338" t="s">
        <v>6801</v>
      </c>
      <c r="N658" s="338" t="s">
        <v>8319</v>
      </c>
      <c r="O658" s="337">
        <v>0</v>
      </c>
      <c r="P658" s="337">
        <v>0</v>
      </c>
      <c r="Q658" s="338" t="s">
        <v>8319</v>
      </c>
      <c r="R658" s="338" t="s">
        <v>6088</v>
      </c>
      <c r="S658" s="338" t="s">
        <v>92</v>
      </c>
      <c r="T658" s="338"/>
      <c r="U658" s="338" t="s">
        <v>6829</v>
      </c>
      <c r="V658" s="337">
        <v>0</v>
      </c>
      <c r="W658" s="337">
        <v>0</v>
      </c>
      <c r="X658" s="338"/>
      <c r="Y658" s="338" t="s">
        <v>6318</v>
      </c>
      <c r="Z658" s="338" t="s">
        <v>8115</v>
      </c>
      <c r="AA658" s="338" t="s">
        <v>6079</v>
      </c>
      <c r="AB658" s="338"/>
      <c r="AC658" s="338" t="s">
        <v>6122</v>
      </c>
      <c r="AD658" s="338" t="s">
        <v>6721</v>
      </c>
      <c r="AF658" s="502" t="str">
        <f>Table15[[#This Row],[code2]]</f>
        <v>PRL</v>
      </c>
      <c r="AG658" s="502" t="str">
        <f>Table15[[#This Row],[code5]]</f>
        <v>ILALVR</v>
      </c>
    </row>
    <row r="659" spans="1:33">
      <c r="A659" s="338" t="s">
        <v>6072</v>
      </c>
      <c r="B659" s="338" t="s">
        <v>6073</v>
      </c>
      <c r="C659" s="337">
        <v>1</v>
      </c>
      <c r="D659" s="338" t="s">
        <v>6513</v>
      </c>
      <c r="E659" s="338" t="s">
        <v>6514</v>
      </c>
      <c r="F659" s="337">
        <v>1</v>
      </c>
      <c r="G659" s="337">
        <v>1</v>
      </c>
      <c r="H659" s="338" t="s">
        <v>6515</v>
      </c>
      <c r="I659" s="338" t="s">
        <v>9548</v>
      </c>
      <c r="J659" s="338" t="s">
        <v>9551</v>
      </c>
      <c r="K659" s="338" t="s">
        <v>6516</v>
      </c>
      <c r="L659" s="338" t="s">
        <v>6517</v>
      </c>
      <c r="M659" s="338" t="s">
        <v>6801</v>
      </c>
      <c r="N659" s="338" t="s">
        <v>8319</v>
      </c>
      <c r="O659" s="337">
        <v>0</v>
      </c>
      <c r="P659" s="337">
        <v>0</v>
      </c>
      <c r="Q659" s="338" t="s">
        <v>8319</v>
      </c>
      <c r="R659" s="338" t="s">
        <v>6088</v>
      </c>
      <c r="S659" s="338" t="s">
        <v>92</v>
      </c>
      <c r="T659" s="338"/>
      <c r="U659" s="338" t="s">
        <v>6830</v>
      </c>
      <c r="V659" s="337">
        <v>0</v>
      </c>
      <c r="W659" s="337">
        <v>0</v>
      </c>
      <c r="X659" s="338"/>
      <c r="Y659" s="338" t="s">
        <v>6318</v>
      </c>
      <c r="Z659" s="338" t="s">
        <v>6826</v>
      </c>
      <c r="AA659" s="338" t="s">
        <v>6079</v>
      </c>
      <c r="AB659" s="338"/>
      <c r="AC659" s="338" t="s">
        <v>6122</v>
      </c>
      <c r="AD659" s="338" t="s">
        <v>6722</v>
      </c>
      <c r="AF659" s="502" t="str">
        <f>Table15[[#This Row],[code2]]</f>
        <v>PRL</v>
      </c>
      <c r="AG659" s="502" t="str">
        <f>Table15[[#This Row],[code5]]</f>
        <v>ILALVR</v>
      </c>
    </row>
    <row r="660" spans="1:33">
      <c r="A660" s="338" t="s">
        <v>6072</v>
      </c>
      <c r="B660" s="338" t="s">
        <v>6073</v>
      </c>
      <c r="C660" s="337">
        <v>1</v>
      </c>
      <c r="D660" s="338" t="s">
        <v>6513</v>
      </c>
      <c r="E660" s="338" t="s">
        <v>6514</v>
      </c>
      <c r="F660" s="337">
        <v>1</v>
      </c>
      <c r="G660" s="337">
        <v>1</v>
      </c>
      <c r="H660" s="338" t="s">
        <v>6515</v>
      </c>
      <c r="I660" s="338" t="s">
        <v>9548</v>
      </c>
      <c r="J660" s="338" t="s">
        <v>9551</v>
      </c>
      <c r="K660" s="338" t="s">
        <v>6516</v>
      </c>
      <c r="L660" s="338" t="s">
        <v>6517</v>
      </c>
      <c r="M660" s="338" t="s">
        <v>6801</v>
      </c>
      <c r="N660" s="338" t="s">
        <v>8319</v>
      </c>
      <c r="O660" s="337">
        <v>0</v>
      </c>
      <c r="P660" s="337">
        <v>0</v>
      </c>
      <c r="Q660" s="338" t="s">
        <v>8319</v>
      </c>
      <c r="R660" s="338" t="s">
        <v>6088</v>
      </c>
      <c r="S660" s="338" t="s">
        <v>92</v>
      </c>
      <c r="T660" s="338"/>
      <c r="U660" s="338" t="s">
        <v>6831</v>
      </c>
      <c r="V660" s="337">
        <v>0</v>
      </c>
      <c r="W660" s="337">
        <v>0</v>
      </c>
      <c r="X660" s="338"/>
      <c r="Y660" s="338" t="s">
        <v>6318</v>
      </c>
      <c r="Z660" s="338" t="s">
        <v>8254</v>
      </c>
      <c r="AA660" s="338" t="s">
        <v>6079</v>
      </c>
      <c r="AB660" s="338"/>
      <c r="AC660" s="338" t="s">
        <v>6122</v>
      </c>
      <c r="AD660" s="338" t="s">
        <v>6724</v>
      </c>
      <c r="AF660" s="502" t="str">
        <f>Table15[[#This Row],[code2]]</f>
        <v>PRL</v>
      </c>
      <c r="AG660" s="502" t="str">
        <f>Table15[[#This Row],[code5]]</f>
        <v>ILALVR</v>
      </c>
    </row>
    <row r="661" spans="1:33">
      <c r="A661" s="338" t="s">
        <v>6072</v>
      </c>
      <c r="B661" s="338" t="s">
        <v>6073</v>
      </c>
      <c r="C661" s="337">
        <v>1</v>
      </c>
      <c r="D661" s="338" t="s">
        <v>6513</v>
      </c>
      <c r="E661" s="338" t="s">
        <v>6514</v>
      </c>
      <c r="F661" s="337">
        <v>1</v>
      </c>
      <c r="G661" s="337">
        <v>1</v>
      </c>
      <c r="H661" s="338" t="s">
        <v>6515</v>
      </c>
      <c r="I661" s="338" t="s">
        <v>9548</v>
      </c>
      <c r="J661" s="338" t="s">
        <v>9551</v>
      </c>
      <c r="K661" s="338" t="s">
        <v>6516</v>
      </c>
      <c r="L661" s="338" t="s">
        <v>6517</v>
      </c>
      <c r="M661" s="338" t="s">
        <v>6832</v>
      </c>
      <c r="N661" s="338" t="s">
        <v>6443</v>
      </c>
      <c r="O661" s="337">
        <v>1</v>
      </c>
      <c r="P661" s="337">
        <v>1</v>
      </c>
      <c r="Q661" s="338"/>
      <c r="R661" s="338" t="s">
        <v>6088</v>
      </c>
      <c r="S661" s="338"/>
      <c r="T661" s="338"/>
      <c r="U661" s="338" t="s">
        <v>6833</v>
      </c>
      <c r="V661" s="337">
        <v>1</v>
      </c>
      <c r="W661" s="337">
        <v>1</v>
      </c>
      <c r="X661" s="338"/>
      <c r="Y661" s="338" t="s">
        <v>497</v>
      </c>
      <c r="Z661" s="338" t="s">
        <v>8029</v>
      </c>
      <c r="AA661" s="338" t="s">
        <v>6079</v>
      </c>
      <c r="AB661" s="338"/>
      <c r="AC661" s="338" t="s">
        <v>6091</v>
      </c>
      <c r="AD661" s="338"/>
      <c r="AF661" s="502" t="str">
        <f>Table15[[#This Row],[code2]]</f>
        <v>PRL</v>
      </c>
      <c r="AG661" s="502" t="str">
        <f>Table15[[#This Row],[code5]]</f>
        <v>HINVIFR</v>
      </c>
    </row>
    <row r="662" spans="1:33">
      <c r="A662" s="338" t="s">
        <v>6072</v>
      </c>
      <c r="B662" s="338" t="s">
        <v>6073</v>
      </c>
      <c r="C662" s="337">
        <v>1</v>
      </c>
      <c r="D662" s="338" t="s">
        <v>6513</v>
      </c>
      <c r="E662" s="338" t="s">
        <v>6514</v>
      </c>
      <c r="F662" s="337">
        <v>1</v>
      </c>
      <c r="G662" s="337">
        <v>1</v>
      </c>
      <c r="H662" s="338" t="s">
        <v>6515</v>
      </c>
      <c r="I662" s="338" t="s">
        <v>9548</v>
      </c>
      <c r="J662" s="338" t="s">
        <v>9551</v>
      </c>
      <c r="K662" s="338" t="s">
        <v>6516</v>
      </c>
      <c r="L662" s="338" t="s">
        <v>6517</v>
      </c>
      <c r="M662" s="338" t="s">
        <v>6832</v>
      </c>
      <c r="N662" s="338" t="s">
        <v>6443</v>
      </c>
      <c r="O662" s="337">
        <v>1</v>
      </c>
      <c r="P662" s="337">
        <v>1</v>
      </c>
      <c r="Q662" s="338"/>
      <c r="R662" s="338" t="s">
        <v>6088</v>
      </c>
      <c r="S662" s="338"/>
      <c r="T662" s="338"/>
      <c r="U662" s="338" t="s">
        <v>6834</v>
      </c>
      <c r="V662" s="337">
        <v>1</v>
      </c>
      <c r="W662" s="337">
        <v>1</v>
      </c>
      <c r="X662" s="338"/>
      <c r="Y662" s="338" t="s">
        <v>6081</v>
      </c>
      <c r="Z662" s="338" t="s">
        <v>6826</v>
      </c>
      <c r="AA662" s="338" t="s">
        <v>6079</v>
      </c>
      <c r="AB662" s="338"/>
      <c r="AC662" s="338" t="s">
        <v>6091</v>
      </c>
      <c r="AD662" s="338"/>
      <c r="AF662" s="502" t="str">
        <f>Table15[[#This Row],[code2]]</f>
        <v>PRL</v>
      </c>
      <c r="AG662" s="502" t="str">
        <f>Table15[[#This Row],[code5]]</f>
        <v>HINVIFR</v>
      </c>
    </row>
    <row r="663" spans="1:33">
      <c r="A663" s="338" t="s">
        <v>6072</v>
      </c>
      <c r="B663" s="338" t="s">
        <v>6073</v>
      </c>
      <c r="C663" s="337">
        <v>1</v>
      </c>
      <c r="D663" s="338" t="s">
        <v>6513</v>
      </c>
      <c r="E663" s="338" t="s">
        <v>6514</v>
      </c>
      <c r="F663" s="337">
        <v>1</v>
      </c>
      <c r="G663" s="337">
        <v>1</v>
      </c>
      <c r="H663" s="338" t="s">
        <v>6515</v>
      </c>
      <c r="I663" s="338" t="s">
        <v>9548</v>
      </c>
      <c r="J663" s="338" t="s">
        <v>9551</v>
      </c>
      <c r="K663" s="338" t="s">
        <v>6516</v>
      </c>
      <c r="L663" s="338" t="s">
        <v>6517</v>
      </c>
      <c r="M663" s="338" t="s">
        <v>6832</v>
      </c>
      <c r="N663" s="338" t="s">
        <v>6443</v>
      </c>
      <c r="O663" s="337">
        <v>1</v>
      </c>
      <c r="P663" s="337">
        <v>1</v>
      </c>
      <c r="Q663" s="338"/>
      <c r="R663" s="338" t="s">
        <v>6088</v>
      </c>
      <c r="S663" s="338"/>
      <c r="T663" s="338"/>
      <c r="U663" s="338" t="s">
        <v>6835</v>
      </c>
      <c r="V663" s="337">
        <v>1</v>
      </c>
      <c r="W663" s="337">
        <v>1</v>
      </c>
      <c r="X663" s="338"/>
      <c r="Y663" s="338" t="s">
        <v>493</v>
      </c>
      <c r="Z663" s="338" t="s">
        <v>8030</v>
      </c>
      <c r="AA663" s="338" t="s">
        <v>6079</v>
      </c>
      <c r="AB663" s="338"/>
      <c r="AC663" s="338" t="s">
        <v>6091</v>
      </c>
      <c r="AD663" s="338"/>
      <c r="AF663" s="502" t="str">
        <f>Table15[[#This Row],[code2]]</f>
        <v>PRL</v>
      </c>
      <c r="AG663" s="502" t="str">
        <f>Table15[[#This Row],[code5]]</f>
        <v>HINVIFR</v>
      </c>
    </row>
    <row r="664" spans="1:33">
      <c r="A664" s="338" t="s">
        <v>6072</v>
      </c>
      <c r="B664" s="338" t="s">
        <v>6073</v>
      </c>
      <c r="C664" s="337">
        <v>1</v>
      </c>
      <c r="D664" s="338" t="s">
        <v>6513</v>
      </c>
      <c r="E664" s="338" t="s">
        <v>6514</v>
      </c>
      <c r="F664" s="337">
        <v>1</v>
      </c>
      <c r="G664" s="337">
        <v>1</v>
      </c>
      <c r="H664" s="338" t="s">
        <v>6515</v>
      </c>
      <c r="I664" s="338" t="s">
        <v>9548</v>
      </c>
      <c r="J664" s="338" t="s">
        <v>9551</v>
      </c>
      <c r="K664" s="338" t="s">
        <v>6516</v>
      </c>
      <c r="L664" s="338" t="s">
        <v>6517</v>
      </c>
      <c r="M664" s="338" t="s">
        <v>6832</v>
      </c>
      <c r="N664" s="338" t="s">
        <v>6443</v>
      </c>
      <c r="O664" s="337">
        <v>1</v>
      </c>
      <c r="P664" s="337">
        <v>1</v>
      </c>
      <c r="Q664" s="338"/>
      <c r="R664" s="338" t="s">
        <v>6088</v>
      </c>
      <c r="S664" s="338"/>
      <c r="T664" s="338"/>
      <c r="U664" s="338" t="s">
        <v>6836</v>
      </c>
      <c r="V664" s="337">
        <v>1</v>
      </c>
      <c r="W664" s="337">
        <v>1</v>
      </c>
      <c r="X664" s="338"/>
      <c r="Y664" s="338" t="s">
        <v>6085</v>
      </c>
      <c r="Z664" s="338" t="s">
        <v>9095</v>
      </c>
      <c r="AA664" s="338" t="s">
        <v>6079</v>
      </c>
      <c r="AB664" s="338"/>
      <c r="AC664" s="338" t="s">
        <v>6091</v>
      </c>
      <c r="AD664" s="338"/>
      <c r="AF664" s="502" t="str">
        <f>Table15[[#This Row],[code2]]</f>
        <v>PRL</v>
      </c>
      <c r="AG664" s="502" t="str">
        <f>Table15[[#This Row],[code5]]</f>
        <v>HINVIFR</v>
      </c>
    </row>
    <row r="665" spans="1:33">
      <c r="A665" s="338" t="s">
        <v>6072</v>
      </c>
      <c r="B665" s="338" t="s">
        <v>6073</v>
      </c>
      <c r="C665" s="337">
        <v>1</v>
      </c>
      <c r="D665" s="338" t="s">
        <v>6513</v>
      </c>
      <c r="E665" s="338" t="s">
        <v>6514</v>
      </c>
      <c r="F665" s="337">
        <v>1</v>
      </c>
      <c r="G665" s="337">
        <v>1</v>
      </c>
      <c r="H665" s="338" t="s">
        <v>6515</v>
      </c>
      <c r="I665" s="338" t="s">
        <v>9548</v>
      </c>
      <c r="J665" s="338" t="s">
        <v>9551</v>
      </c>
      <c r="K665" s="338" t="s">
        <v>6516</v>
      </c>
      <c r="L665" s="338" t="s">
        <v>6517</v>
      </c>
      <c r="M665" s="338" t="s">
        <v>6832</v>
      </c>
      <c r="N665" s="338" t="s">
        <v>6443</v>
      </c>
      <c r="O665" s="337">
        <v>1</v>
      </c>
      <c r="P665" s="337">
        <v>1</v>
      </c>
      <c r="Q665" s="338"/>
      <c r="R665" s="338" t="s">
        <v>6088</v>
      </c>
      <c r="S665" s="338"/>
      <c r="T665" s="338"/>
      <c r="U665" s="338" t="s">
        <v>6837</v>
      </c>
      <c r="V665" s="337">
        <v>1</v>
      </c>
      <c r="W665" s="337">
        <v>1</v>
      </c>
      <c r="X665" s="338"/>
      <c r="Y665" s="338" t="s">
        <v>497</v>
      </c>
      <c r="Z665" s="338" t="s">
        <v>7966</v>
      </c>
      <c r="AA665" s="338" t="s">
        <v>6079</v>
      </c>
      <c r="AB665" s="338"/>
      <c r="AC665" s="338" t="s">
        <v>6096</v>
      </c>
      <c r="AD665" s="338"/>
      <c r="AF665" s="502" t="str">
        <f>Table15[[#This Row],[code2]]</f>
        <v>PRL</v>
      </c>
      <c r="AG665" s="502" t="str">
        <f>Table15[[#This Row],[code5]]</f>
        <v>HINVIFR</v>
      </c>
    </row>
    <row r="666" spans="1:33">
      <c r="A666" s="338" t="s">
        <v>6072</v>
      </c>
      <c r="B666" s="338" t="s">
        <v>6073</v>
      </c>
      <c r="C666" s="337">
        <v>1</v>
      </c>
      <c r="D666" s="338" t="s">
        <v>6513</v>
      </c>
      <c r="E666" s="338" t="s">
        <v>6514</v>
      </c>
      <c r="F666" s="337">
        <v>1</v>
      </c>
      <c r="G666" s="337">
        <v>1</v>
      </c>
      <c r="H666" s="338" t="s">
        <v>6515</v>
      </c>
      <c r="I666" s="338" t="s">
        <v>9548</v>
      </c>
      <c r="J666" s="338" t="s">
        <v>9551</v>
      </c>
      <c r="K666" s="338" t="s">
        <v>6516</v>
      </c>
      <c r="L666" s="338" t="s">
        <v>6517</v>
      </c>
      <c r="M666" s="338" t="s">
        <v>6832</v>
      </c>
      <c r="N666" s="338" t="s">
        <v>6443</v>
      </c>
      <c r="O666" s="337">
        <v>1</v>
      </c>
      <c r="P666" s="337">
        <v>1</v>
      </c>
      <c r="Q666" s="338"/>
      <c r="R666" s="338" t="s">
        <v>6088</v>
      </c>
      <c r="S666" s="338"/>
      <c r="T666" s="338"/>
      <c r="U666" s="338" t="s">
        <v>6838</v>
      </c>
      <c r="V666" s="337">
        <v>1</v>
      </c>
      <c r="W666" s="337">
        <v>1</v>
      </c>
      <c r="X666" s="338"/>
      <c r="Y666" s="338" t="s">
        <v>6081</v>
      </c>
      <c r="Z666" s="338" t="s">
        <v>8676</v>
      </c>
      <c r="AA666" s="338" t="s">
        <v>6079</v>
      </c>
      <c r="AB666" s="338"/>
      <c r="AC666" s="338" t="s">
        <v>6096</v>
      </c>
      <c r="AD666" s="338"/>
      <c r="AF666" s="502" t="str">
        <f>Table15[[#This Row],[code2]]</f>
        <v>PRL</v>
      </c>
      <c r="AG666" s="502" t="str">
        <f>Table15[[#This Row],[code5]]</f>
        <v>HINVIFR</v>
      </c>
    </row>
    <row r="667" spans="1:33">
      <c r="A667" s="338" t="s">
        <v>6072</v>
      </c>
      <c r="B667" s="338" t="s">
        <v>6073</v>
      </c>
      <c r="C667" s="337">
        <v>1</v>
      </c>
      <c r="D667" s="338" t="s">
        <v>6513</v>
      </c>
      <c r="E667" s="338" t="s">
        <v>6514</v>
      </c>
      <c r="F667" s="337">
        <v>1</v>
      </c>
      <c r="G667" s="337">
        <v>1</v>
      </c>
      <c r="H667" s="338" t="s">
        <v>6515</v>
      </c>
      <c r="I667" s="338" t="s">
        <v>9548</v>
      </c>
      <c r="J667" s="338" t="s">
        <v>9551</v>
      </c>
      <c r="K667" s="338" t="s">
        <v>6516</v>
      </c>
      <c r="L667" s="338" t="s">
        <v>6517</v>
      </c>
      <c r="M667" s="338" t="s">
        <v>6832</v>
      </c>
      <c r="N667" s="338" t="s">
        <v>6443</v>
      </c>
      <c r="O667" s="337">
        <v>1</v>
      </c>
      <c r="P667" s="337">
        <v>1</v>
      </c>
      <c r="Q667" s="338"/>
      <c r="R667" s="338" t="s">
        <v>6088</v>
      </c>
      <c r="S667" s="338"/>
      <c r="T667" s="338"/>
      <c r="U667" s="338" t="s">
        <v>6839</v>
      </c>
      <c r="V667" s="337">
        <v>1</v>
      </c>
      <c r="W667" s="337">
        <v>1</v>
      </c>
      <c r="X667" s="338"/>
      <c r="Y667" s="338" t="s">
        <v>493</v>
      </c>
      <c r="Z667" s="338" t="s">
        <v>7915</v>
      </c>
      <c r="AA667" s="338" t="s">
        <v>6079</v>
      </c>
      <c r="AB667" s="338"/>
      <c r="AC667" s="338" t="s">
        <v>6096</v>
      </c>
      <c r="AD667" s="338"/>
      <c r="AF667" s="502" t="str">
        <f>Table15[[#This Row],[code2]]</f>
        <v>PRL</v>
      </c>
      <c r="AG667" s="502" t="str">
        <f>Table15[[#This Row],[code5]]</f>
        <v>HINVIFR</v>
      </c>
    </row>
    <row r="668" spans="1:33">
      <c r="A668" s="338" t="s">
        <v>6072</v>
      </c>
      <c r="B668" s="338" t="s">
        <v>6073</v>
      </c>
      <c r="C668" s="337">
        <v>1</v>
      </c>
      <c r="D668" s="338" t="s">
        <v>6513</v>
      </c>
      <c r="E668" s="338" t="s">
        <v>6514</v>
      </c>
      <c r="F668" s="337">
        <v>1</v>
      </c>
      <c r="G668" s="337">
        <v>1</v>
      </c>
      <c r="H668" s="338" t="s">
        <v>6515</v>
      </c>
      <c r="I668" s="338" t="s">
        <v>9548</v>
      </c>
      <c r="J668" s="338" t="s">
        <v>9551</v>
      </c>
      <c r="K668" s="338" t="s">
        <v>6516</v>
      </c>
      <c r="L668" s="338" t="s">
        <v>6517</v>
      </c>
      <c r="M668" s="338" t="s">
        <v>6832</v>
      </c>
      <c r="N668" s="338" t="s">
        <v>6443</v>
      </c>
      <c r="O668" s="337">
        <v>1</v>
      </c>
      <c r="P668" s="337">
        <v>1</v>
      </c>
      <c r="Q668" s="338"/>
      <c r="R668" s="338" t="s">
        <v>6088</v>
      </c>
      <c r="S668" s="338"/>
      <c r="T668" s="338"/>
      <c r="U668" s="338" t="s">
        <v>6840</v>
      </c>
      <c r="V668" s="337">
        <v>1</v>
      </c>
      <c r="W668" s="337">
        <v>1</v>
      </c>
      <c r="X668" s="338"/>
      <c r="Y668" s="338" t="s">
        <v>6085</v>
      </c>
      <c r="Z668" s="338" t="s">
        <v>8690</v>
      </c>
      <c r="AA668" s="338" t="s">
        <v>6079</v>
      </c>
      <c r="AB668" s="338"/>
      <c r="AC668" s="338" t="s">
        <v>6096</v>
      </c>
      <c r="AD668" s="338"/>
      <c r="AF668" s="502" t="str">
        <f>Table15[[#This Row],[code2]]</f>
        <v>PRL</v>
      </c>
      <c r="AG668" s="502" t="str">
        <f>Table15[[#This Row],[code5]]</f>
        <v>HINVIFR</v>
      </c>
    </row>
    <row r="669" spans="1:33">
      <c r="A669" s="338" t="s">
        <v>6072</v>
      </c>
      <c r="B669" s="338" t="s">
        <v>6073</v>
      </c>
      <c r="C669" s="337">
        <v>1</v>
      </c>
      <c r="D669" s="338" t="s">
        <v>6513</v>
      </c>
      <c r="E669" s="338" t="s">
        <v>6514</v>
      </c>
      <c r="F669" s="337">
        <v>1</v>
      </c>
      <c r="G669" s="337">
        <v>1</v>
      </c>
      <c r="H669" s="338" t="s">
        <v>6515</v>
      </c>
      <c r="I669" s="338" t="s">
        <v>9548</v>
      </c>
      <c r="J669" s="338" t="s">
        <v>9551</v>
      </c>
      <c r="K669" s="338" t="s">
        <v>6516</v>
      </c>
      <c r="L669" s="338" t="s">
        <v>6517</v>
      </c>
      <c r="M669" s="338" t="s">
        <v>6832</v>
      </c>
      <c r="N669" s="338" t="s">
        <v>6443</v>
      </c>
      <c r="O669" s="337">
        <v>1</v>
      </c>
      <c r="P669" s="337">
        <v>1</v>
      </c>
      <c r="Q669" s="338"/>
      <c r="R669" s="338" t="s">
        <v>6088</v>
      </c>
      <c r="S669" s="338"/>
      <c r="T669" s="338"/>
      <c r="U669" s="338" t="s">
        <v>6841</v>
      </c>
      <c r="V669" s="337">
        <v>1</v>
      </c>
      <c r="W669" s="337">
        <v>1</v>
      </c>
      <c r="X669" s="338"/>
      <c r="Y669" s="338" t="s">
        <v>497</v>
      </c>
      <c r="Z669" s="338" t="s">
        <v>7966</v>
      </c>
      <c r="AA669" s="338" t="s">
        <v>6079</v>
      </c>
      <c r="AB669" s="338"/>
      <c r="AC669" s="338" t="s">
        <v>6101</v>
      </c>
      <c r="AD669" s="338"/>
      <c r="AF669" s="502" t="str">
        <f>Table15[[#This Row],[code2]]</f>
        <v>PRL</v>
      </c>
      <c r="AG669" s="502" t="str">
        <f>Table15[[#This Row],[code5]]</f>
        <v>HINVIFR</v>
      </c>
    </row>
    <row r="670" spans="1:33">
      <c r="A670" s="338" t="s">
        <v>6072</v>
      </c>
      <c r="B670" s="338" t="s">
        <v>6073</v>
      </c>
      <c r="C670" s="337">
        <v>1</v>
      </c>
      <c r="D670" s="338" t="s">
        <v>6513</v>
      </c>
      <c r="E670" s="338" t="s">
        <v>6514</v>
      </c>
      <c r="F670" s="337">
        <v>1</v>
      </c>
      <c r="G670" s="337">
        <v>1</v>
      </c>
      <c r="H670" s="338" t="s">
        <v>6515</v>
      </c>
      <c r="I670" s="338" t="s">
        <v>9548</v>
      </c>
      <c r="J670" s="338" t="s">
        <v>9551</v>
      </c>
      <c r="K670" s="338" t="s">
        <v>6516</v>
      </c>
      <c r="L670" s="338" t="s">
        <v>6517</v>
      </c>
      <c r="M670" s="338" t="s">
        <v>6832</v>
      </c>
      <c r="N670" s="338" t="s">
        <v>6443</v>
      </c>
      <c r="O670" s="337">
        <v>1</v>
      </c>
      <c r="P670" s="337">
        <v>1</v>
      </c>
      <c r="Q670" s="338"/>
      <c r="R670" s="338" t="s">
        <v>6088</v>
      </c>
      <c r="S670" s="338"/>
      <c r="T670" s="338"/>
      <c r="U670" s="338" t="s">
        <v>6842</v>
      </c>
      <c r="V670" s="337">
        <v>1</v>
      </c>
      <c r="W670" s="337">
        <v>1</v>
      </c>
      <c r="X670" s="338"/>
      <c r="Y670" s="338" t="s">
        <v>6081</v>
      </c>
      <c r="Z670" s="338" t="s">
        <v>8293</v>
      </c>
      <c r="AA670" s="338" t="s">
        <v>6079</v>
      </c>
      <c r="AB670" s="338"/>
      <c r="AC670" s="338" t="s">
        <v>6101</v>
      </c>
      <c r="AD670" s="338"/>
      <c r="AF670" s="502" t="str">
        <f>Table15[[#This Row],[code2]]</f>
        <v>PRL</v>
      </c>
      <c r="AG670" s="502" t="str">
        <f>Table15[[#This Row],[code5]]</f>
        <v>HINVIFR</v>
      </c>
    </row>
    <row r="671" spans="1:33">
      <c r="A671" s="338" t="s">
        <v>6072</v>
      </c>
      <c r="B671" s="338" t="s">
        <v>6073</v>
      </c>
      <c r="C671" s="337">
        <v>1</v>
      </c>
      <c r="D671" s="338" t="s">
        <v>6513</v>
      </c>
      <c r="E671" s="338" t="s">
        <v>6514</v>
      </c>
      <c r="F671" s="337">
        <v>1</v>
      </c>
      <c r="G671" s="337">
        <v>1</v>
      </c>
      <c r="H671" s="338" t="s">
        <v>6515</v>
      </c>
      <c r="I671" s="338" t="s">
        <v>9548</v>
      </c>
      <c r="J671" s="338" t="s">
        <v>9551</v>
      </c>
      <c r="K671" s="338" t="s">
        <v>6516</v>
      </c>
      <c r="L671" s="338" t="s">
        <v>6517</v>
      </c>
      <c r="M671" s="338" t="s">
        <v>6832</v>
      </c>
      <c r="N671" s="338" t="s">
        <v>6443</v>
      </c>
      <c r="O671" s="337">
        <v>1</v>
      </c>
      <c r="P671" s="337">
        <v>1</v>
      </c>
      <c r="Q671" s="338"/>
      <c r="R671" s="338" t="s">
        <v>6088</v>
      </c>
      <c r="S671" s="338"/>
      <c r="T671" s="338"/>
      <c r="U671" s="338" t="s">
        <v>6843</v>
      </c>
      <c r="V671" s="337">
        <v>1</v>
      </c>
      <c r="W671" s="337">
        <v>1</v>
      </c>
      <c r="X671" s="338"/>
      <c r="Y671" s="338" t="s">
        <v>493</v>
      </c>
      <c r="Z671" s="338" t="s">
        <v>7915</v>
      </c>
      <c r="AA671" s="338" t="s">
        <v>6079</v>
      </c>
      <c r="AB671" s="338"/>
      <c r="AC671" s="338" t="s">
        <v>6101</v>
      </c>
      <c r="AD671" s="338"/>
      <c r="AF671" s="502" t="str">
        <f>Table15[[#This Row],[code2]]</f>
        <v>PRL</v>
      </c>
      <c r="AG671" s="502" t="str">
        <f>Table15[[#This Row],[code5]]</f>
        <v>HINVIFR</v>
      </c>
    </row>
    <row r="672" spans="1:33">
      <c r="A672" s="338" t="s">
        <v>6072</v>
      </c>
      <c r="B672" s="338" t="s">
        <v>6073</v>
      </c>
      <c r="C672" s="337">
        <v>1</v>
      </c>
      <c r="D672" s="338" t="s">
        <v>6513</v>
      </c>
      <c r="E672" s="338" t="s">
        <v>6514</v>
      </c>
      <c r="F672" s="337">
        <v>1</v>
      </c>
      <c r="G672" s="337">
        <v>1</v>
      </c>
      <c r="H672" s="338" t="s">
        <v>6515</v>
      </c>
      <c r="I672" s="338" t="s">
        <v>9548</v>
      </c>
      <c r="J672" s="338" t="s">
        <v>9551</v>
      </c>
      <c r="K672" s="338" t="s">
        <v>6516</v>
      </c>
      <c r="L672" s="338" t="s">
        <v>6517</v>
      </c>
      <c r="M672" s="338" t="s">
        <v>6832</v>
      </c>
      <c r="N672" s="338" t="s">
        <v>6443</v>
      </c>
      <c r="O672" s="337">
        <v>1</v>
      </c>
      <c r="P672" s="337">
        <v>1</v>
      </c>
      <c r="Q672" s="338"/>
      <c r="R672" s="338" t="s">
        <v>6088</v>
      </c>
      <c r="S672" s="338"/>
      <c r="T672" s="338"/>
      <c r="U672" s="338" t="s">
        <v>6844</v>
      </c>
      <c r="V672" s="337">
        <v>1</v>
      </c>
      <c r="W672" s="337">
        <v>1</v>
      </c>
      <c r="X672" s="338"/>
      <c r="Y672" s="338" t="s">
        <v>6085</v>
      </c>
      <c r="Z672" s="338" t="s">
        <v>8284</v>
      </c>
      <c r="AA672" s="338" t="s">
        <v>6079</v>
      </c>
      <c r="AB672" s="338"/>
      <c r="AC672" s="338" t="s">
        <v>6101</v>
      </c>
      <c r="AD672" s="338"/>
      <c r="AF672" s="502" t="str">
        <f>Table15[[#This Row],[code2]]</f>
        <v>PRL</v>
      </c>
      <c r="AG672" s="502" t="str">
        <f>Table15[[#This Row],[code5]]</f>
        <v>HINVIFR</v>
      </c>
    </row>
    <row r="673" spans="1:33">
      <c r="A673" s="338" t="s">
        <v>6072</v>
      </c>
      <c r="B673" s="338" t="s">
        <v>6073</v>
      </c>
      <c r="C673" s="337">
        <v>1</v>
      </c>
      <c r="D673" s="338" t="s">
        <v>6513</v>
      </c>
      <c r="E673" s="338" t="s">
        <v>6514</v>
      </c>
      <c r="F673" s="337">
        <v>1</v>
      </c>
      <c r="G673" s="337">
        <v>1</v>
      </c>
      <c r="H673" s="338" t="s">
        <v>6515</v>
      </c>
      <c r="I673" s="338" t="s">
        <v>9548</v>
      </c>
      <c r="J673" s="338" t="s">
        <v>9551</v>
      </c>
      <c r="K673" s="338" t="s">
        <v>6516</v>
      </c>
      <c r="L673" s="338" t="s">
        <v>6517</v>
      </c>
      <c r="M673" s="338" t="s">
        <v>6832</v>
      </c>
      <c r="N673" s="338" t="s">
        <v>6443</v>
      </c>
      <c r="O673" s="337">
        <v>1</v>
      </c>
      <c r="P673" s="337">
        <v>1</v>
      </c>
      <c r="Q673" s="338"/>
      <c r="R673" s="338" t="s">
        <v>6088</v>
      </c>
      <c r="S673" s="338"/>
      <c r="T673" s="338"/>
      <c r="U673" s="338" t="s">
        <v>6845</v>
      </c>
      <c r="V673" s="337">
        <v>1</v>
      </c>
      <c r="W673" s="337">
        <v>1</v>
      </c>
      <c r="X673" s="338"/>
      <c r="Y673" s="338" t="s">
        <v>497</v>
      </c>
      <c r="Z673" s="338" t="s">
        <v>8023</v>
      </c>
      <c r="AA673" s="338" t="s">
        <v>6079</v>
      </c>
      <c r="AB673" s="338"/>
      <c r="AC673" s="338" t="s">
        <v>6106</v>
      </c>
      <c r="AD673" s="338"/>
      <c r="AF673" s="502" t="str">
        <f>Table15[[#This Row],[code2]]</f>
        <v>PRL</v>
      </c>
      <c r="AG673" s="502" t="str">
        <f>Table15[[#This Row],[code5]]</f>
        <v>HINVIFR</v>
      </c>
    </row>
    <row r="674" spans="1:33">
      <c r="A674" s="338" t="s">
        <v>6072</v>
      </c>
      <c r="B674" s="338" t="s">
        <v>6073</v>
      </c>
      <c r="C674" s="337">
        <v>1</v>
      </c>
      <c r="D674" s="338" t="s">
        <v>6513</v>
      </c>
      <c r="E674" s="338" t="s">
        <v>6514</v>
      </c>
      <c r="F674" s="337">
        <v>1</v>
      </c>
      <c r="G674" s="337">
        <v>1</v>
      </c>
      <c r="H674" s="338" t="s">
        <v>6515</v>
      </c>
      <c r="I674" s="338" t="s">
        <v>9548</v>
      </c>
      <c r="J674" s="338" t="s">
        <v>9551</v>
      </c>
      <c r="K674" s="338" t="s">
        <v>6516</v>
      </c>
      <c r="L674" s="338" t="s">
        <v>6517</v>
      </c>
      <c r="M674" s="338" t="s">
        <v>6832</v>
      </c>
      <c r="N674" s="338" t="s">
        <v>6443</v>
      </c>
      <c r="O674" s="337">
        <v>1</v>
      </c>
      <c r="P674" s="337">
        <v>1</v>
      </c>
      <c r="Q674" s="338"/>
      <c r="R674" s="338" t="s">
        <v>6088</v>
      </c>
      <c r="S674" s="338"/>
      <c r="T674" s="338"/>
      <c r="U674" s="338" t="s">
        <v>6846</v>
      </c>
      <c r="V674" s="337">
        <v>1</v>
      </c>
      <c r="W674" s="337">
        <v>1</v>
      </c>
      <c r="X674" s="338"/>
      <c r="Y674" s="338" t="s">
        <v>6081</v>
      </c>
      <c r="Z674" s="338" t="s">
        <v>6823</v>
      </c>
      <c r="AA674" s="338" t="s">
        <v>6079</v>
      </c>
      <c r="AB674" s="338"/>
      <c r="AC674" s="338" t="s">
        <v>6106</v>
      </c>
      <c r="AD674" s="338"/>
      <c r="AF674" s="502" t="str">
        <f>Table15[[#This Row],[code2]]</f>
        <v>PRL</v>
      </c>
      <c r="AG674" s="502" t="str">
        <f>Table15[[#This Row],[code5]]</f>
        <v>HINVIFR</v>
      </c>
    </row>
    <row r="675" spans="1:33">
      <c r="A675" s="338" t="s">
        <v>6072</v>
      </c>
      <c r="B675" s="338" t="s">
        <v>6073</v>
      </c>
      <c r="C675" s="337">
        <v>1</v>
      </c>
      <c r="D675" s="338" t="s">
        <v>6513</v>
      </c>
      <c r="E675" s="338" t="s">
        <v>6514</v>
      </c>
      <c r="F675" s="337">
        <v>1</v>
      </c>
      <c r="G675" s="337">
        <v>1</v>
      </c>
      <c r="H675" s="338" t="s">
        <v>6515</v>
      </c>
      <c r="I675" s="338" t="s">
        <v>9548</v>
      </c>
      <c r="J675" s="338" t="s">
        <v>9551</v>
      </c>
      <c r="K675" s="338" t="s">
        <v>6516</v>
      </c>
      <c r="L675" s="338" t="s">
        <v>6517</v>
      </c>
      <c r="M675" s="338" t="s">
        <v>6832</v>
      </c>
      <c r="N675" s="338" t="s">
        <v>6443</v>
      </c>
      <c r="O675" s="337">
        <v>1</v>
      </c>
      <c r="P675" s="337">
        <v>1</v>
      </c>
      <c r="Q675" s="338"/>
      <c r="R675" s="338" t="s">
        <v>6088</v>
      </c>
      <c r="S675" s="338"/>
      <c r="T675" s="338"/>
      <c r="U675" s="338" t="s">
        <v>6847</v>
      </c>
      <c r="V675" s="337">
        <v>1</v>
      </c>
      <c r="W675" s="337">
        <v>1</v>
      </c>
      <c r="X675" s="338"/>
      <c r="Y675" s="338" t="s">
        <v>493</v>
      </c>
      <c r="Z675" s="338" t="s">
        <v>8029</v>
      </c>
      <c r="AA675" s="338" t="s">
        <v>6079</v>
      </c>
      <c r="AB675" s="338"/>
      <c r="AC675" s="338" t="s">
        <v>6106</v>
      </c>
      <c r="AD675" s="338"/>
      <c r="AF675" s="502" t="str">
        <f>Table15[[#This Row],[code2]]</f>
        <v>PRL</v>
      </c>
      <c r="AG675" s="502" t="str">
        <f>Table15[[#This Row],[code5]]</f>
        <v>HINVIFR</v>
      </c>
    </row>
    <row r="676" spans="1:33">
      <c r="A676" s="338" t="s">
        <v>6072</v>
      </c>
      <c r="B676" s="338" t="s">
        <v>6073</v>
      </c>
      <c r="C676" s="337">
        <v>1</v>
      </c>
      <c r="D676" s="338" t="s">
        <v>6513</v>
      </c>
      <c r="E676" s="338" t="s">
        <v>6514</v>
      </c>
      <c r="F676" s="337">
        <v>1</v>
      </c>
      <c r="G676" s="337">
        <v>1</v>
      </c>
      <c r="H676" s="338" t="s">
        <v>6515</v>
      </c>
      <c r="I676" s="338" t="s">
        <v>9548</v>
      </c>
      <c r="J676" s="338" t="s">
        <v>9551</v>
      </c>
      <c r="K676" s="338" t="s">
        <v>6516</v>
      </c>
      <c r="L676" s="338" t="s">
        <v>6517</v>
      </c>
      <c r="M676" s="338" t="s">
        <v>6832</v>
      </c>
      <c r="N676" s="338" t="s">
        <v>6443</v>
      </c>
      <c r="O676" s="337">
        <v>1</v>
      </c>
      <c r="P676" s="337">
        <v>1</v>
      </c>
      <c r="Q676" s="338"/>
      <c r="R676" s="338" t="s">
        <v>6088</v>
      </c>
      <c r="S676" s="338"/>
      <c r="T676" s="338"/>
      <c r="U676" s="338" t="s">
        <v>6848</v>
      </c>
      <c r="V676" s="337">
        <v>1</v>
      </c>
      <c r="W676" s="337">
        <v>1</v>
      </c>
      <c r="X676" s="338"/>
      <c r="Y676" s="338" t="s">
        <v>6085</v>
      </c>
      <c r="Z676" s="338" t="s">
        <v>9160</v>
      </c>
      <c r="AA676" s="338" t="s">
        <v>6079</v>
      </c>
      <c r="AB676" s="338"/>
      <c r="AC676" s="338" t="s">
        <v>6106</v>
      </c>
      <c r="AD676" s="338"/>
      <c r="AF676" s="502" t="str">
        <f>Table15[[#This Row],[code2]]</f>
        <v>PRL</v>
      </c>
      <c r="AG676" s="502" t="str">
        <f>Table15[[#This Row],[code5]]</f>
        <v>HINVIFR</v>
      </c>
    </row>
    <row r="677" spans="1:33">
      <c r="A677" s="338" t="s">
        <v>6072</v>
      </c>
      <c r="B677" s="338" t="s">
        <v>6073</v>
      </c>
      <c r="C677" s="337">
        <v>1</v>
      </c>
      <c r="D677" s="338" t="s">
        <v>6513</v>
      </c>
      <c r="E677" s="338" t="s">
        <v>6514</v>
      </c>
      <c r="F677" s="337">
        <v>1</v>
      </c>
      <c r="G677" s="337">
        <v>1</v>
      </c>
      <c r="H677" s="338" t="s">
        <v>6515</v>
      </c>
      <c r="I677" s="338" t="s">
        <v>9548</v>
      </c>
      <c r="J677" s="338" t="s">
        <v>9551</v>
      </c>
      <c r="K677" s="338" t="s">
        <v>6516</v>
      </c>
      <c r="L677" s="338" t="s">
        <v>6517</v>
      </c>
      <c r="M677" s="338" t="s">
        <v>6832</v>
      </c>
      <c r="N677" s="338" t="s">
        <v>6443</v>
      </c>
      <c r="O677" s="337">
        <v>1</v>
      </c>
      <c r="P677" s="337">
        <v>1</v>
      </c>
      <c r="Q677" s="338"/>
      <c r="R677" s="338" t="s">
        <v>6088</v>
      </c>
      <c r="S677" s="338"/>
      <c r="T677" s="338"/>
      <c r="U677" s="338" t="s">
        <v>6849</v>
      </c>
      <c r="V677" s="337">
        <v>1</v>
      </c>
      <c r="W677" s="337">
        <v>1</v>
      </c>
      <c r="X677" s="338"/>
      <c r="Y677" s="338" t="s">
        <v>497</v>
      </c>
      <c r="Z677" s="338" t="s">
        <v>8029</v>
      </c>
      <c r="AA677" s="338" t="s">
        <v>6079</v>
      </c>
      <c r="AB677" s="338"/>
      <c r="AC677" s="338" t="s">
        <v>6111</v>
      </c>
      <c r="AD677" s="338"/>
      <c r="AF677" s="502" t="str">
        <f>Table15[[#This Row],[code2]]</f>
        <v>PRL</v>
      </c>
      <c r="AG677" s="502" t="str">
        <f>Table15[[#This Row],[code5]]</f>
        <v>HINVIFR</v>
      </c>
    </row>
    <row r="678" spans="1:33">
      <c r="A678" s="338" t="s">
        <v>6072</v>
      </c>
      <c r="B678" s="338" t="s">
        <v>6073</v>
      </c>
      <c r="C678" s="337">
        <v>1</v>
      </c>
      <c r="D678" s="338" t="s">
        <v>6513</v>
      </c>
      <c r="E678" s="338" t="s">
        <v>6514</v>
      </c>
      <c r="F678" s="337">
        <v>1</v>
      </c>
      <c r="G678" s="337">
        <v>1</v>
      </c>
      <c r="H678" s="338" t="s">
        <v>6515</v>
      </c>
      <c r="I678" s="338" t="s">
        <v>9548</v>
      </c>
      <c r="J678" s="338" t="s">
        <v>9551</v>
      </c>
      <c r="K678" s="338" t="s">
        <v>6516</v>
      </c>
      <c r="L678" s="338" t="s">
        <v>6517</v>
      </c>
      <c r="M678" s="338" t="s">
        <v>6832</v>
      </c>
      <c r="N678" s="338" t="s">
        <v>6443</v>
      </c>
      <c r="O678" s="337">
        <v>1</v>
      </c>
      <c r="P678" s="337">
        <v>1</v>
      </c>
      <c r="Q678" s="338"/>
      <c r="R678" s="338" t="s">
        <v>6088</v>
      </c>
      <c r="S678" s="338"/>
      <c r="T678" s="338"/>
      <c r="U678" s="338" t="s">
        <v>6850</v>
      </c>
      <c r="V678" s="337">
        <v>1</v>
      </c>
      <c r="W678" s="337">
        <v>1</v>
      </c>
      <c r="X678" s="338"/>
      <c r="Y678" s="338" t="s">
        <v>6081</v>
      </c>
      <c r="Z678" s="338" t="s">
        <v>9161</v>
      </c>
      <c r="AA678" s="338" t="s">
        <v>6079</v>
      </c>
      <c r="AB678" s="338"/>
      <c r="AC678" s="338" t="s">
        <v>6111</v>
      </c>
      <c r="AD678" s="338"/>
      <c r="AF678" s="502" t="str">
        <f>Table15[[#This Row],[code2]]</f>
        <v>PRL</v>
      </c>
      <c r="AG678" s="502" t="str">
        <f>Table15[[#This Row],[code5]]</f>
        <v>HINVIFR</v>
      </c>
    </row>
    <row r="679" spans="1:33">
      <c r="A679" s="338" t="s">
        <v>6072</v>
      </c>
      <c r="B679" s="338" t="s">
        <v>6073</v>
      </c>
      <c r="C679" s="337">
        <v>1</v>
      </c>
      <c r="D679" s="338" t="s">
        <v>6513</v>
      </c>
      <c r="E679" s="338" t="s">
        <v>6514</v>
      </c>
      <c r="F679" s="337">
        <v>1</v>
      </c>
      <c r="G679" s="337">
        <v>1</v>
      </c>
      <c r="H679" s="338" t="s">
        <v>6515</v>
      </c>
      <c r="I679" s="338" t="s">
        <v>9548</v>
      </c>
      <c r="J679" s="338" t="s">
        <v>9551</v>
      </c>
      <c r="K679" s="338" t="s">
        <v>6516</v>
      </c>
      <c r="L679" s="338" t="s">
        <v>6517</v>
      </c>
      <c r="M679" s="338" t="s">
        <v>6832</v>
      </c>
      <c r="N679" s="338" t="s">
        <v>6443</v>
      </c>
      <c r="O679" s="337">
        <v>1</v>
      </c>
      <c r="P679" s="337">
        <v>1</v>
      </c>
      <c r="Q679" s="338"/>
      <c r="R679" s="338" t="s">
        <v>6088</v>
      </c>
      <c r="S679" s="338"/>
      <c r="T679" s="338"/>
      <c r="U679" s="338" t="s">
        <v>6851</v>
      </c>
      <c r="V679" s="337">
        <v>1</v>
      </c>
      <c r="W679" s="337">
        <v>1</v>
      </c>
      <c r="X679" s="338"/>
      <c r="Y679" s="338" t="s">
        <v>493</v>
      </c>
      <c r="Z679" s="338" t="s">
        <v>8009</v>
      </c>
      <c r="AA679" s="338" t="s">
        <v>6079</v>
      </c>
      <c r="AB679" s="338"/>
      <c r="AC679" s="338" t="s">
        <v>6111</v>
      </c>
      <c r="AD679" s="338"/>
      <c r="AF679" s="502" t="str">
        <f>Table15[[#This Row],[code2]]</f>
        <v>PRL</v>
      </c>
      <c r="AG679" s="502" t="str">
        <f>Table15[[#This Row],[code5]]</f>
        <v>HINVIFR</v>
      </c>
    </row>
    <row r="680" spans="1:33">
      <c r="A680" s="338" t="s">
        <v>6072</v>
      </c>
      <c r="B680" s="338" t="s">
        <v>6073</v>
      </c>
      <c r="C680" s="337">
        <v>1</v>
      </c>
      <c r="D680" s="338" t="s">
        <v>6513</v>
      </c>
      <c r="E680" s="338" t="s">
        <v>6514</v>
      </c>
      <c r="F680" s="337">
        <v>1</v>
      </c>
      <c r="G680" s="337">
        <v>1</v>
      </c>
      <c r="H680" s="338" t="s">
        <v>6515</v>
      </c>
      <c r="I680" s="338" t="s">
        <v>9548</v>
      </c>
      <c r="J680" s="338" t="s">
        <v>9551</v>
      </c>
      <c r="K680" s="338" t="s">
        <v>6516</v>
      </c>
      <c r="L680" s="338" t="s">
        <v>6517</v>
      </c>
      <c r="M680" s="338" t="s">
        <v>6832</v>
      </c>
      <c r="N680" s="338" t="s">
        <v>6443</v>
      </c>
      <c r="O680" s="337">
        <v>1</v>
      </c>
      <c r="P680" s="337">
        <v>1</v>
      </c>
      <c r="Q680" s="338"/>
      <c r="R680" s="338" t="s">
        <v>6088</v>
      </c>
      <c r="S680" s="338"/>
      <c r="T680" s="338"/>
      <c r="U680" s="338" t="s">
        <v>6852</v>
      </c>
      <c r="V680" s="337">
        <v>1</v>
      </c>
      <c r="W680" s="337">
        <v>1</v>
      </c>
      <c r="X680" s="338"/>
      <c r="Y680" s="338" t="s">
        <v>6085</v>
      </c>
      <c r="Z680" s="338" t="s">
        <v>6823</v>
      </c>
      <c r="AA680" s="338" t="s">
        <v>6079</v>
      </c>
      <c r="AB680" s="338"/>
      <c r="AC680" s="338" t="s">
        <v>6111</v>
      </c>
      <c r="AD680" s="338"/>
      <c r="AF680" s="502" t="str">
        <f>Table15[[#This Row],[code2]]</f>
        <v>PRL</v>
      </c>
      <c r="AG680" s="502" t="str">
        <f>Table15[[#This Row],[code5]]</f>
        <v>HINVIFR</v>
      </c>
    </row>
    <row r="681" spans="1:33">
      <c r="A681" s="338" t="s">
        <v>6072</v>
      </c>
      <c r="B681" s="338" t="s">
        <v>6073</v>
      </c>
      <c r="C681" s="337">
        <v>1</v>
      </c>
      <c r="D681" s="338" t="s">
        <v>6513</v>
      </c>
      <c r="E681" s="338" t="s">
        <v>6514</v>
      </c>
      <c r="F681" s="337">
        <v>1</v>
      </c>
      <c r="G681" s="337">
        <v>1</v>
      </c>
      <c r="H681" s="338" t="s">
        <v>6515</v>
      </c>
      <c r="I681" s="338" t="s">
        <v>9548</v>
      </c>
      <c r="J681" s="338" t="s">
        <v>9551</v>
      </c>
      <c r="K681" s="338" t="s">
        <v>6516</v>
      </c>
      <c r="L681" s="338" t="s">
        <v>6517</v>
      </c>
      <c r="M681" s="338" t="s">
        <v>6832</v>
      </c>
      <c r="N681" s="338" t="s">
        <v>6443</v>
      </c>
      <c r="O681" s="337">
        <v>1</v>
      </c>
      <c r="P681" s="337">
        <v>1</v>
      </c>
      <c r="Q681" s="338"/>
      <c r="R681" s="338" t="s">
        <v>6088</v>
      </c>
      <c r="S681" s="338"/>
      <c r="T681" s="338"/>
      <c r="U681" s="338" t="s">
        <v>6853</v>
      </c>
      <c r="V681" s="337">
        <v>1</v>
      </c>
      <c r="W681" s="337">
        <v>1</v>
      </c>
      <c r="X681" s="338"/>
      <c r="Y681" s="338" t="s">
        <v>497</v>
      </c>
      <c r="Z681" s="338" t="s">
        <v>6137</v>
      </c>
      <c r="AA681" s="338" t="s">
        <v>6079</v>
      </c>
      <c r="AB681" s="338"/>
      <c r="AC681" s="338" t="s">
        <v>6117</v>
      </c>
      <c r="AD681" s="338"/>
      <c r="AF681" s="502" t="str">
        <f>Table15[[#This Row],[code2]]</f>
        <v>PRL</v>
      </c>
      <c r="AG681" s="502" t="str">
        <f>Table15[[#This Row],[code5]]</f>
        <v>HINVIFR</v>
      </c>
    </row>
    <row r="682" spans="1:33">
      <c r="A682" s="338" t="s">
        <v>6072</v>
      </c>
      <c r="B682" s="338" t="s">
        <v>6073</v>
      </c>
      <c r="C682" s="337">
        <v>1</v>
      </c>
      <c r="D682" s="338" t="s">
        <v>6513</v>
      </c>
      <c r="E682" s="338" t="s">
        <v>6514</v>
      </c>
      <c r="F682" s="337">
        <v>1</v>
      </c>
      <c r="G682" s="337">
        <v>1</v>
      </c>
      <c r="H682" s="338" t="s">
        <v>6515</v>
      </c>
      <c r="I682" s="338" t="s">
        <v>9548</v>
      </c>
      <c r="J682" s="338" t="s">
        <v>9551</v>
      </c>
      <c r="K682" s="338" t="s">
        <v>6516</v>
      </c>
      <c r="L682" s="338" t="s">
        <v>6517</v>
      </c>
      <c r="M682" s="338" t="s">
        <v>6832</v>
      </c>
      <c r="N682" s="338" t="s">
        <v>6443</v>
      </c>
      <c r="O682" s="337">
        <v>1</v>
      </c>
      <c r="P682" s="337">
        <v>1</v>
      </c>
      <c r="Q682" s="338"/>
      <c r="R682" s="338" t="s">
        <v>6088</v>
      </c>
      <c r="S682" s="338"/>
      <c r="T682" s="338"/>
      <c r="U682" s="338" t="s">
        <v>6854</v>
      </c>
      <c r="V682" s="337">
        <v>1</v>
      </c>
      <c r="W682" s="337">
        <v>1</v>
      </c>
      <c r="X682" s="338"/>
      <c r="Y682" s="338" t="s">
        <v>6081</v>
      </c>
      <c r="Z682" s="338" t="s">
        <v>9098</v>
      </c>
      <c r="AA682" s="338" t="s">
        <v>6079</v>
      </c>
      <c r="AB682" s="338"/>
      <c r="AC682" s="338" t="s">
        <v>6117</v>
      </c>
      <c r="AD682" s="338"/>
      <c r="AF682" s="502" t="str">
        <f>Table15[[#This Row],[code2]]</f>
        <v>PRL</v>
      </c>
      <c r="AG682" s="502" t="str">
        <f>Table15[[#This Row],[code5]]</f>
        <v>HINVIFR</v>
      </c>
    </row>
    <row r="683" spans="1:33">
      <c r="A683" s="338" t="s">
        <v>6072</v>
      </c>
      <c r="B683" s="338" t="s">
        <v>6073</v>
      </c>
      <c r="C683" s="337">
        <v>1</v>
      </c>
      <c r="D683" s="338" t="s">
        <v>6513</v>
      </c>
      <c r="E683" s="338" t="s">
        <v>6514</v>
      </c>
      <c r="F683" s="337">
        <v>1</v>
      </c>
      <c r="G683" s="337">
        <v>1</v>
      </c>
      <c r="H683" s="338" t="s">
        <v>6515</v>
      </c>
      <c r="I683" s="338" t="s">
        <v>9548</v>
      </c>
      <c r="J683" s="338" t="s">
        <v>9551</v>
      </c>
      <c r="K683" s="338" t="s">
        <v>6516</v>
      </c>
      <c r="L683" s="338" t="s">
        <v>6517</v>
      </c>
      <c r="M683" s="338" t="s">
        <v>6832</v>
      </c>
      <c r="N683" s="338" t="s">
        <v>6443</v>
      </c>
      <c r="O683" s="337">
        <v>1</v>
      </c>
      <c r="P683" s="337">
        <v>1</v>
      </c>
      <c r="Q683" s="338"/>
      <c r="R683" s="338" t="s">
        <v>6088</v>
      </c>
      <c r="S683" s="338"/>
      <c r="T683" s="338"/>
      <c r="U683" s="338" t="s">
        <v>6855</v>
      </c>
      <c r="V683" s="337">
        <v>1</v>
      </c>
      <c r="W683" s="337">
        <v>1</v>
      </c>
      <c r="X683" s="338"/>
      <c r="Y683" s="338" t="s">
        <v>493</v>
      </c>
      <c r="Z683" s="338" t="s">
        <v>6137</v>
      </c>
      <c r="AA683" s="338" t="s">
        <v>6079</v>
      </c>
      <c r="AB683" s="338"/>
      <c r="AC683" s="338" t="s">
        <v>6117</v>
      </c>
      <c r="AD683" s="338"/>
      <c r="AF683" s="502" t="str">
        <f>Table15[[#This Row],[code2]]</f>
        <v>PRL</v>
      </c>
      <c r="AG683" s="502" t="str">
        <f>Table15[[#This Row],[code5]]</f>
        <v>HINVIFR</v>
      </c>
    </row>
    <row r="684" spans="1:33">
      <c r="A684" s="338" t="s">
        <v>6072</v>
      </c>
      <c r="B684" s="338" t="s">
        <v>6073</v>
      </c>
      <c r="C684" s="337">
        <v>1</v>
      </c>
      <c r="D684" s="338" t="s">
        <v>6513</v>
      </c>
      <c r="E684" s="338" t="s">
        <v>6514</v>
      </c>
      <c r="F684" s="337">
        <v>1</v>
      </c>
      <c r="G684" s="337">
        <v>1</v>
      </c>
      <c r="H684" s="338" t="s">
        <v>6515</v>
      </c>
      <c r="I684" s="338" t="s">
        <v>9548</v>
      </c>
      <c r="J684" s="338" t="s">
        <v>9551</v>
      </c>
      <c r="K684" s="338" t="s">
        <v>6516</v>
      </c>
      <c r="L684" s="338" t="s">
        <v>6517</v>
      </c>
      <c r="M684" s="338" t="s">
        <v>6832</v>
      </c>
      <c r="N684" s="338" t="s">
        <v>6443</v>
      </c>
      <c r="O684" s="337">
        <v>1</v>
      </c>
      <c r="P684" s="337">
        <v>1</v>
      </c>
      <c r="Q684" s="338"/>
      <c r="R684" s="338" t="s">
        <v>6088</v>
      </c>
      <c r="S684" s="338"/>
      <c r="T684" s="338"/>
      <c r="U684" s="338" t="s">
        <v>6856</v>
      </c>
      <c r="V684" s="337">
        <v>1</v>
      </c>
      <c r="W684" s="337">
        <v>1</v>
      </c>
      <c r="X684" s="338"/>
      <c r="Y684" s="338" t="s">
        <v>6085</v>
      </c>
      <c r="Z684" s="338" t="s">
        <v>9140</v>
      </c>
      <c r="AA684" s="338" t="s">
        <v>6079</v>
      </c>
      <c r="AB684" s="338"/>
      <c r="AC684" s="338" t="s">
        <v>6117</v>
      </c>
      <c r="AD684" s="338"/>
      <c r="AF684" s="502" t="str">
        <f>Table15[[#This Row],[code2]]</f>
        <v>PRL</v>
      </c>
      <c r="AG684" s="502" t="str">
        <f>Table15[[#This Row],[code5]]</f>
        <v>HINVIFR</v>
      </c>
    </row>
    <row r="685" spans="1:33">
      <c r="A685" s="338" t="s">
        <v>6072</v>
      </c>
      <c r="B685" s="338" t="s">
        <v>6073</v>
      </c>
      <c r="C685" s="337">
        <v>1</v>
      </c>
      <c r="D685" s="338" t="s">
        <v>6513</v>
      </c>
      <c r="E685" s="338" t="s">
        <v>6514</v>
      </c>
      <c r="F685" s="337">
        <v>1</v>
      </c>
      <c r="G685" s="337">
        <v>1</v>
      </c>
      <c r="H685" s="338" t="s">
        <v>6515</v>
      </c>
      <c r="I685" s="338" t="s">
        <v>9548</v>
      </c>
      <c r="J685" s="338" t="s">
        <v>9551</v>
      </c>
      <c r="K685" s="338" t="s">
        <v>6516</v>
      </c>
      <c r="L685" s="338" t="s">
        <v>6517</v>
      </c>
      <c r="M685" s="338" t="s">
        <v>6832</v>
      </c>
      <c r="N685" s="338" t="s">
        <v>6443</v>
      </c>
      <c r="O685" s="337">
        <v>1</v>
      </c>
      <c r="P685" s="337">
        <v>1</v>
      </c>
      <c r="Q685" s="338"/>
      <c r="R685" s="338" t="s">
        <v>6088</v>
      </c>
      <c r="S685" s="338"/>
      <c r="T685" s="338"/>
      <c r="U685" s="338" t="s">
        <v>6857</v>
      </c>
      <c r="V685" s="337">
        <v>1</v>
      </c>
      <c r="W685" s="337">
        <v>1</v>
      </c>
      <c r="X685" s="338"/>
      <c r="Y685" s="338" t="s">
        <v>497</v>
      </c>
      <c r="Z685" s="338" t="s">
        <v>6137</v>
      </c>
      <c r="AA685" s="338" t="s">
        <v>6079</v>
      </c>
      <c r="AB685" s="338"/>
      <c r="AC685" s="338" t="s">
        <v>6122</v>
      </c>
      <c r="AD685" s="338"/>
      <c r="AF685" s="502" t="str">
        <f>Table15[[#This Row],[code2]]</f>
        <v>PRL</v>
      </c>
      <c r="AG685" s="502" t="str">
        <f>Table15[[#This Row],[code5]]</f>
        <v>HINVIFR</v>
      </c>
    </row>
    <row r="686" spans="1:33">
      <c r="A686" s="338" t="s">
        <v>6072</v>
      </c>
      <c r="B686" s="338" t="s">
        <v>6073</v>
      </c>
      <c r="C686" s="337">
        <v>1</v>
      </c>
      <c r="D686" s="338" t="s">
        <v>6513</v>
      </c>
      <c r="E686" s="338" t="s">
        <v>6514</v>
      </c>
      <c r="F686" s="337">
        <v>1</v>
      </c>
      <c r="G686" s="337">
        <v>1</v>
      </c>
      <c r="H686" s="338" t="s">
        <v>6515</v>
      </c>
      <c r="I686" s="338" t="s">
        <v>9548</v>
      </c>
      <c r="J686" s="338" t="s">
        <v>9551</v>
      </c>
      <c r="K686" s="338" t="s">
        <v>6516</v>
      </c>
      <c r="L686" s="338" t="s">
        <v>6517</v>
      </c>
      <c r="M686" s="338" t="s">
        <v>6832</v>
      </c>
      <c r="N686" s="338" t="s">
        <v>6443</v>
      </c>
      <c r="O686" s="337">
        <v>1</v>
      </c>
      <c r="P686" s="337">
        <v>1</v>
      </c>
      <c r="Q686" s="338"/>
      <c r="R686" s="338" t="s">
        <v>6088</v>
      </c>
      <c r="S686" s="338"/>
      <c r="T686" s="338"/>
      <c r="U686" s="338" t="s">
        <v>6858</v>
      </c>
      <c r="V686" s="337">
        <v>1</v>
      </c>
      <c r="W686" s="337">
        <v>1</v>
      </c>
      <c r="X686" s="338"/>
      <c r="Y686" s="338" t="s">
        <v>6081</v>
      </c>
      <c r="Z686" s="338" t="s">
        <v>9094</v>
      </c>
      <c r="AA686" s="338" t="s">
        <v>6079</v>
      </c>
      <c r="AB686" s="338"/>
      <c r="AC686" s="338" t="s">
        <v>6122</v>
      </c>
      <c r="AD686" s="338"/>
      <c r="AF686" s="502" t="str">
        <f>Table15[[#This Row],[code2]]</f>
        <v>PRL</v>
      </c>
      <c r="AG686" s="502" t="str">
        <f>Table15[[#This Row],[code5]]</f>
        <v>HINVIFR</v>
      </c>
    </row>
    <row r="687" spans="1:33">
      <c r="A687" s="338" t="s">
        <v>6072</v>
      </c>
      <c r="B687" s="338" t="s">
        <v>6073</v>
      </c>
      <c r="C687" s="337">
        <v>1</v>
      </c>
      <c r="D687" s="338" t="s">
        <v>6513</v>
      </c>
      <c r="E687" s="338" t="s">
        <v>6514</v>
      </c>
      <c r="F687" s="337">
        <v>1</v>
      </c>
      <c r="G687" s="337">
        <v>1</v>
      </c>
      <c r="H687" s="338" t="s">
        <v>6515</v>
      </c>
      <c r="I687" s="338" t="s">
        <v>9548</v>
      </c>
      <c r="J687" s="338" t="s">
        <v>9551</v>
      </c>
      <c r="K687" s="338" t="s">
        <v>6516</v>
      </c>
      <c r="L687" s="338" t="s">
        <v>6517</v>
      </c>
      <c r="M687" s="338" t="s">
        <v>6832</v>
      </c>
      <c r="N687" s="338" t="s">
        <v>6443</v>
      </c>
      <c r="O687" s="337">
        <v>1</v>
      </c>
      <c r="P687" s="337">
        <v>1</v>
      </c>
      <c r="Q687" s="338"/>
      <c r="R687" s="338" t="s">
        <v>6088</v>
      </c>
      <c r="S687" s="338"/>
      <c r="T687" s="338"/>
      <c r="U687" s="338" t="s">
        <v>6859</v>
      </c>
      <c r="V687" s="337">
        <v>1</v>
      </c>
      <c r="W687" s="337">
        <v>1</v>
      </c>
      <c r="X687" s="338"/>
      <c r="Y687" s="338" t="s">
        <v>493</v>
      </c>
      <c r="Z687" s="338" t="s">
        <v>6137</v>
      </c>
      <c r="AA687" s="338" t="s">
        <v>6079</v>
      </c>
      <c r="AB687" s="338"/>
      <c r="AC687" s="338" t="s">
        <v>6122</v>
      </c>
      <c r="AD687" s="338"/>
      <c r="AF687" s="502" t="str">
        <f>Table15[[#This Row],[code2]]</f>
        <v>PRL</v>
      </c>
      <c r="AG687" s="502" t="str">
        <f>Table15[[#This Row],[code5]]</f>
        <v>HINVIFR</v>
      </c>
    </row>
    <row r="688" spans="1:33">
      <c r="A688" s="338" t="s">
        <v>6072</v>
      </c>
      <c r="B688" s="338" t="s">
        <v>6073</v>
      </c>
      <c r="C688" s="337">
        <v>1</v>
      </c>
      <c r="D688" s="338" t="s">
        <v>6513</v>
      </c>
      <c r="E688" s="338" t="s">
        <v>6514</v>
      </c>
      <c r="F688" s="337">
        <v>1</v>
      </c>
      <c r="G688" s="337">
        <v>1</v>
      </c>
      <c r="H688" s="338" t="s">
        <v>6515</v>
      </c>
      <c r="I688" s="338" t="s">
        <v>9548</v>
      </c>
      <c r="J688" s="338" t="s">
        <v>9551</v>
      </c>
      <c r="K688" s="338" t="s">
        <v>6516</v>
      </c>
      <c r="L688" s="338" t="s">
        <v>6517</v>
      </c>
      <c r="M688" s="338" t="s">
        <v>6832</v>
      </c>
      <c r="N688" s="338" t="s">
        <v>6443</v>
      </c>
      <c r="O688" s="337">
        <v>1</v>
      </c>
      <c r="P688" s="337">
        <v>1</v>
      </c>
      <c r="Q688" s="338"/>
      <c r="R688" s="338" t="s">
        <v>6088</v>
      </c>
      <c r="S688" s="338"/>
      <c r="T688" s="338"/>
      <c r="U688" s="338" t="s">
        <v>6860</v>
      </c>
      <c r="V688" s="337">
        <v>1</v>
      </c>
      <c r="W688" s="337">
        <v>1</v>
      </c>
      <c r="X688" s="338"/>
      <c r="Y688" s="338" t="s">
        <v>6085</v>
      </c>
      <c r="Z688" s="338" t="s">
        <v>9094</v>
      </c>
      <c r="AA688" s="338" t="s">
        <v>6079</v>
      </c>
      <c r="AB688" s="338"/>
      <c r="AC688" s="338" t="s">
        <v>6122</v>
      </c>
      <c r="AD688" s="338"/>
      <c r="AF688" s="502" t="str">
        <f>Table15[[#This Row],[code2]]</f>
        <v>PRL</v>
      </c>
      <c r="AG688" s="502" t="str">
        <f>Table15[[#This Row],[code5]]</f>
        <v>HINVIFR</v>
      </c>
    </row>
    <row r="689" spans="1:33">
      <c r="A689" s="338" t="s">
        <v>6072</v>
      </c>
      <c r="B689" s="338" t="s">
        <v>6073</v>
      </c>
      <c r="C689" s="337">
        <v>1</v>
      </c>
      <c r="D689" s="338" t="s">
        <v>6513</v>
      </c>
      <c r="E689" s="338" t="s">
        <v>6514</v>
      </c>
      <c r="F689" s="337">
        <v>1</v>
      </c>
      <c r="G689" s="337">
        <v>1</v>
      </c>
      <c r="H689" s="338" t="s">
        <v>6515</v>
      </c>
      <c r="I689" s="338" t="s">
        <v>9548</v>
      </c>
      <c r="J689" s="338" t="s">
        <v>9551</v>
      </c>
      <c r="K689" s="338" t="s">
        <v>6516</v>
      </c>
      <c r="L689" s="338" t="s">
        <v>6517</v>
      </c>
      <c r="M689" s="338" t="s">
        <v>6861</v>
      </c>
      <c r="N689" s="338" t="s">
        <v>6406</v>
      </c>
      <c r="O689" s="337">
        <v>1</v>
      </c>
      <c r="P689" s="337">
        <v>1</v>
      </c>
      <c r="Q689" s="338"/>
      <c r="R689" s="338" t="s">
        <v>6088</v>
      </c>
      <c r="S689" s="338"/>
      <c r="T689" s="338"/>
      <c r="U689" s="338" t="s">
        <v>6862</v>
      </c>
      <c r="V689" s="337">
        <v>1</v>
      </c>
      <c r="W689" s="337">
        <v>1</v>
      </c>
      <c r="X689" s="338"/>
      <c r="Y689" s="338" t="s">
        <v>497</v>
      </c>
      <c r="Z689" s="338" t="s">
        <v>8012</v>
      </c>
      <c r="AA689" s="338" t="s">
        <v>6079</v>
      </c>
      <c r="AB689" s="338"/>
      <c r="AC689" s="338" t="s">
        <v>6408</v>
      </c>
      <c r="AD689" s="338"/>
      <c r="AF689" s="502" t="str">
        <f>Table15[[#This Row],[code2]]</f>
        <v>PRL</v>
      </c>
      <c r="AG689" s="502" t="str">
        <f>Table15[[#This Row],[code5]]</f>
        <v>HINVHLSIR</v>
      </c>
    </row>
    <row r="690" spans="1:33">
      <c r="A690" s="338" t="s">
        <v>6072</v>
      </c>
      <c r="B690" s="338" t="s">
        <v>6073</v>
      </c>
      <c r="C690" s="337">
        <v>1</v>
      </c>
      <c r="D690" s="338" t="s">
        <v>6513</v>
      </c>
      <c r="E690" s="338" t="s">
        <v>6514</v>
      </c>
      <c r="F690" s="337">
        <v>1</v>
      </c>
      <c r="G690" s="337">
        <v>1</v>
      </c>
      <c r="H690" s="338" t="s">
        <v>6515</v>
      </c>
      <c r="I690" s="338" t="s">
        <v>9548</v>
      </c>
      <c r="J690" s="338" t="s">
        <v>9551</v>
      </c>
      <c r="K690" s="338" t="s">
        <v>6516</v>
      </c>
      <c r="L690" s="338" t="s">
        <v>6517</v>
      </c>
      <c r="M690" s="338" t="s">
        <v>6861</v>
      </c>
      <c r="N690" s="338" t="s">
        <v>6406</v>
      </c>
      <c r="O690" s="337">
        <v>1</v>
      </c>
      <c r="P690" s="337">
        <v>1</v>
      </c>
      <c r="Q690" s="338"/>
      <c r="R690" s="338" t="s">
        <v>6088</v>
      </c>
      <c r="S690" s="338"/>
      <c r="T690" s="338"/>
      <c r="U690" s="338" t="s">
        <v>6863</v>
      </c>
      <c r="V690" s="337">
        <v>1</v>
      </c>
      <c r="W690" s="337">
        <v>1</v>
      </c>
      <c r="X690" s="338"/>
      <c r="Y690" s="338" t="s">
        <v>6081</v>
      </c>
      <c r="Z690" s="338" t="s">
        <v>9097</v>
      </c>
      <c r="AA690" s="338" t="s">
        <v>6079</v>
      </c>
      <c r="AB690" s="338"/>
      <c r="AC690" s="338" t="s">
        <v>6408</v>
      </c>
      <c r="AD690" s="338"/>
      <c r="AF690" s="502" t="str">
        <f>Table15[[#This Row],[code2]]</f>
        <v>PRL</v>
      </c>
      <c r="AG690" s="502" t="str">
        <f>Table15[[#This Row],[code5]]</f>
        <v>HINVHLSIR</v>
      </c>
    </row>
    <row r="691" spans="1:33">
      <c r="A691" s="338" t="s">
        <v>6072</v>
      </c>
      <c r="B691" s="338" t="s">
        <v>6073</v>
      </c>
      <c r="C691" s="337">
        <v>1</v>
      </c>
      <c r="D691" s="338" t="s">
        <v>6513</v>
      </c>
      <c r="E691" s="338" t="s">
        <v>6514</v>
      </c>
      <c r="F691" s="337">
        <v>1</v>
      </c>
      <c r="G691" s="337">
        <v>1</v>
      </c>
      <c r="H691" s="338" t="s">
        <v>6515</v>
      </c>
      <c r="I691" s="338" t="s">
        <v>9548</v>
      </c>
      <c r="J691" s="338" t="s">
        <v>9551</v>
      </c>
      <c r="K691" s="338" t="s">
        <v>6516</v>
      </c>
      <c r="L691" s="338" t="s">
        <v>6517</v>
      </c>
      <c r="M691" s="338" t="s">
        <v>6861</v>
      </c>
      <c r="N691" s="338" t="s">
        <v>6406</v>
      </c>
      <c r="O691" s="337">
        <v>1</v>
      </c>
      <c r="P691" s="337">
        <v>1</v>
      </c>
      <c r="Q691" s="338"/>
      <c r="R691" s="338" t="s">
        <v>6088</v>
      </c>
      <c r="S691" s="338"/>
      <c r="T691" s="338"/>
      <c r="U691" s="338" t="s">
        <v>6864</v>
      </c>
      <c r="V691" s="337">
        <v>1</v>
      </c>
      <c r="W691" s="337">
        <v>1</v>
      </c>
      <c r="X691" s="338"/>
      <c r="Y691" s="338" t="s">
        <v>493</v>
      </c>
      <c r="Z691" s="338" t="s">
        <v>7974</v>
      </c>
      <c r="AA691" s="338" t="s">
        <v>6079</v>
      </c>
      <c r="AB691" s="338"/>
      <c r="AC691" s="338" t="s">
        <v>6408</v>
      </c>
      <c r="AD691" s="338"/>
      <c r="AF691" s="502" t="str">
        <f>Table15[[#This Row],[code2]]</f>
        <v>PRL</v>
      </c>
      <c r="AG691" s="502" t="str">
        <f>Table15[[#This Row],[code5]]</f>
        <v>HINVHLSIR</v>
      </c>
    </row>
    <row r="692" spans="1:33">
      <c r="A692" s="338" t="s">
        <v>6072</v>
      </c>
      <c r="B692" s="338" t="s">
        <v>6073</v>
      </c>
      <c r="C692" s="337">
        <v>1</v>
      </c>
      <c r="D692" s="338" t="s">
        <v>6513</v>
      </c>
      <c r="E692" s="338" t="s">
        <v>6514</v>
      </c>
      <c r="F692" s="337">
        <v>1</v>
      </c>
      <c r="G692" s="337">
        <v>1</v>
      </c>
      <c r="H692" s="338" t="s">
        <v>6515</v>
      </c>
      <c r="I692" s="338" t="s">
        <v>9548</v>
      </c>
      <c r="J692" s="338" t="s">
        <v>9551</v>
      </c>
      <c r="K692" s="338" t="s">
        <v>6516</v>
      </c>
      <c r="L692" s="338" t="s">
        <v>6517</v>
      </c>
      <c r="M692" s="338" t="s">
        <v>6861</v>
      </c>
      <c r="N692" s="338" t="s">
        <v>6406</v>
      </c>
      <c r="O692" s="337">
        <v>1</v>
      </c>
      <c r="P692" s="337">
        <v>1</v>
      </c>
      <c r="Q692" s="338"/>
      <c r="R692" s="338" t="s">
        <v>6088</v>
      </c>
      <c r="S692" s="338"/>
      <c r="T692" s="338"/>
      <c r="U692" s="338" t="s">
        <v>6865</v>
      </c>
      <c r="V692" s="337">
        <v>1</v>
      </c>
      <c r="W692" s="337">
        <v>1</v>
      </c>
      <c r="X692" s="338"/>
      <c r="Y692" s="338" t="s">
        <v>6085</v>
      </c>
      <c r="Z692" s="338" t="s">
        <v>9161</v>
      </c>
      <c r="AA692" s="338" t="s">
        <v>6079</v>
      </c>
      <c r="AB692" s="338"/>
      <c r="AC692" s="338" t="s">
        <v>6408</v>
      </c>
      <c r="AD692" s="338"/>
      <c r="AF692" s="502" t="str">
        <f>Table15[[#This Row],[code2]]</f>
        <v>PRL</v>
      </c>
      <c r="AG692" s="502" t="str">
        <f>Table15[[#This Row],[code5]]</f>
        <v>HINVHLSIR</v>
      </c>
    </row>
    <row r="693" spans="1:33">
      <c r="A693" s="338" t="s">
        <v>6072</v>
      </c>
      <c r="B693" s="338" t="s">
        <v>6073</v>
      </c>
      <c r="C693" s="337">
        <v>1</v>
      </c>
      <c r="D693" s="338" t="s">
        <v>6513</v>
      </c>
      <c r="E693" s="338" t="s">
        <v>6514</v>
      </c>
      <c r="F693" s="337">
        <v>1</v>
      </c>
      <c r="G693" s="337">
        <v>1</v>
      </c>
      <c r="H693" s="338" t="s">
        <v>6515</v>
      </c>
      <c r="I693" s="338" t="s">
        <v>9548</v>
      </c>
      <c r="J693" s="338" t="s">
        <v>9551</v>
      </c>
      <c r="K693" s="338" t="s">
        <v>6516</v>
      </c>
      <c r="L693" s="338" t="s">
        <v>6517</v>
      </c>
      <c r="M693" s="338" t="s">
        <v>6861</v>
      </c>
      <c r="N693" s="338" t="s">
        <v>6406</v>
      </c>
      <c r="O693" s="337">
        <v>1</v>
      </c>
      <c r="P693" s="337">
        <v>1</v>
      </c>
      <c r="Q693" s="338"/>
      <c r="R693" s="338" t="s">
        <v>6088</v>
      </c>
      <c r="S693" s="338"/>
      <c r="T693" s="338"/>
      <c r="U693" s="338" t="s">
        <v>6866</v>
      </c>
      <c r="V693" s="337">
        <v>1</v>
      </c>
      <c r="W693" s="337">
        <v>1</v>
      </c>
      <c r="X693" s="338"/>
      <c r="Y693" s="338" t="s">
        <v>497</v>
      </c>
      <c r="Z693" s="338" t="s">
        <v>8008</v>
      </c>
      <c r="AA693" s="338" t="s">
        <v>6079</v>
      </c>
      <c r="AB693" s="338"/>
      <c r="AC693" s="338" t="s">
        <v>6413</v>
      </c>
      <c r="AD693" s="338"/>
      <c r="AF693" s="502" t="str">
        <f>Table15[[#This Row],[code2]]</f>
        <v>PRL</v>
      </c>
      <c r="AG693" s="502" t="str">
        <f>Table15[[#This Row],[code5]]</f>
        <v>HINVHLSIR</v>
      </c>
    </row>
    <row r="694" spans="1:33">
      <c r="A694" s="338" t="s">
        <v>6072</v>
      </c>
      <c r="B694" s="338" t="s">
        <v>6073</v>
      </c>
      <c r="C694" s="337">
        <v>1</v>
      </c>
      <c r="D694" s="338" t="s">
        <v>6513</v>
      </c>
      <c r="E694" s="338" t="s">
        <v>6514</v>
      </c>
      <c r="F694" s="337">
        <v>1</v>
      </c>
      <c r="G694" s="337">
        <v>1</v>
      </c>
      <c r="H694" s="338" t="s">
        <v>6515</v>
      </c>
      <c r="I694" s="338" t="s">
        <v>9548</v>
      </c>
      <c r="J694" s="338" t="s">
        <v>9551</v>
      </c>
      <c r="K694" s="338" t="s">
        <v>6516</v>
      </c>
      <c r="L694" s="338" t="s">
        <v>6517</v>
      </c>
      <c r="M694" s="338" t="s">
        <v>6861</v>
      </c>
      <c r="N694" s="338" t="s">
        <v>6406</v>
      </c>
      <c r="O694" s="337">
        <v>1</v>
      </c>
      <c r="P694" s="337">
        <v>1</v>
      </c>
      <c r="Q694" s="338"/>
      <c r="R694" s="338" t="s">
        <v>6088</v>
      </c>
      <c r="S694" s="338"/>
      <c r="T694" s="338"/>
      <c r="U694" s="338" t="s">
        <v>6867</v>
      </c>
      <c r="V694" s="337">
        <v>1</v>
      </c>
      <c r="W694" s="337">
        <v>1</v>
      </c>
      <c r="X694" s="338"/>
      <c r="Y694" s="338" t="s">
        <v>6081</v>
      </c>
      <c r="Z694" s="338" t="s">
        <v>9162</v>
      </c>
      <c r="AA694" s="338" t="s">
        <v>6079</v>
      </c>
      <c r="AB694" s="338"/>
      <c r="AC694" s="338" t="s">
        <v>6413</v>
      </c>
      <c r="AD694" s="338"/>
      <c r="AF694" s="502" t="str">
        <f>Table15[[#This Row],[code2]]</f>
        <v>PRL</v>
      </c>
      <c r="AG694" s="502" t="str">
        <f>Table15[[#This Row],[code5]]</f>
        <v>HINVHLSIR</v>
      </c>
    </row>
    <row r="695" spans="1:33">
      <c r="A695" s="338" t="s">
        <v>6072</v>
      </c>
      <c r="B695" s="338" t="s">
        <v>6073</v>
      </c>
      <c r="C695" s="337">
        <v>1</v>
      </c>
      <c r="D695" s="338" t="s">
        <v>6513</v>
      </c>
      <c r="E695" s="338" t="s">
        <v>6514</v>
      </c>
      <c r="F695" s="337">
        <v>1</v>
      </c>
      <c r="G695" s="337">
        <v>1</v>
      </c>
      <c r="H695" s="338" t="s">
        <v>6515</v>
      </c>
      <c r="I695" s="338" t="s">
        <v>9548</v>
      </c>
      <c r="J695" s="338" t="s">
        <v>9551</v>
      </c>
      <c r="K695" s="338" t="s">
        <v>6516</v>
      </c>
      <c r="L695" s="338" t="s">
        <v>6517</v>
      </c>
      <c r="M695" s="338" t="s">
        <v>6861</v>
      </c>
      <c r="N695" s="338" t="s">
        <v>6406</v>
      </c>
      <c r="O695" s="337">
        <v>1</v>
      </c>
      <c r="P695" s="337">
        <v>1</v>
      </c>
      <c r="Q695" s="338"/>
      <c r="R695" s="338" t="s">
        <v>6088</v>
      </c>
      <c r="S695" s="338"/>
      <c r="T695" s="338"/>
      <c r="U695" s="338" t="s">
        <v>6868</v>
      </c>
      <c r="V695" s="337">
        <v>1</v>
      </c>
      <c r="W695" s="337">
        <v>1</v>
      </c>
      <c r="X695" s="338"/>
      <c r="Y695" s="338" t="s">
        <v>493</v>
      </c>
      <c r="Z695" s="338" t="s">
        <v>7972</v>
      </c>
      <c r="AA695" s="338" t="s">
        <v>6079</v>
      </c>
      <c r="AB695" s="338"/>
      <c r="AC695" s="338" t="s">
        <v>6413</v>
      </c>
      <c r="AD695" s="338"/>
      <c r="AF695" s="502" t="str">
        <f>Table15[[#This Row],[code2]]</f>
        <v>PRL</v>
      </c>
      <c r="AG695" s="502" t="str">
        <f>Table15[[#This Row],[code5]]</f>
        <v>HINVHLSIR</v>
      </c>
    </row>
    <row r="696" spans="1:33">
      <c r="A696" s="338" t="s">
        <v>6072</v>
      </c>
      <c r="B696" s="338" t="s">
        <v>6073</v>
      </c>
      <c r="C696" s="337">
        <v>1</v>
      </c>
      <c r="D696" s="338" t="s">
        <v>6513</v>
      </c>
      <c r="E696" s="338" t="s">
        <v>6514</v>
      </c>
      <c r="F696" s="337">
        <v>1</v>
      </c>
      <c r="G696" s="337">
        <v>1</v>
      </c>
      <c r="H696" s="338" t="s">
        <v>6515</v>
      </c>
      <c r="I696" s="338" t="s">
        <v>9548</v>
      </c>
      <c r="J696" s="338" t="s">
        <v>9551</v>
      </c>
      <c r="K696" s="338" t="s">
        <v>6516</v>
      </c>
      <c r="L696" s="338" t="s">
        <v>6517</v>
      </c>
      <c r="M696" s="338" t="s">
        <v>6861</v>
      </c>
      <c r="N696" s="338" t="s">
        <v>6406</v>
      </c>
      <c r="O696" s="337">
        <v>1</v>
      </c>
      <c r="P696" s="337">
        <v>1</v>
      </c>
      <c r="Q696" s="338"/>
      <c r="R696" s="338" t="s">
        <v>6088</v>
      </c>
      <c r="S696" s="338"/>
      <c r="T696" s="338"/>
      <c r="U696" s="338" t="s">
        <v>6869</v>
      </c>
      <c r="V696" s="337">
        <v>1</v>
      </c>
      <c r="W696" s="337">
        <v>1</v>
      </c>
      <c r="X696" s="338"/>
      <c r="Y696" s="338" t="s">
        <v>6085</v>
      </c>
      <c r="Z696" s="338" t="s">
        <v>8591</v>
      </c>
      <c r="AA696" s="338" t="s">
        <v>6079</v>
      </c>
      <c r="AB696" s="338"/>
      <c r="AC696" s="338" t="s">
        <v>6413</v>
      </c>
      <c r="AD696" s="338"/>
      <c r="AF696" s="502" t="str">
        <f>Table15[[#This Row],[code2]]</f>
        <v>PRL</v>
      </c>
      <c r="AG696" s="502" t="str">
        <f>Table15[[#This Row],[code5]]</f>
        <v>HINVHLSIR</v>
      </c>
    </row>
    <row r="697" spans="1:33">
      <c r="A697" s="338" t="s">
        <v>6072</v>
      </c>
      <c r="B697" s="338" t="s">
        <v>6073</v>
      </c>
      <c r="C697" s="337">
        <v>1</v>
      </c>
      <c r="D697" s="338" t="s">
        <v>6513</v>
      </c>
      <c r="E697" s="338" t="s">
        <v>6514</v>
      </c>
      <c r="F697" s="337">
        <v>1</v>
      </c>
      <c r="G697" s="337">
        <v>1</v>
      </c>
      <c r="H697" s="338" t="s">
        <v>6515</v>
      </c>
      <c r="I697" s="338" t="s">
        <v>9548</v>
      </c>
      <c r="J697" s="338" t="s">
        <v>9551</v>
      </c>
      <c r="K697" s="338" t="s">
        <v>6516</v>
      </c>
      <c r="L697" s="338" t="s">
        <v>6517</v>
      </c>
      <c r="M697" s="338" t="s">
        <v>6861</v>
      </c>
      <c r="N697" s="338" t="s">
        <v>6406</v>
      </c>
      <c r="O697" s="337">
        <v>1</v>
      </c>
      <c r="P697" s="337">
        <v>1</v>
      </c>
      <c r="Q697" s="338"/>
      <c r="R697" s="338" t="s">
        <v>6088</v>
      </c>
      <c r="S697" s="338"/>
      <c r="T697" s="338"/>
      <c r="U697" s="338" t="s">
        <v>6870</v>
      </c>
      <c r="V697" s="337">
        <v>1</v>
      </c>
      <c r="W697" s="337">
        <v>1</v>
      </c>
      <c r="X697" s="338"/>
      <c r="Y697" s="338" t="s">
        <v>497</v>
      </c>
      <c r="Z697" s="338" t="s">
        <v>8008</v>
      </c>
      <c r="AA697" s="338" t="s">
        <v>6079</v>
      </c>
      <c r="AB697" s="338"/>
      <c r="AC697" s="338" t="s">
        <v>6418</v>
      </c>
      <c r="AD697" s="338"/>
      <c r="AF697" s="502" t="str">
        <f>Table15[[#This Row],[code2]]</f>
        <v>PRL</v>
      </c>
      <c r="AG697" s="502" t="str">
        <f>Table15[[#This Row],[code5]]</f>
        <v>HINVHLSIR</v>
      </c>
    </row>
    <row r="698" spans="1:33">
      <c r="A698" s="338" t="s">
        <v>6072</v>
      </c>
      <c r="B698" s="338" t="s">
        <v>6073</v>
      </c>
      <c r="C698" s="337">
        <v>1</v>
      </c>
      <c r="D698" s="338" t="s">
        <v>6513</v>
      </c>
      <c r="E698" s="338" t="s">
        <v>6514</v>
      </c>
      <c r="F698" s="337">
        <v>1</v>
      </c>
      <c r="G698" s="337">
        <v>1</v>
      </c>
      <c r="H698" s="338" t="s">
        <v>6515</v>
      </c>
      <c r="I698" s="338" t="s">
        <v>9548</v>
      </c>
      <c r="J698" s="338" t="s">
        <v>9551</v>
      </c>
      <c r="K698" s="338" t="s">
        <v>6516</v>
      </c>
      <c r="L698" s="338" t="s">
        <v>6517</v>
      </c>
      <c r="M698" s="338" t="s">
        <v>6861</v>
      </c>
      <c r="N698" s="338" t="s">
        <v>6406</v>
      </c>
      <c r="O698" s="337">
        <v>1</v>
      </c>
      <c r="P698" s="337">
        <v>1</v>
      </c>
      <c r="Q698" s="338"/>
      <c r="R698" s="338" t="s">
        <v>6088</v>
      </c>
      <c r="S698" s="338"/>
      <c r="T698" s="338"/>
      <c r="U698" s="338" t="s">
        <v>6871</v>
      </c>
      <c r="V698" s="337">
        <v>1</v>
      </c>
      <c r="W698" s="337">
        <v>1</v>
      </c>
      <c r="X698" s="338"/>
      <c r="Y698" s="338" t="s">
        <v>6081</v>
      </c>
      <c r="Z698" s="338" t="s">
        <v>9163</v>
      </c>
      <c r="AA698" s="338" t="s">
        <v>6079</v>
      </c>
      <c r="AB698" s="338"/>
      <c r="AC698" s="338" t="s">
        <v>6418</v>
      </c>
      <c r="AD698" s="338"/>
      <c r="AF698" s="502" t="str">
        <f>Table15[[#This Row],[code2]]</f>
        <v>PRL</v>
      </c>
      <c r="AG698" s="502" t="str">
        <f>Table15[[#This Row],[code5]]</f>
        <v>HINVHLSIR</v>
      </c>
    </row>
    <row r="699" spans="1:33">
      <c r="A699" s="338" t="s">
        <v>6072</v>
      </c>
      <c r="B699" s="338" t="s">
        <v>6073</v>
      </c>
      <c r="C699" s="337">
        <v>1</v>
      </c>
      <c r="D699" s="338" t="s">
        <v>6513</v>
      </c>
      <c r="E699" s="338" t="s">
        <v>6514</v>
      </c>
      <c r="F699" s="337">
        <v>1</v>
      </c>
      <c r="G699" s="337">
        <v>1</v>
      </c>
      <c r="H699" s="338" t="s">
        <v>6515</v>
      </c>
      <c r="I699" s="338" t="s">
        <v>9548</v>
      </c>
      <c r="J699" s="338" t="s">
        <v>9551</v>
      </c>
      <c r="K699" s="338" t="s">
        <v>6516</v>
      </c>
      <c r="L699" s="338" t="s">
        <v>6517</v>
      </c>
      <c r="M699" s="338" t="s">
        <v>6861</v>
      </c>
      <c r="N699" s="338" t="s">
        <v>6406</v>
      </c>
      <c r="O699" s="337">
        <v>1</v>
      </c>
      <c r="P699" s="337">
        <v>1</v>
      </c>
      <c r="Q699" s="338"/>
      <c r="R699" s="338" t="s">
        <v>6088</v>
      </c>
      <c r="S699" s="338"/>
      <c r="T699" s="338"/>
      <c r="U699" s="338" t="s">
        <v>6872</v>
      </c>
      <c r="V699" s="337">
        <v>1</v>
      </c>
      <c r="W699" s="337">
        <v>1</v>
      </c>
      <c r="X699" s="338"/>
      <c r="Y699" s="338" t="s">
        <v>493</v>
      </c>
      <c r="Z699" s="338" t="s">
        <v>7972</v>
      </c>
      <c r="AA699" s="338" t="s">
        <v>6079</v>
      </c>
      <c r="AB699" s="338"/>
      <c r="AC699" s="338" t="s">
        <v>6418</v>
      </c>
      <c r="AD699" s="338"/>
      <c r="AF699" s="502" t="str">
        <f>Table15[[#This Row],[code2]]</f>
        <v>PRL</v>
      </c>
      <c r="AG699" s="502" t="str">
        <f>Table15[[#This Row],[code5]]</f>
        <v>HINVHLSIR</v>
      </c>
    </row>
    <row r="700" spans="1:33">
      <c r="A700" s="338" t="s">
        <v>6072</v>
      </c>
      <c r="B700" s="338" t="s">
        <v>6073</v>
      </c>
      <c r="C700" s="337">
        <v>1</v>
      </c>
      <c r="D700" s="338" t="s">
        <v>6513</v>
      </c>
      <c r="E700" s="338" t="s">
        <v>6514</v>
      </c>
      <c r="F700" s="337">
        <v>1</v>
      </c>
      <c r="G700" s="337">
        <v>1</v>
      </c>
      <c r="H700" s="338" t="s">
        <v>6515</v>
      </c>
      <c r="I700" s="338" t="s">
        <v>9548</v>
      </c>
      <c r="J700" s="338" t="s">
        <v>9551</v>
      </c>
      <c r="K700" s="338" t="s">
        <v>6516</v>
      </c>
      <c r="L700" s="338" t="s">
        <v>6517</v>
      </c>
      <c r="M700" s="338" t="s">
        <v>6861</v>
      </c>
      <c r="N700" s="338" t="s">
        <v>6406</v>
      </c>
      <c r="O700" s="337">
        <v>1</v>
      </c>
      <c r="P700" s="337">
        <v>1</v>
      </c>
      <c r="Q700" s="338"/>
      <c r="R700" s="338" t="s">
        <v>6088</v>
      </c>
      <c r="S700" s="338"/>
      <c r="T700" s="338"/>
      <c r="U700" s="338" t="s">
        <v>6873</v>
      </c>
      <c r="V700" s="337">
        <v>1</v>
      </c>
      <c r="W700" s="337">
        <v>1</v>
      </c>
      <c r="X700" s="338"/>
      <c r="Y700" s="338" t="s">
        <v>6085</v>
      </c>
      <c r="Z700" s="338" t="s">
        <v>9063</v>
      </c>
      <c r="AA700" s="338" t="s">
        <v>6079</v>
      </c>
      <c r="AB700" s="338"/>
      <c r="AC700" s="338" t="s">
        <v>6418</v>
      </c>
      <c r="AD700" s="338"/>
      <c r="AF700" s="502" t="str">
        <f>Table15[[#This Row],[code2]]</f>
        <v>PRL</v>
      </c>
      <c r="AG700" s="502" t="str">
        <f>Table15[[#This Row],[code5]]</f>
        <v>HINVHLSIR</v>
      </c>
    </row>
    <row r="701" spans="1:33">
      <c r="A701" s="338" t="s">
        <v>6072</v>
      </c>
      <c r="B701" s="338" t="s">
        <v>6073</v>
      </c>
      <c r="C701" s="337">
        <v>1</v>
      </c>
      <c r="D701" s="338" t="s">
        <v>6513</v>
      </c>
      <c r="E701" s="338" t="s">
        <v>6514</v>
      </c>
      <c r="F701" s="337">
        <v>1</v>
      </c>
      <c r="G701" s="337">
        <v>1</v>
      </c>
      <c r="H701" s="338" t="s">
        <v>6515</v>
      </c>
      <c r="I701" s="338" t="s">
        <v>9548</v>
      </c>
      <c r="J701" s="338" t="s">
        <v>9551</v>
      </c>
      <c r="K701" s="338" t="s">
        <v>6516</v>
      </c>
      <c r="L701" s="338" t="s">
        <v>6517</v>
      </c>
      <c r="M701" s="338" t="s">
        <v>6861</v>
      </c>
      <c r="N701" s="338" t="s">
        <v>6406</v>
      </c>
      <c r="O701" s="337">
        <v>1</v>
      </c>
      <c r="P701" s="337">
        <v>1</v>
      </c>
      <c r="Q701" s="338"/>
      <c r="R701" s="338" t="s">
        <v>6088</v>
      </c>
      <c r="S701" s="338"/>
      <c r="T701" s="338"/>
      <c r="U701" s="338" t="s">
        <v>6874</v>
      </c>
      <c r="V701" s="337">
        <v>1</v>
      </c>
      <c r="W701" s="337">
        <v>1</v>
      </c>
      <c r="X701" s="338"/>
      <c r="Y701" s="338" t="s">
        <v>497</v>
      </c>
      <c r="Z701" s="338" t="s">
        <v>8011</v>
      </c>
      <c r="AA701" s="338" t="s">
        <v>6079</v>
      </c>
      <c r="AB701" s="338"/>
      <c r="AC701" s="338" t="s">
        <v>6423</v>
      </c>
      <c r="AD701" s="338"/>
      <c r="AF701" s="502" t="str">
        <f>Table15[[#This Row],[code2]]</f>
        <v>PRL</v>
      </c>
      <c r="AG701" s="502" t="str">
        <f>Table15[[#This Row],[code5]]</f>
        <v>HINVHLSIR</v>
      </c>
    </row>
    <row r="702" spans="1:33">
      <c r="A702" s="338" t="s">
        <v>6072</v>
      </c>
      <c r="B702" s="338" t="s">
        <v>6073</v>
      </c>
      <c r="C702" s="337">
        <v>1</v>
      </c>
      <c r="D702" s="338" t="s">
        <v>6513</v>
      </c>
      <c r="E702" s="338" t="s">
        <v>6514</v>
      </c>
      <c r="F702" s="337">
        <v>1</v>
      </c>
      <c r="G702" s="337">
        <v>1</v>
      </c>
      <c r="H702" s="338" t="s">
        <v>6515</v>
      </c>
      <c r="I702" s="338" t="s">
        <v>9548</v>
      </c>
      <c r="J702" s="338" t="s">
        <v>9551</v>
      </c>
      <c r="K702" s="338" t="s">
        <v>6516</v>
      </c>
      <c r="L702" s="338" t="s">
        <v>6517</v>
      </c>
      <c r="M702" s="338" t="s">
        <v>6861</v>
      </c>
      <c r="N702" s="338" t="s">
        <v>6406</v>
      </c>
      <c r="O702" s="337">
        <v>1</v>
      </c>
      <c r="P702" s="337">
        <v>1</v>
      </c>
      <c r="Q702" s="338"/>
      <c r="R702" s="338" t="s">
        <v>6088</v>
      </c>
      <c r="S702" s="338"/>
      <c r="T702" s="338"/>
      <c r="U702" s="338" t="s">
        <v>6875</v>
      </c>
      <c r="V702" s="337">
        <v>1</v>
      </c>
      <c r="W702" s="337">
        <v>1</v>
      </c>
      <c r="X702" s="338"/>
      <c r="Y702" s="338" t="s">
        <v>6081</v>
      </c>
      <c r="Z702" s="338" t="s">
        <v>8739</v>
      </c>
      <c r="AA702" s="338" t="s">
        <v>6079</v>
      </c>
      <c r="AB702" s="338"/>
      <c r="AC702" s="338" t="s">
        <v>6423</v>
      </c>
      <c r="AD702" s="338"/>
      <c r="AF702" s="502" t="str">
        <f>Table15[[#This Row],[code2]]</f>
        <v>PRL</v>
      </c>
      <c r="AG702" s="502" t="str">
        <f>Table15[[#This Row],[code5]]</f>
        <v>HINVHLSIR</v>
      </c>
    </row>
    <row r="703" spans="1:33">
      <c r="A703" s="338" t="s">
        <v>6072</v>
      </c>
      <c r="B703" s="338" t="s">
        <v>6073</v>
      </c>
      <c r="C703" s="337">
        <v>1</v>
      </c>
      <c r="D703" s="338" t="s">
        <v>6513</v>
      </c>
      <c r="E703" s="338" t="s">
        <v>6514</v>
      </c>
      <c r="F703" s="337">
        <v>1</v>
      </c>
      <c r="G703" s="337">
        <v>1</v>
      </c>
      <c r="H703" s="338" t="s">
        <v>6515</v>
      </c>
      <c r="I703" s="338" t="s">
        <v>9548</v>
      </c>
      <c r="J703" s="338" t="s">
        <v>9551</v>
      </c>
      <c r="K703" s="338" t="s">
        <v>6516</v>
      </c>
      <c r="L703" s="338" t="s">
        <v>6517</v>
      </c>
      <c r="M703" s="338" t="s">
        <v>6861</v>
      </c>
      <c r="N703" s="338" t="s">
        <v>6406</v>
      </c>
      <c r="O703" s="337">
        <v>1</v>
      </c>
      <c r="P703" s="337">
        <v>1</v>
      </c>
      <c r="Q703" s="338"/>
      <c r="R703" s="338" t="s">
        <v>6088</v>
      </c>
      <c r="S703" s="338"/>
      <c r="T703" s="338"/>
      <c r="U703" s="338" t="s">
        <v>6876</v>
      </c>
      <c r="V703" s="337">
        <v>1</v>
      </c>
      <c r="W703" s="337">
        <v>1</v>
      </c>
      <c r="X703" s="338"/>
      <c r="Y703" s="338" t="s">
        <v>493</v>
      </c>
      <c r="Z703" s="338" t="s">
        <v>8012</v>
      </c>
      <c r="AA703" s="338" t="s">
        <v>6079</v>
      </c>
      <c r="AB703" s="338"/>
      <c r="AC703" s="338" t="s">
        <v>6423</v>
      </c>
      <c r="AD703" s="338"/>
      <c r="AF703" s="502" t="str">
        <f>Table15[[#This Row],[code2]]</f>
        <v>PRL</v>
      </c>
      <c r="AG703" s="502" t="str">
        <f>Table15[[#This Row],[code5]]</f>
        <v>HINVHLSIR</v>
      </c>
    </row>
    <row r="704" spans="1:33">
      <c r="A704" s="338" t="s">
        <v>6072</v>
      </c>
      <c r="B704" s="338" t="s">
        <v>6073</v>
      </c>
      <c r="C704" s="337">
        <v>1</v>
      </c>
      <c r="D704" s="338" t="s">
        <v>6513</v>
      </c>
      <c r="E704" s="338" t="s">
        <v>6514</v>
      </c>
      <c r="F704" s="337">
        <v>1</v>
      </c>
      <c r="G704" s="337">
        <v>1</v>
      </c>
      <c r="H704" s="338" t="s">
        <v>6515</v>
      </c>
      <c r="I704" s="338" t="s">
        <v>9548</v>
      </c>
      <c r="J704" s="338" t="s">
        <v>9551</v>
      </c>
      <c r="K704" s="338" t="s">
        <v>6516</v>
      </c>
      <c r="L704" s="338" t="s">
        <v>6517</v>
      </c>
      <c r="M704" s="338" t="s">
        <v>6861</v>
      </c>
      <c r="N704" s="338" t="s">
        <v>6406</v>
      </c>
      <c r="O704" s="337">
        <v>1</v>
      </c>
      <c r="P704" s="337">
        <v>1</v>
      </c>
      <c r="Q704" s="338"/>
      <c r="R704" s="338" t="s">
        <v>6088</v>
      </c>
      <c r="S704" s="338"/>
      <c r="T704" s="338"/>
      <c r="U704" s="338" t="s">
        <v>6877</v>
      </c>
      <c r="V704" s="337">
        <v>1</v>
      </c>
      <c r="W704" s="337">
        <v>1</v>
      </c>
      <c r="X704" s="338"/>
      <c r="Y704" s="338" t="s">
        <v>6085</v>
      </c>
      <c r="Z704" s="338" t="s">
        <v>8734</v>
      </c>
      <c r="AA704" s="338" t="s">
        <v>6079</v>
      </c>
      <c r="AB704" s="338"/>
      <c r="AC704" s="338" t="s">
        <v>6423</v>
      </c>
      <c r="AD704" s="338"/>
      <c r="AF704" s="502" t="str">
        <f>Table15[[#This Row],[code2]]</f>
        <v>PRL</v>
      </c>
      <c r="AG704" s="502" t="str">
        <f>Table15[[#This Row],[code5]]</f>
        <v>HINVHLSIR</v>
      </c>
    </row>
    <row r="705" spans="1:33">
      <c r="A705" s="338" t="s">
        <v>6072</v>
      </c>
      <c r="B705" s="338" t="s">
        <v>6073</v>
      </c>
      <c r="C705" s="337">
        <v>1</v>
      </c>
      <c r="D705" s="338" t="s">
        <v>6513</v>
      </c>
      <c r="E705" s="338" t="s">
        <v>6514</v>
      </c>
      <c r="F705" s="337">
        <v>1</v>
      </c>
      <c r="G705" s="337">
        <v>1</v>
      </c>
      <c r="H705" s="338" t="s">
        <v>6515</v>
      </c>
      <c r="I705" s="338" t="s">
        <v>9548</v>
      </c>
      <c r="J705" s="338" t="s">
        <v>9551</v>
      </c>
      <c r="K705" s="338" t="s">
        <v>6516</v>
      </c>
      <c r="L705" s="338" t="s">
        <v>6517</v>
      </c>
      <c r="M705" s="338" t="s">
        <v>6861</v>
      </c>
      <c r="N705" s="338" t="s">
        <v>6406</v>
      </c>
      <c r="O705" s="337">
        <v>1</v>
      </c>
      <c r="P705" s="337">
        <v>1</v>
      </c>
      <c r="Q705" s="338"/>
      <c r="R705" s="338" t="s">
        <v>6088</v>
      </c>
      <c r="S705" s="338"/>
      <c r="T705" s="338"/>
      <c r="U705" s="338" t="s">
        <v>6878</v>
      </c>
      <c r="V705" s="337">
        <v>1</v>
      </c>
      <c r="W705" s="337">
        <v>1</v>
      </c>
      <c r="X705" s="338"/>
      <c r="Y705" s="338" t="s">
        <v>497</v>
      </c>
      <c r="Z705" s="338" t="s">
        <v>8012</v>
      </c>
      <c r="AA705" s="338" t="s">
        <v>6079</v>
      </c>
      <c r="AB705" s="338"/>
      <c r="AC705" s="338" t="s">
        <v>6428</v>
      </c>
      <c r="AD705" s="338"/>
      <c r="AF705" s="502" t="str">
        <f>Table15[[#This Row],[code2]]</f>
        <v>PRL</v>
      </c>
      <c r="AG705" s="502" t="str">
        <f>Table15[[#This Row],[code5]]</f>
        <v>HINVHLSIR</v>
      </c>
    </row>
    <row r="706" spans="1:33">
      <c r="A706" s="338" t="s">
        <v>6072</v>
      </c>
      <c r="B706" s="338" t="s">
        <v>6073</v>
      </c>
      <c r="C706" s="337">
        <v>1</v>
      </c>
      <c r="D706" s="338" t="s">
        <v>6513</v>
      </c>
      <c r="E706" s="338" t="s">
        <v>6514</v>
      </c>
      <c r="F706" s="337">
        <v>1</v>
      </c>
      <c r="G706" s="337">
        <v>1</v>
      </c>
      <c r="H706" s="338" t="s">
        <v>6515</v>
      </c>
      <c r="I706" s="338" t="s">
        <v>9548</v>
      </c>
      <c r="J706" s="338" t="s">
        <v>9551</v>
      </c>
      <c r="K706" s="338" t="s">
        <v>6516</v>
      </c>
      <c r="L706" s="338" t="s">
        <v>6517</v>
      </c>
      <c r="M706" s="338" t="s">
        <v>6861</v>
      </c>
      <c r="N706" s="338" t="s">
        <v>6406</v>
      </c>
      <c r="O706" s="337">
        <v>1</v>
      </c>
      <c r="P706" s="337">
        <v>1</v>
      </c>
      <c r="Q706" s="338"/>
      <c r="R706" s="338" t="s">
        <v>6088</v>
      </c>
      <c r="S706" s="338"/>
      <c r="T706" s="338"/>
      <c r="U706" s="338" t="s">
        <v>6879</v>
      </c>
      <c r="V706" s="337">
        <v>1</v>
      </c>
      <c r="W706" s="337">
        <v>1</v>
      </c>
      <c r="X706" s="338"/>
      <c r="Y706" s="338" t="s">
        <v>6081</v>
      </c>
      <c r="Z706" s="338" t="s">
        <v>9142</v>
      </c>
      <c r="AA706" s="338" t="s">
        <v>6079</v>
      </c>
      <c r="AB706" s="338"/>
      <c r="AC706" s="338" t="s">
        <v>6428</v>
      </c>
      <c r="AD706" s="338"/>
      <c r="AF706" s="502" t="str">
        <f>Table15[[#This Row],[code2]]</f>
        <v>PRL</v>
      </c>
      <c r="AG706" s="502" t="str">
        <f>Table15[[#This Row],[code5]]</f>
        <v>HINVHLSIR</v>
      </c>
    </row>
    <row r="707" spans="1:33">
      <c r="A707" s="338" t="s">
        <v>6072</v>
      </c>
      <c r="B707" s="338" t="s">
        <v>6073</v>
      </c>
      <c r="C707" s="337">
        <v>1</v>
      </c>
      <c r="D707" s="338" t="s">
        <v>6513</v>
      </c>
      <c r="E707" s="338" t="s">
        <v>6514</v>
      </c>
      <c r="F707" s="337">
        <v>1</v>
      </c>
      <c r="G707" s="337">
        <v>1</v>
      </c>
      <c r="H707" s="338" t="s">
        <v>6515</v>
      </c>
      <c r="I707" s="338" t="s">
        <v>9548</v>
      </c>
      <c r="J707" s="338" t="s">
        <v>9551</v>
      </c>
      <c r="K707" s="338" t="s">
        <v>6516</v>
      </c>
      <c r="L707" s="338" t="s">
        <v>6517</v>
      </c>
      <c r="M707" s="338" t="s">
        <v>6861</v>
      </c>
      <c r="N707" s="338" t="s">
        <v>6406</v>
      </c>
      <c r="O707" s="337">
        <v>1</v>
      </c>
      <c r="P707" s="337">
        <v>1</v>
      </c>
      <c r="Q707" s="338"/>
      <c r="R707" s="338" t="s">
        <v>6088</v>
      </c>
      <c r="S707" s="338"/>
      <c r="T707" s="338"/>
      <c r="U707" s="338" t="s">
        <v>6880</v>
      </c>
      <c r="V707" s="337">
        <v>1</v>
      </c>
      <c r="W707" s="337">
        <v>1</v>
      </c>
      <c r="X707" s="338"/>
      <c r="Y707" s="338" t="s">
        <v>493</v>
      </c>
      <c r="Z707" s="338" t="s">
        <v>8014</v>
      </c>
      <c r="AA707" s="338" t="s">
        <v>6079</v>
      </c>
      <c r="AB707" s="338"/>
      <c r="AC707" s="338" t="s">
        <v>6428</v>
      </c>
      <c r="AD707" s="338"/>
      <c r="AF707" s="502" t="str">
        <f>Table15[[#This Row],[code2]]</f>
        <v>PRL</v>
      </c>
      <c r="AG707" s="502" t="str">
        <f>Table15[[#This Row],[code5]]</f>
        <v>HINVHLSIR</v>
      </c>
    </row>
    <row r="708" spans="1:33">
      <c r="A708" s="338" t="s">
        <v>6072</v>
      </c>
      <c r="B708" s="338" t="s">
        <v>6073</v>
      </c>
      <c r="C708" s="337">
        <v>1</v>
      </c>
      <c r="D708" s="338" t="s">
        <v>6513</v>
      </c>
      <c r="E708" s="338" t="s">
        <v>6514</v>
      </c>
      <c r="F708" s="337">
        <v>1</v>
      </c>
      <c r="G708" s="337">
        <v>1</v>
      </c>
      <c r="H708" s="338" t="s">
        <v>6515</v>
      </c>
      <c r="I708" s="338" t="s">
        <v>9548</v>
      </c>
      <c r="J708" s="338" t="s">
        <v>9551</v>
      </c>
      <c r="K708" s="338" t="s">
        <v>6516</v>
      </c>
      <c r="L708" s="338" t="s">
        <v>6517</v>
      </c>
      <c r="M708" s="338" t="s">
        <v>6861</v>
      </c>
      <c r="N708" s="338" t="s">
        <v>6406</v>
      </c>
      <c r="O708" s="337">
        <v>1</v>
      </c>
      <c r="P708" s="337">
        <v>1</v>
      </c>
      <c r="Q708" s="338"/>
      <c r="R708" s="338" t="s">
        <v>6088</v>
      </c>
      <c r="S708" s="338"/>
      <c r="T708" s="338"/>
      <c r="U708" s="338" t="s">
        <v>6881</v>
      </c>
      <c r="V708" s="337">
        <v>1</v>
      </c>
      <c r="W708" s="337">
        <v>1</v>
      </c>
      <c r="X708" s="338"/>
      <c r="Y708" s="338" t="s">
        <v>6085</v>
      </c>
      <c r="Z708" s="338" t="s">
        <v>8016</v>
      </c>
      <c r="AA708" s="338" t="s">
        <v>6079</v>
      </c>
      <c r="AB708" s="338"/>
      <c r="AC708" s="338" t="s">
        <v>6428</v>
      </c>
      <c r="AD708" s="338"/>
      <c r="AF708" s="502" t="str">
        <f>Table15[[#This Row],[code2]]</f>
        <v>PRL</v>
      </c>
      <c r="AG708" s="502" t="str">
        <f>Table15[[#This Row],[code5]]</f>
        <v>HINVHLSIR</v>
      </c>
    </row>
    <row r="709" spans="1:33">
      <c r="A709" s="338" t="s">
        <v>6072</v>
      </c>
      <c r="B709" s="338" t="s">
        <v>6073</v>
      </c>
      <c r="C709" s="337">
        <v>1</v>
      </c>
      <c r="D709" s="338" t="s">
        <v>6513</v>
      </c>
      <c r="E709" s="338" t="s">
        <v>6514</v>
      </c>
      <c r="F709" s="337">
        <v>1</v>
      </c>
      <c r="G709" s="337">
        <v>1</v>
      </c>
      <c r="H709" s="338" t="s">
        <v>6515</v>
      </c>
      <c r="I709" s="338" t="s">
        <v>9548</v>
      </c>
      <c r="J709" s="338" t="s">
        <v>9551</v>
      </c>
      <c r="K709" s="338" t="s">
        <v>6516</v>
      </c>
      <c r="L709" s="338" t="s">
        <v>6517</v>
      </c>
      <c r="M709" s="338" t="s">
        <v>6861</v>
      </c>
      <c r="N709" s="338" t="s">
        <v>6406</v>
      </c>
      <c r="O709" s="337">
        <v>1</v>
      </c>
      <c r="P709" s="337">
        <v>1</v>
      </c>
      <c r="Q709" s="338"/>
      <c r="R709" s="338" t="s">
        <v>6088</v>
      </c>
      <c r="S709" s="338"/>
      <c r="T709" s="338"/>
      <c r="U709" s="338" t="s">
        <v>6882</v>
      </c>
      <c r="V709" s="337">
        <v>1</v>
      </c>
      <c r="W709" s="337">
        <v>1</v>
      </c>
      <c r="X709" s="338"/>
      <c r="Y709" s="338" t="s">
        <v>497</v>
      </c>
      <c r="Z709" s="338" t="s">
        <v>8254</v>
      </c>
      <c r="AA709" s="338" t="s">
        <v>6079</v>
      </c>
      <c r="AB709" s="338"/>
      <c r="AC709" s="338" t="s">
        <v>6433</v>
      </c>
      <c r="AD709" s="338"/>
      <c r="AF709" s="502" t="str">
        <f>Table15[[#This Row],[code2]]</f>
        <v>PRL</v>
      </c>
      <c r="AG709" s="502" t="str">
        <f>Table15[[#This Row],[code5]]</f>
        <v>HINVHLSIR</v>
      </c>
    </row>
    <row r="710" spans="1:33">
      <c r="A710" s="338" t="s">
        <v>6072</v>
      </c>
      <c r="B710" s="338" t="s">
        <v>6073</v>
      </c>
      <c r="C710" s="337">
        <v>1</v>
      </c>
      <c r="D710" s="338" t="s">
        <v>6513</v>
      </c>
      <c r="E710" s="338" t="s">
        <v>6514</v>
      </c>
      <c r="F710" s="337">
        <v>1</v>
      </c>
      <c r="G710" s="337">
        <v>1</v>
      </c>
      <c r="H710" s="338" t="s">
        <v>6515</v>
      </c>
      <c r="I710" s="338" t="s">
        <v>9548</v>
      </c>
      <c r="J710" s="338" t="s">
        <v>9551</v>
      </c>
      <c r="K710" s="338" t="s">
        <v>6516</v>
      </c>
      <c r="L710" s="338" t="s">
        <v>6517</v>
      </c>
      <c r="M710" s="338" t="s">
        <v>6861</v>
      </c>
      <c r="N710" s="338" t="s">
        <v>6406</v>
      </c>
      <c r="O710" s="337">
        <v>1</v>
      </c>
      <c r="P710" s="337">
        <v>1</v>
      </c>
      <c r="Q710" s="338"/>
      <c r="R710" s="338" t="s">
        <v>6088</v>
      </c>
      <c r="S710" s="338"/>
      <c r="T710" s="338"/>
      <c r="U710" s="338" t="s">
        <v>6883</v>
      </c>
      <c r="V710" s="337">
        <v>1</v>
      </c>
      <c r="W710" s="337">
        <v>1</v>
      </c>
      <c r="X710" s="338"/>
      <c r="Y710" s="338" t="s">
        <v>6081</v>
      </c>
      <c r="Z710" s="338" t="s">
        <v>8530</v>
      </c>
      <c r="AA710" s="338" t="s">
        <v>6079</v>
      </c>
      <c r="AB710" s="338"/>
      <c r="AC710" s="338" t="s">
        <v>6433</v>
      </c>
      <c r="AD710" s="338"/>
      <c r="AF710" s="502" t="str">
        <f>Table15[[#This Row],[code2]]</f>
        <v>PRL</v>
      </c>
      <c r="AG710" s="502" t="str">
        <f>Table15[[#This Row],[code5]]</f>
        <v>HINVHLSIR</v>
      </c>
    </row>
    <row r="711" spans="1:33">
      <c r="A711" s="338" t="s">
        <v>6072</v>
      </c>
      <c r="B711" s="338" t="s">
        <v>6073</v>
      </c>
      <c r="C711" s="337">
        <v>1</v>
      </c>
      <c r="D711" s="338" t="s">
        <v>6513</v>
      </c>
      <c r="E711" s="338" t="s">
        <v>6514</v>
      </c>
      <c r="F711" s="337">
        <v>1</v>
      </c>
      <c r="G711" s="337">
        <v>1</v>
      </c>
      <c r="H711" s="338" t="s">
        <v>6515</v>
      </c>
      <c r="I711" s="338" t="s">
        <v>9548</v>
      </c>
      <c r="J711" s="338" t="s">
        <v>9551</v>
      </c>
      <c r="K711" s="338" t="s">
        <v>6516</v>
      </c>
      <c r="L711" s="338" t="s">
        <v>6517</v>
      </c>
      <c r="M711" s="338" t="s">
        <v>6861</v>
      </c>
      <c r="N711" s="338" t="s">
        <v>6406</v>
      </c>
      <c r="O711" s="337">
        <v>1</v>
      </c>
      <c r="P711" s="337">
        <v>1</v>
      </c>
      <c r="Q711" s="338"/>
      <c r="R711" s="338" t="s">
        <v>6088</v>
      </c>
      <c r="S711" s="338"/>
      <c r="T711" s="338"/>
      <c r="U711" s="338" t="s">
        <v>6884</v>
      </c>
      <c r="V711" s="337">
        <v>1</v>
      </c>
      <c r="W711" s="337">
        <v>1</v>
      </c>
      <c r="X711" s="338"/>
      <c r="Y711" s="338" t="s">
        <v>493</v>
      </c>
      <c r="Z711" s="338" t="s">
        <v>8254</v>
      </c>
      <c r="AA711" s="338" t="s">
        <v>6079</v>
      </c>
      <c r="AB711" s="338"/>
      <c r="AC711" s="338" t="s">
        <v>6433</v>
      </c>
      <c r="AD711" s="338"/>
      <c r="AF711" s="502" t="str">
        <f>Table15[[#This Row],[code2]]</f>
        <v>PRL</v>
      </c>
      <c r="AG711" s="502" t="str">
        <f>Table15[[#This Row],[code5]]</f>
        <v>HINVHLSIR</v>
      </c>
    </row>
    <row r="712" spans="1:33">
      <c r="A712" s="338" t="s">
        <v>6072</v>
      </c>
      <c r="B712" s="338" t="s">
        <v>6073</v>
      </c>
      <c r="C712" s="337">
        <v>1</v>
      </c>
      <c r="D712" s="338" t="s">
        <v>6513</v>
      </c>
      <c r="E712" s="338" t="s">
        <v>6514</v>
      </c>
      <c r="F712" s="337">
        <v>1</v>
      </c>
      <c r="G712" s="337">
        <v>1</v>
      </c>
      <c r="H712" s="338" t="s">
        <v>6515</v>
      </c>
      <c r="I712" s="338" t="s">
        <v>9548</v>
      </c>
      <c r="J712" s="338" t="s">
        <v>9551</v>
      </c>
      <c r="K712" s="338" t="s">
        <v>6516</v>
      </c>
      <c r="L712" s="338" t="s">
        <v>6517</v>
      </c>
      <c r="M712" s="338" t="s">
        <v>6861</v>
      </c>
      <c r="N712" s="338" t="s">
        <v>6406</v>
      </c>
      <c r="O712" s="337">
        <v>1</v>
      </c>
      <c r="P712" s="337">
        <v>1</v>
      </c>
      <c r="Q712" s="338"/>
      <c r="R712" s="338" t="s">
        <v>6088</v>
      </c>
      <c r="S712" s="338"/>
      <c r="T712" s="338"/>
      <c r="U712" s="338" t="s">
        <v>6885</v>
      </c>
      <c r="V712" s="337">
        <v>1</v>
      </c>
      <c r="W712" s="337">
        <v>1</v>
      </c>
      <c r="X712" s="338"/>
      <c r="Y712" s="338" t="s">
        <v>6085</v>
      </c>
      <c r="Z712" s="338" t="s">
        <v>7012</v>
      </c>
      <c r="AA712" s="338" t="s">
        <v>6079</v>
      </c>
      <c r="AB712" s="338"/>
      <c r="AC712" s="338" t="s">
        <v>6433</v>
      </c>
      <c r="AD712" s="338"/>
      <c r="AF712" s="502" t="str">
        <f>Table15[[#This Row],[code2]]</f>
        <v>PRL</v>
      </c>
      <c r="AG712" s="502" t="str">
        <f>Table15[[#This Row],[code5]]</f>
        <v>HINVHLSIR</v>
      </c>
    </row>
    <row r="713" spans="1:33">
      <c r="A713" s="338" t="s">
        <v>6072</v>
      </c>
      <c r="B713" s="338" t="s">
        <v>6073</v>
      </c>
      <c r="C713" s="337">
        <v>1</v>
      </c>
      <c r="D713" s="338" t="s">
        <v>6513</v>
      </c>
      <c r="E713" s="338" t="s">
        <v>6514</v>
      </c>
      <c r="F713" s="337">
        <v>1</v>
      </c>
      <c r="G713" s="337">
        <v>1</v>
      </c>
      <c r="H713" s="338" t="s">
        <v>6515</v>
      </c>
      <c r="I713" s="338" t="s">
        <v>9548</v>
      </c>
      <c r="J713" s="338" t="s">
        <v>9551</v>
      </c>
      <c r="K713" s="338" t="s">
        <v>6516</v>
      </c>
      <c r="L713" s="338" t="s">
        <v>6517</v>
      </c>
      <c r="M713" s="338" t="s">
        <v>6861</v>
      </c>
      <c r="N713" s="338" t="s">
        <v>6406</v>
      </c>
      <c r="O713" s="337">
        <v>1</v>
      </c>
      <c r="P713" s="337">
        <v>1</v>
      </c>
      <c r="Q713" s="338"/>
      <c r="R713" s="338" t="s">
        <v>6088</v>
      </c>
      <c r="S713" s="338"/>
      <c r="T713" s="338"/>
      <c r="U713" s="338" t="s">
        <v>6886</v>
      </c>
      <c r="V713" s="337">
        <v>1</v>
      </c>
      <c r="W713" s="337">
        <v>1</v>
      </c>
      <c r="X713" s="338"/>
      <c r="Y713" s="338" t="s">
        <v>497</v>
      </c>
      <c r="Z713" s="338" t="s">
        <v>8254</v>
      </c>
      <c r="AA713" s="338" t="s">
        <v>6079</v>
      </c>
      <c r="AB713" s="338"/>
      <c r="AC713" s="338" t="s">
        <v>6438</v>
      </c>
      <c r="AD713" s="338"/>
      <c r="AF713" s="502" t="str">
        <f>Table15[[#This Row],[code2]]</f>
        <v>PRL</v>
      </c>
      <c r="AG713" s="502" t="str">
        <f>Table15[[#This Row],[code5]]</f>
        <v>HINVHLSIR</v>
      </c>
    </row>
    <row r="714" spans="1:33">
      <c r="A714" s="338" t="s">
        <v>6072</v>
      </c>
      <c r="B714" s="338" t="s">
        <v>6073</v>
      </c>
      <c r="C714" s="337">
        <v>1</v>
      </c>
      <c r="D714" s="338" t="s">
        <v>6513</v>
      </c>
      <c r="E714" s="338" t="s">
        <v>6514</v>
      </c>
      <c r="F714" s="337">
        <v>1</v>
      </c>
      <c r="G714" s="337">
        <v>1</v>
      </c>
      <c r="H714" s="338" t="s">
        <v>6515</v>
      </c>
      <c r="I714" s="338" t="s">
        <v>9548</v>
      </c>
      <c r="J714" s="338" t="s">
        <v>9551</v>
      </c>
      <c r="K714" s="338" t="s">
        <v>6516</v>
      </c>
      <c r="L714" s="338" t="s">
        <v>6517</v>
      </c>
      <c r="M714" s="338" t="s">
        <v>6861</v>
      </c>
      <c r="N714" s="338" t="s">
        <v>6406</v>
      </c>
      <c r="O714" s="337">
        <v>1</v>
      </c>
      <c r="P714" s="337">
        <v>1</v>
      </c>
      <c r="Q714" s="338"/>
      <c r="R714" s="338" t="s">
        <v>6088</v>
      </c>
      <c r="S714" s="338"/>
      <c r="T714" s="338"/>
      <c r="U714" s="338" t="s">
        <v>6887</v>
      </c>
      <c r="V714" s="337">
        <v>1</v>
      </c>
      <c r="W714" s="337">
        <v>1</v>
      </c>
      <c r="X714" s="338"/>
      <c r="Y714" s="338" t="s">
        <v>6081</v>
      </c>
      <c r="Z714" s="338" t="s">
        <v>6738</v>
      </c>
      <c r="AA714" s="338" t="s">
        <v>6079</v>
      </c>
      <c r="AB714" s="338"/>
      <c r="AC714" s="338" t="s">
        <v>6438</v>
      </c>
      <c r="AD714" s="338"/>
      <c r="AF714" s="502" t="str">
        <f>Table15[[#This Row],[code2]]</f>
        <v>PRL</v>
      </c>
      <c r="AG714" s="502" t="str">
        <f>Table15[[#This Row],[code5]]</f>
        <v>HINVHLSIR</v>
      </c>
    </row>
    <row r="715" spans="1:33">
      <c r="A715" s="338" t="s">
        <v>6072</v>
      </c>
      <c r="B715" s="338" t="s">
        <v>6073</v>
      </c>
      <c r="C715" s="337">
        <v>1</v>
      </c>
      <c r="D715" s="338" t="s">
        <v>6513</v>
      </c>
      <c r="E715" s="338" t="s">
        <v>6514</v>
      </c>
      <c r="F715" s="337">
        <v>1</v>
      </c>
      <c r="G715" s="337">
        <v>1</v>
      </c>
      <c r="H715" s="338" t="s">
        <v>6515</v>
      </c>
      <c r="I715" s="338" t="s">
        <v>9548</v>
      </c>
      <c r="J715" s="338" t="s">
        <v>9551</v>
      </c>
      <c r="K715" s="338" t="s">
        <v>6516</v>
      </c>
      <c r="L715" s="338" t="s">
        <v>6517</v>
      </c>
      <c r="M715" s="338" t="s">
        <v>6861</v>
      </c>
      <c r="N715" s="338" t="s">
        <v>6406</v>
      </c>
      <c r="O715" s="337">
        <v>1</v>
      </c>
      <c r="P715" s="337">
        <v>1</v>
      </c>
      <c r="Q715" s="338"/>
      <c r="R715" s="338" t="s">
        <v>6088</v>
      </c>
      <c r="S715" s="338"/>
      <c r="T715" s="338"/>
      <c r="U715" s="338" t="s">
        <v>6888</v>
      </c>
      <c r="V715" s="337">
        <v>1</v>
      </c>
      <c r="W715" s="337">
        <v>1</v>
      </c>
      <c r="X715" s="338"/>
      <c r="Y715" s="338" t="s">
        <v>493</v>
      </c>
      <c r="Z715" s="338" t="s">
        <v>8254</v>
      </c>
      <c r="AA715" s="338" t="s">
        <v>6079</v>
      </c>
      <c r="AB715" s="338"/>
      <c r="AC715" s="338" t="s">
        <v>6438</v>
      </c>
      <c r="AD715" s="338"/>
      <c r="AF715" s="502" t="str">
        <f>Table15[[#This Row],[code2]]</f>
        <v>PRL</v>
      </c>
      <c r="AG715" s="502" t="str">
        <f>Table15[[#This Row],[code5]]</f>
        <v>HINVHLSIR</v>
      </c>
    </row>
    <row r="716" spans="1:33">
      <c r="A716" s="338" t="s">
        <v>6072</v>
      </c>
      <c r="B716" s="338" t="s">
        <v>6073</v>
      </c>
      <c r="C716" s="337">
        <v>1</v>
      </c>
      <c r="D716" s="338" t="s">
        <v>6513</v>
      </c>
      <c r="E716" s="338" t="s">
        <v>6514</v>
      </c>
      <c r="F716" s="337">
        <v>1</v>
      </c>
      <c r="G716" s="337">
        <v>1</v>
      </c>
      <c r="H716" s="338" t="s">
        <v>6515</v>
      </c>
      <c r="I716" s="338" t="s">
        <v>9548</v>
      </c>
      <c r="J716" s="338" t="s">
        <v>9551</v>
      </c>
      <c r="K716" s="338" t="s">
        <v>6516</v>
      </c>
      <c r="L716" s="338" t="s">
        <v>6517</v>
      </c>
      <c r="M716" s="338" t="s">
        <v>6861</v>
      </c>
      <c r="N716" s="338" t="s">
        <v>6406</v>
      </c>
      <c r="O716" s="337">
        <v>1</v>
      </c>
      <c r="P716" s="337">
        <v>1</v>
      </c>
      <c r="Q716" s="338"/>
      <c r="R716" s="338" t="s">
        <v>6088</v>
      </c>
      <c r="S716" s="338"/>
      <c r="T716" s="338"/>
      <c r="U716" s="338" t="s">
        <v>6889</v>
      </c>
      <c r="V716" s="337">
        <v>1</v>
      </c>
      <c r="W716" s="337">
        <v>1</v>
      </c>
      <c r="X716" s="338"/>
      <c r="Y716" s="338" t="s">
        <v>6085</v>
      </c>
      <c r="Z716" s="338" t="s">
        <v>9091</v>
      </c>
      <c r="AA716" s="338" t="s">
        <v>6079</v>
      </c>
      <c r="AB716" s="338"/>
      <c r="AC716" s="338" t="s">
        <v>6438</v>
      </c>
      <c r="AD716" s="338"/>
      <c r="AF716" s="502" t="str">
        <f>Table15[[#This Row],[code2]]</f>
        <v>PRL</v>
      </c>
      <c r="AG716" s="502" t="str">
        <f>Table15[[#This Row],[code5]]</f>
        <v>HINVHLSIR</v>
      </c>
    </row>
    <row r="717" spans="1:33">
      <c r="A717" s="338" t="s">
        <v>6072</v>
      </c>
      <c r="B717" s="338" t="s">
        <v>6073</v>
      </c>
      <c r="C717" s="337">
        <v>1</v>
      </c>
      <c r="D717" s="338" t="s">
        <v>6513</v>
      </c>
      <c r="E717" s="338" t="s">
        <v>6514</v>
      </c>
      <c r="F717" s="337">
        <v>1</v>
      </c>
      <c r="G717" s="337">
        <v>1</v>
      </c>
      <c r="H717" s="338" t="s">
        <v>6515</v>
      </c>
      <c r="I717" s="338" t="s">
        <v>9548</v>
      </c>
      <c r="J717" s="338" t="s">
        <v>9551</v>
      </c>
      <c r="K717" s="338" t="s">
        <v>6516</v>
      </c>
      <c r="L717" s="338" t="s">
        <v>6517</v>
      </c>
      <c r="M717" s="338" t="s">
        <v>6890</v>
      </c>
      <c r="N717" s="338" t="s">
        <v>6891</v>
      </c>
      <c r="O717" s="337">
        <v>1</v>
      </c>
      <c r="P717" s="337">
        <v>1</v>
      </c>
      <c r="Q717" s="338"/>
      <c r="R717" s="338" t="s">
        <v>6088</v>
      </c>
      <c r="S717" s="338" t="s">
        <v>6088</v>
      </c>
      <c r="T717" s="338"/>
      <c r="U717" s="338" t="s">
        <v>6892</v>
      </c>
      <c r="V717" s="337">
        <v>1</v>
      </c>
      <c r="W717" s="337">
        <v>1</v>
      </c>
      <c r="X717" s="338"/>
      <c r="Y717" s="338" t="s">
        <v>6318</v>
      </c>
      <c r="Z717" s="338" t="s">
        <v>7915</v>
      </c>
      <c r="AA717" s="338" t="s">
        <v>6079</v>
      </c>
      <c r="AB717" s="338"/>
      <c r="AC717" s="338" t="s">
        <v>6091</v>
      </c>
      <c r="AD717" s="338" t="s">
        <v>6318</v>
      </c>
      <c r="AF717" s="502" t="str">
        <f>Table15[[#This Row],[code2]]</f>
        <v>PRL</v>
      </c>
      <c r="AG717" s="502" t="str">
        <f>Table15[[#This Row],[code5]]</f>
        <v>HINVILA</v>
      </c>
    </row>
    <row r="718" spans="1:33">
      <c r="A718" s="338" t="s">
        <v>6072</v>
      </c>
      <c r="B718" s="338" t="s">
        <v>6073</v>
      </c>
      <c r="C718" s="337">
        <v>1</v>
      </c>
      <c r="D718" s="338" t="s">
        <v>6513</v>
      </c>
      <c r="E718" s="338" t="s">
        <v>6514</v>
      </c>
      <c r="F718" s="337">
        <v>1</v>
      </c>
      <c r="G718" s="337">
        <v>1</v>
      </c>
      <c r="H718" s="338" t="s">
        <v>6515</v>
      </c>
      <c r="I718" s="338" t="s">
        <v>9548</v>
      </c>
      <c r="J718" s="338" t="s">
        <v>9551</v>
      </c>
      <c r="K718" s="338" t="s">
        <v>6516</v>
      </c>
      <c r="L718" s="338" t="s">
        <v>6517</v>
      </c>
      <c r="M718" s="338" t="s">
        <v>6890</v>
      </c>
      <c r="N718" s="338" t="s">
        <v>6891</v>
      </c>
      <c r="O718" s="337">
        <v>1</v>
      </c>
      <c r="P718" s="337">
        <v>1</v>
      </c>
      <c r="Q718" s="338"/>
      <c r="R718" s="338" t="s">
        <v>6088</v>
      </c>
      <c r="S718" s="338" t="s">
        <v>6088</v>
      </c>
      <c r="T718" s="338"/>
      <c r="U718" s="338" t="s">
        <v>6893</v>
      </c>
      <c r="V718" s="337">
        <v>1</v>
      </c>
      <c r="W718" s="337">
        <v>1</v>
      </c>
      <c r="X718" s="338"/>
      <c r="Y718" s="338" t="s">
        <v>6318</v>
      </c>
      <c r="Z718" s="338" t="s">
        <v>9554</v>
      </c>
      <c r="AA718" s="338" t="s">
        <v>6079</v>
      </c>
      <c r="AB718" s="338"/>
      <c r="AC718" s="338" t="s">
        <v>6091</v>
      </c>
      <c r="AD718" s="338" t="s">
        <v>6320</v>
      </c>
      <c r="AF718" s="502" t="str">
        <f>Table15[[#This Row],[code2]]</f>
        <v>PRL</v>
      </c>
      <c r="AG718" s="502" t="str">
        <f>Table15[[#This Row],[code5]]</f>
        <v>HINVILA</v>
      </c>
    </row>
    <row r="719" spans="1:33">
      <c r="A719" s="338" t="s">
        <v>6072</v>
      </c>
      <c r="B719" s="338" t="s">
        <v>6073</v>
      </c>
      <c r="C719" s="337">
        <v>1</v>
      </c>
      <c r="D719" s="338" t="s">
        <v>6513</v>
      </c>
      <c r="E719" s="338" t="s">
        <v>6514</v>
      </c>
      <c r="F719" s="337">
        <v>1</v>
      </c>
      <c r="G719" s="337">
        <v>1</v>
      </c>
      <c r="H719" s="338" t="s">
        <v>6515</v>
      </c>
      <c r="I719" s="338" t="s">
        <v>9548</v>
      </c>
      <c r="J719" s="338" t="s">
        <v>9551</v>
      </c>
      <c r="K719" s="338" t="s">
        <v>6516</v>
      </c>
      <c r="L719" s="338" t="s">
        <v>6517</v>
      </c>
      <c r="M719" s="338" t="s">
        <v>6890</v>
      </c>
      <c r="N719" s="338" t="s">
        <v>6891</v>
      </c>
      <c r="O719" s="337">
        <v>1</v>
      </c>
      <c r="P719" s="337">
        <v>1</v>
      </c>
      <c r="Q719" s="338"/>
      <c r="R719" s="338" t="s">
        <v>6088</v>
      </c>
      <c r="S719" s="338" t="s">
        <v>6088</v>
      </c>
      <c r="T719" s="338"/>
      <c r="U719" s="338" t="s">
        <v>6894</v>
      </c>
      <c r="V719" s="337">
        <v>1</v>
      </c>
      <c r="W719" s="337">
        <v>1</v>
      </c>
      <c r="X719" s="338"/>
      <c r="Y719" s="338" t="s">
        <v>6318</v>
      </c>
      <c r="Z719" s="338" t="s">
        <v>8015</v>
      </c>
      <c r="AA719" s="338" t="s">
        <v>6079</v>
      </c>
      <c r="AB719" s="338"/>
      <c r="AC719" s="338" t="s">
        <v>6096</v>
      </c>
      <c r="AD719" s="338" t="s">
        <v>6318</v>
      </c>
      <c r="AF719" s="502" t="str">
        <f>Table15[[#This Row],[code2]]</f>
        <v>PRL</v>
      </c>
      <c r="AG719" s="502" t="str">
        <f>Table15[[#This Row],[code5]]</f>
        <v>HINVILA</v>
      </c>
    </row>
    <row r="720" spans="1:33">
      <c r="A720" s="338" t="s">
        <v>6072</v>
      </c>
      <c r="B720" s="338" t="s">
        <v>6073</v>
      </c>
      <c r="C720" s="337">
        <v>1</v>
      </c>
      <c r="D720" s="338" t="s">
        <v>6513</v>
      </c>
      <c r="E720" s="338" t="s">
        <v>6514</v>
      </c>
      <c r="F720" s="337">
        <v>1</v>
      </c>
      <c r="G720" s="337">
        <v>1</v>
      </c>
      <c r="H720" s="338" t="s">
        <v>6515</v>
      </c>
      <c r="I720" s="338" t="s">
        <v>9548</v>
      </c>
      <c r="J720" s="338" t="s">
        <v>9551</v>
      </c>
      <c r="K720" s="338" t="s">
        <v>6516</v>
      </c>
      <c r="L720" s="338" t="s">
        <v>6517</v>
      </c>
      <c r="M720" s="338" t="s">
        <v>6890</v>
      </c>
      <c r="N720" s="338" t="s">
        <v>6891</v>
      </c>
      <c r="O720" s="337">
        <v>1</v>
      </c>
      <c r="P720" s="337">
        <v>1</v>
      </c>
      <c r="Q720" s="338"/>
      <c r="R720" s="338" t="s">
        <v>6088</v>
      </c>
      <c r="S720" s="338" t="s">
        <v>6088</v>
      </c>
      <c r="T720" s="338"/>
      <c r="U720" s="338" t="s">
        <v>6895</v>
      </c>
      <c r="V720" s="337">
        <v>1</v>
      </c>
      <c r="W720" s="337">
        <v>1</v>
      </c>
      <c r="X720" s="338"/>
      <c r="Y720" s="338" t="s">
        <v>6318</v>
      </c>
      <c r="Z720" s="338" t="s">
        <v>6289</v>
      </c>
      <c r="AA720" s="338" t="s">
        <v>6079</v>
      </c>
      <c r="AB720" s="338"/>
      <c r="AC720" s="338" t="s">
        <v>6096</v>
      </c>
      <c r="AD720" s="338" t="s">
        <v>6320</v>
      </c>
      <c r="AF720" s="502" t="str">
        <f>Table15[[#This Row],[code2]]</f>
        <v>PRL</v>
      </c>
      <c r="AG720" s="502" t="str">
        <f>Table15[[#This Row],[code5]]</f>
        <v>HINVILA</v>
      </c>
    </row>
    <row r="721" spans="1:33">
      <c r="A721" s="338" t="s">
        <v>6072</v>
      </c>
      <c r="B721" s="338" t="s">
        <v>6073</v>
      </c>
      <c r="C721" s="337">
        <v>1</v>
      </c>
      <c r="D721" s="338" t="s">
        <v>6513</v>
      </c>
      <c r="E721" s="338" t="s">
        <v>6514</v>
      </c>
      <c r="F721" s="337">
        <v>1</v>
      </c>
      <c r="G721" s="337">
        <v>1</v>
      </c>
      <c r="H721" s="338" t="s">
        <v>6515</v>
      </c>
      <c r="I721" s="338" t="s">
        <v>9548</v>
      </c>
      <c r="J721" s="338" t="s">
        <v>9551</v>
      </c>
      <c r="K721" s="338" t="s">
        <v>6516</v>
      </c>
      <c r="L721" s="338" t="s">
        <v>6517</v>
      </c>
      <c r="M721" s="338" t="s">
        <v>6890</v>
      </c>
      <c r="N721" s="338" t="s">
        <v>6891</v>
      </c>
      <c r="O721" s="337">
        <v>1</v>
      </c>
      <c r="P721" s="337">
        <v>1</v>
      </c>
      <c r="Q721" s="338"/>
      <c r="R721" s="338" t="s">
        <v>6088</v>
      </c>
      <c r="S721" s="338" t="s">
        <v>6088</v>
      </c>
      <c r="T721" s="338"/>
      <c r="U721" s="338" t="s">
        <v>6896</v>
      </c>
      <c r="V721" s="337">
        <v>1</v>
      </c>
      <c r="W721" s="337">
        <v>1</v>
      </c>
      <c r="X721" s="338"/>
      <c r="Y721" s="338" t="s">
        <v>6318</v>
      </c>
      <c r="Z721" s="338" t="s">
        <v>8015</v>
      </c>
      <c r="AA721" s="338" t="s">
        <v>6079</v>
      </c>
      <c r="AB721" s="338"/>
      <c r="AC721" s="338" t="s">
        <v>6101</v>
      </c>
      <c r="AD721" s="338" t="s">
        <v>6318</v>
      </c>
      <c r="AF721" s="502" t="str">
        <f>Table15[[#This Row],[code2]]</f>
        <v>PRL</v>
      </c>
      <c r="AG721" s="502" t="str">
        <f>Table15[[#This Row],[code5]]</f>
        <v>HINVILA</v>
      </c>
    </row>
    <row r="722" spans="1:33">
      <c r="A722" s="338" t="s">
        <v>6072</v>
      </c>
      <c r="B722" s="338" t="s">
        <v>6073</v>
      </c>
      <c r="C722" s="337">
        <v>1</v>
      </c>
      <c r="D722" s="338" t="s">
        <v>6513</v>
      </c>
      <c r="E722" s="338" t="s">
        <v>6514</v>
      </c>
      <c r="F722" s="337">
        <v>1</v>
      </c>
      <c r="G722" s="337">
        <v>1</v>
      </c>
      <c r="H722" s="338" t="s">
        <v>6515</v>
      </c>
      <c r="I722" s="338" t="s">
        <v>9548</v>
      </c>
      <c r="J722" s="338" t="s">
        <v>9551</v>
      </c>
      <c r="K722" s="338" t="s">
        <v>6516</v>
      </c>
      <c r="L722" s="338" t="s">
        <v>6517</v>
      </c>
      <c r="M722" s="338" t="s">
        <v>6890</v>
      </c>
      <c r="N722" s="338" t="s">
        <v>6891</v>
      </c>
      <c r="O722" s="337">
        <v>1</v>
      </c>
      <c r="P722" s="337">
        <v>1</v>
      </c>
      <c r="Q722" s="338"/>
      <c r="R722" s="338" t="s">
        <v>6088</v>
      </c>
      <c r="S722" s="338" t="s">
        <v>6088</v>
      </c>
      <c r="T722" s="338"/>
      <c r="U722" s="338" t="s">
        <v>6897</v>
      </c>
      <c r="V722" s="337">
        <v>1</v>
      </c>
      <c r="W722" s="337">
        <v>1</v>
      </c>
      <c r="X722" s="338"/>
      <c r="Y722" s="338" t="s">
        <v>6318</v>
      </c>
      <c r="Z722" s="338" t="s">
        <v>9164</v>
      </c>
      <c r="AA722" s="338" t="s">
        <v>6079</v>
      </c>
      <c r="AB722" s="338"/>
      <c r="AC722" s="338" t="s">
        <v>6101</v>
      </c>
      <c r="AD722" s="338" t="s">
        <v>6320</v>
      </c>
      <c r="AF722" s="502" t="str">
        <f>Table15[[#This Row],[code2]]</f>
        <v>PRL</v>
      </c>
      <c r="AG722" s="502" t="str">
        <f>Table15[[#This Row],[code5]]</f>
        <v>HINVILA</v>
      </c>
    </row>
    <row r="723" spans="1:33">
      <c r="A723" s="338" t="s">
        <v>6072</v>
      </c>
      <c r="B723" s="338" t="s">
        <v>6073</v>
      </c>
      <c r="C723" s="337">
        <v>1</v>
      </c>
      <c r="D723" s="338" t="s">
        <v>6513</v>
      </c>
      <c r="E723" s="338" t="s">
        <v>6514</v>
      </c>
      <c r="F723" s="337">
        <v>1</v>
      </c>
      <c r="G723" s="337">
        <v>1</v>
      </c>
      <c r="H723" s="338" t="s">
        <v>6515</v>
      </c>
      <c r="I723" s="338" t="s">
        <v>9548</v>
      </c>
      <c r="J723" s="338" t="s">
        <v>9551</v>
      </c>
      <c r="K723" s="338" t="s">
        <v>6516</v>
      </c>
      <c r="L723" s="338" t="s">
        <v>6517</v>
      </c>
      <c r="M723" s="338" t="s">
        <v>6890</v>
      </c>
      <c r="N723" s="338" t="s">
        <v>6891</v>
      </c>
      <c r="O723" s="337">
        <v>1</v>
      </c>
      <c r="P723" s="337">
        <v>1</v>
      </c>
      <c r="Q723" s="338"/>
      <c r="R723" s="338" t="s">
        <v>6088</v>
      </c>
      <c r="S723" s="338" t="s">
        <v>6088</v>
      </c>
      <c r="T723" s="338"/>
      <c r="U723" s="338" t="s">
        <v>6898</v>
      </c>
      <c r="V723" s="337">
        <v>1</v>
      </c>
      <c r="W723" s="337">
        <v>1</v>
      </c>
      <c r="X723" s="338"/>
      <c r="Y723" s="338" t="s">
        <v>6318</v>
      </c>
      <c r="Z723" s="338" t="s">
        <v>7916</v>
      </c>
      <c r="AA723" s="338" t="s">
        <v>6079</v>
      </c>
      <c r="AB723" s="338"/>
      <c r="AC723" s="338" t="s">
        <v>6106</v>
      </c>
      <c r="AD723" s="338" t="s">
        <v>6318</v>
      </c>
      <c r="AF723" s="502" t="str">
        <f>Table15[[#This Row],[code2]]</f>
        <v>PRL</v>
      </c>
      <c r="AG723" s="502" t="str">
        <f>Table15[[#This Row],[code5]]</f>
        <v>HINVILA</v>
      </c>
    </row>
    <row r="724" spans="1:33">
      <c r="A724" s="338" t="s">
        <v>6072</v>
      </c>
      <c r="B724" s="338" t="s">
        <v>6073</v>
      </c>
      <c r="C724" s="337">
        <v>1</v>
      </c>
      <c r="D724" s="338" t="s">
        <v>6513</v>
      </c>
      <c r="E724" s="338" t="s">
        <v>6514</v>
      </c>
      <c r="F724" s="337">
        <v>1</v>
      </c>
      <c r="G724" s="337">
        <v>1</v>
      </c>
      <c r="H724" s="338" t="s">
        <v>6515</v>
      </c>
      <c r="I724" s="338" t="s">
        <v>9548</v>
      </c>
      <c r="J724" s="338" t="s">
        <v>9551</v>
      </c>
      <c r="K724" s="338" t="s">
        <v>6516</v>
      </c>
      <c r="L724" s="338" t="s">
        <v>6517</v>
      </c>
      <c r="M724" s="338" t="s">
        <v>6890</v>
      </c>
      <c r="N724" s="338" t="s">
        <v>6891</v>
      </c>
      <c r="O724" s="337">
        <v>1</v>
      </c>
      <c r="P724" s="337">
        <v>1</v>
      </c>
      <c r="Q724" s="338"/>
      <c r="R724" s="338" t="s">
        <v>6088</v>
      </c>
      <c r="S724" s="338" t="s">
        <v>6088</v>
      </c>
      <c r="T724" s="338"/>
      <c r="U724" s="338" t="s">
        <v>6899</v>
      </c>
      <c r="V724" s="337">
        <v>1</v>
      </c>
      <c r="W724" s="337">
        <v>1</v>
      </c>
      <c r="X724" s="338"/>
      <c r="Y724" s="338" t="s">
        <v>6318</v>
      </c>
      <c r="Z724" s="338" t="s">
        <v>9162</v>
      </c>
      <c r="AA724" s="338" t="s">
        <v>6079</v>
      </c>
      <c r="AB724" s="338"/>
      <c r="AC724" s="338" t="s">
        <v>6106</v>
      </c>
      <c r="AD724" s="338" t="s">
        <v>6320</v>
      </c>
      <c r="AF724" s="502" t="str">
        <f>Table15[[#This Row],[code2]]</f>
        <v>PRL</v>
      </c>
      <c r="AG724" s="502" t="str">
        <f>Table15[[#This Row],[code5]]</f>
        <v>HINVILA</v>
      </c>
    </row>
    <row r="725" spans="1:33">
      <c r="A725" s="338" t="s">
        <v>6072</v>
      </c>
      <c r="B725" s="338" t="s">
        <v>6073</v>
      </c>
      <c r="C725" s="337">
        <v>1</v>
      </c>
      <c r="D725" s="338" t="s">
        <v>6513</v>
      </c>
      <c r="E725" s="338" t="s">
        <v>6514</v>
      </c>
      <c r="F725" s="337">
        <v>1</v>
      </c>
      <c r="G725" s="337">
        <v>1</v>
      </c>
      <c r="H725" s="338" t="s">
        <v>6515</v>
      </c>
      <c r="I725" s="338" t="s">
        <v>9548</v>
      </c>
      <c r="J725" s="338" t="s">
        <v>9551</v>
      </c>
      <c r="K725" s="338" t="s">
        <v>6516</v>
      </c>
      <c r="L725" s="338" t="s">
        <v>6517</v>
      </c>
      <c r="M725" s="338" t="s">
        <v>6890</v>
      </c>
      <c r="N725" s="338" t="s">
        <v>6891</v>
      </c>
      <c r="O725" s="337">
        <v>1</v>
      </c>
      <c r="P725" s="337">
        <v>1</v>
      </c>
      <c r="Q725" s="338"/>
      <c r="R725" s="338" t="s">
        <v>6088</v>
      </c>
      <c r="S725" s="338" t="s">
        <v>6088</v>
      </c>
      <c r="T725" s="338"/>
      <c r="U725" s="338" t="s">
        <v>6900</v>
      </c>
      <c r="V725" s="337">
        <v>1</v>
      </c>
      <c r="W725" s="337">
        <v>1</v>
      </c>
      <c r="X725" s="338"/>
      <c r="Y725" s="338" t="s">
        <v>6318</v>
      </c>
      <c r="Z725" s="338" t="s">
        <v>8023</v>
      </c>
      <c r="AA725" s="338" t="s">
        <v>6079</v>
      </c>
      <c r="AB725" s="338"/>
      <c r="AC725" s="338" t="s">
        <v>6111</v>
      </c>
      <c r="AD725" s="338" t="s">
        <v>6318</v>
      </c>
      <c r="AF725" s="502" t="str">
        <f>Table15[[#This Row],[code2]]</f>
        <v>PRL</v>
      </c>
      <c r="AG725" s="502" t="str">
        <f>Table15[[#This Row],[code5]]</f>
        <v>HINVILA</v>
      </c>
    </row>
    <row r="726" spans="1:33">
      <c r="A726" s="338" t="s">
        <v>6072</v>
      </c>
      <c r="B726" s="338" t="s">
        <v>6073</v>
      </c>
      <c r="C726" s="337">
        <v>1</v>
      </c>
      <c r="D726" s="338" t="s">
        <v>6513</v>
      </c>
      <c r="E726" s="338" t="s">
        <v>6514</v>
      </c>
      <c r="F726" s="337">
        <v>1</v>
      </c>
      <c r="G726" s="337">
        <v>1</v>
      </c>
      <c r="H726" s="338" t="s">
        <v>6515</v>
      </c>
      <c r="I726" s="338" t="s">
        <v>9548</v>
      </c>
      <c r="J726" s="338" t="s">
        <v>9551</v>
      </c>
      <c r="K726" s="338" t="s">
        <v>6516</v>
      </c>
      <c r="L726" s="338" t="s">
        <v>6517</v>
      </c>
      <c r="M726" s="338" t="s">
        <v>6890</v>
      </c>
      <c r="N726" s="338" t="s">
        <v>6891</v>
      </c>
      <c r="O726" s="337">
        <v>1</v>
      </c>
      <c r="P726" s="337">
        <v>1</v>
      </c>
      <c r="Q726" s="338"/>
      <c r="R726" s="338" t="s">
        <v>6088</v>
      </c>
      <c r="S726" s="338" t="s">
        <v>6088</v>
      </c>
      <c r="T726" s="338"/>
      <c r="U726" s="338" t="s">
        <v>6901</v>
      </c>
      <c r="V726" s="337">
        <v>1</v>
      </c>
      <c r="W726" s="337">
        <v>1</v>
      </c>
      <c r="X726" s="338"/>
      <c r="Y726" s="338" t="s">
        <v>6318</v>
      </c>
      <c r="Z726" s="338" t="s">
        <v>9097</v>
      </c>
      <c r="AA726" s="338" t="s">
        <v>6079</v>
      </c>
      <c r="AB726" s="338"/>
      <c r="AC726" s="338" t="s">
        <v>6111</v>
      </c>
      <c r="AD726" s="338" t="s">
        <v>6320</v>
      </c>
      <c r="AF726" s="502" t="str">
        <f>Table15[[#This Row],[code2]]</f>
        <v>PRL</v>
      </c>
      <c r="AG726" s="502" t="str">
        <f>Table15[[#This Row],[code5]]</f>
        <v>HINVILA</v>
      </c>
    </row>
    <row r="727" spans="1:33">
      <c r="A727" s="338" t="s">
        <v>6072</v>
      </c>
      <c r="B727" s="338" t="s">
        <v>6073</v>
      </c>
      <c r="C727" s="337">
        <v>1</v>
      </c>
      <c r="D727" s="338" t="s">
        <v>6513</v>
      </c>
      <c r="E727" s="338" t="s">
        <v>6514</v>
      </c>
      <c r="F727" s="337">
        <v>1</v>
      </c>
      <c r="G727" s="337">
        <v>1</v>
      </c>
      <c r="H727" s="338" t="s">
        <v>6515</v>
      </c>
      <c r="I727" s="338" t="s">
        <v>9548</v>
      </c>
      <c r="J727" s="338" t="s">
        <v>9551</v>
      </c>
      <c r="K727" s="338" t="s">
        <v>6516</v>
      </c>
      <c r="L727" s="338" t="s">
        <v>6517</v>
      </c>
      <c r="M727" s="338" t="s">
        <v>6890</v>
      </c>
      <c r="N727" s="338" t="s">
        <v>6891</v>
      </c>
      <c r="O727" s="337">
        <v>1</v>
      </c>
      <c r="P727" s="337">
        <v>1</v>
      </c>
      <c r="Q727" s="338"/>
      <c r="R727" s="338" t="s">
        <v>6088</v>
      </c>
      <c r="S727" s="338" t="s">
        <v>6088</v>
      </c>
      <c r="T727" s="338"/>
      <c r="U727" s="338" t="s">
        <v>6902</v>
      </c>
      <c r="V727" s="337">
        <v>1</v>
      </c>
      <c r="W727" s="337">
        <v>1</v>
      </c>
      <c r="X727" s="338"/>
      <c r="Y727" s="338" t="s">
        <v>6318</v>
      </c>
      <c r="Z727" s="338" t="s">
        <v>6289</v>
      </c>
      <c r="AA727" s="338" t="s">
        <v>6079</v>
      </c>
      <c r="AB727" s="338"/>
      <c r="AC727" s="338" t="s">
        <v>6117</v>
      </c>
      <c r="AD727" s="338" t="s">
        <v>6318</v>
      </c>
      <c r="AF727" s="502" t="str">
        <f>Table15[[#This Row],[code2]]</f>
        <v>PRL</v>
      </c>
      <c r="AG727" s="502" t="str">
        <f>Table15[[#This Row],[code5]]</f>
        <v>HINVILA</v>
      </c>
    </row>
    <row r="728" spans="1:33">
      <c r="A728" s="338" t="s">
        <v>6072</v>
      </c>
      <c r="B728" s="338" t="s">
        <v>6073</v>
      </c>
      <c r="C728" s="337">
        <v>1</v>
      </c>
      <c r="D728" s="338" t="s">
        <v>6513</v>
      </c>
      <c r="E728" s="338" t="s">
        <v>6514</v>
      </c>
      <c r="F728" s="337">
        <v>1</v>
      </c>
      <c r="G728" s="337">
        <v>1</v>
      </c>
      <c r="H728" s="338" t="s">
        <v>6515</v>
      </c>
      <c r="I728" s="338" t="s">
        <v>9548</v>
      </c>
      <c r="J728" s="338" t="s">
        <v>9551</v>
      </c>
      <c r="K728" s="338" t="s">
        <v>6516</v>
      </c>
      <c r="L728" s="338" t="s">
        <v>6517</v>
      </c>
      <c r="M728" s="338" t="s">
        <v>6890</v>
      </c>
      <c r="N728" s="338" t="s">
        <v>6891</v>
      </c>
      <c r="O728" s="337">
        <v>1</v>
      </c>
      <c r="P728" s="337">
        <v>1</v>
      </c>
      <c r="Q728" s="338"/>
      <c r="R728" s="338" t="s">
        <v>6088</v>
      </c>
      <c r="S728" s="338" t="s">
        <v>6088</v>
      </c>
      <c r="T728" s="338"/>
      <c r="U728" s="338" t="s">
        <v>6903</v>
      </c>
      <c r="V728" s="337">
        <v>1</v>
      </c>
      <c r="W728" s="337">
        <v>1</v>
      </c>
      <c r="X728" s="338"/>
      <c r="Y728" s="338" t="s">
        <v>6318</v>
      </c>
      <c r="Z728" s="338" t="s">
        <v>9092</v>
      </c>
      <c r="AA728" s="338" t="s">
        <v>6079</v>
      </c>
      <c r="AB728" s="338"/>
      <c r="AC728" s="338" t="s">
        <v>6117</v>
      </c>
      <c r="AD728" s="338" t="s">
        <v>6320</v>
      </c>
      <c r="AF728" s="502" t="str">
        <f>Table15[[#This Row],[code2]]</f>
        <v>PRL</v>
      </c>
      <c r="AG728" s="502" t="str">
        <f>Table15[[#This Row],[code5]]</f>
        <v>HINVILA</v>
      </c>
    </row>
    <row r="729" spans="1:33">
      <c r="A729" s="338" t="s">
        <v>6072</v>
      </c>
      <c r="B729" s="338" t="s">
        <v>6073</v>
      </c>
      <c r="C729" s="337">
        <v>1</v>
      </c>
      <c r="D729" s="338" t="s">
        <v>6513</v>
      </c>
      <c r="E729" s="338" t="s">
        <v>6514</v>
      </c>
      <c r="F729" s="337">
        <v>1</v>
      </c>
      <c r="G729" s="337">
        <v>1</v>
      </c>
      <c r="H729" s="338" t="s">
        <v>6515</v>
      </c>
      <c r="I729" s="338" t="s">
        <v>9548</v>
      </c>
      <c r="J729" s="338" t="s">
        <v>9551</v>
      </c>
      <c r="K729" s="338" t="s">
        <v>6516</v>
      </c>
      <c r="L729" s="338" t="s">
        <v>6517</v>
      </c>
      <c r="M729" s="338" t="s">
        <v>6890</v>
      </c>
      <c r="N729" s="338" t="s">
        <v>6891</v>
      </c>
      <c r="O729" s="337">
        <v>1</v>
      </c>
      <c r="P729" s="337">
        <v>1</v>
      </c>
      <c r="Q729" s="338"/>
      <c r="R729" s="338" t="s">
        <v>6088</v>
      </c>
      <c r="S729" s="338" t="s">
        <v>6088</v>
      </c>
      <c r="T729" s="338"/>
      <c r="U729" s="338" t="s">
        <v>6904</v>
      </c>
      <c r="V729" s="337">
        <v>1</v>
      </c>
      <c r="W729" s="337">
        <v>1</v>
      </c>
      <c r="X729" s="338"/>
      <c r="Y729" s="338" t="s">
        <v>6318</v>
      </c>
      <c r="Z729" s="338" t="s">
        <v>6289</v>
      </c>
      <c r="AA729" s="338" t="s">
        <v>6079</v>
      </c>
      <c r="AB729" s="338"/>
      <c r="AC729" s="338" t="s">
        <v>6122</v>
      </c>
      <c r="AD729" s="338" t="s">
        <v>6318</v>
      </c>
      <c r="AF729" s="502" t="str">
        <f>Table15[[#This Row],[code2]]</f>
        <v>PRL</v>
      </c>
      <c r="AG729" s="502" t="str">
        <f>Table15[[#This Row],[code5]]</f>
        <v>HINVILA</v>
      </c>
    </row>
    <row r="730" spans="1:33">
      <c r="A730" s="338" t="s">
        <v>6072</v>
      </c>
      <c r="B730" s="338" t="s">
        <v>6073</v>
      </c>
      <c r="C730" s="337">
        <v>1</v>
      </c>
      <c r="D730" s="338" t="s">
        <v>6513</v>
      </c>
      <c r="E730" s="338" t="s">
        <v>6514</v>
      </c>
      <c r="F730" s="337">
        <v>1</v>
      </c>
      <c r="G730" s="337">
        <v>1</v>
      </c>
      <c r="H730" s="338" t="s">
        <v>6515</v>
      </c>
      <c r="I730" s="338" t="s">
        <v>9548</v>
      </c>
      <c r="J730" s="338" t="s">
        <v>9551</v>
      </c>
      <c r="K730" s="338" t="s">
        <v>6516</v>
      </c>
      <c r="L730" s="338" t="s">
        <v>6517</v>
      </c>
      <c r="M730" s="338" t="s">
        <v>6890</v>
      </c>
      <c r="N730" s="338" t="s">
        <v>6891</v>
      </c>
      <c r="O730" s="337">
        <v>1</v>
      </c>
      <c r="P730" s="337">
        <v>1</v>
      </c>
      <c r="Q730" s="338"/>
      <c r="R730" s="338" t="s">
        <v>6088</v>
      </c>
      <c r="S730" s="338" t="s">
        <v>6088</v>
      </c>
      <c r="T730" s="338"/>
      <c r="U730" s="338" t="s">
        <v>6905</v>
      </c>
      <c r="V730" s="337">
        <v>1</v>
      </c>
      <c r="W730" s="337">
        <v>1</v>
      </c>
      <c r="X730" s="338"/>
      <c r="Y730" s="338" t="s">
        <v>6318</v>
      </c>
      <c r="Z730" s="338" t="s">
        <v>9165</v>
      </c>
      <c r="AA730" s="338" t="s">
        <v>6079</v>
      </c>
      <c r="AB730" s="338"/>
      <c r="AC730" s="338" t="s">
        <v>6122</v>
      </c>
      <c r="AD730" s="338" t="s">
        <v>6320</v>
      </c>
      <c r="AF730" s="502" t="str">
        <f>Table15[[#This Row],[code2]]</f>
        <v>PRL</v>
      </c>
      <c r="AG730" s="502" t="str">
        <f>Table15[[#This Row],[code5]]</f>
        <v>HINVILA</v>
      </c>
    </row>
    <row r="731" spans="1:33">
      <c r="A731" s="338" t="s">
        <v>6072</v>
      </c>
      <c r="B731" s="338" t="s">
        <v>6073</v>
      </c>
      <c r="C731" s="337">
        <v>1</v>
      </c>
      <c r="D731" s="338" t="s">
        <v>6513</v>
      </c>
      <c r="E731" s="338" t="s">
        <v>6514</v>
      </c>
      <c r="F731" s="337">
        <v>1</v>
      </c>
      <c r="G731" s="337">
        <v>1</v>
      </c>
      <c r="H731" s="338" t="s">
        <v>6515</v>
      </c>
      <c r="I731" s="338" t="s">
        <v>9548</v>
      </c>
      <c r="J731" s="338" t="s">
        <v>9551</v>
      </c>
      <c r="K731" s="338" t="s">
        <v>6516</v>
      </c>
      <c r="L731" s="338" t="s">
        <v>6517</v>
      </c>
      <c r="M731" s="338" t="s">
        <v>6906</v>
      </c>
      <c r="N731" s="338" t="s">
        <v>6907</v>
      </c>
      <c r="O731" s="337">
        <v>1</v>
      </c>
      <c r="P731" s="337">
        <v>1</v>
      </c>
      <c r="Q731" s="338"/>
      <c r="R731" s="338" t="s">
        <v>6088</v>
      </c>
      <c r="S731" s="338" t="s">
        <v>6088</v>
      </c>
      <c r="T731" s="338"/>
      <c r="U731" s="338" t="s">
        <v>6908</v>
      </c>
      <c r="V731" s="337">
        <v>1</v>
      </c>
      <c r="W731" s="337">
        <v>1</v>
      </c>
      <c r="X731" s="338"/>
      <c r="Y731" s="338" t="s">
        <v>6318</v>
      </c>
      <c r="Z731" s="338" t="s">
        <v>7972</v>
      </c>
      <c r="AA731" s="338" t="s">
        <v>6079</v>
      </c>
      <c r="AB731" s="338"/>
      <c r="AC731" s="338" t="s">
        <v>6909</v>
      </c>
      <c r="AD731" s="338" t="s">
        <v>6910</v>
      </c>
      <c r="AF731" s="502" t="str">
        <f>Table15[[#This Row],[code2]]</f>
        <v>PRL</v>
      </c>
      <c r="AG731" s="502" t="str">
        <f>Table15[[#This Row],[code5]]</f>
        <v>HINVILALVR</v>
      </c>
    </row>
    <row r="732" spans="1:33">
      <c r="A732" s="338" t="s">
        <v>6072</v>
      </c>
      <c r="B732" s="338" t="s">
        <v>6073</v>
      </c>
      <c r="C732" s="337">
        <v>1</v>
      </c>
      <c r="D732" s="338" t="s">
        <v>6513</v>
      </c>
      <c r="E732" s="338" t="s">
        <v>6514</v>
      </c>
      <c r="F732" s="337">
        <v>1</v>
      </c>
      <c r="G732" s="337">
        <v>1</v>
      </c>
      <c r="H732" s="338" t="s">
        <v>6515</v>
      </c>
      <c r="I732" s="338" t="s">
        <v>9548</v>
      </c>
      <c r="J732" s="338" t="s">
        <v>9551</v>
      </c>
      <c r="K732" s="338" t="s">
        <v>6516</v>
      </c>
      <c r="L732" s="338" t="s">
        <v>6517</v>
      </c>
      <c r="M732" s="338" t="s">
        <v>6906</v>
      </c>
      <c r="N732" s="338" t="s">
        <v>6907</v>
      </c>
      <c r="O732" s="337">
        <v>1</v>
      </c>
      <c r="P732" s="337">
        <v>1</v>
      </c>
      <c r="Q732" s="338"/>
      <c r="R732" s="338" t="s">
        <v>6088</v>
      </c>
      <c r="S732" s="338" t="s">
        <v>6088</v>
      </c>
      <c r="T732" s="338"/>
      <c r="U732" s="338" t="s">
        <v>6911</v>
      </c>
      <c r="V732" s="337">
        <v>1</v>
      </c>
      <c r="W732" s="337">
        <v>1</v>
      </c>
      <c r="X732" s="338"/>
      <c r="Y732" s="338" t="s">
        <v>6318</v>
      </c>
      <c r="Z732" s="338" t="s">
        <v>9097</v>
      </c>
      <c r="AA732" s="338" t="s">
        <v>6079</v>
      </c>
      <c r="AB732" s="338"/>
      <c r="AC732" s="338" t="s">
        <v>6909</v>
      </c>
      <c r="AD732" s="338" t="s">
        <v>6912</v>
      </c>
      <c r="AF732" s="502" t="str">
        <f>Table15[[#This Row],[code2]]</f>
        <v>PRL</v>
      </c>
      <c r="AG732" s="502" t="str">
        <f>Table15[[#This Row],[code5]]</f>
        <v>HINVILALVR</v>
      </c>
    </row>
    <row r="733" spans="1:33">
      <c r="A733" s="338" t="s">
        <v>6072</v>
      </c>
      <c r="B733" s="338" t="s">
        <v>6073</v>
      </c>
      <c r="C733" s="337">
        <v>1</v>
      </c>
      <c r="D733" s="338" t="s">
        <v>6513</v>
      </c>
      <c r="E733" s="338" t="s">
        <v>6514</v>
      </c>
      <c r="F733" s="337">
        <v>1</v>
      </c>
      <c r="G733" s="337">
        <v>1</v>
      </c>
      <c r="H733" s="338" t="s">
        <v>6515</v>
      </c>
      <c r="I733" s="338" t="s">
        <v>9548</v>
      </c>
      <c r="J733" s="338" t="s">
        <v>9551</v>
      </c>
      <c r="K733" s="338" t="s">
        <v>6516</v>
      </c>
      <c r="L733" s="338" t="s">
        <v>6517</v>
      </c>
      <c r="M733" s="338" t="s">
        <v>6906</v>
      </c>
      <c r="N733" s="338" t="s">
        <v>6907</v>
      </c>
      <c r="O733" s="337">
        <v>1</v>
      </c>
      <c r="P733" s="337">
        <v>1</v>
      </c>
      <c r="Q733" s="338"/>
      <c r="R733" s="338" t="s">
        <v>6088</v>
      </c>
      <c r="S733" s="338" t="s">
        <v>6088</v>
      </c>
      <c r="T733" s="338"/>
      <c r="U733" s="338" t="s">
        <v>6913</v>
      </c>
      <c r="V733" s="337">
        <v>1</v>
      </c>
      <c r="W733" s="337">
        <v>1</v>
      </c>
      <c r="X733" s="338"/>
      <c r="Y733" s="338" t="s">
        <v>6318</v>
      </c>
      <c r="Z733" s="338" t="s">
        <v>7877</v>
      </c>
      <c r="AA733" s="338" t="s">
        <v>6079</v>
      </c>
      <c r="AB733" s="338"/>
      <c r="AC733" s="338" t="s">
        <v>6914</v>
      </c>
      <c r="AD733" s="338" t="s">
        <v>6910</v>
      </c>
      <c r="AF733" s="502" t="str">
        <f>Table15[[#This Row],[code2]]</f>
        <v>PRL</v>
      </c>
      <c r="AG733" s="502" t="str">
        <f>Table15[[#This Row],[code5]]</f>
        <v>HINVILALVR</v>
      </c>
    </row>
    <row r="734" spans="1:33">
      <c r="A734" s="338" t="s">
        <v>6072</v>
      </c>
      <c r="B734" s="338" t="s">
        <v>6073</v>
      </c>
      <c r="C734" s="337">
        <v>1</v>
      </c>
      <c r="D734" s="338" t="s">
        <v>6513</v>
      </c>
      <c r="E734" s="338" t="s">
        <v>6514</v>
      </c>
      <c r="F734" s="337">
        <v>1</v>
      </c>
      <c r="G734" s="337">
        <v>1</v>
      </c>
      <c r="H734" s="338" t="s">
        <v>6515</v>
      </c>
      <c r="I734" s="338" t="s">
        <v>9548</v>
      </c>
      <c r="J734" s="338" t="s">
        <v>9551</v>
      </c>
      <c r="K734" s="338" t="s">
        <v>6516</v>
      </c>
      <c r="L734" s="338" t="s">
        <v>6517</v>
      </c>
      <c r="M734" s="338" t="s">
        <v>6906</v>
      </c>
      <c r="N734" s="338" t="s">
        <v>6907</v>
      </c>
      <c r="O734" s="337">
        <v>1</v>
      </c>
      <c r="P734" s="337">
        <v>1</v>
      </c>
      <c r="Q734" s="338"/>
      <c r="R734" s="338" t="s">
        <v>6088</v>
      </c>
      <c r="S734" s="338" t="s">
        <v>6088</v>
      </c>
      <c r="T734" s="338"/>
      <c r="U734" s="338" t="s">
        <v>6915</v>
      </c>
      <c r="V734" s="337">
        <v>1</v>
      </c>
      <c r="W734" s="337">
        <v>1</v>
      </c>
      <c r="X734" s="338"/>
      <c r="Y734" s="338" t="s">
        <v>6318</v>
      </c>
      <c r="Z734" s="338" t="s">
        <v>8254</v>
      </c>
      <c r="AA734" s="338" t="s">
        <v>6079</v>
      </c>
      <c r="AB734" s="338"/>
      <c r="AC734" s="338" t="s">
        <v>6914</v>
      </c>
      <c r="AD734" s="338" t="s">
        <v>6912</v>
      </c>
      <c r="AF734" s="502" t="str">
        <f>Table15[[#This Row],[code2]]</f>
        <v>PRL</v>
      </c>
      <c r="AG734" s="502" t="str">
        <f>Table15[[#This Row],[code5]]</f>
        <v>HINVILALVR</v>
      </c>
    </row>
    <row r="735" spans="1:33">
      <c r="A735" s="338" t="s">
        <v>6072</v>
      </c>
      <c r="B735" s="338" t="s">
        <v>6073</v>
      </c>
      <c r="C735" s="337">
        <v>1</v>
      </c>
      <c r="D735" s="338" t="s">
        <v>6513</v>
      </c>
      <c r="E735" s="338" t="s">
        <v>6514</v>
      </c>
      <c r="F735" s="337">
        <v>1</v>
      </c>
      <c r="G735" s="337">
        <v>1</v>
      </c>
      <c r="H735" s="338" t="s">
        <v>6515</v>
      </c>
      <c r="I735" s="338" t="s">
        <v>9548</v>
      </c>
      <c r="J735" s="338" t="s">
        <v>9551</v>
      </c>
      <c r="K735" s="338" t="s">
        <v>6516</v>
      </c>
      <c r="L735" s="338" t="s">
        <v>6517</v>
      </c>
      <c r="M735" s="338" t="s">
        <v>6906</v>
      </c>
      <c r="N735" s="338" t="s">
        <v>6907</v>
      </c>
      <c r="O735" s="337">
        <v>1</v>
      </c>
      <c r="P735" s="337">
        <v>1</v>
      </c>
      <c r="Q735" s="338"/>
      <c r="R735" s="338" t="s">
        <v>6088</v>
      </c>
      <c r="S735" s="338" t="s">
        <v>6088</v>
      </c>
      <c r="T735" s="338"/>
      <c r="U735" s="338" t="s">
        <v>6916</v>
      </c>
      <c r="V735" s="337">
        <v>1</v>
      </c>
      <c r="W735" s="337">
        <v>1</v>
      </c>
      <c r="X735" s="338"/>
      <c r="Y735" s="338" t="s">
        <v>6318</v>
      </c>
      <c r="Z735" s="338" t="s">
        <v>7877</v>
      </c>
      <c r="AA735" s="338" t="s">
        <v>6079</v>
      </c>
      <c r="AB735" s="338"/>
      <c r="AC735" s="338" t="s">
        <v>6917</v>
      </c>
      <c r="AD735" s="338" t="s">
        <v>6910</v>
      </c>
      <c r="AF735" s="502" t="str">
        <f>Table15[[#This Row],[code2]]</f>
        <v>PRL</v>
      </c>
      <c r="AG735" s="502" t="str">
        <f>Table15[[#This Row],[code5]]</f>
        <v>HINVILALVR</v>
      </c>
    </row>
    <row r="736" spans="1:33">
      <c r="A736" s="338" t="s">
        <v>6072</v>
      </c>
      <c r="B736" s="338" t="s">
        <v>6073</v>
      </c>
      <c r="C736" s="337">
        <v>1</v>
      </c>
      <c r="D736" s="338" t="s">
        <v>6513</v>
      </c>
      <c r="E736" s="338" t="s">
        <v>6514</v>
      </c>
      <c r="F736" s="337">
        <v>1</v>
      </c>
      <c r="G736" s="337">
        <v>1</v>
      </c>
      <c r="H736" s="338" t="s">
        <v>6515</v>
      </c>
      <c r="I736" s="338" t="s">
        <v>9548</v>
      </c>
      <c r="J736" s="338" t="s">
        <v>9551</v>
      </c>
      <c r="K736" s="338" t="s">
        <v>6516</v>
      </c>
      <c r="L736" s="338" t="s">
        <v>6517</v>
      </c>
      <c r="M736" s="338" t="s">
        <v>6906</v>
      </c>
      <c r="N736" s="338" t="s">
        <v>6907</v>
      </c>
      <c r="O736" s="337">
        <v>1</v>
      </c>
      <c r="P736" s="337">
        <v>1</v>
      </c>
      <c r="Q736" s="338"/>
      <c r="R736" s="338" t="s">
        <v>6088</v>
      </c>
      <c r="S736" s="338" t="s">
        <v>6088</v>
      </c>
      <c r="T736" s="338"/>
      <c r="U736" s="338" t="s">
        <v>6918</v>
      </c>
      <c r="V736" s="337">
        <v>1</v>
      </c>
      <c r="W736" s="337">
        <v>1</v>
      </c>
      <c r="X736" s="338"/>
      <c r="Y736" s="338" t="s">
        <v>6318</v>
      </c>
      <c r="Z736" s="338" t="s">
        <v>8673</v>
      </c>
      <c r="AA736" s="338" t="s">
        <v>6079</v>
      </c>
      <c r="AB736" s="338"/>
      <c r="AC736" s="338" t="s">
        <v>6917</v>
      </c>
      <c r="AD736" s="338" t="s">
        <v>6912</v>
      </c>
      <c r="AF736" s="502" t="str">
        <f>Table15[[#This Row],[code2]]</f>
        <v>PRL</v>
      </c>
      <c r="AG736" s="502" t="str">
        <f>Table15[[#This Row],[code5]]</f>
        <v>HINVILALVR</v>
      </c>
    </row>
    <row r="737" spans="1:33">
      <c r="A737" s="338" t="s">
        <v>6072</v>
      </c>
      <c r="B737" s="338" t="s">
        <v>6073</v>
      </c>
      <c r="C737" s="337">
        <v>1</v>
      </c>
      <c r="D737" s="338" t="s">
        <v>6513</v>
      </c>
      <c r="E737" s="338" t="s">
        <v>6514</v>
      </c>
      <c r="F737" s="337">
        <v>1</v>
      </c>
      <c r="G737" s="337">
        <v>1</v>
      </c>
      <c r="H737" s="338" t="s">
        <v>6515</v>
      </c>
      <c r="I737" s="338" t="s">
        <v>9548</v>
      </c>
      <c r="J737" s="338" t="s">
        <v>9551</v>
      </c>
      <c r="K737" s="338" t="s">
        <v>6516</v>
      </c>
      <c r="L737" s="338" t="s">
        <v>6517</v>
      </c>
      <c r="M737" s="338" t="s">
        <v>6906</v>
      </c>
      <c r="N737" s="338" t="s">
        <v>6907</v>
      </c>
      <c r="O737" s="337">
        <v>1</v>
      </c>
      <c r="P737" s="337">
        <v>1</v>
      </c>
      <c r="Q737" s="338"/>
      <c r="R737" s="338" t="s">
        <v>6088</v>
      </c>
      <c r="S737" s="338" t="s">
        <v>6088</v>
      </c>
      <c r="T737" s="338"/>
      <c r="U737" s="338" t="s">
        <v>6919</v>
      </c>
      <c r="V737" s="337">
        <v>1</v>
      </c>
      <c r="W737" s="337">
        <v>1</v>
      </c>
      <c r="X737" s="338"/>
      <c r="Y737" s="338" t="s">
        <v>6318</v>
      </c>
      <c r="Z737" s="338" t="s">
        <v>8019</v>
      </c>
      <c r="AA737" s="338" t="s">
        <v>6079</v>
      </c>
      <c r="AB737" s="338"/>
      <c r="AC737" s="338" t="s">
        <v>6920</v>
      </c>
      <c r="AD737" s="338" t="s">
        <v>6910</v>
      </c>
      <c r="AF737" s="502" t="str">
        <f>Table15[[#This Row],[code2]]</f>
        <v>PRL</v>
      </c>
      <c r="AG737" s="502" t="str">
        <f>Table15[[#This Row],[code5]]</f>
        <v>HINVILALVR</v>
      </c>
    </row>
    <row r="738" spans="1:33">
      <c r="A738" s="338" t="s">
        <v>6072</v>
      </c>
      <c r="B738" s="338" t="s">
        <v>6073</v>
      </c>
      <c r="C738" s="337">
        <v>1</v>
      </c>
      <c r="D738" s="338" t="s">
        <v>6513</v>
      </c>
      <c r="E738" s="338" t="s">
        <v>6514</v>
      </c>
      <c r="F738" s="337">
        <v>1</v>
      </c>
      <c r="G738" s="337">
        <v>1</v>
      </c>
      <c r="H738" s="338" t="s">
        <v>6515</v>
      </c>
      <c r="I738" s="338" t="s">
        <v>9548</v>
      </c>
      <c r="J738" s="338" t="s">
        <v>9551</v>
      </c>
      <c r="K738" s="338" t="s">
        <v>6516</v>
      </c>
      <c r="L738" s="338" t="s">
        <v>6517</v>
      </c>
      <c r="M738" s="338" t="s">
        <v>6906</v>
      </c>
      <c r="N738" s="338" t="s">
        <v>6907</v>
      </c>
      <c r="O738" s="337">
        <v>1</v>
      </c>
      <c r="P738" s="337">
        <v>1</v>
      </c>
      <c r="Q738" s="338"/>
      <c r="R738" s="338" t="s">
        <v>6088</v>
      </c>
      <c r="S738" s="338" t="s">
        <v>6088</v>
      </c>
      <c r="T738" s="338"/>
      <c r="U738" s="338" t="s">
        <v>6921</v>
      </c>
      <c r="V738" s="337">
        <v>1</v>
      </c>
      <c r="W738" s="337">
        <v>1</v>
      </c>
      <c r="X738" s="338"/>
      <c r="Y738" s="338" t="s">
        <v>6318</v>
      </c>
      <c r="Z738" s="338" t="s">
        <v>8162</v>
      </c>
      <c r="AA738" s="338" t="s">
        <v>6079</v>
      </c>
      <c r="AB738" s="338"/>
      <c r="AC738" s="338" t="s">
        <v>6920</v>
      </c>
      <c r="AD738" s="338" t="s">
        <v>6912</v>
      </c>
      <c r="AF738" s="502" t="str">
        <f>Table15[[#This Row],[code2]]</f>
        <v>PRL</v>
      </c>
      <c r="AG738" s="502" t="str">
        <f>Table15[[#This Row],[code5]]</f>
        <v>HINVILALVR</v>
      </c>
    </row>
    <row r="739" spans="1:33">
      <c r="A739" s="338" t="s">
        <v>6072</v>
      </c>
      <c r="B739" s="338" t="s">
        <v>6073</v>
      </c>
      <c r="C739" s="337">
        <v>1</v>
      </c>
      <c r="D739" s="338" t="s">
        <v>6513</v>
      </c>
      <c r="E739" s="338" t="s">
        <v>6514</v>
      </c>
      <c r="F739" s="337">
        <v>1</v>
      </c>
      <c r="G739" s="337">
        <v>1</v>
      </c>
      <c r="H739" s="338" t="s">
        <v>6515</v>
      </c>
      <c r="I739" s="338" t="s">
        <v>9548</v>
      </c>
      <c r="J739" s="338" t="s">
        <v>9551</v>
      </c>
      <c r="K739" s="338" t="s">
        <v>6516</v>
      </c>
      <c r="L739" s="338" t="s">
        <v>6517</v>
      </c>
      <c r="M739" s="338" t="s">
        <v>6906</v>
      </c>
      <c r="N739" s="338" t="s">
        <v>6907</v>
      </c>
      <c r="O739" s="337">
        <v>1</v>
      </c>
      <c r="P739" s="337">
        <v>1</v>
      </c>
      <c r="Q739" s="338"/>
      <c r="R739" s="338" t="s">
        <v>6088</v>
      </c>
      <c r="S739" s="338" t="s">
        <v>6088</v>
      </c>
      <c r="T739" s="338"/>
      <c r="U739" s="338" t="s">
        <v>6922</v>
      </c>
      <c r="V739" s="337">
        <v>1</v>
      </c>
      <c r="W739" s="337">
        <v>1</v>
      </c>
      <c r="X739" s="338"/>
      <c r="Y739" s="338" t="s">
        <v>6318</v>
      </c>
      <c r="Z739" s="338" t="s">
        <v>8011</v>
      </c>
      <c r="AA739" s="338" t="s">
        <v>6079</v>
      </c>
      <c r="AB739" s="338"/>
      <c r="AC739" s="338" t="s">
        <v>6923</v>
      </c>
      <c r="AD739" s="338" t="s">
        <v>6910</v>
      </c>
      <c r="AF739" s="502" t="str">
        <f>Table15[[#This Row],[code2]]</f>
        <v>PRL</v>
      </c>
      <c r="AG739" s="502" t="str">
        <f>Table15[[#This Row],[code5]]</f>
        <v>HINVILALVR</v>
      </c>
    </row>
    <row r="740" spans="1:33">
      <c r="A740" s="338" t="s">
        <v>6072</v>
      </c>
      <c r="B740" s="338" t="s">
        <v>6073</v>
      </c>
      <c r="C740" s="337">
        <v>1</v>
      </c>
      <c r="D740" s="338" t="s">
        <v>6513</v>
      </c>
      <c r="E740" s="338" t="s">
        <v>6514</v>
      </c>
      <c r="F740" s="337">
        <v>1</v>
      </c>
      <c r="G740" s="337">
        <v>1</v>
      </c>
      <c r="H740" s="338" t="s">
        <v>6515</v>
      </c>
      <c r="I740" s="338" t="s">
        <v>9548</v>
      </c>
      <c r="J740" s="338" t="s">
        <v>9551</v>
      </c>
      <c r="K740" s="338" t="s">
        <v>6516</v>
      </c>
      <c r="L740" s="338" t="s">
        <v>6517</v>
      </c>
      <c r="M740" s="338" t="s">
        <v>6906</v>
      </c>
      <c r="N740" s="338" t="s">
        <v>6907</v>
      </c>
      <c r="O740" s="337">
        <v>1</v>
      </c>
      <c r="P740" s="337">
        <v>1</v>
      </c>
      <c r="Q740" s="338"/>
      <c r="R740" s="338" t="s">
        <v>6088</v>
      </c>
      <c r="S740" s="338" t="s">
        <v>6088</v>
      </c>
      <c r="T740" s="338"/>
      <c r="U740" s="338" t="s">
        <v>6924</v>
      </c>
      <c r="V740" s="337">
        <v>1</v>
      </c>
      <c r="W740" s="337">
        <v>1</v>
      </c>
      <c r="X740" s="338"/>
      <c r="Y740" s="338" t="s">
        <v>6318</v>
      </c>
      <c r="Z740" s="338" t="s">
        <v>9166</v>
      </c>
      <c r="AA740" s="338" t="s">
        <v>6079</v>
      </c>
      <c r="AB740" s="338"/>
      <c r="AC740" s="338" t="s">
        <v>6923</v>
      </c>
      <c r="AD740" s="338" t="s">
        <v>6912</v>
      </c>
      <c r="AF740" s="502" t="str">
        <f>Table15[[#This Row],[code2]]</f>
        <v>PRL</v>
      </c>
      <c r="AG740" s="502" t="str">
        <f>Table15[[#This Row],[code5]]</f>
        <v>HINVILALVR</v>
      </c>
    </row>
    <row r="741" spans="1:33">
      <c r="A741" s="338" t="s">
        <v>6072</v>
      </c>
      <c r="B741" s="338" t="s">
        <v>6073</v>
      </c>
      <c r="C741" s="337">
        <v>1</v>
      </c>
      <c r="D741" s="338" t="s">
        <v>6513</v>
      </c>
      <c r="E741" s="338" t="s">
        <v>6514</v>
      </c>
      <c r="F741" s="337">
        <v>1</v>
      </c>
      <c r="G741" s="337">
        <v>1</v>
      </c>
      <c r="H741" s="338" t="s">
        <v>6515</v>
      </c>
      <c r="I741" s="338" t="s">
        <v>9548</v>
      </c>
      <c r="J741" s="338" t="s">
        <v>9551</v>
      </c>
      <c r="K741" s="338" t="s">
        <v>6516</v>
      </c>
      <c r="L741" s="338" t="s">
        <v>6517</v>
      </c>
      <c r="M741" s="338" t="s">
        <v>6906</v>
      </c>
      <c r="N741" s="338" t="s">
        <v>6907</v>
      </c>
      <c r="O741" s="337">
        <v>1</v>
      </c>
      <c r="P741" s="337">
        <v>1</v>
      </c>
      <c r="Q741" s="338"/>
      <c r="R741" s="338" t="s">
        <v>6088</v>
      </c>
      <c r="S741" s="338" t="s">
        <v>6088</v>
      </c>
      <c r="T741" s="338"/>
      <c r="U741" s="338" t="s">
        <v>6925</v>
      </c>
      <c r="V741" s="337">
        <v>1</v>
      </c>
      <c r="W741" s="337">
        <v>1</v>
      </c>
      <c r="X741" s="338"/>
      <c r="Y741" s="338" t="s">
        <v>6318</v>
      </c>
      <c r="Z741" s="338" t="s">
        <v>8252</v>
      </c>
      <c r="AA741" s="338" t="s">
        <v>6079</v>
      </c>
      <c r="AB741" s="338"/>
      <c r="AC741" s="338" t="s">
        <v>6926</v>
      </c>
      <c r="AD741" s="338" t="s">
        <v>6910</v>
      </c>
      <c r="AF741" s="502" t="str">
        <f>Table15[[#This Row],[code2]]</f>
        <v>PRL</v>
      </c>
      <c r="AG741" s="502" t="str">
        <f>Table15[[#This Row],[code5]]</f>
        <v>HINVILALVR</v>
      </c>
    </row>
    <row r="742" spans="1:33">
      <c r="A742" s="338" t="s">
        <v>6072</v>
      </c>
      <c r="B742" s="338" t="s">
        <v>6073</v>
      </c>
      <c r="C742" s="337">
        <v>1</v>
      </c>
      <c r="D742" s="338" t="s">
        <v>6513</v>
      </c>
      <c r="E742" s="338" t="s">
        <v>6514</v>
      </c>
      <c r="F742" s="337">
        <v>1</v>
      </c>
      <c r="G742" s="337">
        <v>1</v>
      </c>
      <c r="H742" s="338" t="s">
        <v>6515</v>
      </c>
      <c r="I742" s="338" t="s">
        <v>9548</v>
      </c>
      <c r="J742" s="338" t="s">
        <v>9551</v>
      </c>
      <c r="K742" s="338" t="s">
        <v>6516</v>
      </c>
      <c r="L742" s="338" t="s">
        <v>6517</v>
      </c>
      <c r="M742" s="338" t="s">
        <v>6906</v>
      </c>
      <c r="N742" s="338" t="s">
        <v>6907</v>
      </c>
      <c r="O742" s="337">
        <v>1</v>
      </c>
      <c r="P742" s="337">
        <v>1</v>
      </c>
      <c r="Q742" s="338"/>
      <c r="R742" s="338" t="s">
        <v>6088</v>
      </c>
      <c r="S742" s="338" t="s">
        <v>6088</v>
      </c>
      <c r="T742" s="338"/>
      <c r="U742" s="338" t="s">
        <v>6927</v>
      </c>
      <c r="V742" s="337">
        <v>1</v>
      </c>
      <c r="W742" s="337">
        <v>0</v>
      </c>
      <c r="X742" s="338"/>
      <c r="Y742" s="338" t="s">
        <v>6318</v>
      </c>
      <c r="Z742" s="338" t="s">
        <v>6823</v>
      </c>
      <c r="AA742" s="338" t="s">
        <v>6079</v>
      </c>
      <c r="AB742" s="338"/>
      <c r="AC742" s="338" t="s">
        <v>6926</v>
      </c>
      <c r="AD742" s="338" t="s">
        <v>6912</v>
      </c>
      <c r="AF742" s="502" t="str">
        <f>Table15[[#This Row],[code2]]</f>
        <v>PRL</v>
      </c>
      <c r="AG742" s="502" t="str">
        <f>Table15[[#This Row],[code5]]</f>
        <v>HINVILALVR</v>
      </c>
    </row>
    <row r="743" spans="1:33">
      <c r="A743" s="338" t="s">
        <v>6072</v>
      </c>
      <c r="B743" s="338" t="s">
        <v>6073</v>
      </c>
      <c r="C743" s="337">
        <v>1</v>
      </c>
      <c r="D743" s="338" t="s">
        <v>6513</v>
      </c>
      <c r="E743" s="338" t="s">
        <v>6514</v>
      </c>
      <c r="F743" s="337">
        <v>1</v>
      </c>
      <c r="G743" s="337">
        <v>1</v>
      </c>
      <c r="H743" s="338" t="s">
        <v>6515</v>
      </c>
      <c r="I743" s="338" t="s">
        <v>9548</v>
      </c>
      <c r="J743" s="338" t="s">
        <v>9551</v>
      </c>
      <c r="K743" s="338" t="s">
        <v>6516</v>
      </c>
      <c r="L743" s="338" t="s">
        <v>6517</v>
      </c>
      <c r="M743" s="338" t="s">
        <v>6906</v>
      </c>
      <c r="N743" s="338" t="s">
        <v>6907</v>
      </c>
      <c r="O743" s="337">
        <v>1</v>
      </c>
      <c r="P743" s="337">
        <v>1</v>
      </c>
      <c r="Q743" s="338"/>
      <c r="R743" s="338" t="s">
        <v>6088</v>
      </c>
      <c r="S743" s="338" t="s">
        <v>6088</v>
      </c>
      <c r="T743" s="338"/>
      <c r="U743" s="338" t="s">
        <v>6928</v>
      </c>
      <c r="V743" s="337">
        <v>1</v>
      </c>
      <c r="W743" s="337">
        <v>1</v>
      </c>
      <c r="X743" s="338"/>
      <c r="Y743" s="338" t="s">
        <v>6318</v>
      </c>
      <c r="Z743" s="338" t="s">
        <v>8252</v>
      </c>
      <c r="AA743" s="338" t="s">
        <v>6079</v>
      </c>
      <c r="AB743" s="338"/>
      <c r="AC743" s="338" t="s">
        <v>6929</v>
      </c>
      <c r="AD743" s="338" t="s">
        <v>6910</v>
      </c>
      <c r="AF743" s="502" t="str">
        <f>Table15[[#This Row],[code2]]</f>
        <v>PRL</v>
      </c>
      <c r="AG743" s="502" t="str">
        <f>Table15[[#This Row],[code5]]</f>
        <v>HINVILALVR</v>
      </c>
    </row>
    <row r="744" spans="1:33">
      <c r="A744" s="338" t="s">
        <v>6072</v>
      </c>
      <c r="B744" s="338" t="s">
        <v>6073</v>
      </c>
      <c r="C744" s="337">
        <v>1</v>
      </c>
      <c r="D744" s="338" t="s">
        <v>6513</v>
      </c>
      <c r="E744" s="338" t="s">
        <v>6514</v>
      </c>
      <c r="F744" s="337">
        <v>1</v>
      </c>
      <c r="G744" s="337">
        <v>1</v>
      </c>
      <c r="H744" s="338" t="s">
        <v>6515</v>
      </c>
      <c r="I744" s="338" t="s">
        <v>9548</v>
      </c>
      <c r="J744" s="338" t="s">
        <v>9551</v>
      </c>
      <c r="K744" s="338" t="s">
        <v>6516</v>
      </c>
      <c r="L744" s="338" t="s">
        <v>6517</v>
      </c>
      <c r="M744" s="338" t="s">
        <v>6906</v>
      </c>
      <c r="N744" s="338" t="s">
        <v>6907</v>
      </c>
      <c r="O744" s="337">
        <v>1</v>
      </c>
      <c r="P744" s="337">
        <v>1</v>
      </c>
      <c r="Q744" s="338"/>
      <c r="R744" s="338" t="s">
        <v>6088</v>
      </c>
      <c r="S744" s="338" t="s">
        <v>6088</v>
      </c>
      <c r="T744" s="338"/>
      <c r="U744" s="338" t="s">
        <v>6930</v>
      </c>
      <c r="V744" s="337">
        <v>1</v>
      </c>
      <c r="W744" s="337">
        <v>1</v>
      </c>
      <c r="X744" s="338"/>
      <c r="Y744" s="338" t="s">
        <v>6318</v>
      </c>
      <c r="Z744" s="338" t="s">
        <v>9097</v>
      </c>
      <c r="AA744" s="338" t="s">
        <v>6079</v>
      </c>
      <c r="AB744" s="338"/>
      <c r="AC744" s="338" t="s">
        <v>6929</v>
      </c>
      <c r="AD744" s="338" t="s">
        <v>6912</v>
      </c>
      <c r="AF744" s="502" t="str">
        <f>Table15[[#This Row],[code2]]</f>
        <v>PRL</v>
      </c>
      <c r="AG744" s="502" t="str">
        <f>Table15[[#This Row],[code5]]</f>
        <v>HINVILALVR</v>
      </c>
    </row>
    <row r="745" spans="1:33">
      <c r="A745" s="338" t="s">
        <v>6072</v>
      </c>
      <c r="B745" s="338" t="s">
        <v>6073</v>
      </c>
      <c r="C745" s="337">
        <v>1</v>
      </c>
      <c r="D745" s="338" t="s">
        <v>6513</v>
      </c>
      <c r="E745" s="338" t="s">
        <v>6514</v>
      </c>
      <c r="F745" s="337">
        <v>1</v>
      </c>
      <c r="G745" s="337">
        <v>1</v>
      </c>
      <c r="H745" s="338" t="s">
        <v>6515</v>
      </c>
      <c r="I745" s="338" t="s">
        <v>9548</v>
      </c>
      <c r="J745" s="338" t="s">
        <v>9551</v>
      </c>
      <c r="K745" s="338" t="s">
        <v>6516</v>
      </c>
      <c r="L745" s="338" t="s">
        <v>6517</v>
      </c>
      <c r="M745" s="338" t="s">
        <v>6931</v>
      </c>
      <c r="N745" s="338" t="s">
        <v>6385</v>
      </c>
      <c r="O745" s="337">
        <v>1</v>
      </c>
      <c r="P745" s="337">
        <v>1</v>
      </c>
      <c r="Q745" s="338"/>
      <c r="R745" s="338" t="s">
        <v>14</v>
      </c>
      <c r="S745" s="338"/>
      <c r="T745" s="338"/>
      <c r="U745" s="338" t="s">
        <v>6932</v>
      </c>
      <c r="V745" s="337">
        <v>1</v>
      </c>
      <c r="W745" s="337">
        <v>1</v>
      </c>
      <c r="X745" s="338"/>
      <c r="Y745" s="338" t="s">
        <v>6163</v>
      </c>
      <c r="Z745" s="338" t="s">
        <v>6177</v>
      </c>
      <c r="AA745" s="338" t="s">
        <v>6079</v>
      </c>
      <c r="AB745" s="338"/>
      <c r="AC745" s="338" t="s">
        <v>6178</v>
      </c>
      <c r="AD745" s="338"/>
      <c r="AF745" s="502" t="str">
        <f>Table15[[#This Row],[code2]]</f>
        <v>PRL</v>
      </c>
      <c r="AG745" s="502" t="str">
        <f>Table15[[#This Row],[code5]]</f>
        <v>RHLP</v>
      </c>
    </row>
    <row r="746" spans="1:33">
      <c r="A746" s="338" t="s">
        <v>6072</v>
      </c>
      <c r="B746" s="338" t="s">
        <v>6073</v>
      </c>
      <c r="C746" s="337">
        <v>1</v>
      </c>
      <c r="D746" s="338" t="s">
        <v>6513</v>
      </c>
      <c r="E746" s="338" t="s">
        <v>6514</v>
      </c>
      <c r="F746" s="337">
        <v>1</v>
      </c>
      <c r="G746" s="337">
        <v>1</v>
      </c>
      <c r="H746" s="338" t="s">
        <v>6515</v>
      </c>
      <c r="I746" s="338" t="s">
        <v>9548</v>
      </c>
      <c r="J746" s="338" t="s">
        <v>9551</v>
      </c>
      <c r="K746" s="338" t="s">
        <v>6516</v>
      </c>
      <c r="L746" s="338" t="s">
        <v>6517</v>
      </c>
      <c r="M746" s="338" t="s">
        <v>6931</v>
      </c>
      <c r="N746" s="338" t="s">
        <v>6385</v>
      </c>
      <c r="O746" s="337">
        <v>1</v>
      </c>
      <c r="P746" s="337">
        <v>1</v>
      </c>
      <c r="Q746" s="338"/>
      <c r="R746" s="338" t="s">
        <v>14</v>
      </c>
      <c r="S746" s="338"/>
      <c r="T746" s="338"/>
      <c r="U746" s="338" t="s">
        <v>6933</v>
      </c>
      <c r="V746" s="337">
        <v>1</v>
      </c>
      <c r="W746" s="337">
        <v>1</v>
      </c>
      <c r="X746" s="338"/>
      <c r="Y746" s="338" t="s">
        <v>6167</v>
      </c>
      <c r="Z746" s="338" t="s">
        <v>9089</v>
      </c>
      <c r="AA746" s="338" t="s">
        <v>6079</v>
      </c>
      <c r="AB746" s="338"/>
      <c r="AC746" s="338" t="s">
        <v>6178</v>
      </c>
      <c r="AD746" s="338"/>
      <c r="AF746" s="502" t="str">
        <f>Table15[[#This Row],[code2]]</f>
        <v>PRL</v>
      </c>
      <c r="AG746" s="502" t="str">
        <f>Table15[[#This Row],[code5]]</f>
        <v>RHLP</v>
      </c>
    </row>
    <row r="747" spans="1:33">
      <c r="A747" s="338" t="s">
        <v>6072</v>
      </c>
      <c r="B747" s="338" t="s">
        <v>6073</v>
      </c>
      <c r="C747" s="337">
        <v>1</v>
      </c>
      <c r="D747" s="338" t="s">
        <v>6513</v>
      </c>
      <c r="E747" s="338" t="s">
        <v>6514</v>
      </c>
      <c r="F747" s="337">
        <v>1</v>
      </c>
      <c r="G747" s="337">
        <v>1</v>
      </c>
      <c r="H747" s="338" t="s">
        <v>6515</v>
      </c>
      <c r="I747" s="338" t="s">
        <v>9548</v>
      </c>
      <c r="J747" s="338" t="s">
        <v>9551</v>
      </c>
      <c r="K747" s="338" t="s">
        <v>6516</v>
      </c>
      <c r="L747" s="338" t="s">
        <v>6517</v>
      </c>
      <c r="M747" s="338" t="s">
        <v>6931</v>
      </c>
      <c r="N747" s="338" t="s">
        <v>6385</v>
      </c>
      <c r="O747" s="337">
        <v>1</v>
      </c>
      <c r="P747" s="337">
        <v>1</v>
      </c>
      <c r="Q747" s="338"/>
      <c r="R747" s="338" t="s">
        <v>14</v>
      </c>
      <c r="S747" s="338"/>
      <c r="T747" s="338"/>
      <c r="U747" s="338" t="s">
        <v>6934</v>
      </c>
      <c r="V747" s="337">
        <v>1</v>
      </c>
      <c r="W747" s="337">
        <v>1</v>
      </c>
      <c r="X747" s="338"/>
      <c r="Y747" s="338" t="s">
        <v>6163</v>
      </c>
      <c r="Z747" s="338" t="s">
        <v>6177</v>
      </c>
      <c r="AA747" s="338" t="s">
        <v>6079</v>
      </c>
      <c r="AB747" s="338"/>
      <c r="AC747" s="338" t="s">
        <v>6389</v>
      </c>
      <c r="AD747" s="338"/>
      <c r="AF747" s="502" t="str">
        <f>Table15[[#This Row],[code2]]</f>
        <v>PRL</v>
      </c>
      <c r="AG747" s="502" t="str">
        <f>Table15[[#This Row],[code5]]</f>
        <v>RHLP</v>
      </c>
    </row>
    <row r="748" spans="1:33">
      <c r="A748" s="338" t="s">
        <v>6072</v>
      </c>
      <c r="B748" s="338" t="s">
        <v>6073</v>
      </c>
      <c r="C748" s="337">
        <v>1</v>
      </c>
      <c r="D748" s="338" t="s">
        <v>6513</v>
      </c>
      <c r="E748" s="338" t="s">
        <v>6514</v>
      </c>
      <c r="F748" s="337">
        <v>1</v>
      </c>
      <c r="G748" s="337">
        <v>1</v>
      </c>
      <c r="H748" s="338" t="s">
        <v>6515</v>
      </c>
      <c r="I748" s="338" t="s">
        <v>9548</v>
      </c>
      <c r="J748" s="338" t="s">
        <v>9551</v>
      </c>
      <c r="K748" s="338" t="s">
        <v>6516</v>
      </c>
      <c r="L748" s="338" t="s">
        <v>6517</v>
      </c>
      <c r="M748" s="338" t="s">
        <v>6931</v>
      </c>
      <c r="N748" s="338" t="s">
        <v>6385</v>
      </c>
      <c r="O748" s="337">
        <v>1</v>
      </c>
      <c r="P748" s="337">
        <v>1</v>
      </c>
      <c r="Q748" s="338"/>
      <c r="R748" s="338" t="s">
        <v>14</v>
      </c>
      <c r="S748" s="338"/>
      <c r="T748" s="338"/>
      <c r="U748" s="338" t="s">
        <v>6935</v>
      </c>
      <c r="V748" s="337">
        <v>1</v>
      </c>
      <c r="W748" s="337">
        <v>1</v>
      </c>
      <c r="X748" s="338"/>
      <c r="Y748" s="338" t="s">
        <v>6167</v>
      </c>
      <c r="Z748" s="338" t="s">
        <v>9089</v>
      </c>
      <c r="AA748" s="338" t="s">
        <v>6079</v>
      </c>
      <c r="AB748" s="338"/>
      <c r="AC748" s="338" t="s">
        <v>6389</v>
      </c>
      <c r="AD748" s="338"/>
      <c r="AF748" s="502" t="str">
        <f>Table15[[#This Row],[code2]]</f>
        <v>PRL</v>
      </c>
      <c r="AG748" s="502" t="str">
        <f>Table15[[#This Row],[code5]]</f>
        <v>RHLP</v>
      </c>
    </row>
    <row r="749" spans="1:33">
      <c r="A749" s="338" t="s">
        <v>6072</v>
      </c>
      <c r="B749" s="338" t="s">
        <v>6073</v>
      </c>
      <c r="C749" s="337">
        <v>1</v>
      </c>
      <c r="D749" s="338" t="s">
        <v>6513</v>
      </c>
      <c r="E749" s="338" t="s">
        <v>6514</v>
      </c>
      <c r="F749" s="337">
        <v>1</v>
      </c>
      <c r="G749" s="337">
        <v>1</v>
      </c>
      <c r="H749" s="338" t="s">
        <v>6515</v>
      </c>
      <c r="I749" s="338" t="s">
        <v>9548</v>
      </c>
      <c r="J749" s="338" t="s">
        <v>9551</v>
      </c>
      <c r="K749" s="338" t="s">
        <v>6516</v>
      </c>
      <c r="L749" s="338" t="s">
        <v>6517</v>
      </c>
      <c r="M749" s="338" t="s">
        <v>6931</v>
      </c>
      <c r="N749" s="338" t="s">
        <v>6385</v>
      </c>
      <c r="O749" s="337">
        <v>1</v>
      </c>
      <c r="P749" s="337">
        <v>1</v>
      </c>
      <c r="Q749" s="338"/>
      <c r="R749" s="338" t="s">
        <v>14</v>
      </c>
      <c r="S749" s="338"/>
      <c r="T749" s="338"/>
      <c r="U749" s="338" t="s">
        <v>6936</v>
      </c>
      <c r="V749" s="337">
        <v>1</v>
      </c>
      <c r="W749" s="337">
        <v>1</v>
      </c>
      <c r="X749" s="338"/>
      <c r="Y749" s="338" t="s">
        <v>6163</v>
      </c>
      <c r="Z749" s="338" t="s">
        <v>6185</v>
      </c>
      <c r="AA749" s="338" t="s">
        <v>6079</v>
      </c>
      <c r="AB749" s="338"/>
      <c r="AC749" s="338" t="s">
        <v>6186</v>
      </c>
      <c r="AD749" s="338"/>
      <c r="AF749" s="502" t="str">
        <f>Table15[[#This Row],[code2]]</f>
        <v>PRL</v>
      </c>
      <c r="AG749" s="502" t="str">
        <f>Table15[[#This Row],[code5]]</f>
        <v>RHLP</v>
      </c>
    </row>
    <row r="750" spans="1:33">
      <c r="A750" s="338" t="s">
        <v>6072</v>
      </c>
      <c r="B750" s="338" t="s">
        <v>6073</v>
      </c>
      <c r="C750" s="337">
        <v>1</v>
      </c>
      <c r="D750" s="338" t="s">
        <v>6513</v>
      </c>
      <c r="E750" s="338" t="s">
        <v>6514</v>
      </c>
      <c r="F750" s="337">
        <v>1</v>
      </c>
      <c r="G750" s="337">
        <v>1</v>
      </c>
      <c r="H750" s="338" t="s">
        <v>6515</v>
      </c>
      <c r="I750" s="338" t="s">
        <v>9548</v>
      </c>
      <c r="J750" s="338" t="s">
        <v>9551</v>
      </c>
      <c r="K750" s="338" t="s">
        <v>6516</v>
      </c>
      <c r="L750" s="338" t="s">
        <v>6517</v>
      </c>
      <c r="M750" s="338" t="s">
        <v>6931</v>
      </c>
      <c r="N750" s="338" t="s">
        <v>6385</v>
      </c>
      <c r="O750" s="337">
        <v>1</v>
      </c>
      <c r="P750" s="337">
        <v>1</v>
      </c>
      <c r="Q750" s="338"/>
      <c r="R750" s="338" t="s">
        <v>14</v>
      </c>
      <c r="S750" s="338"/>
      <c r="T750" s="338"/>
      <c r="U750" s="338" t="s">
        <v>6937</v>
      </c>
      <c r="V750" s="337">
        <v>1</v>
      </c>
      <c r="W750" s="337">
        <v>1</v>
      </c>
      <c r="X750" s="338"/>
      <c r="Y750" s="338" t="s">
        <v>6167</v>
      </c>
      <c r="Z750" s="338" t="s">
        <v>7023</v>
      </c>
      <c r="AA750" s="338" t="s">
        <v>6079</v>
      </c>
      <c r="AB750" s="338"/>
      <c r="AC750" s="338" t="s">
        <v>6186</v>
      </c>
      <c r="AD750" s="338"/>
      <c r="AF750" s="502" t="str">
        <f>Table15[[#This Row],[code2]]</f>
        <v>PRL</v>
      </c>
      <c r="AG750" s="502" t="str">
        <f>Table15[[#This Row],[code5]]</f>
        <v>RHLP</v>
      </c>
    </row>
    <row r="751" spans="1:33">
      <c r="A751" s="338" t="s">
        <v>6072</v>
      </c>
      <c r="B751" s="338" t="s">
        <v>6073</v>
      </c>
      <c r="C751" s="337">
        <v>1</v>
      </c>
      <c r="D751" s="338" t="s">
        <v>6513</v>
      </c>
      <c r="E751" s="338" t="s">
        <v>6514</v>
      </c>
      <c r="F751" s="337">
        <v>1</v>
      </c>
      <c r="G751" s="337">
        <v>1</v>
      </c>
      <c r="H751" s="338" t="s">
        <v>6515</v>
      </c>
      <c r="I751" s="338" t="s">
        <v>9548</v>
      </c>
      <c r="J751" s="338" t="s">
        <v>9551</v>
      </c>
      <c r="K751" s="338" t="s">
        <v>6516</v>
      </c>
      <c r="L751" s="338" t="s">
        <v>6517</v>
      </c>
      <c r="M751" s="338" t="s">
        <v>6931</v>
      </c>
      <c r="N751" s="338" t="s">
        <v>6385</v>
      </c>
      <c r="O751" s="337">
        <v>1</v>
      </c>
      <c r="P751" s="337">
        <v>1</v>
      </c>
      <c r="Q751" s="338"/>
      <c r="R751" s="338" t="s">
        <v>14</v>
      </c>
      <c r="S751" s="338"/>
      <c r="T751" s="338"/>
      <c r="U751" s="338" t="s">
        <v>6938</v>
      </c>
      <c r="V751" s="337">
        <v>1</v>
      </c>
      <c r="W751" s="337">
        <v>1</v>
      </c>
      <c r="X751" s="338"/>
      <c r="Y751" s="338" t="s">
        <v>6163</v>
      </c>
      <c r="Z751" s="338" t="s">
        <v>6185</v>
      </c>
      <c r="AA751" s="338" t="s">
        <v>6079</v>
      </c>
      <c r="AB751" s="338"/>
      <c r="AC751" s="338" t="s">
        <v>6189</v>
      </c>
      <c r="AD751" s="338"/>
      <c r="AF751" s="502" t="str">
        <f>Table15[[#This Row],[code2]]</f>
        <v>PRL</v>
      </c>
      <c r="AG751" s="502" t="str">
        <f>Table15[[#This Row],[code5]]</f>
        <v>RHLP</v>
      </c>
    </row>
    <row r="752" spans="1:33">
      <c r="A752" s="338" t="s">
        <v>6072</v>
      </c>
      <c r="B752" s="338" t="s">
        <v>6073</v>
      </c>
      <c r="C752" s="337">
        <v>1</v>
      </c>
      <c r="D752" s="338" t="s">
        <v>6513</v>
      </c>
      <c r="E752" s="338" t="s">
        <v>6514</v>
      </c>
      <c r="F752" s="337">
        <v>1</v>
      </c>
      <c r="G752" s="337">
        <v>1</v>
      </c>
      <c r="H752" s="338" t="s">
        <v>6515</v>
      </c>
      <c r="I752" s="338" t="s">
        <v>9548</v>
      </c>
      <c r="J752" s="338" t="s">
        <v>9551</v>
      </c>
      <c r="K752" s="338" t="s">
        <v>6516</v>
      </c>
      <c r="L752" s="338" t="s">
        <v>6517</v>
      </c>
      <c r="M752" s="338" t="s">
        <v>6931</v>
      </c>
      <c r="N752" s="338" t="s">
        <v>6385</v>
      </c>
      <c r="O752" s="337">
        <v>1</v>
      </c>
      <c r="P752" s="337">
        <v>1</v>
      </c>
      <c r="Q752" s="338"/>
      <c r="R752" s="338" t="s">
        <v>14</v>
      </c>
      <c r="S752" s="338"/>
      <c r="T752" s="338"/>
      <c r="U752" s="338" t="s">
        <v>6939</v>
      </c>
      <c r="V752" s="337">
        <v>1</v>
      </c>
      <c r="W752" s="337">
        <v>1</v>
      </c>
      <c r="X752" s="338"/>
      <c r="Y752" s="338" t="s">
        <v>6167</v>
      </c>
      <c r="Z752" s="338" t="s">
        <v>7023</v>
      </c>
      <c r="AA752" s="338" t="s">
        <v>6079</v>
      </c>
      <c r="AB752" s="338"/>
      <c r="AC752" s="338" t="s">
        <v>6189</v>
      </c>
      <c r="AD752" s="338"/>
      <c r="AF752" s="502" t="str">
        <f>Table15[[#This Row],[code2]]</f>
        <v>PRL</v>
      </c>
      <c r="AG752" s="502" t="str">
        <f>Table15[[#This Row],[code5]]</f>
        <v>RHLP</v>
      </c>
    </row>
    <row r="753" spans="1:33">
      <c r="A753" s="338" t="s">
        <v>6072</v>
      </c>
      <c r="B753" s="338" t="s">
        <v>6073</v>
      </c>
      <c r="C753" s="337">
        <v>1</v>
      </c>
      <c r="D753" s="338" t="s">
        <v>6513</v>
      </c>
      <c r="E753" s="338" t="s">
        <v>6514</v>
      </c>
      <c r="F753" s="337">
        <v>1</v>
      </c>
      <c r="G753" s="337">
        <v>1</v>
      </c>
      <c r="H753" s="338" t="s">
        <v>6515</v>
      </c>
      <c r="I753" s="338" t="s">
        <v>9548</v>
      </c>
      <c r="J753" s="338" t="s">
        <v>9551</v>
      </c>
      <c r="K753" s="338" t="s">
        <v>6516</v>
      </c>
      <c r="L753" s="338" t="s">
        <v>6517</v>
      </c>
      <c r="M753" s="338" t="s">
        <v>6940</v>
      </c>
      <c r="N753" s="338" t="s">
        <v>6396</v>
      </c>
      <c r="O753" s="337">
        <v>1</v>
      </c>
      <c r="P753" s="337">
        <v>1</v>
      </c>
      <c r="Q753" s="338"/>
      <c r="R753" s="338" t="s">
        <v>14</v>
      </c>
      <c r="S753" s="338"/>
      <c r="T753" s="338"/>
      <c r="U753" s="338" t="s">
        <v>6941</v>
      </c>
      <c r="V753" s="337">
        <v>1</v>
      </c>
      <c r="W753" s="337">
        <v>1</v>
      </c>
      <c r="X753" s="338"/>
      <c r="Y753" s="338" t="s">
        <v>497</v>
      </c>
      <c r="Z753" s="338" t="s">
        <v>8593</v>
      </c>
      <c r="AA753" s="338" t="s">
        <v>6079</v>
      </c>
      <c r="AB753" s="338"/>
      <c r="AC753" s="338" t="s">
        <v>6208</v>
      </c>
      <c r="AD753" s="338"/>
      <c r="AF753" s="502" t="str">
        <f>Table15[[#This Row],[code2]]</f>
        <v>PRL</v>
      </c>
      <c r="AG753" s="502" t="str">
        <f>Table15[[#This Row],[code5]]</f>
        <v>PRLHD</v>
      </c>
    </row>
    <row r="754" spans="1:33">
      <c r="A754" s="338" t="s">
        <v>6072</v>
      </c>
      <c r="B754" s="338" t="s">
        <v>6073</v>
      </c>
      <c r="C754" s="337">
        <v>1</v>
      </c>
      <c r="D754" s="338" t="s">
        <v>6513</v>
      </c>
      <c r="E754" s="338" t="s">
        <v>6514</v>
      </c>
      <c r="F754" s="337">
        <v>1</v>
      </c>
      <c r="G754" s="337">
        <v>1</v>
      </c>
      <c r="H754" s="338" t="s">
        <v>6515</v>
      </c>
      <c r="I754" s="338" t="s">
        <v>9548</v>
      </c>
      <c r="J754" s="338" t="s">
        <v>9551</v>
      </c>
      <c r="K754" s="338" t="s">
        <v>6516</v>
      </c>
      <c r="L754" s="338" t="s">
        <v>6517</v>
      </c>
      <c r="M754" s="338" t="s">
        <v>6940</v>
      </c>
      <c r="N754" s="338" t="s">
        <v>6396</v>
      </c>
      <c r="O754" s="337">
        <v>1</v>
      </c>
      <c r="P754" s="337">
        <v>1</v>
      </c>
      <c r="Q754" s="338"/>
      <c r="R754" s="338" t="s">
        <v>14</v>
      </c>
      <c r="S754" s="338"/>
      <c r="T754" s="338"/>
      <c r="U754" s="338" t="s">
        <v>6942</v>
      </c>
      <c r="V754" s="337">
        <v>1</v>
      </c>
      <c r="W754" s="337">
        <v>1</v>
      </c>
      <c r="X754" s="338"/>
      <c r="Y754" s="338" t="s">
        <v>6081</v>
      </c>
      <c r="Z754" s="338" t="s">
        <v>8593</v>
      </c>
      <c r="AA754" s="338" t="s">
        <v>6079</v>
      </c>
      <c r="AB754" s="338"/>
      <c r="AC754" s="338" t="s">
        <v>6208</v>
      </c>
      <c r="AD754" s="338"/>
      <c r="AF754" s="502" t="str">
        <f>Table15[[#This Row],[code2]]</f>
        <v>PRL</v>
      </c>
      <c r="AG754" s="502" t="str">
        <f>Table15[[#This Row],[code5]]</f>
        <v>PRLHD</v>
      </c>
    </row>
    <row r="755" spans="1:33">
      <c r="A755" s="338" t="s">
        <v>6072</v>
      </c>
      <c r="B755" s="338" t="s">
        <v>6073</v>
      </c>
      <c r="C755" s="337">
        <v>1</v>
      </c>
      <c r="D755" s="338" t="s">
        <v>6513</v>
      </c>
      <c r="E755" s="338" t="s">
        <v>6514</v>
      </c>
      <c r="F755" s="337">
        <v>1</v>
      </c>
      <c r="G755" s="337">
        <v>1</v>
      </c>
      <c r="H755" s="338" t="s">
        <v>6515</v>
      </c>
      <c r="I755" s="338" t="s">
        <v>9548</v>
      </c>
      <c r="J755" s="338" t="s">
        <v>9551</v>
      </c>
      <c r="K755" s="338" t="s">
        <v>6516</v>
      </c>
      <c r="L755" s="338" t="s">
        <v>6517</v>
      </c>
      <c r="M755" s="338" t="s">
        <v>6940</v>
      </c>
      <c r="N755" s="338" t="s">
        <v>6396</v>
      </c>
      <c r="O755" s="337">
        <v>1</v>
      </c>
      <c r="P755" s="337">
        <v>1</v>
      </c>
      <c r="Q755" s="338"/>
      <c r="R755" s="338" t="s">
        <v>14</v>
      </c>
      <c r="S755" s="338"/>
      <c r="T755" s="338"/>
      <c r="U755" s="338" t="s">
        <v>6943</v>
      </c>
      <c r="V755" s="337">
        <v>1</v>
      </c>
      <c r="W755" s="337">
        <v>1</v>
      </c>
      <c r="X755" s="338"/>
      <c r="Y755" s="338" t="s">
        <v>493</v>
      </c>
      <c r="Z755" s="338" t="s">
        <v>8661</v>
      </c>
      <c r="AA755" s="338" t="s">
        <v>6079</v>
      </c>
      <c r="AB755" s="338"/>
      <c r="AC755" s="338" t="s">
        <v>6208</v>
      </c>
      <c r="AD755" s="338"/>
      <c r="AF755" s="502" t="str">
        <f>Table15[[#This Row],[code2]]</f>
        <v>PRL</v>
      </c>
      <c r="AG755" s="502" t="str">
        <f>Table15[[#This Row],[code5]]</f>
        <v>PRLHD</v>
      </c>
    </row>
    <row r="756" spans="1:33">
      <c r="A756" s="338" t="s">
        <v>6072</v>
      </c>
      <c r="B756" s="338" t="s">
        <v>6073</v>
      </c>
      <c r="C756" s="337">
        <v>1</v>
      </c>
      <c r="D756" s="338" t="s">
        <v>6513</v>
      </c>
      <c r="E756" s="338" t="s">
        <v>6514</v>
      </c>
      <c r="F756" s="337">
        <v>1</v>
      </c>
      <c r="G756" s="337">
        <v>1</v>
      </c>
      <c r="H756" s="338" t="s">
        <v>6515</v>
      </c>
      <c r="I756" s="338" t="s">
        <v>9548</v>
      </c>
      <c r="J756" s="338" t="s">
        <v>9551</v>
      </c>
      <c r="K756" s="338" t="s">
        <v>6516</v>
      </c>
      <c r="L756" s="338" t="s">
        <v>6517</v>
      </c>
      <c r="M756" s="338" t="s">
        <v>6940</v>
      </c>
      <c r="N756" s="338" t="s">
        <v>6396</v>
      </c>
      <c r="O756" s="337">
        <v>1</v>
      </c>
      <c r="P756" s="337">
        <v>1</v>
      </c>
      <c r="Q756" s="338"/>
      <c r="R756" s="338" t="s">
        <v>14</v>
      </c>
      <c r="S756" s="338"/>
      <c r="T756" s="338"/>
      <c r="U756" s="338" t="s">
        <v>6944</v>
      </c>
      <c r="V756" s="337">
        <v>1</v>
      </c>
      <c r="W756" s="337">
        <v>1</v>
      </c>
      <c r="X756" s="338"/>
      <c r="Y756" s="338" t="s">
        <v>6085</v>
      </c>
      <c r="Z756" s="338" t="s">
        <v>8660</v>
      </c>
      <c r="AA756" s="338" t="s">
        <v>6079</v>
      </c>
      <c r="AB756" s="338"/>
      <c r="AC756" s="338" t="s">
        <v>6208</v>
      </c>
      <c r="AD756" s="338"/>
      <c r="AF756" s="502" t="str">
        <f>Table15[[#This Row],[code2]]</f>
        <v>PRL</v>
      </c>
      <c r="AG756" s="502" t="str">
        <f>Table15[[#This Row],[code5]]</f>
        <v>PRLHD</v>
      </c>
    </row>
    <row r="757" spans="1:33">
      <c r="A757" s="338" t="s">
        <v>6072</v>
      </c>
      <c r="B757" s="338" t="s">
        <v>6073</v>
      </c>
      <c r="C757" s="337">
        <v>1</v>
      </c>
      <c r="D757" s="338" t="s">
        <v>6513</v>
      </c>
      <c r="E757" s="338" t="s">
        <v>6514</v>
      </c>
      <c r="F757" s="337">
        <v>1</v>
      </c>
      <c r="G757" s="337">
        <v>1</v>
      </c>
      <c r="H757" s="338" t="s">
        <v>6515</v>
      </c>
      <c r="I757" s="338" t="s">
        <v>9548</v>
      </c>
      <c r="J757" s="338" t="s">
        <v>9551</v>
      </c>
      <c r="K757" s="338" t="s">
        <v>6516</v>
      </c>
      <c r="L757" s="338" t="s">
        <v>6517</v>
      </c>
      <c r="M757" s="338" t="s">
        <v>6940</v>
      </c>
      <c r="N757" s="338" t="s">
        <v>6396</v>
      </c>
      <c r="O757" s="337">
        <v>1</v>
      </c>
      <c r="P757" s="337">
        <v>1</v>
      </c>
      <c r="Q757" s="338"/>
      <c r="R757" s="338" t="s">
        <v>14</v>
      </c>
      <c r="S757" s="338"/>
      <c r="T757" s="338"/>
      <c r="U757" s="338" t="s">
        <v>6945</v>
      </c>
      <c r="V757" s="337">
        <v>1</v>
      </c>
      <c r="W757" s="337">
        <v>1</v>
      </c>
      <c r="X757" s="338"/>
      <c r="Y757" s="338" t="s">
        <v>497</v>
      </c>
      <c r="Z757" s="338" t="s">
        <v>8590</v>
      </c>
      <c r="AA757" s="338" t="s">
        <v>6079</v>
      </c>
      <c r="AB757" s="338"/>
      <c r="AC757" s="338" t="s">
        <v>6213</v>
      </c>
      <c r="AD757" s="338"/>
      <c r="AF757" s="502" t="str">
        <f>Table15[[#This Row],[code2]]</f>
        <v>PRL</v>
      </c>
      <c r="AG757" s="502" t="str">
        <f>Table15[[#This Row],[code5]]</f>
        <v>PRLHD</v>
      </c>
    </row>
    <row r="758" spans="1:33">
      <c r="A758" s="338" t="s">
        <v>6072</v>
      </c>
      <c r="B758" s="338" t="s">
        <v>6073</v>
      </c>
      <c r="C758" s="337">
        <v>1</v>
      </c>
      <c r="D758" s="338" t="s">
        <v>6513</v>
      </c>
      <c r="E758" s="338" t="s">
        <v>6514</v>
      </c>
      <c r="F758" s="337">
        <v>1</v>
      </c>
      <c r="G758" s="337">
        <v>1</v>
      </c>
      <c r="H758" s="338" t="s">
        <v>6515</v>
      </c>
      <c r="I758" s="338" t="s">
        <v>9548</v>
      </c>
      <c r="J758" s="338" t="s">
        <v>9551</v>
      </c>
      <c r="K758" s="338" t="s">
        <v>6516</v>
      </c>
      <c r="L758" s="338" t="s">
        <v>6517</v>
      </c>
      <c r="M758" s="338" t="s">
        <v>6940</v>
      </c>
      <c r="N758" s="338" t="s">
        <v>6396</v>
      </c>
      <c r="O758" s="337">
        <v>1</v>
      </c>
      <c r="P758" s="337">
        <v>1</v>
      </c>
      <c r="Q758" s="338"/>
      <c r="R758" s="338" t="s">
        <v>14</v>
      </c>
      <c r="S758" s="338"/>
      <c r="T758" s="338"/>
      <c r="U758" s="338" t="s">
        <v>6946</v>
      </c>
      <c r="V758" s="337">
        <v>1</v>
      </c>
      <c r="W758" s="337">
        <v>1</v>
      </c>
      <c r="X758" s="338"/>
      <c r="Y758" s="338" t="s">
        <v>6081</v>
      </c>
      <c r="Z758" s="338" t="s">
        <v>8590</v>
      </c>
      <c r="AA758" s="338" t="s">
        <v>6079</v>
      </c>
      <c r="AB758" s="338"/>
      <c r="AC758" s="338" t="s">
        <v>6213</v>
      </c>
      <c r="AD758" s="338"/>
      <c r="AF758" s="502" t="str">
        <f>Table15[[#This Row],[code2]]</f>
        <v>PRL</v>
      </c>
      <c r="AG758" s="502" t="str">
        <f>Table15[[#This Row],[code5]]</f>
        <v>PRLHD</v>
      </c>
    </row>
    <row r="759" spans="1:33">
      <c r="A759" s="338" t="s">
        <v>6072</v>
      </c>
      <c r="B759" s="338" t="s">
        <v>6073</v>
      </c>
      <c r="C759" s="337">
        <v>1</v>
      </c>
      <c r="D759" s="338" t="s">
        <v>6513</v>
      </c>
      <c r="E759" s="338" t="s">
        <v>6514</v>
      </c>
      <c r="F759" s="337">
        <v>1</v>
      </c>
      <c r="G759" s="337">
        <v>1</v>
      </c>
      <c r="H759" s="338" t="s">
        <v>6515</v>
      </c>
      <c r="I759" s="338" t="s">
        <v>9548</v>
      </c>
      <c r="J759" s="338" t="s">
        <v>9551</v>
      </c>
      <c r="K759" s="338" t="s">
        <v>6516</v>
      </c>
      <c r="L759" s="338" t="s">
        <v>6517</v>
      </c>
      <c r="M759" s="338" t="s">
        <v>6940</v>
      </c>
      <c r="N759" s="338" t="s">
        <v>6396</v>
      </c>
      <c r="O759" s="337">
        <v>1</v>
      </c>
      <c r="P759" s="337">
        <v>1</v>
      </c>
      <c r="Q759" s="338"/>
      <c r="R759" s="338" t="s">
        <v>14</v>
      </c>
      <c r="S759" s="338"/>
      <c r="T759" s="338"/>
      <c r="U759" s="338" t="s">
        <v>6947</v>
      </c>
      <c r="V759" s="337">
        <v>1</v>
      </c>
      <c r="W759" s="337">
        <v>1</v>
      </c>
      <c r="X759" s="338"/>
      <c r="Y759" s="338" t="s">
        <v>493</v>
      </c>
      <c r="Z759" s="338" t="s">
        <v>8656</v>
      </c>
      <c r="AA759" s="338" t="s">
        <v>6079</v>
      </c>
      <c r="AB759" s="338"/>
      <c r="AC759" s="338" t="s">
        <v>6213</v>
      </c>
      <c r="AD759" s="338"/>
      <c r="AF759" s="502" t="str">
        <f>Table15[[#This Row],[code2]]</f>
        <v>PRL</v>
      </c>
      <c r="AG759" s="502" t="str">
        <f>Table15[[#This Row],[code5]]</f>
        <v>PRLHD</v>
      </c>
    </row>
    <row r="760" spans="1:33">
      <c r="A760" s="338" t="s">
        <v>6072</v>
      </c>
      <c r="B760" s="338" t="s">
        <v>6073</v>
      </c>
      <c r="C760" s="337">
        <v>1</v>
      </c>
      <c r="D760" s="338" t="s">
        <v>6513</v>
      </c>
      <c r="E760" s="338" t="s">
        <v>6514</v>
      </c>
      <c r="F760" s="337">
        <v>1</v>
      </c>
      <c r="G760" s="337">
        <v>1</v>
      </c>
      <c r="H760" s="338" t="s">
        <v>6515</v>
      </c>
      <c r="I760" s="338" t="s">
        <v>9548</v>
      </c>
      <c r="J760" s="338" t="s">
        <v>9551</v>
      </c>
      <c r="K760" s="338" t="s">
        <v>6516</v>
      </c>
      <c r="L760" s="338" t="s">
        <v>6517</v>
      </c>
      <c r="M760" s="338" t="s">
        <v>6940</v>
      </c>
      <c r="N760" s="338" t="s">
        <v>6396</v>
      </c>
      <c r="O760" s="337">
        <v>1</v>
      </c>
      <c r="P760" s="337">
        <v>1</v>
      </c>
      <c r="Q760" s="338"/>
      <c r="R760" s="338" t="s">
        <v>14</v>
      </c>
      <c r="S760" s="338"/>
      <c r="T760" s="338"/>
      <c r="U760" s="338" t="s">
        <v>6948</v>
      </c>
      <c r="V760" s="337">
        <v>1</v>
      </c>
      <c r="W760" s="337">
        <v>1</v>
      </c>
      <c r="X760" s="338"/>
      <c r="Y760" s="338" t="s">
        <v>6085</v>
      </c>
      <c r="Z760" s="338" t="s">
        <v>9093</v>
      </c>
      <c r="AA760" s="338" t="s">
        <v>6079</v>
      </c>
      <c r="AB760" s="338"/>
      <c r="AC760" s="338" t="s">
        <v>6213</v>
      </c>
      <c r="AD760" s="338"/>
      <c r="AF760" s="502" t="str">
        <f>Table15[[#This Row],[code2]]</f>
        <v>PRL</v>
      </c>
      <c r="AG760" s="502" t="str">
        <f>Table15[[#This Row],[code5]]</f>
        <v>PRLHD</v>
      </c>
    </row>
    <row r="761" spans="1:33">
      <c r="A761" s="338" t="s">
        <v>6072</v>
      </c>
      <c r="B761" s="338" t="s">
        <v>6073</v>
      </c>
      <c r="C761" s="337">
        <v>1</v>
      </c>
      <c r="D761" s="338" t="s">
        <v>6513</v>
      </c>
      <c r="E761" s="338" t="s">
        <v>6514</v>
      </c>
      <c r="F761" s="337">
        <v>1</v>
      </c>
      <c r="G761" s="337">
        <v>1</v>
      </c>
      <c r="H761" s="338" t="s">
        <v>6515</v>
      </c>
      <c r="I761" s="338" t="s">
        <v>9548</v>
      </c>
      <c r="J761" s="338" t="s">
        <v>9551</v>
      </c>
      <c r="K761" s="338" t="s">
        <v>6516</v>
      </c>
      <c r="L761" s="338" t="s">
        <v>6517</v>
      </c>
      <c r="M761" s="338" t="s">
        <v>8307</v>
      </c>
      <c r="N761" s="338" t="s">
        <v>8320</v>
      </c>
      <c r="O761" s="337">
        <v>1</v>
      </c>
      <c r="P761" s="337">
        <v>1</v>
      </c>
      <c r="Q761" s="338" t="s">
        <v>8320</v>
      </c>
      <c r="R761" s="338" t="s">
        <v>6088</v>
      </c>
      <c r="S761" s="338" t="s">
        <v>6088</v>
      </c>
      <c r="T761" s="338" t="s">
        <v>7911</v>
      </c>
      <c r="U761" s="338" t="s">
        <v>8322</v>
      </c>
      <c r="V761" s="337">
        <v>1</v>
      </c>
      <c r="W761" s="337">
        <v>1</v>
      </c>
      <c r="X761" s="338"/>
      <c r="Y761" s="338" t="s">
        <v>6318</v>
      </c>
      <c r="Z761" s="338" t="s">
        <v>7915</v>
      </c>
      <c r="AA761" s="338" t="s">
        <v>6079</v>
      </c>
      <c r="AB761" s="338"/>
      <c r="AC761" s="338" t="s">
        <v>8338</v>
      </c>
      <c r="AD761" s="338" t="s">
        <v>6318</v>
      </c>
      <c r="AF761" s="502" t="str">
        <f>Table15[[#This Row],[code2]]</f>
        <v>PRL</v>
      </c>
      <c r="AG761" s="502" t="str">
        <f>Table15[[#This Row],[code5]]</f>
        <v>IIAL</v>
      </c>
    </row>
    <row r="762" spans="1:33">
      <c r="A762" s="338" t="s">
        <v>6072</v>
      </c>
      <c r="B762" s="338" t="s">
        <v>6073</v>
      </c>
      <c r="C762" s="337">
        <v>1</v>
      </c>
      <c r="D762" s="338" t="s">
        <v>6513</v>
      </c>
      <c r="E762" s="338" t="s">
        <v>6514</v>
      </c>
      <c r="F762" s="337">
        <v>1</v>
      </c>
      <c r="G762" s="337">
        <v>1</v>
      </c>
      <c r="H762" s="338" t="s">
        <v>6515</v>
      </c>
      <c r="I762" s="338" t="s">
        <v>9548</v>
      </c>
      <c r="J762" s="338" t="s">
        <v>9551</v>
      </c>
      <c r="K762" s="338" t="s">
        <v>6516</v>
      </c>
      <c r="L762" s="338" t="s">
        <v>6517</v>
      </c>
      <c r="M762" s="338" t="s">
        <v>8307</v>
      </c>
      <c r="N762" s="338" t="s">
        <v>8320</v>
      </c>
      <c r="O762" s="337">
        <v>1</v>
      </c>
      <c r="P762" s="337">
        <v>1</v>
      </c>
      <c r="Q762" s="338" t="s">
        <v>8320</v>
      </c>
      <c r="R762" s="338" t="s">
        <v>6088</v>
      </c>
      <c r="S762" s="338" t="s">
        <v>6088</v>
      </c>
      <c r="T762" s="338" t="s">
        <v>7911</v>
      </c>
      <c r="U762" s="338" t="s">
        <v>8323</v>
      </c>
      <c r="V762" s="337">
        <v>1</v>
      </c>
      <c r="W762" s="337">
        <v>1</v>
      </c>
      <c r="X762" s="338"/>
      <c r="Y762" s="338" t="s">
        <v>6318</v>
      </c>
      <c r="Z762" s="338" t="s">
        <v>9553</v>
      </c>
      <c r="AA762" s="338" t="s">
        <v>6079</v>
      </c>
      <c r="AB762" s="338"/>
      <c r="AC762" s="338" t="s">
        <v>8338</v>
      </c>
      <c r="AD762" s="338" t="s">
        <v>6320</v>
      </c>
      <c r="AF762" s="502" t="str">
        <f>Table15[[#This Row],[code2]]</f>
        <v>PRL</v>
      </c>
      <c r="AG762" s="502" t="str">
        <f>Table15[[#This Row],[code5]]</f>
        <v>IIAL</v>
      </c>
    </row>
    <row r="763" spans="1:33">
      <c r="A763" s="338" t="s">
        <v>6072</v>
      </c>
      <c r="B763" s="338" t="s">
        <v>6073</v>
      </c>
      <c r="C763" s="337">
        <v>1</v>
      </c>
      <c r="D763" s="338" t="s">
        <v>6513</v>
      </c>
      <c r="E763" s="338" t="s">
        <v>6514</v>
      </c>
      <c r="F763" s="337">
        <v>1</v>
      </c>
      <c r="G763" s="337">
        <v>1</v>
      </c>
      <c r="H763" s="338" t="s">
        <v>6515</v>
      </c>
      <c r="I763" s="338" t="s">
        <v>9548</v>
      </c>
      <c r="J763" s="338" t="s">
        <v>9551</v>
      </c>
      <c r="K763" s="338" t="s">
        <v>6516</v>
      </c>
      <c r="L763" s="338" t="s">
        <v>6517</v>
      </c>
      <c r="M763" s="338" t="s">
        <v>8307</v>
      </c>
      <c r="N763" s="338" t="s">
        <v>8320</v>
      </c>
      <c r="O763" s="337">
        <v>1</v>
      </c>
      <c r="P763" s="337">
        <v>1</v>
      </c>
      <c r="Q763" s="338" t="s">
        <v>8320</v>
      </c>
      <c r="R763" s="338" t="s">
        <v>6088</v>
      </c>
      <c r="S763" s="338" t="s">
        <v>6088</v>
      </c>
      <c r="T763" s="338" t="s">
        <v>7911</v>
      </c>
      <c r="U763" s="338" t="s">
        <v>8324</v>
      </c>
      <c r="V763" s="337">
        <v>1</v>
      </c>
      <c r="W763" s="337">
        <v>1</v>
      </c>
      <c r="X763" s="338"/>
      <c r="Y763" s="338" t="s">
        <v>6318</v>
      </c>
      <c r="Z763" s="338" t="s">
        <v>8015</v>
      </c>
      <c r="AA763" s="338" t="s">
        <v>6079</v>
      </c>
      <c r="AB763" s="338"/>
      <c r="AC763" s="338" t="s">
        <v>8339</v>
      </c>
      <c r="AD763" s="338" t="s">
        <v>6318</v>
      </c>
      <c r="AF763" s="502" t="str">
        <f>Table15[[#This Row],[code2]]</f>
        <v>PRL</v>
      </c>
      <c r="AG763" s="502" t="str">
        <f>Table15[[#This Row],[code5]]</f>
        <v>IIAL</v>
      </c>
    </row>
    <row r="764" spans="1:33">
      <c r="A764" s="338" t="s">
        <v>6072</v>
      </c>
      <c r="B764" s="338" t="s">
        <v>6073</v>
      </c>
      <c r="C764" s="337">
        <v>1</v>
      </c>
      <c r="D764" s="338" t="s">
        <v>6513</v>
      </c>
      <c r="E764" s="338" t="s">
        <v>6514</v>
      </c>
      <c r="F764" s="337">
        <v>1</v>
      </c>
      <c r="G764" s="337">
        <v>1</v>
      </c>
      <c r="H764" s="338" t="s">
        <v>6515</v>
      </c>
      <c r="I764" s="338" t="s">
        <v>9548</v>
      </c>
      <c r="J764" s="338" t="s">
        <v>9551</v>
      </c>
      <c r="K764" s="338" t="s">
        <v>6516</v>
      </c>
      <c r="L764" s="338" t="s">
        <v>6517</v>
      </c>
      <c r="M764" s="338" t="s">
        <v>8307</v>
      </c>
      <c r="N764" s="338" t="s">
        <v>8320</v>
      </c>
      <c r="O764" s="337">
        <v>1</v>
      </c>
      <c r="P764" s="337">
        <v>1</v>
      </c>
      <c r="Q764" s="338" t="s">
        <v>8320</v>
      </c>
      <c r="R764" s="338" t="s">
        <v>6088</v>
      </c>
      <c r="S764" s="338" t="s">
        <v>6088</v>
      </c>
      <c r="T764" s="338" t="s">
        <v>7911</v>
      </c>
      <c r="U764" s="338" t="s">
        <v>8325</v>
      </c>
      <c r="V764" s="337">
        <v>1</v>
      </c>
      <c r="W764" s="337">
        <v>1</v>
      </c>
      <c r="X764" s="338"/>
      <c r="Y764" s="338" t="s">
        <v>6318</v>
      </c>
      <c r="Z764" s="338" t="s">
        <v>9167</v>
      </c>
      <c r="AA764" s="338" t="s">
        <v>6079</v>
      </c>
      <c r="AB764" s="338"/>
      <c r="AC764" s="338" t="s">
        <v>8339</v>
      </c>
      <c r="AD764" s="338" t="s">
        <v>6320</v>
      </c>
      <c r="AF764" s="502" t="str">
        <f>Table15[[#This Row],[code2]]</f>
        <v>PRL</v>
      </c>
      <c r="AG764" s="502" t="str">
        <f>Table15[[#This Row],[code5]]</f>
        <v>IIAL</v>
      </c>
    </row>
    <row r="765" spans="1:33">
      <c r="A765" s="338" t="s">
        <v>6072</v>
      </c>
      <c r="B765" s="338" t="s">
        <v>6073</v>
      </c>
      <c r="C765" s="337">
        <v>1</v>
      </c>
      <c r="D765" s="338" t="s">
        <v>6513</v>
      </c>
      <c r="E765" s="338" t="s">
        <v>6514</v>
      </c>
      <c r="F765" s="337">
        <v>1</v>
      </c>
      <c r="G765" s="337">
        <v>1</v>
      </c>
      <c r="H765" s="338" t="s">
        <v>6515</v>
      </c>
      <c r="I765" s="338" t="s">
        <v>9548</v>
      </c>
      <c r="J765" s="338" t="s">
        <v>9551</v>
      </c>
      <c r="K765" s="338" t="s">
        <v>6516</v>
      </c>
      <c r="L765" s="338" t="s">
        <v>6517</v>
      </c>
      <c r="M765" s="338" t="s">
        <v>8307</v>
      </c>
      <c r="N765" s="338" t="s">
        <v>8320</v>
      </c>
      <c r="O765" s="337">
        <v>1</v>
      </c>
      <c r="P765" s="337">
        <v>1</v>
      </c>
      <c r="Q765" s="338" t="s">
        <v>8320</v>
      </c>
      <c r="R765" s="338" t="s">
        <v>6088</v>
      </c>
      <c r="S765" s="338" t="s">
        <v>6088</v>
      </c>
      <c r="T765" s="338" t="s">
        <v>7911</v>
      </c>
      <c r="U765" s="338" t="s">
        <v>8326</v>
      </c>
      <c r="V765" s="337">
        <v>1</v>
      </c>
      <c r="W765" s="337">
        <v>1</v>
      </c>
      <c r="X765" s="338"/>
      <c r="Y765" s="338" t="s">
        <v>6318</v>
      </c>
      <c r="Z765" s="338" t="s">
        <v>8015</v>
      </c>
      <c r="AA765" s="338" t="s">
        <v>6079</v>
      </c>
      <c r="AB765" s="338"/>
      <c r="AC765" s="338" t="s">
        <v>8340</v>
      </c>
      <c r="AD765" s="338" t="s">
        <v>6318</v>
      </c>
      <c r="AF765" s="502" t="str">
        <f>Table15[[#This Row],[code2]]</f>
        <v>PRL</v>
      </c>
      <c r="AG765" s="502" t="str">
        <f>Table15[[#This Row],[code5]]</f>
        <v>IIAL</v>
      </c>
    </row>
    <row r="766" spans="1:33">
      <c r="A766" s="338" t="s">
        <v>6072</v>
      </c>
      <c r="B766" s="338" t="s">
        <v>6073</v>
      </c>
      <c r="C766" s="337">
        <v>1</v>
      </c>
      <c r="D766" s="338" t="s">
        <v>6513</v>
      </c>
      <c r="E766" s="338" t="s">
        <v>6514</v>
      </c>
      <c r="F766" s="337">
        <v>1</v>
      </c>
      <c r="G766" s="337">
        <v>1</v>
      </c>
      <c r="H766" s="338" t="s">
        <v>6515</v>
      </c>
      <c r="I766" s="338" t="s">
        <v>9548</v>
      </c>
      <c r="J766" s="338" t="s">
        <v>9551</v>
      </c>
      <c r="K766" s="338" t="s">
        <v>6516</v>
      </c>
      <c r="L766" s="338" t="s">
        <v>6517</v>
      </c>
      <c r="M766" s="338" t="s">
        <v>8307</v>
      </c>
      <c r="N766" s="338" t="s">
        <v>8320</v>
      </c>
      <c r="O766" s="337">
        <v>1</v>
      </c>
      <c r="P766" s="337">
        <v>1</v>
      </c>
      <c r="Q766" s="338" t="s">
        <v>8320</v>
      </c>
      <c r="R766" s="338" t="s">
        <v>6088</v>
      </c>
      <c r="S766" s="338" t="s">
        <v>6088</v>
      </c>
      <c r="T766" s="338" t="s">
        <v>7911</v>
      </c>
      <c r="U766" s="338" t="s">
        <v>8327</v>
      </c>
      <c r="V766" s="337">
        <v>1</v>
      </c>
      <c r="W766" s="337">
        <v>1</v>
      </c>
      <c r="X766" s="338"/>
      <c r="Y766" s="338" t="s">
        <v>6318</v>
      </c>
      <c r="Z766" s="338" t="s">
        <v>8689</v>
      </c>
      <c r="AA766" s="338" t="s">
        <v>6079</v>
      </c>
      <c r="AB766" s="338"/>
      <c r="AC766" s="338" t="s">
        <v>8340</v>
      </c>
      <c r="AD766" s="338" t="s">
        <v>6320</v>
      </c>
      <c r="AF766" s="502" t="str">
        <f>Table15[[#This Row],[code2]]</f>
        <v>PRL</v>
      </c>
      <c r="AG766" s="502" t="str">
        <f>Table15[[#This Row],[code5]]</f>
        <v>IIAL</v>
      </c>
    </row>
    <row r="767" spans="1:33">
      <c r="A767" s="338" t="s">
        <v>6072</v>
      </c>
      <c r="B767" s="338" t="s">
        <v>6073</v>
      </c>
      <c r="C767" s="337">
        <v>1</v>
      </c>
      <c r="D767" s="338" t="s">
        <v>6513</v>
      </c>
      <c r="E767" s="338" t="s">
        <v>6514</v>
      </c>
      <c r="F767" s="337">
        <v>1</v>
      </c>
      <c r="G767" s="337">
        <v>1</v>
      </c>
      <c r="H767" s="338" t="s">
        <v>6515</v>
      </c>
      <c r="I767" s="338" t="s">
        <v>9548</v>
      </c>
      <c r="J767" s="338" t="s">
        <v>9551</v>
      </c>
      <c r="K767" s="338" t="s">
        <v>6516</v>
      </c>
      <c r="L767" s="338" t="s">
        <v>6517</v>
      </c>
      <c r="M767" s="338" t="s">
        <v>8307</v>
      </c>
      <c r="N767" s="338" t="s">
        <v>8320</v>
      </c>
      <c r="O767" s="337">
        <v>1</v>
      </c>
      <c r="P767" s="337">
        <v>1</v>
      </c>
      <c r="Q767" s="338" t="s">
        <v>8320</v>
      </c>
      <c r="R767" s="338" t="s">
        <v>6088</v>
      </c>
      <c r="S767" s="338" t="s">
        <v>6088</v>
      </c>
      <c r="T767" s="338" t="s">
        <v>7911</v>
      </c>
      <c r="U767" s="338" t="s">
        <v>8328</v>
      </c>
      <c r="V767" s="337">
        <v>1</v>
      </c>
      <c r="W767" s="337">
        <v>1</v>
      </c>
      <c r="X767" s="338"/>
      <c r="Y767" s="338" t="s">
        <v>6318</v>
      </c>
      <c r="Z767" s="338" t="s">
        <v>7916</v>
      </c>
      <c r="AA767" s="338" t="s">
        <v>6079</v>
      </c>
      <c r="AB767" s="338"/>
      <c r="AC767" s="338" t="s">
        <v>8341</v>
      </c>
      <c r="AD767" s="338" t="s">
        <v>6318</v>
      </c>
      <c r="AF767" s="502" t="str">
        <f>Table15[[#This Row],[code2]]</f>
        <v>PRL</v>
      </c>
      <c r="AG767" s="502" t="str">
        <f>Table15[[#This Row],[code5]]</f>
        <v>IIAL</v>
      </c>
    </row>
    <row r="768" spans="1:33">
      <c r="A768" s="338" t="s">
        <v>6072</v>
      </c>
      <c r="B768" s="338" t="s">
        <v>6073</v>
      </c>
      <c r="C768" s="337">
        <v>1</v>
      </c>
      <c r="D768" s="338" t="s">
        <v>6513</v>
      </c>
      <c r="E768" s="338" t="s">
        <v>6514</v>
      </c>
      <c r="F768" s="337">
        <v>1</v>
      </c>
      <c r="G768" s="337">
        <v>1</v>
      </c>
      <c r="H768" s="338" t="s">
        <v>6515</v>
      </c>
      <c r="I768" s="338" t="s">
        <v>9548</v>
      </c>
      <c r="J768" s="338" t="s">
        <v>9551</v>
      </c>
      <c r="K768" s="338" t="s">
        <v>6516</v>
      </c>
      <c r="L768" s="338" t="s">
        <v>6517</v>
      </c>
      <c r="M768" s="338" t="s">
        <v>8307</v>
      </c>
      <c r="N768" s="338" t="s">
        <v>8320</v>
      </c>
      <c r="O768" s="337">
        <v>1</v>
      </c>
      <c r="P768" s="337">
        <v>1</v>
      </c>
      <c r="Q768" s="338" t="s">
        <v>8320</v>
      </c>
      <c r="R768" s="338" t="s">
        <v>6088</v>
      </c>
      <c r="S768" s="338" t="s">
        <v>6088</v>
      </c>
      <c r="T768" s="338" t="s">
        <v>7911</v>
      </c>
      <c r="U768" s="338" t="s">
        <v>8329</v>
      </c>
      <c r="V768" s="337">
        <v>1</v>
      </c>
      <c r="W768" s="337">
        <v>1</v>
      </c>
      <c r="X768" s="338"/>
      <c r="Y768" s="338" t="s">
        <v>6318</v>
      </c>
      <c r="Z768" s="338" t="s">
        <v>8741</v>
      </c>
      <c r="AA768" s="338" t="s">
        <v>6079</v>
      </c>
      <c r="AB768" s="338"/>
      <c r="AC768" s="338" t="s">
        <v>8341</v>
      </c>
      <c r="AD768" s="338" t="s">
        <v>6320</v>
      </c>
      <c r="AF768" s="502" t="str">
        <f>Table15[[#This Row],[code2]]</f>
        <v>PRL</v>
      </c>
      <c r="AG768" s="502" t="str">
        <f>Table15[[#This Row],[code5]]</f>
        <v>IIAL</v>
      </c>
    </row>
    <row r="769" spans="1:33">
      <c r="A769" s="338" t="s">
        <v>6072</v>
      </c>
      <c r="B769" s="338" t="s">
        <v>6073</v>
      </c>
      <c r="C769" s="337">
        <v>1</v>
      </c>
      <c r="D769" s="338" t="s">
        <v>6513</v>
      </c>
      <c r="E769" s="338" t="s">
        <v>6514</v>
      </c>
      <c r="F769" s="337">
        <v>1</v>
      </c>
      <c r="G769" s="337">
        <v>1</v>
      </c>
      <c r="H769" s="338" t="s">
        <v>6515</v>
      </c>
      <c r="I769" s="338" t="s">
        <v>9548</v>
      </c>
      <c r="J769" s="338" t="s">
        <v>9551</v>
      </c>
      <c r="K769" s="338" t="s">
        <v>6516</v>
      </c>
      <c r="L769" s="338" t="s">
        <v>6517</v>
      </c>
      <c r="M769" s="338" t="s">
        <v>8307</v>
      </c>
      <c r="N769" s="338" t="s">
        <v>8320</v>
      </c>
      <c r="O769" s="337">
        <v>1</v>
      </c>
      <c r="P769" s="337">
        <v>1</v>
      </c>
      <c r="Q769" s="338" t="s">
        <v>8320</v>
      </c>
      <c r="R769" s="338" t="s">
        <v>6088</v>
      </c>
      <c r="S769" s="338" t="s">
        <v>6088</v>
      </c>
      <c r="T769" s="338" t="s">
        <v>7911</v>
      </c>
      <c r="U769" s="338" t="s">
        <v>8330</v>
      </c>
      <c r="V769" s="337">
        <v>1</v>
      </c>
      <c r="W769" s="337">
        <v>1</v>
      </c>
      <c r="X769" s="338"/>
      <c r="Y769" s="338" t="s">
        <v>6318</v>
      </c>
      <c r="Z769" s="338" t="s">
        <v>8023</v>
      </c>
      <c r="AA769" s="338" t="s">
        <v>6079</v>
      </c>
      <c r="AB769" s="338"/>
      <c r="AC769" s="338" t="s">
        <v>8342</v>
      </c>
      <c r="AD769" s="338" t="s">
        <v>6318</v>
      </c>
      <c r="AF769" s="502" t="str">
        <f>Table15[[#This Row],[code2]]</f>
        <v>PRL</v>
      </c>
      <c r="AG769" s="502" t="str">
        <f>Table15[[#This Row],[code5]]</f>
        <v>IIAL</v>
      </c>
    </row>
    <row r="770" spans="1:33">
      <c r="A770" s="338" t="s">
        <v>6072</v>
      </c>
      <c r="B770" s="338" t="s">
        <v>6073</v>
      </c>
      <c r="C770" s="337">
        <v>1</v>
      </c>
      <c r="D770" s="338" t="s">
        <v>6513</v>
      </c>
      <c r="E770" s="338" t="s">
        <v>6514</v>
      </c>
      <c r="F770" s="337">
        <v>1</v>
      </c>
      <c r="G770" s="337">
        <v>1</v>
      </c>
      <c r="H770" s="338" t="s">
        <v>6515</v>
      </c>
      <c r="I770" s="338" t="s">
        <v>9548</v>
      </c>
      <c r="J770" s="338" t="s">
        <v>9551</v>
      </c>
      <c r="K770" s="338" t="s">
        <v>6516</v>
      </c>
      <c r="L770" s="338" t="s">
        <v>6517</v>
      </c>
      <c r="M770" s="338" t="s">
        <v>8307</v>
      </c>
      <c r="N770" s="338" t="s">
        <v>8320</v>
      </c>
      <c r="O770" s="337">
        <v>1</v>
      </c>
      <c r="P770" s="337">
        <v>1</v>
      </c>
      <c r="Q770" s="338" t="s">
        <v>8320</v>
      </c>
      <c r="R770" s="338" t="s">
        <v>6088</v>
      </c>
      <c r="S770" s="338" t="s">
        <v>6088</v>
      </c>
      <c r="T770" s="338" t="s">
        <v>7911</v>
      </c>
      <c r="U770" s="338" t="s">
        <v>8331</v>
      </c>
      <c r="V770" s="337">
        <v>1</v>
      </c>
      <c r="W770" s="337">
        <v>1</v>
      </c>
      <c r="X770" s="338"/>
      <c r="Y770" s="338" t="s">
        <v>6318</v>
      </c>
      <c r="Z770" s="338" t="s">
        <v>9062</v>
      </c>
      <c r="AA770" s="338" t="s">
        <v>6079</v>
      </c>
      <c r="AB770" s="338"/>
      <c r="AC770" s="338" t="s">
        <v>8342</v>
      </c>
      <c r="AD770" s="338" t="s">
        <v>6320</v>
      </c>
      <c r="AF770" s="502" t="str">
        <f>Table15[[#This Row],[code2]]</f>
        <v>PRL</v>
      </c>
      <c r="AG770" s="502" t="str">
        <f>Table15[[#This Row],[code5]]</f>
        <v>IIAL</v>
      </c>
    </row>
    <row r="771" spans="1:33">
      <c r="A771" s="338" t="s">
        <v>6072</v>
      </c>
      <c r="B771" s="338" t="s">
        <v>6073</v>
      </c>
      <c r="C771" s="337">
        <v>1</v>
      </c>
      <c r="D771" s="338" t="s">
        <v>6513</v>
      </c>
      <c r="E771" s="338" t="s">
        <v>6514</v>
      </c>
      <c r="F771" s="337">
        <v>1</v>
      </c>
      <c r="G771" s="337">
        <v>1</v>
      </c>
      <c r="H771" s="338" t="s">
        <v>6515</v>
      </c>
      <c r="I771" s="338" t="s">
        <v>9548</v>
      </c>
      <c r="J771" s="338" t="s">
        <v>9551</v>
      </c>
      <c r="K771" s="338" t="s">
        <v>6516</v>
      </c>
      <c r="L771" s="338" t="s">
        <v>6517</v>
      </c>
      <c r="M771" s="338" t="s">
        <v>8307</v>
      </c>
      <c r="N771" s="338" t="s">
        <v>8320</v>
      </c>
      <c r="O771" s="337">
        <v>1</v>
      </c>
      <c r="P771" s="337">
        <v>1</v>
      </c>
      <c r="Q771" s="338" t="s">
        <v>8320</v>
      </c>
      <c r="R771" s="338" t="s">
        <v>6088</v>
      </c>
      <c r="S771" s="338" t="s">
        <v>6088</v>
      </c>
      <c r="T771" s="338" t="s">
        <v>7911</v>
      </c>
      <c r="U771" s="338" t="s">
        <v>8332</v>
      </c>
      <c r="V771" s="337">
        <v>1</v>
      </c>
      <c r="W771" s="337">
        <v>1</v>
      </c>
      <c r="X771" s="338"/>
      <c r="Y771" s="338" t="s">
        <v>6318</v>
      </c>
      <c r="Z771" s="338" t="s">
        <v>6289</v>
      </c>
      <c r="AA771" s="338" t="s">
        <v>6079</v>
      </c>
      <c r="AB771" s="338"/>
      <c r="AC771" s="338" t="s">
        <v>8343</v>
      </c>
      <c r="AD771" s="338" t="s">
        <v>6318</v>
      </c>
      <c r="AF771" s="502" t="str">
        <f>Table15[[#This Row],[code2]]</f>
        <v>PRL</v>
      </c>
      <c r="AG771" s="502" t="str">
        <f>Table15[[#This Row],[code5]]</f>
        <v>IIAL</v>
      </c>
    </row>
    <row r="772" spans="1:33">
      <c r="A772" s="338" t="s">
        <v>6072</v>
      </c>
      <c r="B772" s="338" t="s">
        <v>6073</v>
      </c>
      <c r="C772" s="337">
        <v>1</v>
      </c>
      <c r="D772" s="338" t="s">
        <v>6513</v>
      </c>
      <c r="E772" s="338" t="s">
        <v>6514</v>
      </c>
      <c r="F772" s="337">
        <v>1</v>
      </c>
      <c r="G772" s="337">
        <v>1</v>
      </c>
      <c r="H772" s="338" t="s">
        <v>6515</v>
      </c>
      <c r="I772" s="338" t="s">
        <v>9548</v>
      </c>
      <c r="J772" s="338" t="s">
        <v>9551</v>
      </c>
      <c r="K772" s="338" t="s">
        <v>6516</v>
      </c>
      <c r="L772" s="338" t="s">
        <v>6517</v>
      </c>
      <c r="M772" s="338" t="s">
        <v>8307</v>
      </c>
      <c r="N772" s="338" t="s">
        <v>8320</v>
      </c>
      <c r="O772" s="337">
        <v>1</v>
      </c>
      <c r="P772" s="337">
        <v>1</v>
      </c>
      <c r="Q772" s="338" t="s">
        <v>8320</v>
      </c>
      <c r="R772" s="338" t="s">
        <v>6088</v>
      </c>
      <c r="S772" s="338" t="s">
        <v>6088</v>
      </c>
      <c r="T772" s="338" t="s">
        <v>7911</v>
      </c>
      <c r="U772" s="338" t="s">
        <v>8333</v>
      </c>
      <c r="V772" s="337">
        <v>1</v>
      </c>
      <c r="W772" s="337">
        <v>1</v>
      </c>
      <c r="X772" s="338"/>
      <c r="Y772" s="338" t="s">
        <v>6318</v>
      </c>
      <c r="Z772" s="338" t="s">
        <v>8662</v>
      </c>
      <c r="AA772" s="338" t="s">
        <v>6079</v>
      </c>
      <c r="AB772" s="338"/>
      <c r="AC772" s="338" t="s">
        <v>8343</v>
      </c>
      <c r="AD772" s="338" t="s">
        <v>6320</v>
      </c>
      <c r="AF772" s="502" t="str">
        <f>Table15[[#This Row],[code2]]</f>
        <v>PRL</v>
      </c>
      <c r="AG772" s="502" t="str">
        <f>Table15[[#This Row],[code5]]</f>
        <v>IIAL</v>
      </c>
    </row>
    <row r="773" spans="1:33">
      <c r="A773" s="338" t="s">
        <v>6072</v>
      </c>
      <c r="B773" s="338" t="s">
        <v>6073</v>
      </c>
      <c r="C773" s="337">
        <v>1</v>
      </c>
      <c r="D773" s="338" t="s">
        <v>6513</v>
      </c>
      <c r="E773" s="338" t="s">
        <v>6514</v>
      </c>
      <c r="F773" s="337">
        <v>1</v>
      </c>
      <c r="G773" s="337">
        <v>1</v>
      </c>
      <c r="H773" s="338" t="s">
        <v>6515</v>
      </c>
      <c r="I773" s="338" t="s">
        <v>9548</v>
      </c>
      <c r="J773" s="338" t="s">
        <v>9551</v>
      </c>
      <c r="K773" s="338" t="s">
        <v>6516</v>
      </c>
      <c r="L773" s="338" t="s">
        <v>6517</v>
      </c>
      <c r="M773" s="338" t="s">
        <v>8307</v>
      </c>
      <c r="N773" s="338" t="s">
        <v>8320</v>
      </c>
      <c r="O773" s="337">
        <v>1</v>
      </c>
      <c r="P773" s="337">
        <v>1</v>
      </c>
      <c r="Q773" s="338" t="s">
        <v>8320</v>
      </c>
      <c r="R773" s="338" t="s">
        <v>6088</v>
      </c>
      <c r="S773" s="338" t="s">
        <v>6088</v>
      </c>
      <c r="T773" s="338" t="s">
        <v>7911</v>
      </c>
      <c r="U773" s="338" t="s">
        <v>8334</v>
      </c>
      <c r="V773" s="337">
        <v>1</v>
      </c>
      <c r="W773" s="337">
        <v>1</v>
      </c>
      <c r="X773" s="338"/>
      <c r="Y773" s="338" t="s">
        <v>6318</v>
      </c>
      <c r="Z773" s="338" t="s">
        <v>6289</v>
      </c>
      <c r="AA773" s="338" t="s">
        <v>6079</v>
      </c>
      <c r="AB773" s="338"/>
      <c r="AC773" s="338" t="s">
        <v>8344</v>
      </c>
      <c r="AD773" s="338" t="s">
        <v>6318</v>
      </c>
      <c r="AF773" s="502" t="str">
        <f>Table15[[#This Row],[code2]]</f>
        <v>PRL</v>
      </c>
      <c r="AG773" s="502" t="str">
        <f>Table15[[#This Row],[code5]]</f>
        <v>IIAL</v>
      </c>
    </row>
    <row r="774" spans="1:33">
      <c r="A774" s="338" t="s">
        <v>6072</v>
      </c>
      <c r="B774" s="338" t="s">
        <v>6073</v>
      </c>
      <c r="C774" s="337">
        <v>1</v>
      </c>
      <c r="D774" s="338" t="s">
        <v>6513</v>
      </c>
      <c r="E774" s="338" t="s">
        <v>6514</v>
      </c>
      <c r="F774" s="337">
        <v>1</v>
      </c>
      <c r="G774" s="337">
        <v>1</v>
      </c>
      <c r="H774" s="338" t="s">
        <v>6515</v>
      </c>
      <c r="I774" s="338" t="s">
        <v>9548</v>
      </c>
      <c r="J774" s="338" t="s">
        <v>9551</v>
      </c>
      <c r="K774" s="338" t="s">
        <v>6516</v>
      </c>
      <c r="L774" s="338" t="s">
        <v>6517</v>
      </c>
      <c r="M774" s="338" t="s">
        <v>8307</v>
      </c>
      <c r="N774" s="338" t="s">
        <v>8320</v>
      </c>
      <c r="O774" s="337">
        <v>1</v>
      </c>
      <c r="P774" s="337">
        <v>1</v>
      </c>
      <c r="Q774" s="338" t="s">
        <v>8320</v>
      </c>
      <c r="R774" s="338" t="s">
        <v>6088</v>
      </c>
      <c r="S774" s="338" t="s">
        <v>6088</v>
      </c>
      <c r="T774" s="338" t="s">
        <v>7911</v>
      </c>
      <c r="U774" s="338" t="s">
        <v>8335</v>
      </c>
      <c r="V774" s="337">
        <v>1</v>
      </c>
      <c r="W774" s="337">
        <v>1</v>
      </c>
      <c r="X774" s="338"/>
      <c r="Y774" s="338" t="s">
        <v>6318</v>
      </c>
      <c r="Z774" s="338" t="s">
        <v>9136</v>
      </c>
      <c r="AA774" s="338" t="s">
        <v>6079</v>
      </c>
      <c r="AB774" s="338"/>
      <c r="AC774" s="338" t="s">
        <v>8344</v>
      </c>
      <c r="AD774" s="338" t="s">
        <v>6320</v>
      </c>
      <c r="AF774" s="502" t="str">
        <f>Table15[[#This Row],[code2]]</f>
        <v>PRL</v>
      </c>
      <c r="AG774" s="502" t="str">
        <f>Table15[[#This Row],[code5]]</f>
        <v>IIAL</v>
      </c>
    </row>
    <row r="775" spans="1:33">
      <c r="A775" s="338" t="s">
        <v>6072</v>
      </c>
      <c r="B775" s="338" t="s">
        <v>6073</v>
      </c>
      <c r="C775" s="337">
        <v>1</v>
      </c>
      <c r="D775" s="338" t="s">
        <v>6949</v>
      </c>
      <c r="E775" s="338" t="s">
        <v>6950</v>
      </c>
      <c r="F775" s="337">
        <v>1</v>
      </c>
      <c r="G775" s="337">
        <v>1</v>
      </c>
      <c r="H775" s="338" t="s">
        <v>6951</v>
      </c>
      <c r="I775" s="338" t="s">
        <v>9126</v>
      </c>
      <c r="J775" s="338" t="s">
        <v>9129</v>
      </c>
      <c r="K775" s="338" t="s">
        <v>6952</v>
      </c>
      <c r="L775" s="338"/>
      <c r="M775" s="338" t="s">
        <v>6953</v>
      </c>
      <c r="N775" s="338" t="s">
        <v>6518</v>
      </c>
      <c r="O775" s="337">
        <v>1</v>
      </c>
      <c r="P775" s="337">
        <v>1</v>
      </c>
      <c r="Q775" s="338"/>
      <c r="R775" s="338"/>
      <c r="S775" s="338"/>
      <c r="T775" s="338" t="s">
        <v>6954</v>
      </c>
      <c r="U775" s="338" t="s">
        <v>7978</v>
      </c>
      <c r="V775" s="337">
        <v>1</v>
      </c>
      <c r="W775" s="337">
        <v>0</v>
      </c>
      <c r="X775" s="338" t="s">
        <v>7998</v>
      </c>
      <c r="Y775" s="338" t="s">
        <v>6318</v>
      </c>
      <c r="Z775" s="338" t="s">
        <v>7382</v>
      </c>
      <c r="AA775" s="338" t="s">
        <v>6079</v>
      </c>
      <c r="AB775" s="338"/>
      <c r="AC775" s="338"/>
      <c r="AD775" s="338"/>
      <c r="AF775" s="502" t="str">
        <f>Table15[[#This Row],[code2]]</f>
        <v>PPL</v>
      </c>
      <c r="AG775" s="502" t="str">
        <f>Table15[[#This Row],[code5]]</f>
        <v>PLVR</v>
      </c>
    </row>
    <row r="776" spans="1:33">
      <c r="A776" s="338" t="s">
        <v>6072</v>
      </c>
      <c r="B776" s="338" t="s">
        <v>6073</v>
      </c>
      <c r="C776" s="337">
        <v>1</v>
      </c>
      <c r="D776" s="338" t="s">
        <v>6949</v>
      </c>
      <c r="E776" s="338" t="s">
        <v>6950</v>
      </c>
      <c r="F776" s="337">
        <v>1</v>
      </c>
      <c r="G776" s="337">
        <v>1</v>
      </c>
      <c r="H776" s="338" t="s">
        <v>6951</v>
      </c>
      <c r="I776" s="338" t="s">
        <v>9126</v>
      </c>
      <c r="J776" s="338" t="s">
        <v>9129</v>
      </c>
      <c r="K776" s="338" t="s">
        <v>6952</v>
      </c>
      <c r="L776" s="338"/>
      <c r="M776" s="338" t="s">
        <v>6953</v>
      </c>
      <c r="N776" s="338" t="s">
        <v>6518</v>
      </c>
      <c r="O776" s="337">
        <v>1</v>
      </c>
      <c r="P776" s="337">
        <v>1</v>
      </c>
      <c r="Q776" s="338"/>
      <c r="R776" s="338"/>
      <c r="S776" s="338"/>
      <c r="T776" s="338" t="s">
        <v>6954</v>
      </c>
      <c r="U776" s="338" t="s">
        <v>7979</v>
      </c>
      <c r="V776" s="337">
        <v>1</v>
      </c>
      <c r="W776" s="337">
        <v>0</v>
      </c>
      <c r="X776" s="338" t="s">
        <v>7998</v>
      </c>
      <c r="Y776" s="338" t="s">
        <v>6320</v>
      </c>
      <c r="Z776" s="338" t="s">
        <v>8968</v>
      </c>
      <c r="AA776" s="338" t="s">
        <v>6079</v>
      </c>
      <c r="AB776" s="338"/>
      <c r="AC776" s="338"/>
      <c r="AD776" s="338"/>
      <c r="AF776" s="502" t="str">
        <f>Table15[[#This Row],[code2]]</f>
        <v>PPL</v>
      </c>
      <c r="AG776" s="502" t="str">
        <f>Table15[[#This Row],[code5]]</f>
        <v>PLVR</v>
      </c>
    </row>
    <row r="777" spans="1:33">
      <c r="A777" s="338" t="s">
        <v>6072</v>
      </c>
      <c r="B777" s="338" t="s">
        <v>6073</v>
      </c>
      <c r="C777" s="337">
        <v>1</v>
      </c>
      <c r="D777" s="338" t="s">
        <v>6949</v>
      </c>
      <c r="E777" s="338" t="s">
        <v>6950</v>
      </c>
      <c r="F777" s="337">
        <v>1</v>
      </c>
      <c r="G777" s="337">
        <v>1</v>
      </c>
      <c r="H777" s="338" t="s">
        <v>6951</v>
      </c>
      <c r="I777" s="338" t="s">
        <v>9126</v>
      </c>
      <c r="J777" s="338" t="s">
        <v>9129</v>
      </c>
      <c r="K777" s="338" t="s">
        <v>6952</v>
      </c>
      <c r="L777" s="338"/>
      <c r="M777" s="338" t="s">
        <v>6953</v>
      </c>
      <c r="N777" s="338" t="s">
        <v>6518</v>
      </c>
      <c r="O777" s="337">
        <v>1</v>
      </c>
      <c r="P777" s="337">
        <v>1</v>
      </c>
      <c r="Q777" s="338"/>
      <c r="R777" s="338"/>
      <c r="S777" s="338"/>
      <c r="T777" s="338" t="s">
        <v>6954</v>
      </c>
      <c r="U777" s="338" t="s">
        <v>7980</v>
      </c>
      <c r="V777" s="337">
        <v>1</v>
      </c>
      <c r="W777" s="337">
        <v>1</v>
      </c>
      <c r="X777" s="338" t="s">
        <v>7999</v>
      </c>
      <c r="Y777" s="338" t="s">
        <v>6318</v>
      </c>
      <c r="Z777" s="338" t="s">
        <v>6289</v>
      </c>
      <c r="AA777" s="338" t="s">
        <v>6079</v>
      </c>
      <c r="AB777" s="338"/>
      <c r="AC777" s="338"/>
      <c r="AD777" s="338"/>
      <c r="AF777" s="502" t="str">
        <f>Table15[[#This Row],[code2]]</f>
        <v>PPL</v>
      </c>
      <c r="AG777" s="502" t="str">
        <f>Table15[[#This Row],[code5]]</f>
        <v>PLVR</v>
      </c>
    </row>
    <row r="778" spans="1:33">
      <c r="A778" s="338" t="s">
        <v>6072</v>
      </c>
      <c r="B778" s="338" t="s">
        <v>6073</v>
      </c>
      <c r="C778" s="337">
        <v>1</v>
      </c>
      <c r="D778" s="338" t="s">
        <v>6949</v>
      </c>
      <c r="E778" s="338" t="s">
        <v>6950</v>
      </c>
      <c r="F778" s="337">
        <v>1</v>
      </c>
      <c r="G778" s="337">
        <v>1</v>
      </c>
      <c r="H778" s="338" t="s">
        <v>6951</v>
      </c>
      <c r="I778" s="338" t="s">
        <v>9126</v>
      </c>
      <c r="J778" s="338" t="s">
        <v>9129</v>
      </c>
      <c r="K778" s="338" t="s">
        <v>6952</v>
      </c>
      <c r="L778" s="338"/>
      <c r="M778" s="338" t="s">
        <v>6953</v>
      </c>
      <c r="N778" s="338" t="s">
        <v>6518</v>
      </c>
      <c r="O778" s="337">
        <v>1</v>
      </c>
      <c r="P778" s="337">
        <v>1</v>
      </c>
      <c r="Q778" s="338"/>
      <c r="R778" s="338"/>
      <c r="S778" s="338"/>
      <c r="T778" s="338" t="s">
        <v>6954</v>
      </c>
      <c r="U778" s="338" t="s">
        <v>7981</v>
      </c>
      <c r="V778" s="337">
        <v>1</v>
      </c>
      <c r="W778" s="337">
        <v>1</v>
      </c>
      <c r="X778" s="338" t="s">
        <v>7999</v>
      </c>
      <c r="Y778" s="338" t="s">
        <v>6320</v>
      </c>
      <c r="Z778" s="338" t="s">
        <v>8654</v>
      </c>
      <c r="AA778" s="338" t="s">
        <v>6079</v>
      </c>
      <c r="AB778" s="338"/>
      <c r="AC778" s="338"/>
      <c r="AD778" s="338"/>
      <c r="AF778" s="502" t="str">
        <f>Table15[[#This Row],[code2]]</f>
        <v>PPL</v>
      </c>
      <c r="AG778" s="502" t="str">
        <f>Table15[[#This Row],[code5]]</f>
        <v>PLVR</v>
      </c>
    </row>
    <row r="779" spans="1:33">
      <c r="A779" s="338" t="s">
        <v>6072</v>
      </c>
      <c r="B779" s="338" t="s">
        <v>6073</v>
      </c>
      <c r="C779" s="337">
        <v>1</v>
      </c>
      <c r="D779" s="338" t="s">
        <v>6949</v>
      </c>
      <c r="E779" s="338" t="s">
        <v>6950</v>
      </c>
      <c r="F779" s="337">
        <v>1</v>
      </c>
      <c r="G779" s="337">
        <v>1</v>
      </c>
      <c r="H779" s="338" t="s">
        <v>6951</v>
      </c>
      <c r="I779" s="338" t="s">
        <v>9126</v>
      </c>
      <c r="J779" s="338" t="s">
        <v>9129</v>
      </c>
      <c r="K779" s="338" t="s">
        <v>6952</v>
      </c>
      <c r="L779" s="338"/>
      <c r="M779" s="338" t="s">
        <v>6953</v>
      </c>
      <c r="N779" s="338" t="s">
        <v>6518</v>
      </c>
      <c r="O779" s="337">
        <v>1</v>
      </c>
      <c r="P779" s="337">
        <v>1</v>
      </c>
      <c r="Q779" s="338"/>
      <c r="R779" s="338"/>
      <c r="S779" s="338"/>
      <c r="T779" s="338" t="s">
        <v>6954</v>
      </c>
      <c r="U779" s="338" t="s">
        <v>7982</v>
      </c>
      <c r="V779" s="337">
        <v>1</v>
      </c>
      <c r="W779" s="337">
        <v>0</v>
      </c>
      <c r="X779" s="338" t="s">
        <v>8000</v>
      </c>
      <c r="Y779" s="338" t="s">
        <v>6318</v>
      </c>
      <c r="Z779" s="338" t="s">
        <v>8969</v>
      </c>
      <c r="AA779" s="338" t="s">
        <v>6079</v>
      </c>
      <c r="AB779" s="338"/>
      <c r="AC779" s="338"/>
      <c r="AD779" s="338"/>
      <c r="AF779" s="502" t="str">
        <f>Table15[[#This Row],[code2]]</f>
        <v>PPL</v>
      </c>
      <c r="AG779" s="502" t="str">
        <f>Table15[[#This Row],[code5]]</f>
        <v>PLVR</v>
      </c>
    </row>
    <row r="780" spans="1:33">
      <c r="A780" s="338" t="s">
        <v>6072</v>
      </c>
      <c r="B780" s="338" t="s">
        <v>6073</v>
      </c>
      <c r="C780" s="337">
        <v>1</v>
      </c>
      <c r="D780" s="338" t="s">
        <v>6949</v>
      </c>
      <c r="E780" s="338" t="s">
        <v>6950</v>
      </c>
      <c r="F780" s="337">
        <v>1</v>
      </c>
      <c r="G780" s="337">
        <v>1</v>
      </c>
      <c r="H780" s="338" t="s">
        <v>6951</v>
      </c>
      <c r="I780" s="338" t="s">
        <v>9126</v>
      </c>
      <c r="J780" s="338" t="s">
        <v>9129</v>
      </c>
      <c r="K780" s="338" t="s">
        <v>6952</v>
      </c>
      <c r="L780" s="338"/>
      <c r="M780" s="338" t="s">
        <v>6953</v>
      </c>
      <c r="N780" s="338" t="s">
        <v>6518</v>
      </c>
      <c r="O780" s="337">
        <v>1</v>
      </c>
      <c r="P780" s="337">
        <v>1</v>
      </c>
      <c r="Q780" s="338"/>
      <c r="R780" s="338"/>
      <c r="S780" s="338"/>
      <c r="T780" s="338" t="s">
        <v>6954</v>
      </c>
      <c r="U780" s="338" t="s">
        <v>7983</v>
      </c>
      <c r="V780" s="337">
        <v>1</v>
      </c>
      <c r="W780" s="337">
        <v>0</v>
      </c>
      <c r="X780" s="338" t="s">
        <v>8000</v>
      </c>
      <c r="Y780" s="338" t="s">
        <v>6320</v>
      </c>
      <c r="Z780" s="338" t="s">
        <v>8970</v>
      </c>
      <c r="AA780" s="338" t="s">
        <v>6079</v>
      </c>
      <c r="AB780" s="338"/>
      <c r="AC780" s="338"/>
      <c r="AD780" s="338"/>
      <c r="AF780" s="502" t="str">
        <f>Table15[[#This Row],[code2]]</f>
        <v>PPL</v>
      </c>
      <c r="AG780" s="502" t="str">
        <f>Table15[[#This Row],[code5]]</f>
        <v>PLVR</v>
      </c>
    </row>
    <row r="781" spans="1:33">
      <c r="A781" s="338" t="s">
        <v>6072</v>
      </c>
      <c r="B781" s="338" t="s">
        <v>6073</v>
      </c>
      <c r="C781" s="337">
        <v>1</v>
      </c>
      <c r="D781" s="338" t="s">
        <v>6949</v>
      </c>
      <c r="E781" s="338" t="s">
        <v>6950</v>
      </c>
      <c r="F781" s="337">
        <v>1</v>
      </c>
      <c r="G781" s="337">
        <v>1</v>
      </c>
      <c r="H781" s="338" t="s">
        <v>6951</v>
      </c>
      <c r="I781" s="338" t="s">
        <v>9126</v>
      </c>
      <c r="J781" s="338" t="s">
        <v>9129</v>
      </c>
      <c r="K781" s="338" t="s">
        <v>6952</v>
      </c>
      <c r="L781" s="338"/>
      <c r="M781" s="338" t="s">
        <v>6953</v>
      </c>
      <c r="N781" s="338" t="s">
        <v>6518</v>
      </c>
      <c r="O781" s="337">
        <v>1</v>
      </c>
      <c r="P781" s="337">
        <v>1</v>
      </c>
      <c r="Q781" s="338"/>
      <c r="R781" s="338"/>
      <c r="S781" s="338"/>
      <c r="T781" s="338" t="s">
        <v>6954</v>
      </c>
      <c r="U781" s="338" t="s">
        <v>7984</v>
      </c>
      <c r="V781" s="337">
        <v>1</v>
      </c>
      <c r="W781" s="337">
        <v>0</v>
      </c>
      <c r="X781" s="338" t="s">
        <v>8001</v>
      </c>
      <c r="Y781" s="338" t="s">
        <v>6318</v>
      </c>
      <c r="Z781" s="338" t="s">
        <v>7815</v>
      </c>
      <c r="AA781" s="338" t="s">
        <v>6079</v>
      </c>
      <c r="AB781" s="338"/>
      <c r="AC781" s="338"/>
      <c r="AD781" s="338"/>
      <c r="AF781" s="502" t="str">
        <f>Table15[[#This Row],[code2]]</f>
        <v>PPL</v>
      </c>
      <c r="AG781" s="502" t="str">
        <f>Table15[[#This Row],[code5]]</f>
        <v>PLVR</v>
      </c>
    </row>
    <row r="782" spans="1:33">
      <c r="A782" s="338" t="s">
        <v>6072</v>
      </c>
      <c r="B782" s="338" t="s">
        <v>6073</v>
      </c>
      <c r="C782" s="337">
        <v>1</v>
      </c>
      <c r="D782" s="338" t="s">
        <v>6949</v>
      </c>
      <c r="E782" s="338" t="s">
        <v>6950</v>
      </c>
      <c r="F782" s="337">
        <v>1</v>
      </c>
      <c r="G782" s="337">
        <v>1</v>
      </c>
      <c r="H782" s="338" t="s">
        <v>6951</v>
      </c>
      <c r="I782" s="338" t="s">
        <v>9126</v>
      </c>
      <c r="J782" s="338" t="s">
        <v>9129</v>
      </c>
      <c r="K782" s="338" t="s">
        <v>6952</v>
      </c>
      <c r="L782" s="338"/>
      <c r="M782" s="338" t="s">
        <v>6953</v>
      </c>
      <c r="N782" s="338" t="s">
        <v>6518</v>
      </c>
      <c r="O782" s="337">
        <v>1</v>
      </c>
      <c r="P782" s="337">
        <v>1</v>
      </c>
      <c r="Q782" s="338"/>
      <c r="R782" s="338"/>
      <c r="S782" s="338"/>
      <c r="T782" s="338" t="s">
        <v>6954</v>
      </c>
      <c r="U782" s="338" t="s">
        <v>7985</v>
      </c>
      <c r="V782" s="337">
        <v>1</v>
      </c>
      <c r="W782" s="337">
        <v>0</v>
      </c>
      <c r="X782" s="338" t="s">
        <v>8001</v>
      </c>
      <c r="Y782" s="338" t="s">
        <v>6320</v>
      </c>
      <c r="Z782" s="338" t="s">
        <v>8971</v>
      </c>
      <c r="AA782" s="338" t="s">
        <v>6079</v>
      </c>
      <c r="AB782" s="338"/>
      <c r="AC782" s="338"/>
      <c r="AD782" s="338"/>
      <c r="AF782" s="502" t="str">
        <f>Table15[[#This Row],[code2]]</f>
        <v>PPL</v>
      </c>
      <c r="AG782" s="502" t="str">
        <f>Table15[[#This Row],[code5]]</f>
        <v>PLVR</v>
      </c>
    </row>
    <row r="783" spans="1:33">
      <c r="A783" s="338" t="s">
        <v>6072</v>
      </c>
      <c r="B783" s="338" t="s">
        <v>6073</v>
      </c>
      <c r="C783" s="337">
        <v>1</v>
      </c>
      <c r="D783" s="338" t="s">
        <v>6949</v>
      </c>
      <c r="E783" s="338" t="s">
        <v>6950</v>
      </c>
      <c r="F783" s="337">
        <v>1</v>
      </c>
      <c r="G783" s="337">
        <v>1</v>
      </c>
      <c r="H783" s="338" t="s">
        <v>6951</v>
      </c>
      <c r="I783" s="338" t="s">
        <v>9126</v>
      </c>
      <c r="J783" s="338" t="s">
        <v>9129</v>
      </c>
      <c r="K783" s="338" t="s">
        <v>6952</v>
      </c>
      <c r="L783" s="338"/>
      <c r="M783" s="338" t="s">
        <v>6953</v>
      </c>
      <c r="N783" s="338" t="s">
        <v>6518</v>
      </c>
      <c r="O783" s="337">
        <v>1</v>
      </c>
      <c r="P783" s="337">
        <v>1</v>
      </c>
      <c r="Q783" s="338"/>
      <c r="R783" s="338"/>
      <c r="S783" s="338"/>
      <c r="T783" s="338" t="s">
        <v>6954</v>
      </c>
      <c r="U783" s="338" t="s">
        <v>7986</v>
      </c>
      <c r="V783" s="337">
        <v>1</v>
      </c>
      <c r="W783" s="337">
        <v>1</v>
      </c>
      <c r="X783" s="338" t="s">
        <v>8002</v>
      </c>
      <c r="Y783" s="338" t="s">
        <v>6318</v>
      </c>
      <c r="Z783" s="338" t="s">
        <v>7402</v>
      </c>
      <c r="AA783" s="338" t="s">
        <v>6079</v>
      </c>
      <c r="AB783" s="338"/>
      <c r="AC783" s="338"/>
      <c r="AD783" s="338"/>
      <c r="AF783" s="502" t="str">
        <f>Table15[[#This Row],[code2]]</f>
        <v>PPL</v>
      </c>
      <c r="AG783" s="502" t="str">
        <f>Table15[[#This Row],[code5]]</f>
        <v>PLVR</v>
      </c>
    </row>
    <row r="784" spans="1:33">
      <c r="A784" s="338" t="s">
        <v>6072</v>
      </c>
      <c r="B784" s="338" t="s">
        <v>6073</v>
      </c>
      <c r="C784" s="337">
        <v>1</v>
      </c>
      <c r="D784" s="338" t="s">
        <v>6949</v>
      </c>
      <c r="E784" s="338" t="s">
        <v>6950</v>
      </c>
      <c r="F784" s="337">
        <v>1</v>
      </c>
      <c r="G784" s="337">
        <v>1</v>
      </c>
      <c r="H784" s="338" t="s">
        <v>6951</v>
      </c>
      <c r="I784" s="338" t="s">
        <v>9126</v>
      </c>
      <c r="J784" s="338" t="s">
        <v>9129</v>
      </c>
      <c r="K784" s="338" t="s">
        <v>6952</v>
      </c>
      <c r="L784" s="338"/>
      <c r="M784" s="338" t="s">
        <v>6953</v>
      </c>
      <c r="N784" s="338" t="s">
        <v>6518</v>
      </c>
      <c r="O784" s="337">
        <v>1</v>
      </c>
      <c r="P784" s="337">
        <v>1</v>
      </c>
      <c r="Q784" s="338"/>
      <c r="R784" s="338"/>
      <c r="S784" s="338"/>
      <c r="T784" s="338" t="s">
        <v>6954</v>
      </c>
      <c r="U784" s="338" t="s">
        <v>7987</v>
      </c>
      <c r="V784" s="337">
        <v>1</v>
      </c>
      <c r="W784" s="337">
        <v>1</v>
      </c>
      <c r="X784" s="338" t="s">
        <v>8002</v>
      </c>
      <c r="Y784" s="338" t="s">
        <v>6320</v>
      </c>
      <c r="Z784" s="338" t="s">
        <v>8684</v>
      </c>
      <c r="AA784" s="338" t="s">
        <v>6079</v>
      </c>
      <c r="AB784" s="338"/>
      <c r="AC784" s="338"/>
      <c r="AD784" s="338"/>
      <c r="AF784" s="502" t="str">
        <f>Table15[[#This Row],[code2]]</f>
        <v>PPL</v>
      </c>
      <c r="AG784" s="502" t="str">
        <f>Table15[[#This Row],[code5]]</f>
        <v>PLVR</v>
      </c>
    </row>
    <row r="785" spans="1:33">
      <c r="A785" s="338" t="s">
        <v>6072</v>
      </c>
      <c r="B785" s="338" t="s">
        <v>6073</v>
      </c>
      <c r="C785" s="337">
        <v>1</v>
      </c>
      <c r="D785" s="338" t="s">
        <v>6949</v>
      </c>
      <c r="E785" s="338" t="s">
        <v>6950</v>
      </c>
      <c r="F785" s="337">
        <v>1</v>
      </c>
      <c r="G785" s="337">
        <v>1</v>
      </c>
      <c r="H785" s="338" t="s">
        <v>6951</v>
      </c>
      <c r="I785" s="338" t="s">
        <v>9126</v>
      </c>
      <c r="J785" s="338" t="s">
        <v>9129</v>
      </c>
      <c r="K785" s="338" t="s">
        <v>6952</v>
      </c>
      <c r="L785" s="338"/>
      <c r="M785" s="338" t="s">
        <v>6955</v>
      </c>
      <c r="N785" s="338" t="s">
        <v>6087</v>
      </c>
      <c r="O785" s="337">
        <v>1</v>
      </c>
      <c r="P785" s="337">
        <v>1</v>
      </c>
      <c r="Q785" s="338"/>
      <c r="R785" s="338"/>
      <c r="S785" s="338"/>
      <c r="T785" s="338" t="s">
        <v>6954</v>
      </c>
      <c r="U785" s="338" t="s">
        <v>7988</v>
      </c>
      <c r="V785" s="337">
        <v>1</v>
      </c>
      <c r="W785" s="337">
        <v>0</v>
      </c>
      <c r="X785" s="338" t="s">
        <v>8003</v>
      </c>
      <c r="Y785" s="338" t="s">
        <v>6318</v>
      </c>
      <c r="Z785" s="338" t="s">
        <v>7382</v>
      </c>
      <c r="AA785" s="338" t="s">
        <v>6079</v>
      </c>
      <c r="AB785" s="338"/>
      <c r="AC785" s="338"/>
      <c r="AD785" s="338"/>
      <c r="AF785" s="502" t="str">
        <f>Table15[[#This Row],[code2]]</f>
        <v>PPL</v>
      </c>
      <c r="AG785" s="502" t="str">
        <f>Table15[[#This Row],[code5]]</f>
        <v>PLFR</v>
      </c>
    </row>
    <row r="786" spans="1:33">
      <c r="A786" s="338" t="s">
        <v>6072</v>
      </c>
      <c r="B786" s="338" t="s">
        <v>6073</v>
      </c>
      <c r="C786" s="337">
        <v>1</v>
      </c>
      <c r="D786" s="338" t="s">
        <v>6949</v>
      </c>
      <c r="E786" s="338" t="s">
        <v>6950</v>
      </c>
      <c r="F786" s="337">
        <v>1</v>
      </c>
      <c r="G786" s="337">
        <v>1</v>
      </c>
      <c r="H786" s="338" t="s">
        <v>6951</v>
      </c>
      <c r="I786" s="338" t="s">
        <v>9126</v>
      </c>
      <c r="J786" s="338" t="s">
        <v>9129</v>
      </c>
      <c r="K786" s="338" t="s">
        <v>6952</v>
      </c>
      <c r="L786" s="338"/>
      <c r="M786" s="338" t="s">
        <v>6955</v>
      </c>
      <c r="N786" s="338" t="s">
        <v>6087</v>
      </c>
      <c r="O786" s="337">
        <v>1</v>
      </c>
      <c r="P786" s="337">
        <v>1</v>
      </c>
      <c r="Q786" s="338"/>
      <c r="R786" s="338"/>
      <c r="S786" s="338"/>
      <c r="T786" s="338" t="s">
        <v>6954</v>
      </c>
      <c r="U786" s="338" t="s">
        <v>7989</v>
      </c>
      <c r="V786" s="337">
        <v>1</v>
      </c>
      <c r="W786" s="337">
        <v>0</v>
      </c>
      <c r="X786" s="338" t="s">
        <v>8003</v>
      </c>
      <c r="Y786" s="338" t="s">
        <v>6320</v>
      </c>
      <c r="Z786" s="338" t="s">
        <v>8968</v>
      </c>
      <c r="AA786" s="338" t="s">
        <v>6079</v>
      </c>
      <c r="AB786" s="338"/>
      <c r="AC786" s="338"/>
      <c r="AD786" s="338"/>
      <c r="AF786" s="502" t="str">
        <f>Table15[[#This Row],[code2]]</f>
        <v>PPL</v>
      </c>
      <c r="AG786" s="502" t="str">
        <f>Table15[[#This Row],[code5]]</f>
        <v>PLFR</v>
      </c>
    </row>
    <row r="787" spans="1:33">
      <c r="A787" s="338" t="s">
        <v>6072</v>
      </c>
      <c r="B787" s="338" t="s">
        <v>6073</v>
      </c>
      <c r="C787" s="337">
        <v>1</v>
      </c>
      <c r="D787" s="338" t="s">
        <v>6949</v>
      </c>
      <c r="E787" s="338" t="s">
        <v>6950</v>
      </c>
      <c r="F787" s="337">
        <v>1</v>
      </c>
      <c r="G787" s="337">
        <v>1</v>
      </c>
      <c r="H787" s="338" t="s">
        <v>6951</v>
      </c>
      <c r="I787" s="338" t="s">
        <v>9126</v>
      </c>
      <c r="J787" s="338" t="s">
        <v>9129</v>
      </c>
      <c r="K787" s="338" t="s">
        <v>6952</v>
      </c>
      <c r="L787" s="338"/>
      <c r="M787" s="338" t="s">
        <v>6955</v>
      </c>
      <c r="N787" s="338" t="s">
        <v>6087</v>
      </c>
      <c r="O787" s="337">
        <v>1</v>
      </c>
      <c r="P787" s="337">
        <v>1</v>
      </c>
      <c r="Q787" s="338"/>
      <c r="R787" s="338"/>
      <c r="S787" s="338"/>
      <c r="T787" s="338" t="s">
        <v>6954</v>
      </c>
      <c r="U787" s="338" t="s">
        <v>7990</v>
      </c>
      <c r="V787" s="337">
        <v>1</v>
      </c>
      <c r="W787" s="337">
        <v>1</v>
      </c>
      <c r="X787" s="338" t="s">
        <v>7999</v>
      </c>
      <c r="Y787" s="338" t="s">
        <v>6318</v>
      </c>
      <c r="Z787" s="338" t="s">
        <v>6289</v>
      </c>
      <c r="AA787" s="338" t="s">
        <v>6079</v>
      </c>
      <c r="AB787" s="338"/>
      <c r="AC787" s="338"/>
      <c r="AD787" s="338"/>
      <c r="AF787" s="502" t="str">
        <f>Table15[[#This Row],[code2]]</f>
        <v>PPL</v>
      </c>
      <c r="AG787" s="502" t="str">
        <f>Table15[[#This Row],[code5]]</f>
        <v>PLFR</v>
      </c>
    </row>
    <row r="788" spans="1:33">
      <c r="A788" s="338" t="s">
        <v>6072</v>
      </c>
      <c r="B788" s="338" t="s">
        <v>6073</v>
      </c>
      <c r="C788" s="337">
        <v>1</v>
      </c>
      <c r="D788" s="338" t="s">
        <v>6949</v>
      </c>
      <c r="E788" s="338" t="s">
        <v>6950</v>
      </c>
      <c r="F788" s="337">
        <v>1</v>
      </c>
      <c r="G788" s="337">
        <v>1</v>
      </c>
      <c r="H788" s="338" t="s">
        <v>6951</v>
      </c>
      <c r="I788" s="338" t="s">
        <v>9126</v>
      </c>
      <c r="J788" s="338" t="s">
        <v>9129</v>
      </c>
      <c r="K788" s="338" t="s">
        <v>6952</v>
      </c>
      <c r="L788" s="338"/>
      <c r="M788" s="338" t="s">
        <v>6955</v>
      </c>
      <c r="N788" s="338" t="s">
        <v>6087</v>
      </c>
      <c r="O788" s="337">
        <v>1</v>
      </c>
      <c r="P788" s="337">
        <v>1</v>
      </c>
      <c r="Q788" s="338"/>
      <c r="R788" s="338"/>
      <c r="S788" s="338"/>
      <c r="T788" s="338" t="s">
        <v>6954</v>
      </c>
      <c r="U788" s="338" t="s">
        <v>7991</v>
      </c>
      <c r="V788" s="337">
        <v>1</v>
      </c>
      <c r="W788" s="337">
        <v>1</v>
      </c>
      <c r="X788" s="338" t="s">
        <v>7999</v>
      </c>
      <c r="Y788" s="338" t="s">
        <v>6320</v>
      </c>
      <c r="Z788" s="338" t="s">
        <v>8654</v>
      </c>
      <c r="AA788" s="338" t="s">
        <v>6079</v>
      </c>
      <c r="AB788" s="338"/>
      <c r="AC788" s="338"/>
      <c r="AD788" s="338"/>
      <c r="AF788" s="502" t="str">
        <f>Table15[[#This Row],[code2]]</f>
        <v>PPL</v>
      </c>
      <c r="AG788" s="502" t="str">
        <f>Table15[[#This Row],[code5]]</f>
        <v>PLFR</v>
      </c>
    </row>
    <row r="789" spans="1:33">
      <c r="A789" s="338" t="s">
        <v>6072</v>
      </c>
      <c r="B789" s="338" t="s">
        <v>6073</v>
      </c>
      <c r="C789" s="337">
        <v>1</v>
      </c>
      <c r="D789" s="338" t="s">
        <v>6949</v>
      </c>
      <c r="E789" s="338" t="s">
        <v>6950</v>
      </c>
      <c r="F789" s="337">
        <v>1</v>
      </c>
      <c r="G789" s="337">
        <v>1</v>
      </c>
      <c r="H789" s="338" t="s">
        <v>6951</v>
      </c>
      <c r="I789" s="338" t="s">
        <v>9126</v>
      </c>
      <c r="J789" s="338" t="s">
        <v>9129</v>
      </c>
      <c r="K789" s="338" t="s">
        <v>6952</v>
      </c>
      <c r="L789" s="338"/>
      <c r="M789" s="338" t="s">
        <v>6955</v>
      </c>
      <c r="N789" s="338" t="s">
        <v>6087</v>
      </c>
      <c r="O789" s="337">
        <v>1</v>
      </c>
      <c r="P789" s="337">
        <v>1</v>
      </c>
      <c r="Q789" s="338"/>
      <c r="R789" s="338"/>
      <c r="S789" s="338"/>
      <c r="T789" s="338" t="s">
        <v>6954</v>
      </c>
      <c r="U789" s="338" t="s">
        <v>7992</v>
      </c>
      <c r="V789" s="337">
        <v>1</v>
      </c>
      <c r="W789" s="337">
        <v>0</v>
      </c>
      <c r="X789" s="338" t="s">
        <v>8004</v>
      </c>
      <c r="Y789" s="338" t="s">
        <v>6318</v>
      </c>
      <c r="Z789" s="338" t="s">
        <v>8969</v>
      </c>
      <c r="AA789" s="338" t="s">
        <v>6079</v>
      </c>
      <c r="AB789" s="338"/>
      <c r="AC789" s="338"/>
      <c r="AD789" s="338"/>
      <c r="AF789" s="502" t="str">
        <f>Table15[[#This Row],[code2]]</f>
        <v>PPL</v>
      </c>
      <c r="AG789" s="502" t="str">
        <f>Table15[[#This Row],[code5]]</f>
        <v>PLFR</v>
      </c>
    </row>
    <row r="790" spans="1:33">
      <c r="A790" s="338" t="s">
        <v>6072</v>
      </c>
      <c r="B790" s="338" t="s">
        <v>6073</v>
      </c>
      <c r="C790" s="337">
        <v>1</v>
      </c>
      <c r="D790" s="338" t="s">
        <v>6949</v>
      </c>
      <c r="E790" s="338" t="s">
        <v>6950</v>
      </c>
      <c r="F790" s="337">
        <v>1</v>
      </c>
      <c r="G790" s="337">
        <v>1</v>
      </c>
      <c r="H790" s="338" t="s">
        <v>6951</v>
      </c>
      <c r="I790" s="338" t="s">
        <v>9126</v>
      </c>
      <c r="J790" s="338" t="s">
        <v>9129</v>
      </c>
      <c r="K790" s="338" t="s">
        <v>6952</v>
      </c>
      <c r="L790" s="338"/>
      <c r="M790" s="338" t="s">
        <v>6955</v>
      </c>
      <c r="N790" s="338" t="s">
        <v>6087</v>
      </c>
      <c r="O790" s="337">
        <v>1</v>
      </c>
      <c r="P790" s="337">
        <v>1</v>
      </c>
      <c r="Q790" s="338"/>
      <c r="R790" s="338"/>
      <c r="S790" s="338"/>
      <c r="T790" s="338" t="s">
        <v>6954</v>
      </c>
      <c r="U790" s="338" t="s">
        <v>7993</v>
      </c>
      <c r="V790" s="337">
        <v>1</v>
      </c>
      <c r="W790" s="337">
        <v>0</v>
      </c>
      <c r="X790" s="338" t="s">
        <v>8004</v>
      </c>
      <c r="Y790" s="338" t="s">
        <v>6320</v>
      </c>
      <c r="Z790" s="338" t="s">
        <v>8970</v>
      </c>
      <c r="AA790" s="338" t="s">
        <v>6079</v>
      </c>
      <c r="AB790" s="338"/>
      <c r="AC790" s="338"/>
      <c r="AD790" s="338"/>
      <c r="AF790" s="502" t="str">
        <f>Table15[[#This Row],[code2]]</f>
        <v>PPL</v>
      </c>
      <c r="AG790" s="502" t="str">
        <f>Table15[[#This Row],[code5]]</f>
        <v>PLFR</v>
      </c>
    </row>
    <row r="791" spans="1:33">
      <c r="A791" s="338" t="s">
        <v>6072</v>
      </c>
      <c r="B791" s="338" t="s">
        <v>6073</v>
      </c>
      <c r="C791" s="337">
        <v>1</v>
      </c>
      <c r="D791" s="338" t="s">
        <v>6949</v>
      </c>
      <c r="E791" s="338" t="s">
        <v>6950</v>
      </c>
      <c r="F791" s="337">
        <v>1</v>
      </c>
      <c r="G791" s="337">
        <v>1</v>
      </c>
      <c r="H791" s="338" t="s">
        <v>6951</v>
      </c>
      <c r="I791" s="338" t="s">
        <v>9126</v>
      </c>
      <c r="J791" s="338" t="s">
        <v>9129</v>
      </c>
      <c r="K791" s="338" t="s">
        <v>6952</v>
      </c>
      <c r="L791" s="338"/>
      <c r="M791" s="338" t="s">
        <v>6955</v>
      </c>
      <c r="N791" s="338" t="s">
        <v>6087</v>
      </c>
      <c r="O791" s="337">
        <v>1</v>
      </c>
      <c r="P791" s="337">
        <v>1</v>
      </c>
      <c r="Q791" s="338"/>
      <c r="R791" s="338"/>
      <c r="S791" s="338"/>
      <c r="T791" s="338" t="s">
        <v>6954</v>
      </c>
      <c r="U791" s="338" t="s">
        <v>7994</v>
      </c>
      <c r="V791" s="337">
        <v>1</v>
      </c>
      <c r="W791" s="337">
        <v>0</v>
      </c>
      <c r="X791" s="338" t="s">
        <v>8005</v>
      </c>
      <c r="Y791" s="338" t="s">
        <v>6318</v>
      </c>
      <c r="Z791" s="338" t="s">
        <v>7815</v>
      </c>
      <c r="AA791" s="338" t="s">
        <v>6079</v>
      </c>
      <c r="AB791" s="338"/>
      <c r="AC791" s="338"/>
      <c r="AD791" s="338"/>
      <c r="AF791" s="502" t="str">
        <f>Table15[[#This Row],[code2]]</f>
        <v>PPL</v>
      </c>
      <c r="AG791" s="502" t="str">
        <f>Table15[[#This Row],[code5]]</f>
        <v>PLFR</v>
      </c>
    </row>
    <row r="792" spans="1:33">
      <c r="A792" s="338" t="s">
        <v>6072</v>
      </c>
      <c r="B792" s="338" t="s">
        <v>6073</v>
      </c>
      <c r="C792" s="337">
        <v>1</v>
      </c>
      <c r="D792" s="338" t="s">
        <v>6949</v>
      </c>
      <c r="E792" s="338" t="s">
        <v>6950</v>
      </c>
      <c r="F792" s="337">
        <v>1</v>
      </c>
      <c r="G792" s="337">
        <v>1</v>
      </c>
      <c r="H792" s="338" t="s">
        <v>6951</v>
      </c>
      <c r="I792" s="338" t="s">
        <v>9126</v>
      </c>
      <c r="J792" s="338" t="s">
        <v>9129</v>
      </c>
      <c r="K792" s="338" t="s">
        <v>6952</v>
      </c>
      <c r="L792" s="338"/>
      <c r="M792" s="338" t="s">
        <v>6955</v>
      </c>
      <c r="N792" s="338" t="s">
        <v>6087</v>
      </c>
      <c r="O792" s="337">
        <v>1</v>
      </c>
      <c r="P792" s="337">
        <v>1</v>
      </c>
      <c r="Q792" s="338"/>
      <c r="R792" s="338"/>
      <c r="S792" s="338"/>
      <c r="T792" s="338" t="s">
        <v>6954</v>
      </c>
      <c r="U792" s="338" t="s">
        <v>7995</v>
      </c>
      <c r="V792" s="337">
        <v>1</v>
      </c>
      <c r="W792" s="337">
        <v>0</v>
      </c>
      <c r="X792" s="338" t="s">
        <v>8005</v>
      </c>
      <c r="Y792" s="338" t="s">
        <v>6320</v>
      </c>
      <c r="Z792" s="338" t="s">
        <v>8971</v>
      </c>
      <c r="AA792" s="338" t="s">
        <v>6079</v>
      </c>
      <c r="AB792" s="338"/>
      <c r="AC792" s="338"/>
      <c r="AD792" s="338"/>
      <c r="AF792" s="502" t="str">
        <f>Table15[[#This Row],[code2]]</f>
        <v>PPL</v>
      </c>
      <c r="AG792" s="502" t="str">
        <f>Table15[[#This Row],[code5]]</f>
        <v>PLFR</v>
      </c>
    </row>
    <row r="793" spans="1:33">
      <c r="A793" s="338" t="s">
        <v>6072</v>
      </c>
      <c r="B793" s="338" t="s">
        <v>6073</v>
      </c>
      <c r="C793" s="337">
        <v>1</v>
      </c>
      <c r="D793" s="338" t="s">
        <v>6949</v>
      </c>
      <c r="E793" s="338" t="s">
        <v>6950</v>
      </c>
      <c r="F793" s="337">
        <v>1</v>
      </c>
      <c r="G793" s="337">
        <v>1</v>
      </c>
      <c r="H793" s="338" t="s">
        <v>6951</v>
      </c>
      <c r="I793" s="338" t="s">
        <v>9126</v>
      </c>
      <c r="J793" s="338" t="s">
        <v>9129</v>
      </c>
      <c r="K793" s="338" t="s">
        <v>6952</v>
      </c>
      <c r="L793" s="338"/>
      <c r="M793" s="338" t="s">
        <v>6955</v>
      </c>
      <c r="N793" s="338" t="s">
        <v>6087</v>
      </c>
      <c r="O793" s="337">
        <v>1</v>
      </c>
      <c r="P793" s="337">
        <v>1</v>
      </c>
      <c r="Q793" s="338"/>
      <c r="R793" s="338"/>
      <c r="S793" s="338"/>
      <c r="T793" s="338" t="s">
        <v>6954</v>
      </c>
      <c r="U793" s="338" t="s">
        <v>7996</v>
      </c>
      <c r="V793" s="337">
        <v>1</v>
      </c>
      <c r="W793" s="337">
        <v>1</v>
      </c>
      <c r="X793" s="338" t="s">
        <v>8002</v>
      </c>
      <c r="Y793" s="338" t="s">
        <v>6318</v>
      </c>
      <c r="Z793" s="338" t="s">
        <v>7402</v>
      </c>
      <c r="AA793" s="338" t="s">
        <v>6079</v>
      </c>
      <c r="AB793" s="338"/>
      <c r="AC793" s="338"/>
      <c r="AD793" s="338"/>
      <c r="AF793" s="502" t="str">
        <f>Table15[[#This Row],[code2]]</f>
        <v>PPL</v>
      </c>
      <c r="AG793" s="502" t="str">
        <f>Table15[[#This Row],[code5]]</f>
        <v>PLFR</v>
      </c>
    </row>
    <row r="794" spans="1:33">
      <c r="A794" s="338" t="s">
        <v>6072</v>
      </c>
      <c r="B794" s="338" t="s">
        <v>6073</v>
      </c>
      <c r="C794" s="337">
        <v>1</v>
      </c>
      <c r="D794" s="338" t="s">
        <v>6949</v>
      </c>
      <c r="E794" s="338" t="s">
        <v>6950</v>
      </c>
      <c r="F794" s="337">
        <v>1</v>
      </c>
      <c r="G794" s="337">
        <v>1</v>
      </c>
      <c r="H794" s="338" t="s">
        <v>6951</v>
      </c>
      <c r="I794" s="338" t="s">
        <v>9126</v>
      </c>
      <c r="J794" s="338" t="s">
        <v>9129</v>
      </c>
      <c r="K794" s="338" t="s">
        <v>6952</v>
      </c>
      <c r="L794" s="338"/>
      <c r="M794" s="338" t="s">
        <v>6955</v>
      </c>
      <c r="N794" s="338" t="s">
        <v>6087</v>
      </c>
      <c r="O794" s="337">
        <v>1</v>
      </c>
      <c r="P794" s="337">
        <v>1</v>
      </c>
      <c r="Q794" s="338"/>
      <c r="R794" s="338"/>
      <c r="S794" s="338"/>
      <c r="T794" s="338" t="s">
        <v>6954</v>
      </c>
      <c r="U794" s="338" t="s">
        <v>7997</v>
      </c>
      <c r="V794" s="337">
        <v>1</v>
      </c>
      <c r="W794" s="337">
        <v>1</v>
      </c>
      <c r="X794" s="338" t="s">
        <v>8002</v>
      </c>
      <c r="Y794" s="338" t="s">
        <v>6320</v>
      </c>
      <c r="Z794" s="338" t="s">
        <v>8684</v>
      </c>
      <c r="AA794" s="338" t="s">
        <v>6079</v>
      </c>
      <c r="AB794" s="338"/>
      <c r="AC794" s="338"/>
      <c r="AD794" s="338"/>
      <c r="AF794" s="502" t="str">
        <f>Table15[[#This Row],[code2]]</f>
        <v>PPL</v>
      </c>
      <c r="AG794" s="502" t="str">
        <f>Table15[[#This Row],[code5]]</f>
        <v>PLFR</v>
      </c>
    </row>
    <row r="795" spans="1:33">
      <c r="A795" s="338" t="s">
        <v>6072</v>
      </c>
      <c r="B795" s="338" t="s">
        <v>6073</v>
      </c>
      <c r="C795" s="337">
        <v>1</v>
      </c>
      <c r="D795" s="338" t="s">
        <v>6949</v>
      </c>
      <c r="E795" s="338" t="s">
        <v>6950</v>
      </c>
      <c r="F795" s="337">
        <v>1</v>
      </c>
      <c r="G795" s="337">
        <v>1</v>
      </c>
      <c r="H795" s="338" t="s">
        <v>6951</v>
      </c>
      <c r="I795" s="338" t="s">
        <v>9126</v>
      </c>
      <c r="J795" s="338" t="s">
        <v>9129</v>
      </c>
      <c r="K795" s="338" t="s">
        <v>6952</v>
      </c>
      <c r="L795" s="338"/>
      <c r="M795" s="338" t="s">
        <v>6956</v>
      </c>
      <c r="N795" s="338" t="s">
        <v>6957</v>
      </c>
      <c r="O795" s="337">
        <v>1</v>
      </c>
      <c r="P795" s="337">
        <v>1</v>
      </c>
      <c r="Q795" s="338"/>
      <c r="R795" s="338"/>
      <c r="S795" s="338"/>
      <c r="T795" s="338" t="s">
        <v>7977</v>
      </c>
      <c r="U795" s="338" t="s">
        <v>6958</v>
      </c>
      <c r="V795" s="337">
        <v>0</v>
      </c>
      <c r="W795" s="337">
        <v>1</v>
      </c>
      <c r="X795" s="338"/>
      <c r="Y795" s="338" t="s">
        <v>6318</v>
      </c>
      <c r="Z795" s="338" t="s">
        <v>9168</v>
      </c>
      <c r="AA795" s="338" t="s">
        <v>6079</v>
      </c>
      <c r="AB795" s="338" t="s">
        <v>6959</v>
      </c>
      <c r="AC795" s="338"/>
      <c r="AD795" s="338"/>
      <c r="AF795" s="502" t="str">
        <f>Table15[[#This Row],[code2]]</f>
        <v>PPL</v>
      </c>
      <c r="AG795" s="502" t="str">
        <f>Table15[[#This Row],[code5]]</f>
        <v>PO</v>
      </c>
    </row>
    <row r="796" spans="1:33">
      <c r="A796" s="338" t="s">
        <v>6072</v>
      </c>
      <c r="B796" s="338" t="s">
        <v>6073</v>
      </c>
      <c r="C796" s="337">
        <v>1</v>
      </c>
      <c r="D796" s="338" t="s">
        <v>6949</v>
      </c>
      <c r="E796" s="338" t="s">
        <v>6950</v>
      </c>
      <c r="F796" s="337">
        <v>1</v>
      </c>
      <c r="G796" s="337">
        <v>1</v>
      </c>
      <c r="H796" s="338" t="s">
        <v>6951</v>
      </c>
      <c r="I796" s="338" t="s">
        <v>9126</v>
      </c>
      <c r="J796" s="338" t="s">
        <v>9129</v>
      </c>
      <c r="K796" s="338" t="s">
        <v>6952</v>
      </c>
      <c r="L796" s="338"/>
      <c r="M796" s="338" t="s">
        <v>6960</v>
      </c>
      <c r="N796" s="338" t="s">
        <v>6961</v>
      </c>
      <c r="O796" s="337">
        <v>1</v>
      </c>
      <c r="P796" s="337">
        <v>1</v>
      </c>
      <c r="Q796" s="338"/>
      <c r="R796" s="338"/>
      <c r="S796" s="338"/>
      <c r="T796" s="338" t="s">
        <v>6962</v>
      </c>
      <c r="U796" s="338" t="s">
        <v>6963</v>
      </c>
      <c r="V796" s="337">
        <v>1</v>
      </c>
      <c r="W796" s="337">
        <v>1</v>
      </c>
      <c r="X796" s="338"/>
      <c r="Y796" s="338" t="s">
        <v>6318</v>
      </c>
      <c r="Z796" s="338" t="s">
        <v>9169</v>
      </c>
      <c r="AA796" s="338" t="s">
        <v>6079</v>
      </c>
      <c r="AB796" s="338" t="s">
        <v>6964</v>
      </c>
      <c r="AC796" s="338"/>
      <c r="AD796" s="338"/>
      <c r="AF796" s="502" t="str">
        <f>Table15[[#This Row],[code2]]</f>
        <v>PPL</v>
      </c>
      <c r="AG796" s="502" t="str">
        <f>Table15[[#This Row],[code5]]</f>
        <v>AS</v>
      </c>
    </row>
    <row r="797" spans="1:33">
      <c r="A797" s="338" t="s">
        <v>6072</v>
      </c>
      <c r="B797" s="338" t="s">
        <v>6073</v>
      </c>
      <c r="C797" s="337">
        <v>1</v>
      </c>
      <c r="D797" s="338" t="s">
        <v>6949</v>
      </c>
      <c r="E797" s="338" t="s">
        <v>6950</v>
      </c>
      <c r="F797" s="337">
        <v>1</v>
      </c>
      <c r="G797" s="337">
        <v>1</v>
      </c>
      <c r="H797" s="338" t="s">
        <v>6951</v>
      </c>
      <c r="I797" s="338" t="s">
        <v>9126</v>
      </c>
      <c r="J797" s="338" t="s">
        <v>9129</v>
      </c>
      <c r="K797" s="338" t="s">
        <v>6952</v>
      </c>
      <c r="L797" s="338"/>
      <c r="M797" s="338" t="s">
        <v>6965</v>
      </c>
      <c r="N797" s="338" t="s">
        <v>6966</v>
      </c>
      <c r="O797" s="337">
        <v>1</v>
      </c>
      <c r="P797" s="337">
        <v>1</v>
      </c>
      <c r="Q797" s="338"/>
      <c r="R797" s="338"/>
      <c r="S797" s="338"/>
      <c r="T797" s="338" t="s">
        <v>6967</v>
      </c>
      <c r="U797" s="338" t="s">
        <v>6968</v>
      </c>
      <c r="V797" s="337">
        <v>1</v>
      </c>
      <c r="W797" s="337">
        <v>1</v>
      </c>
      <c r="X797" s="338" t="s">
        <v>6969</v>
      </c>
      <c r="Y797" s="338" t="s">
        <v>6318</v>
      </c>
      <c r="Z797" s="338" t="s">
        <v>8876</v>
      </c>
      <c r="AA797" s="338" t="s">
        <v>6079</v>
      </c>
      <c r="AB797" s="338"/>
      <c r="AC797" s="338"/>
      <c r="AD797" s="338"/>
      <c r="AF797" s="502" t="str">
        <f>Table15[[#This Row],[code2]]</f>
        <v>PPL</v>
      </c>
      <c r="AG797" s="502" t="str">
        <f>Table15[[#This Row],[code5]]</f>
        <v>PLRR</v>
      </c>
    </row>
    <row r="798" spans="1:33">
      <c r="A798" s="338" t="s">
        <v>6072</v>
      </c>
      <c r="B798" s="338" t="s">
        <v>6073</v>
      </c>
      <c r="C798" s="337">
        <v>1</v>
      </c>
      <c r="D798" s="338" t="s">
        <v>6949</v>
      </c>
      <c r="E798" s="338" t="s">
        <v>6950</v>
      </c>
      <c r="F798" s="337">
        <v>1</v>
      </c>
      <c r="G798" s="337">
        <v>1</v>
      </c>
      <c r="H798" s="338" t="s">
        <v>6951</v>
      </c>
      <c r="I798" s="338" t="s">
        <v>9126</v>
      </c>
      <c r="J798" s="338" t="s">
        <v>9129</v>
      </c>
      <c r="K798" s="338" t="s">
        <v>6952</v>
      </c>
      <c r="L798" s="338"/>
      <c r="M798" s="338" t="s">
        <v>6965</v>
      </c>
      <c r="N798" s="338" t="s">
        <v>6966</v>
      </c>
      <c r="O798" s="337">
        <v>1</v>
      </c>
      <c r="P798" s="337">
        <v>1</v>
      </c>
      <c r="Q798" s="338"/>
      <c r="R798" s="338"/>
      <c r="S798" s="338"/>
      <c r="T798" s="338" t="s">
        <v>6967</v>
      </c>
      <c r="U798" s="338" t="s">
        <v>6970</v>
      </c>
      <c r="V798" s="337">
        <v>1</v>
      </c>
      <c r="W798" s="337">
        <v>1</v>
      </c>
      <c r="X798" s="338" t="s">
        <v>6971</v>
      </c>
      <c r="Y798" s="338" t="s">
        <v>6318</v>
      </c>
      <c r="Z798" s="338" t="s">
        <v>6972</v>
      </c>
      <c r="AA798" s="338" t="s">
        <v>6079</v>
      </c>
      <c r="AB798" s="338"/>
      <c r="AC798" s="338"/>
      <c r="AD798" s="338"/>
      <c r="AF798" s="502" t="str">
        <f>Table15[[#This Row],[code2]]</f>
        <v>PPL</v>
      </c>
      <c r="AG798" s="502" t="str">
        <f>Table15[[#This Row],[code5]]</f>
        <v>PLRR</v>
      </c>
    </row>
    <row r="799" spans="1:33">
      <c r="A799" s="338" t="s">
        <v>6072</v>
      </c>
      <c r="B799" s="338" t="s">
        <v>6073</v>
      </c>
      <c r="C799" s="337">
        <v>1</v>
      </c>
      <c r="D799" s="338" t="s">
        <v>6949</v>
      </c>
      <c r="E799" s="338" t="s">
        <v>6950</v>
      </c>
      <c r="F799" s="337">
        <v>1</v>
      </c>
      <c r="G799" s="337">
        <v>1</v>
      </c>
      <c r="H799" s="338" t="s">
        <v>6951</v>
      </c>
      <c r="I799" s="338" t="s">
        <v>9126</v>
      </c>
      <c r="J799" s="338" t="s">
        <v>9129</v>
      </c>
      <c r="K799" s="338" t="s">
        <v>6952</v>
      </c>
      <c r="L799" s="338"/>
      <c r="M799" s="338" t="s">
        <v>6973</v>
      </c>
      <c r="N799" s="338" t="s">
        <v>6974</v>
      </c>
      <c r="O799" s="337">
        <v>1</v>
      </c>
      <c r="P799" s="337">
        <v>1</v>
      </c>
      <c r="Q799" s="338"/>
      <c r="R799" s="338"/>
      <c r="S799" s="338"/>
      <c r="T799" s="338" t="s">
        <v>6967</v>
      </c>
      <c r="U799" s="338" t="s">
        <v>6975</v>
      </c>
      <c r="V799" s="337">
        <v>1</v>
      </c>
      <c r="W799" s="337">
        <v>1</v>
      </c>
      <c r="X799" s="338"/>
      <c r="Y799" s="338" t="s">
        <v>6318</v>
      </c>
      <c r="Z799" s="338" t="s">
        <v>9170</v>
      </c>
      <c r="AA799" s="338" t="s">
        <v>6079</v>
      </c>
      <c r="AB799" s="338"/>
      <c r="AC799" s="338"/>
      <c r="AD799" s="338"/>
      <c r="AF799" s="502" t="str">
        <f>Table15[[#This Row],[code2]]</f>
        <v>PPL</v>
      </c>
      <c r="AG799" s="502" t="str">
        <f>Table15[[#This Row],[code5]]</f>
        <v>RI</v>
      </c>
    </row>
    <row r="800" spans="1:33">
      <c r="A800" s="338" t="s">
        <v>6072</v>
      </c>
      <c r="B800" s="338" t="s">
        <v>6073</v>
      </c>
      <c r="C800" s="337">
        <v>1</v>
      </c>
      <c r="D800" s="338" t="s">
        <v>6976</v>
      </c>
      <c r="E800" s="338" t="s">
        <v>6977</v>
      </c>
      <c r="F800" s="337">
        <v>1</v>
      </c>
      <c r="G800" s="337">
        <v>0</v>
      </c>
      <c r="H800" s="338"/>
      <c r="I800" s="338" t="s">
        <v>6978</v>
      </c>
      <c r="J800" s="338" t="s">
        <v>6979</v>
      </c>
      <c r="K800" s="338" t="s">
        <v>6980</v>
      </c>
      <c r="L800" s="338"/>
      <c r="M800" s="338" t="s">
        <v>6981</v>
      </c>
      <c r="N800" s="338" t="s">
        <v>6982</v>
      </c>
      <c r="O800" s="337">
        <v>1</v>
      </c>
      <c r="P800" s="337">
        <v>0</v>
      </c>
      <c r="Q800" s="338"/>
      <c r="R800" s="338"/>
      <c r="S800" s="338"/>
      <c r="T800" s="338" t="s">
        <v>6983</v>
      </c>
      <c r="U800" s="338" t="s">
        <v>6984</v>
      </c>
      <c r="V800" s="337">
        <v>1</v>
      </c>
      <c r="W800" s="337">
        <v>0</v>
      </c>
      <c r="X800" s="338" t="s">
        <v>6985</v>
      </c>
      <c r="Y800" s="338" t="s">
        <v>6318</v>
      </c>
      <c r="Z800" s="338" t="s">
        <v>6986</v>
      </c>
      <c r="AA800" s="338" t="s">
        <v>6079</v>
      </c>
      <c r="AB800" s="338"/>
      <c r="AC800" s="338"/>
      <c r="AD800" s="338"/>
      <c r="AF800" s="502" t="str">
        <f>Table15[[#This Row],[code2]]</f>
        <v>PCL</v>
      </c>
      <c r="AG800" s="502" t="str">
        <f>Table15[[#This Row],[code5]]</f>
        <v>CL</v>
      </c>
    </row>
    <row r="801" spans="1:33">
      <c r="A801" s="338" t="s">
        <v>6072</v>
      </c>
      <c r="B801" s="338" t="s">
        <v>6073</v>
      </c>
      <c r="C801" s="337">
        <v>1</v>
      </c>
      <c r="D801" s="338" t="s">
        <v>6976</v>
      </c>
      <c r="E801" s="338" t="s">
        <v>6977</v>
      </c>
      <c r="F801" s="337">
        <v>1</v>
      </c>
      <c r="G801" s="337">
        <v>0</v>
      </c>
      <c r="H801" s="338"/>
      <c r="I801" s="338" t="s">
        <v>6978</v>
      </c>
      <c r="J801" s="338" t="s">
        <v>6979</v>
      </c>
      <c r="K801" s="338" t="s">
        <v>6980</v>
      </c>
      <c r="L801" s="338"/>
      <c r="M801" s="338" t="s">
        <v>6981</v>
      </c>
      <c r="N801" s="338" t="s">
        <v>6982</v>
      </c>
      <c r="O801" s="337">
        <v>1</v>
      </c>
      <c r="P801" s="337">
        <v>0</v>
      </c>
      <c r="Q801" s="338"/>
      <c r="R801" s="338"/>
      <c r="S801" s="338"/>
      <c r="T801" s="338" t="s">
        <v>6983</v>
      </c>
      <c r="U801" s="338" t="s">
        <v>6987</v>
      </c>
      <c r="V801" s="337">
        <v>1</v>
      </c>
      <c r="W801" s="337">
        <v>0</v>
      </c>
      <c r="X801" s="338" t="s">
        <v>6985</v>
      </c>
      <c r="Y801" s="338" t="s">
        <v>6320</v>
      </c>
      <c r="Z801" s="338" t="s">
        <v>6988</v>
      </c>
      <c r="AA801" s="338" t="s">
        <v>6079</v>
      </c>
      <c r="AB801" s="338"/>
      <c r="AC801" s="338"/>
      <c r="AD801" s="338"/>
      <c r="AF801" s="502" t="str">
        <f>Table15[[#This Row],[code2]]</f>
        <v>PCL</v>
      </c>
      <c r="AG801" s="502" t="str">
        <f>Table15[[#This Row],[code5]]</f>
        <v>CL</v>
      </c>
    </row>
    <row r="802" spans="1:33">
      <c r="A802" s="338" t="s">
        <v>6072</v>
      </c>
      <c r="B802" s="338" t="s">
        <v>6073</v>
      </c>
      <c r="C802" s="337">
        <v>1</v>
      </c>
      <c r="D802" s="338" t="s">
        <v>6976</v>
      </c>
      <c r="E802" s="338" t="s">
        <v>6977</v>
      </c>
      <c r="F802" s="337">
        <v>1</v>
      </c>
      <c r="G802" s="337">
        <v>0</v>
      </c>
      <c r="H802" s="338"/>
      <c r="I802" s="338" t="s">
        <v>6978</v>
      </c>
      <c r="J802" s="338" t="s">
        <v>6979</v>
      </c>
      <c r="K802" s="338" t="s">
        <v>6980</v>
      </c>
      <c r="L802" s="338"/>
      <c r="M802" s="338" t="s">
        <v>6989</v>
      </c>
      <c r="N802" s="338" t="s">
        <v>6990</v>
      </c>
      <c r="O802" s="337">
        <v>1</v>
      </c>
      <c r="P802" s="337">
        <v>0</v>
      </c>
      <c r="Q802" s="338"/>
      <c r="R802" s="338"/>
      <c r="S802" s="338"/>
      <c r="T802" s="338"/>
      <c r="U802" s="338" t="s">
        <v>6991</v>
      </c>
      <c r="V802" s="337">
        <v>1</v>
      </c>
      <c r="W802" s="337">
        <v>0</v>
      </c>
      <c r="X802" s="338" t="s">
        <v>6985</v>
      </c>
      <c r="Y802" s="338" t="s">
        <v>6318</v>
      </c>
      <c r="Z802" s="338" t="s">
        <v>6082</v>
      </c>
      <c r="AA802" s="338" t="s">
        <v>6079</v>
      </c>
      <c r="AB802" s="338"/>
      <c r="AC802" s="338"/>
      <c r="AD802" s="338"/>
      <c r="AF802" s="502" t="str">
        <f>Table15[[#This Row],[code2]]</f>
        <v>PCL</v>
      </c>
      <c r="AG802" s="502" t="str">
        <f>Table15[[#This Row],[code5]]</f>
        <v>TEVCM</v>
      </c>
    </row>
    <row r="803" spans="1:33">
      <c r="A803" s="338" t="s">
        <v>6072</v>
      </c>
      <c r="B803" s="338" t="s">
        <v>6073</v>
      </c>
      <c r="C803" s="337">
        <v>1</v>
      </c>
      <c r="D803" s="338" t="s">
        <v>6976</v>
      </c>
      <c r="E803" s="338" t="s">
        <v>6977</v>
      </c>
      <c r="F803" s="337">
        <v>1</v>
      </c>
      <c r="G803" s="337">
        <v>0</v>
      </c>
      <c r="H803" s="338"/>
      <c r="I803" s="338" t="s">
        <v>6978</v>
      </c>
      <c r="J803" s="338" t="s">
        <v>6979</v>
      </c>
      <c r="K803" s="338" t="s">
        <v>6980</v>
      </c>
      <c r="L803" s="338"/>
      <c r="M803" s="338" t="s">
        <v>6992</v>
      </c>
      <c r="N803" s="338" t="s">
        <v>6993</v>
      </c>
      <c r="O803" s="337">
        <v>1</v>
      </c>
      <c r="P803" s="337">
        <v>0</v>
      </c>
      <c r="Q803" s="338"/>
      <c r="R803" s="338"/>
      <c r="S803" s="338"/>
      <c r="T803" s="338"/>
      <c r="U803" s="338" t="s">
        <v>6994</v>
      </c>
      <c r="V803" s="337">
        <v>1</v>
      </c>
      <c r="W803" s="337">
        <v>0</v>
      </c>
      <c r="X803" s="338" t="s">
        <v>6985</v>
      </c>
      <c r="Y803" s="338" t="s">
        <v>6318</v>
      </c>
      <c r="Z803" s="338" t="s">
        <v>6995</v>
      </c>
      <c r="AA803" s="338" t="s">
        <v>6079</v>
      </c>
      <c r="AB803" s="338"/>
      <c r="AC803" s="338"/>
      <c r="AD803" s="338"/>
      <c r="AF803" s="502" t="str">
        <f>Table15[[#This Row],[code2]]</f>
        <v>PCL</v>
      </c>
      <c r="AG803" s="502" t="str">
        <f>Table15[[#This Row],[code5]]</f>
        <v>TCECM</v>
      </c>
    </row>
    <row r="804" spans="1:33">
      <c r="A804" s="338" t="s">
        <v>6072</v>
      </c>
      <c r="B804" s="338" t="s">
        <v>6073</v>
      </c>
      <c r="C804" s="337">
        <v>1</v>
      </c>
      <c r="D804" s="338" t="s">
        <v>6976</v>
      </c>
      <c r="E804" s="338" t="s">
        <v>6977</v>
      </c>
      <c r="F804" s="337">
        <v>1</v>
      </c>
      <c r="G804" s="337">
        <v>0</v>
      </c>
      <c r="H804" s="338"/>
      <c r="I804" s="338" t="s">
        <v>6978</v>
      </c>
      <c r="J804" s="338" t="s">
        <v>6979</v>
      </c>
      <c r="K804" s="338" t="s">
        <v>6980</v>
      </c>
      <c r="L804" s="338"/>
      <c r="M804" s="338" t="s">
        <v>6996</v>
      </c>
      <c r="N804" s="338" t="s">
        <v>6997</v>
      </c>
      <c r="O804" s="337">
        <v>1</v>
      </c>
      <c r="P804" s="337">
        <v>0</v>
      </c>
      <c r="Q804" s="338"/>
      <c r="R804" s="338"/>
      <c r="S804" s="338"/>
      <c r="T804" s="338"/>
      <c r="U804" s="338" t="s">
        <v>6998</v>
      </c>
      <c r="V804" s="337">
        <v>1</v>
      </c>
      <c r="W804" s="337">
        <v>0</v>
      </c>
      <c r="X804" s="338" t="s">
        <v>6985</v>
      </c>
      <c r="Y804" s="338" t="s">
        <v>6318</v>
      </c>
      <c r="Z804" s="338" t="s">
        <v>6082</v>
      </c>
      <c r="AA804" s="338" t="s">
        <v>6079</v>
      </c>
      <c r="AB804" s="338"/>
      <c r="AC804" s="338"/>
      <c r="AD804" s="338"/>
      <c r="AF804" s="502" t="str">
        <f>Table15[[#This Row],[code2]]</f>
        <v>PCL</v>
      </c>
      <c r="AG804" s="502" t="str">
        <f>Table15[[#This Row],[code5]]</f>
        <v>TFL</v>
      </c>
    </row>
    <row r="805" spans="1:33">
      <c r="A805" s="338" t="s">
        <v>6072</v>
      </c>
      <c r="B805" s="338" t="s">
        <v>6073</v>
      </c>
      <c r="C805" s="337">
        <v>1</v>
      </c>
      <c r="D805" s="338" t="s">
        <v>6976</v>
      </c>
      <c r="E805" s="338" t="s">
        <v>6977</v>
      </c>
      <c r="F805" s="337">
        <v>1</v>
      </c>
      <c r="G805" s="337">
        <v>0</v>
      </c>
      <c r="H805" s="338"/>
      <c r="I805" s="338" t="s">
        <v>6978</v>
      </c>
      <c r="J805" s="338" t="s">
        <v>6979</v>
      </c>
      <c r="K805" s="338" t="s">
        <v>6980</v>
      </c>
      <c r="L805" s="338"/>
      <c r="M805" s="338" t="s">
        <v>6999</v>
      </c>
      <c r="N805" s="338" t="s">
        <v>7000</v>
      </c>
      <c r="O805" s="337">
        <v>1</v>
      </c>
      <c r="P805" s="337">
        <v>0</v>
      </c>
      <c r="Q805" s="338"/>
      <c r="R805" s="338"/>
      <c r="S805" s="338"/>
      <c r="T805" s="338"/>
      <c r="U805" s="338" t="s">
        <v>7001</v>
      </c>
      <c r="V805" s="337">
        <v>1</v>
      </c>
      <c r="W805" s="337">
        <v>0</v>
      </c>
      <c r="X805" s="338" t="s">
        <v>6985</v>
      </c>
      <c r="Y805" s="338" t="s">
        <v>6318</v>
      </c>
      <c r="Z805" s="338" t="s">
        <v>7002</v>
      </c>
      <c r="AA805" s="338" t="s">
        <v>6079</v>
      </c>
      <c r="AB805" s="338"/>
      <c r="AC805" s="338"/>
      <c r="AD805" s="338"/>
      <c r="AF805" s="502" t="str">
        <f>Table15[[#This Row],[code2]]</f>
        <v>PCL</v>
      </c>
      <c r="AG805" s="502" t="str">
        <f>Table15[[#This Row],[code5]]</f>
        <v>TSCL</v>
      </c>
    </row>
    <row r="806" spans="1:33">
      <c r="A806" s="338" t="s">
        <v>6072</v>
      </c>
      <c r="B806" s="338" t="s">
        <v>6073</v>
      </c>
      <c r="C806" s="337">
        <v>1</v>
      </c>
      <c r="D806" s="338" t="s">
        <v>6976</v>
      </c>
      <c r="E806" s="338" t="s">
        <v>6977</v>
      </c>
      <c r="F806" s="337">
        <v>1</v>
      </c>
      <c r="G806" s="337">
        <v>0</v>
      </c>
      <c r="H806" s="338"/>
      <c r="I806" s="338" t="s">
        <v>6978</v>
      </c>
      <c r="J806" s="338" t="s">
        <v>6979</v>
      </c>
      <c r="K806" s="338" t="s">
        <v>6980</v>
      </c>
      <c r="L806" s="338"/>
      <c r="M806" s="338" t="s">
        <v>6999</v>
      </c>
      <c r="N806" s="338" t="s">
        <v>7000</v>
      </c>
      <c r="O806" s="337">
        <v>1</v>
      </c>
      <c r="P806" s="337">
        <v>0</v>
      </c>
      <c r="Q806" s="338"/>
      <c r="R806" s="338"/>
      <c r="S806" s="338"/>
      <c r="T806" s="338"/>
      <c r="U806" s="338" t="s">
        <v>7003</v>
      </c>
      <c r="V806" s="337">
        <v>1</v>
      </c>
      <c r="W806" s="337">
        <v>0</v>
      </c>
      <c r="X806" s="338" t="s">
        <v>6985</v>
      </c>
      <c r="Y806" s="338" t="s">
        <v>6320</v>
      </c>
      <c r="Z806" s="338" t="s">
        <v>7002</v>
      </c>
      <c r="AA806" s="338" t="s">
        <v>6079</v>
      </c>
      <c r="AB806" s="338"/>
      <c r="AC806" s="338"/>
      <c r="AD806" s="338"/>
      <c r="AF806" s="502" t="str">
        <f>Table15[[#This Row],[code2]]</f>
        <v>PCL</v>
      </c>
      <c r="AG806" s="502" t="str">
        <f>Table15[[#This Row],[code5]]</f>
        <v>TSCL</v>
      </c>
    </row>
    <row r="807" spans="1:33">
      <c r="A807" s="338" t="s">
        <v>6072</v>
      </c>
      <c r="B807" s="338" t="s">
        <v>6073</v>
      </c>
      <c r="C807" s="337">
        <v>1</v>
      </c>
      <c r="D807" s="338" t="s">
        <v>6976</v>
      </c>
      <c r="E807" s="338" t="s">
        <v>6977</v>
      </c>
      <c r="F807" s="337">
        <v>1</v>
      </c>
      <c r="G807" s="337">
        <v>0</v>
      </c>
      <c r="H807" s="338"/>
      <c r="I807" s="338" t="s">
        <v>6978</v>
      </c>
      <c r="J807" s="338" t="s">
        <v>6979</v>
      </c>
      <c r="K807" s="338" t="s">
        <v>6980</v>
      </c>
      <c r="L807" s="338"/>
      <c r="M807" s="338" t="s">
        <v>7004</v>
      </c>
      <c r="N807" s="338" t="s">
        <v>7005</v>
      </c>
      <c r="O807" s="337">
        <v>1</v>
      </c>
      <c r="P807" s="337">
        <v>0</v>
      </c>
      <c r="Q807" s="338"/>
      <c r="R807" s="338"/>
      <c r="S807" s="338"/>
      <c r="T807" s="338"/>
      <c r="U807" s="338" t="s">
        <v>7006</v>
      </c>
      <c r="V807" s="337">
        <v>1</v>
      </c>
      <c r="W807" s="337">
        <v>0</v>
      </c>
      <c r="X807" s="338" t="s">
        <v>6985</v>
      </c>
      <c r="Y807" s="338" t="s">
        <v>6318</v>
      </c>
      <c r="Z807" s="338" t="s">
        <v>6995</v>
      </c>
      <c r="AA807" s="338" t="s">
        <v>6079</v>
      </c>
      <c r="AB807" s="338"/>
      <c r="AC807" s="338"/>
      <c r="AD807" s="338"/>
      <c r="AF807" s="502" t="str">
        <f>Table15[[#This Row],[code2]]</f>
        <v>PCL</v>
      </c>
      <c r="AG807" s="502" t="str">
        <f>Table15[[#This Row],[code5]]</f>
        <v>TUCL</v>
      </c>
    </row>
    <row r="808" spans="1:33">
      <c r="A808" s="338" t="s">
        <v>6072</v>
      </c>
      <c r="B808" s="338" t="s">
        <v>6073</v>
      </c>
      <c r="C808" s="337">
        <v>1</v>
      </c>
      <c r="D808" s="338" t="s">
        <v>6976</v>
      </c>
      <c r="E808" s="338" t="s">
        <v>6977</v>
      </c>
      <c r="F808" s="337">
        <v>1</v>
      </c>
      <c r="G808" s="337">
        <v>0</v>
      </c>
      <c r="H808" s="338"/>
      <c r="I808" s="338" t="s">
        <v>6978</v>
      </c>
      <c r="J808" s="338" t="s">
        <v>6979</v>
      </c>
      <c r="K808" s="338" t="s">
        <v>6980</v>
      </c>
      <c r="L808" s="338"/>
      <c r="M808" s="338" t="s">
        <v>7004</v>
      </c>
      <c r="N808" s="338" t="s">
        <v>7005</v>
      </c>
      <c r="O808" s="337">
        <v>1</v>
      </c>
      <c r="P808" s="337">
        <v>0</v>
      </c>
      <c r="Q808" s="338"/>
      <c r="R808" s="338"/>
      <c r="S808" s="338"/>
      <c r="T808" s="338"/>
      <c r="U808" s="338" t="s">
        <v>7007</v>
      </c>
      <c r="V808" s="337">
        <v>1</v>
      </c>
      <c r="W808" s="337">
        <v>0</v>
      </c>
      <c r="X808" s="338" t="s">
        <v>6985</v>
      </c>
      <c r="Y808" s="338" t="s">
        <v>6320</v>
      </c>
      <c r="Z808" s="338" t="s">
        <v>6995</v>
      </c>
      <c r="AA808" s="338" t="s">
        <v>6079</v>
      </c>
      <c r="AB808" s="338"/>
      <c r="AC808" s="338"/>
      <c r="AD808" s="338"/>
      <c r="AF808" s="502" t="str">
        <f>Table15[[#This Row],[code2]]</f>
        <v>PCL</v>
      </c>
      <c r="AG808" s="502" t="str">
        <f>Table15[[#This Row],[code5]]</f>
        <v>TUCL</v>
      </c>
    </row>
    <row r="809" spans="1:33">
      <c r="A809" s="338" t="s">
        <v>6072</v>
      </c>
      <c r="B809" s="338" t="s">
        <v>6073</v>
      </c>
      <c r="C809" s="337">
        <v>1</v>
      </c>
      <c r="D809" s="338" t="s">
        <v>6976</v>
      </c>
      <c r="E809" s="338" t="s">
        <v>6977</v>
      </c>
      <c r="F809" s="337">
        <v>1</v>
      </c>
      <c r="G809" s="337">
        <v>0</v>
      </c>
      <c r="H809" s="338"/>
      <c r="I809" s="338" t="s">
        <v>6978</v>
      </c>
      <c r="J809" s="338" t="s">
        <v>6979</v>
      </c>
      <c r="K809" s="338" t="s">
        <v>6980</v>
      </c>
      <c r="L809" s="338"/>
      <c r="M809" s="338" t="s">
        <v>7008</v>
      </c>
      <c r="N809" s="338" t="s">
        <v>7009</v>
      </c>
      <c r="O809" s="337">
        <v>1</v>
      </c>
      <c r="P809" s="337">
        <v>0</v>
      </c>
      <c r="Q809" s="338"/>
      <c r="R809" s="338"/>
      <c r="S809" s="338"/>
      <c r="T809" s="338"/>
      <c r="U809" s="338" t="s">
        <v>7010</v>
      </c>
      <c r="V809" s="337">
        <v>1</v>
      </c>
      <c r="W809" s="337">
        <v>0</v>
      </c>
      <c r="X809" s="338" t="s">
        <v>7011</v>
      </c>
      <c r="Y809" s="338" t="s">
        <v>6318</v>
      </c>
      <c r="Z809" s="338" t="s">
        <v>7012</v>
      </c>
      <c r="AA809" s="338" t="s">
        <v>6079</v>
      </c>
      <c r="AB809" s="338"/>
      <c r="AC809" s="338"/>
      <c r="AD809" s="338"/>
      <c r="AF809" s="502" t="str">
        <f>Table15[[#This Row],[code2]]</f>
        <v>PCL</v>
      </c>
      <c r="AG809" s="502" t="str">
        <f>Table15[[#This Row],[code5]]</f>
        <v>ECL</v>
      </c>
    </row>
    <row r="810" spans="1:33">
      <c r="A810" s="338" t="s">
        <v>6072</v>
      </c>
      <c r="B810" s="338" t="s">
        <v>6073</v>
      </c>
      <c r="C810" s="337">
        <v>1</v>
      </c>
      <c r="D810" s="338" t="s">
        <v>6976</v>
      </c>
      <c r="E810" s="338" t="s">
        <v>6977</v>
      </c>
      <c r="F810" s="337">
        <v>1</v>
      </c>
      <c r="G810" s="337">
        <v>0</v>
      </c>
      <c r="H810" s="338"/>
      <c r="I810" s="338" t="s">
        <v>6978</v>
      </c>
      <c r="J810" s="338" t="s">
        <v>6979</v>
      </c>
      <c r="K810" s="338" t="s">
        <v>6980</v>
      </c>
      <c r="L810" s="338"/>
      <c r="M810" s="338" t="s">
        <v>7008</v>
      </c>
      <c r="N810" s="338" t="s">
        <v>7009</v>
      </c>
      <c r="O810" s="337">
        <v>1</v>
      </c>
      <c r="P810" s="337">
        <v>0</v>
      </c>
      <c r="Q810" s="338"/>
      <c r="R810" s="338"/>
      <c r="S810" s="338"/>
      <c r="T810" s="338"/>
      <c r="U810" s="338" t="s">
        <v>7013</v>
      </c>
      <c r="V810" s="337">
        <v>1</v>
      </c>
      <c r="W810" s="337">
        <v>0</v>
      </c>
      <c r="X810" s="338" t="s">
        <v>7011</v>
      </c>
      <c r="Y810" s="338" t="s">
        <v>6320</v>
      </c>
      <c r="Z810" s="338" t="s">
        <v>7014</v>
      </c>
      <c r="AA810" s="338" t="s">
        <v>6079</v>
      </c>
      <c r="AB810" s="338"/>
      <c r="AC810" s="338"/>
      <c r="AD810" s="338"/>
      <c r="AF810" s="502" t="str">
        <f>Table15[[#This Row],[code2]]</f>
        <v>PCL</v>
      </c>
      <c r="AG810" s="502" t="str">
        <f>Table15[[#This Row],[code5]]</f>
        <v>ECL</v>
      </c>
    </row>
    <row r="811" spans="1:33">
      <c r="A811" s="338" t="s">
        <v>6072</v>
      </c>
      <c r="B811" s="338" t="s">
        <v>6073</v>
      </c>
      <c r="C811" s="337">
        <v>1</v>
      </c>
      <c r="D811" s="338" t="s">
        <v>7015</v>
      </c>
      <c r="E811" s="338" t="s">
        <v>7016</v>
      </c>
      <c r="F811" s="337">
        <v>1</v>
      </c>
      <c r="G811" s="337">
        <v>1</v>
      </c>
      <c r="H811" s="338"/>
      <c r="I811" s="338" t="s">
        <v>9555</v>
      </c>
      <c r="J811" s="338" t="s">
        <v>9556</v>
      </c>
      <c r="K811" s="338" t="s">
        <v>7017</v>
      </c>
      <c r="L811" s="338" t="s">
        <v>7018</v>
      </c>
      <c r="M811" s="338" t="s">
        <v>7019</v>
      </c>
      <c r="N811" s="338" t="s">
        <v>7020</v>
      </c>
      <c r="O811" s="337">
        <v>0</v>
      </c>
      <c r="P811" s="337">
        <v>0</v>
      </c>
      <c r="Q811" s="338"/>
      <c r="R811" s="338" t="s">
        <v>14</v>
      </c>
      <c r="S811" s="338"/>
      <c r="T811" s="338" t="s">
        <v>8894</v>
      </c>
      <c r="U811" s="338" t="s">
        <v>7022</v>
      </c>
      <c r="V811" s="337">
        <v>0</v>
      </c>
      <c r="W811" s="337">
        <v>0</v>
      </c>
      <c r="X811" s="338"/>
      <c r="Y811" s="338" t="s">
        <v>6318</v>
      </c>
      <c r="Z811" s="338" t="s">
        <v>7023</v>
      </c>
      <c r="AA811" s="338" t="s">
        <v>6079</v>
      </c>
      <c r="AB811" s="338"/>
      <c r="AC811" s="338" t="s">
        <v>7024</v>
      </c>
      <c r="AD811" s="338"/>
      <c r="AF811" s="502" t="str">
        <f>Table15[[#This Row],[code2]]</f>
        <v>PDA</v>
      </c>
      <c r="AG811" s="502" t="str">
        <f>Table15[[#This Row],[code5]]</f>
        <v>AA</v>
      </c>
    </row>
    <row r="812" spans="1:33">
      <c r="A812" s="338" t="s">
        <v>6072</v>
      </c>
      <c r="B812" s="338" t="s">
        <v>6073</v>
      </c>
      <c r="C812" s="337">
        <v>1</v>
      </c>
      <c r="D812" s="338" t="s">
        <v>7015</v>
      </c>
      <c r="E812" s="338" t="s">
        <v>7016</v>
      </c>
      <c r="F812" s="337">
        <v>1</v>
      </c>
      <c r="G812" s="337">
        <v>1</v>
      </c>
      <c r="H812" s="338"/>
      <c r="I812" s="338" t="s">
        <v>9555</v>
      </c>
      <c r="J812" s="338" t="s">
        <v>9556</v>
      </c>
      <c r="K812" s="338" t="s">
        <v>7017</v>
      </c>
      <c r="L812" s="338" t="s">
        <v>7018</v>
      </c>
      <c r="M812" s="338" t="s">
        <v>7019</v>
      </c>
      <c r="N812" s="338" t="s">
        <v>7020</v>
      </c>
      <c r="O812" s="337">
        <v>0</v>
      </c>
      <c r="P812" s="337">
        <v>0</v>
      </c>
      <c r="Q812" s="338"/>
      <c r="R812" s="338" t="s">
        <v>14</v>
      </c>
      <c r="S812" s="338"/>
      <c r="T812" s="338" t="s">
        <v>8894</v>
      </c>
      <c r="U812" s="338" t="s">
        <v>7025</v>
      </c>
      <c r="V812" s="337">
        <v>0</v>
      </c>
      <c r="W812" s="337">
        <v>0</v>
      </c>
      <c r="X812" s="338"/>
      <c r="Y812" s="338" t="s">
        <v>6318</v>
      </c>
      <c r="Z812" s="338" t="s">
        <v>7023</v>
      </c>
      <c r="AA812" s="338" t="s">
        <v>6079</v>
      </c>
      <c r="AB812" s="338"/>
      <c r="AC812" s="338" t="s">
        <v>7027</v>
      </c>
      <c r="AD812" s="338"/>
      <c r="AF812" s="502" t="str">
        <f>Table15[[#This Row],[code2]]</f>
        <v>PDA</v>
      </c>
      <c r="AG812" s="502" t="str">
        <f>Table15[[#This Row],[code5]]</f>
        <v>AA</v>
      </c>
    </row>
    <row r="813" spans="1:33">
      <c r="A813" s="338" t="s">
        <v>6072</v>
      </c>
      <c r="B813" s="338" t="s">
        <v>6073</v>
      </c>
      <c r="C813" s="337">
        <v>1</v>
      </c>
      <c r="D813" s="338" t="s">
        <v>7015</v>
      </c>
      <c r="E813" s="338" t="s">
        <v>7016</v>
      </c>
      <c r="F813" s="337">
        <v>1</v>
      </c>
      <c r="G813" s="337">
        <v>1</v>
      </c>
      <c r="H813" s="338"/>
      <c r="I813" s="338" t="s">
        <v>9555</v>
      </c>
      <c r="J813" s="338" t="s">
        <v>9556</v>
      </c>
      <c r="K813" s="338" t="s">
        <v>7017</v>
      </c>
      <c r="L813" s="338" t="s">
        <v>7018</v>
      </c>
      <c r="M813" s="338" t="s">
        <v>7019</v>
      </c>
      <c r="N813" s="338" t="s">
        <v>7020</v>
      </c>
      <c r="O813" s="337">
        <v>0</v>
      </c>
      <c r="P813" s="337">
        <v>0</v>
      </c>
      <c r="Q813" s="338"/>
      <c r="R813" s="338" t="s">
        <v>14</v>
      </c>
      <c r="S813" s="338"/>
      <c r="T813" s="338" t="s">
        <v>8894</v>
      </c>
      <c r="U813" s="338" t="s">
        <v>7028</v>
      </c>
      <c r="V813" s="337">
        <v>0</v>
      </c>
      <c r="W813" s="337">
        <v>0</v>
      </c>
      <c r="X813" s="338"/>
      <c r="Y813" s="338" t="s">
        <v>6318</v>
      </c>
      <c r="Z813" s="338" t="s">
        <v>7023</v>
      </c>
      <c r="AA813" s="338" t="s">
        <v>6079</v>
      </c>
      <c r="AB813" s="338"/>
      <c r="AC813" s="338" t="s">
        <v>7030</v>
      </c>
      <c r="AD813" s="338"/>
      <c r="AF813" s="502" t="str">
        <f>Table15[[#This Row],[code2]]</f>
        <v>PDA</v>
      </c>
      <c r="AG813" s="502" t="str">
        <f>Table15[[#This Row],[code5]]</f>
        <v>AA</v>
      </c>
    </row>
    <row r="814" spans="1:33">
      <c r="A814" s="338" t="s">
        <v>6072</v>
      </c>
      <c r="B814" s="338" t="s">
        <v>6073</v>
      </c>
      <c r="C814" s="337">
        <v>1</v>
      </c>
      <c r="D814" s="338" t="s">
        <v>7015</v>
      </c>
      <c r="E814" s="338" t="s">
        <v>7016</v>
      </c>
      <c r="F814" s="337">
        <v>1</v>
      </c>
      <c r="G814" s="337">
        <v>1</v>
      </c>
      <c r="H814" s="338"/>
      <c r="I814" s="338" t="s">
        <v>9555</v>
      </c>
      <c r="J814" s="338" t="s">
        <v>9556</v>
      </c>
      <c r="K814" s="338" t="s">
        <v>7017</v>
      </c>
      <c r="L814" s="338" t="s">
        <v>7018</v>
      </c>
      <c r="M814" s="338" t="s">
        <v>7031</v>
      </c>
      <c r="N814" s="338" t="s">
        <v>7032</v>
      </c>
      <c r="O814" s="337">
        <v>0</v>
      </c>
      <c r="P814" s="337">
        <v>0</v>
      </c>
      <c r="Q814" s="338"/>
      <c r="R814" s="338"/>
      <c r="S814" s="338"/>
      <c r="T814" s="338" t="s">
        <v>7033</v>
      </c>
      <c r="U814" s="338" t="s">
        <v>7034</v>
      </c>
      <c r="V814" s="337">
        <v>0</v>
      </c>
      <c r="W814" s="337">
        <v>0</v>
      </c>
      <c r="X814" s="338"/>
      <c r="Y814" s="338" t="s">
        <v>6318</v>
      </c>
      <c r="Z814" s="338" t="s">
        <v>7023</v>
      </c>
      <c r="AA814" s="338" t="s">
        <v>6079</v>
      </c>
      <c r="AB814" s="338"/>
      <c r="AC814" s="338"/>
      <c r="AD814" s="338"/>
      <c r="AF814" s="502" t="str">
        <f>Table15[[#This Row],[code2]]</f>
        <v>PDA</v>
      </c>
      <c r="AG814" s="502" t="str">
        <f>Table15[[#This Row],[code5]]</f>
        <v>EPA</v>
      </c>
    </row>
    <row r="815" spans="1:33">
      <c r="A815" s="338" t="s">
        <v>6072</v>
      </c>
      <c r="B815" s="338" t="s">
        <v>6073</v>
      </c>
      <c r="C815" s="337">
        <v>1</v>
      </c>
      <c r="D815" s="338" t="s">
        <v>7015</v>
      </c>
      <c r="E815" s="338" t="s">
        <v>7016</v>
      </c>
      <c r="F815" s="337">
        <v>1</v>
      </c>
      <c r="G815" s="337">
        <v>1</v>
      </c>
      <c r="H815" s="338"/>
      <c r="I815" s="338" t="s">
        <v>9555</v>
      </c>
      <c r="J815" s="338" t="s">
        <v>9556</v>
      </c>
      <c r="K815" s="338" t="s">
        <v>7017</v>
      </c>
      <c r="L815" s="338" t="s">
        <v>7018</v>
      </c>
      <c r="M815" s="338" t="s">
        <v>7035</v>
      </c>
      <c r="N815" s="338" t="s">
        <v>7036</v>
      </c>
      <c r="O815" s="337">
        <v>1</v>
      </c>
      <c r="P815" s="337">
        <v>1</v>
      </c>
      <c r="Q815" s="338"/>
      <c r="R815" s="338" t="s">
        <v>14</v>
      </c>
      <c r="S815" s="338"/>
      <c r="T815" s="338" t="s">
        <v>7037</v>
      </c>
      <c r="U815" s="338" t="s">
        <v>7038</v>
      </c>
      <c r="V815" s="337">
        <v>1</v>
      </c>
      <c r="W815" s="337">
        <v>1</v>
      </c>
      <c r="X815" s="338"/>
      <c r="Y815" s="338" t="s">
        <v>6318</v>
      </c>
      <c r="Z815" s="338" t="s">
        <v>7023</v>
      </c>
      <c r="AA815" s="338" t="s">
        <v>6079</v>
      </c>
      <c r="AB815" s="338"/>
      <c r="AC815" s="338" t="s">
        <v>7024</v>
      </c>
      <c r="AD815" s="338"/>
      <c r="AF815" s="502" t="str">
        <f>Table15[[#This Row],[code2]]</f>
        <v>PDA</v>
      </c>
      <c r="AG815" s="502" t="str">
        <f>Table15[[#This Row],[code5]]</f>
        <v>PSA</v>
      </c>
    </row>
    <row r="816" spans="1:33">
      <c r="A816" s="338" t="s">
        <v>6072</v>
      </c>
      <c r="B816" s="338" t="s">
        <v>6073</v>
      </c>
      <c r="C816" s="337">
        <v>1</v>
      </c>
      <c r="D816" s="338" t="s">
        <v>7015</v>
      </c>
      <c r="E816" s="338" t="s">
        <v>7016</v>
      </c>
      <c r="F816" s="337">
        <v>1</v>
      </c>
      <c r="G816" s="337">
        <v>1</v>
      </c>
      <c r="H816" s="338"/>
      <c r="I816" s="338" t="s">
        <v>9555</v>
      </c>
      <c r="J816" s="338" t="s">
        <v>9556</v>
      </c>
      <c r="K816" s="338" t="s">
        <v>7017</v>
      </c>
      <c r="L816" s="338" t="s">
        <v>7018</v>
      </c>
      <c r="M816" s="338" t="s">
        <v>7035</v>
      </c>
      <c r="N816" s="338" t="s">
        <v>7036</v>
      </c>
      <c r="O816" s="337">
        <v>1</v>
      </c>
      <c r="P816" s="337">
        <v>1</v>
      </c>
      <c r="Q816" s="338"/>
      <c r="R816" s="338" t="s">
        <v>14</v>
      </c>
      <c r="S816" s="338"/>
      <c r="T816" s="338" t="s">
        <v>7037</v>
      </c>
      <c r="U816" s="338" t="s">
        <v>7039</v>
      </c>
      <c r="V816" s="337">
        <v>1</v>
      </c>
      <c r="W816" s="337">
        <v>1</v>
      </c>
      <c r="X816" s="338"/>
      <c r="Y816" s="338" t="s">
        <v>6318</v>
      </c>
      <c r="Z816" s="338" t="s">
        <v>7026</v>
      </c>
      <c r="AA816" s="338" t="s">
        <v>6079</v>
      </c>
      <c r="AB816" s="338"/>
      <c r="AC816" s="338" t="s">
        <v>7027</v>
      </c>
      <c r="AD816" s="338"/>
      <c r="AF816" s="502" t="str">
        <f>Table15[[#This Row],[code2]]</f>
        <v>PDA</v>
      </c>
      <c r="AG816" s="502" t="str">
        <f>Table15[[#This Row],[code5]]</f>
        <v>PSA</v>
      </c>
    </row>
    <row r="817" spans="1:33">
      <c r="A817" s="338" t="s">
        <v>6072</v>
      </c>
      <c r="B817" s="338" t="s">
        <v>6073</v>
      </c>
      <c r="C817" s="337">
        <v>1</v>
      </c>
      <c r="D817" s="338" t="s">
        <v>7015</v>
      </c>
      <c r="E817" s="338" t="s">
        <v>7016</v>
      </c>
      <c r="F817" s="337">
        <v>1</v>
      </c>
      <c r="G817" s="337">
        <v>1</v>
      </c>
      <c r="H817" s="338"/>
      <c r="I817" s="338" t="s">
        <v>9555</v>
      </c>
      <c r="J817" s="338" t="s">
        <v>9556</v>
      </c>
      <c r="K817" s="338" t="s">
        <v>7017</v>
      </c>
      <c r="L817" s="338" t="s">
        <v>7018</v>
      </c>
      <c r="M817" s="338" t="s">
        <v>7035</v>
      </c>
      <c r="N817" s="338" t="s">
        <v>7036</v>
      </c>
      <c r="O817" s="337">
        <v>1</v>
      </c>
      <c r="P817" s="337">
        <v>1</v>
      </c>
      <c r="Q817" s="338"/>
      <c r="R817" s="338" t="s">
        <v>14</v>
      </c>
      <c r="S817" s="338"/>
      <c r="T817" s="338" t="s">
        <v>7037</v>
      </c>
      <c r="U817" s="338" t="s">
        <v>7040</v>
      </c>
      <c r="V817" s="337">
        <v>1</v>
      </c>
      <c r="W817" s="337">
        <v>1</v>
      </c>
      <c r="X817" s="338"/>
      <c r="Y817" s="338" t="s">
        <v>6318</v>
      </c>
      <c r="Z817" s="338" t="s">
        <v>7029</v>
      </c>
      <c r="AA817" s="338" t="s">
        <v>6079</v>
      </c>
      <c r="AB817" s="338"/>
      <c r="AC817" s="338" t="s">
        <v>7030</v>
      </c>
      <c r="AD817" s="338"/>
      <c r="AF817" s="502" t="str">
        <f>Table15[[#This Row],[code2]]</f>
        <v>PDA</v>
      </c>
      <c r="AG817" s="502" t="str">
        <f>Table15[[#This Row],[code5]]</f>
        <v>PSA</v>
      </c>
    </row>
    <row r="818" spans="1:33">
      <c r="A818" s="338" t="s">
        <v>6072</v>
      </c>
      <c r="B818" s="338" t="s">
        <v>6073</v>
      </c>
      <c r="C818" s="337">
        <v>1</v>
      </c>
      <c r="D818" s="338" t="s">
        <v>7015</v>
      </c>
      <c r="E818" s="338" t="s">
        <v>7016</v>
      </c>
      <c r="F818" s="337">
        <v>1</v>
      </c>
      <c r="G818" s="337">
        <v>1</v>
      </c>
      <c r="H818" s="338"/>
      <c r="I818" s="338" t="s">
        <v>9555</v>
      </c>
      <c r="J818" s="338" t="s">
        <v>9556</v>
      </c>
      <c r="K818" s="338" t="s">
        <v>7017</v>
      </c>
      <c r="L818" s="338" t="s">
        <v>7018</v>
      </c>
      <c r="M818" s="338" t="s">
        <v>7041</v>
      </c>
      <c r="N818" s="338" t="s">
        <v>7042</v>
      </c>
      <c r="O818" s="337">
        <v>1</v>
      </c>
      <c r="P818" s="337">
        <v>1</v>
      </c>
      <c r="Q818" s="338"/>
      <c r="R818" s="338" t="s">
        <v>14</v>
      </c>
      <c r="S818" s="338"/>
      <c r="T818" s="338" t="s">
        <v>9109</v>
      </c>
      <c r="U818" s="338" t="s">
        <v>7043</v>
      </c>
      <c r="V818" s="337">
        <v>1</v>
      </c>
      <c r="W818" s="337">
        <v>1</v>
      </c>
      <c r="X818" s="338"/>
      <c r="Y818" s="338" t="s">
        <v>750</v>
      </c>
      <c r="Z818" s="338" t="s">
        <v>7026</v>
      </c>
      <c r="AA818" s="338" t="s">
        <v>6079</v>
      </c>
      <c r="AB818" s="338"/>
      <c r="AC818" s="338" t="s">
        <v>7044</v>
      </c>
      <c r="AD818" s="338"/>
      <c r="AF818" s="502" t="str">
        <f>Table15[[#This Row],[code2]]</f>
        <v>PDA</v>
      </c>
      <c r="AG818" s="502" t="str">
        <f>Table15[[#This Row],[code5]]</f>
        <v>PS</v>
      </c>
    </row>
    <row r="819" spans="1:33">
      <c r="A819" s="338" t="s">
        <v>6072</v>
      </c>
      <c r="B819" s="338" t="s">
        <v>6073</v>
      </c>
      <c r="C819" s="337">
        <v>1</v>
      </c>
      <c r="D819" s="338" t="s">
        <v>7015</v>
      </c>
      <c r="E819" s="338" t="s">
        <v>7016</v>
      </c>
      <c r="F819" s="337">
        <v>1</v>
      </c>
      <c r="G819" s="337">
        <v>1</v>
      </c>
      <c r="H819" s="338"/>
      <c r="I819" s="338" t="s">
        <v>9555</v>
      </c>
      <c r="J819" s="338" t="s">
        <v>9556</v>
      </c>
      <c r="K819" s="338" t="s">
        <v>7017</v>
      </c>
      <c r="L819" s="338" t="s">
        <v>7018</v>
      </c>
      <c r="M819" s="338" t="s">
        <v>7041</v>
      </c>
      <c r="N819" s="338" t="s">
        <v>7042</v>
      </c>
      <c r="O819" s="337">
        <v>1</v>
      </c>
      <c r="P819" s="337">
        <v>1</v>
      </c>
      <c r="Q819" s="338"/>
      <c r="R819" s="338" t="s">
        <v>14</v>
      </c>
      <c r="S819" s="338"/>
      <c r="T819" s="338" t="s">
        <v>9109</v>
      </c>
      <c r="U819" s="338" t="s">
        <v>7045</v>
      </c>
      <c r="V819" s="337">
        <v>1</v>
      </c>
      <c r="W819" s="337">
        <v>1</v>
      </c>
      <c r="X819" s="338"/>
      <c r="Y819" s="338" t="s">
        <v>7046</v>
      </c>
      <c r="Z819" s="338" t="s">
        <v>9073</v>
      </c>
      <c r="AA819" s="338" t="s">
        <v>6079</v>
      </c>
      <c r="AB819" s="338"/>
      <c r="AC819" s="338" t="s">
        <v>7044</v>
      </c>
      <c r="AD819" s="338"/>
      <c r="AF819" s="502" t="str">
        <f>Table15[[#This Row],[code2]]</f>
        <v>PDA</v>
      </c>
      <c r="AG819" s="502" t="str">
        <f>Table15[[#This Row],[code5]]</f>
        <v>PS</v>
      </c>
    </row>
    <row r="820" spans="1:33">
      <c r="A820" s="338" t="s">
        <v>6072</v>
      </c>
      <c r="B820" s="338" t="s">
        <v>6073</v>
      </c>
      <c r="C820" s="337">
        <v>1</v>
      </c>
      <c r="D820" s="338" t="s">
        <v>7015</v>
      </c>
      <c r="E820" s="338" t="s">
        <v>7016</v>
      </c>
      <c r="F820" s="337">
        <v>1</v>
      </c>
      <c r="G820" s="337">
        <v>1</v>
      </c>
      <c r="H820" s="338"/>
      <c r="I820" s="338" t="s">
        <v>9555</v>
      </c>
      <c r="J820" s="338" t="s">
        <v>9556</v>
      </c>
      <c r="K820" s="338" t="s">
        <v>7017</v>
      </c>
      <c r="L820" s="338" t="s">
        <v>7018</v>
      </c>
      <c r="M820" s="338" t="s">
        <v>7041</v>
      </c>
      <c r="N820" s="338" t="s">
        <v>7042</v>
      </c>
      <c r="O820" s="337">
        <v>1</v>
      </c>
      <c r="P820" s="337">
        <v>1</v>
      </c>
      <c r="Q820" s="338"/>
      <c r="R820" s="338" t="s">
        <v>14</v>
      </c>
      <c r="S820" s="338"/>
      <c r="T820" s="338" t="s">
        <v>9109</v>
      </c>
      <c r="U820" s="338" t="s">
        <v>7047</v>
      </c>
      <c r="V820" s="337">
        <v>1</v>
      </c>
      <c r="W820" s="337">
        <v>1</v>
      </c>
      <c r="X820" s="338"/>
      <c r="Y820" s="338" t="s">
        <v>21</v>
      </c>
      <c r="Z820" s="338" t="s">
        <v>9072</v>
      </c>
      <c r="AA820" s="338" t="s">
        <v>6079</v>
      </c>
      <c r="AB820" s="338"/>
      <c r="AC820" s="338" t="s">
        <v>7044</v>
      </c>
      <c r="AD820" s="338"/>
      <c r="AF820" s="502" t="str">
        <f>Table15[[#This Row],[code2]]</f>
        <v>PDA</v>
      </c>
      <c r="AG820" s="502" t="str">
        <f>Table15[[#This Row],[code5]]</f>
        <v>PS</v>
      </c>
    </row>
    <row r="821" spans="1:33">
      <c r="A821" s="338" t="s">
        <v>6072</v>
      </c>
      <c r="B821" s="338" t="s">
        <v>6073</v>
      </c>
      <c r="C821" s="337">
        <v>1</v>
      </c>
      <c r="D821" s="338" t="s">
        <v>7015</v>
      </c>
      <c r="E821" s="338" t="s">
        <v>7016</v>
      </c>
      <c r="F821" s="337">
        <v>1</v>
      </c>
      <c r="G821" s="337">
        <v>1</v>
      </c>
      <c r="H821" s="338"/>
      <c r="I821" s="338" t="s">
        <v>9555</v>
      </c>
      <c r="J821" s="338" t="s">
        <v>9556</v>
      </c>
      <c r="K821" s="338" t="s">
        <v>7017</v>
      </c>
      <c r="L821" s="338" t="s">
        <v>7018</v>
      </c>
      <c r="M821" s="338" t="s">
        <v>7041</v>
      </c>
      <c r="N821" s="338" t="s">
        <v>7042</v>
      </c>
      <c r="O821" s="337">
        <v>1</v>
      </c>
      <c r="P821" s="337">
        <v>1</v>
      </c>
      <c r="Q821" s="338"/>
      <c r="R821" s="338" t="s">
        <v>14</v>
      </c>
      <c r="S821" s="338"/>
      <c r="T821" s="338" t="s">
        <v>9109</v>
      </c>
      <c r="U821" s="338" t="s">
        <v>7048</v>
      </c>
      <c r="V821" s="337">
        <v>1</v>
      </c>
      <c r="W821" s="337">
        <v>1</v>
      </c>
      <c r="X821" s="338"/>
      <c r="Y821" s="338" t="s">
        <v>750</v>
      </c>
      <c r="Z821" s="338" t="s">
        <v>7026</v>
      </c>
      <c r="AA821" s="338" t="s">
        <v>6079</v>
      </c>
      <c r="AB821" s="338"/>
      <c r="AC821" s="338" t="s">
        <v>7049</v>
      </c>
      <c r="AD821" s="338"/>
      <c r="AF821" s="502" t="str">
        <f>Table15[[#This Row],[code2]]</f>
        <v>PDA</v>
      </c>
      <c r="AG821" s="502" t="str">
        <f>Table15[[#This Row],[code5]]</f>
        <v>PS</v>
      </c>
    </row>
    <row r="822" spans="1:33">
      <c r="A822" s="338" t="s">
        <v>6072</v>
      </c>
      <c r="B822" s="338" t="s">
        <v>6073</v>
      </c>
      <c r="C822" s="337">
        <v>1</v>
      </c>
      <c r="D822" s="338" t="s">
        <v>7015</v>
      </c>
      <c r="E822" s="338" t="s">
        <v>7016</v>
      </c>
      <c r="F822" s="337">
        <v>1</v>
      </c>
      <c r="G822" s="337">
        <v>1</v>
      </c>
      <c r="H822" s="338"/>
      <c r="I822" s="338" t="s">
        <v>9555</v>
      </c>
      <c r="J822" s="338" t="s">
        <v>9556</v>
      </c>
      <c r="K822" s="338" t="s">
        <v>7017</v>
      </c>
      <c r="L822" s="338" t="s">
        <v>7018</v>
      </c>
      <c r="M822" s="338" t="s">
        <v>7041</v>
      </c>
      <c r="N822" s="338" t="s">
        <v>7042</v>
      </c>
      <c r="O822" s="337">
        <v>1</v>
      </c>
      <c r="P822" s="337">
        <v>1</v>
      </c>
      <c r="Q822" s="338"/>
      <c r="R822" s="338" t="s">
        <v>14</v>
      </c>
      <c r="S822" s="338"/>
      <c r="T822" s="338" t="s">
        <v>9109</v>
      </c>
      <c r="U822" s="338" t="s">
        <v>7050</v>
      </c>
      <c r="V822" s="337">
        <v>1</v>
      </c>
      <c r="W822" s="337">
        <v>1</v>
      </c>
      <c r="X822" s="338"/>
      <c r="Y822" s="338" t="s">
        <v>7046</v>
      </c>
      <c r="Z822" s="338" t="s">
        <v>9073</v>
      </c>
      <c r="AA822" s="338" t="s">
        <v>6079</v>
      </c>
      <c r="AB822" s="338"/>
      <c r="AC822" s="338" t="s">
        <v>7049</v>
      </c>
      <c r="AD822" s="338"/>
      <c r="AF822" s="502" t="str">
        <f>Table15[[#This Row],[code2]]</f>
        <v>PDA</v>
      </c>
      <c r="AG822" s="502" t="str">
        <f>Table15[[#This Row],[code5]]</f>
        <v>PS</v>
      </c>
    </row>
    <row r="823" spans="1:33">
      <c r="A823" s="338" t="s">
        <v>6072</v>
      </c>
      <c r="B823" s="338" t="s">
        <v>6073</v>
      </c>
      <c r="C823" s="337">
        <v>1</v>
      </c>
      <c r="D823" s="338" t="s">
        <v>7015</v>
      </c>
      <c r="E823" s="338" t="s">
        <v>7016</v>
      </c>
      <c r="F823" s="337">
        <v>1</v>
      </c>
      <c r="G823" s="337">
        <v>1</v>
      </c>
      <c r="H823" s="338"/>
      <c r="I823" s="338" t="s">
        <v>9555</v>
      </c>
      <c r="J823" s="338" t="s">
        <v>9556</v>
      </c>
      <c r="K823" s="338" t="s">
        <v>7017</v>
      </c>
      <c r="L823" s="338" t="s">
        <v>7018</v>
      </c>
      <c r="M823" s="338" t="s">
        <v>7041</v>
      </c>
      <c r="N823" s="338" t="s">
        <v>7042</v>
      </c>
      <c r="O823" s="337">
        <v>1</v>
      </c>
      <c r="P823" s="337">
        <v>1</v>
      </c>
      <c r="Q823" s="338"/>
      <c r="R823" s="338" t="s">
        <v>14</v>
      </c>
      <c r="S823" s="338"/>
      <c r="T823" s="338" t="s">
        <v>9109</v>
      </c>
      <c r="U823" s="338" t="s">
        <v>7051</v>
      </c>
      <c r="V823" s="337">
        <v>1</v>
      </c>
      <c r="W823" s="337">
        <v>1</v>
      </c>
      <c r="X823" s="338"/>
      <c r="Y823" s="338" t="s">
        <v>21</v>
      </c>
      <c r="Z823" s="338" t="s">
        <v>9072</v>
      </c>
      <c r="AA823" s="338" t="s">
        <v>6079</v>
      </c>
      <c r="AB823" s="338"/>
      <c r="AC823" s="338" t="s">
        <v>7049</v>
      </c>
      <c r="AD823" s="338"/>
      <c r="AF823" s="502" t="str">
        <f>Table15[[#This Row],[code2]]</f>
        <v>PDA</v>
      </c>
      <c r="AG823" s="502" t="str">
        <f>Table15[[#This Row],[code5]]</f>
        <v>PS</v>
      </c>
    </row>
    <row r="824" spans="1:33">
      <c r="A824" s="338" t="s">
        <v>6072</v>
      </c>
      <c r="B824" s="338" t="s">
        <v>6073</v>
      </c>
      <c r="C824" s="337">
        <v>1</v>
      </c>
      <c r="D824" s="338" t="s">
        <v>7015</v>
      </c>
      <c r="E824" s="338" t="s">
        <v>7016</v>
      </c>
      <c r="F824" s="337">
        <v>1</v>
      </c>
      <c r="G824" s="337">
        <v>1</v>
      </c>
      <c r="H824" s="338"/>
      <c r="I824" s="338" t="s">
        <v>9555</v>
      </c>
      <c r="J824" s="338" t="s">
        <v>9556</v>
      </c>
      <c r="K824" s="338" t="s">
        <v>7017</v>
      </c>
      <c r="L824" s="338" t="s">
        <v>7018</v>
      </c>
      <c r="M824" s="338" t="s">
        <v>7041</v>
      </c>
      <c r="N824" s="338" t="s">
        <v>7042</v>
      </c>
      <c r="O824" s="337">
        <v>1</v>
      </c>
      <c r="P824" s="337">
        <v>1</v>
      </c>
      <c r="Q824" s="338"/>
      <c r="R824" s="338" t="s">
        <v>14</v>
      </c>
      <c r="S824" s="338"/>
      <c r="T824" s="338" t="s">
        <v>9109</v>
      </c>
      <c r="U824" s="338" t="s">
        <v>7052</v>
      </c>
      <c r="V824" s="337">
        <v>1</v>
      </c>
      <c r="W824" s="337">
        <v>1</v>
      </c>
      <c r="X824" s="338"/>
      <c r="Y824" s="338" t="s">
        <v>750</v>
      </c>
      <c r="Z824" s="338" t="s">
        <v>7026</v>
      </c>
      <c r="AA824" s="338" t="s">
        <v>6079</v>
      </c>
      <c r="AB824" s="338"/>
      <c r="AC824" s="338" t="s">
        <v>7053</v>
      </c>
      <c r="AD824" s="338"/>
      <c r="AF824" s="502" t="str">
        <f>Table15[[#This Row],[code2]]</f>
        <v>PDA</v>
      </c>
      <c r="AG824" s="502" t="str">
        <f>Table15[[#This Row],[code5]]</f>
        <v>PS</v>
      </c>
    </row>
    <row r="825" spans="1:33">
      <c r="A825" s="338" t="s">
        <v>6072</v>
      </c>
      <c r="B825" s="338" t="s">
        <v>6073</v>
      </c>
      <c r="C825" s="337">
        <v>1</v>
      </c>
      <c r="D825" s="338" t="s">
        <v>7015</v>
      </c>
      <c r="E825" s="338" t="s">
        <v>7016</v>
      </c>
      <c r="F825" s="337">
        <v>1</v>
      </c>
      <c r="G825" s="337">
        <v>1</v>
      </c>
      <c r="H825" s="338"/>
      <c r="I825" s="338" t="s">
        <v>9555</v>
      </c>
      <c r="J825" s="338" t="s">
        <v>9556</v>
      </c>
      <c r="K825" s="338" t="s">
        <v>7017</v>
      </c>
      <c r="L825" s="338" t="s">
        <v>7018</v>
      </c>
      <c r="M825" s="338" t="s">
        <v>7041</v>
      </c>
      <c r="N825" s="338" t="s">
        <v>7042</v>
      </c>
      <c r="O825" s="337">
        <v>1</v>
      </c>
      <c r="P825" s="337">
        <v>1</v>
      </c>
      <c r="Q825" s="338"/>
      <c r="R825" s="338" t="s">
        <v>14</v>
      </c>
      <c r="S825" s="338"/>
      <c r="T825" s="338" t="s">
        <v>9109</v>
      </c>
      <c r="U825" s="338" t="s">
        <v>7054</v>
      </c>
      <c r="V825" s="337">
        <v>1</v>
      </c>
      <c r="W825" s="337">
        <v>1</v>
      </c>
      <c r="X825" s="338"/>
      <c r="Y825" s="338" t="s">
        <v>7046</v>
      </c>
      <c r="Z825" s="338" t="s">
        <v>9073</v>
      </c>
      <c r="AA825" s="338" t="s">
        <v>6079</v>
      </c>
      <c r="AB825" s="338"/>
      <c r="AC825" s="338" t="s">
        <v>7053</v>
      </c>
      <c r="AD825" s="338"/>
      <c r="AF825" s="502" t="str">
        <f>Table15[[#This Row],[code2]]</f>
        <v>PDA</v>
      </c>
      <c r="AG825" s="502" t="str">
        <f>Table15[[#This Row],[code5]]</f>
        <v>PS</v>
      </c>
    </row>
    <row r="826" spans="1:33">
      <c r="A826" s="338" t="s">
        <v>6072</v>
      </c>
      <c r="B826" s="338" t="s">
        <v>6073</v>
      </c>
      <c r="C826" s="337">
        <v>1</v>
      </c>
      <c r="D826" s="338" t="s">
        <v>7015</v>
      </c>
      <c r="E826" s="338" t="s">
        <v>7016</v>
      </c>
      <c r="F826" s="337">
        <v>1</v>
      </c>
      <c r="G826" s="337">
        <v>1</v>
      </c>
      <c r="H826" s="338"/>
      <c r="I826" s="338" t="s">
        <v>9555</v>
      </c>
      <c r="J826" s="338" t="s">
        <v>9556</v>
      </c>
      <c r="K826" s="338" t="s">
        <v>7017</v>
      </c>
      <c r="L826" s="338" t="s">
        <v>7018</v>
      </c>
      <c r="M826" s="338" t="s">
        <v>7041</v>
      </c>
      <c r="N826" s="338" t="s">
        <v>7042</v>
      </c>
      <c r="O826" s="337">
        <v>1</v>
      </c>
      <c r="P826" s="337">
        <v>1</v>
      </c>
      <c r="Q826" s="338"/>
      <c r="R826" s="338" t="s">
        <v>14</v>
      </c>
      <c r="S826" s="338"/>
      <c r="T826" s="338" t="s">
        <v>9109</v>
      </c>
      <c r="U826" s="338" t="s">
        <v>7055</v>
      </c>
      <c r="V826" s="337">
        <v>1</v>
      </c>
      <c r="W826" s="337">
        <v>1</v>
      </c>
      <c r="X826" s="338"/>
      <c r="Y826" s="338" t="s">
        <v>21</v>
      </c>
      <c r="Z826" s="338" t="s">
        <v>9072</v>
      </c>
      <c r="AA826" s="338" t="s">
        <v>6079</v>
      </c>
      <c r="AB826" s="338"/>
      <c r="AC826" s="338" t="s">
        <v>7053</v>
      </c>
      <c r="AD826" s="338"/>
      <c r="AF826" s="502" t="str">
        <f>Table15[[#This Row],[code2]]</f>
        <v>PDA</v>
      </c>
      <c r="AG826" s="502" t="str">
        <f>Table15[[#This Row],[code5]]</f>
        <v>PS</v>
      </c>
    </row>
    <row r="827" spans="1:33">
      <c r="A827" s="338" t="s">
        <v>6072</v>
      </c>
      <c r="B827" s="338" t="s">
        <v>6073</v>
      </c>
      <c r="C827" s="337">
        <v>1</v>
      </c>
      <c r="D827" s="338" t="s">
        <v>7015</v>
      </c>
      <c r="E827" s="338" t="s">
        <v>7016</v>
      </c>
      <c r="F827" s="337">
        <v>1</v>
      </c>
      <c r="G827" s="337">
        <v>1</v>
      </c>
      <c r="H827" s="338"/>
      <c r="I827" s="338" t="s">
        <v>9555</v>
      </c>
      <c r="J827" s="338" t="s">
        <v>9556</v>
      </c>
      <c r="K827" s="338" t="s">
        <v>7017</v>
      </c>
      <c r="L827" s="338" t="s">
        <v>7018</v>
      </c>
      <c r="M827" s="338" t="s">
        <v>7041</v>
      </c>
      <c r="N827" s="338" t="s">
        <v>7042</v>
      </c>
      <c r="O827" s="337">
        <v>1</v>
      </c>
      <c r="P827" s="337">
        <v>1</v>
      </c>
      <c r="Q827" s="338"/>
      <c r="R827" s="338" t="s">
        <v>14</v>
      </c>
      <c r="S827" s="338"/>
      <c r="T827" s="338" t="s">
        <v>9109</v>
      </c>
      <c r="U827" s="338" t="s">
        <v>7056</v>
      </c>
      <c r="V827" s="337">
        <v>1</v>
      </c>
      <c r="W827" s="337">
        <v>1</v>
      </c>
      <c r="X827" s="338"/>
      <c r="Y827" s="338" t="s">
        <v>750</v>
      </c>
      <c r="Z827" s="338" t="s">
        <v>7026</v>
      </c>
      <c r="AA827" s="338" t="s">
        <v>6079</v>
      </c>
      <c r="AB827" s="338"/>
      <c r="AC827" s="338" t="s">
        <v>7057</v>
      </c>
      <c r="AD827" s="338"/>
      <c r="AF827" s="502" t="str">
        <f>Table15[[#This Row],[code2]]</f>
        <v>PDA</v>
      </c>
      <c r="AG827" s="502" t="str">
        <f>Table15[[#This Row],[code5]]</f>
        <v>PS</v>
      </c>
    </row>
    <row r="828" spans="1:33">
      <c r="A828" s="338" t="s">
        <v>6072</v>
      </c>
      <c r="B828" s="338" t="s">
        <v>6073</v>
      </c>
      <c r="C828" s="337">
        <v>1</v>
      </c>
      <c r="D828" s="338" t="s">
        <v>7015</v>
      </c>
      <c r="E828" s="338" t="s">
        <v>7016</v>
      </c>
      <c r="F828" s="337">
        <v>1</v>
      </c>
      <c r="G828" s="337">
        <v>1</v>
      </c>
      <c r="H828" s="338"/>
      <c r="I828" s="338" t="s">
        <v>9555</v>
      </c>
      <c r="J828" s="338" t="s">
        <v>9556</v>
      </c>
      <c r="K828" s="338" t="s">
        <v>7017</v>
      </c>
      <c r="L828" s="338" t="s">
        <v>7018</v>
      </c>
      <c r="M828" s="338" t="s">
        <v>7041</v>
      </c>
      <c r="N828" s="338" t="s">
        <v>7042</v>
      </c>
      <c r="O828" s="337">
        <v>1</v>
      </c>
      <c r="P828" s="337">
        <v>1</v>
      </c>
      <c r="Q828" s="338"/>
      <c r="R828" s="338" t="s">
        <v>14</v>
      </c>
      <c r="S828" s="338"/>
      <c r="T828" s="338" t="s">
        <v>9109</v>
      </c>
      <c r="U828" s="338" t="s">
        <v>7058</v>
      </c>
      <c r="V828" s="337">
        <v>1</v>
      </c>
      <c r="W828" s="337">
        <v>1</v>
      </c>
      <c r="X828" s="338"/>
      <c r="Y828" s="338" t="s">
        <v>7046</v>
      </c>
      <c r="Z828" s="338" t="s">
        <v>9073</v>
      </c>
      <c r="AA828" s="338" t="s">
        <v>6079</v>
      </c>
      <c r="AB828" s="338"/>
      <c r="AC828" s="338" t="s">
        <v>7057</v>
      </c>
      <c r="AD828" s="338"/>
      <c r="AF828" s="502" t="str">
        <f>Table15[[#This Row],[code2]]</f>
        <v>PDA</v>
      </c>
      <c r="AG828" s="502" t="str">
        <f>Table15[[#This Row],[code5]]</f>
        <v>PS</v>
      </c>
    </row>
    <row r="829" spans="1:33">
      <c r="A829" s="338" t="s">
        <v>6072</v>
      </c>
      <c r="B829" s="338" t="s">
        <v>6073</v>
      </c>
      <c r="C829" s="337">
        <v>1</v>
      </c>
      <c r="D829" s="338" t="s">
        <v>7015</v>
      </c>
      <c r="E829" s="338" t="s">
        <v>7016</v>
      </c>
      <c r="F829" s="337">
        <v>1</v>
      </c>
      <c r="G829" s="337">
        <v>1</v>
      </c>
      <c r="H829" s="338"/>
      <c r="I829" s="338" t="s">
        <v>9555</v>
      </c>
      <c r="J829" s="338" t="s">
        <v>9556</v>
      </c>
      <c r="K829" s="338" t="s">
        <v>7017</v>
      </c>
      <c r="L829" s="338" t="s">
        <v>7018</v>
      </c>
      <c r="M829" s="338" t="s">
        <v>7041</v>
      </c>
      <c r="N829" s="338" t="s">
        <v>7042</v>
      </c>
      <c r="O829" s="337">
        <v>1</v>
      </c>
      <c r="P829" s="337">
        <v>1</v>
      </c>
      <c r="Q829" s="338"/>
      <c r="R829" s="338" t="s">
        <v>14</v>
      </c>
      <c r="S829" s="338"/>
      <c r="T829" s="338" t="s">
        <v>9109</v>
      </c>
      <c r="U829" s="338" t="s">
        <v>7059</v>
      </c>
      <c r="V829" s="337">
        <v>1</v>
      </c>
      <c r="W829" s="337">
        <v>1</v>
      </c>
      <c r="X829" s="338"/>
      <c r="Y829" s="338" t="s">
        <v>21</v>
      </c>
      <c r="Z829" s="338" t="s">
        <v>9072</v>
      </c>
      <c r="AA829" s="338" t="s">
        <v>6079</v>
      </c>
      <c r="AB829" s="338"/>
      <c r="AC829" s="338" t="s">
        <v>7057</v>
      </c>
      <c r="AD829" s="338"/>
      <c r="AF829" s="502" t="str">
        <f>Table15[[#This Row],[code2]]</f>
        <v>PDA</v>
      </c>
      <c r="AG829" s="502" t="str">
        <f>Table15[[#This Row],[code5]]</f>
        <v>PS</v>
      </c>
    </row>
    <row r="830" spans="1:33">
      <c r="A830" s="338" t="s">
        <v>6072</v>
      </c>
      <c r="B830" s="338" t="s">
        <v>6073</v>
      </c>
      <c r="C830" s="337">
        <v>1</v>
      </c>
      <c r="D830" s="338" t="s">
        <v>7015</v>
      </c>
      <c r="E830" s="338" t="s">
        <v>7016</v>
      </c>
      <c r="F830" s="337">
        <v>1</v>
      </c>
      <c r="G830" s="337">
        <v>1</v>
      </c>
      <c r="H830" s="338"/>
      <c r="I830" s="338" t="s">
        <v>9555</v>
      </c>
      <c r="J830" s="338" t="s">
        <v>9556</v>
      </c>
      <c r="K830" s="338" t="s">
        <v>7017</v>
      </c>
      <c r="L830" s="338" t="s">
        <v>7018</v>
      </c>
      <c r="M830" s="338" t="s">
        <v>7041</v>
      </c>
      <c r="N830" s="338" t="s">
        <v>7042</v>
      </c>
      <c r="O830" s="337">
        <v>1</v>
      </c>
      <c r="P830" s="337">
        <v>1</v>
      </c>
      <c r="Q830" s="338"/>
      <c r="R830" s="338" t="s">
        <v>14</v>
      </c>
      <c r="S830" s="338"/>
      <c r="T830" s="338" t="s">
        <v>9109</v>
      </c>
      <c r="U830" s="338" t="s">
        <v>7060</v>
      </c>
      <c r="V830" s="337">
        <v>1</v>
      </c>
      <c r="W830" s="337">
        <v>1</v>
      </c>
      <c r="X830" s="338"/>
      <c r="Y830" s="338" t="s">
        <v>750</v>
      </c>
      <c r="Z830" s="338" t="s">
        <v>7026</v>
      </c>
      <c r="AA830" s="338" t="s">
        <v>6079</v>
      </c>
      <c r="AB830" s="338"/>
      <c r="AC830" s="338" t="s">
        <v>7061</v>
      </c>
      <c r="AD830" s="338"/>
      <c r="AF830" s="502" t="str">
        <f>Table15[[#This Row],[code2]]</f>
        <v>PDA</v>
      </c>
      <c r="AG830" s="502" t="str">
        <f>Table15[[#This Row],[code5]]</f>
        <v>PS</v>
      </c>
    </row>
    <row r="831" spans="1:33">
      <c r="A831" s="338" t="s">
        <v>6072</v>
      </c>
      <c r="B831" s="338" t="s">
        <v>6073</v>
      </c>
      <c r="C831" s="337">
        <v>1</v>
      </c>
      <c r="D831" s="338" t="s">
        <v>7015</v>
      </c>
      <c r="E831" s="338" t="s">
        <v>7016</v>
      </c>
      <c r="F831" s="337">
        <v>1</v>
      </c>
      <c r="G831" s="337">
        <v>1</v>
      </c>
      <c r="H831" s="338"/>
      <c r="I831" s="338" t="s">
        <v>9555</v>
      </c>
      <c r="J831" s="338" t="s">
        <v>9556</v>
      </c>
      <c r="K831" s="338" t="s">
        <v>7017</v>
      </c>
      <c r="L831" s="338" t="s">
        <v>7018</v>
      </c>
      <c r="M831" s="338" t="s">
        <v>7041</v>
      </c>
      <c r="N831" s="338" t="s">
        <v>7042</v>
      </c>
      <c r="O831" s="337">
        <v>1</v>
      </c>
      <c r="P831" s="337">
        <v>1</v>
      </c>
      <c r="Q831" s="338"/>
      <c r="R831" s="338" t="s">
        <v>14</v>
      </c>
      <c r="S831" s="338"/>
      <c r="T831" s="338" t="s">
        <v>9109</v>
      </c>
      <c r="U831" s="338" t="s">
        <v>7062</v>
      </c>
      <c r="V831" s="337">
        <v>1</v>
      </c>
      <c r="W831" s="337">
        <v>1</v>
      </c>
      <c r="X831" s="338"/>
      <c r="Y831" s="338" t="s">
        <v>7046</v>
      </c>
      <c r="Z831" s="338" t="s">
        <v>9073</v>
      </c>
      <c r="AA831" s="338" t="s">
        <v>6079</v>
      </c>
      <c r="AB831" s="338"/>
      <c r="AC831" s="338" t="s">
        <v>7061</v>
      </c>
      <c r="AD831" s="338"/>
      <c r="AF831" s="502" t="str">
        <f>Table15[[#This Row],[code2]]</f>
        <v>PDA</v>
      </c>
      <c r="AG831" s="502" t="str">
        <f>Table15[[#This Row],[code5]]</f>
        <v>PS</v>
      </c>
    </row>
    <row r="832" spans="1:33">
      <c r="A832" s="338" t="s">
        <v>6072</v>
      </c>
      <c r="B832" s="338" t="s">
        <v>6073</v>
      </c>
      <c r="C832" s="337">
        <v>1</v>
      </c>
      <c r="D832" s="338" t="s">
        <v>7015</v>
      </c>
      <c r="E832" s="338" t="s">
        <v>7016</v>
      </c>
      <c r="F832" s="337">
        <v>1</v>
      </c>
      <c r="G832" s="337">
        <v>1</v>
      </c>
      <c r="H832" s="338"/>
      <c r="I832" s="338" t="s">
        <v>9555</v>
      </c>
      <c r="J832" s="338" t="s">
        <v>9556</v>
      </c>
      <c r="K832" s="338" t="s">
        <v>7017</v>
      </c>
      <c r="L832" s="338" t="s">
        <v>7018</v>
      </c>
      <c r="M832" s="338" t="s">
        <v>7041</v>
      </c>
      <c r="N832" s="338" t="s">
        <v>7042</v>
      </c>
      <c r="O832" s="337">
        <v>1</v>
      </c>
      <c r="P832" s="337">
        <v>1</v>
      </c>
      <c r="Q832" s="338"/>
      <c r="R832" s="338" t="s">
        <v>14</v>
      </c>
      <c r="S832" s="338"/>
      <c r="T832" s="338" t="s">
        <v>9109</v>
      </c>
      <c r="U832" s="338" t="s">
        <v>7063</v>
      </c>
      <c r="V832" s="337">
        <v>1</v>
      </c>
      <c r="W832" s="337">
        <v>1</v>
      </c>
      <c r="X832" s="338"/>
      <c r="Y832" s="338" t="s">
        <v>21</v>
      </c>
      <c r="Z832" s="338" t="s">
        <v>9072</v>
      </c>
      <c r="AA832" s="338" t="s">
        <v>6079</v>
      </c>
      <c r="AB832" s="338"/>
      <c r="AC832" s="338" t="s">
        <v>7061</v>
      </c>
      <c r="AD832" s="338"/>
      <c r="AF832" s="502" t="str">
        <f>Table15[[#This Row],[code2]]</f>
        <v>PDA</v>
      </c>
      <c r="AG832" s="502" t="str">
        <f>Table15[[#This Row],[code5]]</f>
        <v>PS</v>
      </c>
    </row>
    <row r="833" spans="1:33">
      <c r="A833" s="338" t="s">
        <v>6072</v>
      </c>
      <c r="B833" s="338" t="s">
        <v>6073</v>
      </c>
      <c r="C833" s="337">
        <v>1</v>
      </c>
      <c r="D833" s="338" t="s">
        <v>7015</v>
      </c>
      <c r="E833" s="338" t="s">
        <v>7016</v>
      </c>
      <c r="F833" s="337">
        <v>1</v>
      </c>
      <c r="G833" s="337">
        <v>1</v>
      </c>
      <c r="H833" s="338"/>
      <c r="I833" s="338" t="s">
        <v>9555</v>
      </c>
      <c r="J833" s="338" t="s">
        <v>9556</v>
      </c>
      <c r="K833" s="338" t="s">
        <v>7017</v>
      </c>
      <c r="L833" s="338" t="s">
        <v>7018</v>
      </c>
      <c r="M833" s="338" t="s">
        <v>7041</v>
      </c>
      <c r="N833" s="338" t="s">
        <v>7042</v>
      </c>
      <c r="O833" s="337">
        <v>1</v>
      </c>
      <c r="P833" s="337">
        <v>1</v>
      </c>
      <c r="Q833" s="338"/>
      <c r="R833" s="338" t="s">
        <v>14</v>
      </c>
      <c r="S833" s="338"/>
      <c r="T833" s="338" t="s">
        <v>9109</v>
      </c>
      <c r="U833" s="338" t="s">
        <v>7064</v>
      </c>
      <c r="V833" s="337">
        <v>1</v>
      </c>
      <c r="W833" s="337">
        <v>1</v>
      </c>
      <c r="X833" s="338"/>
      <c r="Y833" s="338" t="s">
        <v>750</v>
      </c>
      <c r="Z833" s="338" t="s">
        <v>7026</v>
      </c>
      <c r="AA833" s="338" t="s">
        <v>6079</v>
      </c>
      <c r="AB833" s="338"/>
      <c r="AC833" s="338" t="s">
        <v>7065</v>
      </c>
      <c r="AD833" s="338"/>
      <c r="AF833" s="502" t="str">
        <f>Table15[[#This Row],[code2]]</f>
        <v>PDA</v>
      </c>
      <c r="AG833" s="502" t="str">
        <f>Table15[[#This Row],[code5]]</f>
        <v>PS</v>
      </c>
    </row>
    <row r="834" spans="1:33">
      <c r="A834" s="338" t="s">
        <v>6072</v>
      </c>
      <c r="B834" s="338" t="s">
        <v>6073</v>
      </c>
      <c r="C834" s="337">
        <v>1</v>
      </c>
      <c r="D834" s="338" t="s">
        <v>7015</v>
      </c>
      <c r="E834" s="338" t="s">
        <v>7016</v>
      </c>
      <c r="F834" s="337">
        <v>1</v>
      </c>
      <c r="G834" s="337">
        <v>1</v>
      </c>
      <c r="H834" s="338"/>
      <c r="I834" s="338" t="s">
        <v>9555</v>
      </c>
      <c r="J834" s="338" t="s">
        <v>9556</v>
      </c>
      <c r="K834" s="338" t="s">
        <v>7017</v>
      </c>
      <c r="L834" s="338" t="s">
        <v>7018</v>
      </c>
      <c r="M834" s="338" t="s">
        <v>7041</v>
      </c>
      <c r="N834" s="338" t="s">
        <v>7042</v>
      </c>
      <c r="O834" s="337">
        <v>1</v>
      </c>
      <c r="P834" s="337">
        <v>1</v>
      </c>
      <c r="Q834" s="338"/>
      <c r="R834" s="338" t="s">
        <v>14</v>
      </c>
      <c r="S834" s="338"/>
      <c r="T834" s="338" t="s">
        <v>9109</v>
      </c>
      <c r="U834" s="338" t="s">
        <v>7066</v>
      </c>
      <c r="V834" s="337">
        <v>1</v>
      </c>
      <c r="W834" s="337">
        <v>1</v>
      </c>
      <c r="X834" s="338"/>
      <c r="Y834" s="338" t="s">
        <v>7046</v>
      </c>
      <c r="Z834" s="338" t="s">
        <v>9073</v>
      </c>
      <c r="AA834" s="338" t="s">
        <v>6079</v>
      </c>
      <c r="AB834" s="338"/>
      <c r="AC834" s="338" t="s">
        <v>7065</v>
      </c>
      <c r="AD834" s="338"/>
      <c r="AF834" s="502" t="str">
        <f>Table15[[#This Row],[code2]]</f>
        <v>PDA</v>
      </c>
      <c r="AG834" s="502" t="str">
        <f>Table15[[#This Row],[code5]]</f>
        <v>PS</v>
      </c>
    </row>
    <row r="835" spans="1:33">
      <c r="A835" s="338" t="s">
        <v>6072</v>
      </c>
      <c r="B835" s="338" t="s">
        <v>6073</v>
      </c>
      <c r="C835" s="337">
        <v>1</v>
      </c>
      <c r="D835" s="338" t="s">
        <v>7015</v>
      </c>
      <c r="E835" s="338" t="s">
        <v>7016</v>
      </c>
      <c r="F835" s="337">
        <v>1</v>
      </c>
      <c r="G835" s="337">
        <v>1</v>
      </c>
      <c r="H835" s="338"/>
      <c r="I835" s="338" t="s">
        <v>9555</v>
      </c>
      <c r="J835" s="338" t="s">
        <v>9556</v>
      </c>
      <c r="K835" s="338" t="s">
        <v>7017</v>
      </c>
      <c r="L835" s="338" t="s">
        <v>7018</v>
      </c>
      <c r="M835" s="338" t="s">
        <v>7041</v>
      </c>
      <c r="N835" s="338" t="s">
        <v>7042</v>
      </c>
      <c r="O835" s="337">
        <v>1</v>
      </c>
      <c r="P835" s="337">
        <v>1</v>
      </c>
      <c r="Q835" s="338"/>
      <c r="R835" s="338" t="s">
        <v>14</v>
      </c>
      <c r="S835" s="338"/>
      <c r="T835" s="338" t="s">
        <v>9109</v>
      </c>
      <c r="U835" s="338" t="s">
        <v>7067</v>
      </c>
      <c r="V835" s="337">
        <v>1</v>
      </c>
      <c r="W835" s="337">
        <v>1</v>
      </c>
      <c r="X835" s="338"/>
      <c r="Y835" s="338" t="s">
        <v>21</v>
      </c>
      <c r="Z835" s="338" t="s">
        <v>9072</v>
      </c>
      <c r="AA835" s="338" t="s">
        <v>6079</v>
      </c>
      <c r="AB835" s="338"/>
      <c r="AC835" s="338" t="s">
        <v>7065</v>
      </c>
      <c r="AD835" s="338"/>
      <c r="AF835" s="502" t="str">
        <f>Table15[[#This Row],[code2]]</f>
        <v>PDA</v>
      </c>
      <c r="AG835" s="502" t="str">
        <f>Table15[[#This Row],[code5]]</f>
        <v>PS</v>
      </c>
    </row>
    <row r="836" spans="1:33">
      <c r="A836" s="338" t="s">
        <v>6072</v>
      </c>
      <c r="B836" s="338" t="s">
        <v>6073</v>
      </c>
      <c r="C836" s="337">
        <v>1</v>
      </c>
      <c r="D836" s="338" t="s">
        <v>7015</v>
      </c>
      <c r="E836" s="338" t="s">
        <v>7016</v>
      </c>
      <c r="F836" s="337">
        <v>1</v>
      </c>
      <c r="G836" s="337">
        <v>1</v>
      </c>
      <c r="H836" s="338"/>
      <c r="I836" s="338" t="s">
        <v>9555</v>
      </c>
      <c r="J836" s="338" t="s">
        <v>9556</v>
      </c>
      <c r="K836" s="338" t="s">
        <v>7017</v>
      </c>
      <c r="L836" s="338" t="s">
        <v>7018</v>
      </c>
      <c r="M836" s="338" t="s">
        <v>7041</v>
      </c>
      <c r="N836" s="338" t="s">
        <v>7042</v>
      </c>
      <c r="O836" s="337">
        <v>1</v>
      </c>
      <c r="P836" s="337">
        <v>1</v>
      </c>
      <c r="Q836" s="338"/>
      <c r="R836" s="338" t="s">
        <v>14</v>
      </c>
      <c r="S836" s="338"/>
      <c r="T836" s="338" t="s">
        <v>9109</v>
      </c>
      <c r="U836" s="338" t="s">
        <v>7068</v>
      </c>
      <c r="V836" s="337">
        <v>1</v>
      </c>
      <c r="W836" s="337">
        <v>1</v>
      </c>
      <c r="X836" s="338"/>
      <c r="Y836" s="338" t="s">
        <v>750</v>
      </c>
      <c r="Z836" s="338" t="s">
        <v>7026</v>
      </c>
      <c r="AA836" s="338" t="s">
        <v>6079</v>
      </c>
      <c r="AB836" s="338"/>
      <c r="AC836" s="338" t="s">
        <v>7069</v>
      </c>
      <c r="AD836" s="338"/>
      <c r="AF836" s="502" t="str">
        <f>Table15[[#This Row],[code2]]</f>
        <v>PDA</v>
      </c>
      <c r="AG836" s="502" t="str">
        <f>Table15[[#This Row],[code5]]</f>
        <v>PS</v>
      </c>
    </row>
    <row r="837" spans="1:33">
      <c r="A837" s="338" t="s">
        <v>6072</v>
      </c>
      <c r="B837" s="338" t="s">
        <v>6073</v>
      </c>
      <c r="C837" s="337">
        <v>1</v>
      </c>
      <c r="D837" s="338" t="s">
        <v>7015</v>
      </c>
      <c r="E837" s="338" t="s">
        <v>7016</v>
      </c>
      <c r="F837" s="337">
        <v>1</v>
      </c>
      <c r="G837" s="337">
        <v>1</v>
      </c>
      <c r="H837" s="338"/>
      <c r="I837" s="338" t="s">
        <v>9555</v>
      </c>
      <c r="J837" s="338" t="s">
        <v>9556</v>
      </c>
      <c r="K837" s="338" t="s">
        <v>7017</v>
      </c>
      <c r="L837" s="338" t="s">
        <v>7018</v>
      </c>
      <c r="M837" s="338" t="s">
        <v>7041</v>
      </c>
      <c r="N837" s="338" t="s">
        <v>7042</v>
      </c>
      <c r="O837" s="337">
        <v>1</v>
      </c>
      <c r="P837" s="337">
        <v>1</v>
      </c>
      <c r="Q837" s="338"/>
      <c r="R837" s="338" t="s">
        <v>14</v>
      </c>
      <c r="S837" s="338"/>
      <c r="T837" s="338" t="s">
        <v>9109</v>
      </c>
      <c r="U837" s="338" t="s">
        <v>7070</v>
      </c>
      <c r="V837" s="337">
        <v>1</v>
      </c>
      <c r="W837" s="337">
        <v>1</v>
      </c>
      <c r="X837" s="338"/>
      <c r="Y837" s="338" t="s">
        <v>7046</v>
      </c>
      <c r="Z837" s="338" t="s">
        <v>9073</v>
      </c>
      <c r="AA837" s="338" t="s">
        <v>6079</v>
      </c>
      <c r="AB837" s="338"/>
      <c r="AC837" s="338" t="s">
        <v>7069</v>
      </c>
      <c r="AD837" s="338"/>
      <c r="AF837" s="502" t="str">
        <f>Table15[[#This Row],[code2]]</f>
        <v>PDA</v>
      </c>
      <c r="AG837" s="502" t="str">
        <f>Table15[[#This Row],[code5]]</f>
        <v>PS</v>
      </c>
    </row>
    <row r="838" spans="1:33">
      <c r="A838" s="338" t="s">
        <v>6072</v>
      </c>
      <c r="B838" s="338" t="s">
        <v>6073</v>
      </c>
      <c r="C838" s="337">
        <v>1</v>
      </c>
      <c r="D838" s="338" t="s">
        <v>7015</v>
      </c>
      <c r="E838" s="338" t="s">
        <v>7016</v>
      </c>
      <c r="F838" s="337">
        <v>1</v>
      </c>
      <c r="G838" s="337">
        <v>1</v>
      </c>
      <c r="H838" s="338"/>
      <c r="I838" s="338" t="s">
        <v>9555</v>
      </c>
      <c r="J838" s="338" t="s">
        <v>9556</v>
      </c>
      <c r="K838" s="338" t="s">
        <v>7017</v>
      </c>
      <c r="L838" s="338" t="s">
        <v>7018</v>
      </c>
      <c r="M838" s="338" t="s">
        <v>7041</v>
      </c>
      <c r="N838" s="338" t="s">
        <v>7042</v>
      </c>
      <c r="O838" s="337">
        <v>1</v>
      </c>
      <c r="P838" s="337">
        <v>1</v>
      </c>
      <c r="Q838" s="338"/>
      <c r="R838" s="338" t="s">
        <v>14</v>
      </c>
      <c r="S838" s="338"/>
      <c r="T838" s="338" t="s">
        <v>9109</v>
      </c>
      <c r="U838" s="338" t="s">
        <v>7071</v>
      </c>
      <c r="V838" s="337">
        <v>1</v>
      </c>
      <c r="W838" s="337">
        <v>1</v>
      </c>
      <c r="X838" s="338"/>
      <c r="Y838" s="338" t="s">
        <v>21</v>
      </c>
      <c r="Z838" s="338" t="s">
        <v>9072</v>
      </c>
      <c r="AA838" s="338" t="s">
        <v>6079</v>
      </c>
      <c r="AB838" s="338"/>
      <c r="AC838" s="338" t="s">
        <v>7069</v>
      </c>
      <c r="AD838" s="338"/>
      <c r="AF838" s="502" t="str">
        <f>Table15[[#This Row],[code2]]</f>
        <v>PDA</v>
      </c>
      <c r="AG838" s="502" t="str">
        <f>Table15[[#This Row],[code5]]</f>
        <v>PS</v>
      </c>
    </row>
    <row r="839" spans="1:33">
      <c r="A839" s="338" t="s">
        <v>6072</v>
      </c>
      <c r="B839" s="338" t="s">
        <v>6073</v>
      </c>
      <c r="C839" s="337">
        <v>1</v>
      </c>
      <c r="D839" s="338" t="s">
        <v>7015</v>
      </c>
      <c r="E839" s="338" t="s">
        <v>7016</v>
      </c>
      <c r="F839" s="337">
        <v>1</v>
      </c>
      <c r="G839" s="337">
        <v>1</v>
      </c>
      <c r="H839" s="338"/>
      <c r="I839" s="338" t="s">
        <v>9555</v>
      </c>
      <c r="J839" s="338" t="s">
        <v>9556</v>
      </c>
      <c r="K839" s="338" t="s">
        <v>7017</v>
      </c>
      <c r="L839" s="338" t="s">
        <v>7018</v>
      </c>
      <c r="M839" s="338" t="s">
        <v>7041</v>
      </c>
      <c r="N839" s="338" t="s">
        <v>7042</v>
      </c>
      <c r="O839" s="337">
        <v>1</v>
      </c>
      <c r="P839" s="337">
        <v>1</v>
      </c>
      <c r="Q839" s="338"/>
      <c r="R839" s="338" t="s">
        <v>14</v>
      </c>
      <c r="S839" s="338"/>
      <c r="T839" s="338" t="s">
        <v>9109</v>
      </c>
      <c r="U839" s="338" t="s">
        <v>7072</v>
      </c>
      <c r="V839" s="337">
        <v>1</v>
      </c>
      <c r="W839" s="337">
        <v>1</v>
      </c>
      <c r="X839" s="338"/>
      <c r="Y839" s="338" t="s">
        <v>750</v>
      </c>
      <c r="Z839" s="338" t="s">
        <v>7026</v>
      </c>
      <c r="AA839" s="338" t="s">
        <v>6079</v>
      </c>
      <c r="AB839" s="338"/>
      <c r="AC839" s="338" t="s">
        <v>7030</v>
      </c>
      <c r="AD839" s="338"/>
      <c r="AF839" s="502" t="str">
        <f>Table15[[#This Row],[code2]]</f>
        <v>PDA</v>
      </c>
      <c r="AG839" s="502" t="str">
        <f>Table15[[#This Row],[code5]]</f>
        <v>PS</v>
      </c>
    </row>
    <row r="840" spans="1:33">
      <c r="A840" s="338" t="s">
        <v>6072</v>
      </c>
      <c r="B840" s="338" t="s">
        <v>6073</v>
      </c>
      <c r="C840" s="337">
        <v>1</v>
      </c>
      <c r="D840" s="338" t="s">
        <v>7015</v>
      </c>
      <c r="E840" s="338" t="s">
        <v>7016</v>
      </c>
      <c r="F840" s="337">
        <v>1</v>
      </c>
      <c r="G840" s="337">
        <v>1</v>
      </c>
      <c r="H840" s="338"/>
      <c r="I840" s="338" t="s">
        <v>9555</v>
      </c>
      <c r="J840" s="338" t="s">
        <v>9556</v>
      </c>
      <c r="K840" s="338" t="s">
        <v>7017</v>
      </c>
      <c r="L840" s="338" t="s">
        <v>7018</v>
      </c>
      <c r="M840" s="338" t="s">
        <v>7041</v>
      </c>
      <c r="N840" s="338" t="s">
        <v>7042</v>
      </c>
      <c r="O840" s="337">
        <v>1</v>
      </c>
      <c r="P840" s="337">
        <v>1</v>
      </c>
      <c r="Q840" s="338"/>
      <c r="R840" s="338" t="s">
        <v>14</v>
      </c>
      <c r="S840" s="338"/>
      <c r="T840" s="338" t="s">
        <v>9109</v>
      </c>
      <c r="U840" s="338" t="s">
        <v>7073</v>
      </c>
      <c r="V840" s="337">
        <v>1</v>
      </c>
      <c r="W840" s="337">
        <v>1</v>
      </c>
      <c r="X840" s="338"/>
      <c r="Y840" s="338" t="s">
        <v>7046</v>
      </c>
      <c r="Z840" s="338" t="s">
        <v>9073</v>
      </c>
      <c r="AA840" s="338" t="s">
        <v>6079</v>
      </c>
      <c r="AB840" s="338"/>
      <c r="AC840" s="338" t="s">
        <v>7030</v>
      </c>
      <c r="AD840" s="338"/>
      <c r="AF840" s="502" t="str">
        <f>Table15[[#This Row],[code2]]</f>
        <v>PDA</v>
      </c>
      <c r="AG840" s="502" t="str">
        <f>Table15[[#This Row],[code5]]</f>
        <v>PS</v>
      </c>
    </row>
    <row r="841" spans="1:33">
      <c r="A841" s="338" t="s">
        <v>6072</v>
      </c>
      <c r="B841" s="338" t="s">
        <v>6073</v>
      </c>
      <c r="C841" s="337">
        <v>1</v>
      </c>
      <c r="D841" s="338" t="s">
        <v>7015</v>
      </c>
      <c r="E841" s="338" t="s">
        <v>7016</v>
      </c>
      <c r="F841" s="337">
        <v>1</v>
      </c>
      <c r="G841" s="337">
        <v>1</v>
      </c>
      <c r="H841" s="338"/>
      <c r="I841" s="338" t="s">
        <v>9555</v>
      </c>
      <c r="J841" s="338" t="s">
        <v>9556</v>
      </c>
      <c r="K841" s="338" t="s">
        <v>7017</v>
      </c>
      <c r="L841" s="338" t="s">
        <v>7018</v>
      </c>
      <c r="M841" s="338" t="s">
        <v>7041</v>
      </c>
      <c r="N841" s="338" t="s">
        <v>7042</v>
      </c>
      <c r="O841" s="337">
        <v>1</v>
      </c>
      <c r="P841" s="337">
        <v>1</v>
      </c>
      <c r="Q841" s="338"/>
      <c r="R841" s="338" t="s">
        <v>14</v>
      </c>
      <c r="S841" s="338"/>
      <c r="T841" s="338" t="s">
        <v>9109</v>
      </c>
      <c r="U841" s="338" t="s">
        <v>7074</v>
      </c>
      <c r="V841" s="337">
        <v>1</v>
      </c>
      <c r="W841" s="337">
        <v>1</v>
      </c>
      <c r="X841" s="338"/>
      <c r="Y841" s="338" t="s">
        <v>21</v>
      </c>
      <c r="Z841" s="338" t="s">
        <v>9072</v>
      </c>
      <c r="AA841" s="338" t="s">
        <v>6079</v>
      </c>
      <c r="AB841" s="338"/>
      <c r="AC841" s="338" t="s">
        <v>7030</v>
      </c>
      <c r="AD841" s="338"/>
      <c r="AF841" s="502" t="str">
        <f>Table15[[#This Row],[code2]]</f>
        <v>PDA</v>
      </c>
      <c r="AG841" s="502" t="str">
        <f>Table15[[#This Row],[code5]]</f>
        <v>PS</v>
      </c>
    </row>
    <row r="842" spans="1:33">
      <c r="A842" s="338" t="s">
        <v>6072</v>
      </c>
      <c r="B842" s="338" t="s">
        <v>6073</v>
      </c>
      <c r="C842" s="337">
        <v>1</v>
      </c>
      <c r="D842" s="338" t="s">
        <v>7015</v>
      </c>
      <c r="E842" s="338" t="s">
        <v>7016</v>
      </c>
      <c r="F842" s="337">
        <v>1</v>
      </c>
      <c r="G842" s="337">
        <v>1</v>
      </c>
      <c r="H842" s="338"/>
      <c r="I842" s="338" t="s">
        <v>9555</v>
      </c>
      <c r="J842" s="338" t="s">
        <v>9556</v>
      </c>
      <c r="K842" s="338" t="s">
        <v>7017</v>
      </c>
      <c r="L842" s="338" t="s">
        <v>7018</v>
      </c>
      <c r="M842" s="338" t="s">
        <v>7075</v>
      </c>
      <c r="N842" s="338" t="s">
        <v>7076</v>
      </c>
      <c r="O842" s="337">
        <v>1</v>
      </c>
      <c r="P842" s="337">
        <v>0</v>
      </c>
      <c r="Q842" s="338"/>
      <c r="R842" s="338" t="s">
        <v>14</v>
      </c>
      <c r="S842" s="338"/>
      <c r="T842" s="338" t="s">
        <v>7077</v>
      </c>
      <c r="U842" s="338" t="s">
        <v>7078</v>
      </c>
      <c r="V842" s="337">
        <v>1</v>
      </c>
      <c r="W842" s="337">
        <v>0</v>
      </c>
      <c r="X842" s="338"/>
      <c r="Y842" s="338" t="s">
        <v>750</v>
      </c>
      <c r="Z842" s="338" t="s">
        <v>7026</v>
      </c>
      <c r="AA842" s="338" t="s">
        <v>6079</v>
      </c>
      <c r="AB842" s="338"/>
      <c r="AC842" s="338" t="s">
        <v>7044</v>
      </c>
      <c r="AD842" s="338"/>
      <c r="AF842" s="502" t="str">
        <f>Table15[[#This Row],[code2]]</f>
        <v>PDA</v>
      </c>
      <c r="AG842" s="502" t="str">
        <f>Table15[[#This Row],[code5]]</f>
        <v>PSB</v>
      </c>
    </row>
    <row r="843" spans="1:33">
      <c r="A843" s="338" t="s">
        <v>6072</v>
      </c>
      <c r="B843" s="338" t="s">
        <v>6073</v>
      </c>
      <c r="C843" s="337">
        <v>1</v>
      </c>
      <c r="D843" s="338" t="s">
        <v>7015</v>
      </c>
      <c r="E843" s="338" t="s">
        <v>7016</v>
      </c>
      <c r="F843" s="337">
        <v>1</v>
      </c>
      <c r="G843" s="337">
        <v>1</v>
      </c>
      <c r="H843" s="338"/>
      <c r="I843" s="338" t="s">
        <v>9555</v>
      </c>
      <c r="J843" s="338" t="s">
        <v>9556</v>
      </c>
      <c r="K843" s="338" t="s">
        <v>7017</v>
      </c>
      <c r="L843" s="338" t="s">
        <v>7018</v>
      </c>
      <c r="M843" s="338" t="s">
        <v>7075</v>
      </c>
      <c r="N843" s="338" t="s">
        <v>7076</v>
      </c>
      <c r="O843" s="337">
        <v>1</v>
      </c>
      <c r="P843" s="337">
        <v>0</v>
      </c>
      <c r="Q843" s="338"/>
      <c r="R843" s="338" t="s">
        <v>14</v>
      </c>
      <c r="S843" s="338"/>
      <c r="T843" s="338" t="s">
        <v>7077</v>
      </c>
      <c r="U843" s="338" t="s">
        <v>7079</v>
      </c>
      <c r="V843" s="337">
        <v>1</v>
      </c>
      <c r="W843" s="337">
        <v>0</v>
      </c>
      <c r="X843" s="338"/>
      <c r="Y843" s="338" t="s">
        <v>7046</v>
      </c>
      <c r="Z843" s="338" t="s">
        <v>9198</v>
      </c>
      <c r="AA843" s="338" t="s">
        <v>6079</v>
      </c>
      <c r="AB843" s="338"/>
      <c r="AC843" s="338" t="s">
        <v>7044</v>
      </c>
      <c r="AD843" s="338"/>
      <c r="AF843" s="502" t="str">
        <f>Table15[[#This Row],[code2]]</f>
        <v>PDA</v>
      </c>
      <c r="AG843" s="502" t="str">
        <f>Table15[[#This Row],[code5]]</f>
        <v>PSB</v>
      </c>
    </row>
    <row r="844" spans="1:33">
      <c r="A844" s="338" t="s">
        <v>6072</v>
      </c>
      <c r="B844" s="338" t="s">
        <v>6073</v>
      </c>
      <c r="C844" s="337">
        <v>1</v>
      </c>
      <c r="D844" s="338" t="s">
        <v>7015</v>
      </c>
      <c r="E844" s="338" t="s">
        <v>7016</v>
      </c>
      <c r="F844" s="337">
        <v>1</v>
      </c>
      <c r="G844" s="337">
        <v>1</v>
      </c>
      <c r="H844" s="338"/>
      <c r="I844" s="338" t="s">
        <v>9555</v>
      </c>
      <c r="J844" s="338" t="s">
        <v>9556</v>
      </c>
      <c r="K844" s="338" t="s">
        <v>7017</v>
      </c>
      <c r="L844" s="338" t="s">
        <v>7018</v>
      </c>
      <c r="M844" s="338" t="s">
        <v>7075</v>
      </c>
      <c r="N844" s="338" t="s">
        <v>7076</v>
      </c>
      <c r="O844" s="337">
        <v>1</v>
      </c>
      <c r="P844" s="337">
        <v>0</v>
      </c>
      <c r="Q844" s="338"/>
      <c r="R844" s="338" t="s">
        <v>14</v>
      </c>
      <c r="S844" s="338"/>
      <c r="T844" s="338" t="s">
        <v>7077</v>
      </c>
      <c r="U844" s="338" t="s">
        <v>7080</v>
      </c>
      <c r="V844" s="337">
        <v>1</v>
      </c>
      <c r="W844" s="337">
        <v>0</v>
      </c>
      <c r="X844" s="338"/>
      <c r="Y844" s="338" t="s">
        <v>21</v>
      </c>
      <c r="Z844" s="338" t="s">
        <v>8531</v>
      </c>
      <c r="AA844" s="338" t="s">
        <v>6079</v>
      </c>
      <c r="AB844" s="338"/>
      <c r="AC844" s="338" t="s">
        <v>7044</v>
      </c>
      <c r="AD844" s="338"/>
      <c r="AF844" s="502" t="str">
        <f>Table15[[#This Row],[code2]]</f>
        <v>PDA</v>
      </c>
      <c r="AG844" s="502" t="str">
        <f>Table15[[#This Row],[code5]]</f>
        <v>PSB</v>
      </c>
    </row>
    <row r="845" spans="1:33">
      <c r="A845" s="338" t="s">
        <v>6072</v>
      </c>
      <c r="B845" s="338" t="s">
        <v>6073</v>
      </c>
      <c r="C845" s="337">
        <v>1</v>
      </c>
      <c r="D845" s="338" t="s">
        <v>7015</v>
      </c>
      <c r="E845" s="338" t="s">
        <v>7016</v>
      </c>
      <c r="F845" s="337">
        <v>1</v>
      </c>
      <c r="G845" s="337">
        <v>1</v>
      </c>
      <c r="H845" s="338"/>
      <c r="I845" s="338" t="s">
        <v>9555</v>
      </c>
      <c r="J845" s="338" t="s">
        <v>9556</v>
      </c>
      <c r="K845" s="338" t="s">
        <v>7017</v>
      </c>
      <c r="L845" s="338" t="s">
        <v>7018</v>
      </c>
      <c r="M845" s="338" t="s">
        <v>7075</v>
      </c>
      <c r="N845" s="338" t="s">
        <v>7076</v>
      </c>
      <c r="O845" s="337">
        <v>1</v>
      </c>
      <c r="P845" s="337">
        <v>0</v>
      </c>
      <c r="Q845" s="338"/>
      <c r="R845" s="338" t="s">
        <v>14</v>
      </c>
      <c r="S845" s="338"/>
      <c r="T845" s="338" t="s">
        <v>7077</v>
      </c>
      <c r="U845" s="338" t="s">
        <v>7082</v>
      </c>
      <c r="V845" s="337">
        <v>1</v>
      </c>
      <c r="W845" s="337">
        <v>0</v>
      </c>
      <c r="X845" s="338"/>
      <c r="Y845" s="338" t="s">
        <v>750</v>
      </c>
      <c r="Z845" s="338" t="s">
        <v>7026</v>
      </c>
      <c r="AA845" s="338" t="s">
        <v>6079</v>
      </c>
      <c r="AB845" s="338"/>
      <c r="AC845" s="338" t="s">
        <v>7049</v>
      </c>
      <c r="AD845" s="338"/>
      <c r="AF845" s="502" t="str">
        <f>Table15[[#This Row],[code2]]</f>
        <v>PDA</v>
      </c>
      <c r="AG845" s="502" t="str">
        <f>Table15[[#This Row],[code5]]</f>
        <v>PSB</v>
      </c>
    </row>
    <row r="846" spans="1:33">
      <c r="A846" s="338" t="s">
        <v>6072</v>
      </c>
      <c r="B846" s="338" t="s">
        <v>6073</v>
      </c>
      <c r="C846" s="337">
        <v>1</v>
      </c>
      <c r="D846" s="338" t="s">
        <v>7015</v>
      </c>
      <c r="E846" s="338" t="s">
        <v>7016</v>
      </c>
      <c r="F846" s="337">
        <v>1</v>
      </c>
      <c r="G846" s="337">
        <v>1</v>
      </c>
      <c r="H846" s="338"/>
      <c r="I846" s="338" t="s">
        <v>9555</v>
      </c>
      <c r="J846" s="338" t="s">
        <v>9556</v>
      </c>
      <c r="K846" s="338" t="s">
        <v>7017</v>
      </c>
      <c r="L846" s="338" t="s">
        <v>7018</v>
      </c>
      <c r="M846" s="338" t="s">
        <v>7075</v>
      </c>
      <c r="N846" s="338" t="s">
        <v>7076</v>
      </c>
      <c r="O846" s="337">
        <v>1</v>
      </c>
      <c r="P846" s="337">
        <v>0</v>
      </c>
      <c r="Q846" s="338"/>
      <c r="R846" s="338" t="s">
        <v>14</v>
      </c>
      <c r="S846" s="338"/>
      <c r="T846" s="338" t="s">
        <v>7077</v>
      </c>
      <c r="U846" s="338" t="s">
        <v>7083</v>
      </c>
      <c r="V846" s="337">
        <v>1</v>
      </c>
      <c r="W846" s="337">
        <v>0</v>
      </c>
      <c r="X846" s="338"/>
      <c r="Y846" s="338" t="s">
        <v>7046</v>
      </c>
      <c r="Z846" s="338" t="s">
        <v>9198</v>
      </c>
      <c r="AA846" s="338" t="s">
        <v>6079</v>
      </c>
      <c r="AB846" s="338"/>
      <c r="AC846" s="338" t="s">
        <v>7049</v>
      </c>
      <c r="AD846" s="338"/>
      <c r="AF846" s="502" t="str">
        <f>Table15[[#This Row],[code2]]</f>
        <v>PDA</v>
      </c>
      <c r="AG846" s="502" t="str">
        <f>Table15[[#This Row],[code5]]</f>
        <v>PSB</v>
      </c>
    </row>
    <row r="847" spans="1:33">
      <c r="A847" s="338" t="s">
        <v>6072</v>
      </c>
      <c r="B847" s="338" t="s">
        <v>6073</v>
      </c>
      <c r="C847" s="337">
        <v>1</v>
      </c>
      <c r="D847" s="338" t="s">
        <v>7015</v>
      </c>
      <c r="E847" s="338" t="s">
        <v>7016</v>
      </c>
      <c r="F847" s="337">
        <v>1</v>
      </c>
      <c r="G847" s="337">
        <v>1</v>
      </c>
      <c r="H847" s="338"/>
      <c r="I847" s="338" t="s">
        <v>9555</v>
      </c>
      <c r="J847" s="338" t="s">
        <v>9556</v>
      </c>
      <c r="K847" s="338" t="s">
        <v>7017</v>
      </c>
      <c r="L847" s="338" t="s">
        <v>7018</v>
      </c>
      <c r="M847" s="338" t="s">
        <v>7075</v>
      </c>
      <c r="N847" s="338" t="s">
        <v>7076</v>
      </c>
      <c r="O847" s="337">
        <v>1</v>
      </c>
      <c r="P847" s="337">
        <v>0</v>
      </c>
      <c r="Q847" s="338"/>
      <c r="R847" s="338" t="s">
        <v>14</v>
      </c>
      <c r="S847" s="338"/>
      <c r="T847" s="338" t="s">
        <v>7077</v>
      </c>
      <c r="U847" s="338" t="s">
        <v>7084</v>
      </c>
      <c r="V847" s="337">
        <v>1</v>
      </c>
      <c r="W847" s="337">
        <v>0</v>
      </c>
      <c r="X847" s="338"/>
      <c r="Y847" s="338" t="s">
        <v>21</v>
      </c>
      <c r="Z847" s="338" t="s">
        <v>8531</v>
      </c>
      <c r="AA847" s="338" t="s">
        <v>6079</v>
      </c>
      <c r="AB847" s="338"/>
      <c r="AC847" s="338" t="s">
        <v>7049</v>
      </c>
      <c r="AD847" s="338"/>
      <c r="AF847" s="502" t="str">
        <f>Table15[[#This Row],[code2]]</f>
        <v>PDA</v>
      </c>
      <c r="AG847" s="502" t="str">
        <f>Table15[[#This Row],[code5]]</f>
        <v>PSB</v>
      </c>
    </row>
    <row r="848" spans="1:33">
      <c r="A848" s="338" t="s">
        <v>6072</v>
      </c>
      <c r="B848" s="338" t="s">
        <v>6073</v>
      </c>
      <c r="C848" s="337">
        <v>1</v>
      </c>
      <c r="D848" s="338" t="s">
        <v>7015</v>
      </c>
      <c r="E848" s="338" t="s">
        <v>7016</v>
      </c>
      <c r="F848" s="337">
        <v>1</v>
      </c>
      <c r="G848" s="337">
        <v>1</v>
      </c>
      <c r="H848" s="338"/>
      <c r="I848" s="338" t="s">
        <v>9555</v>
      </c>
      <c r="J848" s="338" t="s">
        <v>9556</v>
      </c>
      <c r="K848" s="338" t="s">
        <v>7017</v>
      </c>
      <c r="L848" s="338" t="s">
        <v>7018</v>
      </c>
      <c r="M848" s="338" t="s">
        <v>7075</v>
      </c>
      <c r="N848" s="338" t="s">
        <v>7076</v>
      </c>
      <c r="O848" s="337">
        <v>1</v>
      </c>
      <c r="P848" s="337">
        <v>0</v>
      </c>
      <c r="Q848" s="338"/>
      <c r="R848" s="338" t="s">
        <v>14</v>
      </c>
      <c r="S848" s="338"/>
      <c r="T848" s="338" t="s">
        <v>7077</v>
      </c>
      <c r="U848" s="338" t="s">
        <v>7085</v>
      </c>
      <c r="V848" s="337">
        <v>1</v>
      </c>
      <c r="W848" s="337">
        <v>0</v>
      </c>
      <c r="X848" s="338"/>
      <c r="Y848" s="338" t="s">
        <v>750</v>
      </c>
      <c r="Z848" s="338" t="s">
        <v>7026</v>
      </c>
      <c r="AA848" s="338" t="s">
        <v>6079</v>
      </c>
      <c r="AB848" s="338"/>
      <c r="AC848" s="338" t="s">
        <v>7053</v>
      </c>
      <c r="AD848" s="338"/>
      <c r="AF848" s="502" t="str">
        <f>Table15[[#This Row],[code2]]</f>
        <v>PDA</v>
      </c>
      <c r="AG848" s="502" t="str">
        <f>Table15[[#This Row],[code5]]</f>
        <v>PSB</v>
      </c>
    </row>
    <row r="849" spans="1:33">
      <c r="A849" s="338" t="s">
        <v>6072</v>
      </c>
      <c r="B849" s="338" t="s">
        <v>6073</v>
      </c>
      <c r="C849" s="337">
        <v>1</v>
      </c>
      <c r="D849" s="338" t="s">
        <v>7015</v>
      </c>
      <c r="E849" s="338" t="s">
        <v>7016</v>
      </c>
      <c r="F849" s="337">
        <v>1</v>
      </c>
      <c r="G849" s="337">
        <v>1</v>
      </c>
      <c r="H849" s="338"/>
      <c r="I849" s="338" t="s">
        <v>9555</v>
      </c>
      <c r="J849" s="338" t="s">
        <v>9556</v>
      </c>
      <c r="K849" s="338" t="s">
        <v>7017</v>
      </c>
      <c r="L849" s="338" t="s">
        <v>7018</v>
      </c>
      <c r="M849" s="338" t="s">
        <v>7075</v>
      </c>
      <c r="N849" s="338" t="s">
        <v>7076</v>
      </c>
      <c r="O849" s="337">
        <v>1</v>
      </c>
      <c r="P849" s="337">
        <v>0</v>
      </c>
      <c r="Q849" s="338"/>
      <c r="R849" s="338" t="s">
        <v>14</v>
      </c>
      <c r="S849" s="338"/>
      <c r="T849" s="338" t="s">
        <v>7077</v>
      </c>
      <c r="U849" s="338" t="s">
        <v>7086</v>
      </c>
      <c r="V849" s="337">
        <v>1</v>
      </c>
      <c r="W849" s="337">
        <v>0</v>
      </c>
      <c r="X849" s="338"/>
      <c r="Y849" s="338" t="s">
        <v>7046</v>
      </c>
      <c r="Z849" s="338" t="s">
        <v>9198</v>
      </c>
      <c r="AA849" s="338" t="s">
        <v>6079</v>
      </c>
      <c r="AB849" s="338"/>
      <c r="AC849" s="338" t="s">
        <v>7053</v>
      </c>
      <c r="AD849" s="338"/>
      <c r="AF849" s="502" t="str">
        <f>Table15[[#This Row],[code2]]</f>
        <v>PDA</v>
      </c>
      <c r="AG849" s="502" t="str">
        <f>Table15[[#This Row],[code5]]</f>
        <v>PSB</v>
      </c>
    </row>
    <row r="850" spans="1:33">
      <c r="A850" s="338" t="s">
        <v>6072</v>
      </c>
      <c r="B850" s="338" t="s">
        <v>6073</v>
      </c>
      <c r="C850" s="337">
        <v>1</v>
      </c>
      <c r="D850" s="338" t="s">
        <v>7015</v>
      </c>
      <c r="E850" s="338" t="s">
        <v>7016</v>
      </c>
      <c r="F850" s="337">
        <v>1</v>
      </c>
      <c r="G850" s="337">
        <v>1</v>
      </c>
      <c r="H850" s="338"/>
      <c r="I850" s="338" t="s">
        <v>9555</v>
      </c>
      <c r="J850" s="338" t="s">
        <v>9556</v>
      </c>
      <c r="K850" s="338" t="s">
        <v>7017</v>
      </c>
      <c r="L850" s="338" t="s">
        <v>7018</v>
      </c>
      <c r="M850" s="338" t="s">
        <v>7075</v>
      </c>
      <c r="N850" s="338" t="s">
        <v>7076</v>
      </c>
      <c r="O850" s="337">
        <v>1</v>
      </c>
      <c r="P850" s="337">
        <v>0</v>
      </c>
      <c r="Q850" s="338"/>
      <c r="R850" s="338" t="s">
        <v>14</v>
      </c>
      <c r="S850" s="338"/>
      <c r="T850" s="338" t="s">
        <v>7077</v>
      </c>
      <c r="U850" s="338" t="s">
        <v>7087</v>
      </c>
      <c r="V850" s="337">
        <v>1</v>
      </c>
      <c r="W850" s="337">
        <v>0</v>
      </c>
      <c r="X850" s="338"/>
      <c r="Y850" s="338" t="s">
        <v>21</v>
      </c>
      <c r="Z850" s="338" t="s">
        <v>8531</v>
      </c>
      <c r="AA850" s="338" t="s">
        <v>6079</v>
      </c>
      <c r="AB850" s="338"/>
      <c r="AC850" s="338" t="s">
        <v>7053</v>
      </c>
      <c r="AD850" s="338"/>
      <c r="AF850" s="502" t="str">
        <f>Table15[[#This Row],[code2]]</f>
        <v>PDA</v>
      </c>
      <c r="AG850" s="502" t="str">
        <f>Table15[[#This Row],[code5]]</f>
        <v>PSB</v>
      </c>
    </row>
    <row r="851" spans="1:33">
      <c r="A851" s="338" t="s">
        <v>6072</v>
      </c>
      <c r="B851" s="338" t="s">
        <v>6073</v>
      </c>
      <c r="C851" s="337">
        <v>1</v>
      </c>
      <c r="D851" s="338" t="s">
        <v>7015</v>
      </c>
      <c r="E851" s="338" t="s">
        <v>7016</v>
      </c>
      <c r="F851" s="337">
        <v>1</v>
      </c>
      <c r="G851" s="337">
        <v>1</v>
      </c>
      <c r="H851" s="338"/>
      <c r="I851" s="338" t="s">
        <v>9555</v>
      </c>
      <c r="J851" s="338" t="s">
        <v>9556</v>
      </c>
      <c r="K851" s="338" t="s">
        <v>7017</v>
      </c>
      <c r="L851" s="338" t="s">
        <v>7018</v>
      </c>
      <c r="M851" s="338" t="s">
        <v>7075</v>
      </c>
      <c r="N851" s="338" t="s">
        <v>7076</v>
      </c>
      <c r="O851" s="337">
        <v>1</v>
      </c>
      <c r="P851" s="337">
        <v>0</v>
      </c>
      <c r="Q851" s="338"/>
      <c r="R851" s="338" t="s">
        <v>14</v>
      </c>
      <c r="S851" s="338"/>
      <c r="T851" s="338" t="s">
        <v>7077</v>
      </c>
      <c r="U851" s="338" t="s">
        <v>7088</v>
      </c>
      <c r="V851" s="337">
        <v>1</v>
      </c>
      <c r="W851" s="337">
        <v>0</v>
      </c>
      <c r="X851" s="338"/>
      <c r="Y851" s="338" t="s">
        <v>750</v>
      </c>
      <c r="Z851" s="338" t="s">
        <v>7026</v>
      </c>
      <c r="AA851" s="338" t="s">
        <v>6079</v>
      </c>
      <c r="AB851" s="338"/>
      <c r="AC851" s="338" t="s">
        <v>7057</v>
      </c>
      <c r="AD851" s="338"/>
      <c r="AF851" s="502" t="str">
        <f>Table15[[#This Row],[code2]]</f>
        <v>PDA</v>
      </c>
      <c r="AG851" s="502" t="str">
        <f>Table15[[#This Row],[code5]]</f>
        <v>PSB</v>
      </c>
    </row>
    <row r="852" spans="1:33">
      <c r="A852" s="338" t="s">
        <v>6072</v>
      </c>
      <c r="B852" s="338" t="s">
        <v>6073</v>
      </c>
      <c r="C852" s="337">
        <v>1</v>
      </c>
      <c r="D852" s="338" t="s">
        <v>7015</v>
      </c>
      <c r="E852" s="338" t="s">
        <v>7016</v>
      </c>
      <c r="F852" s="337">
        <v>1</v>
      </c>
      <c r="G852" s="337">
        <v>1</v>
      </c>
      <c r="H852" s="338"/>
      <c r="I852" s="338" t="s">
        <v>9555</v>
      </c>
      <c r="J852" s="338" t="s">
        <v>9556</v>
      </c>
      <c r="K852" s="338" t="s">
        <v>7017</v>
      </c>
      <c r="L852" s="338" t="s">
        <v>7018</v>
      </c>
      <c r="M852" s="338" t="s">
        <v>7075</v>
      </c>
      <c r="N852" s="338" t="s">
        <v>7076</v>
      </c>
      <c r="O852" s="337">
        <v>1</v>
      </c>
      <c r="P852" s="337">
        <v>0</v>
      </c>
      <c r="Q852" s="338"/>
      <c r="R852" s="338" t="s">
        <v>14</v>
      </c>
      <c r="S852" s="338"/>
      <c r="T852" s="338" t="s">
        <v>7077</v>
      </c>
      <c r="U852" s="338" t="s">
        <v>7089</v>
      </c>
      <c r="V852" s="337">
        <v>1</v>
      </c>
      <c r="W852" s="337">
        <v>0</v>
      </c>
      <c r="X852" s="338"/>
      <c r="Y852" s="338" t="s">
        <v>7046</v>
      </c>
      <c r="Z852" s="338" t="s">
        <v>9198</v>
      </c>
      <c r="AA852" s="338" t="s">
        <v>6079</v>
      </c>
      <c r="AB852" s="338"/>
      <c r="AC852" s="338" t="s">
        <v>7057</v>
      </c>
      <c r="AD852" s="338"/>
      <c r="AF852" s="502" t="str">
        <f>Table15[[#This Row],[code2]]</f>
        <v>PDA</v>
      </c>
      <c r="AG852" s="502" t="str">
        <f>Table15[[#This Row],[code5]]</f>
        <v>PSB</v>
      </c>
    </row>
    <row r="853" spans="1:33">
      <c r="A853" s="338" t="s">
        <v>6072</v>
      </c>
      <c r="B853" s="338" t="s">
        <v>6073</v>
      </c>
      <c r="C853" s="337">
        <v>1</v>
      </c>
      <c r="D853" s="338" t="s">
        <v>7015</v>
      </c>
      <c r="E853" s="338" t="s">
        <v>7016</v>
      </c>
      <c r="F853" s="337">
        <v>1</v>
      </c>
      <c r="G853" s="337">
        <v>1</v>
      </c>
      <c r="H853" s="338"/>
      <c r="I853" s="338" t="s">
        <v>9555</v>
      </c>
      <c r="J853" s="338" t="s">
        <v>9556</v>
      </c>
      <c r="K853" s="338" t="s">
        <v>7017</v>
      </c>
      <c r="L853" s="338" t="s">
        <v>7018</v>
      </c>
      <c r="M853" s="338" t="s">
        <v>7075</v>
      </c>
      <c r="N853" s="338" t="s">
        <v>7076</v>
      </c>
      <c r="O853" s="337">
        <v>1</v>
      </c>
      <c r="P853" s="337">
        <v>0</v>
      </c>
      <c r="Q853" s="338"/>
      <c r="R853" s="338" t="s">
        <v>14</v>
      </c>
      <c r="S853" s="338"/>
      <c r="T853" s="338" t="s">
        <v>7077</v>
      </c>
      <c r="U853" s="338" t="s">
        <v>7090</v>
      </c>
      <c r="V853" s="337">
        <v>1</v>
      </c>
      <c r="W853" s="337">
        <v>0</v>
      </c>
      <c r="X853" s="338"/>
      <c r="Y853" s="338" t="s">
        <v>21</v>
      </c>
      <c r="Z853" s="338" t="s">
        <v>8531</v>
      </c>
      <c r="AA853" s="338" t="s">
        <v>6079</v>
      </c>
      <c r="AB853" s="338"/>
      <c r="AC853" s="338" t="s">
        <v>7057</v>
      </c>
      <c r="AD853" s="338"/>
      <c r="AF853" s="502" t="str">
        <f>Table15[[#This Row],[code2]]</f>
        <v>PDA</v>
      </c>
      <c r="AG853" s="502" t="str">
        <f>Table15[[#This Row],[code5]]</f>
        <v>PSB</v>
      </c>
    </row>
    <row r="854" spans="1:33">
      <c r="A854" s="338" t="s">
        <v>6072</v>
      </c>
      <c r="B854" s="338" t="s">
        <v>6073</v>
      </c>
      <c r="C854" s="337">
        <v>1</v>
      </c>
      <c r="D854" s="338" t="s">
        <v>7015</v>
      </c>
      <c r="E854" s="338" t="s">
        <v>7016</v>
      </c>
      <c r="F854" s="337">
        <v>1</v>
      </c>
      <c r="G854" s="337">
        <v>1</v>
      </c>
      <c r="H854" s="338"/>
      <c r="I854" s="338" t="s">
        <v>9555</v>
      </c>
      <c r="J854" s="338" t="s">
        <v>9556</v>
      </c>
      <c r="K854" s="338" t="s">
        <v>7017</v>
      </c>
      <c r="L854" s="338" t="s">
        <v>7018</v>
      </c>
      <c r="M854" s="338" t="s">
        <v>7075</v>
      </c>
      <c r="N854" s="338" t="s">
        <v>7076</v>
      </c>
      <c r="O854" s="337">
        <v>1</v>
      </c>
      <c r="P854" s="337">
        <v>0</v>
      </c>
      <c r="Q854" s="338"/>
      <c r="R854" s="338" t="s">
        <v>14</v>
      </c>
      <c r="S854" s="338"/>
      <c r="T854" s="338" t="s">
        <v>7077</v>
      </c>
      <c r="U854" s="338" t="s">
        <v>7091</v>
      </c>
      <c r="V854" s="337">
        <v>1</v>
      </c>
      <c r="W854" s="337">
        <v>0</v>
      </c>
      <c r="X854" s="338"/>
      <c r="Y854" s="338" t="s">
        <v>750</v>
      </c>
      <c r="Z854" s="338" t="s">
        <v>7026</v>
      </c>
      <c r="AA854" s="338" t="s">
        <v>6079</v>
      </c>
      <c r="AB854" s="338"/>
      <c r="AC854" s="338" t="s">
        <v>7061</v>
      </c>
      <c r="AD854" s="338"/>
      <c r="AF854" s="502" t="str">
        <f>Table15[[#This Row],[code2]]</f>
        <v>PDA</v>
      </c>
      <c r="AG854" s="502" t="str">
        <f>Table15[[#This Row],[code5]]</f>
        <v>PSB</v>
      </c>
    </row>
    <row r="855" spans="1:33">
      <c r="A855" s="338" t="s">
        <v>6072</v>
      </c>
      <c r="B855" s="338" t="s">
        <v>6073</v>
      </c>
      <c r="C855" s="337">
        <v>1</v>
      </c>
      <c r="D855" s="338" t="s">
        <v>7015</v>
      </c>
      <c r="E855" s="338" t="s">
        <v>7016</v>
      </c>
      <c r="F855" s="337">
        <v>1</v>
      </c>
      <c r="G855" s="337">
        <v>1</v>
      </c>
      <c r="H855" s="338"/>
      <c r="I855" s="338" t="s">
        <v>9555</v>
      </c>
      <c r="J855" s="338" t="s">
        <v>9556</v>
      </c>
      <c r="K855" s="338" t="s">
        <v>7017</v>
      </c>
      <c r="L855" s="338" t="s">
        <v>7018</v>
      </c>
      <c r="M855" s="338" t="s">
        <v>7075</v>
      </c>
      <c r="N855" s="338" t="s">
        <v>7076</v>
      </c>
      <c r="O855" s="337">
        <v>1</v>
      </c>
      <c r="P855" s="337">
        <v>0</v>
      </c>
      <c r="Q855" s="338"/>
      <c r="R855" s="338" t="s">
        <v>14</v>
      </c>
      <c r="S855" s="338"/>
      <c r="T855" s="338" t="s">
        <v>7077</v>
      </c>
      <c r="U855" s="338" t="s">
        <v>7092</v>
      </c>
      <c r="V855" s="337">
        <v>1</v>
      </c>
      <c r="W855" s="337">
        <v>0</v>
      </c>
      <c r="X855" s="338"/>
      <c r="Y855" s="338" t="s">
        <v>7046</v>
      </c>
      <c r="Z855" s="338" t="s">
        <v>9198</v>
      </c>
      <c r="AA855" s="338" t="s">
        <v>6079</v>
      </c>
      <c r="AB855" s="338"/>
      <c r="AC855" s="338" t="s">
        <v>7061</v>
      </c>
      <c r="AD855" s="338"/>
      <c r="AF855" s="502" t="str">
        <f>Table15[[#This Row],[code2]]</f>
        <v>PDA</v>
      </c>
      <c r="AG855" s="502" t="str">
        <f>Table15[[#This Row],[code5]]</f>
        <v>PSB</v>
      </c>
    </row>
    <row r="856" spans="1:33">
      <c r="A856" s="338" t="s">
        <v>6072</v>
      </c>
      <c r="B856" s="338" t="s">
        <v>6073</v>
      </c>
      <c r="C856" s="337">
        <v>1</v>
      </c>
      <c r="D856" s="338" t="s">
        <v>7015</v>
      </c>
      <c r="E856" s="338" t="s">
        <v>7016</v>
      </c>
      <c r="F856" s="337">
        <v>1</v>
      </c>
      <c r="G856" s="337">
        <v>1</v>
      </c>
      <c r="H856" s="338"/>
      <c r="I856" s="338" t="s">
        <v>9555</v>
      </c>
      <c r="J856" s="338" t="s">
        <v>9556</v>
      </c>
      <c r="K856" s="338" t="s">
        <v>7017</v>
      </c>
      <c r="L856" s="338" t="s">
        <v>7018</v>
      </c>
      <c r="M856" s="338" t="s">
        <v>7075</v>
      </c>
      <c r="N856" s="338" t="s">
        <v>7076</v>
      </c>
      <c r="O856" s="337">
        <v>1</v>
      </c>
      <c r="P856" s="337">
        <v>0</v>
      </c>
      <c r="Q856" s="338"/>
      <c r="R856" s="338" t="s">
        <v>14</v>
      </c>
      <c r="S856" s="338"/>
      <c r="T856" s="338" t="s">
        <v>7077</v>
      </c>
      <c r="U856" s="338" t="s">
        <v>7093</v>
      </c>
      <c r="V856" s="337">
        <v>1</v>
      </c>
      <c r="W856" s="337">
        <v>0</v>
      </c>
      <c r="X856" s="338"/>
      <c r="Y856" s="338" t="s">
        <v>21</v>
      </c>
      <c r="Z856" s="338" t="s">
        <v>8531</v>
      </c>
      <c r="AA856" s="338" t="s">
        <v>6079</v>
      </c>
      <c r="AB856" s="338"/>
      <c r="AC856" s="338" t="s">
        <v>7061</v>
      </c>
      <c r="AD856" s="338"/>
      <c r="AF856" s="502" t="str">
        <f>Table15[[#This Row],[code2]]</f>
        <v>PDA</v>
      </c>
      <c r="AG856" s="502" t="str">
        <f>Table15[[#This Row],[code5]]</f>
        <v>PSB</v>
      </c>
    </row>
    <row r="857" spans="1:33">
      <c r="A857" s="338" t="s">
        <v>6072</v>
      </c>
      <c r="B857" s="338" t="s">
        <v>6073</v>
      </c>
      <c r="C857" s="337">
        <v>1</v>
      </c>
      <c r="D857" s="338" t="s">
        <v>7015</v>
      </c>
      <c r="E857" s="338" t="s">
        <v>7016</v>
      </c>
      <c r="F857" s="337">
        <v>1</v>
      </c>
      <c r="G857" s="337">
        <v>1</v>
      </c>
      <c r="H857" s="338"/>
      <c r="I857" s="338" t="s">
        <v>9555</v>
      </c>
      <c r="J857" s="338" t="s">
        <v>9556</v>
      </c>
      <c r="K857" s="338" t="s">
        <v>7017</v>
      </c>
      <c r="L857" s="338" t="s">
        <v>7018</v>
      </c>
      <c r="M857" s="338" t="s">
        <v>7075</v>
      </c>
      <c r="N857" s="338" t="s">
        <v>7076</v>
      </c>
      <c r="O857" s="337">
        <v>1</v>
      </c>
      <c r="P857" s="337">
        <v>0</v>
      </c>
      <c r="Q857" s="338"/>
      <c r="R857" s="338" t="s">
        <v>14</v>
      </c>
      <c r="S857" s="338"/>
      <c r="T857" s="338" t="s">
        <v>7077</v>
      </c>
      <c r="U857" s="338" t="s">
        <v>7094</v>
      </c>
      <c r="V857" s="337">
        <v>1</v>
      </c>
      <c r="W857" s="337">
        <v>0</v>
      </c>
      <c r="X857" s="338"/>
      <c r="Y857" s="338" t="s">
        <v>750</v>
      </c>
      <c r="Z857" s="338" t="s">
        <v>7026</v>
      </c>
      <c r="AA857" s="338" t="s">
        <v>6079</v>
      </c>
      <c r="AB857" s="338"/>
      <c r="AC857" s="338" t="s">
        <v>7065</v>
      </c>
      <c r="AD857" s="338"/>
      <c r="AF857" s="502" t="str">
        <f>Table15[[#This Row],[code2]]</f>
        <v>PDA</v>
      </c>
      <c r="AG857" s="502" t="str">
        <f>Table15[[#This Row],[code5]]</f>
        <v>PSB</v>
      </c>
    </row>
    <row r="858" spans="1:33">
      <c r="A858" s="338" t="s">
        <v>6072</v>
      </c>
      <c r="B858" s="338" t="s">
        <v>6073</v>
      </c>
      <c r="C858" s="337">
        <v>1</v>
      </c>
      <c r="D858" s="338" t="s">
        <v>7015</v>
      </c>
      <c r="E858" s="338" t="s">
        <v>7016</v>
      </c>
      <c r="F858" s="337">
        <v>1</v>
      </c>
      <c r="G858" s="337">
        <v>1</v>
      </c>
      <c r="H858" s="338"/>
      <c r="I858" s="338" t="s">
        <v>9555</v>
      </c>
      <c r="J858" s="338" t="s">
        <v>9556</v>
      </c>
      <c r="K858" s="338" t="s">
        <v>7017</v>
      </c>
      <c r="L858" s="338" t="s">
        <v>7018</v>
      </c>
      <c r="M858" s="338" t="s">
        <v>7075</v>
      </c>
      <c r="N858" s="338" t="s">
        <v>7076</v>
      </c>
      <c r="O858" s="337">
        <v>1</v>
      </c>
      <c r="P858" s="337">
        <v>0</v>
      </c>
      <c r="Q858" s="338"/>
      <c r="R858" s="338" t="s">
        <v>14</v>
      </c>
      <c r="S858" s="338"/>
      <c r="T858" s="338" t="s">
        <v>7077</v>
      </c>
      <c r="U858" s="338" t="s">
        <v>7095</v>
      </c>
      <c r="V858" s="337">
        <v>1</v>
      </c>
      <c r="W858" s="337">
        <v>0</v>
      </c>
      <c r="X858" s="338"/>
      <c r="Y858" s="338" t="s">
        <v>7046</v>
      </c>
      <c r="Z858" s="338" t="s">
        <v>9198</v>
      </c>
      <c r="AA858" s="338" t="s">
        <v>6079</v>
      </c>
      <c r="AB858" s="338"/>
      <c r="AC858" s="338" t="s">
        <v>7065</v>
      </c>
      <c r="AD858" s="338"/>
      <c r="AF858" s="502" t="str">
        <f>Table15[[#This Row],[code2]]</f>
        <v>PDA</v>
      </c>
      <c r="AG858" s="502" t="str">
        <f>Table15[[#This Row],[code5]]</f>
        <v>PSB</v>
      </c>
    </row>
    <row r="859" spans="1:33">
      <c r="A859" s="338" t="s">
        <v>6072</v>
      </c>
      <c r="B859" s="338" t="s">
        <v>6073</v>
      </c>
      <c r="C859" s="337">
        <v>1</v>
      </c>
      <c r="D859" s="338" t="s">
        <v>7015</v>
      </c>
      <c r="E859" s="338" t="s">
        <v>7016</v>
      </c>
      <c r="F859" s="337">
        <v>1</v>
      </c>
      <c r="G859" s="337">
        <v>1</v>
      </c>
      <c r="H859" s="338"/>
      <c r="I859" s="338" t="s">
        <v>9555</v>
      </c>
      <c r="J859" s="338" t="s">
        <v>9556</v>
      </c>
      <c r="K859" s="338" t="s">
        <v>7017</v>
      </c>
      <c r="L859" s="338" t="s">
        <v>7018</v>
      </c>
      <c r="M859" s="338" t="s">
        <v>7075</v>
      </c>
      <c r="N859" s="338" t="s">
        <v>7076</v>
      </c>
      <c r="O859" s="337">
        <v>1</v>
      </c>
      <c r="P859" s="337">
        <v>0</v>
      </c>
      <c r="Q859" s="338"/>
      <c r="R859" s="338" t="s">
        <v>14</v>
      </c>
      <c r="S859" s="338"/>
      <c r="T859" s="338" t="s">
        <v>7077</v>
      </c>
      <c r="U859" s="338" t="s">
        <v>7096</v>
      </c>
      <c r="V859" s="337">
        <v>1</v>
      </c>
      <c r="W859" s="337">
        <v>0</v>
      </c>
      <c r="X859" s="338"/>
      <c r="Y859" s="338" t="s">
        <v>21</v>
      </c>
      <c r="Z859" s="338" t="s">
        <v>8531</v>
      </c>
      <c r="AA859" s="338" t="s">
        <v>6079</v>
      </c>
      <c r="AB859" s="338"/>
      <c r="AC859" s="338" t="s">
        <v>7065</v>
      </c>
      <c r="AD859" s="338"/>
      <c r="AF859" s="502" t="str">
        <f>Table15[[#This Row],[code2]]</f>
        <v>PDA</v>
      </c>
      <c r="AG859" s="502" t="str">
        <f>Table15[[#This Row],[code5]]</f>
        <v>PSB</v>
      </c>
    </row>
    <row r="860" spans="1:33">
      <c r="A860" s="338" t="s">
        <v>6072</v>
      </c>
      <c r="B860" s="338" t="s">
        <v>6073</v>
      </c>
      <c r="C860" s="337">
        <v>1</v>
      </c>
      <c r="D860" s="338" t="s">
        <v>7015</v>
      </c>
      <c r="E860" s="338" t="s">
        <v>7016</v>
      </c>
      <c r="F860" s="337">
        <v>1</v>
      </c>
      <c r="G860" s="337">
        <v>1</v>
      </c>
      <c r="H860" s="338"/>
      <c r="I860" s="338" t="s">
        <v>9555</v>
      </c>
      <c r="J860" s="338" t="s">
        <v>9556</v>
      </c>
      <c r="K860" s="338" t="s">
        <v>7017</v>
      </c>
      <c r="L860" s="338" t="s">
        <v>7018</v>
      </c>
      <c r="M860" s="338" t="s">
        <v>7075</v>
      </c>
      <c r="N860" s="338" t="s">
        <v>7076</v>
      </c>
      <c r="O860" s="337">
        <v>1</v>
      </c>
      <c r="P860" s="337">
        <v>0</v>
      </c>
      <c r="Q860" s="338"/>
      <c r="R860" s="338" t="s">
        <v>14</v>
      </c>
      <c r="S860" s="338"/>
      <c r="T860" s="338" t="s">
        <v>7077</v>
      </c>
      <c r="U860" s="338" t="s">
        <v>7097</v>
      </c>
      <c r="V860" s="337">
        <v>1</v>
      </c>
      <c r="W860" s="337">
        <v>0</v>
      </c>
      <c r="X860" s="338"/>
      <c r="Y860" s="338" t="s">
        <v>750</v>
      </c>
      <c r="Z860" s="338" t="s">
        <v>7026</v>
      </c>
      <c r="AA860" s="338" t="s">
        <v>6079</v>
      </c>
      <c r="AB860" s="338"/>
      <c r="AC860" s="338" t="s">
        <v>7069</v>
      </c>
      <c r="AD860" s="338"/>
      <c r="AF860" s="502" t="str">
        <f>Table15[[#This Row],[code2]]</f>
        <v>PDA</v>
      </c>
      <c r="AG860" s="502" t="str">
        <f>Table15[[#This Row],[code5]]</f>
        <v>PSB</v>
      </c>
    </row>
    <row r="861" spans="1:33">
      <c r="A861" s="338" t="s">
        <v>6072</v>
      </c>
      <c r="B861" s="338" t="s">
        <v>6073</v>
      </c>
      <c r="C861" s="337">
        <v>1</v>
      </c>
      <c r="D861" s="338" t="s">
        <v>7015</v>
      </c>
      <c r="E861" s="338" t="s">
        <v>7016</v>
      </c>
      <c r="F861" s="337">
        <v>1</v>
      </c>
      <c r="G861" s="337">
        <v>1</v>
      </c>
      <c r="H861" s="338"/>
      <c r="I861" s="338" t="s">
        <v>9555</v>
      </c>
      <c r="J861" s="338" t="s">
        <v>9556</v>
      </c>
      <c r="K861" s="338" t="s">
        <v>7017</v>
      </c>
      <c r="L861" s="338" t="s">
        <v>7018</v>
      </c>
      <c r="M861" s="338" t="s">
        <v>7075</v>
      </c>
      <c r="N861" s="338" t="s">
        <v>7076</v>
      </c>
      <c r="O861" s="337">
        <v>1</v>
      </c>
      <c r="P861" s="337">
        <v>0</v>
      </c>
      <c r="Q861" s="338"/>
      <c r="R861" s="338" t="s">
        <v>14</v>
      </c>
      <c r="S861" s="338"/>
      <c r="T861" s="338" t="s">
        <v>7077</v>
      </c>
      <c r="U861" s="338" t="s">
        <v>7098</v>
      </c>
      <c r="V861" s="337">
        <v>1</v>
      </c>
      <c r="W861" s="337">
        <v>0</v>
      </c>
      <c r="X861" s="338"/>
      <c r="Y861" s="338" t="s">
        <v>7046</v>
      </c>
      <c r="Z861" s="338" t="s">
        <v>9198</v>
      </c>
      <c r="AA861" s="338" t="s">
        <v>6079</v>
      </c>
      <c r="AB861" s="338"/>
      <c r="AC861" s="338" t="s">
        <v>7069</v>
      </c>
      <c r="AD861" s="338"/>
      <c r="AF861" s="502" t="str">
        <f>Table15[[#This Row],[code2]]</f>
        <v>PDA</v>
      </c>
      <c r="AG861" s="502" t="str">
        <f>Table15[[#This Row],[code5]]</f>
        <v>PSB</v>
      </c>
    </row>
    <row r="862" spans="1:33">
      <c r="A862" s="338" t="s">
        <v>6072</v>
      </c>
      <c r="B862" s="338" t="s">
        <v>6073</v>
      </c>
      <c r="C862" s="337">
        <v>1</v>
      </c>
      <c r="D862" s="338" t="s">
        <v>7015</v>
      </c>
      <c r="E862" s="338" t="s">
        <v>7016</v>
      </c>
      <c r="F862" s="337">
        <v>1</v>
      </c>
      <c r="G862" s="337">
        <v>1</v>
      </c>
      <c r="H862" s="338"/>
      <c r="I862" s="338" t="s">
        <v>9555</v>
      </c>
      <c r="J862" s="338" t="s">
        <v>9556</v>
      </c>
      <c r="K862" s="338" t="s">
        <v>7017</v>
      </c>
      <c r="L862" s="338" t="s">
        <v>7018</v>
      </c>
      <c r="M862" s="338" t="s">
        <v>7075</v>
      </c>
      <c r="N862" s="338" t="s">
        <v>7076</v>
      </c>
      <c r="O862" s="337">
        <v>1</v>
      </c>
      <c r="P862" s="337">
        <v>0</v>
      </c>
      <c r="Q862" s="338"/>
      <c r="R862" s="338" t="s">
        <v>14</v>
      </c>
      <c r="S862" s="338"/>
      <c r="T862" s="338" t="s">
        <v>7077</v>
      </c>
      <c r="U862" s="338" t="s">
        <v>7099</v>
      </c>
      <c r="V862" s="337">
        <v>1</v>
      </c>
      <c r="W862" s="337">
        <v>0</v>
      </c>
      <c r="X862" s="338"/>
      <c r="Y862" s="338" t="s">
        <v>21</v>
      </c>
      <c r="Z862" s="338" t="s">
        <v>8531</v>
      </c>
      <c r="AA862" s="338" t="s">
        <v>6079</v>
      </c>
      <c r="AB862" s="338"/>
      <c r="AC862" s="338" t="s">
        <v>7069</v>
      </c>
      <c r="AD862" s="338"/>
      <c r="AF862" s="502" t="str">
        <f>Table15[[#This Row],[code2]]</f>
        <v>PDA</v>
      </c>
      <c r="AG862" s="502" t="str">
        <f>Table15[[#This Row],[code5]]</f>
        <v>PSB</v>
      </c>
    </row>
    <row r="863" spans="1:33">
      <c r="A863" s="338" t="s">
        <v>6072</v>
      </c>
      <c r="B863" s="338" t="s">
        <v>6073</v>
      </c>
      <c r="C863" s="337">
        <v>1</v>
      </c>
      <c r="D863" s="338" t="s">
        <v>7015</v>
      </c>
      <c r="E863" s="338" t="s">
        <v>7016</v>
      </c>
      <c r="F863" s="337">
        <v>1</v>
      </c>
      <c r="G863" s="337">
        <v>1</v>
      </c>
      <c r="H863" s="338"/>
      <c r="I863" s="338" t="s">
        <v>9555</v>
      </c>
      <c r="J863" s="338" t="s">
        <v>9556</v>
      </c>
      <c r="K863" s="338" t="s">
        <v>7017</v>
      </c>
      <c r="L863" s="338" t="s">
        <v>7018</v>
      </c>
      <c r="M863" s="338" t="s">
        <v>7075</v>
      </c>
      <c r="N863" s="338" t="s">
        <v>7076</v>
      </c>
      <c r="O863" s="337">
        <v>1</v>
      </c>
      <c r="P863" s="337">
        <v>0</v>
      </c>
      <c r="Q863" s="338"/>
      <c r="R863" s="338" t="s">
        <v>14</v>
      </c>
      <c r="S863" s="338"/>
      <c r="T863" s="338" t="s">
        <v>7077</v>
      </c>
      <c r="U863" s="338" t="s">
        <v>7100</v>
      </c>
      <c r="V863" s="337">
        <v>1</v>
      </c>
      <c r="W863" s="337">
        <v>0</v>
      </c>
      <c r="X863" s="338"/>
      <c r="Y863" s="338" t="s">
        <v>750</v>
      </c>
      <c r="Z863" s="338" t="s">
        <v>7026</v>
      </c>
      <c r="AA863" s="338" t="s">
        <v>6079</v>
      </c>
      <c r="AB863" s="338"/>
      <c r="AC863" s="338" t="s">
        <v>7030</v>
      </c>
      <c r="AD863" s="338"/>
      <c r="AF863" s="502" t="str">
        <f>Table15[[#This Row],[code2]]</f>
        <v>PDA</v>
      </c>
      <c r="AG863" s="502" t="str">
        <f>Table15[[#This Row],[code5]]</f>
        <v>PSB</v>
      </c>
    </row>
    <row r="864" spans="1:33">
      <c r="A864" s="338" t="s">
        <v>6072</v>
      </c>
      <c r="B864" s="338" t="s">
        <v>6073</v>
      </c>
      <c r="C864" s="337">
        <v>1</v>
      </c>
      <c r="D864" s="338" t="s">
        <v>7015</v>
      </c>
      <c r="E864" s="338" t="s">
        <v>7016</v>
      </c>
      <c r="F864" s="337">
        <v>1</v>
      </c>
      <c r="G864" s="337">
        <v>1</v>
      </c>
      <c r="H864" s="338"/>
      <c r="I864" s="338" t="s">
        <v>9555</v>
      </c>
      <c r="J864" s="338" t="s">
        <v>9556</v>
      </c>
      <c r="K864" s="338" t="s">
        <v>7017</v>
      </c>
      <c r="L864" s="338" t="s">
        <v>7018</v>
      </c>
      <c r="M864" s="338" t="s">
        <v>7075</v>
      </c>
      <c r="N864" s="338" t="s">
        <v>7076</v>
      </c>
      <c r="O864" s="337">
        <v>1</v>
      </c>
      <c r="P864" s="337">
        <v>0</v>
      </c>
      <c r="Q864" s="338"/>
      <c r="R864" s="338" t="s">
        <v>14</v>
      </c>
      <c r="S864" s="338"/>
      <c r="T864" s="338" t="s">
        <v>7077</v>
      </c>
      <c r="U864" s="338" t="s">
        <v>7101</v>
      </c>
      <c r="V864" s="337">
        <v>1</v>
      </c>
      <c r="W864" s="337">
        <v>0</v>
      </c>
      <c r="X864" s="338"/>
      <c r="Y864" s="338" t="s">
        <v>7046</v>
      </c>
      <c r="Z864" s="338" t="s">
        <v>9198</v>
      </c>
      <c r="AA864" s="338" t="s">
        <v>6079</v>
      </c>
      <c r="AB864" s="338"/>
      <c r="AC864" s="338" t="s">
        <v>7030</v>
      </c>
      <c r="AD864" s="338"/>
      <c r="AF864" s="502" t="str">
        <f>Table15[[#This Row],[code2]]</f>
        <v>PDA</v>
      </c>
      <c r="AG864" s="502" t="str">
        <f>Table15[[#This Row],[code5]]</f>
        <v>PSB</v>
      </c>
    </row>
    <row r="865" spans="1:33">
      <c r="A865" s="338" t="s">
        <v>6072</v>
      </c>
      <c r="B865" s="338" t="s">
        <v>6073</v>
      </c>
      <c r="C865" s="337">
        <v>1</v>
      </c>
      <c r="D865" s="338" t="s">
        <v>7015</v>
      </c>
      <c r="E865" s="338" t="s">
        <v>7016</v>
      </c>
      <c r="F865" s="337">
        <v>1</v>
      </c>
      <c r="G865" s="337">
        <v>1</v>
      </c>
      <c r="H865" s="338"/>
      <c r="I865" s="338" t="s">
        <v>9555</v>
      </c>
      <c r="J865" s="338" t="s">
        <v>9556</v>
      </c>
      <c r="K865" s="338" t="s">
        <v>7017</v>
      </c>
      <c r="L865" s="338" t="s">
        <v>7018</v>
      </c>
      <c r="M865" s="338" t="s">
        <v>7075</v>
      </c>
      <c r="N865" s="338" t="s">
        <v>7076</v>
      </c>
      <c r="O865" s="337">
        <v>1</v>
      </c>
      <c r="P865" s="337">
        <v>0</v>
      </c>
      <c r="Q865" s="338"/>
      <c r="R865" s="338" t="s">
        <v>14</v>
      </c>
      <c r="S865" s="338"/>
      <c r="T865" s="338" t="s">
        <v>7077</v>
      </c>
      <c r="U865" s="338" t="s">
        <v>7102</v>
      </c>
      <c r="V865" s="337">
        <v>1</v>
      </c>
      <c r="W865" s="337">
        <v>0</v>
      </c>
      <c r="X865" s="338"/>
      <c r="Y865" s="338" t="s">
        <v>21</v>
      </c>
      <c r="Z865" s="338" t="s">
        <v>8531</v>
      </c>
      <c r="AA865" s="338" t="s">
        <v>6079</v>
      </c>
      <c r="AB865" s="338"/>
      <c r="AC865" s="338" t="s">
        <v>7030</v>
      </c>
      <c r="AD865" s="338"/>
      <c r="AF865" s="502" t="str">
        <f>Table15[[#This Row],[code2]]</f>
        <v>PDA</v>
      </c>
      <c r="AG865" s="502" t="str">
        <f>Table15[[#This Row],[code5]]</f>
        <v>PSB</v>
      </c>
    </row>
    <row r="866" spans="1:33">
      <c r="A866" s="338" t="s">
        <v>6072</v>
      </c>
      <c r="B866" s="338" t="s">
        <v>6073</v>
      </c>
      <c r="C866" s="337">
        <v>1</v>
      </c>
      <c r="D866" s="338" t="s">
        <v>7015</v>
      </c>
      <c r="E866" s="338" t="s">
        <v>7016</v>
      </c>
      <c r="F866" s="337">
        <v>1</v>
      </c>
      <c r="G866" s="337">
        <v>1</v>
      </c>
      <c r="H866" s="338"/>
      <c r="I866" s="338" t="s">
        <v>9555</v>
      </c>
      <c r="J866" s="338" t="s">
        <v>9556</v>
      </c>
      <c r="K866" s="338" t="s">
        <v>7017</v>
      </c>
      <c r="L866" s="338" t="s">
        <v>7018</v>
      </c>
      <c r="M866" s="338" t="s">
        <v>7103</v>
      </c>
      <c r="N866" s="338" t="s">
        <v>7104</v>
      </c>
      <c r="O866" s="337">
        <v>1</v>
      </c>
      <c r="P866" s="337">
        <v>1</v>
      </c>
      <c r="Q866" s="338"/>
      <c r="R866" s="338" t="s">
        <v>14</v>
      </c>
      <c r="S866" s="338"/>
      <c r="T866" s="338" t="s">
        <v>8451</v>
      </c>
      <c r="U866" s="338" t="s">
        <v>7105</v>
      </c>
      <c r="V866" s="337">
        <v>1</v>
      </c>
      <c r="W866" s="337">
        <v>1</v>
      </c>
      <c r="X866" s="338"/>
      <c r="Y866" s="338" t="s">
        <v>750</v>
      </c>
      <c r="Z866" s="338" t="s">
        <v>7026</v>
      </c>
      <c r="AA866" s="338" t="s">
        <v>6079</v>
      </c>
      <c r="AB866" s="338"/>
      <c r="AC866" s="338" t="s">
        <v>7044</v>
      </c>
      <c r="AD866" s="338"/>
      <c r="AF866" s="502" t="str">
        <f>Table15[[#This Row],[code2]]</f>
        <v>PDA</v>
      </c>
      <c r="AG866" s="502" t="str">
        <f>Table15[[#This Row],[code5]]</f>
        <v>PSAWB</v>
      </c>
    </row>
    <row r="867" spans="1:33">
      <c r="A867" s="338" t="s">
        <v>6072</v>
      </c>
      <c r="B867" s="338" t="s">
        <v>6073</v>
      </c>
      <c r="C867" s="337">
        <v>1</v>
      </c>
      <c r="D867" s="338" t="s">
        <v>7015</v>
      </c>
      <c r="E867" s="338" t="s">
        <v>7016</v>
      </c>
      <c r="F867" s="337">
        <v>1</v>
      </c>
      <c r="G867" s="337">
        <v>1</v>
      </c>
      <c r="H867" s="338"/>
      <c r="I867" s="338" t="s">
        <v>9555</v>
      </c>
      <c r="J867" s="338" t="s">
        <v>9556</v>
      </c>
      <c r="K867" s="338" t="s">
        <v>7017</v>
      </c>
      <c r="L867" s="338" t="s">
        <v>7018</v>
      </c>
      <c r="M867" s="338" t="s">
        <v>7103</v>
      </c>
      <c r="N867" s="338" t="s">
        <v>7104</v>
      </c>
      <c r="O867" s="337">
        <v>1</v>
      </c>
      <c r="P867" s="337">
        <v>1</v>
      </c>
      <c r="Q867" s="338"/>
      <c r="R867" s="338" t="s">
        <v>14</v>
      </c>
      <c r="S867" s="338"/>
      <c r="T867" s="338" t="s">
        <v>8451</v>
      </c>
      <c r="U867" s="338" t="s">
        <v>7106</v>
      </c>
      <c r="V867" s="337">
        <v>1</v>
      </c>
      <c r="W867" s="337">
        <v>1</v>
      </c>
      <c r="X867" s="338"/>
      <c r="Y867" s="338" t="s">
        <v>7046</v>
      </c>
      <c r="Z867" s="338" t="s">
        <v>9199</v>
      </c>
      <c r="AA867" s="338" t="s">
        <v>6079</v>
      </c>
      <c r="AB867" s="338"/>
      <c r="AC867" s="338" t="s">
        <v>7044</v>
      </c>
      <c r="AD867" s="338"/>
      <c r="AF867" s="502" t="str">
        <f>Table15[[#This Row],[code2]]</f>
        <v>PDA</v>
      </c>
      <c r="AG867" s="502" t="str">
        <f>Table15[[#This Row],[code5]]</f>
        <v>PSAWB</v>
      </c>
    </row>
    <row r="868" spans="1:33">
      <c r="A868" s="338" t="s">
        <v>6072</v>
      </c>
      <c r="B868" s="338" t="s">
        <v>6073</v>
      </c>
      <c r="C868" s="337">
        <v>1</v>
      </c>
      <c r="D868" s="338" t="s">
        <v>7015</v>
      </c>
      <c r="E868" s="338" t="s">
        <v>7016</v>
      </c>
      <c r="F868" s="337">
        <v>1</v>
      </c>
      <c r="G868" s="337">
        <v>1</v>
      </c>
      <c r="H868" s="338"/>
      <c r="I868" s="338" t="s">
        <v>9555</v>
      </c>
      <c r="J868" s="338" t="s">
        <v>9556</v>
      </c>
      <c r="K868" s="338" t="s">
        <v>7017</v>
      </c>
      <c r="L868" s="338" t="s">
        <v>7018</v>
      </c>
      <c r="M868" s="338" t="s">
        <v>7103</v>
      </c>
      <c r="N868" s="338" t="s">
        <v>7104</v>
      </c>
      <c r="O868" s="337">
        <v>1</v>
      </c>
      <c r="P868" s="337">
        <v>1</v>
      </c>
      <c r="Q868" s="338"/>
      <c r="R868" s="338" t="s">
        <v>14</v>
      </c>
      <c r="S868" s="338"/>
      <c r="T868" s="338" t="s">
        <v>8451</v>
      </c>
      <c r="U868" s="338" t="s">
        <v>7107</v>
      </c>
      <c r="V868" s="337">
        <v>1</v>
      </c>
      <c r="W868" s="337">
        <v>1</v>
      </c>
      <c r="X868" s="338"/>
      <c r="Y868" s="338" t="s">
        <v>21</v>
      </c>
      <c r="Z868" s="338" t="s">
        <v>9071</v>
      </c>
      <c r="AA868" s="338" t="s">
        <v>6079</v>
      </c>
      <c r="AB868" s="338"/>
      <c r="AC868" s="338" t="s">
        <v>7044</v>
      </c>
      <c r="AD868" s="338"/>
      <c r="AF868" s="502" t="str">
        <f>Table15[[#This Row],[code2]]</f>
        <v>PDA</v>
      </c>
      <c r="AG868" s="502" t="str">
        <f>Table15[[#This Row],[code5]]</f>
        <v>PSAWB</v>
      </c>
    </row>
    <row r="869" spans="1:33">
      <c r="A869" s="338" t="s">
        <v>6072</v>
      </c>
      <c r="B869" s="338" t="s">
        <v>6073</v>
      </c>
      <c r="C869" s="337">
        <v>1</v>
      </c>
      <c r="D869" s="338" t="s">
        <v>7015</v>
      </c>
      <c r="E869" s="338" t="s">
        <v>7016</v>
      </c>
      <c r="F869" s="337">
        <v>1</v>
      </c>
      <c r="G869" s="337">
        <v>1</v>
      </c>
      <c r="H869" s="338"/>
      <c r="I869" s="338" t="s">
        <v>9555</v>
      </c>
      <c r="J869" s="338" t="s">
        <v>9556</v>
      </c>
      <c r="K869" s="338" t="s">
        <v>7017</v>
      </c>
      <c r="L869" s="338" t="s">
        <v>7018</v>
      </c>
      <c r="M869" s="338" t="s">
        <v>7103</v>
      </c>
      <c r="N869" s="338" t="s">
        <v>7104</v>
      </c>
      <c r="O869" s="337">
        <v>1</v>
      </c>
      <c r="P869" s="337">
        <v>1</v>
      </c>
      <c r="Q869" s="338"/>
      <c r="R869" s="338" t="s">
        <v>14</v>
      </c>
      <c r="S869" s="338"/>
      <c r="T869" s="338" t="s">
        <v>8451</v>
      </c>
      <c r="U869" s="338" t="s">
        <v>7108</v>
      </c>
      <c r="V869" s="337">
        <v>1</v>
      </c>
      <c r="W869" s="337">
        <v>1</v>
      </c>
      <c r="X869" s="338"/>
      <c r="Y869" s="338" t="s">
        <v>750</v>
      </c>
      <c r="Z869" s="338" t="s">
        <v>7026</v>
      </c>
      <c r="AA869" s="338" t="s">
        <v>6079</v>
      </c>
      <c r="AB869" s="338"/>
      <c r="AC869" s="338" t="s">
        <v>7049</v>
      </c>
      <c r="AD869" s="338"/>
      <c r="AF869" s="502" t="str">
        <f>Table15[[#This Row],[code2]]</f>
        <v>PDA</v>
      </c>
      <c r="AG869" s="502" t="str">
        <f>Table15[[#This Row],[code5]]</f>
        <v>PSAWB</v>
      </c>
    </row>
    <row r="870" spans="1:33">
      <c r="A870" s="338" t="s">
        <v>6072</v>
      </c>
      <c r="B870" s="338" t="s">
        <v>6073</v>
      </c>
      <c r="C870" s="337">
        <v>1</v>
      </c>
      <c r="D870" s="338" t="s">
        <v>7015</v>
      </c>
      <c r="E870" s="338" t="s">
        <v>7016</v>
      </c>
      <c r="F870" s="337">
        <v>1</v>
      </c>
      <c r="G870" s="337">
        <v>1</v>
      </c>
      <c r="H870" s="338"/>
      <c r="I870" s="338" t="s">
        <v>9555</v>
      </c>
      <c r="J870" s="338" t="s">
        <v>9556</v>
      </c>
      <c r="K870" s="338" t="s">
        <v>7017</v>
      </c>
      <c r="L870" s="338" t="s">
        <v>7018</v>
      </c>
      <c r="M870" s="338" t="s">
        <v>7103</v>
      </c>
      <c r="N870" s="338" t="s">
        <v>7104</v>
      </c>
      <c r="O870" s="337">
        <v>1</v>
      </c>
      <c r="P870" s="337">
        <v>1</v>
      </c>
      <c r="Q870" s="338"/>
      <c r="R870" s="338" t="s">
        <v>14</v>
      </c>
      <c r="S870" s="338"/>
      <c r="T870" s="338" t="s">
        <v>8451</v>
      </c>
      <c r="U870" s="338" t="s">
        <v>7109</v>
      </c>
      <c r="V870" s="337">
        <v>1</v>
      </c>
      <c r="W870" s="337">
        <v>1</v>
      </c>
      <c r="X870" s="338"/>
      <c r="Y870" s="338" t="s">
        <v>7046</v>
      </c>
      <c r="Z870" s="338" t="s">
        <v>9199</v>
      </c>
      <c r="AA870" s="338" t="s">
        <v>6079</v>
      </c>
      <c r="AB870" s="338"/>
      <c r="AC870" s="338" t="s">
        <v>7049</v>
      </c>
      <c r="AD870" s="338"/>
      <c r="AF870" s="502" t="str">
        <f>Table15[[#This Row],[code2]]</f>
        <v>PDA</v>
      </c>
      <c r="AG870" s="502" t="str">
        <f>Table15[[#This Row],[code5]]</f>
        <v>PSAWB</v>
      </c>
    </row>
    <row r="871" spans="1:33">
      <c r="A871" s="338" t="s">
        <v>6072</v>
      </c>
      <c r="B871" s="338" t="s">
        <v>6073</v>
      </c>
      <c r="C871" s="337">
        <v>1</v>
      </c>
      <c r="D871" s="338" t="s">
        <v>7015</v>
      </c>
      <c r="E871" s="338" t="s">
        <v>7016</v>
      </c>
      <c r="F871" s="337">
        <v>1</v>
      </c>
      <c r="G871" s="337">
        <v>1</v>
      </c>
      <c r="H871" s="338"/>
      <c r="I871" s="338" t="s">
        <v>9555</v>
      </c>
      <c r="J871" s="338" t="s">
        <v>9556</v>
      </c>
      <c r="K871" s="338" t="s">
        <v>7017</v>
      </c>
      <c r="L871" s="338" t="s">
        <v>7018</v>
      </c>
      <c r="M871" s="338" t="s">
        <v>7103</v>
      </c>
      <c r="N871" s="338" t="s">
        <v>7104</v>
      </c>
      <c r="O871" s="337">
        <v>1</v>
      </c>
      <c r="P871" s="337">
        <v>1</v>
      </c>
      <c r="Q871" s="338"/>
      <c r="R871" s="338" t="s">
        <v>14</v>
      </c>
      <c r="S871" s="338"/>
      <c r="T871" s="338" t="s">
        <v>8451</v>
      </c>
      <c r="U871" s="338" t="s">
        <v>7110</v>
      </c>
      <c r="V871" s="337">
        <v>1</v>
      </c>
      <c r="W871" s="337">
        <v>1</v>
      </c>
      <c r="X871" s="338"/>
      <c r="Y871" s="338" t="s">
        <v>21</v>
      </c>
      <c r="Z871" s="338" t="s">
        <v>9071</v>
      </c>
      <c r="AA871" s="338" t="s">
        <v>6079</v>
      </c>
      <c r="AB871" s="338"/>
      <c r="AC871" s="338" t="s">
        <v>7049</v>
      </c>
      <c r="AD871" s="338"/>
      <c r="AF871" s="502" t="str">
        <f>Table15[[#This Row],[code2]]</f>
        <v>PDA</v>
      </c>
      <c r="AG871" s="502" t="str">
        <f>Table15[[#This Row],[code5]]</f>
        <v>PSAWB</v>
      </c>
    </row>
    <row r="872" spans="1:33">
      <c r="A872" s="338" t="s">
        <v>6072</v>
      </c>
      <c r="B872" s="338" t="s">
        <v>6073</v>
      </c>
      <c r="C872" s="337">
        <v>1</v>
      </c>
      <c r="D872" s="338" t="s">
        <v>7015</v>
      </c>
      <c r="E872" s="338" t="s">
        <v>7016</v>
      </c>
      <c r="F872" s="337">
        <v>1</v>
      </c>
      <c r="G872" s="337">
        <v>1</v>
      </c>
      <c r="H872" s="338"/>
      <c r="I872" s="338" t="s">
        <v>9555</v>
      </c>
      <c r="J872" s="338" t="s">
        <v>9556</v>
      </c>
      <c r="K872" s="338" t="s">
        <v>7017</v>
      </c>
      <c r="L872" s="338" t="s">
        <v>7018</v>
      </c>
      <c r="M872" s="338" t="s">
        <v>7103</v>
      </c>
      <c r="N872" s="338" t="s">
        <v>7104</v>
      </c>
      <c r="O872" s="337">
        <v>1</v>
      </c>
      <c r="P872" s="337">
        <v>1</v>
      </c>
      <c r="Q872" s="338"/>
      <c r="R872" s="338" t="s">
        <v>14</v>
      </c>
      <c r="S872" s="338"/>
      <c r="T872" s="338" t="s">
        <v>8451</v>
      </c>
      <c r="U872" s="338" t="s">
        <v>7111</v>
      </c>
      <c r="V872" s="337">
        <v>1</v>
      </c>
      <c r="W872" s="337">
        <v>1</v>
      </c>
      <c r="X872" s="338"/>
      <c r="Y872" s="338" t="s">
        <v>750</v>
      </c>
      <c r="Z872" s="338" t="s">
        <v>7026</v>
      </c>
      <c r="AA872" s="338" t="s">
        <v>6079</v>
      </c>
      <c r="AB872" s="338"/>
      <c r="AC872" s="338" t="s">
        <v>7053</v>
      </c>
      <c r="AD872" s="338"/>
      <c r="AF872" s="502" t="str">
        <f>Table15[[#This Row],[code2]]</f>
        <v>PDA</v>
      </c>
      <c r="AG872" s="502" t="str">
        <f>Table15[[#This Row],[code5]]</f>
        <v>PSAWB</v>
      </c>
    </row>
    <row r="873" spans="1:33">
      <c r="A873" s="338" t="s">
        <v>6072</v>
      </c>
      <c r="B873" s="338" t="s">
        <v>6073</v>
      </c>
      <c r="C873" s="337">
        <v>1</v>
      </c>
      <c r="D873" s="338" t="s">
        <v>7015</v>
      </c>
      <c r="E873" s="338" t="s">
        <v>7016</v>
      </c>
      <c r="F873" s="337">
        <v>1</v>
      </c>
      <c r="G873" s="337">
        <v>1</v>
      </c>
      <c r="H873" s="338"/>
      <c r="I873" s="338" t="s">
        <v>9555</v>
      </c>
      <c r="J873" s="338" t="s">
        <v>9556</v>
      </c>
      <c r="K873" s="338" t="s">
        <v>7017</v>
      </c>
      <c r="L873" s="338" t="s">
        <v>7018</v>
      </c>
      <c r="M873" s="338" t="s">
        <v>7103</v>
      </c>
      <c r="N873" s="338" t="s">
        <v>7104</v>
      </c>
      <c r="O873" s="337">
        <v>1</v>
      </c>
      <c r="P873" s="337">
        <v>1</v>
      </c>
      <c r="Q873" s="338"/>
      <c r="R873" s="338" t="s">
        <v>14</v>
      </c>
      <c r="S873" s="338"/>
      <c r="T873" s="338" t="s">
        <v>8451</v>
      </c>
      <c r="U873" s="338" t="s">
        <v>7112</v>
      </c>
      <c r="V873" s="337">
        <v>1</v>
      </c>
      <c r="W873" s="337">
        <v>1</v>
      </c>
      <c r="X873" s="338"/>
      <c r="Y873" s="338" t="s">
        <v>7046</v>
      </c>
      <c r="Z873" s="338" t="s">
        <v>9199</v>
      </c>
      <c r="AA873" s="338" t="s">
        <v>6079</v>
      </c>
      <c r="AB873" s="338"/>
      <c r="AC873" s="338" t="s">
        <v>7053</v>
      </c>
      <c r="AD873" s="338"/>
      <c r="AF873" s="502" t="str">
        <f>Table15[[#This Row],[code2]]</f>
        <v>PDA</v>
      </c>
      <c r="AG873" s="502" t="str">
        <f>Table15[[#This Row],[code5]]</f>
        <v>PSAWB</v>
      </c>
    </row>
    <row r="874" spans="1:33">
      <c r="A874" s="338" t="s">
        <v>6072</v>
      </c>
      <c r="B874" s="338" t="s">
        <v>6073</v>
      </c>
      <c r="C874" s="337">
        <v>1</v>
      </c>
      <c r="D874" s="338" t="s">
        <v>7015</v>
      </c>
      <c r="E874" s="338" t="s">
        <v>7016</v>
      </c>
      <c r="F874" s="337">
        <v>1</v>
      </c>
      <c r="G874" s="337">
        <v>1</v>
      </c>
      <c r="H874" s="338"/>
      <c r="I874" s="338" t="s">
        <v>9555</v>
      </c>
      <c r="J874" s="338" t="s">
        <v>9556</v>
      </c>
      <c r="K874" s="338" t="s">
        <v>7017</v>
      </c>
      <c r="L874" s="338" t="s">
        <v>7018</v>
      </c>
      <c r="M874" s="338" t="s">
        <v>7103</v>
      </c>
      <c r="N874" s="338" t="s">
        <v>7104</v>
      </c>
      <c r="O874" s="337">
        <v>1</v>
      </c>
      <c r="P874" s="337">
        <v>1</v>
      </c>
      <c r="Q874" s="338"/>
      <c r="R874" s="338" t="s">
        <v>14</v>
      </c>
      <c r="S874" s="338"/>
      <c r="T874" s="338" t="s">
        <v>8451</v>
      </c>
      <c r="U874" s="338" t="s">
        <v>7113</v>
      </c>
      <c r="V874" s="337">
        <v>1</v>
      </c>
      <c r="W874" s="337">
        <v>1</v>
      </c>
      <c r="X874" s="338"/>
      <c r="Y874" s="338" t="s">
        <v>21</v>
      </c>
      <c r="Z874" s="338" t="s">
        <v>9071</v>
      </c>
      <c r="AA874" s="338" t="s">
        <v>6079</v>
      </c>
      <c r="AB874" s="338"/>
      <c r="AC874" s="338" t="s">
        <v>7053</v>
      </c>
      <c r="AD874" s="338"/>
      <c r="AF874" s="502" t="str">
        <f>Table15[[#This Row],[code2]]</f>
        <v>PDA</v>
      </c>
      <c r="AG874" s="502" t="str">
        <f>Table15[[#This Row],[code5]]</f>
        <v>PSAWB</v>
      </c>
    </row>
    <row r="875" spans="1:33">
      <c r="A875" s="338" t="s">
        <v>6072</v>
      </c>
      <c r="B875" s="338" t="s">
        <v>6073</v>
      </c>
      <c r="C875" s="337">
        <v>1</v>
      </c>
      <c r="D875" s="338" t="s">
        <v>7015</v>
      </c>
      <c r="E875" s="338" t="s">
        <v>7016</v>
      </c>
      <c r="F875" s="337">
        <v>1</v>
      </c>
      <c r="G875" s="337">
        <v>1</v>
      </c>
      <c r="H875" s="338"/>
      <c r="I875" s="338" t="s">
        <v>9555</v>
      </c>
      <c r="J875" s="338" t="s">
        <v>9556</v>
      </c>
      <c r="K875" s="338" t="s">
        <v>7017</v>
      </c>
      <c r="L875" s="338" t="s">
        <v>7018</v>
      </c>
      <c r="M875" s="338" t="s">
        <v>7103</v>
      </c>
      <c r="N875" s="338" t="s">
        <v>7104</v>
      </c>
      <c r="O875" s="337">
        <v>1</v>
      </c>
      <c r="P875" s="337">
        <v>1</v>
      </c>
      <c r="Q875" s="338"/>
      <c r="R875" s="338" t="s">
        <v>14</v>
      </c>
      <c r="S875" s="338"/>
      <c r="T875" s="338" t="s">
        <v>8451</v>
      </c>
      <c r="U875" s="338" t="s">
        <v>7114</v>
      </c>
      <c r="V875" s="337">
        <v>1</v>
      </c>
      <c r="W875" s="337">
        <v>1</v>
      </c>
      <c r="X875" s="338"/>
      <c r="Y875" s="338" t="s">
        <v>750</v>
      </c>
      <c r="Z875" s="338" t="s">
        <v>7026</v>
      </c>
      <c r="AA875" s="338" t="s">
        <v>6079</v>
      </c>
      <c r="AB875" s="338"/>
      <c r="AC875" s="338" t="s">
        <v>7057</v>
      </c>
      <c r="AD875" s="338"/>
      <c r="AF875" s="502" t="str">
        <f>Table15[[#This Row],[code2]]</f>
        <v>PDA</v>
      </c>
      <c r="AG875" s="502" t="str">
        <f>Table15[[#This Row],[code5]]</f>
        <v>PSAWB</v>
      </c>
    </row>
    <row r="876" spans="1:33">
      <c r="A876" s="338" t="s">
        <v>6072</v>
      </c>
      <c r="B876" s="338" t="s">
        <v>6073</v>
      </c>
      <c r="C876" s="337">
        <v>1</v>
      </c>
      <c r="D876" s="338" t="s">
        <v>7015</v>
      </c>
      <c r="E876" s="338" t="s">
        <v>7016</v>
      </c>
      <c r="F876" s="337">
        <v>1</v>
      </c>
      <c r="G876" s="337">
        <v>1</v>
      </c>
      <c r="H876" s="338"/>
      <c r="I876" s="338" t="s">
        <v>9555</v>
      </c>
      <c r="J876" s="338" t="s">
        <v>9556</v>
      </c>
      <c r="K876" s="338" t="s">
        <v>7017</v>
      </c>
      <c r="L876" s="338" t="s">
        <v>7018</v>
      </c>
      <c r="M876" s="338" t="s">
        <v>7103</v>
      </c>
      <c r="N876" s="338" t="s">
        <v>7104</v>
      </c>
      <c r="O876" s="337">
        <v>1</v>
      </c>
      <c r="P876" s="337">
        <v>1</v>
      </c>
      <c r="Q876" s="338"/>
      <c r="R876" s="338" t="s">
        <v>14</v>
      </c>
      <c r="S876" s="338"/>
      <c r="T876" s="338" t="s">
        <v>8451</v>
      </c>
      <c r="U876" s="338" t="s">
        <v>7115</v>
      </c>
      <c r="V876" s="337">
        <v>1</v>
      </c>
      <c r="W876" s="337">
        <v>1</v>
      </c>
      <c r="X876" s="338"/>
      <c r="Y876" s="338" t="s">
        <v>7046</v>
      </c>
      <c r="Z876" s="338" t="s">
        <v>9199</v>
      </c>
      <c r="AA876" s="338" t="s">
        <v>6079</v>
      </c>
      <c r="AB876" s="338"/>
      <c r="AC876" s="338" t="s">
        <v>7057</v>
      </c>
      <c r="AD876" s="338"/>
      <c r="AF876" s="502" t="str">
        <f>Table15[[#This Row],[code2]]</f>
        <v>PDA</v>
      </c>
      <c r="AG876" s="502" t="str">
        <f>Table15[[#This Row],[code5]]</f>
        <v>PSAWB</v>
      </c>
    </row>
    <row r="877" spans="1:33">
      <c r="A877" s="338" t="s">
        <v>6072</v>
      </c>
      <c r="B877" s="338" t="s">
        <v>6073</v>
      </c>
      <c r="C877" s="337">
        <v>1</v>
      </c>
      <c r="D877" s="338" t="s">
        <v>7015</v>
      </c>
      <c r="E877" s="338" t="s">
        <v>7016</v>
      </c>
      <c r="F877" s="337">
        <v>1</v>
      </c>
      <c r="G877" s="337">
        <v>1</v>
      </c>
      <c r="H877" s="338"/>
      <c r="I877" s="338" t="s">
        <v>9555</v>
      </c>
      <c r="J877" s="338" t="s">
        <v>9556</v>
      </c>
      <c r="K877" s="338" t="s">
        <v>7017</v>
      </c>
      <c r="L877" s="338" t="s">
        <v>7018</v>
      </c>
      <c r="M877" s="338" t="s">
        <v>7103</v>
      </c>
      <c r="N877" s="338" t="s">
        <v>7104</v>
      </c>
      <c r="O877" s="337">
        <v>1</v>
      </c>
      <c r="P877" s="337">
        <v>1</v>
      </c>
      <c r="Q877" s="338"/>
      <c r="R877" s="338" t="s">
        <v>14</v>
      </c>
      <c r="S877" s="338"/>
      <c r="T877" s="338" t="s">
        <v>8451</v>
      </c>
      <c r="U877" s="338" t="s">
        <v>7116</v>
      </c>
      <c r="V877" s="337">
        <v>1</v>
      </c>
      <c r="W877" s="337">
        <v>1</v>
      </c>
      <c r="X877" s="338"/>
      <c r="Y877" s="338" t="s">
        <v>21</v>
      </c>
      <c r="Z877" s="338" t="s">
        <v>9071</v>
      </c>
      <c r="AA877" s="338" t="s">
        <v>6079</v>
      </c>
      <c r="AB877" s="338"/>
      <c r="AC877" s="338" t="s">
        <v>7057</v>
      </c>
      <c r="AD877" s="338"/>
      <c r="AF877" s="502" t="str">
        <f>Table15[[#This Row],[code2]]</f>
        <v>PDA</v>
      </c>
      <c r="AG877" s="502" t="str">
        <f>Table15[[#This Row],[code5]]</f>
        <v>PSAWB</v>
      </c>
    </row>
    <row r="878" spans="1:33">
      <c r="A878" s="338" t="s">
        <v>6072</v>
      </c>
      <c r="B878" s="338" t="s">
        <v>6073</v>
      </c>
      <c r="C878" s="337">
        <v>1</v>
      </c>
      <c r="D878" s="338" t="s">
        <v>7015</v>
      </c>
      <c r="E878" s="338" t="s">
        <v>7016</v>
      </c>
      <c r="F878" s="337">
        <v>1</v>
      </c>
      <c r="G878" s="337">
        <v>1</v>
      </c>
      <c r="H878" s="338"/>
      <c r="I878" s="338" t="s">
        <v>9555</v>
      </c>
      <c r="J878" s="338" t="s">
        <v>9556</v>
      </c>
      <c r="K878" s="338" t="s">
        <v>7017</v>
      </c>
      <c r="L878" s="338" t="s">
        <v>7018</v>
      </c>
      <c r="M878" s="338" t="s">
        <v>7103</v>
      </c>
      <c r="N878" s="338" t="s">
        <v>7104</v>
      </c>
      <c r="O878" s="337">
        <v>1</v>
      </c>
      <c r="P878" s="337">
        <v>1</v>
      </c>
      <c r="Q878" s="338"/>
      <c r="R878" s="338" t="s">
        <v>14</v>
      </c>
      <c r="S878" s="338"/>
      <c r="T878" s="338" t="s">
        <v>8451</v>
      </c>
      <c r="U878" s="338" t="s">
        <v>7117</v>
      </c>
      <c r="V878" s="337">
        <v>1</v>
      </c>
      <c r="W878" s="337">
        <v>1</v>
      </c>
      <c r="X878" s="338"/>
      <c r="Y878" s="338" t="s">
        <v>750</v>
      </c>
      <c r="Z878" s="338" t="s">
        <v>7026</v>
      </c>
      <c r="AA878" s="338" t="s">
        <v>6079</v>
      </c>
      <c r="AB878" s="338"/>
      <c r="AC878" s="338" t="s">
        <v>7061</v>
      </c>
      <c r="AD878" s="338"/>
      <c r="AF878" s="502" t="str">
        <f>Table15[[#This Row],[code2]]</f>
        <v>PDA</v>
      </c>
      <c r="AG878" s="502" t="str">
        <f>Table15[[#This Row],[code5]]</f>
        <v>PSAWB</v>
      </c>
    </row>
    <row r="879" spans="1:33">
      <c r="A879" s="338" t="s">
        <v>6072</v>
      </c>
      <c r="B879" s="338" t="s">
        <v>6073</v>
      </c>
      <c r="C879" s="337">
        <v>1</v>
      </c>
      <c r="D879" s="338" t="s">
        <v>7015</v>
      </c>
      <c r="E879" s="338" t="s">
        <v>7016</v>
      </c>
      <c r="F879" s="337">
        <v>1</v>
      </c>
      <c r="G879" s="337">
        <v>1</v>
      </c>
      <c r="H879" s="338"/>
      <c r="I879" s="338" t="s">
        <v>9555</v>
      </c>
      <c r="J879" s="338" t="s">
        <v>9556</v>
      </c>
      <c r="K879" s="338" t="s">
        <v>7017</v>
      </c>
      <c r="L879" s="338" t="s">
        <v>7018</v>
      </c>
      <c r="M879" s="338" t="s">
        <v>7103</v>
      </c>
      <c r="N879" s="338" t="s">
        <v>7104</v>
      </c>
      <c r="O879" s="337">
        <v>1</v>
      </c>
      <c r="P879" s="337">
        <v>1</v>
      </c>
      <c r="Q879" s="338"/>
      <c r="R879" s="338" t="s">
        <v>14</v>
      </c>
      <c r="S879" s="338"/>
      <c r="T879" s="338" t="s">
        <v>8451</v>
      </c>
      <c r="U879" s="338" t="s">
        <v>7118</v>
      </c>
      <c r="V879" s="337">
        <v>1</v>
      </c>
      <c r="W879" s="337">
        <v>1</v>
      </c>
      <c r="X879" s="338"/>
      <c r="Y879" s="338" t="s">
        <v>7046</v>
      </c>
      <c r="Z879" s="338" t="s">
        <v>9199</v>
      </c>
      <c r="AA879" s="338" t="s">
        <v>6079</v>
      </c>
      <c r="AB879" s="338"/>
      <c r="AC879" s="338" t="s">
        <v>7061</v>
      </c>
      <c r="AD879" s="338"/>
      <c r="AF879" s="502" t="str">
        <f>Table15[[#This Row],[code2]]</f>
        <v>PDA</v>
      </c>
      <c r="AG879" s="502" t="str">
        <f>Table15[[#This Row],[code5]]</f>
        <v>PSAWB</v>
      </c>
    </row>
    <row r="880" spans="1:33">
      <c r="A880" s="338" t="s">
        <v>6072</v>
      </c>
      <c r="B880" s="338" t="s">
        <v>6073</v>
      </c>
      <c r="C880" s="337">
        <v>1</v>
      </c>
      <c r="D880" s="338" t="s">
        <v>7015</v>
      </c>
      <c r="E880" s="338" t="s">
        <v>7016</v>
      </c>
      <c r="F880" s="337">
        <v>1</v>
      </c>
      <c r="G880" s="337">
        <v>1</v>
      </c>
      <c r="H880" s="338"/>
      <c r="I880" s="338" t="s">
        <v>9555</v>
      </c>
      <c r="J880" s="338" t="s">
        <v>9556</v>
      </c>
      <c r="K880" s="338" t="s">
        <v>7017</v>
      </c>
      <c r="L880" s="338" t="s">
        <v>7018</v>
      </c>
      <c r="M880" s="338" t="s">
        <v>7103</v>
      </c>
      <c r="N880" s="338" t="s">
        <v>7104</v>
      </c>
      <c r="O880" s="337">
        <v>1</v>
      </c>
      <c r="P880" s="337">
        <v>1</v>
      </c>
      <c r="Q880" s="338"/>
      <c r="R880" s="338" t="s">
        <v>14</v>
      </c>
      <c r="S880" s="338"/>
      <c r="T880" s="338" t="s">
        <v>8451</v>
      </c>
      <c r="U880" s="338" t="s">
        <v>7119</v>
      </c>
      <c r="V880" s="337">
        <v>1</v>
      </c>
      <c r="W880" s="337">
        <v>1</v>
      </c>
      <c r="X880" s="338"/>
      <c r="Y880" s="338" t="s">
        <v>21</v>
      </c>
      <c r="Z880" s="338" t="s">
        <v>9071</v>
      </c>
      <c r="AA880" s="338" t="s">
        <v>6079</v>
      </c>
      <c r="AB880" s="338"/>
      <c r="AC880" s="338" t="s">
        <v>7061</v>
      </c>
      <c r="AD880" s="338"/>
      <c r="AF880" s="502" t="str">
        <f>Table15[[#This Row],[code2]]</f>
        <v>PDA</v>
      </c>
      <c r="AG880" s="502" t="str">
        <f>Table15[[#This Row],[code5]]</f>
        <v>PSAWB</v>
      </c>
    </row>
    <row r="881" spans="1:33">
      <c r="A881" s="338" t="s">
        <v>6072</v>
      </c>
      <c r="B881" s="338" t="s">
        <v>6073</v>
      </c>
      <c r="C881" s="337">
        <v>1</v>
      </c>
      <c r="D881" s="338" t="s">
        <v>7015</v>
      </c>
      <c r="E881" s="338" t="s">
        <v>7016</v>
      </c>
      <c r="F881" s="337">
        <v>1</v>
      </c>
      <c r="G881" s="337">
        <v>1</v>
      </c>
      <c r="H881" s="338"/>
      <c r="I881" s="338" t="s">
        <v>9555</v>
      </c>
      <c r="J881" s="338" t="s">
        <v>9556</v>
      </c>
      <c r="K881" s="338" t="s">
        <v>7017</v>
      </c>
      <c r="L881" s="338" t="s">
        <v>7018</v>
      </c>
      <c r="M881" s="338" t="s">
        <v>7103</v>
      </c>
      <c r="N881" s="338" t="s">
        <v>7104</v>
      </c>
      <c r="O881" s="337">
        <v>1</v>
      </c>
      <c r="P881" s="337">
        <v>1</v>
      </c>
      <c r="Q881" s="338"/>
      <c r="R881" s="338" t="s">
        <v>14</v>
      </c>
      <c r="S881" s="338"/>
      <c r="T881" s="338" t="s">
        <v>8451</v>
      </c>
      <c r="U881" s="338" t="s">
        <v>7120</v>
      </c>
      <c r="V881" s="337">
        <v>1</v>
      </c>
      <c r="W881" s="337">
        <v>1</v>
      </c>
      <c r="X881" s="338"/>
      <c r="Y881" s="338" t="s">
        <v>750</v>
      </c>
      <c r="Z881" s="338" t="s">
        <v>7026</v>
      </c>
      <c r="AA881" s="338" t="s">
        <v>6079</v>
      </c>
      <c r="AB881" s="338"/>
      <c r="AC881" s="338" t="s">
        <v>7065</v>
      </c>
      <c r="AD881" s="338"/>
      <c r="AF881" s="502" t="str">
        <f>Table15[[#This Row],[code2]]</f>
        <v>PDA</v>
      </c>
      <c r="AG881" s="502" t="str">
        <f>Table15[[#This Row],[code5]]</f>
        <v>PSAWB</v>
      </c>
    </row>
    <row r="882" spans="1:33">
      <c r="A882" s="338" t="s">
        <v>6072</v>
      </c>
      <c r="B882" s="338" t="s">
        <v>6073</v>
      </c>
      <c r="C882" s="337">
        <v>1</v>
      </c>
      <c r="D882" s="338" t="s">
        <v>7015</v>
      </c>
      <c r="E882" s="338" t="s">
        <v>7016</v>
      </c>
      <c r="F882" s="337">
        <v>1</v>
      </c>
      <c r="G882" s="337">
        <v>1</v>
      </c>
      <c r="H882" s="338"/>
      <c r="I882" s="338" t="s">
        <v>9555</v>
      </c>
      <c r="J882" s="338" t="s">
        <v>9556</v>
      </c>
      <c r="K882" s="338" t="s">
        <v>7017</v>
      </c>
      <c r="L882" s="338" t="s">
        <v>7018</v>
      </c>
      <c r="M882" s="338" t="s">
        <v>7103</v>
      </c>
      <c r="N882" s="338" t="s">
        <v>7104</v>
      </c>
      <c r="O882" s="337">
        <v>1</v>
      </c>
      <c r="P882" s="337">
        <v>1</v>
      </c>
      <c r="Q882" s="338"/>
      <c r="R882" s="338" t="s">
        <v>14</v>
      </c>
      <c r="S882" s="338"/>
      <c r="T882" s="338" t="s">
        <v>8451</v>
      </c>
      <c r="U882" s="338" t="s">
        <v>7121</v>
      </c>
      <c r="V882" s="337">
        <v>1</v>
      </c>
      <c r="W882" s="337">
        <v>1</v>
      </c>
      <c r="X882" s="338"/>
      <c r="Y882" s="338" t="s">
        <v>7046</v>
      </c>
      <c r="Z882" s="338" t="s">
        <v>9199</v>
      </c>
      <c r="AA882" s="338" t="s">
        <v>6079</v>
      </c>
      <c r="AB882" s="338"/>
      <c r="AC882" s="338" t="s">
        <v>7065</v>
      </c>
      <c r="AD882" s="338"/>
      <c r="AF882" s="502" t="str">
        <f>Table15[[#This Row],[code2]]</f>
        <v>PDA</v>
      </c>
      <c r="AG882" s="502" t="str">
        <f>Table15[[#This Row],[code5]]</f>
        <v>PSAWB</v>
      </c>
    </row>
    <row r="883" spans="1:33">
      <c r="A883" s="338" t="s">
        <v>6072</v>
      </c>
      <c r="B883" s="338" t="s">
        <v>6073</v>
      </c>
      <c r="C883" s="337">
        <v>1</v>
      </c>
      <c r="D883" s="338" t="s">
        <v>7015</v>
      </c>
      <c r="E883" s="338" t="s">
        <v>7016</v>
      </c>
      <c r="F883" s="337">
        <v>1</v>
      </c>
      <c r="G883" s="337">
        <v>1</v>
      </c>
      <c r="H883" s="338"/>
      <c r="I883" s="338" t="s">
        <v>9555</v>
      </c>
      <c r="J883" s="338" t="s">
        <v>9556</v>
      </c>
      <c r="K883" s="338" t="s">
        <v>7017</v>
      </c>
      <c r="L883" s="338" t="s">
        <v>7018</v>
      </c>
      <c r="M883" s="338" t="s">
        <v>7103</v>
      </c>
      <c r="N883" s="338" t="s">
        <v>7104</v>
      </c>
      <c r="O883" s="337">
        <v>1</v>
      </c>
      <c r="P883" s="337">
        <v>1</v>
      </c>
      <c r="Q883" s="338"/>
      <c r="R883" s="338" t="s">
        <v>14</v>
      </c>
      <c r="S883" s="338"/>
      <c r="T883" s="338" t="s">
        <v>8451</v>
      </c>
      <c r="U883" s="338" t="s">
        <v>7122</v>
      </c>
      <c r="V883" s="337">
        <v>1</v>
      </c>
      <c r="W883" s="337">
        <v>1</v>
      </c>
      <c r="X883" s="338"/>
      <c r="Y883" s="338" t="s">
        <v>21</v>
      </c>
      <c r="Z883" s="338" t="s">
        <v>9071</v>
      </c>
      <c r="AA883" s="338" t="s">
        <v>6079</v>
      </c>
      <c r="AB883" s="338"/>
      <c r="AC883" s="338" t="s">
        <v>7065</v>
      </c>
      <c r="AD883" s="338"/>
      <c r="AF883" s="502" t="str">
        <f>Table15[[#This Row],[code2]]</f>
        <v>PDA</v>
      </c>
      <c r="AG883" s="502" t="str">
        <f>Table15[[#This Row],[code5]]</f>
        <v>PSAWB</v>
      </c>
    </row>
    <row r="884" spans="1:33">
      <c r="A884" s="338" t="s">
        <v>6072</v>
      </c>
      <c r="B884" s="338" t="s">
        <v>6073</v>
      </c>
      <c r="C884" s="337">
        <v>1</v>
      </c>
      <c r="D884" s="338" t="s">
        <v>7015</v>
      </c>
      <c r="E884" s="338" t="s">
        <v>7016</v>
      </c>
      <c r="F884" s="337">
        <v>1</v>
      </c>
      <c r="G884" s="337">
        <v>1</v>
      </c>
      <c r="H884" s="338"/>
      <c r="I884" s="338" t="s">
        <v>9555</v>
      </c>
      <c r="J884" s="338" t="s">
        <v>9556</v>
      </c>
      <c r="K884" s="338" t="s">
        <v>7017</v>
      </c>
      <c r="L884" s="338" t="s">
        <v>7018</v>
      </c>
      <c r="M884" s="338" t="s">
        <v>7103</v>
      </c>
      <c r="N884" s="338" t="s">
        <v>7104</v>
      </c>
      <c r="O884" s="337">
        <v>1</v>
      </c>
      <c r="P884" s="337">
        <v>1</v>
      </c>
      <c r="Q884" s="338"/>
      <c r="R884" s="338" t="s">
        <v>14</v>
      </c>
      <c r="S884" s="338"/>
      <c r="T884" s="338" t="s">
        <v>8451</v>
      </c>
      <c r="U884" s="338" t="s">
        <v>7123</v>
      </c>
      <c r="V884" s="337">
        <v>1</v>
      </c>
      <c r="W884" s="337">
        <v>1</v>
      </c>
      <c r="X884" s="338"/>
      <c r="Y884" s="338" t="s">
        <v>750</v>
      </c>
      <c r="Z884" s="338" t="s">
        <v>7026</v>
      </c>
      <c r="AA884" s="338" t="s">
        <v>6079</v>
      </c>
      <c r="AB884" s="338"/>
      <c r="AC884" s="338" t="s">
        <v>7069</v>
      </c>
      <c r="AD884" s="338"/>
      <c r="AF884" s="502" t="str">
        <f>Table15[[#This Row],[code2]]</f>
        <v>PDA</v>
      </c>
      <c r="AG884" s="502" t="str">
        <f>Table15[[#This Row],[code5]]</f>
        <v>PSAWB</v>
      </c>
    </row>
    <row r="885" spans="1:33">
      <c r="A885" s="338" t="s">
        <v>6072</v>
      </c>
      <c r="B885" s="338" t="s">
        <v>6073</v>
      </c>
      <c r="C885" s="337">
        <v>1</v>
      </c>
      <c r="D885" s="338" t="s">
        <v>7015</v>
      </c>
      <c r="E885" s="338" t="s">
        <v>7016</v>
      </c>
      <c r="F885" s="337">
        <v>1</v>
      </c>
      <c r="G885" s="337">
        <v>1</v>
      </c>
      <c r="H885" s="338"/>
      <c r="I885" s="338" t="s">
        <v>9555</v>
      </c>
      <c r="J885" s="338" t="s">
        <v>9556</v>
      </c>
      <c r="K885" s="338" t="s">
        <v>7017</v>
      </c>
      <c r="L885" s="338" t="s">
        <v>7018</v>
      </c>
      <c r="M885" s="338" t="s">
        <v>7103</v>
      </c>
      <c r="N885" s="338" t="s">
        <v>7104</v>
      </c>
      <c r="O885" s="337">
        <v>1</v>
      </c>
      <c r="P885" s="337">
        <v>1</v>
      </c>
      <c r="Q885" s="338"/>
      <c r="R885" s="338" t="s">
        <v>14</v>
      </c>
      <c r="S885" s="338"/>
      <c r="T885" s="338" t="s">
        <v>8451</v>
      </c>
      <c r="U885" s="338" t="s">
        <v>7124</v>
      </c>
      <c r="V885" s="337">
        <v>1</v>
      </c>
      <c r="W885" s="337">
        <v>1</v>
      </c>
      <c r="X885" s="338"/>
      <c r="Y885" s="338" t="s">
        <v>7046</v>
      </c>
      <c r="Z885" s="338" t="s">
        <v>9199</v>
      </c>
      <c r="AA885" s="338" t="s">
        <v>6079</v>
      </c>
      <c r="AB885" s="338"/>
      <c r="AC885" s="338" t="s">
        <v>7069</v>
      </c>
      <c r="AD885" s="338"/>
      <c r="AF885" s="502" t="str">
        <f>Table15[[#This Row],[code2]]</f>
        <v>PDA</v>
      </c>
      <c r="AG885" s="502" t="str">
        <f>Table15[[#This Row],[code5]]</f>
        <v>PSAWB</v>
      </c>
    </row>
    <row r="886" spans="1:33">
      <c r="A886" s="338" t="s">
        <v>6072</v>
      </c>
      <c r="B886" s="338" t="s">
        <v>6073</v>
      </c>
      <c r="C886" s="337">
        <v>1</v>
      </c>
      <c r="D886" s="338" t="s">
        <v>7015</v>
      </c>
      <c r="E886" s="338" t="s">
        <v>7016</v>
      </c>
      <c r="F886" s="337">
        <v>1</v>
      </c>
      <c r="G886" s="337">
        <v>1</v>
      </c>
      <c r="H886" s="338"/>
      <c r="I886" s="338" t="s">
        <v>9555</v>
      </c>
      <c r="J886" s="338" t="s">
        <v>9556</v>
      </c>
      <c r="K886" s="338" t="s">
        <v>7017</v>
      </c>
      <c r="L886" s="338" t="s">
        <v>7018</v>
      </c>
      <c r="M886" s="338" t="s">
        <v>7103</v>
      </c>
      <c r="N886" s="338" t="s">
        <v>7104</v>
      </c>
      <c r="O886" s="337">
        <v>1</v>
      </c>
      <c r="P886" s="337">
        <v>1</v>
      </c>
      <c r="Q886" s="338"/>
      <c r="R886" s="338" t="s">
        <v>14</v>
      </c>
      <c r="S886" s="338"/>
      <c r="T886" s="338" t="s">
        <v>8451</v>
      </c>
      <c r="U886" s="338" t="s">
        <v>7125</v>
      </c>
      <c r="V886" s="337">
        <v>1</v>
      </c>
      <c r="W886" s="337">
        <v>1</v>
      </c>
      <c r="X886" s="338"/>
      <c r="Y886" s="338" t="s">
        <v>21</v>
      </c>
      <c r="Z886" s="338" t="s">
        <v>9071</v>
      </c>
      <c r="AA886" s="338" t="s">
        <v>6079</v>
      </c>
      <c r="AB886" s="338"/>
      <c r="AC886" s="338" t="s">
        <v>7069</v>
      </c>
      <c r="AD886" s="338"/>
      <c r="AF886" s="502" t="str">
        <f>Table15[[#This Row],[code2]]</f>
        <v>PDA</v>
      </c>
      <c r="AG886" s="502" t="str">
        <f>Table15[[#This Row],[code5]]</f>
        <v>PSAWB</v>
      </c>
    </row>
    <row r="887" spans="1:33">
      <c r="A887" s="338" t="s">
        <v>6072</v>
      </c>
      <c r="B887" s="338" t="s">
        <v>6073</v>
      </c>
      <c r="C887" s="337">
        <v>1</v>
      </c>
      <c r="D887" s="338" t="s">
        <v>7015</v>
      </c>
      <c r="E887" s="338" t="s">
        <v>7016</v>
      </c>
      <c r="F887" s="337">
        <v>1</v>
      </c>
      <c r="G887" s="337">
        <v>1</v>
      </c>
      <c r="H887" s="338"/>
      <c r="I887" s="338" t="s">
        <v>9555</v>
      </c>
      <c r="J887" s="338" t="s">
        <v>9556</v>
      </c>
      <c r="K887" s="338" t="s">
        <v>7017</v>
      </c>
      <c r="L887" s="338" t="s">
        <v>7018</v>
      </c>
      <c r="M887" s="338" t="s">
        <v>7103</v>
      </c>
      <c r="N887" s="338" t="s">
        <v>7104</v>
      </c>
      <c r="O887" s="337">
        <v>1</v>
      </c>
      <c r="P887" s="337">
        <v>1</v>
      </c>
      <c r="Q887" s="338"/>
      <c r="R887" s="338" t="s">
        <v>14</v>
      </c>
      <c r="S887" s="338"/>
      <c r="T887" s="338" t="s">
        <v>8451</v>
      </c>
      <c r="U887" s="338" t="s">
        <v>7126</v>
      </c>
      <c r="V887" s="337">
        <v>1</v>
      </c>
      <c r="W887" s="337">
        <v>1</v>
      </c>
      <c r="X887" s="338"/>
      <c r="Y887" s="338" t="s">
        <v>750</v>
      </c>
      <c r="Z887" s="338" t="s">
        <v>7026</v>
      </c>
      <c r="AA887" s="338" t="s">
        <v>6079</v>
      </c>
      <c r="AB887" s="338"/>
      <c r="AC887" s="338" t="s">
        <v>7030</v>
      </c>
      <c r="AD887" s="338"/>
      <c r="AF887" s="502" t="str">
        <f>Table15[[#This Row],[code2]]</f>
        <v>PDA</v>
      </c>
      <c r="AG887" s="502" t="str">
        <f>Table15[[#This Row],[code5]]</f>
        <v>PSAWB</v>
      </c>
    </row>
    <row r="888" spans="1:33">
      <c r="A888" s="338" t="s">
        <v>6072</v>
      </c>
      <c r="B888" s="338" t="s">
        <v>6073</v>
      </c>
      <c r="C888" s="337">
        <v>1</v>
      </c>
      <c r="D888" s="338" t="s">
        <v>7015</v>
      </c>
      <c r="E888" s="338" t="s">
        <v>7016</v>
      </c>
      <c r="F888" s="337">
        <v>1</v>
      </c>
      <c r="G888" s="337">
        <v>1</v>
      </c>
      <c r="H888" s="338"/>
      <c r="I888" s="338" t="s">
        <v>9555</v>
      </c>
      <c r="J888" s="338" t="s">
        <v>9556</v>
      </c>
      <c r="K888" s="338" t="s">
        <v>7017</v>
      </c>
      <c r="L888" s="338" t="s">
        <v>7018</v>
      </c>
      <c r="M888" s="338" t="s">
        <v>7103</v>
      </c>
      <c r="N888" s="338" t="s">
        <v>7104</v>
      </c>
      <c r="O888" s="337">
        <v>1</v>
      </c>
      <c r="P888" s="337">
        <v>1</v>
      </c>
      <c r="Q888" s="338"/>
      <c r="R888" s="338" t="s">
        <v>14</v>
      </c>
      <c r="S888" s="338"/>
      <c r="T888" s="338" t="s">
        <v>8451</v>
      </c>
      <c r="U888" s="338" t="s">
        <v>7127</v>
      </c>
      <c r="V888" s="337">
        <v>1</v>
      </c>
      <c r="W888" s="337">
        <v>1</v>
      </c>
      <c r="X888" s="338"/>
      <c r="Y888" s="338" t="s">
        <v>7046</v>
      </c>
      <c r="Z888" s="338" t="s">
        <v>9199</v>
      </c>
      <c r="AA888" s="338" t="s">
        <v>6079</v>
      </c>
      <c r="AB888" s="338"/>
      <c r="AC888" s="338" t="s">
        <v>7030</v>
      </c>
      <c r="AD888" s="338"/>
      <c r="AF888" s="502" t="str">
        <f>Table15[[#This Row],[code2]]</f>
        <v>PDA</v>
      </c>
      <c r="AG888" s="502" t="str">
        <f>Table15[[#This Row],[code5]]</f>
        <v>PSAWB</v>
      </c>
    </row>
    <row r="889" spans="1:33">
      <c r="A889" s="338" t="s">
        <v>6072</v>
      </c>
      <c r="B889" s="338" t="s">
        <v>6073</v>
      </c>
      <c r="C889" s="337">
        <v>1</v>
      </c>
      <c r="D889" s="338" t="s">
        <v>7015</v>
      </c>
      <c r="E889" s="338" t="s">
        <v>7016</v>
      </c>
      <c r="F889" s="337">
        <v>1</v>
      </c>
      <c r="G889" s="337">
        <v>1</v>
      </c>
      <c r="H889" s="338"/>
      <c r="I889" s="338" t="s">
        <v>9555</v>
      </c>
      <c r="J889" s="338" t="s">
        <v>9556</v>
      </c>
      <c r="K889" s="338" t="s">
        <v>7017</v>
      </c>
      <c r="L889" s="338" t="s">
        <v>7018</v>
      </c>
      <c r="M889" s="338" t="s">
        <v>7103</v>
      </c>
      <c r="N889" s="338" t="s">
        <v>7104</v>
      </c>
      <c r="O889" s="337">
        <v>1</v>
      </c>
      <c r="P889" s="337">
        <v>1</v>
      </c>
      <c r="Q889" s="338"/>
      <c r="R889" s="338" t="s">
        <v>14</v>
      </c>
      <c r="S889" s="338"/>
      <c r="T889" s="338" t="s">
        <v>8451</v>
      </c>
      <c r="U889" s="338" t="s">
        <v>7128</v>
      </c>
      <c r="V889" s="337">
        <v>1</v>
      </c>
      <c r="W889" s="337">
        <v>1</v>
      </c>
      <c r="X889" s="338"/>
      <c r="Y889" s="338" t="s">
        <v>21</v>
      </c>
      <c r="Z889" s="338" t="s">
        <v>9071</v>
      </c>
      <c r="AA889" s="338" t="s">
        <v>6079</v>
      </c>
      <c r="AB889" s="338"/>
      <c r="AC889" s="338" t="s">
        <v>7030</v>
      </c>
      <c r="AD889" s="338"/>
      <c r="AF889" s="502" t="str">
        <f>Table15[[#This Row],[code2]]</f>
        <v>PDA</v>
      </c>
      <c r="AG889" s="502" t="str">
        <f>Table15[[#This Row],[code5]]</f>
        <v>PSAWB</v>
      </c>
    </row>
    <row r="890" spans="1:33">
      <c r="A890" s="338" t="s">
        <v>6072</v>
      </c>
      <c r="B890" s="338" t="s">
        <v>6073</v>
      </c>
      <c r="C890" s="337">
        <v>1</v>
      </c>
      <c r="D890" s="338" t="s">
        <v>7015</v>
      </c>
      <c r="E890" s="338" t="s">
        <v>7016</v>
      </c>
      <c r="F890" s="337">
        <v>1</v>
      </c>
      <c r="G890" s="337">
        <v>1</v>
      </c>
      <c r="H890" s="338"/>
      <c r="I890" s="338" t="s">
        <v>9555</v>
      </c>
      <c r="J890" s="338" t="s">
        <v>9556</v>
      </c>
      <c r="K890" s="338" t="s">
        <v>7017</v>
      </c>
      <c r="L890" s="338" t="s">
        <v>7018</v>
      </c>
      <c r="M890" s="338" t="s">
        <v>7129</v>
      </c>
      <c r="N890" s="338" t="s">
        <v>7130</v>
      </c>
      <c r="O890" s="337">
        <v>1</v>
      </c>
      <c r="P890" s="337">
        <v>1</v>
      </c>
      <c r="Q890" s="338"/>
      <c r="R890" s="338" t="s">
        <v>14</v>
      </c>
      <c r="S890" s="338"/>
      <c r="T890" s="338"/>
      <c r="U890" s="338" t="s">
        <v>7131</v>
      </c>
      <c r="V890" s="337">
        <v>1</v>
      </c>
      <c r="W890" s="337">
        <v>1</v>
      </c>
      <c r="X890" s="338"/>
      <c r="Y890" s="338" t="s">
        <v>6318</v>
      </c>
      <c r="Z890" s="338" t="s">
        <v>7023</v>
      </c>
      <c r="AA890" s="338" t="s">
        <v>6079</v>
      </c>
      <c r="AB890" s="338"/>
      <c r="AC890" s="338" t="s">
        <v>7132</v>
      </c>
      <c r="AD890" s="338"/>
      <c r="AF890" s="502" t="str">
        <f>Table15[[#This Row],[code2]]</f>
        <v>PDA</v>
      </c>
      <c r="AG890" s="502" t="str">
        <f>Table15[[#This Row],[code5]]</f>
        <v>ECM</v>
      </c>
    </row>
    <row r="891" spans="1:33">
      <c r="A891" s="338" t="s">
        <v>6072</v>
      </c>
      <c r="B891" s="338" t="s">
        <v>6073</v>
      </c>
      <c r="C891" s="337">
        <v>1</v>
      </c>
      <c r="D891" s="338" t="s">
        <v>7015</v>
      </c>
      <c r="E891" s="338" t="s">
        <v>7016</v>
      </c>
      <c r="F891" s="337">
        <v>1</v>
      </c>
      <c r="G891" s="337">
        <v>1</v>
      </c>
      <c r="H891" s="338"/>
      <c r="I891" s="338" t="s">
        <v>9555</v>
      </c>
      <c r="J891" s="338" t="s">
        <v>9556</v>
      </c>
      <c r="K891" s="338" t="s">
        <v>7017</v>
      </c>
      <c r="L891" s="338" t="s">
        <v>7018</v>
      </c>
      <c r="M891" s="338" t="s">
        <v>7129</v>
      </c>
      <c r="N891" s="338" t="s">
        <v>7130</v>
      </c>
      <c r="O891" s="337">
        <v>1</v>
      </c>
      <c r="P891" s="337">
        <v>1</v>
      </c>
      <c r="Q891" s="338"/>
      <c r="R891" s="338" t="s">
        <v>14</v>
      </c>
      <c r="S891" s="338"/>
      <c r="T891" s="338"/>
      <c r="U891" s="338" t="s">
        <v>7133</v>
      </c>
      <c r="V891" s="337">
        <v>1</v>
      </c>
      <c r="W891" s="337">
        <v>1</v>
      </c>
      <c r="X891" s="338"/>
      <c r="Y891" s="338" t="s">
        <v>6318</v>
      </c>
      <c r="Z891" s="338" t="s">
        <v>7023</v>
      </c>
      <c r="AA891" s="338" t="s">
        <v>6079</v>
      </c>
      <c r="AB891" s="338"/>
      <c r="AC891" s="338" t="s">
        <v>7134</v>
      </c>
      <c r="AD891" s="338"/>
      <c r="AF891" s="502" t="str">
        <f>Table15[[#This Row],[code2]]</f>
        <v>PDA</v>
      </c>
      <c r="AG891" s="502" t="str">
        <f>Table15[[#This Row],[code5]]</f>
        <v>ECM</v>
      </c>
    </row>
    <row r="892" spans="1:33">
      <c r="A892" s="338" t="s">
        <v>6072</v>
      </c>
      <c r="B892" s="338" t="s">
        <v>6073</v>
      </c>
      <c r="C892" s="337">
        <v>1</v>
      </c>
      <c r="D892" s="338" t="s">
        <v>7015</v>
      </c>
      <c r="E892" s="338" t="s">
        <v>7016</v>
      </c>
      <c r="F892" s="337">
        <v>1</v>
      </c>
      <c r="G892" s="337">
        <v>1</v>
      </c>
      <c r="H892" s="338"/>
      <c r="I892" s="338" t="s">
        <v>9555</v>
      </c>
      <c r="J892" s="338" t="s">
        <v>9556</v>
      </c>
      <c r="K892" s="338" t="s">
        <v>7017</v>
      </c>
      <c r="L892" s="338" t="s">
        <v>7018</v>
      </c>
      <c r="M892" s="338" t="s">
        <v>7129</v>
      </c>
      <c r="N892" s="338" t="s">
        <v>7130</v>
      </c>
      <c r="O892" s="337">
        <v>1</v>
      </c>
      <c r="P892" s="337">
        <v>1</v>
      </c>
      <c r="Q892" s="338"/>
      <c r="R892" s="338" t="s">
        <v>14</v>
      </c>
      <c r="S892" s="338"/>
      <c r="T892" s="338"/>
      <c r="U892" s="338" t="s">
        <v>7135</v>
      </c>
      <c r="V892" s="337">
        <v>1</v>
      </c>
      <c r="W892" s="337">
        <v>1</v>
      </c>
      <c r="X892" s="338"/>
      <c r="Y892" s="338" t="s">
        <v>6318</v>
      </c>
      <c r="Z892" s="338" t="s">
        <v>7023</v>
      </c>
      <c r="AA892" s="338" t="s">
        <v>6079</v>
      </c>
      <c r="AB892" s="338"/>
      <c r="AC892" s="338" t="s">
        <v>7136</v>
      </c>
      <c r="AD892" s="338"/>
      <c r="AF892" s="502" t="str">
        <f>Table15[[#This Row],[code2]]</f>
        <v>PDA</v>
      </c>
      <c r="AG892" s="502" t="str">
        <f>Table15[[#This Row],[code5]]</f>
        <v>ECM</v>
      </c>
    </row>
    <row r="893" spans="1:33">
      <c r="A893" s="338" t="s">
        <v>6072</v>
      </c>
      <c r="B893" s="338" t="s">
        <v>6073</v>
      </c>
      <c r="C893" s="337">
        <v>1</v>
      </c>
      <c r="D893" s="338" t="s">
        <v>7015</v>
      </c>
      <c r="E893" s="338" t="s">
        <v>7016</v>
      </c>
      <c r="F893" s="337">
        <v>1</v>
      </c>
      <c r="G893" s="337">
        <v>1</v>
      </c>
      <c r="H893" s="338"/>
      <c r="I893" s="338" t="s">
        <v>9555</v>
      </c>
      <c r="J893" s="338" t="s">
        <v>9556</v>
      </c>
      <c r="K893" s="338" t="s">
        <v>7017</v>
      </c>
      <c r="L893" s="338" t="s">
        <v>7018</v>
      </c>
      <c r="M893" s="338" t="s">
        <v>7129</v>
      </c>
      <c r="N893" s="338" t="s">
        <v>7130</v>
      </c>
      <c r="O893" s="337">
        <v>1</v>
      </c>
      <c r="P893" s="337">
        <v>1</v>
      </c>
      <c r="Q893" s="338"/>
      <c r="R893" s="338" t="s">
        <v>14</v>
      </c>
      <c r="S893" s="338"/>
      <c r="T893" s="338"/>
      <c r="U893" s="338" t="s">
        <v>7137</v>
      </c>
      <c r="V893" s="337">
        <v>1</v>
      </c>
      <c r="W893" s="337">
        <v>1</v>
      </c>
      <c r="X893" s="338"/>
      <c r="Y893" s="338" t="s">
        <v>6318</v>
      </c>
      <c r="Z893" s="338" t="s">
        <v>7023</v>
      </c>
      <c r="AA893" s="338" t="s">
        <v>6079</v>
      </c>
      <c r="AB893" s="338"/>
      <c r="AC893" s="338" t="s">
        <v>7138</v>
      </c>
      <c r="AD893" s="338"/>
      <c r="AF893" s="502" t="str">
        <f>Table15[[#This Row],[code2]]</f>
        <v>PDA</v>
      </c>
      <c r="AG893" s="502" t="str">
        <f>Table15[[#This Row],[code5]]</f>
        <v>ECM</v>
      </c>
    </row>
    <row r="894" spans="1:33">
      <c r="A894" s="338" t="s">
        <v>6072</v>
      </c>
      <c r="B894" s="338" t="s">
        <v>6073</v>
      </c>
      <c r="C894" s="337">
        <v>1</v>
      </c>
      <c r="D894" s="338" t="s">
        <v>7015</v>
      </c>
      <c r="E894" s="338" t="s">
        <v>7016</v>
      </c>
      <c r="F894" s="337">
        <v>1</v>
      </c>
      <c r="G894" s="337">
        <v>1</v>
      </c>
      <c r="H894" s="338"/>
      <c r="I894" s="338" t="s">
        <v>9555</v>
      </c>
      <c r="J894" s="338" t="s">
        <v>9556</v>
      </c>
      <c r="K894" s="338" t="s">
        <v>7017</v>
      </c>
      <c r="L894" s="338" t="s">
        <v>7018</v>
      </c>
      <c r="M894" s="338" t="s">
        <v>7129</v>
      </c>
      <c r="N894" s="338" t="s">
        <v>7130</v>
      </c>
      <c r="O894" s="337">
        <v>1</v>
      </c>
      <c r="P894" s="337">
        <v>1</v>
      </c>
      <c r="Q894" s="338"/>
      <c r="R894" s="338" t="s">
        <v>14</v>
      </c>
      <c r="S894" s="338"/>
      <c r="T894" s="338"/>
      <c r="U894" s="338" t="s">
        <v>7139</v>
      </c>
      <c r="V894" s="337">
        <v>1</v>
      </c>
      <c r="W894" s="337">
        <v>1</v>
      </c>
      <c r="X894" s="338"/>
      <c r="Y894" s="338" t="s">
        <v>6318</v>
      </c>
      <c r="Z894" s="338" t="s">
        <v>7023</v>
      </c>
      <c r="AA894" s="338" t="s">
        <v>6079</v>
      </c>
      <c r="AB894" s="338"/>
      <c r="AC894" s="338" t="s">
        <v>7027</v>
      </c>
      <c r="AD894" s="338"/>
      <c r="AF894" s="502" t="str">
        <f>Table15[[#This Row],[code2]]</f>
        <v>PDA</v>
      </c>
      <c r="AG894" s="502" t="str">
        <f>Table15[[#This Row],[code5]]</f>
        <v>ECM</v>
      </c>
    </row>
    <row r="895" spans="1:33">
      <c r="A895" s="338" t="s">
        <v>6072</v>
      </c>
      <c r="B895" s="338" t="s">
        <v>6073</v>
      </c>
      <c r="C895" s="337">
        <v>1</v>
      </c>
      <c r="D895" s="338" t="s">
        <v>7015</v>
      </c>
      <c r="E895" s="338" t="s">
        <v>7016</v>
      </c>
      <c r="F895" s="337">
        <v>1</v>
      </c>
      <c r="G895" s="337">
        <v>1</v>
      </c>
      <c r="H895" s="338"/>
      <c r="I895" s="338" t="s">
        <v>9555</v>
      </c>
      <c r="J895" s="338" t="s">
        <v>9556</v>
      </c>
      <c r="K895" s="338" t="s">
        <v>7017</v>
      </c>
      <c r="L895" s="338" t="s">
        <v>7018</v>
      </c>
      <c r="M895" s="338" t="s">
        <v>7129</v>
      </c>
      <c r="N895" s="338" t="s">
        <v>7130</v>
      </c>
      <c r="O895" s="337">
        <v>1</v>
      </c>
      <c r="P895" s="337">
        <v>1</v>
      </c>
      <c r="Q895" s="338"/>
      <c r="R895" s="338" t="s">
        <v>14</v>
      </c>
      <c r="S895" s="338"/>
      <c r="T895" s="338"/>
      <c r="U895" s="338" t="s">
        <v>7140</v>
      </c>
      <c r="V895" s="337">
        <v>1</v>
      </c>
      <c r="W895" s="337">
        <v>1</v>
      </c>
      <c r="X895" s="338"/>
      <c r="Y895" s="338" t="s">
        <v>6318</v>
      </c>
      <c r="Z895" s="338" t="s">
        <v>7023</v>
      </c>
      <c r="AA895" s="338" t="s">
        <v>6079</v>
      </c>
      <c r="AB895" s="338"/>
      <c r="AC895" s="338" t="s">
        <v>7141</v>
      </c>
      <c r="AD895" s="338"/>
      <c r="AF895" s="502" t="str">
        <f>Table15[[#This Row],[code2]]</f>
        <v>PDA</v>
      </c>
      <c r="AG895" s="502" t="str">
        <f>Table15[[#This Row],[code5]]</f>
        <v>ECM</v>
      </c>
    </row>
    <row r="896" spans="1:33">
      <c r="A896" s="338" t="s">
        <v>6072</v>
      </c>
      <c r="B896" s="338" t="s">
        <v>6073</v>
      </c>
      <c r="C896" s="337">
        <v>1</v>
      </c>
      <c r="D896" s="338" t="s">
        <v>7015</v>
      </c>
      <c r="E896" s="338" t="s">
        <v>7016</v>
      </c>
      <c r="F896" s="337">
        <v>1</v>
      </c>
      <c r="G896" s="337">
        <v>1</v>
      </c>
      <c r="H896" s="338"/>
      <c r="I896" s="338" t="s">
        <v>9555</v>
      </c>
      <c r="J896" s="338" t="s">
        <v>9556</v>
      </c>
      <c r="K896" s="338" t="s">
        <v>7017</v>
      </c>
      <c r="L896" s="338" t="s">
        <v>7018</v>
      </c>
      <c r="M896" s="338" t="s">
        <v>7129</v>
      </c>
      <c r="N896" s="338" t="s">
        <v>7130</v>
      </c>
      <c r="O896" s="337">
        <v>1</v>
      </c>
      <c r="P896" s="337">
        <v>1</v>
      </c>
      <c r="Q896" s="338"/>
      <c r="R896" s="338" t="s">
        <v>14</v>
      </c>
      <c r="S896" s="338"/>
      <c r="T896" s="338"/>
      <c r="U896" s="338" t="s">
        <v>7142</v>
      </c>
      <c r="V896" s="337">
        <v>1</v>
      </c>
      <c r="W896" s="337">
        <v>1</v>
      </c>
      <c r="X896" s="338"/>
      <c r="Y896" s="338" t="s">
        <v>6318</v>
      </c>
      <c r="Z896" s="338" t="s">
        <v>7026</v>
      </c>
      <c r="AA896" s="338" t="s">
        <v>6079</v>
      </c>
      <c r="AB896" s="338"/>
      <c r="AC896" s="338" t="s">
        <v>7143</v>
      </c>
      <c r="AD896" s="338"/>
      <c r="AF896" s="502" t="str">
        <f>Table15[[#This Row],[code2]]</f>
        <v>PDA</v>
      </c>
      <c r="AG896" s="502" t="str">
        <f>Table15[[#This Row],[code5]]</f>
        <v>ECM</v>
      </c>
    </row>
    <row r="897" spans="1:33">
      <c r="A897" s="338" t="s">
        <v>6072</v>
      </c>
      <c r="B897" s="338" t="s">
        <v>6073</v>
      </c>
      <c r="C897" s="337">
        <v>1</v>
      </c>
      <c r="D897" s="338" t="s">
        <v>7015</v>
      </c>
      <c r="E897" s="338" t="s">
        <v>7016</v>
      </c>
      <c r="F897" s="337">
        <v>1</v>
      </c>
      <c r="G897" s="337">
        <v>1</v>
      </c>
      <c r="H897" s="338"/>
      <c r="I897" s="338" t="s">
        <v>9555</v>
      </c>
      <c r="J897" s="338" t="s">
        <v>9556</v>
      </c>
      <c r="K897" s="338" t="s">
        <v>7017</v>
      </c>
      <c r="L897" s="338" t="s">
        <v>7018</v>
      </c>
      <c r="M897" s="338" t="s">
        <v>7129</v>
      </c>
      <c r="N897" s="338" t="s">
        <v>7130</v>
      </c>
      <c r="O897" s="337">
        <v>1</v>
      </c>
      <c r="P897" s="337">
        <v>1</v>
      </c>
      <c r="Q897" s="338"/>
      <c r="R897" s="338" t="s">
        <v>14</v>
      </c>
      <c r="S897" s="338"/>
      <c r="T897" s="338"/>
      <c r="U897" s="338" t="s">
        <v>7144</v>
      </c>
      <c r="V897" s="337">
        <v>1</v>
      </c>
      <c r="W897" s="337">
        <v>1</v>
      </c>
      <c r="X897" s="338"/>
      <c r="Y897" s="338" t="s">
        <v>6318</v>
      </c>
      <c r="Z897" s="338" t="s">
        <v>7026</v>
      </c>
      <c r="AA897" s="338" t="s">
        <v>6079</v>
      </c>
      <c r="AB897" s="338"/>
      <c r="AC897" s="338" t="s">
        <v>7145</v>
      </c>
      <c r="AD897" s="338"/>
      <c r="AF897" s="502" t="str">
        <f>Table15[[#This Row],[code2]]</f>
        <v>PDA</v>
      </c>
      <c r="AG897" s="502" t="str">
        <f>Table15[[#This Row],[code5]]</f>
        <v>ECM</v>
      </c>
    </row>
    <row r="898" spans="1:33">
      <c r="A898" s="338" t="s">
        <v>6072</v>
      </c>
      <c r="B898" s="338" t="s">
        <v>6073</v>
      </c>
      <c r="C898" s="337">
        <v>1</v>
      </c>
      <c r="D898" s="338" t="s">
        <v>7015</v>
      </c>
      <c r="E898" s="338" t="s">
        <v>7016</v>
      </c>
      <c r="F898" s="337">
        <v>1</v>
      </c>
      <c r="G898" s="337">
        <v>1</v>
      </c>
      <c r="H898" s="338"/>
      <c r="I898" s="338" t="s">
        <v>9555</v>
      </c>
      <c r="J898" s="338" t="s">
        <v>9556</v>
      </c>
      <c r="K898" s="338" t="s">
        <v>7017</v>
      </c>
      <c r="L898" s="338" t="s">
        <v>7018</v>
      </c>
      <c r="M898" s="338" t="s">
        <v>7129</v>
      </c>
      <c r="N898" s="338" t="s">
        <v>7130</v>
      </c>
      <c r="O898" s="337">
        <v>1</v>
      </c>
      <c r="P898" s="337">
        <v>1</v>
      </c>
      <c r="Q898" s="338"/>
      <c r="R898" s="338" t="s">
        <v>14</v>
      </c>
      <c r="S898" s="338"/>
      <c r="T898" s="338"/>
      <c r="U898" s="338" t="s">
        <v>7146</v>
      </c>
      <c r="V898" s="337">
        <v>1</v>
      </c>
      <c r="W898" s="337">
        <v>1</v>
      </c>
      <c r="X898" s="338"/>
      <c r="Y898" s="338" t="s">
        <v>6318</v>
      </c>
      <c r="Z898" s="338" t="s">
        <v>7147</v>
      </c>
      <c r="AA898" s="338" t="s">
        <v>6079</v>
      </c>
      <c r="AB898" s="338"/>
      <c r="AC898" s="338" t="s">
        <v>7148</v>
      </c>
      <c r="AD898" s="338"/>
      <c r="AF898" s="502" t="str">
        <f>Table15[[#This Row],[code2]]</f>
        <v>PDA</v>
      </c>
      <c r="AG898" s="502" t="str">
        <f>Table15[[#This Row],[code5]]</f>
        <v>ECM</v>
      </c>
    </row>
    <row r="899" spans="1:33">
      <c r="A899" s="338" t="s">
        <v>6072</v>
      </c>
      <c r="B899" s="338" t="s">
        <v>6073</v>
      </c>
      <c r="C899" s="337">
        <v>1</v>
      </c>
      <c r="D899" s="338" t="s">
        <v>7015</v>
      </c>
      <c r="E899" s="338" t="s">
        <v>7016</v>
      </c>
      <c r="F899" s="337">
        <v>1</v>
      </c>
      <c r="G899" s="337">
        <v>1</v>
      </c>
      <c r="H899" s="338"/>
      <c r="I899" s="338" t="s">
        <v>9555</v>
      </c>
      <c r="J899" s="338" t="s">
        <v>9556</v>
      </c>
      <c r="K899" s="338" t="s">
        <v>7017</v>
      </c>
      <c r="L899" s="338" t="s">
        <v>7018</v>
      </c>
      <c r="M899" s="338" t="s">
        <v>7129</v>
      </c>
      <c r="N899" s="338" t="s">
        <v>7130</v>
      </c>
      <c r="O899" s="337">
        <v>1</v>
      </c>
      <c r="P899" s="337">
        <v>1</v>
      </c>
      <c r="Q899" s="338"/>
      <c r="R899" s="338" t="s">
        <v>14</v>
      </c>
      <c r="S899" s="338"/>
      <c r="T899" s="338"/>
      <c r="U899" s="338" t="s">
        <v>7149</v>
      </c>
      <c r="V899" s="337">
        <v>1</v>
      </c>
      <c r="W899" s="337">
        <v>1</v>
      </c>
      <c r="X899" s="338"/>
      <c r="Y899" s="338" t="s">
        <v>6318</v>
      </c>
      <c r="Z899" s="338" t="s">
        <v>7147</v>
      </c>
      <c r="AA899" s="338" t="s">
        <v>6079</v>
      </c>
      <c r="AB899" s="338"/>
      <c r="AC899" s="338" t="s">
        <v>7150</v>
      </c>
      <c r="AD899" s="338"/>
      <c r="AF899" s="502" t="str">
        <f>Table15[[#This Row],[code2]]</f>
        <v>PDA</v>
      </c>
      <c r="AG899" s="502" t="str">
        <f>Table15[[#This Row],[code5]]</f>
        <v>ECM</v>
      </c>
    </row>
    <row r="900" spans="1:33">
      <c r="A900" s="338" t="s">
        <v>6072</v>
      </c>
      <c r="B900" s="338" t="s">
        <v>6073</v>
      </c>
      <c r="C900" s="337">
        <v>1</v>
      </c>
      <c r="D900" s="338" t="s">
        <v>7015</v>
      </c>
      <c r="E900" s="338" t="s">
        <v>7016</v>
      </c>
      <c r="F900" s="337">
        <v>1</v>
      </c>
      <c r="G900" s="337">
        <v>1</v>
      </c>
      <c r="H900" s="338"/>
      <c r="I900" s="338" t="s">
        <v>9555</v>
      </c>
      <c r="J900" s="338" t="s">
        <v>9556</v>
      </c>
      <c r="K900" s="338" t="s">
        <v>7017</v>
      </c>
      <c r="L900" s="338" t="s">
        <v>7018</v>
      </c>
      <c r="M900" s="338" t="s">
        <v>7129</v>
      </c>
      <c r="N900" s="338" t="s">
        <v>7130</v>
      </c>
      <c r="O900" s="337">
        <v>1</v>
      </c>
      <c r="P900" s="337">
        <v>1</v>
      </c>
      <c r="Q900" s="338"/>
      <c r="R900" s="338" t="s">
        <v>14</v>
      </c>
      <c r="S900" s="338"/>
      <c r="T900" s="338"/>
      <c r="U900" s="338" t="s">
        <v>7151</v>
      </c>
      <c r="V900" s="337">
        <v>1</v>
      </c>
      <c r="W900" s="337">
        <v>1</v>
      </c>
      <c r="X900" s="338"/>
      <c r="Y900" s="338" t="s">
        <v>6318</v>
      </c>
      <c r="Z900" s="338" t="s">
        <v>7147</v>
      </c>
      <c r="AA900" s="338" t="s">
        <v>6079</v>
      </c>
      <c r="AB900" s="338"/>
      <c r="AC900" s="338" t="s">
        <v>7152</v>
      </c>
      <c r="AD900" s="338"/>
      <c r="AF900" s="502" t="str">
        <f>Table15[[#This Row],[code2]]</f>
        <v>PDA</v>
      </c>
      <c r="AG900" s="502" t="str">
        <f>Table15[[#This Row],[code5]]</f>
        <v>ECM</v>
      </c>
    </row>
    <row r="901" spans="1:33">
      <c r="A901" s="338" t="s">
        <v>6072</v>
      </c>
      <c r="B901" s="338" t="s">
        <v>6073</v>
      </c>
      <c r="C901" s="337">
        <v>1</v>
      </c>
      <c r="D901" s="338" t="s">
        <v>7015</v>
      </c>
      <c r="E901" s="338" t="s">
        <v>7016</v>
      </c>
      <c r="F901" s="337">
        <v>1</v>
      </c>
      <c r="G901" s="337">
        <v>1</v>
      </c>
      <c r="H901" s="338"/>
      <c r="I901" s="338" t="s">
        <v>9555</v>
      </c>
      <c r="J901" s="338" t="s">
        <v>9556</v>
      </c>
      <c r="K901" s="338" t="s">
        <v>7017</v>
      </c>
      <c r="L901" s="338" t="s">
        <v>7018</v>
      </c>
      <c r="M901" s="338" t="s">
        <v>7153</v>
      </c>
      <c r="N901" s="338" t="s">
        <v>7154</v>
      </c>
      <c r="O901" s="337">
        <v>1</v>
      </c>
      <c r="P901" s="337">
        <v>1</v>
      </c>
      <c r="Q901" s="338"/>
      <c r="R901" s="338"/>
      <c r="S901" s="338"/>
      <c r="T901" s="338" t="s">
        <v>7021</v>
      </c>
      <c r="U901" s="338" t="s">
        <v>7155</v>
      </c>
      <c r="V901" s="337">
        <v>1</v>
      </c>
      <c r="W901" s="337">
        <v>1</v>
      </c>
      <c r="X901" s="338"/>
      <c r="Y901" s="338" t="s">
        <v>6318</v>
      </c>
      <c r="Z901" s="338" t="s">
        <v>9081</v>
      </c>
      <c r="AA901" s="338" t="s">
        <v>6079</v>
      </c>
      <c r="AB901" s="338"/>
      <c r="AC901" s="338"/>
      <c r="AD901" s="338"/>
      <c r="AF901" s="502" t="str">
        <f>Table15[[#This Row],[code2]]</f>
        <v>PDA</v>
      </c>
      <c r="AG901" s="502" t="str">
        <f>Table15[[#This Row],[code5]]</f>
        <v>OS</v>
      </c>
    </row>
    <row r="902" spans="1:33">
      <c r="A902" s="338" t="s">
        <v>6072</v>
      </c>
      <c r="B902" s="338" t="s">
        <v>6073</v>
      </c>
      <c r="C902" s="337">
        <v>1</v>
      </c>
      <c r="D902" s="338" t="s">
        <v>7015</v>
      </c>
      <c r="E902" s="338" t="s">
        <v>7016</v>
      </c>
      <c r="F902" s="337">
        <v>1</v>
      </c>
      <c r="G902" s="337">
        <v>1</v>
      </c>
      <c r="H902" s="338"/>
      <c r="I902" s="338" t="s">
        <v>9555</v>
      </c>
      <c r="J902" s="338" t="s">
        <v>9556</v>
      </c>
      <c r="K902" s="338" t="s">
        <v>7017</v>
      </c>
      <c r="L902" s="338" t="s">
        <v>7018</v>
      </c>
      <c r="M902" s="338" t="s">
        <v>7156</v>
      </c>
      <c r="N902" s="338" t="s">
        <v>7157</v>
      </c>
      <c r="O902" s="337">
        <v>1</v>
      </c>
      <c r="P902" s="337">
        <v>1</v>
      </c>
      <c r="Q902" s="338"/>
      <c r="R902" s="338"/>
      <c r="S902" s="338"/>
      <c r="T902" s="338" t="s">
        <v>7158</v>
      </c>
      <c r="U902" s="338" t="s">
        <v>7159</v>
      </c>
      <c r="V902" s="337">
        <v>1</v>
      </c>
      <c r="W902" s="337">
        <v>1</v>
      </c>
      <c r="X902" s="338" t="s">
        <v>8874</v>
      </c>
      <c r="Y902" s="338" t="s">
        <v>6318</v>
      </c>
      <c r="Z902" s="338" t="s">
        <v>7026</v>
      </c>
      <c r="AA902" s="338" t="s">
        <v>6079</v>
      </c>
      <c r="AB902" s="338"/>
      <c r="AC902" s="338"/>
      <c r="AD902" s="338"/>
      <c r="AF902" s="502" t="str">
        <f>Table15[[#This Row],[code2]]</f>
        <v>PDA</v>
      </c>
      <c r="AG902" s="502" t="str">
        <f>Table15[[#This Row],[code5]]</f>
        <v>V2</v>
      </c>
    </row>
    <row r="903" spans="1:33">
      <c r="A903" s="338" t="s">
        <v>6072</v>
      </c>
      <c r="B903" s="338" t="s">
        <v>6073</v>
      </c>
      <c r="C903" s="337">
        <v>1</v>
      </c>
      <c r="D903" s="338" t="s">
        <v>7015</v>
      </c>
      <c r="E903" s="338" t="s">
        <v>7016</v>
      </c>
      <c r="F903" s="337">
        <v>1</v>
      </c>
      <c r="G903" s="337">
        <v>1</v>
      </c>
      <c r="H903" s="338"/>
      <c r="I903" s="338" t="s">
        <v>9555</v>
      </c>
      <c r="J903" s="338" t="s">
        <v>9556</v>
      </c>
      <c r="K903" s="338" t="s">
        <v>7017</v>
      </c>
      <c r="L903" s="338" t="s">
        <v>7018</v>
      </c>
      <c r="M903" s="338" t="s">
        <v>7156</v>
      </c>
      <c r="N903" s="338" t="s">
        <v>7157</v>
      </c>
      <c r="O903" s="337">
        <v>1</v>
      </c>
      <c r="P903" s="337">
        <v>1</v>
      </c>
      <c r="Q903" s="338"/>
      <c r="R903" s="338"/>
      <c r="S903" s="338"/>
      <c r="T903" s="338" t="s">
        <v>7158</v>
      </c>
      <c r="U903" s="338" t="s">
        <v>7160</v>
      </c>
      <c r="V903" s="337">
        <v>1</v>
      </c>
      <c r="W903" s="337">
        <v>1</v>
      </c>
      <c r="X903" s="338" t="s">
        <v>7161</v>
      </c>
      <c r="Y903" s="338" t="s">
        <v>6318</v>
      </c>
      <c r="Z903" s="338" t="s">
        <v>9171</v>
      </c>
      <c r="AA903" s="338" t="s">
        <v>6079</v>
      </c>
      <c r="AB903" s="338"/>
      <c r="AC903" s="338"/>
      <c r="AD903" s="338"/>
      <c r="AF903" s="502" t="str">
        <f>Table15[[#This Row],[code2]]</f>
        <v>PDA</v>
      </c>
      <c r="AG903" s="502" t="str">
        <f>Table15[[#This Row],[code5]]</f>
        <v>V2</v>
      </c>
    </row>
    <row r="904" spans="1:33">
      <c r="A904" s="338" t="s">
        <v>6072</v>
      </c>
      <c r="B904" s="338" t="s">
        <v>6073</v>
      </c>
      <c r="C904" s="337">
        <v>1</v>
      </c>
      <c r="D904" s="338" t="s">
        <v>7015</v>
      </c>
      <c r="E904" s="338" t="s">
        <v>7016</v>
      </c>
      <c r="F904" s="337">
        <v>1</v>
      </c>
      <c r="G904" s="337">
        <v>1</v>
      </c>
      <c r="H904" s="338"/>
      <c r="I904" s="338" t="s">
        <v>9555</v>
      </c>
      <c r="J904" s="338" t="s">
        <v>9556</v>
      </c>
      <c r="K904" s="338" t="s">
        <v>7017</v>
      </c>
      <c r="L904" s="338" t="s">
        <v>7018</v>
      </c>
      <c r="M904" s="338" t="s">
        <v>7163</v>
      </c>
      <c r="N904" s="338" t="s">
        <v>7164</v>
      </c>
      <c r="O904" s="337">
        <v>1</v>
      </c>
      <c r="P904" s="337">
        <v>1</v>
      </c>
      <c r="Q904" s="338"/>
      <c r="R904" s="338" t="s">
        <v>14</v>
      </c>
      <c r="S904" s="338"/>
      <c r="T904" s="338" t="s">
        <v>7021</v>
      </c>
      <c r="U904" s="338" t="s">
        <v>7165</v>
      </c>
      <c r="V904" s="337">
        <v>1</v>
      </c>
      <c r="W904" s="337">
        <v>1</v>
      </c>
      <c r="X904" s="338"/>
      <c r="Y904" s="338" t="s">
        <v>6318</v>
      </c>
      <c r="Z904" s="338" t="s">
        <v>7023</v>
      </c>
      <c r="AA904" s="338" t="s">
        <v>6079</v>
      </c>
      <c r="AB904" s="338"/>
      <c r="AC904" s="338" t="s">
        <v>7166</v>
      </c>
      <c r="AD904" s="338"/>
      <c r="AF904" s="502" t="str">
        <f>Table15[[#This Row],[code2]]</f>
        <v>PDA</v>
      </c>
      <c r="AG904" s="502" t="str">
        <f>Table15[[#This Row],[code5]]</f>
        <v>PC</v>
      </c>
    </row>
    <row r="905" spans="1:33">
      <c r="A905" s="338" t="s">
        <v>6072</v>
      </c>
      <c r="B905" s="338" t="s">
        <v>6073</v>
      </c>
      <c r="C905" s="337">
        <v>1</v>
      </c>
      <c r="D905" s="338" t="s">
        <v>7015</v>
      </c>
      <c r="E905" s="338" t="s">
        <v>7016</v>
      </c>
      <c r="F905" s="337">
        <v>1</v>
      </c>
      <c r="G905" s="337">
        <v>1</v>
      </c>
      <c r="H905" s="338"/>
      <c r="I905" s="338" t="s">
        <v>9555</v>
      </c>
      <c r="J905" s="338" t="s">
        <v>9556</v>
      </c>
      <c r="K905" s="338" t="s">
        <v>7017</v>
      </c>
      <c r="L905" s="338" t="s">
        <v>7018</v>
      </c>
      <c r="M905" s="338" t="s">
        <v>7163</v>
      </c>
      <c r="N905" s="338" t="s">
        <v>7164</v>
      </c>
      <c r="O905" s="337">
        <v>1</v>
      </c>
      <c r="P905" s="337">
        <v>1</v>
      </c>
      <c r="Q905" s="338"/>
      <c r="R905" s="338" t="s">
        <v>14</v>
      </c>
      <c r="S905" s="338"/>
      <c r="T905" s="338" t="s">
        <v>7021</v>
      </c>
      <c r="U905" s="338" t="s">
        <v>7167</v>
      </c>
      <c r="V905" s="337">
        <v>1</v>
      </c>
      <c r="W905" s="337">
        <v>1</v>
      </c>
      <c r="X905" s="338"/>
      <c r="Y905" s="338" t="s">
        <v>6318</v>
      </c>
      <c r="Z905" s="338" t="s">
        <v>7147</v>
      </c>
      <c r="AA905" s="338" t="s">
        <v>6079</v>
      </c>
      <c r="AB905" s="338"/>
      <c r="AC905" s="338" t="s">
        <v>7168</v>
      </c>
      <c r="AD905" s="338"/>
      <c r="AF905" s="502" t="str">
        <f>Table15[[#This Row],[code2]]</f>
        <v>PDA</v>
      </c>
      <c r="AG905" s="502" t="str">
        <f>Table15[[#This Row],[code5]]</f>
        <v>PC</v>
      </c>
    </row>
    <row r="906" spans="1:33">
      <c r="A906" s="338" t="s">
        <v>6072</v>
      </c>
      <c r="B906" s="338" t="s">
        <v>6073</v>
      </c>
      <c r="C906" s="337">
        <v>1</v>
      </c>
      <c r="D906" s="338" t="s">
        <v>7015</v>
      </c>
      <c r="E906" s="338" t="s">
        <v>7016</v>
      </c>
      <c r="F906" s="337">
        <v>1</v>
      </c>
      <c r="G906" s="337">
        <v>1</v>
      </c>
      <c r="H906" s="338"/>
      <c r="I906" s="338" t="s">
        <v>9555</v>
      </c>
      <c r="J906" s="338" t="s">
        <v>9556</v>
      </c>
      <c r="K906" s="338" t="s">
        <v>7017</v>
      </c>
      <c r="L906" s="338" t="s">
        <v>7018</v>
      </c>
      <c r="M906" s="338" t="s">
        <v>7163</v>
      </c>
      <c r="N906" s="338" t="s">
        <v>7164</v>
      </c>
      <c r="O906" s="337">
        <v>1</v>
      </c>
      <c r="P906" s="337">
        <v>1</v>
      </c>
      <c r="Q906" s="338"/>
      <c r="R906" s="338" t="s">
        <v>14</v>
      </c>
      <c r="S906" s="338"/>
      <c r="T906" s="338" t="s">
        <v>7021</v>
      </c>
      <c r="U906" s="338" t="s">
        <v>7169</v>
      </c>
      <c r="V906" s="337">
        <v>1</v>
      </c>
      <c r="W906" s="337">
        <v>1</v>
      </c>
      <c r="X906" s="338"/>
      <c r="Y906" s="338" t="s">
        <v>6318</v>
      </c>
      <c r="Z906" s="338" t="s">
        <v>7147</v>
      </c>
      <c r="AA906" s="338" t="s">
        <v>6079</v>
      </c>
      <c r="AB906" s="338"/>
      <c r="AC906" s="338" t="s">
        <v>7170</v>
      </c>
      <c r="AD906" s="338"/>
      <c r="AF906" s="502" t="str">
        <f>Table15[[#This Row],[code2]]</f>
        <v>PDA</v>
      </c>
      <c r="AG906" s="502" t="str">
        <f>Table15[[#This Row],[code5]]</f>
        <v>PC</v>
      </c>
    </row>
    <row r="907" spans="1:33">
      <c r="A907" s="338" t="s">
        <v>6072</v>
      </c>
      <c r="B907" s="338" t="s">
        <v>6073</v>
      </c>
      <c r="C907" s="337">
        <v>1</v>
      </c>
      <c r="D907" s="338" t="s">
        <v>7015</v>
      </c>
      <c r="E907" s="338" t="s">
        <v>7016</v>
      </c>
      <c r="F907" s="337">
        <v>1</v>
      </c>
      <c r="G907" s="337">
        <v>1</v>
      </c>
      <c r="H907" s="338"/>
      <c r="I907" s="338" t="s">
        <v>9555</v>
      </c>
      <c r="J907" s="338" t="s">
        <v>9556</v>
      </c>
      <c r="K907" s="338" t="s">
        <v>7017</v>
      </c>
      <c r="L907" s="338" t="s">
        <v>7018</v>
      </c>
      <c r="M907" s="338" t="s">
        <v>7163</v>
      </c>
      <c r="N907" s="338" t="s">
        <v>7164</v>
      </c>
      <c r="O907" s="337">
        <v>1</v>
      </c>
      <c r="P907" s="337">
        <v>1</v>
      </c>
      <c r="Q907" s="338"/>
      <c r="R907" s="338" t="s">
        <v>14</v>
      </c>
      <c r="S907" s="338"/>
      <c r="T907" s="338" t="s">
        <v>7021</v>
      </c>
      <c r="U907" s="338" t="s">
        <v>7171</v>
      </c>
      <c r="V907" s="337">
        <v>1</v>
      </c>
      <c r="W907" s="337">
        <v>1</v>
      </c>
      <c r="X907" s="338"/>
      <c r="Y907" s="338" t="s">
        <v>6318</v>
      </c>
      <c r="Z907" s="338" t="s">
        <v>7147</v>
      </c>
      <c r="AA907" s="338" t="s">
        <v>6079</v>
      </c>
      <c r="AB907" s="338"/>
      <c r="AC907" s="338" t="s">
        <v>7027</v>
      </c>
      <c r="AD907" s="338"/>
      <c r="AF907" s="502" t="str">
        <f>Table15[[#This Row],[code2]]</f>
        <v>PDA</v>
      </c>
      <c r="AG907" s="502" t="str">
        <f>Table15[[#This Row],[code5]]</f>
        <v>PC</v>
      </c>
    </row>
    <row r="908" spans="1:33">
      <c r="A908" s="338" t="s">
        <v>6072</v>
      </c>
      <c r="B908" s="338" t="s">
        <v>6073</v>
      </c>
      <c r="C908" s="337">
        <v>1</v>
      </c>
      <c r="D908" s="338" t="s">
        <v>7015</v>
      </c>
      <c r="E908" s="338" t="s">
        <v>7016</v>
      </c>
      <c r="F908" s="337">
        <v>1</v>
      </c>
      <c r="G908" s="337">
        <v>1</v>
      </c>
      <c r="H908" s="338"/>
      <c r="I908" s="338" t="s">
        <v>9555</v>
      </c>
      <c r="J908" s="338" t="s">
        <v>9556</v>
      </c>
      <c r="K908" s="338" t="s">
        <v>7017</v>
      </c>
      <c r="L908" s="338" t="s">
        <v>7018</v>
      </c>
      <c r="M908" s="338" t="s">
        <v>7163</v>
      </c>
      <c r="N908" s="338" t="s">
        <v>7164</v>
      </c>
      <c r="O908" s="337">
        <v>1</v>
      </c>
      <c r="P908" s="337">
        <v>1</v>
      </c>
      <c r="Q908" s="338"/>
      <c r="R908" s="338" t="s">
        <v>14</v>
      </c>
      <c r="S908" s="338"/>
      <c r="T908" s="338" t="s">
        <v>7021</v>
      </c>
      <c r="U908" s="338" t="s">
        <v>7172</v>
      </c>
      <c r="V908" s="337">
        <v>1</v>
      </c>
      <c r="W908" s="337">
        <v>1</v>
      </c>
      <c r="X908" s="338"/>
      <c r="Y908" s="338" t="s">
        <v>6318</v>
      </c>
      <c r="Z908" s="338" t="s">
        <v>7147</v>
      </c>
      <c r="AA908" s="338" t="s">
        <v>6079</v>
      </c>
      <c r="AB908" s="338"/>
      <c r="AC908" s="338" t="s">
        <v>7141</v>
      </c>
      <c r="AD908" s="338"/>
      <c r="AF908" s="502" t="str">
        <f>Table15[[#This Row],[code2]]</f>
        <v>PDA</v>
      </c>
      <c r="AG908" s="502" t="str">
        <f>Table15[[#This Row],[code5]]</f>
        <v>PC</v>
      </c>
    </row>
    <row r="909" spans="1:33">
      <c r="A909" s="338" t="s">
        <v>6072</v>
      </c>
      <c r="B909" s="338" t="s">
        <v>6073</v>
      </c>
      <c r="C909" s="337">
        <v>1</v>
      </c>
      <c r="D909" s="338" t="s">
        <v>7015</v>
      </c>
      <c r="E909" s="338" t="s">
        <v>7016</v>
      </c>
      <c r="F909" s="337">
        <v>1</v>
      </c>
      <c r="G909" s="337">
        <v>1</v>
      </c>
      <c r="H909" s="338"/>
      <c r="I909" s="338" t="s">
        <v>9555</v>
      </c>
      <c r="J909" s="338" t="s">
        <v>9556</v>
      </c>
      <c r="K909" s="338" t="s">
        <v>7017</v>
      </c>
      <c r="L909" s="338" t="s">
        <v>7018</v>
      </c>
      <c r="M909" s="338" t="s">
        <v>7163</v>
      </c>
      <c r="N909" s="338" t="s">
        <v>7164</v>
      </c>
      <c r="O909" s="337">
        <v>1</v>
      </c>
      <c r="P909" s="337">
        <v>1</v>
      </c>
      <c r="Q909" s="338"/>
      <c r="R909" s="338" t="s">
        <v>14</v>
      </c>
      <c r="S909" s="338"/>
      <c r="T909" s="338" t="s">
        <v>7021</v>
      </c>
      <c r="U909" s="338" t="s">
        <v>7173</v>
      </c>
      <c r="V909" s="337">
        <v>1</v>
      </c>
      <c r="W909" s="337">
        <v>1</v>
      </c>
      <c r="X909" s="338"/>
      <c r="Y909" s="338" t="s">
        <v>6318</v>
      </c>
      <c r="Z909" s="338" t="s">
        <v>7147</v>
      </c>
      <c r="AA909" s="338" t="s">
        <v>6079</v>
      </c>
      <c r="AB909" s="338"/>
      <c r="AC909" s="338" t="s">
        <v>7143</v>
      </c>
      <c r="AD909" s="338"/>
      <c r="AF909" s="502" t="str">
        <f>Table15[[#This Row],[code2]]</f>
        <v>PDA</v>
      </c>
      <c r="AG909" s="502" t="str">
        <f>Table15[[#This Row],[code5]]</f>
        <v>PC</v>
      </c>
    </row>
    <row r="910" spans="1:33">
      <c r="A910" s="338" t="s">
        <v>6072</v>
      </c>
      <c r="B910" s="338" t="s">
        <v>6073</v>
      </c>
      <c r="C910" s="337">
        <v>1</v>
      </c>
      <c r="D910" s="338" t="s">
        <v>7015</v>
      </c>
      <c r="E910" s="338" t="s">
        <v>7016</v>
      </c>
      <c r="F910" s="337">
        <v>1</v>
      </c>
      <c r="G910" s="337">
        <v>1</v>
      </c>
      <c r="H910" s="338"/>
      <c r="I910" s="338" t="s">
        <v>9555</v>
      </c>
      <c r="J910" s="338" t="s">
        <v>9556</v>
      </c>
      <c r="K910" s="338" t="s">
        <v>7017</v>
      </c>
      <c r="L910" s="338" t="s">
        <v>7018</v>
      </c>
      <c r="M910" s="338" t="s">
        <v>7163</v>
      </c>
      <c r="N910" s="338" t="s">
        <v>7164</v>
      </c>
      <c r="O910" s="337">
        <v>1</v>
      </c>
      <c r="P910" s="337">
        <v>1</v>
      </c>
      <c r="Q910" s="338"/>
      <c r="R910" s="338" t="s">
        <v>14</v>
      </c>
      <c r="S910" s="338"/>
      <c r="T910" s="338" t="s">
        <v>7021</v>
      </c>
      <c r="U910" s="338" t="s">
        <v>7174</v>
      </c>
      <c r="V910" s="337">
        <v>1</v>
      </c>
      <c r="W910" s="337">
        <v>1</v>
      </c>
      <c r="X910" s="338"/>
      <c r="Y910" s="338" t="s">
        <v>6318</v>
      </c>
      <c r="Z910" s="338" t="s">
        <v>5825</v>
      </c>
      <c r="AA910" s="338" t="s">
        <v>6079</v>
      </c>
      <c r="AB910" s="338"/>
      <c r="AC910" s="338" t="s">
        <v>7175</v>
      </c>
      <c r="AD910" s="338"/>
      <c r="AF910" s="502" t="str">
        <f>Table15[[#This Row],[code2]]</f>
        <v>PDA</v>
      </c>
      <c r="AG910" s="502" t="str">
        <f>Table15[[#This Row],[code5]]</f>
        <v>PC</v>
      </c>
    </row>
    <row r="911" spans="1:33">
      <c r="A911" s="338" t="s">
        <v>6072</v>
      </c>
      <c r="B911" s="338" t="s">
        <v>6073</v>
      </c>
      <c r="C911" s="337">
        <v>1</v>
      </c>
      <c r="D911" s="338" t="s">
        <v>7015</v>
      </c>
      <c r="E911" s="338" t="s">
        <v>7016</v>
      </c>
      <c r="F911" s="337">
        <v>1</v>
      </c>
      <c r="G911" s="337">
        <v>1</v>
      </c>
      <c r="H911" s="338"/>
      <c r="I911" s="338" t="s">
        <v>9555</v>
      </c>
      <c r="J911" s="338" t="s">
        <v>9556</v>
      </c>
      <c r="K911" s="338" t="s">
        <v>7017</v>
      </c>
      <c r="L911" s="338" t="s">
        <v>7018</v>
      </c>
      <c r="M911" s="338" t="s">
        <v>7163</v>
      </c>
      <c r="N911" s="338" t="s">
        <v>7164</v>
      </c>
      <c r="O911" s="337">
        <v>1</v>
      </c>
      <c r="P911" s="337">
        <v>1</v>
      </c>
      <c r="Q911" s="338"/>
      <c r="R911" s="338" t="s">
        <v>14</v>
      </c>
      <c r="S911" s="338"/>
      <c r="T911" s="338" t="s">
        <v>7021</v>
      </c>
      <c r="U911" s="338" t="s">
        <v>7176</v>
      </c>
      <c r="V911" s="337">
        <v>1</v>
      </c>
      <c r="W911" s="337">
        <v>1</v>
      </c>
      <c r="X911" s="338"/>
      <c r="Y911" s="338" t="s">
        <v>6318</v>
      </c>
      <c r="Z911" s="338" t="s">
        <v>5825</v>
      </c>
      <c r="AA911" s="338" t="s">
        <v>6079</v>
      </c>
      <c r="AB911" s="338"/>
      <c r="AC911" s="338" t="s">
        <v>7152</v>
      </c>
      <c r="AD911" s="338"/>
      <c r="AF911" s="502" t="str">
        <f>Table15[[#This Row],[code2]]</f>
        <v>PDA</v>
      </c>
      <c r="AG911" s="502" t="str">
        <f>Table15[[#This Row],[code5]]</f>
        <v>PC</v>
      </c>
    </row>
    <row r="912" spans="1:33">
      <c r="A912" s="338" t="s">
        <v>6072</v>
      </c>
      <c r="B912" s="338" t="s">
        <v>6073</v>
      </c>
      <c r="C912" s="337">
        <v>1</v>
      </c>
      <c r="D912" s="338" t="s">
        <v>7015</v>
      </c>
      <c r="E912" s="338" t="s">
        <v>7016</v>
      </c>
      <c r="F912" s="337">
        <v>1</v>
      </c>
      <c r="G912" s="337">
        <v>1</v>
      </c>
      <c r="H912" s="338"/>
      <c r="I912" s="338" t="s">
        <v>9555</v>
      </c>
      <c r="J912" s="338" t="s">
        <v>9556</v>
      </c>
      <c r="K912" s="338" t="s">
        <v>7017</v>
      </c>
      <c r="L912" s="338" t="s">
        <v>7018</v>
      </c>
      <c r="M912" s="338" t="s">
        <v>7177</v>
      </c>
      <c r="N912" s="338" t="s">
        <v>8422</v>
      </c>
      <c r="O912" s="337">
        <v>0</v>
      </c>
      <c r="P912" s="337">
        <v>0</v>
      </c>
      <c r="Q912" s="338"/>
      <c r="R912" s="338"/>
      <c r="S912" s="338"/>
      <c r="T912" s="338" t="s">
        <v>7178</v>
      </c>
      <c r="U912" s="338" t="s">
        <v>7179</v>
      </c>
      <c r="V912" s="337">
        <v>0</v>
      </c>
      <c r="W912" s="337">
        <v>0</v>
      </c>
      <c r="X912" s="338" t="s">
        <v>6078</v>
      </c>
      <c r="Y912" s="338" t="s">
        <v>6318</v>
      </c>
      <c r="Z912" s="338" t="s">
        <v>7081</v>
      </c>
      <c r="AA912" s="338" t="s">
        <v>6079</v>
      </c>
      <c r="AB912" s="338"/>
      <c r="AC912" s="338"/>
      <c r="AD912" s="338"/>
      <c r="AF912" s="502" t="str">
        <f>Table15[[#This Row],[code2]]</f>
        <v>PDA</v>
      </c>
      <c r="AG912" s="502" t="str">
        <f>Table15[[#This Row],[code5]]</f>
        <v>PCM</v>
      </c>
    </row>
    <row r="913" spans="1:33">
      <c r="A913" s="338" t="s">
        <v>6072</v>
      </c>
      <c r="B913" s="338" t="s">
        <v>6073</v>
      </c>
      <c r="C913" s="337">
        <v>1</v>
      </c>
      <c r="D913" s="338" t="s">
        <v>7015</v>
      </c>
      <c r="E913" s="338" t="s">
        <v>7016</v>
      </c>
      <c r="F913" s="337">
        <v>1</v>
      </c>
      <c r="G913" s="337">
        <v>1</v>
      </c>
      <c r="H913" s="338"/>
      <c r="I913" s="338" t="s">
        <v>9555</v>
      </c>
      <c r="J913" s="338" t="s">
        <v>9556</v>
      </c>
      <c r="K913" s="338" t="s">
        <v>7017</v>
      </c>
      <c r="L913" s="338" t="s">
        <v>7018</v>
      </c>
      <c r="M913" s="338" t="s">
        <v>7180</v>
      </c>
      <c r="N913" s="338" t="s">
        <v>7181</v>
      </c>
      <c r="O913" s="337">
        <v>1</v>
      </c>
      <c r="P913" s="337">
        <v>1</v>
      </c>
      <c r="Q913" s="338"/>
      <c r="R913" s="338" t="s">
        <v>6088</v>
      </c>
      <c r="S913" s="338"/>
      <c r="T913" s="338" t="s">
        <v>8948</v>
      </c>
      <c r="U913" s="338" t="s">
        <v>7182</v>
      </c>
      <c r="V913" s="337">
        <v>1</v>
      </c>
      <c r="W913" s="337">
        <v>1</v>
      </c>
      <c r="X913" s="338"/>
      <c r="Y913" s="338" t="s">
        <v>7183</v>
      </c>
      <c r="Z913" s="338" t="s">
        <v>7147</v>
      </c>
      <c r="AA913" s="338" t="s">
        <v>6079</v>
      </c>
      <c r="AB913" s="338"/>
      <c r="AC913" s="338" t="s">
        <v>7885</v>
      </c>
      <c r="AD913" s="338"/>
      <c r="AF913" s="502" t="str">
        <f>Table15[[#This Row],[code2]]</f>
        <v>PDA</v>
      </c>
      <c r="AG913" s="502" t="str">
        <f>Table15[[#This Row],[code5]]</f>
        <v>ATD</v>
      </c>
    </row>
    <row r="914" spans="1:33">
      <c r="A914" s="338" t="s">
        <v>6072</v>
      </c>
      <c r="B914" s="338" t="s">
        <v>6073</v>
      </c>
      <c r="C914" s="337">
        <v>1</v>
      </c>
      <c r="D914" s="338" t="s">
        <v>7015</v>
      </c>
      <c r="E914" s="338" t="s">
        <v>7016</v>
      </c>
      <c r="F914" s="337">
        <v>1</v>
      </c>
      <c r="G914" s="337">
        <v>1</v>
      </c>
      <c r="H914" s="338"/>
      <c r="I914" s="338" t="s">
        <v>9555</v>
      </c>
      <c r="J914" s="338" t="s">
        <v>9556</v>
      </c>
      <c r="K914" s="338" t="s">
        <v>7017</v>
      </c>
      <c r="L914" s="338" t="s">
        <v>7018</v>
      </c>
      <c r="M914" s="338" t="s">
        <v>7180</v>
      </c>
      <c r="N914" s="338" t="s">
        <v>7181</v>
      </c>
      <c r="O914" s="337">
        <v>1</v>
      </c>
      <c r="P914" s="337">
        <v>1</v>
      </c>
      <c r="Q914" s="338"/>
      <c r="R914" s="338" t="s">
        <v>6088</v>
      </c>
      <c r="S914" s="338"/>
      <c r="T914" s="338" t="s">
        <v>8948</v>
      </c>
      <c r="U914" s="338" t="s">
        <v>7184</v>
      </c>
      <c r="V914" s="337">
        <v>0</v>
      </c>
      <c r="W914" s="337">
        <v>0</v>
      </c>
      <c r="X914" s="338"/>
      <c r="Y914" s="338" t="s">
        <v>7185</v>
      </c>
      <c r="Z914" s="338" t="s">
        <v>7188</v>
      </c>
      <c r="AA914" s="338"/>
      <c r="AB914" s="338"/>
      <c r="AC914" s="338" t="s">
        <v>7885</v>
      </c>
      <c r="AD914" s="338"/>
      <c r="AF914" s="502" t="str">
        <f>Table15[[#This Row],[code2]]</f>
        <v>PDA</v>
      </c>
      <c r="AG914" s="502" t="str">
        <f>Table15[[#This Row],[code5]]</f>
        <v>ATD</v>
      </c>
    </row>
    <row r="915" spans="1:33">
      <c r="A915" s="338" t="s">
        <v>6072</v>
      </c>
      <c r="B915" s="338" t="s">
        <v>6073</v>
      </c>
      <c r="C915" s="337">
        <v>1</v>
      </c>
      <c r="D915" s="338" t="s">
        <v>7015</v>
      </c>
      <c r="E915" s="338" t="s">
        <v>7016</v>
      </c>
      <c r="F915" s="337">
        <v>1</v>
      </c>
      <c r="G915" s="337">
        <v>1</v>
      </c>
      <c r="H915" s="338"/>
      <c r="I915" s="338" t="s">
        <v>9555</v>
      </c>
      <c r="J915" s="338" t="s">
        <v>9556</v>
      </c>
      <c r="K915" s="338" t="s">
        <v>7017</v>
      </c>
      <c r="L915" s="338" t="s">
        <v>7018</v>
      </c>
      <c r="M915" s="338" t="s">
        <v>7180</v>
      </c>
      <c r="N915" s="338" t="s">
        <v>7181</v>
      </c>
      <c r="O915" s="337">
        <v>1</v>
      </c>
      <c r="P915" s="337">
        <v>1</v>
      </c>
      <c r="Q915" s="338"/>
      <c r="R915" s="338" t="s">
        <v>6088</v>
      </c>
      <c r="S915" s="338"/>
      <c r="T915" s="338" t="s">
        <v>8948</v>
      </c>
      <c r="U915" s="338" t="s">
        <v>7186</v>
      </c>
      <c r="V915" s="337">
        <v>1</v>
      </c>
      <c r="W915" s="337">
        <v>0</v>
      </c>
      <c r="X915" s="338"/>
      <c r="Y915" s="338" t="s">
        <v>7187</v>
      </c>
      <c r="Z915" s="338" t="s">
        <v>7188</v>
      </c>
      <c r="AA915" s="338"/>
      <c r="AB915" s="338"/>
      <c r="AC915" s="338" t="s">
        <v>7885</v>
      </c>
      <c r="AD915" s="338"/>
      <c r="AF915" s="502" t="str">
        <f>Table15[[#This Row],[code2]]</f>
        <v>PDA</v>
      </c>
      <c r="AG915" s="502" t="str">
        <f>Table15[[#This Row],[code5]]</f>
        <v>ATD</v>
      </c>
    </row>
    <row r="916" spans="1:33">
      <c r="A916" s="338" t="s">
        <v>6072</v>
      </c>
      <c r="B916" s="338" t="s">
        <v>6073</v>
      </c>
      <c r="C916" s="337">
        <v>1</v>
      </c>
      <c r="D916" s="338" t="s">
        <v>7015</v>
      </c>
      <c r="E916" s="338" t="s">
        <v>7016</v>
      </c>
      <c r="F916" s="337">
        <v>1</v>
      </c>
      <c r="G916" s="337">
        <v>1</v>
      </c>
      <c r="H916" s="338"/>
      <c r="I916" s="338" t="s">
        <v>9555</v>
      </c>
      <c r="J916" s="338" t="s">
        <v>9556</v>
      </c>
      <c r="K916" s="338" t="s">
        <v>7017</v>
      </c>
      <c r="L916" s="338" t="s">
        <v>7018</v>
      </c>
      <c r="M916" s="338" t="s">
        <v>7180</v>
      </c>
      <c r="N916" s="338" t="s">
        <v>7181</v>
      </c>
      <c r="O916" s="337">
        <v>1</v>
      </c>
      <c r="P916" s="337">
        <v>1</v>
      </c>
      <c r="Q916" s="338"/>
      <c r="R916" s="338" t="s">
        <v>6088</v>
      </c>
      <c r="S916" s="338"/>
      <c r="T916" s="338" t="s">
        <v>8948</v>
      </c>
      <c r="U916" s="338" t="s">
        <v>7189</v>
      </c>
      <c r="V916" s="337">
        <v>1</v>
      </c>
      <c r="W916" s="337">
        <v>0</v>
      </c>
      <c r="X916" s="338"/>
      <c r="Y916" s="338" t="s">
        <v>7190</v>
      </c>
      <c r="Z916" s="338" t="s">
        <v>7188</v>
      </c>
      <c r="AA916" s="338"/>
      <c r="AB916" s="338"/>
      <c r="AC916" s="338" t="s">
        <v>7885</v>
      </c>
      <c r="AD916" s="338"/>
      <c r="AF916" s="502" t="str">
        <f>Table15[[#This Row],[code2]]</f>
        <v>PDA</v>
      </c>
      <c r="AG916" s="502" t="str">
        <f>Table15[[#This Row],[code5]]</f>
        <v>ATD</v>
      </c>
    </row>
    <row r="917" spans="1:33">
      <c r="A917" s="338" t="s">
        <v>6072</v>
      </c>
      <c r="B917" s="338" t="s">
        <v>6073</v>
      </c>
      <c r="C917" s="337">
        <v>1</v>
      </c>
      <c r="D917" s="338" t="s">
        <v>7015</v>
      </c>
      <c r="E917" s="338" t="s">
        <v>7016</v>
      </c>
      <c r="F917" s="337">
        <v>1</v>
      </c>
      <c r="G917" s="337">
        <v>1</v>
      </c>
      <c r="H917" s="338"/>
      <c r="I917" s="338" t="s">
        <v>9555</v>
      </c>
      <c r="J917" s="338" t="s">
        <v>9556</v>
      </c>
      <c r="K917" s="338" t="s">
        <v>7017</v>
      </c>
      <c r="L917" s="338" t="s">
        <v>7018</v>
      </c>
      <c r="M917" s="338" t="s">
        <v>7180</v>
      </c>
      <c r="N917" s="338" t="s">
        <v>7181</v>
      </c>
      <c r="O917" s="337">
        <v>1</v>
      </c>
      <c r="P917" s="337">
        <v>1</v>
      </c>
      <c r="Q917" s="338"/>
      <c r="R917" s="338" t="s">
        <v>6088</v>
      </c>
      <c r="S917" s="338"/>
      <c r="T917" s="338" t="s">
        <v>8948</v>
      </c>
      <c r="U917" s="338" t="s">
        <v>7191</v>
      </c>
      <c r="V917" s="337">
        <v>1</v>
      </c>
      <c r="W917" s="337">
        <v>0</v>
      </c>
      <c r="X917" s="338"/>
      <c r="Y917" s="338" t="s">
        <v>7192</v>
      </c>
      <c r="Z917" s="338" t="s">
        <v>7188</v>
      </c>
      <c r="AA917" s="338"/>
      <c r="AB917" s="338"/>
      <c r="AC917" s="338" t="s">
        <v>7885</v>
      </c>
      <c r="AD917" s="338"/>
      <c r="AF917" s="502" t="str">
        <f>Table15[[#This Row],[code2]]</f>
        <v>PDA</v>
      </c>
      <c r="AG917" s="502" t="str">
        <f>Table15[[#This Row],[code5]]</f>
        <v>ATD</v>
      </c>
    </row>
    <row r="918" spans="1:33">
      <c r="A918" s="338" t="s">
        <v>6072</v>
      </c>
      <c r="B918" s="338" t="s">
        <v>6073</v>
      </c>
      <c r="C918" s="337">
        <v>1</v>
      </c>
      <c r="D918" s="338" t="s">
        <v>7015</v>
      </c>
      <c r="E918" s="338" t="s">
        <v>7016</v>
      </c>
      <c r="F918" s="337">
        <v>1</v>
      </c>
      <c r="G918" s="337">
        <v>1</v>
      </c>
      <c r="H918" s="338"/>
      <c r="I918" s="338" t="s">
        <v>9555</v>
      </c>
      <c r="J918" s="338" t="s">
        <v>9556</v>
      </c>
      <c r="K918" s="338" t="s">
        <v>7017</v>
      </c>
      <c r="L918" s="338" t="s">
        <v>7018</v>
      </c>
      <c r="M918" s="338" t="s">
        <v>7180</v>
      </c>
      <c r="N918" s="338" t="s">
        <v>7181</v>
      </c>
      <c r="O918" s="337">
        <v>1</v>
      </c>
      <c r="P918" s="337">
        <v>1</v>
      </c>
      <c r="Q918" s="338"/>
      <c r="R918" s="338" t="s">
        <v>6088</v>
      </c>
      <c r="S918" s="338"/>
      <c r="T918" s="338" t="s">
        <v>8948</v>
      </c>
      <c r="U918" s="338" t="s">
        <v>7193</v>
      </c>
      <c r="V918" s="337">
        <v>1</v>
      </c>
      <c r="W918" s="337">
        <v>1</v>
      </c>
      <c r="X918" s="338"/>
      <c r="Y918" s="338" t="s">
        <v>7183</v>
      </c>
      <c r="Z918" s="338" t="s">
        <v>7147</v>
      </c>
      <c r="AA918" s="338" t="s">
        <v>6079</v>
      </c>
      <c r="AB918" s="338"/>
      <c r="AC918" s="338" t="s">
        <v>7886</v>
      </c>
      <c r="AD918" s="338"/>
      <c r="AF918" s="502" t="str">
        <f>Table15[[#This Row],[code2]]</f>
        <v>PDA</v>
      </c>
      <c r="AG918" s="502" t="str">
        <f>Table15[[#This Row],[code5]]</f>
        <v>ATD</v>
      </c>
    </row>
    <row r="919" spans="1:33">
      <c r="A919" s="338" t="s">
        <v>6072</v>
      </c>
      <c r="B919" s="338" t="s">
        <v>6073</v>
      </c>
      <c r="C919" s="337">
        <v>1</v>
      </c>
      <c r="D919" s="338" t="s">
        <v>7015</v>
      </c>
      <c r="E919" s="338" t="s">
        <v>7016</v>
      </c>
      <c r="F919" s="337">
        <v>1</v>
      </c>
      <c r="G919" s="337">
        <v>1</v>
      </c>
      <c r="H919" s="338"/>
      <c r="I919" s="338" t="s">
        <v>9555</v>
      </c>
      <c r="J919" s="338" t="s">
        <v>9556</v>
      </c>
      <c r="K919" s="338" t="s">
        <v>7017</v>
      </c>
      <c r="L919" s="338" t="s">
        <v>7018</v>
      </c>
      <c r="M919" s="338" t="s">
        <v>7180</v>
      </c>
      <c r="N919" s="338" t="s">
        <v>7181</v>
      </c>
      <c r="O919" s="337">
        <v>1</v>
      </c>
      <c r="P919" s="337">
        <v>1</v>
      </c>
      <c r="Q919" s="338"/>
      <c r="R919" s="338" t="s">
        <v>6088</v>
      </c>
      <c r="S919" s="338"/>
      <c r="T919" s="338" t="s">
        <v>8948</v>
      </c>
      <c r="U919" s="338" t="s">
        <v>7194</v>
      </c>
      <c r="V919" s="337">
        <v>1</v>
      </c>
      <c r="W919" s="337">
        <v>1</v>
      </c>
      <c r="X919" s="338"/>
      <c r="Y919" s="338" t="s">
        <v>7185</v>
      </c>
      <c r="Z919" s="338" t="s">
        <v>7147</v>
      </c>
      <c r="AA919" s="338" t="s">
        <v>6079</v>
      </c>
      <c r="AB919" s="338"/>
      <c r="AC919" s="338" t="s">
        <v>7886</v>
      </c>
      <c r="AD919" s="338"/>
      <c r="AF919" s="502" t="str">
        <f>Table15[[#This Row],[code2]]</f>
        <v>PDA</v>
      </c>
      <c r="AG919" s="502" t="str">
        <f>Table15[[#This Row],[code5]]</f>
        <v>ATD</v>
      </c>
    </row>
    <row r="920" spans="1:33">
      <c r="A920" s="338" t="s">
        <v>6072</v>
      </c>
      <c r="B920" s="338" t="s">
        <v>6073</v>
      </c>
      <c r="C920" s="337">
        <v>1</v>
      </c>
      <c r="D920" s="338" t="s">
        <v>7015</v>
      </c>
      <c r="E920" s="338" t="s">
        <v>7016</v>
      </c>
      <c r="F920" s="337">
        <v>1</v>
      </c>
      <c r="G920" s="337">
        <v>1</v>
      </c>
      <c r="H920" s="338"/>
      <c r="I920" s="338" t="s">
        <v>9555</v>
      </c>
      <c r="J920" s="338" t="s">
        <v>9556</v>
      </c>
      <c r="K920" s="338" t="s">
        <v>7017</v>
      </c>
      <c r="L920" s="338" t="s">
        <v>7018</v>
      </c>
      <c r="M920" s="338" t="s">
        <v>7180</v>
      </c>
      <c r="N920" s="338" t="s">
        <v>7181</v>
      </c>
      <c r="O920" s="337">
        <v>1</v>
      </c>
      <c r="P920" s="337">
        <v>1</v>
      </c>
      <c r="Q920" s="338"/>
      <c r="R920" s="338" t="s">
        <v>6088</v>
      </c>
      <c r="S920" s="338"/>
      <c r="T920" s="338" t="s">
        <v>8948</v>
      </c>
      <c r="U920" s="338" t="s">
        <v>7195</v>
      </c>
      <c r="V920" s="337">
        <v>1</v>
      </c>
      <c r="W920" s="337">
        <v>1</v>
      </c>
      <c r="X920" s="338"/>
      <c r="Y920" s="338" t="s">
        <v>7183</v>
      </c>
      <c r="Z920" s="338" t="s">
        <v>7147</v>
      </c>
      <c r="AA920" s="338" t="s">
        <v>6079</v>
      </c>
      <c r="AB920" s="338"/>
      <c r="AC920" s="338" t="s">
        <v>7887</v>
      </c>
      <c r="AD920" s="338"/>
      <c r="AF920" s="502" t="str">
        <f>Table15[[#This Row],[code2]]</f>
        <v>PDA</v>
      </c>
      <c r="AG920" s="502" t="str">
        <f>Table15[[#This Row],[code5]]</f>
        <v>ATD</v>
      </c>
    </row>
    <row r="921" spans="1:33">
      <c r="A921" s="338" t="s">
        <v>6072</v>
      </c>
      <c r="B921" s="338" t="s">
        <v>6073</v>
      </c>
      <c r="C921" s="337">
        <v>1</v>
      </c>
      <c r="D921" s="338" t="s">
        <v>7015</v>
      </c>
      <c r="E921" s="338" t="s">
        <v>7016</v>
      </c>
      <c r="F921" s="337">
        <v>1</v>
      </c>
      <c r="G921" s="337">
        <v>1</v>
      </c>
      <c r="H921" s="338"/>
      <c r="I921" s="338" t="s">
        <v>9555</v>
      </c>
      <c r="J921" s="338" t="s">
        <v>9556</v>
      </c>
      <c r="K921" s="338" t="s">
        <v>7017</v>
      </c>
      <c r="L921" s="338" t="s">
        <v>7018</v>
      </c>
      <c r="M921" s="338" t="s">
        <v>7180</v>
      </c>
      <c r="N921" s="338" t="s">
        <v>7181</v>
      </c>
      <c r="O921" s="337">
        <v>1</v>
      </c>
      <c r="P921" s="337">
        <v>1</v>
      </c>
      <c r="Q921" s="338"/>
      <c r="R921" s="338" t="s">
        <v>6088</v>
      </c>
      <c r="S921" s="338"/>
      <c r="T921" s="338" t="s">
        <v>8948</v>
      </c>
      <c r="U921" s="338" t="s">
        <v>7196</v>
      </c>
      <c r="V921" s="337">
        <v>1</v>
      </c>
      <c r="W921" s="337">
        <v>1</v>
      </c>
      <c r="X921" s="338"/>
      <c r="Y921" s="338" t="s">
        <v>7185</v>
      </c>
      <c r="Z921" s="338" t="s">
        <v>7147</v>
      </c>
      <c r="AA921" s="338" t="s">
        <v>6079</v>
      </c>
      <c r="AB921" s="338"/>
      <c r="AC921" s="338" t="s">
        <v>7887</v>
      </c>
      <c r="AD921" s="338"/>
      <c r="AF921" s="502" t="str">
        <f>Table15[[#This Row],[code2]]</f>
        <v>PDA</v>
      </c>
      <c r="AG921" s="502" t="str">
        <f>Table15[[#This Row],[code5]]</f>
        <v>ATD</v>
      </c>
    </row>
    <row r="922" spans="1:33">
      <c r="A922" s="338" t="s">
        <v>6072</v>
      </c>
      <c r="B922" s="338" t="s">
        <v>6073</v>
      </c>
      <c r="C922" s="337">
        <v>1</v>
      </c>
      <c r="D922" s="338" t="s">
        <v>7015</v>
      </c>
      <c r="E922" s="338" t="s">
        <v>7016</v>
      </c>
      <c r="F922" s="337">
        <v>1</v>
      </c>
      <c r="G922" s="337">
        <v>1</v>
      </c>
      <c r="H922" s="338"/>
      <c r="I922" s="338" t="s">
        <v>9555</v>
      </c>
      <c r="J922" s="338" t="s">
        <v>9556</v>
      </c>
      <c r="K922" s="338" t="s">
        <v>7017</v>
      </c>
      <c r="L922" s="338" t="s">
        <v>7018</v>
      </c>
      <c r="M922" s="338" t="s">
        <v>7180</v>
      </c>
      <c r="N922" s="338" t="s">
        <v>7181</v>
      </c>
      <c r="O922" s="337">
        <v>1</v>
      </c>
      <c r="P922" s="337">
        <v>1</v>
      </c>
      <c r="Q922" s="338"/>
      <c r="R922" s="338" t="s">
        <v>6088</v>
      </c>
      <c r="S922" s="338"/>
      <c r="T922" s="338" t="s">
        <v>8948</v>
      </c>
      <c r="U922" s="338" t="s">
        <v>7197</v>
      </c>
      <c r="V922" s="337">
        <v>1</v>
      </c>
      <c r="W922" s="337">
        <v>1</v>
      </c>
      <c r="X922" s="338"/>
      <c r="Y922" s="338" t="s">
        <v>7183</v>
      </c>
      <c r="Z922" s="338" t="s">
        <v>7147</v>
      </c>
      <c r="AA922" s="338" t="s">
        <v>6079</v>
      </c>
      <c r="AB922" s="338"/>
      <c r="AC922" s="338" t="s">
        <v>7888</v>
      </c>
      <c r="AD922" s="338"/>
      <c r="AF922" s="502" t="str">
        <f>Table15[[#This Row],[code2]]</f>
        <v>PDA</v>
      </c>
      <c r="AG922" s="502" t="str">
        <f>Table15[[#This Row],[code5]]</f>
        <v>ATD</v>
      </c>
    </row>
    <row r="923" spans="1:33">
      <c r="A923" s="338" t="s">
        <v>6072</v>
      </c>
      <c r="B923" s="338" t="s">
        <v>6073</v>
      </c>
      <c r="C923" s="337">
        <v>1</v>
      </c>
      <c r="D923" s="338" t="s">
        <v>7015</v>
      </c>
      <c r="E923" s="338" t="s">
        <v>7016</v>
      </c>
      <c r="F923" s="337">
        <v>1</v>
      </c>
      <c r="G923" s="337">
        <v>1</v>
      </c>
      <c r="H923" s="338"/>
      <c r="I923" s="338" t="s">
        <v>9555</v>
      </c>
      <c r="J923" s="338" t="s">
        <v>9556</v>
      </c>
      <c r="K923" s="338" t="s">
        <v>7017</v>
      </c>
      <c r="L923" s="338" t="s">
        <v>7018</v>
      </c>
      <c r="M923" s="338" t="s">
        <v>7180</v>
      </c>
      <c r="N923" s="338" t="s">
        <v>7181</v>
      </c>
      <c r="O923" s="337">
        <v>1</v>
      </c>
      <c r="P923" s="337">
        <v>1</v>
      </c>
      <c r="Q923" s="338"/>
      <c r="R923" s="338" t="s">
        <v>6088</v>
      </c>
      <c r="S923" s="338"/>
      <c r="T923" s="338" t="s">
        <v>8948</v>
      </c>
      <c r="U923" s="338" t="s">
        <v>7198</v>
      </c>
      <c r="V923" s="337">
        <v>1</v>
      </c>
      <c r="W923" s="337">
        <v>1</v>
      </c>
      <c r="X923" s="338"/>
      <c r="Y923" s="338" t="s">
        <v>7185</v>
      </c>
      <c r="Z923" s="338" t="s">
        <v>7147</v>
      </c>
      <c r="AA923" s="338" t="s">
        <v>6079</v>
      </c>
      <c r="AB923" s="338"/>
      <c r="AC923" s="338" t="s">
        <v>7888</v>
      </c>
      <c r="AD923" s="338"/>
      <c r="AF923" s="502" t="str">
        <f>Table15[[#This Row],[code2]]</f>
        <v>PDA</v>
      </c>
      <c r="AG923" s="502" t="str">
        <f>Table15[[#This Row],[code5]]</f>
        <v>ATD</v>
      </c>
    </row>
    <row r="924" spans="1:33">
      <c r="A924" s="338" t="s">
        <v>6072</v>
      </c>
      <c r="B924" s="338" t="s">
        <v>6073</v>
      </c>
      <c r="C924" s="337">
        <v>1</v>
      </c>
      <c r="D924" s="338" t="s">
        <v>7015</v>
      </c>
      <c r="E924" s="338" t="s">
        <v>7016</v>
      </c>
      <c r="F924" s="337">
        <v>1</v>
      </c>
      <c r="G924" s="337">
        <v>1</v>
      </c>
      <c r="H924" s="338"/>
      <c r="I924" s="338" t="s">
        <v>9555</v>
      </c>
      <c r="J924" s="338" t="s">
        <v>9556</v>
      </c>
      <c r="K924" s="338" t="s">
        <v>7017</v>
      </c>
      <c r="L924" s="338" t="s">
        <v>7018</v>
      </c>
      <c r="M924" s="338" t="s">
        <v>7180</v>
      </c>
      <c r="N924" s="338" t="s">
        <v>7181</v>
      </c>
      <c r="O924" s="337">
        <v>1</v>
      </c>
      <c r="P924" s="337">
        <v>1</v>
      </c>
      <c r="Q924" s="338"/>
      <c r="R924" s="338" t="s">
        <v>6088</v>
      </c>
      <c r="S924" s="338"/>
      <c r="T924" s="338" t="s">
        <v>8948</v>
      </c>
      <c r="U924" s="338" t="s">
        <v>7199</v>
      </c>
      <c r="V924" s="337">
        <v>1</v>
      </c>
      <c r="W924" s="337">
        <v>1</v>
      </c>
      <c r="X924" s="338"/>
      <c r="Y924" s="338" t="s">
        <v>7187</v>
      </c>
      <c r="Z924" s="338" t="s">
        <v>7147</v>
      </c>
      <c r="AA924" s="338" t="s">
        <v>6079</v>
      </c>
      <c r="AB924" s="338"/>
      <c r="AC924" s="338" t="s">
        <v>7888</v>
      </c>
      <c r="AD924" s="338"/>
      <c r="AF924" s="502" t="str">
        <f>Table15[[#This Row],[code2]]</f>
        <v>PDA</v>
      </c>
      <c r="AG924" s="502" t="str">
        <f>Table15[[#This Row],[code5]]</f>
        <v>ATD</v>
      </c>
    </row>
    <row r="925" spans="1:33">
      <c r="A925" s="338" t="s">
        <v>6072</v>
      </c>
      <c r="B925" s="338" t="s">
        <v>6073</v>
      </c>
      <c r="C925" s="337">
        <v>1</v>
      </c>
      <c r="D925" s="338" t="s">
        <v>7015</v>
      </c>
      <c r="E925" s="338" t="s">
        <v>7016</v>
      </c>
      <c r="F925" s="337">
        <v>1</v>
      </c>
      <c r="G925" s="337">
        <v>1</v>
      </c>
      <c r="H925" s="338"/>
      <c r="I925" s="338" t="s">
        <v>9555</v>
      </c>
      <c r="J925" s="338" t="s">
        <v>9556</v>
      </c>
      <c r="K925" s="338" t="s">
        <v>7017</v>
      </c>
      <c r="L925" s="338" t="s">
        <v>7018</v>
      </c>
      <c r="M925" s="338" t="s">
        <v>7180</v>
      </c>
      <c r="N925" s="338" t="s">
        <v>7181</v>
      </c>
      <c r="O925" s="337">
        <v>1</v>
      </c>
      <c r="P925" s="337">
        <v>1</v>
      </c>
      <c r="Q925" s="338"/>
      <c r="R925" s="338" t="s">
        <v>6088</v>
      </c>
      <c r="S925" s="338"/>
      <c r="T925" s="338" t="s">
        <v>8948</v>
      </c>
      <c r="U925" s="338" t="s">
        <v>7200</v>
      </c>
      <c r="V925" s="337">
        <v>1</v>
      </c>
      <c r="W925" s="337">
        <v>1</v>
      </c>
      <c r="X925" s="338"/>
      <c r="Y925" s="338" t="s">
        <v>7183</v>
      </c>
      <c r="Z925" s="338" t="s">
        <v>7147</v>
      </c>
      <c r="AA925" s="338" t="s">
        <v>6079</v>
      </c>
      <c r="AB925" s="338"/>
      <c r="AC925" s="338" t="s">
        <v>7889</v>
      </c>
      <c r="AD925" s="338"/>
      <c r="AF925" s="502" t="str">
        <f>Table15[[#This Row],[code2]]</f>
        <v>PDA</v>
      </c>
      <c r="AG925" s="502" t="str">
        <f>Table15[[#This Row],[code5]]</f>
        <v>ATD</v>
      </c>
    </row>
    <row r="926" spans="1:33">
      <c r="A926" s="338" t="s">
        <v>6072</v>
      </c>
      <c r="B926" s="338" t="s">
        <v>6073</v>
      </c>
      <c r="C926" s="337">
        <v>1</v>
      </c>
      <c r="D926" s="338" t="s">
        <v>7015</v>
      </c>
      <c r="E926" s="338" t="s">
        <v>7016</v>
      </c>
      <c r="F926" s="337">
        <v>1</v>
      </c>
      <c r="G926" s="337">
        <v>1</v>
      </c>
      <c r="H926" s="338"/>
      <c r="I926" s="338" t="s">
        <v>9555</v>
      </c>
      <c r="J926" s="338" t="s">
        <v>9556</v>
      </c>
      <c r="K926" s="338" t="s">
        <v>7017</v>
      </c>
      <c r="L926" s="338" t="s">
        <v>7018</v>
      </c>
      <c r="M926" s="338" t="s">
        <v>7180</v>
      </c>
      <c r="N926" s="338" t="s">
        <v>7181</v>
      </c>
      <c r="O926" s="337">
        <v>1</v>
      </c>
      <c r="P926" s="337">
        <v>1</v>
      </c>
      <c r="Q926" s="338"/>
      <c r="R926" s="338" t="s">
        <v>6088</v>
      </c>
      <c r="S926" s="338"/>
      <c r="T926" s="338" t="s">
        <v>8948</v>
      </c>
      <c r="U926" s="338" t="s">
        <v>7201</v>
      </c>
      <c r="V926" s="337">
        <v>1</v>
      </c>
      <c r="W926" s="337">
        <v>1</v>
      </c>
      <c r="X926" s="338"/>
      <c r="Y926" s="338" t="s">
        <v>7185</v>
      </c>
      <c r="Z926" s="338" t="s">
        <v>7147</v>
      </c>
      <c r="AA926" s="338" t="s">
        <v>6079</v>
      </c>
      <c r="AB926" s="338"/>
      <c r="AC926" s="338" t="s">
        <v>7889</v>
      </c>
      <c r="AD926" s="338"/>
      <c r="AF926" s="502" t="str">
        <f>Table15[[#This Row],[code2]]</f>
        <v>PDA</v>
      </c>
      <c r="AG926" s="502" t="str">
        <f>Table15[[#This Row],[code5]]</f>
        <v>ATD</v>
      </c>
    </row>
    <row r="927" spans="1:33">
      <c r="A927" s="338" t="s">
        <v>6072</v>
      </c>
      <c r="B927" s="338" t="s">
        <v>6073</v>
      </c>
      <c r="C927" s="337">
        <v>1</v>
      </c>
      <c r="D927" s="338" t="s">
        <v>7015</v>
      </c>
      <c r="E927" s="338" t="s">
        <v>7016</v>
      </c>
      <c r="F927" s="337">
        <v>1</v>
      </c>
      <c r="G927" s="337">
        <v>1</v>
      </c>
      <c r="H927" s="338"/>
      <c r="I927" s="338" t="s">
        <v>9555</v>
      </c>
      <c r="J927" s="338" t="s">
        <v>9556</v>
      </c>
      <c r="K927" s="338" t="s">
        <v>7017</v>
      </c>
      <c r="L927" s="338" t="s">
        <v>7018</v>
      </c>
      <c r="M927" s="338" t="s">
        <v>7180</v>
      </c>
      <c r="N927" s="338" t="s">
        <v>7181</v>
      </c>
      <c r="O927" s="337">
        <v>1</v>
      </c>
      <c r="P927" s="337">
        <v>1</v>
      </c>
      <c r="Q927" s="338"/>
      <c r="R927" s="338" t="s">
        <v>6088</v>
      </c>
      <c r="S927" s="338"/>
      <c r="T927" s="338" t="s">
        <v>8948</v>
      </c>
      <c r="U927" s="338" t="s">
        <v>7202</v>
      </c>
      <c r="V927" s="337">
        <v>1</v>
      </c>
      <c r="W927" s="337">
        <v>1</v>
      </c>
      <c r="X927" s="338"/>
      <c r="Y927" s="338" t="s">
        <v>7187</v>
      </c>
      <c r="Z927" s="338" t="s">
        <v>7147</v>
      </c>
      <c r="AA927" s="338" t="s">
        <v>6079</v>
      </c>
      <c r="AB927" s="338"/>
      <c r="AC927" s="338" t="s">
        <v>7889</v>
      </c>
      <c r="AD927" s="338"/>
      <c r="AF927" s="502" t="str">
        <f>Table15[[#This Row],[code2]]</f>
        <v>PDA</v>
      </c>
      <c r="AG927" s="502" t="str">
        <f>Table15[[#This Row],[code5]]</f>
        <v>ATD</v>
      </c>
    </row>
    <row r="928" spans="1:33">
      <c r="A928" s="338" t="s">
        <v>6072</v>
      </c>
      <c r="B928" s="338" t="s">
        <v>6073</v>
      </c>
      <c r="C928" s="337">
        <v>1</v>
      </c>
      <c r="D928" s="338" t="s">
        <v>7015</v>
      </c>
      <c r="E928" s="338" t="s">
        <v>7016</v>
      </c>
      <c r="F928" s="337">
        <v>1</v>
      </c>
      <c r="G928" s="337">
        <v>1</v>
      </c>
      <c r="H928" s="338"/>
      <c r="I928" s="338" t="s">
        <v>9555</v>
      </c>
      <c r="J928" s="338" t="s">
        <v>9556</v>
      </c>
      <c r="K928" s="338" t="s">
        <v>7017</v>
      </c>
      <c r="L928" s="338" t="s">
        <v>7018</v>
      </c>
      <c r="M928" s="338" t="s">
        <v>7180</v>
      </c>
      <c r="N928" s="338" t="s">
        <v>7181</v>
      </c>
      <c r="O928" s="337">
        <v>1</v>
      </c>
      <c r="P928" s="337">
        <v>1</v>
      </c>
      <c r="Q928" s="338"/>
      <c r="R928" s="338" t="s">
        <v>6088</v>
      </c>
      <c r="S928" s="338"/>
      <c r="T928" s="338" t="s">
        <v>8948</v>
      </c>
      <c r="U928" s="338" t="s">
        <v>7203</v>
      </c>
      <c r="V928" s="337">
        <v>1</v>
      </c>
      <c r="W928" s="337">
        <v>1</v>
      </c>
      <c r="X928" s="338"/>
      <c r="Y928" s="338" t="s">
        <v>7183</v>
      </c>
      <c r="Z928" s="338" t="s">
        <v>7162</v>
      </c>
      <c r="AA928" s="338" t="s">
        <v>6079</v>
      </c>
      <c r="AB928" s="338"/>
      <c r="AC928" s="338" t="s">
        <v>7890</v>
      </c>
      <c r="AD928" s="338"/>
      <c r="AF928" s="502" t="str">
        <f>Table15[[#This Row],[code2]]</f>
        <v>PDA</v>
      </c>
      <c r="AG928" s="502" t="str">
        <f>Table15[[#This Row],[code5]]</f>
        <v>ATD</v>
      </c>
    </row>
    <row r="929" spans="1:33">
      <c r="A929" s="338" t="s">
        <v>6072</v>
      </c>
      <c r="B929" s="338" t="s">
        <v>6073</v>
      </c>
      <c r="C929" s="337">
        <v>1</v>
      </c>
      <c r="D929" s="338" t="s">
        <v>7015</v>
      </c>
      <c r="E929" s="338" t="s">
        <v>7016</v>
      </c>
      <c r="F929" s="337">
        <v>1</v>
      </c>
      <c r="G929" s="337">
        <v>1</v>
      </c>
      <c r="H929" s="338"/>
      <c r="I929" s="338" t="s">
        <v>9555</v>
      </c>
      <c r="J929" s="338" t="s">
        <v>9556</v>
      </c>
      <c r="K929" s="338" t="s">
        <v>7017</v>
      </c>
      <c r="L929" s="338" t="s">
        <v>7018</v>
      </c>
      <c r="M929" s="338" t="s">
        <v>7180</v>
      </c>
      <c r="N929" s="338" t="s">
        <v>7181</v>
      </c>
      <c r="O929" s="337">
        <v>1</v>
      </c>
      <c r="P929" s="337">
        <v>1</v>
      </c>
      <c r="Q929" s="338"/>
      <c r="R929" s="338" t="s">
        <v>6088</v>
      </c>
      <c r="S929" s="338"/>
      <c r="T929" s="338" t="s">
        <v>8948</v>
      </c>
      <c r="U929" s="338" t="s">
        <v>7204</v>
      </c>
      <c r="V929" s="337">
        <v>1</v>
      </c>
      <c r="W929" s="337">
        <v>1</v>
      </c>
      <c r="X929" s="338"/>
      <c r="Y929" s="338" t="s">
        <v>7185</v>
      </c>
      <c r="Z929" s="338" t="s">
        <v>7162</v>
      </c>
      <c r="AA929" s="338" t="s">
        <v>6079</v>
      </c>
      <c r="AB929" s="338"/>
      <c r="AC929" s="338" t="s">
        <v>7890</v>
      </c>
      <c r="AD929" s="338"/>
      <c r="AF929" s="502" t="str">
        <f>Table15[[#This Row],[code2]]</f>
        <v>PDA</v>
      </c>
      <c r="AG929" s="502" t="str">
        <f>Table15[[#This Row],[code5]]</f>
        <v>ATD</v>
      </c>
    </row>
    <row r="930" spans="1:33">
      <c r="A930" s="338" t="s">
        <v>6072</v>
      </c>
      <c r="B930" s="338" t="s">
        <v>6073</v>
      </c>
      <c r="C930" s="337">
        <v>1</v>
      </c>
      <c r="D930" s="338" t="s">
        <v>7015</v>
      </c>
      <c r="E930" s="338" t="s">
        <v>7016</v>
      </c>
      <c r="F930" s="337">
        <v>1</v>
      </c>
      <c r="G930" s="337">
        <v>1</v>
      </c>
      <c r="H930" s="338"/>
      <c r="I930" s="338" t="s">
        <v>9555</v>
      </c>
      <c r="J930" s="338" t="s">
        <v>9556</v>
      </c>
      <c r="K930" s="338" t="s">
        <v>7017</v>
      </c>
      <c r="L930" s="338" t="s">
        <v>7018</v>
      </c>
      <c r="M930" s="338" t="s">
        <v>7180</v>
      </c>
      <c r="N930" s="338" t="s">
        <v>7181</v>
      </c>
      <c r="O930" s="337">
        <v>1</v>
      </c>
      <c r="P930" s="337">
        <v>1</v>
      </c>
      <c r="Q930" s="338"/>
      <c r="R930" s="338" t="s">
        <v>6088</v>
      </c>
      <c r="S930" s="338"/>
      <c r="T930" s="338" t="s">
        <v>8948</v>
      </c>
      <c r="U930" s="338" t="s">
        <v>7205</v>
      </c>
      <c r="V930" s="337">
        <v>1</v>
      </c>
      <c r="W930" s="337">
        <v>1</v>
      </c>
      <c r="X930" s="338"/>
      <c r="Y930" s="338" t="s">
        <v>7187</v>
      </c>
      <c r="Z930" s="338" t="s">
        <v>7162</v>
      </c>
      <c r="AA930" s="338" t="s">
        <v>6079</v>
      </c>
      <c r="AB930" s="338"/>
      <c r="AC930" s="338" t="s">
        <v>7890</v>
      </c>
      <c r="AD930" s="338"/>
      <c r="AF930" s="502" t="str">
        <f>Table15[[#This Row],[code2]]</f>
        <v>PDA</v>
      </c>
      <c r="AG930" s="502" t="str">
        <f>Table15[[#This Row],[code5]]</f>
        <v>ATD</v>
      </c>
    </row>
    <row r="931" spans="1:33">
      <c r="A931" s="338" t="s">
        <v>6072</v>
      </c>
      <c r="B931" s="338" t="s">
        <v>6073</v>
      </c>
      <c r="C931" s="337">
        <v>1</v>
      </c>
      <c r="D931" s="338" t="s">
        <v>7015</v>
      </c>
      <c r="E931" s="338" t="s">
        <v>7016</v>
      </c>
      <c r="F931" s="337">
        <v>1</v>
      </c>
      <c r="G931" s="337">
        <v>1</v>
      </c>
      <c r="H931" s="338"/>
      <c r="I931" s="338" t="s">
        <v>9555</v>
      </c>
      <c r="J931" s="338" t="s">
        <v>9556</v>
      </c>
      <c r="K931" s="338" t="s">
        <v>7017</v>
      </c>
      <c r="L931" s="338" t="s">
        <v>7018</v>
      </c>
      <c r="M931" s="338" t="s">
        <v>7180</v>
      </c>
      <c r="N931" s="338" t="s">
        <v>7181</v>
      </c>
      <c r="O931" s="337">
        <v>1</v>
      </c>
      <c r="P931" s="337">
        <v>1</v>
      </c>
      <c r="Q931" s="338"/>
      <c r="R931" s="338" t="s">
        <v>6088</v>
      </c>
      <c r="S931" s="338"/>
      <c r="T931" s="338" t="s">
        <v>8948</v>
      </c>
      <c r="U931" s="338" t="s">
        <v>7206</v>
      </c>
      <c r="V931" s="337">
        <v>1</v>
      </c>
      <c r="W931" s="337">
        <v>1</v>
      </c>
      <c r="X931" s="338"/>
      <c r="Y931" s="338" t="s">
        <v>7183</v>
      </c>
      <c r="Z931" s="338" t="s">
        <v>7162</v>
      </c>
      <c r="AA931" s="338" t="s">
        <v>6079</v>
      </c>
      <c r="AB931" s="338"/>
      <c r="AC931" s="338" t="s">
        <v>7891</v>
      </c>
      <c r="AD931" s="338"/>
      <c r="AF931" s="502" t="str">
        <f>Table15[[#This Row],[code2]]</f>
        <v>PDA</v>
      </c>
      <c r="AG931" s="502" t="str">
        <f>Table15[[#This Row],[code5]]</f>
        <v>ATD</v>
      </c>
    </row>
    <row r="932" spans="1:33">
      <c r="A932" s="338" t="s">
        <v>6072</v>
      </c>
      <c r="B932" s="338" t="s">
        <v>6073</v>
      </c>
      <c r="C932" s="337">
        <v>1</v>
      </c>
      <c r="D932" s="338" t="s">
        <v>7015</v>
      </c>
      <c r="E932" s="338" t="s">
        <v>7016</v>
      </c>
      <c r="F932" s="337">
        <v>1</v>
      </c>
      <c r="G932" s="337">
        <v>1</v>
      </c>
      <c r="H932" s="338"/>
      <c r="I932" s="338" t="s">
        <v>9555</v>
      </c>
      <c r="J932" s="338" t="s">
        <v>9556</v>
      </c>
      <c r="K932" s="338" t="s">
        <v>7017</v>
      </c>
      <c r="L932" s="338" t="s">
        <v>7018</v>
      </c>
      <c r="M932" s="338" t="s">
        <v>7180</v>
      </c>
      <c r="N932" s="338" t="s">
        <v>7181</v>
      </c>
      <c r="O932" s="337">
        <v>1</v>
      </c>
      <c r="P932" s="337">
        <v>1</v>
      </c>
      <c r="Q932" s="338"/>
      <c r="R932" s="338" t="s">
        <v>6088</v>
      </c>
      <c r="S932" s="338"/>
      <c r="T932" s="338" t="s">
        <v>8948</v>
      </c>
      <c r="U932" s="338" t="s">
        <v>7207</v>
      </c>
      <c r="V932" s="337">
        <v>1</v>
      </c>
      <c r="W932" s="337">
        <v>1</v>
      </c>
      <c r="X932" s="338"/>
      <c r="Y932" s="338" t="s">
        <v>7185</v>
      </c>
      <c r="Z932" s="338" t="s">
        <v>7162</v>
      </c>
      <c r="AA932" s="338" t="s">
        <v>6079</v>
      </c>
      <c r="AB932" s="338"/>
      <c r="AC932" s="338" t="s">
        <v>7891</v>
      </c>
      <c r="AD932" s="338"/>
      <c r="AF932" s="502" t="str">
        <f>Table15[[#This Row],[code2]]</f>
        <v>PDA</v>
      </c>
      <c r="AG932" s="502" t="str">
        <f>Table15[[#This Row],[code5]]</f>
        <v>ATD</v>
      </c>
    </row>
    <row r="933" spans="1:33">
      <c r="A933" s="338" t="s">
        <v>6072</v>
      </c>
      <c r="B933" s="338" t="s">
        <v>6073</v>
      </c>
      <c r="C933" s="337">
        <v>1</v>
      </c>
      <c r="D933" s="338" t="s">
        <v>7015</v>
      </c>
      <c r="E933" s="338" t="s">
        <v>7016</v>
      </c>
      <c r="F933" s="337">
        <v>1</v>
      </c>
      <c r="G933" s="337">
        <v>1</v>
      </c>
      <c r="H933" s="338"/>
      <c r="I933" s="338" t="s">
        <v>9555</v>
      </c>
      <c r="J933" s="338" t="s">
        <v>9556</v>
      </c>
      <c r="K933" s="338" t="s">
        <v>7017</v>
      </c>
      <c r="L933" s="338" t="s">
        <v>7018</v>
      </c>
      <c r="M933" s="338" t="s">
        <v>7180</v>
      </c>
      <c r="N933" s="338" t="s">
        <v>7181</v>
      </c>
      <c r="O933" s="337">
        <v>1</v>
      </c>
      <c r="P933" s="337">
        <v>1</v>
      </c>
      <c r="Q933" s="338"/>
      <c r="R933" s="338" t="s">
        <v>6088</v>
      </c>
      <c r="S933" s="338"/>
      <c r="T933" s="338" t="s">
        <v>8948</v>
      </c>
      <c r="U933" s="338" t="s">
        <v>7208</v>
      </c>
      <c r="V933" s="337">
        <v>1</v>
      </c>
      <c r="W933" s="337">
        <v>1</v>
      </c>
      <c r="X933" s="338"/>
      <c r="Y933" s="338" t="s">
        <v>7187</v>
      </c>
      <c r="Z933" s="338" t="s">
        <v>7162</v>
      </c>
      <c r="AA933" s="338" t="s">
        <v>6079</v>
      </c>
      <c r="AB933" s="338"/>
      <c r="AC933" s="338" t="s">
        <v>7891</v>
      </c>
      <c r="AD933" s="338"/>
      <c r="AF933" s="502" t="str">
        <f>Table15[[#This Row],[code2]]</f>
        <v>PDA</v>
      </c>
      <c r="AG933" s="502" t="str">
        <f>Table15[[#This Row],[code5]]</f>
        <v>ATD</v>
      </c>
    </row>
    <row r="934" spans="1:33">
      <c r="A934" s="338" t="s">
        <v>6072</v>
      </c>
      <c r="B934" s="338" t="s">
        <v>6073</v>
      </c>
      <c r="C934" s="337">
        <v>1</v>
      </c>
      <c r="D934" s="338" t="s">
        <v>7015</v>
      </c>
      <c r="E934" s="338" t="s">
        <v>7016</v>
      </c>
      <c r="F934" s="337">
        <v>1</v>
      </c>
      <c r="G934" s="337">
        <v>1</v>
      </c>
      <c r="H934" s="338"/>
      <c r="I934" s="338" t="s">
        <v>9555</v>
      </c>
      <c r="J934" s="338" t="s">
        <v>9556</v>
      </c>
      <c r="K934" s="338" t="s">
        <v>7017</v>
      </c>
      <c r="L934" s="338" t="s">
        <v>7018</v>
      </c>
      <c r="M934" s="338" t="s">
        <v>7180</v>
      </c>
      <c r="N934" s="338" t="s">
        <v>7181</v>
      </c>
      <c r="O934" s="337">
        <v>1</v>
      </c>
      <c r="P934" s="337">
        <v>1</v>
      </c>
      <c r="Q934" s="338"/>
      <c r="R934" s="338" t="s">
        <v>6088</v>
      </c>
      <c r="S934" s="338"/>
      <c r="T934" s="338" t="s">
        <v>8948</v>
      </c>
      <c r="U934" s="338" t="s">
        <v>7209</v>
      </c>
      <c r="V934" s="337">
        <v>1</v>
      </c>
      <c r="W934" s="337">
        <v>1</v>
      </c>
      <c r="X934" s="338"/>
      <c r="Y934" s="338" t="s">
        <v>7190</v>
      </c>
      <c r="Z934" s="338" t="s">
        <v>7162</v>
      </c>
      <c r="AA934" s="338" t="s">
        <v>6079</v>
      </c>
      <c r="AB934" s="338"/>
      <c r="AC934" s="338" t="s">
        <v>7891</v>
      </c>
      <c r="AD934" s="338"/>
      <c r="AF934" s="502" t="str">
        <f>Table15[[#This Row],[code2]]</f>
        <v>PDA</v>
      </c>
      <c r="AG934" s="502" t="str">
        <f>Table15[[#This Row],[code5]]</f>
        <v>ATD</v>
      </c>
    </row>
    <row r="935" spans="1:33">
      <c r="A935" s="338" t="s">
        <v>6072</v>
      </c>
      <c r="B935" s="338" t="s">
        <v>6073</v>
      </c>
      <c r="C935" s="337">
        <v>1</v>
      </c>
      <c r="D935" s="338" t="s">
        <v>7015</v>
      </c>
      <c r="E935" s="338" t="s">
        <v>7016</v>
      </c>
      <c r="F935" s="337">
        <v>1</v>
      </c>
      <c r="G935" s="337">
        <v>1</v>
      </c>
      <c r="H935" s="338"/>
      <c r="I935" s="338" t="s">
        <v>9555</v>
      </c>
      <c r="J935" s="338" t="s">
        <v>9556</v>
      </c>
      <c r="K935" s="338" t="s">
        <v>7017</v>
      </c>
      <c r="L935" s="338" t="s">
        <v>7018</v>
      </c>
      <c r="M935" s="338" t="s">
        <v>7180</v>
      </c>
      <c r="N935" s="338" t="s">
        <v>7181</v>
      </c>
      <c r="O935" s="337">
        <v>1</v>
      </c>
      <c r="P935" s="337">
        <v>1</v>
      </c>
      <c r="Q935" s="338"/>
      <c r="R935" s="338" t="s">
        <v>6088</v>
      </c>
      <c r="S935" s="338"/>
      <c r="T935" s="338" t="s">
        <v>8948</v>
      </c>
      <c r="U935" s="338" t="s">
        <v>7210</v>
      </c>
      <c r="V935" s="337">
        <v>1</v>
      </c>
      <c r="W935" s="337">
        <v>1</v>
      </c>
      <c r="X935" s="338"/>
      <c r="Y935" s="338" t="s">
        <v>7183</v>
      </c>
      <c r="Z935" s="338" t="s">
        <v>7162</v>
      </c>
      <c r="AA935" s="338" t="s">
        <v>6079</v>
      </c>
      <c r="AB935" s="338"/>
      <c r="AC935" s="338" t="s">
        <v>7892</v>
      </c>
      <c r="AD935" s="338"/>
      <c r="AF935" s="502" t="str">
        <f>Table15[[#This Row],[code2]]</f>
        <v>PDA</v>
      </c>
      <c r="AG935" s="502" t="str">
        <f>Table15[[#This Row],[code5]]</f>
        <v>ATD</v>
      </c>
    </row>
    <row r="936" spans="1:33">
      <c r="A936" s="338" t="s">
        <v>6072</v>
      </c>
      <c r="B936" s="338" t="s">
        <v>6073</v>
      </c>
      <c r="C936" s="337">
        <v>1</v>
      </c>
      <c r="D936" s="338" t="s">
        <v>7015</v>
      </c>
      <c r="E936" s="338" t="s">
        <v>7016</v>
      </c>
      <c r="F936" s="337">
        <v>1</v>
      </c>
      <c r="G936" s="337">
        <v>1</v>
      </c>
      <c r="H936" s="338"/>
      <c r="I936" s="338" t="s">
        <v>9555</v>
      </c>
      <c r="J936" s="338" t="s">
        <v>9556</v>
      </c>
      <c r="K936" s="338" t="s">
        <v>7017</v>
      </c>
      <c r="L936" s="338" t="s">
        <v>7018</v>
      </c>
      <c r="M936" s="338" t="s">
        <v>7180</v>
      </c>
      <c r="N936" s="338" t="s">
        <v>7181</v>
      </c>
      <c r="O936" s="337">
        <v>1</v>
      </c>
      <c r="P936" s="337">
        <v>1</v>
      </c>
      <c r="Q936" s="338"/>
      <c r="R936" s="338" t="s">
        <v>6088</v>
      </c>
      <c r="S936" s="338"/>
      <c r="T936" s="338" t="s">
        <v>8948</v>
      </c>
      <c r="U936" s="338" t="s">
        <v>7211</v>
      </c>
      <c r="V936" s="337">
        <v>1</v>
      </c>
      <c r="W936" s="337">
        <v>1</v>
      </c>
      <c r="X936" s="338"/>
      <c r="Y936" s="338" t="s">
        <v>7185</v>
      </c>
      <c r="Z936" s="338" t="s">
        <v>7162</v>
      </c>
      <c r="AA936" s="338" t="s">
        <v>6079</v>
      </c>
      <c r="AB936" s="338"/>
      <c r="AC936" s="338" t="s">
        <v>7892</v>
      </c>
      <c r="AD936" s="338"/>
      <c r="AF936" s="502" t="str">
        <f>Table15[[#This Row],[code2]]</f>
        <v>PDA</v>
      </c>
      <c r="AG936" s="502" t="str">
        <f>Table15[[#This Row],[code5]]</f>
        <v>ATD</v>
      </c>
    </row>
    <row r="937" spans="1:33">
      <c r="A937" s="338" t="s">
        <v>6072</v>
      </c>
      <c r="B937" s="338" t="s">
        <v>6073</v>
      </c>
      <c r="C937" s="337">
        <v>1</v>
      </c>
      <c r="D937" s="338" t="s">
        <v>7015</v>
      </c>
      <c r="E937" s="338" t="s">
        <v>7016</v>
      </c>
      <c r="F937" s="337">
        <v>1</v>
      </c>
      <c r="G937" s="337">
        <v>1</v>
      </c>
      <c r="H937" s="338"/>
      <c r="I937" s="338" t="s">
        <v>9555</v>
      </c>
      <c r="J937" s="338" t="s">
        <v>9556</v>
      </c>
      <c r="K937" s="338" t="s">
        <v>7017</v>
      </c>
      <c r="L937" s="338" t="s">
        <v>7018</v>
      </c>
      <c r="M937" s="338" t="s">
        <v>7180</v>
      </c>
      <c r="N937" s="338" t="s">
        <v>7181</v>
      </c>
      <c r="O937" s="337">
        <v>1</v>
      </c>
      <c r="P937" s="337">
        <v>1</v>
      </c>
      <c r="Q937" s="338"/>
      <c r="R937" s="338" t="s">
        <v>6088</v>
      </c>
      <c r="S937" s="338"/>
      <c r="T937" s="338" t="s">
        <v>8948</v>
      </c>
      <c r="U937" s="338" t="s">
        <v>7212</v>
      </c>
      <c r="V937" s="337">
        <v>1</v>
      </c>
      <c r="W937" s="337">
        <v>1</v>
      </c>
      <c r="X937" s="338"/>
      <c r="Y937" s="338" t="s">
        <v>7187</v>
      </c>
      <c r="Z937" s="338" t="s">
        <v>7162</v>
      </c>
      <c r="AA937" s="338" t="s">
        <v>6079</v>
      </c>
      <c r="AB937" s="338"/>
      <c r="AC937" s="338" t="s">
        <v>7892</v>
      </c>
      <c r="AD937" s="338"/>
      <c r="AF937" s="502" t="str">
        <f>Table15[[#This Row],[code2]]</f>
        <v>PDA</v>
      </c>
      <c r="AG937" s="502" t="str">
        <f>Table15[[#This Row],[code5]]</f>
        <v>ATD</v>
      </c>
    </row>
    <row r="938" spans="1:33">
      <c r="A938" s="338" t="s">
        <v>6072</v>
      </c>
      <c r="B938" s="338" t="s">
        <v>6073</v>
      </c>
      <c r="C938" s="337">
        <v>1</v>
      </c>
      <c r="D938" s="338" t="s">
        <v>7015</v>
      </c>
      <c r="E938" s="338" t="s">
        <v>7016</v>
      </c>
      <c r="F938" s="337">
        <v>1</v>
      </c>
      <c r="G938" s="337">
        <v>1</v>
      </c>
      <c r="H938" s="338"/>
      <c r="I938" s="338" t="s">
        <v>9555</v>
      </c>
      <c r="J938" s="338" t="s">
        <v>9556</v>
      </c>
      <c r="K938" s="338" t="s">
        <v>7017</v>
      </c>
      <c r="L938" s="338" t="s">
        <v>7018</v>
      </c>
      <c r="M938" s="338" t="s">
        <v>7180</v>
      </c>
      <c r="N938" s="338" t="s">
        <v>7181</v>
      </c>
      <c r="O938" s="337">
        <v>1</v>
      </c>
      <c r="P938" s="337">
        <v>1</v>
      </c>
      <c r="Q938" s="338"/>
      <c r="R938" s="338" t="s">
        <v>6088</v>
      </c>
      <c r="S938" s="338"/>
      <c r="T938" s="338" t="s">
        <v>8948</v>
      </c>
      <c r="U938" s="338" t="s">
        <v>7213</v>
      </c>
      <c r="V938" s="337">
        <v>1</v>
      </c>
      <c r="W938" s="337">
        <v>1</v>
      </c>
      <c r="X938" s="338"/>
      <c r="Y938" s="338" t="s">
        <v>7190</v>
      </c>
      <c r="Z938" s="338" t="s">
        <v>7162</v>
      </c>
      <c r="AA938" s="338" t="s">
        <v>6079</v>
      </c>
      <c r="AB938" s="338"/>
      <c r="AC938" s="338" t="s">
        <v>7892</v>
      </c>
      <c r="AD938" s="338"/>
      <c r="AF938" s="502" t="str">
        <f>Table15[[#This Row],[code2]]</f>
        <v>PDA</v>
      </c>
      <c r="AG938" s="502" t="str">
        <f>Table15[[#This Row],[code5]]</f>
        <v>ATD</v>
      </c>
    </row>
    <row r="939" spans="1:33">
      <c r="A939" s="338" t="s">
        <v>6072</v>
      </c>
      <c r="B939" s="338" t="s">
        <v>6073</v>
      </c>
      <c r="C939" s="337">
        <v>1</v>
      </c>
      <c r="D939" s="338" t="s">
        <v>7015</v>
      </c>
      <c r="E939" s="338" t="s">
        <v>7016</v>
      </c>
      <c r="F939" s="337">
        <v>1</v>
      </c>
      <c r="G939" s="337">
        <v>1</v>
      </c>
      <c r="H939" s="338"/>
      <c r="I939" s="338" t="s">
        <v>9555</v>
      </c>
      <c r="J939" s="338" t="s">
        <v>9556</v>
      </c>
      <c r="K939" s="338" t="s">
        <v>7017</v>
      </c>
      <c r="L939" s="338" t="s">
        <v>7018</v>
      </c>
      <c r="M939" s="338" t="s">
        <v>7180</v>
      </c>
      <c r="N939" s="338" t="s">
        <v>7181</v>
      </c>
      <c r="O939" s="337">
        <v>1</v>
      </c>
      <c r="P939" s="337">
        <v>1</v>
      </c>
      <c r="Q939" s="338"/>
      <c r="R939" s="338" t="s">
        <v>6088</v>
      </c>
      <c r="S939" s="338"/>
      <c r="T939" s="338" t="s">
        <v>8948</v>
      </c>
      <c r="U939" s="338" t="s">
        <v>7214</v>
      </c>
      <c r="V939" s="337">
        <v>1</v>
      </c>
      <c r="W939" s="337">
        <v>1</v>
      </c>
      <c r="X939" s="338"/>
      <c r="Y939" s="338" t="s">
        <v>7183</v>
      </c>
      <c r="Z939" s="338" t="s">
        <v>7162</v>
      </c>
      <c r="AA939" s="338" t="s">
        <v>6079</v>
      </c>
      <c r="AB939" s="338"/>
      <c r="AC939" s="338" t="s">
        <v>7893</v>
      </c>
      <c r="AD939" s="338"/>
      <c r="AF939" s="502" t="str">
        <f>Table15[[#This Row],[code2]]</f>
        <v>PDA</v>
      </c>
      <c r="AG939" s="502" t="str">
        <f>Table15[[#This Row],[code5]]</f>
        <v>ATD</v>
      </c>
    </row>
    <row r="940" spans="1:33">
      <c r="A940" s="338" t="s">
        <v>6072</v>
      </c>
      <c r="B940" s="338" t="s">
        <v>6073</v>
      </c>
      <c r="C940" s="337">
        <v>1</v>
      </c>
      <c r="D940" s="338" t="s">
        <v>7015</v>
      </c>
      <c r="E940" s="338" t="s">
        <v>7016</v>
      </c>
      <c r="F940" s="337">
        <v>1</v>
      </c>
      <c r="G940" s="337">
        <v>1</v>
      </c>
      <c r="H940" s="338"/>
      <c r="I940" s="338" t="s">
        <v>9555</v>
      </c>
      <c r="J940" s="338" t="s">
        <v>9556</v>
      </c>
      <c r="K940" s="338" t="s">
        <v>7017</v>
      </c>
      <c r="L940" s="338" t="s">
        <v>7018</v>
      </c>
      <c r="M940" s="338" t="s">
        <v>7180</v>
      </c>
      <c r="N940" s="338" t="s">
        <v>7181</v>
      </c>
      <c r="O940" s="337">
        <v>1</v>
      </c>
      <c r="P940" s="337">
        <v>1</v>
      </c>
      <c r="Q940" s="338"/>
      <c r="R940" s="338" t="s">
        <v>6088</v>
      </c>
      <c r="S940" s="338"/>
      <c r="T940" s="338" t="s">
        <v>8948</v>
      </c>
      <c r="U940" s="338" t="s">
        <v>7215</v>
      </c>
      <c r="V940" s="337">
        <v>1</v>
      </c>
      <c r="W940" s="337">
        <v>1</v>
      </c>
      <c r="X940" s="338"/>
      <c r="Y940" s="338" t="s">
        <v>7185</v>
      </c>
      <c r="Z940" s="338" t="s">
        <v>7162</v>
      </c>
      <c r="AA940" s="338" t="s">
        <v>6079</v>
      </c>
      <c r="AB940" s="338"/>
      <c r="AC940" s="338" t="s">
        <v>7893</v>
      </c>
      <c r="AD940" s="338"/>
      <c r="AF940" s="502" t="str">
        <f>Table15[[#This Row],[code2]]</f>
        <v>PDA</v>
      </c>
      <c r="AG940" s="502" t="str">
        <f>Table15[[#This Row],[code5]]</f>
        <v>ATD</v>
      </c>
    </row>
    <row r="941" spans="1:33">
      <c r="A941" s="338" t="s">
        <v>6072</v>
      </c>
      <c r="B941" s="338" t="s">
        <v>6073</v>
      </c>
      <c r="C941" s="337">
        <v>1</v>
      </c>
      <c r="D941" s="338" t="s">
        <v>7015</v>
      </c>
      <c r="E941" s="338" t="s">
        <v>7016</v>
      </c>
      <c r="F941" s="337">
        <v>1</v>
      </c>
      <c r="G941" s="337">
        <v>1</v>
      </c>
      <c r="H941" s="338"/>
      <c r="I941" s="338" t="s">
        <v>9555</v>
      </c>
      <c r="J941" s="338" t="s">
        <v>9556</v>
      </c>
      <c r="K941" s="338" t="s">
        <v>7017</v>
      </c>
      <c r="L941" s="338" t="s">
        <v>7018</v>
      </c>
      <c r="M941" s="338" t="s">
        <v>7180</v>
      </c>
      <c r="N941" s="338" t="s">
        <v>7181</v>
      </c>
      <c r="O941" s="337">
        <v>1</v>
      </c>
      <c r="P941" s="337">
        <v>1</v>
      </c>
      <c r="Q941" s="338"/>
      <c r="R941" s="338" t="s">
        <v>6088</v>
      </c>
      <c r="S941" s="338"/>
      <c r="T941" s="338" t="s">
        <v>8948</v>
      </c>
      <c r="U941" s="338" t="s">
        <v>7216</v>
      </c>
      <c r="V941" s="337">
        <v>1</v>
      </c>
      <c r="W941" s="337">
        <v>1</v>
      </c>
      <c r="X941" s="338"/>
      <c r="Y941" s="338" t="s">
        <v>7187</v>
      </c>
      <c r="Z941" s="338" t="s">
        <v>7162</v>
      </c>
      <c r="AA941" s="338" t="s">
        <v>6079</v>
      </c>
      <c r="AB941" s="338"/>
      <c r="AC941" s="338" t="s">
        <v>7893</v>
      </c>
      <c r="AD941" s="338"/>
      <c r="AF941" s="502" t="str">
        <f>Table15[[#This Row],[code2]]</f>
        <v>PDA</v>
      </c>
      <c r="AG941" s="502" t="str">
        <f>Table15[[#This Row],[code5]]</f>
        <v>ATD</v>
      </c>
    </row>
    <row r="942" spans="1:33">
      <c r="A942" s="338" t="s">
        <v>6072</v>
      </c>
      <c r="B942" s="338" t="s">
        <v>6073</v>
      </c>
      <c r="C942" s="337">
        <v>1</v>
      </c>
      <c r="D942" s="338" t="s">
        <v>7015</v>
      </c>
      <c r="E942" s="338" t="s">
        <v>7016</v>
      </c>
      <c r="F942" s="337">
        <v>1</v>
      </c>
      <c r="G942" s="337">
        <v>1</v>
      </c>
      <c r="H942" s="338"/>
      <c r="I942" s="338" t="s">
        <v>9555</v>
      </c>
      <c r="J942" s="338" t="s">
        <v>9556</v>
      </c>
      <c r="K942" s="338" t="s">
        <v>7017</v>
      </c>
      <c r="L942" s="338" t="s">
        <v>7018</v>
      </c>
      <c r="M942" s="338" t="s">
        <v>7180</v>
      </c>
      <c r="N942" s="338" t="s">
        <v>7181</v>
      </c>
      <c r="O942" s="337">
        <v>1</v>
      </c>
      <c r="P942" s="337">
        <v>1</v>
      </c>
      <c r="Q942" s="338"/>
      <c r="R942" s="338" t="s">
        <v>6088</v>
      </c>
      <c r="S942" s="338"/>
      <c r="T942" s="338" t="s">
        <v>8948</v>
      </c>
      <c r="U942" s="338" t="s">
        <v>7217</v>
      </c>
      <c r="V942" s="337">
        <v>1</v>
      </c>
      <c r="W942" s="337">
        <v>1</v>
      </c>
      <c r="X942" s="338"/>
      <c r="Y942" s="338" t="s">
        <v>7190</v>
      </c>
      <c r="Z942" s="338" t="s">
        <v>7162</v>
      </c>
      <c r="AA942" s="338" t="s">
        <v>6079</v>
      </c>
      <c r="AB942" s="338"/>
      <c r="AC942" s="338" t="s">
        <v>7893</v>
      </c>
      <c r="AD942" s="338"/>
      <c r="AF942" s="502" t="str">
        <f>Table15[[#This Row],[code2]]</f>
        <v>PDA</v>
      </c>
      <c r="AG942" s="502" t="str">
        <f>Table15[[#This Row],[code5]]</f>
        <v>ATD</v>
      </c>
    </row>
    <row r="943" spans="1:33">
      <c r="A943" s="338" t="s">
        <v>6072</v>
      </c>
      <c r="B943" s="338" t="s">
        <v>6073</v>
      </c>
      <c r="C943" s="337">
        <v>1</v>
      </c>
      <c r="D943" s="338" t="s">
        <v>7015</v>
      </c>
      <c r="E943" s="338" t="s">
        <v>7016</v>
      </c>
      <c r="F943" s="337">
        <v>1</v>
      </c>
      <c r="G943" s="337">
        <v>1</v>
      </c>
      <c r="H943" s="338"/>
      <c r="I943" s="338" t="s">
        <v>9555</v>
      </c>
      <c r="J943" s="338" t="s">
        <v>9556</v>
      </c>
      <c r="K943" s="338" t="s">
        <v>7017</v>
      </c>
      <c r="L943" s="338" t="s">
        <v>7018</v>
      </c>
      <c r="M943" s="338" t="s">
        <v>7180</v>
      </c>
      <c r="N943" s="338" t="s">
        <v>7181</v>
      </c>
      <c r="O943" s="337">
        <v>1</v>
      </c>
      <c r="P943" s="337">
        <v>1</v>
      </c>
      <c r="Q943" s="338"/>
      <c r="R943" s="338" t="s">
        <v>6088</v>
      </c>
      <c r="S943" s="338"/>
      <c r="T943" s="338" t="s">
        <v>8948</v>
      </c>
      <c r="U943" s="338" t="s">
        <v>7218</v>
      </c>
      <c r="V943" s="337">
        <v>1</v>
      </c>
      <c r="W943" s="337">
        <v>1</v>
      </c>
      <c r="X943" s="338"/>
      <c r="Y943" s="338" t="s">
        <v>7183</v>
      </c>
      <c r="Z943" s="338" t="s">
        <v>7162</v>
      </c>
      <c r="AA943" s="338" t="s">
        <v>6079</v>
      </c>
      <c r="AB943" s="338"/>
      <c r="AC943" s="338" t="s">
        <v>7894</v>
      </c>
      <c r="AD943" s="338"/>
      <c r="AF943" s="502" t="str">
        <f>Table15[[#This Row],[code2]]</f>
        <v>PDA</v>
      </c>
      <c r="AG943" s="502" t="str">
        <f>Table15[[#This Row],[code5]]</f>
        <v>ATD</v>
      </c>
    </row>
    <row r="944" spans="1:33">
      <c r="A944" s="338" t="s">
        <v>6072</v>
      </c>
      <c r="B944" s="338" t="s">
        <v>6073</v>
      </c>
      <c r="C944" s="337">
        <v>1</v>
      </c>
      <c r="D944" s="338" t="s">
        <v>7015</v>
      </c>
      <c r="E944" s="338" t="s">
        <v>7016</v>
      </c>
      <c r="F944" s="337">
        <v>1</v>
      </c>
      <c r="G944" s="337">
        <v>1</v>
      </c>
      <c r="H944" s="338"/>
      <c r="I944" s="338" t="s">
        <v>9555</v>
      </c>
      <c r="J944" s="338" t="s">
        <v>9556</v>
      </c>
      <c r="K944" s="338" t="s">
        <v>7017</v>
      </c>
      <c r="L944" s="338" t="s">
        <v>7018</v>
      </c>
      <c r="M944" s="338" t="s">
        <v>7180</v>
      </c>
      <c r="N944" s="338" t="s">
        <v>7181</v>
      </c>
      <c r="O944" s="337">
        <v>1</v>
      </c>
      <c r="P944" s="337">
        <v>1</v>
      </c>
      <c r="Q944" s="338"/>
      <c r="R944" s="338" t="s">
        <v>6088</v>
      </c>
      <c r="S944" s="338"/>
      <c r="T944" s="338" t="s">
        <v>8948</v>
      </c>
      <c r="U944" s="338" t="s">
        <v>7219</v>
      </c>
      <c r="V944" s="337">
        <v>1</v>
      </c>
      <c r="W944" s="337">
        <v>1</v>
      </c>
      <c r="X944" s="338"/>
      <c r="Y944" s="338" t="s">
        <v>7185</v>
      </c>
      <c r="Z944" s="338" t="s">
        <v>7162</v>
      </c>
      <c r="AA944" s="338" t="s">
        <v>6079</v>
      </c>
      <c r="AB944" s="338"/>
      <c r="AC944" s="338" t="s">
        <v>7894</v>
      </c>
      <c r="AD944" s="338"/>
      <c r="AF944" s="502" t="str">
        <f>Table15[[#This Row],[code2]]</f>
        <v>PDA</v>
      </c>
      <c r="AG944" s="502" t="str">
        <f>Table15[[#This Row],[code5]]</f>
        <v>ATD</v>
      </c>
    </row>
    <row r="945" spans="1:33">
      <c r="A945" s="338" t="s">
        <v>6072</v>
      </c>
      <c r="B945" s="338" t="s">
        <v>6073</v>
      </c>
      <c r="C945" s="337">
        <v>1</v>
      </c>
      <c r="D945" s="338" t="s">
        <v>7015</v>
      </c>
      <c r="E945" s="338" t="s">
        <v>7016</v>
      </c>
      <c r="F945" s="337">
        <v>1</v>
      </c>
      <c r="G945" s="337">
        <v>1</v>
      </c>
      <c r="H945" s="338"/>
      <c r="I945" s="338" t="s">
        <v>9555</v>
      </c>
      <c r="J945" s="338" t="s">
        <v>9556</v>
      </c>
      <c r="K945" s="338" t="s">
        <v>7017</v>
      </c>
      <c r="L945" s="338" t="s">
        <v>7018</v>
      </c>
      <c r="M945" s="338" t="s">
        <v>7180</v>
      </c>
      <c r="N945" s="338" t="s">
        <v>7181</v>
      </c>
      <c r="O945" s="337">
        <v>1</v>
      </c>
      <c r="P945" s="337">
        <v>1</v>
      </c>
      <c r="Q945" s="338"/>
      <c r="R945" s="338" t="s">
        <v>6088</v>
      </c>
      <c r="S945" s="338"/>
      <c r="T945" s="338" t="s">
        <v>8948</v>
      </c>
      <c r="U945" s="338" t="s">
        <v>7220</v>
      </c>
      <c r="V945" s="337">
        <v>1</v>
      </c>
      <c r="W945" s="337">
        <v>1</v>
      </c>
      <c r="X945" s="338"/>
      <c r="Y945" s="338" t="s">
        <v>7187</v>
      </c>
      <c r="Z945" s="338" t="s">
        <v>7162</v>
      </c>
      <c r="AA945" s="338" t="s">
        <v>6079</v>
      </c>
      <c r="AB945" s="338"/>
      <c r="AC945" s="338" t="s">
        <v>7894</v>
      </c>
      <c r="AD945" s="338"/>
      <c r="AF945" s="502" t="str">
        <f>Table15[[#This Row],[code2]]</f>
        <v>PDA</v>
      </c>
      <c r="AG945" s="502" t="str">
        <f>Table15[[#This Row],[code5]]</f>
        <v>ATD</v>
      </c>
    </row>
    <row r="946" spans="1:33">
      <c r="A946" s="338" t="s">
        <v>6072</v>
      </c>
      <c r="B946" s="338" t="s">
        <v>6073</v>
      </c>
      <c r="C946" s="337">
        <v>1</v>
      </c>
      <c r="D946" s="338" t="s">
        <v>7015</v>
      </c>
      <c r="E946" s="338" t="s">
        <v>7016</v>
      </c>
      <c r="F946" s="337">
        <v>1</v>
      </c>
      <c r="G946" s="337">
        <v>1</v>
      </c>
      <c r="H946" s="338"/>
      <c r="I946" s="338" t="s">
        <v>9555</v>
      </c>
      <c r="J946" s="338" t="s">
        <v>9556</v>
      </c>
      <c r="K946" s="338" t="s">
        <v>7017</v>
      </c>
      <c r="L946" s="338" t="s">
        <v>7018</v>
      </c>
      <c r="M946" s="338" t="s">
        <v>7180</v>
      </c>
      <c r="N946" s="338" t="s">
        <v>7181</v>
      </c>
      <c r="O946" s="337">
        <v>1</v>
      </c>
      <c r="P946" s="337">
        <v>1</v>
      </c>
      <c r="Q946" s="338"/>
      <c r="R946" s="338" t="s">
        <v>6088</v>
      </c>
      <c r="S946" s="338"/>
      <c r="T946" s="338" t="s">
        <v>8948</v>
      </c>
      <c r="U946" s="338" t="s">
        <v>7221</v>
      </c>
      <c r="V946" s="337">
        <v>1</v>
      </c>
      <c r="W946" s="337">
        <v>1</v>
      </c>
      <c r="X946" s="338"/>
      <c r="Y946" s="338" t="s">
        <v>7190</v>
      </c>
      <c r="Z946" s="338" t="s">
        <v>7162</v>
      </c>
      <c r="AA946" s="338" t="s">
        <v>6079</v>
      </c>
      <c r="AB946" s="338"/>
      <c r="AC946" s="338" t="s">
        <v>7894</v>
      </c>
      <c r="AD946" s="338"/>
      <c r="AF946" s="502" t="str">
        <f>Table15[[#This Row],[code2]]</f>
        <v>PDA</v>
      </c>
      <c r="AG946" s="502" t="str">
        <f>Table15[[#This Row],[code5]]</f>
        <v>ATD</v>
      </c>
    </row>
    <row r="947" spans="1:33">
      <c r="A947" s="338" t="s">
        <v>6072</v>
      </c>
      <c r="B947" s="338" t="s">
        <v>6073</v>
      </c>
      <c r="C947" s="337">
        <v>1</v>
      </c>
      <c r="D947" s="338" t="s">
        <v>7015</v>
      </c>
      <c r="E947" s="338" t="s">
        <v>7016</v>
      </c>
      <c r="F947" s="337">
        <v>1</v>
      </c>
      <c r="G947" s="337">
        <v>1</v>
      </c>
      <c r="H947" s="338"/>
      <c r="I947" s="338" t="s">
        <v>9555</v>
      </c>
      <c r="J947" s="338" t="s">
        <v>9556</v>
      </c>
      <c r="K947" s="338" t="s">
        <v>7017</v>
      </c>
      <c r="L947" s="338" t="s">
        <v>7018</v>
      </c>
      <c r="M947" s="338" t="s">
        <v>7180</v>
      </c>
      <c r="N947" s="338" t="s">
        <v>7181</v>
      </c>
      <c r="O947" s="337">
        <v>1</v>
      </c>
      <c r="P947" s="337">
        <v>1</v>
      </c>
      <c r="Q947" s="338"/>
      <c r="R947" s="338" t="s">
        <v>6088</v>
      </c>
      <c r="S947" s="338"/>
      <c r="T947" s="338" t="s">
        <v>8948</v>
      </c>
      <c r="U947" s="338" t="s">
        <v>7222</v>
      </c>
      <c r="V947" s="337">
        <v>0</v>
      </c>
      <c r="W947" s="337">
        <v>0</v>
      </c>
      <c r="X947" s="338"/>
      <c r="Y947" s="338" t="s">
        <v>7192</v>
      </c>
      <c r="Z947" s="338" t="s">
        <v>7188</v>
      </c>
      <c r="AA947" s="338"/>
      <c r="AB947" s="338"/>
      <c r="AC947" s="338" t="s">
        <v>7894</v>
      </c>
      <c r="AD947" s="338"/>
      <c r="AF947" s="502" t="str">
        <f>Table15[[#This Row],[code2]]</f>
        <v>PDA</v>
      </c>
      <c r="AG947" s="502" t="str">
        <f>Table15[[#This Row],[code5]]</f>
        <v>ATD</v>
      </c>
    </row>
    <row r="948" spans="1:33">
      <c r="A948" s="338" t="s">
        <v>6072</v>
      </c>
      <c r="B948" s="338" t="s">
        <v>6073</v>
      </c>
      <c r="C948" s="337">
        <v>1</v>
      </c>
      <c r="D948" s="338" t="s">
        <v>7015</v>
      </c>
      <c r="E948" s="338" t="s">
        <v>7016</v>
      </c>
      <c r="F948" s="337">
        <v>1</v>
      </c>
      <c r="G948" s="337">
        <v>1</v>
      </c>
      <c r="H948" s="338"/>
      <c r="I948" s="338" t="s">
        <v>9555</v>
      </c>
      <c r="J948" s="338" t="s">
        <v>9556</v>
      </c>
      <c r="K948" s="338" t="s">
        <v>7017</v>
      </c>
      <c r="L948" s="338" t="s">
        <v>7018</v>
      </c>
      <c r="M948" s="338" t="s">
        <v>7180</v>
      </c>
      <c r="N948" s="338" t="s">
        <v>7181</v>
      </c>
      <c r="O948" s="337">
        <v>1</v>
      </c>
      <c r="P948" s="337">
        <v>1</v>
      </c>
      <c r="Q948" s="338"/>
      <c r="R948" s="338" t="s">
        <v>6088</v>
      </c>
      <c r="S948" s="338"/>
      <c r="T948" s="338" t="s">
        <v>8948</v>
      </c>
      <c r="U948" s="338" t="s">
        <v>7223</v>
      </c>
      <c r="V948" s="337">
        <v>1</v>
      </c>
      <c r="W948" s="337">
        <v>1</v>
      </c>
      <c r="X948" s="338"/>
      <c r="Y948" s="338" t="s">
        <v>7183</v>
      </c>
      <c r="Z948" s="338" t="s">
        <v>7162</v>
      </c>
      <c r="AA948" s="338" t="s">
        <v>6079</v>
      </c>
      <c r="AB948" s="338"/>
      <c r="AC948" s="338" t="s">
        <v>7895</v>
      </c>
      <c r="AD948" s="338"/>
      <c r="AF948" s="502" t="str">
        <f>Table15[[#This Row],[code2]]</f>
        <v>PDA</v>
      </c>
      <c r="AG948" s="502" t="str">
        <f>Table15[[#This Row],[code5]]</f>
        <v>ATD</v>
      </c>
    </row>
    <row r="949" spans="1:33">
      <c r="A949" s="338" t="s">
        <v>6072</v>
      </c>
      <c r="B949" s="338" t="s">
        <v>6073</v>
      </c>
      <c r="C949" s="337">
        <v>1</v>
      </c>
      <c r="D949" s="338" t="s">
        <v>7015</v>
      </c>
      <c r="E949" s="338" t="s">
        <v>7016</v>
      </c>
      <c r="F949" s="337">
        <v>1</v>
      </c>
      <c r="G949" s="337">
        <v>1</v>
      </c>
      <c r="H949" s="338"/>
      <c r="I949" s="338" t="s">
        <v>9555</v>
      </c>
      <c r="J949" s="338" t="s">
        <v>9556</v>
      </c>
      <c r="K949" s="338" t="s">
        <v>7017</v>
      </c>
      <c r="L949" s="338" t="s">
        <v>7018</v>
      </c>
      <c r="M949" s="338" t="s">
        <v>7180</v>
      </c>
      <c r="N949" s="338" t="s">
        <v>7181</v>
      </c>
      <c r="O949" s="337">
        <v>1</v>
      </c>
      <c r="P949" s="337">
        <v>1</v>
      </c>
      <c r="Q949" s="338"/>
      <c r="R949" s="338" t="s">
        <v>6088</v>
      </c>
      <c r="S949" s="338"/>
      <c r="T949" s="338" t="s">
        <v>8948</v>
      </c>
      <c r="U949" s="338" t="s">
        <v>7224</v>
      </c>
      <c r="V949" s="337">
        <v>1</v>
      </c>
      <c r="W949" s="337">
        <v>1</v>
      </c>
      <c r="X949" s="338"/>
      <c r="Y949" s="338" t="s">
        <v>7185</v>
      </c>
      <c r="Z949" s="338" t="s">
        <v>7162</v>
      </c>
      <c r="AA949" s="338" t="s">
        <v>6079</v>
      </c>
      <c r="AB949" s="338"/>
      <c r="AC949" s="338" t="s">
        <v>7895</v>
      </c>
      <c r="AD949" s="338"/>
      <c r="AF949" s="502" t="str">
        <f>Table15[[#This Row],[code2]]</f>
        <v>PDA</v>
      </c>
      <c r="AG949" s="502" t="str">
        <f>Table15[[#This Row],[code5]]</f>
        <v>ATD</v>
      </c>
    </row>
    <row r="950" spans="1:33">
      <c r="A950" s="338" t="s">
        <v>6072</v>
      </c>
      <c r="B950" s="338" t="s">
        <v>6073</v>
      </c>
      <c r="C950" s="337">
        <v>1</v>
      </c>
      <c r="D950" s="338" t="s">
        <v>7015</v>
      </c>
      <c r="E950" s="338" t="s">
        <v>7016</v>
      </c>
      <c r="F950" s="337">
        <v>1</v>
      </c>
      <c r="G950" s="337">
        <v>1</v>
      </c>
      <c r="H950" s="338"/>
      <c r="I950" s="338" t="s">
        <v>9555</v>
      </c>
      <c r="J950" s="338" t="s">
        <v>9556</v>
      </c>
      <c r="K950" s="338" t="s">
        <v>7017</v>
      </c>
      <c r="L950" s="338" t="s">
        <v>7018</v>
      </c>
      <c r="M950" s="338" t="s">
        <v>7180</v>
      </c>
      <c r="N950" s="338" t="s">
        <v>7181</v>
      </c>
      <c r="O950" s="337">
        <v>1</v>
      </c>
      <c r="P950" s="337">
        <v>1</v>
      </c>
      <c r="Q950" s="338"/>
      <c r="R950" s="338" t="s">
        <v>6088</v>
      </c>
      <c r="S950" s="338"/>
      <c r="T950" s="338" t="s">
        <v>8948</v>
      </c>
      <c r="U950" s="338" t="s">
        <v>7225</v>
      </c>
      <c r="V950" s="337">
        <v>1</v>
      </c>
      <c r="W950" s="337">
        <v>1</v>
      </c>
      <c r="X950" s="338"/>
      <c r="Y950" s="338" t="s">
        <v>7187</v>
      </c>
      <c r="Z950" s="338" t="s">
        <v>7162</v>
      </c>
      <c r="AA950" s="338" t="s">
        <v>6079</v>
      </c>
      <c r="AB950" s="338"/>
      <c r="AC950" s="338" t="s">
        <v>7895</v>
      </c>
      <c r="AD950" s="338"/>
      <c r="AF950" s="502" t="str">
        <f>Table15[[#This Row],[code2]]</f>
        <v>PDA</v>
      </c>
      <c r="AG950" s="502" t="str">
        <f>Table15[[#This Row],[code5]]</f>
        <v>ATD</v>
      </c>
    </row>
    <row r="951" spans="1:33">
      <c r="A951" s="338" t="s">
        <v>6072</v>
      </c>
      <c r="B951" s="338" t="s">
        <v>6073</v>
      </c>
      <c r="C951" s="337">
        <v>1</v>
      </c>
      <c r="D951" s="338" t="s">
        <v>7015</v>
      </c>
      <c r="E951" s="338" t="s">
        <v>7016</v>
      </c>
      <c r="F951" s="337">
        <v>1</v>
      </c>
      <c r="G951" s="337">
        <v>1</v>
      </c>
      <c r="H951" s="338"/>
      <c r="I951" s="338" t="s">
        <v>9555</v>
      </c>
      <c r="J951" s="338" t="s">
        <v>9556</v>
      </c>
      <c r="K951" s="338" t="s">
        <v>7017</v>
      </c>
      <c r="L951" s="338" t="s">
        <v>7018</v>
      </c>
      <c r="M951" s="338" t="s">
        <v>7180</v>
      </c>
      <c r="N951" s="338" t="s">
        <v>7181</v>
      </c>
      <c r="O951" s="337">
        <v>1</v>
      </c>
      <c r="P951" s="337">
        <v>1</v>
      </c>
      <c r="Q951" s="338"/>
      <c r="R951" s="338" t="s">
        <v>6088</v>
      </c>
      <c r="S951" s="338"/>
      <c r="T951" s="338" t="s">
        <v>8948</v>
      </c>
      <c r="U951" s="338" t="s">
        <v>7226</v>
      </c>
      <c r="V951" s="337">
        <v>1</v>
      </c>
      <c r="W951" s="337">
        <v>1</v>
      </c>
      <c r="X951" s="338"/>
      <c r="Y951" s="338" t="s">
        <v>7190</v>
      </c>
      <c r="Z951" s="338" t="s">
        <v>7162</v>
      </c>
      <c r="AA951" s="338" t="s">
        <v>6079</v>
      </c>
      <c r="AB951" s="338"/>
      <c r="AC951" s="338" t="s">
        <v>7895</v>
      </c>
      <c r="AD951" s="338"/>
      <c r="AF951" s="502" t="str">
        <f>Table15[[#This Row],[code2]]</f>
        <v>PDA</v>
      </c>
      <c r="AG951" s="502" t="str">
        <f>Table15[[#This Row],[code5]]</f>
        <v>ATD</v>
      </c>
    </row>
    <row r="952" spans="1:33">
      <c r="A952" s="338" t="s">
        <v>6072</v>
      </c>
      <c r="B952" s="338" t="s">
        <v>6073</v>
      </c>
      <c r="C952" s="337">
        <v>1</v>
      </c>
      <c r="D952" s="338" t="s">
        <v>7015</v>
      </c>
      <c r="E952" s="338" t="s">
        <v>7016</v>
      </c>
      <c r="F952" s="337">
        <v>1</v>
      </c>
      <c r="G952" s="337">
        <v>1</v>
      </c>
      <c r="H952" s="338"/>
      <c r="I952" s="338" t="s">
        <v>9555</v>
      </c>
      <c r="J952" s="338" t="s">
        <v>9556</v>
      </c>
      <c r="K952" s="338" t="s">
        <v>7017</v>
      </c>
      <c r="L952" s="338" t="s">
        <v>7018</v>
      </c>
      <c r="M952" s="338" t="s">
        <v>7180</v>
      </c>
      <c r="N952" s="338" t="s">
        <v>7181</v>
      </c>
      <c r="O952" s="337">
        <v>1</v>
      </c>
      <c r="P952" s="337">
        <v>1</v>
      </c>
      <c r="Q952" s="338"/>
      <c r="R952" s="338" t="s">
        <v>6088</v>
      </c>
      <c r="S952" s="338"/>
      <c r="T952" s="338" t="s">
        <v>8948</v>
      </c>
      <c r="U952" s="338" t="s">
        <v>7227</v>
      </c>
      <c r="V952" s="337">
        <v>0</v>
      </c>
      <c r="W952" s="337">
        <v>0</v>
      </c>
      <c r="X952" s="338"/>
      <c r="Y952" s="338" t="s">
        <v>7192</v>
      </c>
      <c r="Z952" s="338" t="s">
        <v>7188</v>
      </c>
      <c r="AA952" s="338"/>
      <c r="AB952" s="338"/>
      <c r="AC952" s="338" t="s">
        <v>7895</v>
      </c>
      <c r="AD952" s="338"/>
      <c r="AF952" s="502" t="str">
        <f>Table15[[#This Row],[code2]]</f>
        <v>PDA</v>
      </c>
      <c r="AG952" s="502" t="str">
        <f>Table15[[#This Row],[code5]]</f>
        <v>ATD</v>
      </c>
    </row>
    <row r="953" spans="1:33">
      <c r="A953" s="338" t="s">
        <v>6072</v>
      </c>
      <c r="B953" s="338" t="s">
        <v>6073</v>
      </c>
      <c r="C953" s="337">
        <v>1</v>
      </c>
      <c r="D953" s="338" t="s">
        <v>7015</v>
      </c>
      <c r="E953" s="338" t="s">
        <v>7016</v>
      </c>
      <c r="F953" s="337">
        <v>1</v>
      </c>
      <c r="G953" s="337">
        <v>1</v>
      </c>
      <c r="H953" s="338"/>
      <c r="I953" s="338" t="s">
        <v>9555</v>
      </c>
      <c r="J953" s="338" t="s">
        <v>9556</v>
      </c>
      <c r="K953" s="338" t="s">
        <v>7017</v>
      </c>
      <c r="L953" s="338" t="s">
        <v>7018</v>
      </c>
      <c r="M953" s="338" t="s">
        <v>7180</v>
      </c>
      <c r="N953" s="338" t="s">
        <v>7181</v>
      </c>
      <c r="O953" s="337">
        <v>1</v>
      </c>
      <c r="P953" s="337">
        <v>1</v>
      </c>
      <c r="Q953" s="338"/>
      <c r="R953" s="338" t="s">
        <v>6088</v>
      </c>
      <c r="S953" s="338"/>
      <c r="T953" s="338" t="s">
        <v>8948</v>
      </c>
      <c r="U953" s="338" t="s">
        <v>7228</v>
      </c>
      <c r="V953" s="337">
        <v>1</v>
      </c>
      <c r="W953" s="337">
        <v>1</v>
      </c>
      <c r="X953" s="338"/>
      <c r="Y953" s="338" t="s">
        <v>7185</v>
      </c>
      <c r="Z953" s="338" t="s">
        <v>5825</v>
      </c>
      <c r="AA953" s="338" t="s">
        <v>6079</v>
      </c>
      <c r="AB953" s="338"/>
      <c r="AC953" s="338" t="s">
        <v>7896</v>
      </c>
      <c r="AD953" s="338"/>
      <c r="AF953" s="502" t="str">
        <f>Table15[[#This Row],[code2]]</f>
        <v>PDA</v>
      </c>
      <c r="AG953" s="502" t="str">
        <f>Table15[[#This Row],[code5]]</f>
        <v>ATD</v>
      </c>
    </row>
    <row r="954" spans="1:33">
      <c r="A954" s="338" t="s">
        <v>6072</v>
      </c>
      <c r="B954" s="338" t="s">
        <v>6073</v>
      </c>
      <c r="C954" s="337">
        <v>1</v>
      </c>
      <c r="D954" s="338" t="s">
        <v>7015</v>
      </c>
      <c r="E954" s="338" t="s">
        <v>7016</v>
      </c>
      <c r="F954" s="337">
        <v>1</v>
      </c>
      <c r="G954" s="337">
        <v>1</v>
      </c>
      <c r="H954" s="338"/>
      <c r="I954" s="338" t="s">
        <v>9555</v>
      </c>
      <c r="J954" s="338" t="s">
        <v>9556</v>
      </c>
      <c r="K954" s="338" t="s">
        <v>7017</v>
      </c>
      <c r="L954" s="338" t="s">
        <v>7018</v>
      </c>
      <c r="M954" s="338" t="s">
        <v>7180</v>
      </c>
      <c r="N954" s="338" t="s">
        <v>7181</v>
      </c>
      <c r="O954" s="337">
        <v>1</v>
      </c>
      <c r="P954" s="337">
        <v>1</v>
      </c>
      <c r="Q954" s="338"/>
      <c r="R954" s="338" t="s">
        <v>6088</v>
      </c>
      <c r="S954" s="338"/>
      <c r="T954" s="338" t="s">
        <v>8948</v>
      </c>
      <c r="U954" s="338" t="s">
        <v>7229</v>
      </c>
      <c r="V954" s="337">
        <v>1</v>
      </c>
      <c r="W954" s="337">
        <v>1</v>
      </c>
      <c r="X954" s="338"/>
      <c r="Y954" s="338" t="s">
        <v>7187</v>
      </c>
      <c r="Z954" s="338" t="s">
        <v>5825</v>
      </c>
      <c r="AA954" s="338" t="s">
        <v>6079</v>
      </c>
      <c r="AB954" s="338"/>
      <c r="AC954" s="338" t="s">
        <v>7896</v>
      </c>
      <c r="AD954" s="338"/>
      <c r="AF954" s="502" t="str">
        <f>Table15[[#This Row],[code2]]</f>
        <v>PDA</v>
      </c>
      <c r="AG954" s="502" t="str">
        <f>Table15[[#This Row],[code5]]</f>
        <v>ATD</v>
      </c>
    </row>
    <row r="955" spans="1:33">
      <c r="A955" s="338" t="s">
        <v>6072</v>
      </c>
      <c r="B955" s="338" t="s">
        <v>6073</v>
      </c>
      <c r="C955" s="337">
        <v>1</v>
      </c>
      <c r="D955" s="338" t="s">
        <v>7015</v>
      </c>
      <c r="E955" s="338" t="s">
        <v>7016</v>
      </c>
      <c r="F955" s="337">
        <v>1</v>
      </c>
      <c r="G955" s="337">
        <v>1</v>
      </c>
      <c r="H955" s="338"/>
      <c r="I955" s="338" t="s">
        <v>9555</v>
      </c>
      <c r="J955" s="338" t="s">
        <v>9556</v>
      </c>
      <c r="K955" s="338" t="s">
        <v>7017</v>
      </c>
      <c r="L955" s="338" t="s">
        <v>7018</v>
      </c>
      <c r="M955" s="338" t="s">
        <v>7180</v>
      </c>
      <c r="N955" s="338" t="s">
        <v>7181</v>
      </c>
      <c r="O955" s="337">
        <v>1</v>
      </c>
      <c r="P955" s="337">
        <v>1</v>
      </c>
      <c r="Q955" s="338"/>
      <c r="R955" s="338" t="s">
        <v>6088</v>
      </c>
      <c r="S955" s="338"/>
      <c r="T955" s="338" t="s">
        <v>8948</v>
      </c>
      <c r="U955" s="338" t="s">
        <v>7230</v>
      </c>
      <c r="V955" s="337">
        <v>1</v>
      </c>
      <c r="W955" s="337">
        <v>1</v>
      </c>
      <c r="X955" s="338"/>
      <c r="Y955" s="338" t="s">
        <v>7190</v>
      </c>
      <c r="Z955" s="338" t="s">
        <v>5825</v>
      </c>
      <c r="AA955" s="338" t="s">
        <v>6079</v>
      </c>
      <c r="AB955" s="338"/>
      <c r="AC955" s="338" t="s">
        <v>7896</v>
      </c>
      <c r="AD955" s="338"/>
      <c r="AF955" s="502" t="str">
        <f>Table15[[#This Row],[code2]]</f>
        <v>PDA</v>
      </c>
      <c r="AG955" s="502" t="str">
        <f>Table15[[#This Row],[code5]]</f>
        <v>ATD</v>
      </c>
    </row>
    <row r="956" spans="1:33">
      <c r="A956" s="338" t="s">
        <v>6072</v>
      </c>
      <c r="B956" s="338" t="s">
        <v>6073</v>
      </c>
      <c r="C956" s="337">
        <v>1</v>
      </c>
      <c r="D956" s="338" t="s">
        <v>7015</v>
      </c>
      <c r="E956" s="338" t="s">
        <v>7016</v>
      </c>
      <c r="F956" s="337">
        <v>1</v>
      </c>
      <c r="G956" s="337">
        <v>1</v>
      </c>
      <c r="H956" s="338"/>
      <c r="I956" s="338" t="s">
        <v>9555</v>
      </c>
      <c r="J956" s="338" t="s">
        <v>9556</v>
      </c>
      <c r="K956" s="338" t="s">
        <v>7017</v>
      </c>
      <c r="L956" s="338" t="s">
        <v>7018</v>
      </c>
      <c r="M956" s="338" t="s">
        <v>7180</v>
      </c>
      <c r="N956" s="338" t="s">
        <v>7181</v>
      </c>
      <c r="O956" s="337">
        <v>1</v>
      </c>
      <c r="P956" s="337">
        <v>1</v>
      </c>
      <c r="Q956" s="338"/>
      <c r="R956" s="338" t="s">
        <v>6088</v>
      </c>
      <c r="S956" s="338"/>
      <c r="T956" s="338" t="s">
        <v>8948</v>
      </c>
      <c r="U956" s="338" t="s">
        <v>7231</v>
      </c>
      <c r="V956" s="337">
        <v>1</v>
      </c>
      <c r="W956" s="337">
        <v>1</v>
      </c>
      <c r="X956" s="338"/>
      <c r="Y956" s="338" t="s">
        <v>7192</v>
      </c>
      <c r="Z956" s="338" t="s">
        <v>5825</v>
      </c>
      <c r="AA956" s="338" t="s">
        <v>6079</v>
      </c>
      <c r="AB956" s="338"/>
      <c r="AC956" s="338" t="s">
        <v>7896</v>
      </c>
      <c r="AD956" s="338"/>
      <c r="AF956" s="502" t="str">
        <f>Table15[[#This Row],[code2]]</f>
        <v>PDA</v>
      </c>
      <c r="AG956" s="502" t="str">
        <f>Table15[[#This Row],[code5]]</f>
        <v>ATD</v>
      </c>
    </row>
    <row r="957" spans="1:33">
      <c r="A957" s="338" t="s">
        <v>6072</v>
      </c>
      <c r="B957" s="338" t="s">
        <v>6073</v>
      </c>
      <c r="C957" s="337">
        <v>1</v>
      </c>
      <c r="D957" s="338" t="s">
        <v>7015</v>
      </c>
      <c r="E957" s="338" t="s">
        <v>7016</v>
      </c>
      <c r="F957" s="337">
        <v>1</v>
      </c>
      <c r="G957" s="337">
        <v>1</v>
      </c>
      <c r="H957" s="338"/>
      <c r="I957" s="338" t="s">
        <v>9555</v>
      </c>
      <c r="J957" s="338" t="s">
        <v>9556</v>
      </c>
      <c r="K957" s="338" t="s">
        <v>7017</v>
      </c>
      <c r="L957" s="338" t="s">
        <v>7018</v>
      </c>
      <c r="M957" s="338" t="s">
        <v>7180</v>
      </c>
      <c r="N957" s="338" t="s">
        <v>7181</v>
      </c>
      <c r="O957" s="337">
        <v>1</v>
      </c>
      <c r="P957" s="337">
        <v>1</v>
      </c>
      <c r="Q957" s="338"/>
      <c r="R957" s="338" t="s">
        <v>6088</v>
      </c>
      <c r="S957" s="338"/>
      <c r="T957" s="338" t="s">
        <v>8948</v>
      </c>
      <c r="U957" s="338" t="s">
        <v>7232</v>
      </c>
      <c r="V957" s="337">
        <v>0</v>
      </c>
      <c r="W957" s="337">
        <v>0</v>
      </c>
      <c r="X957" s="338"/>
      <c r="Y957" s="338" t="s">
        <v>7185</v>
      </c>
      <c r="Z957" s="338" t="s">
        <v>5825</v>
      </c>
      <c r="AA957" s="338" t="s">
        <v>6079</v>
      </c>
      <c r="AB957" s="338"/>
      <c r="AC957" s="338" t="s">
        <v>7897</v>
      </c>
      <c r="AD957" s="338"/>
      <c r="AF957" s="502" t="str">
        <f>Table15[[#This Row],[code2]]</f>
        <v>PDA</v>
      </c>
      <c r="AG957" s="502" t="str">
        <f>Table15[[#This Row],[code5]]</f>
        <v>ATD</v>
      </c>
    </row>
    <row r="958" spans="1:33">
      <c r="A958" s="338" t="s">
        <v>6072</v>
      </c>
      <c r="B958" s="338" t="s">
        <v>6073</v>
      </c>
      <c r="C958" s="337">
        <v>1</v>
      </c>
      <c r="D958" s="338" t="s">
        <v>7015</v>
      </c>
      <c r="E958" s="338" t="s">
        <v>7016</v>
      </c>
      <c r="F958" s="337">
        <v>1</v>
      </c>
      <c r="G958" s="337">
        <v>1</v>
      </c>
      <c r="H958" s="338"/>
      <c r="I958" s="338" t="s">
        <v>9555</v>
      </c>
      <c r="J958" s="338" t="s">
        <v>9556</v>
      </c>
      <c r="K958" s="338" t="s">
        <v>7017</v>
      </c>
      <c r="L958" s="338" t="s">
        <v>7018</v>
      </c>
      <c r="M958" s="338" t="s">
        <v>7180</v>
      </c>
      <c r="N958" s="338" t="s">
        <v>7181</v>
      </c>
      <c r="O958" s="337">
        <v>1</v>
      </c>
      <c r="P958" s="337">
        <v>1</v>
      </c>
      <c r="Q958" s="338"/>
      <c r="R958" s="338" t="s">
        <v>6088</v>
      </c>
      <c r="S958" s="338"/>
      <c r="T958" s="338" t="s">
        <v>8948</v>
      </c>
      <c r="U958" s="338" t="s">
        <v>7233</v>
      </c>
      <c r="V958" s="337">
        <v>0</v>
      </c>
      <c r="W958" s="337">
        <v>0</v>
      </c>
      <c r="X958" s="338"/>
      <c r="Y958" s="338" t="s">
        <v>7187</v>
      </c>
      <c r="Z958" s="338" t="s">
        <v>5825</v>
      </c>
      <c r="AA958" s="338" t="s">
        <v>6079</v>
      </c>
      <c r="AB958" s="338"/>
      <c r="AC958" s="338" t="s">
        <v>7897</v>
      </c>
      <c r="AD958" s="338"/>
      <c r="AF958" s="502" t="str">
        <f>Table15[[#This Row],[code2]]</f>
        <v>PDA</v>
      </c>
      <c r="AG958" s="502" t="str">
        <f>Table15[[#This Row],[code5]]</f>
        <v>ATD</v>
      </c>
    </row>
    <row r="959" spans="1:33">
      <c r="A959" s="338" t="s">
        <v>6072</v>
      </c>
      <c r="B959" s="338" t="s">
        <v>6073</v>
      </c>
      <c r="C959" s="337">
        <v>1</v>
      </c>
      <c r="D959" s="338" t="s">
        <v>7015</v>
      </c>
      <c r="E959" s="338" t="s">
        <v>7016</v>
      </c>
      <c r="F959" s="337">
        <v>1</v>
      </c>
      <c r="G959" s="337">
        <v>1</v>
      </c>
      <c r="H959" s="338"/>
      <c r="I959" s="338" t="s">
        <v>9555</v>
      </c>
      <c r="J959" s="338" t="s">
        <v>9556</v>
      </c>
      <c r="K959" s="338" t="s">
        <v>7017</v>
      </c>
      <c r="L959" s="338" t="s">
        <v>7018</v>
      </c>
      <c r="M959" s="338" t="s">
        <v>7180</v>
      </c>
      <c r="N959" s="338" t="s">
        <v>7181</v>
      </c>
      <c r="O959" s="337">
        <v>1</v>
      </c>
      <c r="P959" s="337">
        <v>1</v>
      </c>
      <c r="Q959" s="338"/>
      <c r="R959" s="338" t="s">
        <v>6088</v>
      </c>
      <c r="S959" s="338"/>
      <c r="T959" s="338" t="s">
        <v>8948</v>
      </c>
      <c r="U959" s="338" t="s">
        <v>7234</v>
      </c>
      <c r="V959" s="337">
        <v>0</v>
      </c>
      <c r="W959" s="337">
        <v>0</v>
      </c>
      <c r="X959" s="338"/>
      <c r="Y959" s="338" t="s">
        <v>7190</v>
      </c>
      <c r="Z959" s="338" t="s">
        <v>5825</v>
      </c>
      <c r="AA959" s="338" t="s">
        <v>6079</v>
      </c>
      <c r="AB959" s="338"/>
      <c r="AC959" s="338" t="s">
        <v>7897</v>
      </c>
      <c r="AD959" s="338"/>
      <c r="AF959" s="502" t="str">
        <f>Table15[[#This Row],[code2]]</f>
        <v>PDA</v>
      </c>
      <c r="AG959" s="502" t="str">
        <f>Table15[[#This Row],[code5]]</f>
        <v>ATD</v>
      </c>
    </row>
    <row r="960" spans="1:33">
      <c r="A960" s="338" t="s">
        <v>6072</v>
      </c>
      <c r="B960" s="338" t="s">
        <v>6073</v>
      </c>
      <c r="C960" s="337">
        <v>1</v>
      </c>
      <c r="D960" s="338" t="s">
        <v>7015</v>
      </c>
      <c r="E960" s="338" t="s">
        <v>7016</v>
      </c>
      <c r="F960" s="337">
        <v>1</v>
      </c>
      <c r="G960" s="337">
        <v>1</v>
      </c>
      <c r="H960" s="338"/>
      <c r="I960" s="338" t="s">
        <v>9555</v>
      </c>
      <c r="J960" s="338" t="s">
        <v>9556</v>
      </c>
      <c r="K960" s="338" t="s">
        <v>7017</v>
      </c>
      <c r="L960" s="338" t="s">
        <v>7018</v>
      </c>
      <c r="M960" s="338" t="s">
        <v>7180</v>
      </c>
      <c r="N960" s="338" t="s">
        <v>7181</v>
      </c>
      <c r="O960" s="337">
        <v>1</v>
      </c>
      <c r="P960" s="337">
        <v>1</v>
      </c>
      <c r="Q960" s="338"/>
      <c r="R960" s="338" t="s">
        <v>6088</v>
      </c>
      <c r="S960" s="338"/>
      <c r="T960" s="338" t="s">
        <v>8948</v>
      </c>
      <c r="U960" s="338" t="s">
        <v>7235</v>
      </c>
      <c r="V960" s="337">
        <v>0</v>
      </c>
      <c r="W960" s="337">
        <v>0</v>
      </c>
      <c r="X960" s="338"/>
      <c r="Y960" s="338" t="s">
        <v>7192</v>
      </c>
      <c r="Z960" s="338" t="s">
        <v>5825</v>
      </c>
      <c r="AA960" s="338" t="s">
        <v>6079</v>
      </c>
      <c r="AB960" s="338"/>
      <c r="AC960" s="338" t="s">
        <v>7897</v>
      </c>
      <c r="AD960" s="338"/>
      <c r="AF960" s="502" t="str">
        <f>Table15[[#This Row],[code2]]</f>
        <v>PDA</v>
      </c>
      <c r="AG960" s="502" t="str">
        <f>Table15[[#This Row],[code5]]</f>
        <v>ATD</v>
      </c>
    </row>
    <row r="961" spans="1:33">
      <c r="A961" s="338" t="s">
        <v>6072</v>
      </c>
      <c r="B961" s="338" t="s">
        <v>6073</v>
      </c>
      <c r="C961" s="337">
        <v>1</v>
      </c>
      <c r="D961" s="338" t="s">
        <v>7015</v>
      </c>
      <c r="E961" s="338" t="s">
        <v>7016</v>
      </c>
      <c r="F961" s="337">
        <v>1</v>
      </c>
      <c r="G961" s="337">
        <v>1</v>
      </c>
      <c r="H961" s="338"/>
      <c r="I961" s="338" t="s">
        <v>9555</v>
      </c>
      <c r="J961" s="338" t="s">
        <v>9556</v>
      </c>
      <c r="K961" s="338" t="s">
        <v>7017</v>
      </c>
      <c r="L961" s="338" t="s">
        <v>7018</v>
      </c>
      <c r="M961" s="338" t="s">
        <v>7180</v>
      </c>
      <c r="N961" s="338" t="s">
        <v>7181</v>
      </c>
      <c r="O961" s="337">
        <v>1</v>
      </c>
      <c r="P961" s="337">
        <v>1</v>
      </c>
      <c r="Q961" s="338"/>
      <c r="R961" s="338" t="s">
        <v>6088</v>
      </c>
      <c r="S961" s="338"/>
      <c r="T961" s="338" t="s">
        <v>8948</v>
      </c>
      <c r="U961" s="338" t="s">
        <v>7236</v>
      </c>
      <c r="V961" s="337">
        <v>1</v>
      </c>
      <c r="W961" s="337">
        <v>1</v>
      </c>
      <c r="X961" s="338"/>
      <c r="Y961" s="338" t="s">
        <v>7185</v>
      </c>
      <c r="Z961" s="338" t="s">
        <v>5825</v>
      </c>
      <c r="AA961" s="338" t="s">
        <v>6079</v>
      </c>
      <c r="AB961" s="338"/>
      <c r="AC961" s="338" t="s">
        <v>7898</v>
      </c>
      <c r="AD961" s="338"/>
      <c r="AF961" s="502" t="str">
        <f>Table15[[#This Row],[code2]]</f>
        <v>PDA</v>
      </c>
      <c r="AG961" s="502" t="str">
        <f>Table15[[#This Row],[code5]]</f>
        <v>ATD</v>
      </c>
    </row>
    <row r="962" spans="1:33">
      <c r="A962" s="338" t="s">
        <v>6072</v>
      </c>
      <c r="B962" s="338" t="s">
        <v>6073</v>
      </c>
      <c r="C962" s="337">
        <v>1</v>
      </c>
      <c r="D962" s="338" t="s">
        <v>7015</v>
      </c>
      <c r="E962" s="338" t="s">
        <v>7016</v>
      </c>
      <c r="F962" s="337">
        <v>1</v>
      </c>
      <c r="G962" s="337">
        <v>1</v>
      </c>
      <c r="H962" s="338"/>
      <c r="I962" s="338" t="s">
        <v>9555</v>
      </c>
      <c r="J962" s="338" t="s">
        <v>9556</v>
      </c>
      <c r="K962" s="338" t="s">
        <v>7017</v>
      </c>
      <c r="L962" s="338" t="s">
        <v>7018</v>
      </c>
      <c r="M962" s="338" t="s">
        <v>7180</v>
      </c>
      <c r="N962" s="338" t="s">
        <v>7181</v>
      </c>
      <c r="O962" s="337">
        <v>1</v>
      </c>
      <c r="P962" s="337">
        <v>1</v>
      </c>
      <c r="Q962" s="338"/>
      <c r="R962" s="338" t="s">
        <v>6088</v>
      </c>
      <c r="S962" s="338"/>
      <c r="T962" s="338" t="s">
        <v>8948</v>
      </c>
      <c r="U962" s="338" t="s">
        <v>7237</v>
      </c>
      <c r="V962" s="337">
        <v>1</v>
      </c>
      <c r="W962" s="337">
        <v>1</v>
      </c>
      <c r="X962" s="338"/>
      <c r="Y962" s="338" t="s">
        <v>7187</v>
      </c>
      <c r="Z962" s="338" t="s">
        <v>5825</v>
      </c>
      <c r="AA962" s="338" t="s">
        <v>6079</v>
      </c>
      <c r="AB962" s="338"/>
      <c r="AC962" s="338" t="s">
        <v>7898</v>
      </c>
      <c r="AD962" s="338"/>
      <c r="AF962" s="502" t="str">
        <f>Table15[[#This Row],[code2]]</f>
        <v>PDA</v>
      </c>
      <c r="AG962" s="502" t="str">
        <f>Table15[[#This Row],[code5]]</f>
        <v>ATD</v>
      </c>
    </row>
    <row r="963" spans="1:33">
      <c r="A963" s="338" t="s">
        <v>6072</v>
      </c>
      <c r="B963" s="338" t="s">
        <v>6073</v>
      </c>
      <c r="C963" s="337">
        <v>1</v>
      </c>
      <c r="D963" s="338" t="s">
        <v>7015</v>
      </c>
      <c r="E963" s="338" t="s">
        <v>7016</v>
      </c>
      <c r="F963" s="337">
        <v>1</v>
      </c>
      <c r="G963" s="337">
        <v>1</v>
      </c>
      <c r="H963" s="338"/>
      <c r="I963" s="338" t="s">
        <v>9555</v>
      </c>
      <c r="J963" s="338" t="s">
        <v>9556</v>
      </c>
      <c r="K963" s="338" t="s">
        <v>7017</v>
      </c>
      <c r="L963" s="338" t="s">
        <v>7018</v>
      </c>
      <c r="M963" s="338" t="s">
        <v>7180</v>
      </c>
      <c r="N963" s="338" t="s">
        <v>7181</v>
      </c>
      <c r="O963" s="337">
        <v>1</v>
      </c>
      <c r="P963" s="337">
        <v>1</v>
      </c>
      <c r="Q963" s="338"/>
      <c r="R963" s="338" t="s">
        <v>6088</v>
      </c>
      <c r="S963" s="338"/>
      <c r="T963" s="338" t="s">
        <v>8948</v>
      </c>
      <c r="U963" s="338" t="s">
        <v>7238</v>
      </c>
      <c r="V963" s="337">
        <v>1</v>
      </c>
      <c r="W963" s="337">
        <v>1</v>
      </c>
      <c r="X963" s="338"/>
      <c r="Y963" s="338" t="s">
        <v>7190</v>
      </c>
      <c r="Z963" s="338" t="s">
        <v>5825</v>
      </c>
      <c r="AA963" s="338" t="s">
        <v>6079</v>
      </c>
      <c r="AB963" s="338"/>
      <c r="AC963" s="338" t="s">
        <v>7898</v>
      </c>
      <c r="AD963" s="338"/>
      <c r="AF963" s="502" t="str">
        <f>Table15[[#This Row],[code2]]</f>
        <v>PDA</v>
      </c>
      <c r="AG963" s="502" t="str">
        <f>Table15[[#This Row],[code5]]</f>
        <v>ATD</v>
      </c>
    </row>
    <row r="964" spans="1:33">
      <c r="A964" s="338" t="s">
        <v>6072</v>
      </c>
      <c r="B964" s="338" t="s">
        <v>6073</v>
      </c>
      <c r="C964" s="337">
        <v>1</v>
      </c>
      <c r="D964" s="338" t="s">
        <v>7015</v>
      </c>
      <c r="E964" s="338" t="s">
        <v>7016</v>
      </c>
      <c r="F964" s="337">
        <v>1</v>
      </c>
      <c r="G964" s="337">
        <v>1</v>
      </c>
      <c r="H964" s="338"/>
      <c r="I964" s="338" t="s">
        <v>9555</v>
      </c>
      <c r="J964" s="338" t="s">
        <v>9556</v>
      </c>
      <c r="K964" s="338" t="s">
        <v>7017</v>
      </c>
      <c r="L964" s="338" t="s">
        <v>7018</v>
      </c>
      <c r="M964" s="338" t="s">
        <v>7180</v>
      </c>
      <c r="N964" s="338" t="s">
        <v>7181</v>
      </c>
      <c r="O964" s="337">
        <v>1</v>
      </c>
      <c r="P964" s="337">
        <v>1</v>
      </c>
      <c r="Q964" s="338"/>
      <c r="R964" s="338" t="s">
        <v>6088</v>
      </c>
      <c r="S964" s="338"/>
      <c r="T964" s="338" t="s">
        <v>8948</v>
      </c>
      <c r="U964" s="338" t="s">
        <v>7239</v>
      </c>
      <c r="V964" s="337">
        <v>1</v>
      </c>
      <c r="W964" s="337">
        <v>1</v>
      </c>
      <c r="X964" s="338"/>
      <c r="Y964" s="338" t="s">
        <v>7192</v>
      </c>
      <c r="Z964" s="338" t="s">
        <v>5825</v>
      </c>
      <c r="AA964" s="338" t="s">
        <v>6079</v>
      </c>
      <c r="AB964" s="338"/>
      <c r="AC964" s="338" t="s">
        <v>7898</v>
      </c>
      <c r="AD964" s="338"/>
      <c r="AF964" s="502" t="str">
        <f>Table15[[#This Row],[code2]]</f>
        <v>PDA</v>
      </c>
      <c r="AG964" s="502" t="str">
        <f>Table15[[#This Row],[code5]]</f>
        <v>ATD</v>
      </c>
    </row>
    <row r="965" spans="1:33">
      <c r="A965" s="338" t="s">
        <v>6072</v>
      </c>
      <c r="B965" s="338" t="s">
        <v>6073</v>
      </c>
      <c r="C965" s="337">
        <v>1</v>
      </c>
      <c r="D965" s="338" t="s">
        <v>7015</v>
      </c>
      <c r="E965" s="338" t="s">
        <v>7016</v>
      </c>
      <c r="F965" s="337">
        <v>1</v>
      </c>
      <c r="G965" s="337">
        <v>1</v>
      </c>
      <c r="H965" s="338"/>
      <c r="I965" s="338" t="s">
        <v>9555</v>
      </c>
      <c r="J965" s="338" t="s">
        <v>9556</v>
      </c>
      <c r="K965" s="338" t="s">
        <v>7017</v>
      </c>
      <c r="L965" s="338" t="s">
        <v>7018</v>
      </c>
      <c r="M965" s="338" t="s">
        <v>7180</v>
      </c>
      <c r="N965" s="338" t="s">
        <v>7181</v>
      </c>
      <c r="O965" s="337">
        <v>1</v>
      </c>
      <c r="P965" s="337">
        <v>1</v>
      </c>
      <c r="Q965" s="338"/>
      <c r="R965" s="338" t="s">
        <v>6088</v>
      </c>
      <c r="S965" s="338"/>
      <c r="T965" s="338" t="s">
        <v>8948</v>
      </c>
      <c r="U965" s="338" t="s">
        <v>7240</v>
      </c>
      <c r="V965" s="337">
        <v>1</v>
      </c>
      <c r="W965" s="337">
        <v>1</v>
      </c>
      <c r="X965" s="338"/>
      <c r="Y965" s="338" t="s">
        <v>7185</v>
      </c>
      <c r="Z965" s="338" t="s">
        <v>5825</v>
      </c>
      <c r="AA965" s="338" t="s">
        <v>6079</v>
      </c>
      <c r="AB965" s="338"/>
      <c r="AC965" s="338" t="s">
        <v>7899</v>
      </c>
      <c r="AD965" s="338"/>
      <c r="AF965" s="502" t="str">
        <f>Table15[[#This Row],[code2]]</f>
        <v>PDA</v>
      </c>
      <c r="AG965" s="502" t="str">
        <f>Table15[[#This Row],[code5]]</f>
        <v>ATD</v>
      </c>
    </row>
    <row r="966" spans="1:33">
      <c r="A966" s="338" t="s">
        <v>6072</v>
      </c>
      <c r="B966" s="338" t="s">
        <v>6073</v>
      </c>
      <c r="C966" s="337">
        <v>1</v>
      </c>
      <c r="D966" s="338" t="s">
        <v>7015</v>
      </c>
      <c r="E966" s="338" t="s">
        <v>7016</v>
      </c>
      <c r="F966" s="337">
        <v>1</v>
      </c>
      <c r="G966" s="337">
        <v>1</v>
      </c>
      <c r="H966" s="338"/>
      <c r="I966" s="338" t="s">
        <v>9555</v>
      </c>
      <c r="J966" s="338" t="s">
        <v>9556</v>
      </c>
      <c r="K966" s="338" t="s">
        <v>7017</v>
      </c>
      <c r="L966" s="338" t="s">
        <v>7018</v>
      </c>
      <c r="M966" s="338" t="s">
        <v>7180</v>
      </c>
      <c r="N966" s="338" t="s">
        <v>7181</v>
      </c>
      <c r="O966" s="337">
        <v>1</v>
      </c>
      <c r="P966" s="337">
        <v>1</v>
      </c>
      <c r="Q966" s="338"/>
      <c r="R966" s="338" t="s">
        <v>6088</v>
      </c>
      <c r="S966" s="338"/>
      <c r="T966" s="338" t="s">
        <v>8948</v>
      </c>
      <c r="U966" s="338" t="s">
        <v>7241</v>
      </c>
      <c r="V966" s="337">
        <v>1</v>
      </c>
      <c r="W966" s="337">
        <v>1</v>
      </c>
      <c r="X966" s="338"/>
      <c r="Y966" s="338" t="s">
        <v>7187</v>
      </c>
      <c r="Z966" s="338" t="s">
        <v>5825</v>
      </c>
      <c r="AA966" s="338" t="s">
        <v>6079</v>
      </c>
      <c r="AB966" s="338"/>
      <c r="AC966" s="338" t="s">
        <v>7899</v>
      </c>
      <c r="AD966" s="338"/>
      <c r="AF966" s="502" t="str">
        <f>Table15[[#This Row],[code2]]</f>
        <v>PDA</v>
      </c>
      <c r="AG966" s="502" t="str">
        <f>Table15[[#This Row],[code5]]</f>
        <v>ATD</v>
      </c>
    </row>
    <row r="967" spans="1:33">
      <c r="A967" s="338" t="s">
        <v>6072</v>
      </c>
      <c r="B967" s="338" t="s">
        <v>6073</v>
      </c>
      <c r="C967" s="337">
        <v>1</v>
      </c>
      <c r="D967" s="338" t="s">
        <v>7015</v>
      </c>
      <c r="E967" s="338" t="s">
        <v>7016</v>
      </c>
      <c r="F967" s="337">
        <v>1</v>
      </c>
      <c r="G967" s="337">
        <v>1</v>
      </c>
      <c r="H967" s="338"/>
      <c r="I967" s="338" t="s">
        <v>9555</v>
      </c>
      <c r="J967" s="338" t="s">
        <v>9556</v>
      </c>
      <c r="K967" s="338" t="s">
        <v>7017</v>
      </c>
      <c r="L967" s="338" t="s">
        <v>7018</v>
      </c>
      <c r="M967" s="338" t="s">
        <v>7180</v>
      </c>
      <c r="N967" s="338" t="s">
        <v>7181</v>
      </c>
      <c r="O967" s="337">
        <v>1</v>
      </c>
      <c r="P967" s="337">
        <v>1</v>
      </c>
      <c r="Q967" s="338"/>
      <c r="R967" s="338" t="s">
        <v>6088</v>
      </c>
      <c r="S967" s="338"/>
      <c r="T967" s="338" t="s">
        <v>8948</v>
      </c>
      <c r="U967" s="338" t="s">
        <v>7242</v>
      </c>
      <c r="V967" s="337">
        <v>1</v>
      </c>
      <c r="W967" s="337">
        <v>1</v>
      </c>
      <c r="X967" s="338"/>
      <c r="Y967" s="338" t="s">
        <v>7190</v>
      </c>
      <c r="Z967" s="338" t="s">
        <v>5825</v>
      </c>
      <c r="AA967" s="338" t="s">
        <v>6079</v>
      </c>
      <c r="AB967" s="338"/>
      <c r="AC967" s="338" t="s">
        <v>7899</v>
      </c>
      <c r="AD967" s="338"/>
      <c r="AF967" s="502" t="str">
        <f>Table15[[#This Row],[code2]]</f>
        <v>PDA</v>
      </c>
      <c r="AG967" s="502" t="str">
        <f>Table15[[#This Row],[code5]]</f>
        <v>ATD</v>
      </c>
    </row>
    <row r="968" spans="1:33">
      <c r="A968" s="338" t="s">
        <v>6072</v>
      </c>
      <c r="B968" s="338" t="s">
        <v>6073</v>
      </c>
      <c r="C968" s="337">
        <v>1</v>
      </c>
      <c r="D968" s="338" t="s">
        <v>7015</v>
      </c>
      <c r="E968" s="338" t="s">
        <v>7016</v>
      </c>
      <c r="F968" s="337">
        <v>1</v>
      </c>
      <c r="G968" s="337">
        <v>1</v>
      </c>
      <c r="H968" s="338"/>
      <c r="I968" s="338" t="s">
        <v>9555</v>
      </c>
      <c r="J968" s="338" t="s">
        <v>9556</v>
      </c>
      <c r="K968" s="338" t="s">
        <v>7017</v>
      </c>
      <c r="L968" s="338" t="s">
        <v>7018</v>
      </c>
      <c r="M968" s="338" t="s">
        <v>7180</v>
      </c>
      <c r="N968" s="338" t="s">
        <v>7181</v>
      </c>
      <c r="O968" s="337">
        <v>1</v>
      </c>
      <c r="P968" s="337">
        <v>1</v>
      </c>
      <c r="Q968" s="338"/>
      <c r="R968" s="338" t="s">
        <v>6088</v>
      </c>
      <c r="S968" s="338"/>
      <c r="T968" s="338" t="s">
        <v>8948</v>
      </c>
      <c r="U968" s="338" t="s">
        <v>7243</v>
      </c>
      <c r="V968" s="337">
        <v>1</v>
      </c>
      <c r="W968" s="337">
        <v>1</v>
      </c>
      <c r="X968" s="338"/>
      <c r="Y968" s="338" t="s">
        <v>7192</v>
      </c>
      <c r="Z968" s="338" t="s">
        <v>5825</v>
      </c>
      <c r="AA968" s="338" t="s">
        <v>6079</v>
      </c>
      <c r="AB968" s="338"/>
      <c r="AC968" s="338" t="s">
        <v>7899</v>
      </c>
      <c r="AD968" s="338"/>
      <c r="AF968" s="502" t="str">
        <f>Table15[[#This Row],[code2]]</f>
        <v>PDA</v>
      </c>
      <c r="AG968" s="502" t="str">
        <f>Table15[[#This Row],[code5]]</f>
        <v>ATD</v>
      </c>
    </row>
    <row r="969" spans="1:33">
      <c r="A969" s="338" t="s">
        <v>6072</v>
      </c>
      <c r="B969" s="338" t="s">
        <v>6073</v>
      </c>
      <c r="C969" s="337">
        <v>1</v>
      </c>
      <c r="D969" s="338" t="s">
        <v>7015</v>
      </c>
      <c r="E969" s="338" t="s">
        <v>7016</v>
      </c>
      <c r="F969" s="337">
        <v>1</v>
      </c>
      <c r="G969" s="337">
        <v>1</v>
      </c>
      <c r="H969" s="338"/>
      <c r="I969" s="338" t="s">
        <v>9555</v>
      </c>
      <c r="J969" s="338" t="s">
        <v>9556</v>
      </c>
      <c r="K969" s="338" t="s">
        <v>7017</v>
      </c>
      <c r="L969" s="338" t="s">
        <v>7018</v>
      </c>
      <c r="M969" s="338" t="s">
        <v>7180</v>
      </c>
      <c r="N969" s="338" t="s">
        <v>7181</v>
      </c>
      <c r="O969" s="337">
        <v>1</v>
      </c>
      <c r="P969" s="337">
        <v>1</v>
      </c>
      <c r="Q969" s="338"/>
      <c r="R969" s="338" t="s">
        <v>6088</v>
      </c>
      <c r="S969" s="338"/>
      <c r="T969" s="338" t="s">
        <v>8948</v>
      </c>
      <c r="U969" s="338" t="s">
        <v>7244</v>
      </c>
      <c r="V969" s="337">
        <v>1</v>
      </c>
      <c r="W969" s="337">
        <v>1</v>
      </c>
      <c r="X969" s="338"/>
      <c r="Y969" s="338" t="s">
        <v>7185</v>
      </c>
      <c r="Z969" s="338" t="s">
        <v>5825</v>
      </c>
      <c r="AA969" s="338" t="s">
        <v>6079</v>
      </c>
      <c r="AB969" s="338"/>
      <c r="AC969" s="338" t="s">
        <v>7900</v>
      </c>
      <c r="AD969" s="338"/>
      <c r="AF969" s="502" t="str">
        <f>Table15[[#This Row],[code2]]</f>
        <v>PDA</v>
      </c>
      <c r="AG969" s="502" t="str">
        <f>Table15[[#This Row],[code5]]</f>
        <v>ATD</v>
      </c>
    </row>
    <row r="970" spans="1:33">
      <c r="A970" s="338" t="s">
        <v>6072</v>
      </c>
      <c r="B970" s="338" t="s">
        <v>6073</v>
      </c>
      <c r="C970" s="337">
        <v>1</v>
      </c>
      <c r="D970" s="338" t="s">
        <v>7015</v>
      </c>
      <c r="E970" s="338" t="s">
        <v>7016</v>
      </c>
      <c r="F970" s="337">
        <v>1</v>
      </c>
      <c r="G970" s="337">
        <v>1</v>
      </c>
      <c r="H970" s="338"/>
      <c r="I970" s="338" t="s">
        <v>9555</v>
      </c>
      <c r="J970" s="338" t="s">
        <v>9556</v>
      </c>
      <c r="K970" s="338" t="s">
        <v>7017</v>
      </c>
      <c r="L970" s="338" t="s">
        <v>7018</v>
      </c>
      <c r="M970" s="338" t="s">
        <v>7180</v>
      </c>
      <c r="N970" s="338" t="s">
        <v>7181</v>
      </c>
      <c r="O970" s="337">
        <v>1</v>
      </c>
      <c r="P970" s="337">
        <v>1</v>
      </c>
      <c r="Q970" s="338"/>
      <c r="R970" s="338" t="s">
        <v>6088</v>
      </c>
      <c r="S970" s="338"/>
      <c r="T970" s="338" t="s">
        <v>8948</v>
      </c>
      <c r="U970" s="338" t="s">
        <v>7245</v>
      </c>
      <c r="V970" s="337">
        <v>1</v>
      </c>
      <c r="W970" s="337">
        <v>1</v>
      </c>
      <c r="X970" s="338"/>
      <c r="Y970" s="338" t="s">
        <v>7187</v>
      </c>
      <c r="Z970" s="338" t="s">
        <v>5825</v>
      </c>
      <c r="AA970" s="338" t="s">
        <v>6079</v>
      </c>
      <c r="AB970" s="338"/>
      <c r="AC970" s="338" t="s">
        <v>7900</v>
      </c>
      <c r="AD970" s="338"/>
      <c r="AF970" s="502" t="str">
        <f>Table15[[#This Row],[code2]]</f>
        <v>PDA</v>
      </c>
      <c r="AG970" s="502" t="str">
        <f>Table15[[#This Row],[code5]]</f>
        <v>ATD</v>
      </c>
    </row>
    <row r="971" spans="1:33">
      <c r="A971" s="338" t="s">
        <v>6072</v>
      </c>
      <c r="B971" s="338" t="s">
        <v>6073</v>
      </c>
      <c r="C971" s="337">
        <v>1</v>
      </c>
      <c r="D971" s="338" t="s">
        <v>7015</v>
      </c>
      <c r="E971" s="338" t="s">
        <v>7016</v>
      </c>
      <c r="F971" s="337">
        <v>1</v>
      </c>
      <c r="G971" s="337">
        <v>1</v>
      </c>
      <c r="H971" s="338"/>
      <c r="I971" s="338" t="s">
        <v>9555</v>
      </c>
      <c r="J971" s="338" t="s">
        <v>9556</v>
      </c>
      <c r="K971" s="338" t="s">
        <v>7017</v>
      </c>
      <c r="L971" s="338" t="s">
        <v>7018</v>
      </c>
      <c r="M971" s="338" t="s">
        <v>7180</v>
      </c>
      <c r="N971" s="338" t="s">
        <v>7181</v>
      </c>
      <c r="O971" s="337">
        <v>1</v>
      </c>
      <c r="P971" s="337">
        <v>1</v>
      </c>
      <c r="Q971" s="338"/>
      <c r="R971" s="338" t="s">
        <v>6088</v>
      </c>
      <c r="S971" s="338"/>
      <c r="T971" s="338" t="s">
        <v>8948</v>
      </c>
      <c r="U971" s="338" t="s">
        <v>7246</v>
      </c>
      <c r="V971" s="337">
        <v>1</v>
      </c>
      <c r="W971" s="337">
        <v>1</v>
      </c>
      <c r="X971" s="338"/>
      <c r="Y971" s="338" t="s">
        <v>7190</v>
      </c>
      <c r="Z971" s="338" t="s">
        <v>5825</v>
      </c>
      <c r="AA971" s="338" t="s">
        <v>6079</v>
      </c>
      <c r="AB971" s="338"/>
      <c r="AC971" s="338" t="s">
        <v>7900</v>
      </c>
      <c r="AD971" s="338"/>
      <c r="AF971" s="502" t="str">
        <f>Table15[[#This Row],[code2]]</f>
        <v>PDA</v>
      </c>
      <c r="AG971" s="502" t="str">
        <f>Table15[[#This Row],[code5]]</f>
        <v>ATD</v>
      </c>
    </row>
    <row r="972" spans="1:33">
      <c r="A972" s="338" t="s">
        <v>6072</v>
      </c>
      <c r="B972" s="338" t="s">
        <v>6073</v>
      </c>
      <c r="C972" s="337">
        <v>1</v>
      </c>
      <c r="D972" s="338" t="s">
        <v>7015</v>
      </c>
      <c r="E972" s="338" t="s">
        <v>7016</v>
      </c>
      <c r="F972" s="337">
        <v>1</v>
      </c>
      <c r="G972" s="337">
        <v>1</v>
      </c>
      <c r="H972" s="338"/>
      <c r="I972" s="338" t="s">
        <v>9555</v>
      </c>
      <c r="J972" s="338" t="s">
        <v>9556</v>
      </c>
      <c r="K972" s="338" t="s">
        <v>7017</v>
      </c>
      <c r="L972" s="338" t="s">
        <v>7018</v>
      </c>
      <c r="M972" s="338" t="s">
        <v>7180</v>
      </c>
      <c r="N972" s="338" t="s">
        <v>7181</v>
      </c>
      <c r="O972" s="337">
        <v>1</v>
      </c>
      <c r="P972" s="337">
        <v>1</v>
      </c>
      <c r="Q972" s="338"/>
      <c r="R972" s="338" t="s">
        <v>6088</v>
      </c>
      <c r="S972" s="338"/>
      <c r="T972" s="338" t="s">
        <v>8948</v>
      </c>
      <c r="U972" s="338" t="s">
        <v>7247</v>
      </c>
      <c r="V972" s="337">
        <v>1</v>
      </c>
      <c r="W972" s="337">
        <v>1</v>
      </c>
      <c r="X972" s="338"/>
      <c r="Y972" s="338" t="s">
        <v>7192</v>
      </c>
      <c r="Z972" s="338" t="s">
        <v>5825</v>
      </c>
      <c r="AA972" s="338" t="s">
        <v>6079</v>
      </c>
      <c r="AB972" s="338"/>
      <c r="AC972" s="338" t="s">
        <v>7900</v>
      </c>
      <c r="AD972" s="338"/>
      <c r="AF972" s="502" t="str">
        <f>Table15[[#This Row],[code2]]</f>
        <v>PDA</v>
      </c>
      <c r="AG972" s="502" t="str">
        <f>Table15[[#This Row],[code5]]</f>
        <v>ATD</v>
      </c>
    </row>
    <row r="973" spans="1:33">
      <c r="A973" s="338" t="s">
        <v>6072</v>
      </c>
      <c r="B973" s="338" t="s">
        <v>6073</v>
      </c>
      <c r="C973" s="337">
        <v>1</v>
      </c>
      <c r="D973" s="338" t="s">
        <v>7015</v>
      </c>
      <c r="E973" s="338" t="s">
        <v>7016</v>
      </c>
      <c r="F973" s="337">
        <v>1</v>
      </c>
      <c r="G973" s="337">
        <v>1</v>
      </c>
      <c r="H973" s="338"/>
      <c r="I973" s="338" t="s">
        <v>9555</v>
      </c>
      <c r="J973" s="338" t="s">
        <v>9556</v>
      </c>
      <c r="K973" s="338" t="s">
        <v>7017</v>
      </c>
      <c r="L973" s="338" t="s">
        <v>7018</v>
      </c>
      <c r="M973" s="338" t="s">
        <v>7180</v>
      </c>
      <c r="N973" s="338" t="s">
        <v>7181</v>
      </c>
      <c r="O973" s="337">
        <v>1</v>
      </c>
      <c r="P973" s="337">
        <v>1</v>
      </c>
      <c r="Q973" s="338"/>
      <c r="R973" s="338" t="s">
        <v>6088</v>
      </c>
      <c r="S973" s="338"/>
      <c r="T973" s="338" t="s">
        <v>8948</v>
      </c>
      <c r="U973" s="338" t="s">
        <v>7248</v>
      </c>
      <c r="V973" s="337">
        <v>0</v>
      </c>
      <c r="W973" s="337">
        <v>0</v>
      </c>
      <c r="X973" s="338"/>
      <c r="Y973" s="338" t="s">
        <v>7185</v>
      </c>
      <c r="Z973" s="338" t="s">
        <v>5825</v>
      </c>
      <c r="AA973" s="338" t="s">
        <v>6079</v>
      </c>
      <c r="AB973" s="338"/>
      <c r="AC973" s="338" t="s">
        <v>7901</v>
      </c>
      <c r="AD973" s="338"/>
      <c r="AF973" s="502" t="str">
        <f>Table15[[#This Row],[code2]]</f>
        <v>PDA</v>
      </c>
      <c r="AG973" s="502" t="str">
        <f>Table15[[#This Row],[code5]]</f>
        <v>ATD</v>
      </c>
    </row>
    <row r="974" spans="1:33">
      <c r="A974" s="338" t="s">
        <v>6072</v>
      </c>
      <c r="B974" s="338" t="s">
        <v>6073</v>
      </c>
      <c r="C974" s="337">
        <v>1</v>
      </c>
      <c r="D974" s="338" t="s">
        <v>7015</v>
      </c>
      <c r="E974" s="338" t="s">
        <v>7016</v>
      </c>
      <c r="F974" s="337">
        <v>1</v>
      </c>
      <c r="G974" s="337">
        <v>1</v>
      </c>
      <c r="H974" s="338"/>
      <c r="I974" s="338" t="s">
        <v>9555</v>
      </c>
      <c r="J974" s="338" t="s">
        <v>9556</v>
      </c>
      <c r="K974" s="338" t="s">
        <v>7017</v>
      </c>
      <c r="L974" s="338" t="s">
        <v>7018</v>
      </c>
      <c r="M974" s="338" t="s">
        <v>7180</v>
      </c>
      <c r="N974" s="338" t="s">
        <v>7181</v>
      </c>
      <c r="O974" s="337">
        <v>1</v>
      </c>
      <c r="P974" s="337">
        <v>1</v>
      </c>
      <c r="Q974" s="338"/>
      <c r="R974" s="338" t="s">
        <v>6088</v>
      </c>
      <c r="S974" s="338"/>
      <c r="T974" s="338" t="s">
        <v>8948</v>
      </c>
      <c r="U974" s="338" t="s">
        <v>7249</v>
      </c>
      <c r="V974" s="337">
        <v>0</v>
      </c>
      <c r="W974" s="337">
        <v>0</v>
      </c>
      <c r="X974" s="338"/>
      <c r="Y974" s="338" t="s">
        <v>7187</v>
      </c>
      <c r="Z974" s="338" t="s">
        <v>5825</v>
      </c>
      <c r="AA974" s="338" t="s">
        <v>6079</v>
      </c>
      <c r="AB974" s="338"/>
      <c r="AC974" s="338" t="s">
        <v>7901</v>
      </c>
      <c r="AD974" s="338"/>
      <c r="AF974" s="502" t="str">
        <f>Table15[[#This Row],[code2]]</f>
        <v>PDA</v>
      </c>
      <c r="AG974" s="502" t="str">
        <f>Table15[[#This Row],[code5]]</f>
        <v>ATD</v>
      </c>
    </row>
    <row r="975" spans="1:33">
      <c r="A975" s="338" t="s">
        <v>6072</v>
      </c>
      <c r="B975" s="338" t="s">
        <v>6073</v>
      </c>
      <c r="C975" s="337">
        <v>1</v>
      </c>
      <c r="D975" s="338" t="s">
        <v>7015</v>
      </c>
      <c r="E975" s="338" t="s">
        <v>7016</v>
      </c>
      <c r="F975" s="337">
        <v>1</v>
      </c>
      <c r="G975" s="337">
        <v>1</v>
      </c>
      <c r="H975" s="338"/>
      <c r="I975" s="338" t="s">
        <v>9555</v>
      </c>
      <c r="J975" s="338" t="s">
        <v>9556</v>
      </c>
      <c r="K975" s="338" t="s">
        <v>7017</v>
      </c>
      <c r="L975" s="338" t="s">
        <v>7018</v>
      </c>
      <c r="M975" s="338" t="s">
        <v>7180</v>
      </c>
      <c r="N975" s="338" t="s">
        <v>7181</v>
      </c>
      <c r="O975" s="337">
        <v>1</v>
      </c>
      <c r="P975" s="337">
        <v>1</v>
      </c>
      <c r="Q975" s="338"/>
      <c r="R975" s="338" t="s">
        <v>6088</v>
      </c>
      <c r="S975" s="338"/>
      <c r="T975" s="338" t="s">
        <v>8948</v>
      </c>
      <c r="U975" s="338" t="s">
        <v>7250</v>
      </c>
      <c r="V975" s="337">
        <v>0</v>
      </c>
      <c r="W975" s="337">
        <v>0</v>
      </c>
      <c r="X975" s="338"/>
      <c r="Y975" s="338" t="s">
        <v>7190</v>
      </c>
      <c r="Z975" s="338" t="s">
        <v>5825</v>
      </c>
      <c r="AA975" s="338" t="s">
        <v>6079</v>
      </c>
      <c r="AB975" s="338"/>
      <c r="AC975" s="338" t="s">
        <v>7901</v>
      </c>
      <c r="AD975" s="338"/>
      <c r="AF975" s="502" t="str">
        <f>Table15[[#This Row],[code2]]</f>
        <v>PDA</v>
      </c>
      <c r="AG975" s="502" t="str">
        <f>Table15[[#This Row],[code5]]</f>
        <v>ATD</v>
      </c>
    </row>
    <row r="976" spans="1:33">
      <c r="A976" s="338" t="s">
        <v>6072</v>
      </c>
      <c r="B976" s="338" t="s">
        <v>6073</v>
      </c>
      <c r="C976" s="337">
        <v>1</v>
      </c>
      <c r="D976" s="338" t="s">
        <v>7015</v>
      </c>
      <c r="E976" s="338" t="s">
        <v>7016</v>
      </c>
      <c r="F976" s="337">
        <v>1</v>
      </c>
      <c r="G976" s="337">
        <v>1</v>
      </c>
      <c r="H976" s="338"/>
      <c r="I976" s="338" t="s">
        <v>9555</v>
      </c>
      <c r="J976" s="338" t="s">
        <v>9556</v>
      </c>
      <c r="K976" s="338" t="s">
        <v>7017</v>
      </c>
      <c r="L976" s="338" t="s">
        <v>7018</v>
      </c>
      <c r="M976" s="338" t="s">
        <v>7180</v>
      </c>
      <c r="N976" s="338" t="s">
        <v>7181</v>
      </c>
      <c r="O976" s="337">
        <v>1</v>
      </c>
      <c r="P976" s="337">
        <v>1</v>
      </c>
      <c r="Q976" s="338"/>
      <c r="R976" s="338" t="s">
        <v>6088</v>
      </c>
      <c r="S976" s="338"/>
      <c r="T976" s="338" t="s">
        <v>8948</v>
      </c>
      <c r="U976" s="338" t="s">
        <v>7251</v>
      </c>
      <c r="V976" s="337">
        <v>0</v>
      </c>
      <c r="W976" s="337">
        <v>0</v>
      </c>
      <c r="X976" s="338"/>
      <c r="Y976" s="338" t="s">
        <v>7192</v>
      </c>
      <c r="Z976" s="338" t="s">
        <v>5825</v>
      </c>
      <c r="AA976" s="338" t="s">
        <v>6079</v>
      </c>
      <c r="AB976" s="338"/>
      <c r="AC976" s="338" t="s">
        <v>7901</v>
      </c>
      <c r="AD976" s="338"/>
      <c r="AF976" s="502" t="str">
        <f>Table15[[#This Row],[code2]]</f>
        <v>PDA</v>
      </c>
      <c r="AG976" s="502" t="str">
        <f>Table15[[#This Row],[code5]]</f>
        <v>ATD</v>
      </c>
    </row>
    <row r="977" spans="1:33">
      <c r="A977" s="338" t="s">
        <v>6072</v>
      </c>
      <c r="B977" s="338" t="s">
        <v>6073</v>
      </c>
      <c r="C977" s="337">
        <v>1</v>
      </c>
      <c r="D977" s="338" t="s">
        <v>7015</v>
      </c>
      <c r="E977" s="338" t="s">
        <v>7016</v>
      </c>
      <c r="F977" s="337">
        <v>1</v>
      </c>
      <c r="G977" s="337">
        <v>1</v>
      </c>
      <c r="H977" s="338"/>
      <c r="I977" s="338" t="s">
        <v>9555</v>
      </c>
      <c r="J977" s="338" t="s">
        <v>9556</v>
      </c>
      <c r="K977" s="338" t="s">
        <v>7017</v>
      </c>
      <c r="L977" s="338" t="s">
        <v>7018</v>
      </c>
      <c r="M977" s="338" t="s">
        <v>7180</v>
      </c>
      <c r="N977" s="338" t="s">
        <v>7181</v>
      </c>
      <c r="O977" s="337">
        <v>1</v>
      </c>
      <c r="P977" s="337">
        <v>1</v>
      </c>
      <c r="Q977" s="338"/>
      <c r="R977" s="338" t="s">
        <v>6088</v>
      </c>
      <c r="S977" s="338"/>
      <c r="T977" s="338" t="s">
        <v>8948</v>
      </c>
      <c r="U977" s="338" t="s">
        <v>7252</v>
      </c>
      <c r="V977" s="337">
        <v>1</v>
      </c>
      <c r="W977" s="337">
        <v>1</v>
      </c>
      <c r="X977" s="338"/>
      <c r="Y977" s="338" t="s">
        <v>7183</v>
      </c>
      <c r="Z977" s="338" t="s">
        <v>7147</v>
      </c>
      <c r="AA977" s="338" t="s">
        <v>6079</v>
      </c>
      <c r="AB977" s="338"/>
      <c r="AC977" s="338" t="s">
        <v>7902</v>
      </c>
      <c r="AD977" s="338"/>
      <c r="AF977" s="502" t="str">
        <f>Table15[[#This Row],[code2]]</f>
        <v>PDA</v>
      </c>
      <c r="AG977" s="502" t="str">
        <f>Table15[[#This Row],[code5]]</f>
        <v>ATD</v>
      </c>
    </row>
    <row r="978" spans="1:33">
      <c r="A978" s="338" t="s">
        <v>6072</v>
      </c>
      <c r="B978" s="338" t="s">
        <v>6073</v>
      </c>
      <c r="C978" s="337">
        <v>1</v>
      </c>
      <c r="D978" s="338" t="s">
        <v>7015</v>
      </c>
      <c r="E978" s="338" t="s">
        <v>7016</v>
      </c>
      <c r="F978" s="337">
        <v>1</v>
      </c>
      <c r="G978" s="337">
        <v>1</v>
      </c>
      <c r="H978" s="338"/>
      <c r="I978" s="338" t="s">
        <v>9555</v>
      </c>
      <c r="J978" s="338" t="s">
        <v>9556</v>
      </c>
      <c r="K978" s="338" t="s">
        <v>7017</v>
      </c>
      <c r="L978" s="338" t="s">
        <v>7018</v>
      </c>
      <c r="M978" s="338" t="s">
        <v>7253</v>
      </c>
      <c r="N978" s="338" t="s">
        <v>7254</v>
      </c>
      <c r="O978" s="337">
        <v>1</v>
      </c>
      <c r="P978" s="337">
        <v>1</v>
      </c>
      <c r="Q978" s="338"/>
      <c r="R978" s="338" t="s">
        <v>7255</v>
      </c>
      <c r="S978" s="338"/>
      <c r="T978" s="338" t="s">
        <v>8949</v>
      </c>
      <c r="U978" s="338" t="s">
        <v>7256</v>
      </c>
      <c r="V978" s="337">
        <v>1</v>
      </c>
      <c r="W978" s="337">
        <v>1</v>
      </c>
      <c r="X978" s="338"/>
      <c r="Y978" s="338" t="s">
        <v>7183</v>
      </c>
      <c r="Z978" s="338" t="s">
        <v>8034</v>
      </c>
      <c r="AA978" s="338" t="s">
        <v>6079</v>
      </c>
      <c r="AB978" s="338"/>
      <c r="AC978" s="338" t="s">
        <v>7885</v>
      </c>
      <c r="AD978" s="338"/>
      <c r="AF978" s="502" t="str">
        <f>Table15[[#This Row],[code2]]</f>
        <v>PDA</v>
      </c>
      <c r="AG978" s="502" t="str">
        <f>Table15[[#This Row],[code5]]</f>
        <v>ANTD</v>
      </c>
    </row>
    <row r="979" spans="1:33">
      <c r="A979" s="338" t="s">
        <v>6072</v>
      </c>
      <c r="B979" s="338" t="s">
        <v>6073</v>
      </c>
      <c r="C979" s="337">
        <v>1</v>
      </c>
      <c r="D979" s="338" t="s">
        <v>7015</v>
      </c>
      <c r="E979" s="338" t="s">
        <v>7016</v>
      </c>
      <c r="F979" s="337">
        <v>1</v>
      </c>
      <c r="G979" s="337">
        <v>1</v>
      </c>
      <c r="H979" s="338"/>
      <c r="I979" s="338" t="s">
        <v>9555</v>
      </c>
      <c r="J979" s="338" t="s">
        <v>9556</v>
      </c>
      <c r="K979" s="338" t="s">
        <v>7017</v>
      </c>
      <c r="L979" s="338" t="s">
        <v>7018</v>
      </c>
      <c r="M979" s="338" t="s">
        <v>7253</v>
      </c>
      <c r="N979" s="338" t="s">
        <v>7254</v>
      </c>
      <c r="O979" s="337">
        <v>1</v>
      </c>
      <c r="P979" s="337">
        <v>1</v>
      </c>
      <c r="Q979" s="338"/>
      <c r="R979" s="338" t="s">
        <v>7255</v>
      </c>
      <c r="S979" s="338"/>
      <c r="T979" s="338" t="s">
        <v>8949</v>
      </c>
      <c r="U979" s="338" t="s">
        <v>7257</v>
      </c>
      <c r="V979" s="337">
        <v>0</v>
      </c>
      <c r="W979" s="337">
        <v>0</v>
      </c>
      <c r="X979" s="338"/>
      <c r="Y979" s="338" t="s">
        <v>7185</v>
      </c>
      <c r="Z979" s="338" t="s">
        <v>7188</v>
      </c>
      <c r="AA979" s="338"/>
      <c r="AB979" s="338"/>
      <c r="AC979" s="338" t="s">
        <v>7885</v>
      </c>
      <c r="AD979" s="338"/>
      <c r="AF979" s="502" t="str">
        <f>Table15[[#This Row],[code2]]</f>
        <v>PDA</v>
      </c>
      <c r="AG979" s="502" t="str">
        <f>Table15[[#This Row],[code5]]</f>
        <v>ANTD</v>
      </c>
    </row>
    <row r="980" spans="1:33">
      <c r="A980" s="338" t="s">
        <v>6072</v>
      </c>
      <c r="B980" s="338" t="s">
        <v>6073</v>
      </c>
      <c r="C980" s="337">
        <v>1</v>
      </c>
      <c r="D980" s="338" t="s">
        <v>7015</v>
      </c>
      <c r="E980" s="338" t="s">
        <v>7016</v>
      </c>
      <c r="F980" s="337">
        <v>1</v>
      </c>
      <c r="G980" s="337">
        <v>1</v>
      </c>
      <c r="H980" s="338"/>
      <c r="I980" s="338" t="s">
        <v>9555</v>
      </c>
      <c r="J980" s="338" t="s">
        <v>9556</v>
      </c>
      <c r="K980" s="338" t="s">
        <v>7017</v>
      </c>
      <c r="L980" s="338" t="s">
        <v>7018</v>
      </c>
      <c r="M980" s="338" t="s">
        <v>7253</v>
      </c>
      <c r="N980" s="338" t="s">
        <v>7254</v>
      </c>
      <c r="O980" s="337">
        <v>1</v>
      </c>
      <c r="P980" s="337">
        <v>1</v>
      </c>
      <c r="Q980" s="338"/>
      <c r="R980" s="338" t="s">
        <v>7255</v>
      </c>
      <c r="S980" s="338"/>
      <c r="T980" s="338" t="s">
        <v>8949</v>
      </c>
      <c r="U980" s="338" t="s">
        <v>7258</v>
      </c>
      <c r="V980" s="337">
        <v>0</v>
      </c>
      <c r="W980" s="337">
        <v>0</v>
      </c>
      <c r="X980" s="338"/>
      <c r="Y980" s="338" t="s">
        <v>7187</v>
      </c>
      <c r="Z980" s="338" t="s">
        <v>7188</v>
      </c>
      <c r="AA980" s="338"/>
      <c r="AB980" s="338"/>
      <c r="AC980" s="338" t="s">
        <v>7885</v>
      </c>
      <c r="AD980" s="338"/>
      <c r="AF980" s="502" t="str">
        <f>Table15[[#This Row],[code2]]</f>
        <v>PDA</v>
      </c>
      <c r="AG980" s="502" t="str">
        <f>Table15[[#This Row],[code5]]</f>
        <v>ANTD</v>
      </c>
    </row>
    <row r="981" spans="1:33">
      <c r="A981" s="338" t="s">
        <v>6072</v>
      </c>
      <c r="B981" s="338" t="s">
        <v>6073</v>
      </c>
      <c r="C981" s="337">
        <v>1</v>
      </c>
      <c r="D981" s="338" t="s">
        <v>7015</v>
      </c>
      <c r="E981" s="338" t="s">
        <v>7016</v>
      </c>
      <c r="F981" s="337">
        <v>1</v>
      </c>
      <c r="G981" s="337">
        <v>1</v>
      </c>
      <c r="H981" s="338"/>
      <c r="I981" s="338" t="s">
        <v>9555</v>
      </c>
      <c r="J981" s="338" t="s">
        <v>9556</v>
      </c>
      <c r="K981" s="338" t="s">
        <v>7017</v>
      </c>
      <c r="L981" s="338" t="s">
        <v>7018</v>
      </c>
      <c r="M981" s="338" t="s">
        <v>7253</v>
      </c>
      <c r="N981" s="338" t="s">
        <v>7254</v>
      </c>
      <c r="O981" s="337">
        <v>1</v>
      </c>
      <c r="P981" s="337">
        <v>1</v>
      </c>
      <c r="Q981" s="338"/>
      <c r="R981" s="338" t="s">
        <v>7255</v>
      </c>
      <c r="S981" s="338"/>
      <c r="T981" s="338" t="s">
        <v>8949</v>
      </c>
      <c r="U981" s="338" t="s">
        <v>7259</v>
      </c>
      <c r="V981" s="337">
        <v>0</v>
      </c>
      <c r="W981" s="337">
        <v>0</v>
      </c>
      <c r="X981" s="338"/>
      <c r="Y981" s="338" t="s">
        <v>7190</v>
      </c>
      <c r="Z981" s="338" t="s">
        <v>7188</v>
      </c>
      <c r="AA981" s="338"/>
      <c r="AB981" s="338"/>
      <c r="AC981" s="338" t="s">
        <v>7885</v>
      </c>
      <c r="AD981" s="338"/>
      <c r="AF981" s="502" t="str">
        <f>Table15[[#This Row],[code2]]</f>
        <v>PDA</v>
      </c>
      <c r="AG981" s="502" t="str">
        <f>Table15[[#This Row],[code5]]</f>
        <v>ANTD</v>
      </c>
    </row>
    <row r="982" spans="1:33">
      <c r="A982" s="338" t="s">
        <v>6072</v>
      </c>
      <c r="B982" s="338" t="s">
        <v>6073</v>
      </c>
      <c r="C982" s="337">
        <v>1</v>
      </c>
      <c r="D982" s="338" t="s">
        <v>7015</v>
      </c>
      <c r="E982" s="338" t="s">
        <v>7016</v>
      </c>
      <c r="F982" s="337">
        <v>1</v>
      </c>
      <c r="G982" s="337">
        <v>1</v>
      </c>
      <c r="H982" s="338"/>
      <c r="I982" s="338" t="s">
        <v>9555</v>
      </c>
      <c r="J982" s="338" t="s">
        <v>9556</v>
      </c>
      <c r="K982" s="338" t="s">
        <v>7017</v>
      </c>
      <c r="L982" s="338" t="s">
        <v>7018</v>
      </c>
      <c r="M982" s="338" t="s">
        <v>7253</v>
      </c>
      <c r="N982" s="338" t="s">
        <v>7254</v>
      </c>
      <c r="O982" s="337">
        <v>1</v>
      </c>
      <c r="P982" s="337">
        <v>1</v>
      </c>
      <c r="Q982" s="338"/>
      <c r="R982" s="338" t="s">
        <v>7255</v>
      </c>
      <c r="S982" s="338"/>
      <c r="T982" s="338" t="s">
        <v>8949</v>
      </c>
      <c r="U982" s="338" t="s">
        <v>7260</v>
      </c>
      <c r="V982" s="337">
        <v>0</v>
      </c>
      <c r="W982" s="337">
        <v>0</v>
      </c>
      <c r="X982" s="338"/>
      <c r="Y982" s="338" t="s">
        <v>7192</v>
      </c>
      <c r="Z982" s="338" t="s">
        <v>7188</v>
      </c>
      <c r="AA982" s="338"/>
      <c r="AB982" s="338"/>
      <c r="AC982" s="338" t="s">
        <v>7885</v>
      </c>
      <c r="AD982" s="338"/>
      <c r="AF982" s="502" t="str">
        <f>Table15[[#This Row],[code2]]</f>
        <v>PDA</v>
      </c>
      <c r="AG982" s="502" t="str">
        <f>Table15[[#This Row],[code5]]</f>
        <v>ANTD</v>
      </c>
    </row>
    <row r="983" spans="1:33">
      <c r="A983" s="338" t="s">
        <v>6072</v>
      </c>
      <c r="B983" s="338" t="s">
        <v>6073</v>
      </c>
      <c r="C983" s="337">
        <v>1</v>
      </c>
      <c r="D983" s="338" t="s">
        <v>7015</v>
      </c>
      <c r="E983" s="338" t="s">
        <v>7016</v>
      </c>
      <c r="F983" s="337">
        <v>1</v>
      </c>
      <c r="G983" s="337">
        <v>1</v>
      </c>
      <c r="H983" s="338"/>
      <c r="I983" s="338" t="s">
        <v>9555</v>
      </c>
      <c r="J983" s="338" t="s">
        <v>9556</v>
      </c>
      <c r="K983" s="338" t="s">
        <v>7017</v>
      </c>
      <c r="L983" s="338" t="s">
        <v>7018</v>
      </c>
      <c r="M983" s="338" t="s">
        <v>7253</v>
      </c>
      <c r="N983" s="338" t="s">
        <v>7254</v>
      </c>
      <c r="O983" s="337">
        <v>1</v>
      </c>
      <c r="P983" s="337">
        <v>1</v>
      </c>
      <c r="Q983" s="338"/>
      <c r="R983" s="338" t="s">
        <v>7255</v>
      </c>
      <c r="S983" s="338"/>
      <c r="T983" s="338" t="s">
        <v>8949</v>
      </c>
      <c r="U983" s="338" t="s">
        <v>7261</v>
      </c>
      <c r="V983" s="337">
        <v>1</v>
      </c>
      <c r="W983" s="337">
        <v>1</v>
      </c>
      <c r="X983" s="338"/>
      <c r="Y983" s="338" t="s">
        <v>7183</v>
      </c>
      <c r="Z983" s="338" t="s">
        <v>8529</v>
      </c>
      <c r="AA983" s="338" t="s">
        <v>6079</v>
      </c>
      <c r="AB983" s="338"/>
      <c r="AC983" s="338" t="s">
        <v>7886</v>
      </c>
      <c r="AD983" s="338"/>
      <c r="AF983" s="502" t="str">
        <f>Table15[[#This Row],[code2]]</f>
        <v>PDA</v>
      </c>
      <c r="AG983" s="502" t="str">
        <f>Table15[[#This Row],[code5]]</f>
        <v>ANTD</v>
      </c>
    </row>
    <row r="984" spans="1:33">
      <c r="A984" s="338" t="s">
        <v>6072</v>
      </c>
      <c r="B984" s="338" t="s">
        <v>6073</v>
      </c>
      <c r="C984" s="337">
        <v>1</v>
      </c>
      <c r="D984" s="338" t="s">
        <v>7015</v>
      </c>
      <c r="E984" s="338" t="s">
        <v>7016</v>
      </c>
      <c r="F984" s="337">
        <v>1</v>
      </c>
      <c r="G984" s="337">
        <v>1</v>
      </c>
      <c r="H984" s="338"/>
      <c r="I984" s="338" t="s">
        <v>9555</v>
      </c>
      <c r="J984" s="338" t="s">
        <v>9556</v>
      </c>
      <c r="K984" s="338" t="s">
        <v>7017</v>
      </c>
      <c r="L984" s="338" t="s">
        <v>7018</v>
      </c>
      <c r="M984" s="338" t="s">
        <v>7253</v>
      </c>
      <c r="N984" s="338" t="s">
        <v>7254</v>
      </c>
      <c r="O984" s="337">
        <v>1</v>
      </c>
      <c r="P984" s="337">
        <v>1</v>
      </c>
      <c r="Q984" s="338"/>
      <c r="R984" s="338" t="s">
        <v>7255</v>
      </c>
      <c r="S984" s="338"/>
      <c r="T984" s="338" t="s">
        <v>8949</v>
      </c>
      <c r="U984" s="338" t="s">
        <v>7262</v>
      </c>
      <c r="V984" s="337">
        <v>1</v>
      </c>
      <c r="W984" s="337">
        <v>1</v>
      </c>
      <c r="X984" s="338"/>
      <c r="Y984" s="338" t="s">
        <v>7185</v>
      </c>
      <c r="Z984" s="338" t="s">
        <v>8529</v>
      </c>
      <c r="AA984" s="338" t="s">
        <v>6079</v>
      </c>
      <c r="AB984" s="338"/>
      <c r="AC984" s="338" t="s">
        <v>7886</v>
      </c>
      <c r="AD984" s="338"/>
      <c r="AF984" s="502" t="str">
        <f>Table15[[#This Row],[code2]]</f>
        <v>PDA</v>
      </c>
      <c r="AG984" s="502" t="str">
        <f>Table15[[#This Row],[code5]]</f>
        <v>ANTD</v>
      </c>
    </row>
    <row r="985" spans="1:33">
      <c r="A985" s="338" t="s">
        <v>6072</v>
      </c>
      <c r="B985" s="338" t="s">
        <v>6073</v>
      </c>
      <c r="C985" s="337">
        <v>1</v>
      </c>
      <c r="D985" s="338" t="s">
        <v>7015</v>
      </c>
      <c r="E985" s="338" t="s">
        <v>7016</v>
      </c>
      <c r="F985" s="337">
        <v>1</v>
      </c>
      <c r="G985" s="337">
        <v>1</v>
      </c>
      <c r="H985" s="338"/>
      <c r="I985" s="338" t="s">
        <v>9555</v>
      </c>
      <c r="J985" s="338" t="s">
        <v>9556</v>
      </c>
      <c r="K985" s="338" t="s">
        <v>7017</v>
      </c>
      <c r="L985" s="338" t="s">
        <v>7018</v>
      </c>
      <c r="M985" s="338" t="s">
        <v>7253</v>
      </c>
      <c r="N985" s="338" t="s">
        <v>7254</v>
      </c>
      <c r="O985" s="337">
        <v>1</v>
      </c>
      <c r="P985" s="337">
        <v>1</v>
      </c>
      <c r="Q985" s="338"/>
      <c r="R985" s="338" t="s">
        <v>7255</v>
      </c>
      <c r="S985" s="338"/>
      <c r="T985" s="338" t="s">
        <v>8949</v>
      </c>
      <c r="U985" s="338" t="s">
        <v>7263</v>
      </c>
      <c r="V985" s="337">
        <v>1</v>
      </c>
      <c r="W985" s="337">
        <v>1</v>
      </c>
      <c r="X985" s="338"/>
      <c r="Y985" s="338" t="s">
        <v>7183</v>
      </c>
      <c r="Z985" s="338" t="s">
        <v>7819</v>
      </c>
      <c r="AA985" s="338" t="s">
        <v>6079</v>
      </c>
      <c r="AB985" s="338"/>
      <c r="AC985" s="338" t="s">
        <v>7887</v>
      </c>
      <c r="AD985" s="338"/>
      <c r="AF985" s="502" t="str">
        <f>Table15[[#This Row],[code2]]</f>
        <v>PDA</v>
      </c>
      <c r="AG985" s="502" t="str">
        <f>Table15[[#This Row],[code5]]</f>
        <v>ANTD</v>
      </c>
    </row>
    <row r="986" spans="1:33">
      <c r="A986" s="338" t="s">
        <v>6072</v>
      </c>
      <c r="B986" s="338" t="s">
        <v>6073</v>
      </c>
      <c r="C986" s="337">
        <v>1</v>
      </c>
      <c r="D986" s="338" t="s">
        <v>7015</v>
      </c>
      <c r="E986" s="338" t="s">
        <v>7016</v>
      </c>
      <c r="F986" s="337">
        <v>1</v>
      </c>
      <c r="G986" s="337">
        <v>1</v>
      </c>
      <c r="H986" s="338"/>
      <c r="I986" s="338" t="s">
        <v>9555</v>
      </c>
      <c r="J986" s="338" t="s">
        <v>9556</v>
      </c>
      <c r="K986" s="338" t="s">
        <v>7017</v>
      </c>
      <c r="L986" s="338" t="s">
        <v>7018</v>
      </c>
      <c r="M986" s="338" t="s">
        <v>7253</v>
      </c>
      <c r="N986" s="338" t="s">
        <v>7254</v>
      </c>
      <c r="O986" s="337">
        <v>1</v>
      </c>
      <c r="P986" s="337">
        <v>1</v>
      </c>
      <c r="Q986" s="338"/>
      <c r="R986" s="338" t="s">
        <v>7255</v>
      </c>
      <c r="S986" s="338"/>
      <c r="T986" s="338" t="s">
        <v>8949</v>
      </c>
      <c r="U986" s="338" t="s">
        <v>7264</v>
      </c>
      <c r="V986" s="337">
        <v>1</v>
      </c>
      <c r="W986" s="337">
        <v>1</v>
      </c>
      <c r="X986" s="338"/>
      <c r="Y986" s="338" t="s">
        <v>7185</v>
      </c>
      <c r="Z986" s="338" t="s">
        <v>9115</v>
      </c>
      <c r="AA986" s="338" t="s">
        <v>6079</v>
      </c>
      <c r="AB986" s="338"/>
      <c r="AC986" s="338" t="s">
        <v>7887</v>
      </c>
      <c r="AD986" s="338"/>
      <c r="AF986" s="502" t="str">
        <f>Table15[[#This Row],[code2]]</f>
        <v>PDA</v>
      </c>
      <c r="AG986" s="502" t="str">
        <f>Table15[[#This Row],[code5]]</f>
        <v>ANTD</v>
      </c>
    </row>
    <row r="987" spans="1:33">
      <c r="A987" s="338" t="s">
        <v>6072</v>
      </c>
      <c r="B987" s="338" t="s">
        <v>6073</v>
      </c>
      <c r="C987" s="337">
        <v>1</v>
      </c>
      <c r="D987" s="338" t="s">
        <v>7015</v>
      </c>
      <c r="E987" s="338" t="s">
        <v>7016</v>
      </c>
      <c r="F987" s="337">
        <v>1</v>
      </c>
      <c r="G987" s="337">
        <v>1</v>
      </c>
      <c r="H987" s="338"/>
      <c r="I987" s="338" t="s">
        <v>9555</v>
      </c>
      <c r="J987" s="338" t="s">
        <v>9556</v>
      </c>
      <c r="K987" s="338" t="s">
        <v>7017</v>
      </c>
      <c r="L987" s="338" t="s">
        <v>7018</v>
      </c>
      <c r="M987" s="338" t="s">
        <v>7253</v>
      </c>
      <c r="N987" s="338" t="s">
        <v>7254</v>
      </c>
      <c r="O987" s="337">
        <v>1</v>
      </c>
      <c r="P987" s="337">
        <v>1</v>
      </c>
      <c r="Q987" s="338"/>
      <c r="R987" s="338" t="s">
        <v>7255</v>
      </c>
      <c r="S987" s="338"/>
      <c r="T987" s="338" t="s">
        <v>8949</v>
      </c>
      <c r="U987" s="338" t="s">
        <v>7265</v>
      </c>
      <c r="V987" s="337">
        <v>1</v>
      </c>
      <c r="W987" s="337">
        <v>1</v>
      </c>
      <c r="X987" s="338"/>
      <c r="Y987" s="338" t="s">
        <v>7183</v>
      </c>
      <c r="Z987" s="338" t="s">
        <v>8665</v>
      </c>
      <c r="AA987" s="338" t="s">
        <v>6079</v>
      </c>
      <c r="AB987" s="338"/>
      <c r="AC987" s="338" t="s">
        <v>7888</v>
      </c>
      <c r="AD987" s="338"/>
      <c r="AF987" s="502" t="str">
        <f>Table15[[#This Row],[code2]]</f>
        <v>PDA</v>
      </c>
      <c r="AG987" s="502" t="str">
        <f>Table15[[#This Row],[code5]]</f>
        <v>ANTD</v>
      </c>
    </row>
    <row r="988" spans="1:33">
      <c r="A988" s="338" t="s">
        <v>6072</v>
      </c>
      <c r="B988" s="338" t="s">
        <v>6073</v>
      </c>
      <c r="C988" s="337">
        <v>1</v>
      </c>
      <c r="D988" s="338" t="s">
        <v>7015</v>
      </c>
      <c r="E988" s="338" t="s">
        <v>7016</v>
      </c>
      <c r="F988" s="337">
        <v>1</v>
      </c>
      <c r="G988" s="337">
        <v>1</v>
      </c>
      <c r="H988" s="338"/>
      <c r="I988" s="338" t="s">
        <v>9555</v>
      </c>
      <c r="J988" s="338" t="s">
        <v>9556</v>
      </c>
      <c r="K988" s="338" t="s">
        <v>7017</v>
      </c>
      <c r="L988" s="338" t="s">
        <v>7018</v>
      </c>
      <c r="M988" s="338" t="s">
        <v>7253</v>
      </c>
      <c r="N988" s="338" t="s">
        <v>7254</v>
      </c>
      <c r="O988" s="337">
        <v>1</v>
      </c>
      <c r="P988" s="337">
        <v>1</v>
      </c>
      <c r="Q988" s="338"/>
      <c r="R988" s="338" t="s">
        <v>7255</v>
      </c>
      <c r="S988" s="338"/>
      <c r="T988" s="338" t="s">
        <v>8949</v>
      </c>
      <c r="U988" s="338" t="s">
        <v>7266</v>
      </c>
      <c r="V988" s="337">
        <v>1</v>
      </c>
      <c r="W988" s="337">
        <v>1</v>
      </c>
      <c r="X988" s="338"/>
      <c r="Y988" s="338" t="s">
        <v>7185</v>
      </c>
      <c r="Z988" s="338" t="s">
        <v>8666</v>
      </c>
      <c r="AA988" s="338" t="s">
        <v>6079</v>
      </c>
      <c r="AB988" s="338"/>
      <c r="AC988" s="338" t="s">
        <v>7888</v>
      </c>
      <c r="AD988" s="338"/>
      <c r="AF988" s="502" t="str">
        <f>Table15[[#This Row],[code2]]</f>
        <v>PDA</v>
      </c>
      <c r="AG988" s="502" t="str">
        <f>Table15[[#This Row],[code5]]</f>
        <v>ANTD</v>
      </c>
    </row>
    <row r="989" spans="1:33">
      <c r="A989" s="338" t="s">
        <v>6072</v>
      </c>
      <c r="B989" s="338" t="s">
        <v>6073</v>
      </c>
      <c r="C989" s="337">
        <v>1</v>
      </c>
      <c r="D989" s="338" t="s">
        <v>7015</v>
      </c>
      <c r="E989" s="338" t="s">
        <v>7016</v>
      </c>
      <c r="F989" s="337">
        <v>1</v>
      </c>
      <c r="G989" s="337">
        <v>1</v>
      </c>
      <c r="H989" s="338"/>
      <c r="I989" s="338" t="s">
        <v>9555</v>
      </c>
      <c r="J989" s="338" t="s">
        <v>9556</v>
      </c>
      <c r="K989" s="338" t="s">
        <v>7017</v>
      </c>
      <c r="L989" s="338" t="s">
        <v>7018</v>
      </c>
      <c r="M989" s="338" t="s">
        <v>7253</v>
      </c>
      <c r="N989" s="338" t="s">
        <v>7254</v>
      </c>
      <c r="O989" s="337">
        <v>1</v>
      </c>
      <c r="P989" s="337">
        <v>1</v>
      </c>
      <c r="Q989" s="338"/>
      <c r="R989" s="338" t="s">
        <v>7255</v>
      </c>
      <c r="S989" s="338"/>
      <c r="T989" s="338" t="s">
        <v>8949</v>
      </c>
      <c r="U989" s="338" t="s">
        <v>7267</v>
      </c>
      <c r="V989" s="337">
        <v>1</v>
      </c>
      <c r="W989" s="337">
        <v>1</v>
      </c>
      <c r="X989" s="338"/>
      <c r="Y989" s="338" t="s">
        <v>7187</v>
      </c>
      <c r="Z989" s="338" t="s">
        <v>8665</v>
      </c>
      <c r="AA989" s="338" t="s">
        <v>6079</v>
      </c>
      <c r="AB989" s="338"/>
      <c r="AC989" s="338" t="s">
        <v>7888</v>
      </c>
      <c r="AD989" s="338"/>
      <c r="AF989" s="502" t="str">
        <f>Table15[[#This Row],[code2]]</f>
        <v>PDA</v>
      </c>
      <c r="AG989" s="502" t="str">
        <f>Table15[[#This Row],[code5]]</f>
        <v>ANTD</v>
      </c>
    </row>
    <row r="990" spans="1:33">
      <c r="A990" s="338" t="s">
        <v>6072</v>
      </c>
      <c r="B990" s="338" t="s">
        <v>6073</v>
      </c>
      <c r="C990" s="337">
        <v>1</v>
      </c>
      <c r="D990" s="338" t="s">
        <v>7015</v>
      </c>
      <c r="E990" s="338" t="s">
        <v>7016</v>
      </c>
      <c r="F990" s="337">
        <v>1</v>
      </c>
      <c r="G990" s="337">
        <v>1</v>
      </c>
      <c r="H990" s="338"/>
      <c r="I990" s="338" t="s">
        <v>9555</v>
      </c>
      <c r="J990" s="338" t="s">
        <v>9556</v>
      </c>
      <c r="K990" s="338" t="s">
        <v>7017</v>
      </c>
      <c r="L990" s="338" t="s">
        <v>7018</v>
      </c>
      <c r="M990" s="338" t="s">
        <v>7253</v>
      </c>
      <c r="N990" s="338" t="s">
        <v>7254</v>
      </c>
      <c r="O990" s="337">
        <v>1</v>
      </c>
      <c r="P990" s="337">
        <v>1</v>
      </c>
      <c r="Q990" s="338"/>
      <c r="R990" s="338" t="s">
        <v>7255</v>
      </c>
      <c r="S990" s="338"/>
      <c r="T990" s="338" t="s">
        <v>8949</v>
      </c>
      <c r="U990" s="338" t="s">
        <v>7268</v>
      </c>
      <c r="V990" s="337">
        <v>1</v>
      </c>
      <c r="W990" s="337">
        <v>1</v>
      </c>
      <c r="X990" s="338"/>
      <c r="Y990" s="338" t="s">
        <v>7183</v>
      </c>
      <c r="Z990" s="338" t="s">
        <v>9557</v>
      </c>
      <c r="AA990" s="338" t="s">
        <v>6079</v>
      </c>
      <c r="AB990" s="338"/>
      <c r="AC990" s="338" t="s">
        <v>7889</v>
      </c>
      <c r="AD990" s="338"/>
      <c r="AF990" s="502" t="str">
        <f>Table15[[#This Row],[code2]]</f>
        <v>PDA</v>
      </c>
      <c r="AG990" s="502" t="str">
        <f>Table15[[#This Row],[code5]]</f>
        <v>ANTD</v>
      </c>
    </row>
    <row r="991" spans="1:33">
      <c r="A991" s="338" t="s">
        <v>6072</v>
      </c>
      <c r="B991" s="338" t="s">
        <v>6073</v>
      </c>
      <c r="C991" s="337">
        <v>1</v>
      </c>
      <c r="D991" s="338" t="s">
        <v>7015</v>
      </c>
      <c r="E991" s="338" t="s">
        <v>7016</v>
      </c>
      <c r="F991" s="337">
        <v>1</v>
      </c>
      <c r="G991" s="337">
        <v>1</v>
      </c>
      <c r="H991" s="338"/>
      <c r="I991" s="338" t="s">
        <v>9555</v>
      </c>
      <c r="J991" s="338" t="s">
        <v>9556</v>
      </c>
      <c r="K991" s="338" t="s">
        <v>7017</v>
      </c>
      <c r="L991" s="338" t="s">
        <v>7018</v>
      </c>
      <c r="M991" s="338" t="s">
        <v>7253</v>
      </c>
      <c r="N991" s="338" t="s">
        <v>7254</v>
      </c>
      <c r="O991" s="337">
        <v>1</v>
      </c>
      <c r="P991" s="337">
        <v>1</v>
      </c>
      <c r="Q991" s="338"/>
      <c r="R991" s="338" t="s">
        <v>7255</v>
      </c>
      <c r="S991" s="338"/>
      <c r="T991" s="338" t="s">
        <v>8949</v>
      </c>
      <c r="U991" s="338" t="s">
        <v>7269</v>
      </c>
      <c r="V991" s="337">
        <v>1</v>
      </c>
      <c r="W991" s="337">
        <v>1</v>
      </c>
      <c r="X991" s="338"/>
      <c r="Y991" s="338" t="s">
        <v>7185</v>
      </c>
      <c r="Z991" s="338" t="s">
        <v>9558</v>
      </c>
      <c r="AA991" s="338" t="s">
        <v>6079</v>
      </c>
      <c r="AB991" s="338"/>
      <c r="AC991" s="338" t="s">
        <v>7889</v>
      </c>
      <c r="AD991" s="338"/>
      <c r="AF991" s="502" t="str">
        <f>Table15[[#This Row],[code2]]</f>
        <v>PDA</v>
      </c>
      <c r="AG991" s="502" t="str">
        <f>Table15[[#This Row],[code5]]</f>
        <v>ANTD</v>
      </c>
    </row>
    <row r="992" spans="1:33">
      <c r="A992" s="338" t="s">
        <v>6072</v>
      </c>
      <c r="B992" s="338" t="s">
        <v>6073</v>
      </c>
      <c r="C992" s="337">
        <v>1</v>
      </c>
      <c r="D992" s="338" t="s">
        <v>7015</v>
      </c>
      <c r="E992" s="338" t="s">
        <v>7016</v>
      </c>
      <c r="F992" s="337">
        <v>1</v>
      </c>
      <c r="G992" s="337">
        <v>1</v>
      </c>
      <c r="H992" s="338"/>
      <c r="I992" s="338" t="s">
        <v>9555</v>
      </c>
      <c r="J992" s="338" t="s">
        <v>9556</v>
      </c>
      <c r="K992" s="338" t="s">
        <v>7017</v>
      </c>
      <c r="L992" s="338" t="s">
        <v>7018</v>
      </c>
      <c r="M992" s="338" t="s">
        <v>7253</v>
      </c>
      <c r="N992" s="338" t="s">
        <v>7254</v>
      </c>
      <c r="O992" s="337">
        <v>1</v>
      </c>
      <c r="P992" s="337">
        <v>1</v>
      </c>
      <c r="Q992" s="338"/>
      <c r="R992" s="338" t="s">
        <v>7255</v>
      </c>
      <c r="S992" s="338"/>
      <c r="T992" s="338" t="s">
        <v>8949</v>
      </c>
      <c r="U992" s="338" t="s">
        <v>7270</v>
      </c>
      <c r="V992" s="337">
        <v>1</v>
      </c>
      <c r="W992" s="337">
        <v>1</v>
      </c>
      <c r="X992" s="338"/>
      <c r="Y992" s="338" t="s">
        <v>7187</v>
      </c>
      <c r="Z992" s="338" t="s">
        <v>7968</v>
      </c>
      <c r="AA992" s="338" t="s">
        <v>6079</v>
      </c>
      <c r="AB992" s="338"/>
      <c r="AC992" s="338" t="s">
        <v>7889</v>
      </c>
      <c r="AD992" s="338"/>
      <c r="AF992" s="502" t="str">
        <f>Table15[[#This Row],[code2]]</f>
        <v>PDA</v>
      </c>
      <c r="AG992" s="502" t="str">
        <f>Table15[[#This Row],[code5]]</f>
        <v>ANTD</v>
      </c>
    </row>
    <row r="993" spans="1:33">
      <c r="A993" s="338" t="s">
        <v>6072</v>
      </c>
      <c r="B993" s="338" t="s">
        <v>6073</v>
      </c>
      <c r="C993" s="337">
        <v>1</v>
      </c>
      <c r="D993" s="338" t="s">
        <v>7015</v>
      </c>
      <c r="E993" s="338" t="s">
        <v>7016</v>
      </c>
      <c r="F993" s="337">
        <v>1</v>
      </c>
      <c r="G993" s="337">
        <v>1</v>
      </c>
      <c r="H993" s="338"/>
      <c r="I993" s="338" t="s">
        <v>9555</v>
      </c>
      <c r="J993" s="338" t="s">
        <v>9556</v>
      </c>
      <c r="K993" s="338" t="s">
        <v>7017</v>
      </c>
      <c r="L993" s="338" t="s">
        <v>7018</v>
      </c>
      <c r="M993" s="338" t="s">
        <v>7253</v>
      </c>
      <c r="N993" s="338" t="s">
        <v>7254</v>
      </c>
      <c r="O993" s="337">
        <v>1</v>
      </c>
      <c r="P993" s="337">
        <v>1</v>
      </c>
      <c r="Q993" s="338"/>
      <c r="R993" s="338" t="s">
        <v>7255</v>
      </c>
      <c r="S993" s="338"/>
      <c r="T993" s="338" t="s">
        <v>8949</v>
      </c>
      <c r="U993" s="338" t="s">
        <v>7271</v>
      </c>
      <c r="V993" s="337">
        <v>1</v>
      </c>
      <c r="W993" s="337">
        <v>1</v>
      </c>
      <c r="X993" s="338"/>
      <c r="Y993" s="338" t="s">
        <v>7183</v>
      </c>
      <c r="Z993" s="338" t="s">
        <v>8742</v>
      </c>
      <c r="AA993" s="338" t="s">
        <v>6079</v>
      </c>
      <c r="AB993" s="338"/>
      <c r="AC993" s="338" t="s">
        <v>7890</v>
      </c>
      <c r="AD993" s="338"/>
      <c r="AF993" s="502" t="str">
        <f>Table15[[#This Row],[code2]]</f>
        <v>PDA</v>
      </c>
      <c r="AG993" s="502" t="str">
        <f>Table15[[#This Row],[code5]]</f>
        <v>ANTD</v>
      </c>
    </row>
    <row r="994" spans="1:33">
      <c r="A994" s="338" t="s">
        <v>6072</v>
      </c>
      <c r="B994" s="338" t="s">
        <v>6073</v>
      </c>
      <c r="C994" s="337">
        <v>1</v>
      </c>
      <c r="D994" s="338" t="s">
        <v>7015</v>
      </c>
      <c r="E994" s="338" t="s">
        <v>7016</v>
      </c>
      <c r="F994" s="337">
        <v>1</v>
      </c>
      <c r="G994" s="337">
        <v>1</v>
      </c>
      <c r="H994" s="338"/>
      <c r="I994" s="338" t="s">
        <v>9555</v>
      </c>
      <c r="J994" s="338" t="s">
        <v>9556</v>
      </c>
      <c r="K994" s="338" t="s">
        <v>7017</v>
      </c>
      <c r="L994" s="338" t="s">
        <v>7018</v>
      </c>
      <c r="M994" s="338" t="s">
        <v>7253</v>
      </c>
      <c r="N994" s="338" t="s">
        <v>7254</v>
      </c>
      <c r="O994" s="337">
        <v>1</v>
      </c>
      <c r="P994" s="337">
        <v>1</v>
      </c>
      <c r="Q994" s="338"/>
      <c r="R994" s="338" t="s">
        <v>7255</v>
      </c>
      <c r="S994" s="338"/>
      <c r="T994" s="338" t="s">
        <v>8949</v>
      </c>
      <c r="U994" s="338" t="s">
        <v>7272</v>
      </c>
      <c r="V994" s="337">
        <v>1</v>
      </c>
      <c r="W994" s="337">
        <v>1</v>
      </c>
      <c r="X994" s="338"/>
      <c r="Y994" s="338" t="s">
        <v>7185</v>
      </c>
      <c r="Z994" s="338" t="s">
        <v>8744</v>
      </c>
      <c r="AA994" s="338" t="s">
        <v>6079</v>
      </c>
      <c r="AB994" s="338"/>
      <c r="AC994" s="338" t="s">
        <v>7890</v>
      </c>
      <c r="AD994" s="338"/>
      <c r="AF994" s="502" t="str">
        <f>Table15[[#This Row],[code2]]</f>
        <v>PDA</v>
      </c>
      <c r="AG994" s="502" t="str">
        <f>Table15[[#This Row],[code5]]</f>
        <v>ANTD</v>
      </c>
    </row>
    <row r="995" spans="1:33">
      <c r="A995" s="338" t="s">
        <v>6072</v>
      </c>
      <c r="B995" s="338" t="s">
        <v>6073</v>
      </c>
      <c r="C995" s="337">
        <v>1</v>
      </c>
      <c r="D995" s="338" t="s">
        <v>7015</v>
      </c>
      <c r="E995" s="338" t="s">
        <v>7016</v>
      </c>
      <c r="F995" s="337">
        <v>1</v>
      </c>
      <c r="G995" s="337">
        <v>1</v>
      </c>
      <c r="H995" s="338"/>
      <c r="I995" s="338" t="s">
        <v>9555</v>
      </c>
      <c r="J995" s="338" t="s">
        <v>9556</v>
      </c>
      <c r="K995" s="338" t="s">
        <v>7017</v>
      </c>
      <c r="L995" s="338" t="s">
        <v>7018</v>
      </c>
      <c r="M995" s="338" t="s">
        <v>7253</v>
      </c>
      <c r="N995" s="338" t="s">
        <v>7254</v>
      </c>
      <c r="O995" s="337">
        <v>1</v>
      </c>
      <c r="P995" s="337">
        <v>1</v>
      </c>
      <c r="Q995" s="338"/>
      <c r="R995" s="338" t="s">
        <v>7255</v>
      </c>
      <c r="S995" s="338"/>
      <c r="T995" s="338" t="s">
        <v>8949</v>
      </c>
      <c r="U995" s="338" t="s">
        <v>7273</v>
      </c>
      <c r="V995" s="337">
        <v>1</v>
      </c>
      <c r="W995" s="337">
        <v>1</v>
      </c>
      <c r="X995" s="338"/>
      <c r="Y995" s="338" t="s">
        <v>7187</v>
      </c>
      <c r="Z995" s="338" t="s">
        <v>8981</v>
      </c>
      <c r="AA995" s="338" t="s">
        <v>6079</v>
      </c>
      <c r="AB995" s="338"/>
      <c r="AC995" s="338" t="s">
        <v>7890</v>
      </c>
      <c r="AD995" s="338"/>
      <c r="AF995" s="502" t="str">
        <f>Table15[[#This Row],[code2]]</f>
        <v>PDA</v>
      </c>
      <c r="AG995" s="502" t="str">
        <f>Table15[[#This Row],[code5]]</f>
        <v>ANTD</v>
      </c>
    </row>
    <row r="996" spans="1:33">
      <c r="A996" s="338" t="s">
        <v>6072</v>
      </c>
      <c r="B996" s="338" t="s">
        <v>6073</v>
      </c>
      <c r="C996" s="337">
        <v>1</v>
      </c>
      <c r="D996" s="338" t="s">
        <v>7015</v>
      </c>
      <c r="E996" s="338" t="s">
        <v>7016</v>
      </c>
      <c r="F996" s="337">
        <v>1</v>
      </c>
      <c r="G996" s="337">
        <v>1</v>
      </c>
      <c r="H996" s="338"/>
      <c r="I996" s="338" t="s">
        <v>9555</v>
      </c>
      <c r="J996" s="338" t="s">
        <v>9556</v>
      </c>
      <c r="K996" s="338" t="s">
        <v>7017</v>
      </c>
      <c r="L996" s="338" t="s">
        <v>7018</v>
      </c>
      <c r="M996" s="338" t="s">
        <v>7253</v>
      </c>
      <c r="N996" s="338" t="s">
        <v>7254</v>
      </c>
      <c r="O996" s="337">
        <v>1</v>
      </c>
      <c r="P996" s="337">
        <v>1</v>
      </c>
      <c r="Q996" s="338"/>
      <c r="R996" s="338" t="s">
        <v>7255</v>
      </c>
      <c r="S996" s="338"/>
      <c r="T996" s="338" t="s">
        <v>8949</v>
      </c>
      <c r="U996" s="338" t="s">
        <v>7274</v>
      </c>
      <c r="V996" s="337">
        <v>1</v>
      </c>
      <c r="W996" s="337">
        <v>1</v>
      </c>
      <c r="X996" s="338"/>
      <c r="Y996" s="338" t="s">
        <v>7183</v>
      </c>
      <c r="Z996" s="338" t="s">
        <v>8373</v>
      </c>
      <c r="AA996" s="338" t="s">
        <v>6079</v>
      </c>
      <c r="AB996" s="338"/>
      <c r="AC996" s="338" t="s">
        <v>7891</v>
      </c>
      <c r="AD996" s="338"/>
      <c r="AF996" s="502" t="str">
        <f>Table15[[#This Row],[code2]]</f>
        <v>PDA</v>
      </c>
      <c r="AG996" s="502" t="str">
        <f>Table15[[#This Row],[code5]]</f>
        <v>ANTD</v>
      </c>
    </row>
    <row r="997" spans="1:33">
      <c r="A997" s="338" t="s">
        <v>6072</v>
      </c>
      <c r="B997" s="338" t="s">
        <v>6073</v>
      </c>
      <c r="C997" s="337">
        <v>1</v>
      </c>
      <c r="D997" s="338" t="s">
        <v>7015</v>
      </c>
      <c r="E997" s="338" t="s">
        <v>7016</v>
      </c>
      <c r="F997" s="337">
        <v>1</v>
      </c>
      <c r="G997" s="337">
        <v>1</v>
      </c>
      <c r="H997" s="338"/>
      <c r="I997" s="338" t="s">
        <v>9555</v>
      </c>
      <c r="J997" s="338" t="s">
        <v>9556</v>
      </c>
      <c r="K997" s="338" t="s">
        <v>7017</v>
      </c>
      <c r="L997" s="338" t="s">
        <v>7018</v>
      </c>
      <c r="M997" s="338" t="s">
        <v>7253</v>
      </c>
      <c r="N997" s="338" t="s">
        <v>7254</v>
      </c>
      <c r="O997" s="337">
        <v>1</v>
      </c>
      <c r="P997" s="337">
        <v>1</v>
      </c>
      <c r="Q997" s="338"/>
      <c r="R997" s="338" t="s">
        <v>7255</v>
      </c>
      <c r="S997" s="338"/>
      <c r="T997" s="338" t="s">
        <v>8949</v>
      </c>
      <c r="U997" s="338" t="s">
        <v>7275</v>
      </c>
      <c r="V997" s="337">
        <v>1</v>
      </c>
      <c r="W997" s="337">
        <v>1</v>
      </c>
      <c r="X997" s="338"/>
      <c r="Y997" s="338" t="s">
        <v>7185</v>
      </c>
      <c r="Z997" s="338" t="s">
        <v>8982</v>
      </c>
      <c r="AA997" s="338" t="s">
        <v>6079</v>
      </c>
      <c r="AB997" s="338"/>
      <c r="AC997" s="338" t="s">
        <v>7891</v>
      </c>
      <c r="AD997" s="338"/>
      <c r="AF997" s="502" t="str">
        <f>Table15[[#This Row],[code2]]</f>
        <v>PDA</v>
      </c>
      <c r="AG997" s="502" t="str">
        <f>Table15[[#This Row],[code5]]</f>
        <v>ANTD</v>
      </c>
    </row>
    <row r="998" spans="1:33">
      <c r="A998" s="338" t="s">
        <v>6072</v>
      </c>
      <c r="B998" s="338" t="s">
        <v>6073</v>
      </c>
      <c r="C998" s="337">
        <v>1</v>
      </c>
      <c r="D998" s="338" t="s">
        <v>7015</v>
      </c>
      <c r="E998" s="338" t="s">
        <v>7016</v>
      </c>
      <c r="F998" s="337">
        <v>1</v>
      </c>
      <c r="G998" s="337">
        <v>1</v>
      </c>
      <c r="H998" s="338"/>
      <c r="I998" s="338" t="s">
        <v>9555</v>
      </c>
      <c r="J998" s="338" t="s">
        <v>9556</v>
      </c>
      <c r="K998" s="338" t="s">
        <v>7017</v>
      </c>
      <c r="L998" s="338" t="s">
        <v>7018</v>
      </c>
      <c r="M998" s="338" t="s">
        <v>7253</v>
      </c>
      <c r="N998" s="338" t="s">
        <v>7254</v>
      </c>
      <c r="O998" s="337">
        <v>1</v>
      </c>
      <c r="P998" s="337">
        <v>1</v>
      </c>
      <c r="Q998" s="338"/>
      <c r="R998" s="338" t="s">
        <v>7255</v>
      </c>
      <c r="S998" s="338"/>
      <c r="T998" s="338" t="s">
        <v>8949</v>
      </c>
      <c r="U998" s="338" t="s">
        <v>7276</v>
      </c>
      <c r="V998" s="337">
        <v>1</v>
      </c>
      <c r="W998" s="337">
        <v>1</v>
      </c>
      <c r="X998" s="338"/>
      <c r="Y998" s="338" t="s">
        <v>7187</v>
      </c>
      <c r="Z998" s="338" t="s">
        <v>8983</v>
      </c>
      <c r="AA998" s="338" t="s">
        <v>6079</v>
      </c>
      <c r="AB998" s="338"/>
      <c r="AC998" s="338" t="s">
        <v>7891</v>
      </c>
      <c r="AD998" s="338"/>
      <c r="AF998" s="502" t="str">
        <f>Table15[[#This Row],[code2]]</f>
        <v>PDA</v>
      </c>
      <c r="AG998" s="502" t="str">
        <f>Table15[[#This Row],[code5]]</f>
        <v>ANTD</v>
      </c>
    </row>
    <row r="999" spans="1:33">
      <c r="A999" s="338" t="s">
        <v>6072</v>
      </c>
      <c r="B999" s="338" t="s">
        <v>6073</v>
      </c>
      <c r="C999" s="337">
        <v>1</v>
      </c>
      <c r="D999" s="338" t="s">
        <v>7015</v>
      </c>
      <c r="E999" s="338" t="s">
        <v>7016</v>
      </c>
      <c r="F999" s="337">
        <v>1</v>
      </c>
      <c r="G999" s="337">
        <v>1</v>
      </c>
      <c r="H999" s="338"/>
      <c r="I999" s="338" t="s">
        <v>9555</v>
      </c>
      <c r="J999" s="338" t="s">
        <v>9556</v>
      </c>
      <c r="K999" s="338" t="s">
        <v>7017</v>
      </c>
      <c r="L999" s="338" t="s">
        <v>7018</v>
      </c>
      <c r="M999" s="338" t="s">
        <v>7253</v>
      </c>
      <c r="N999" s="338" t="s">
        <v>7254</v>
      </c>
      <c r="O999" s="337">
        <v>1</v>
      </c>
      <c r="P999" s="337">
        <v>1</v>
      </c>
      <c r="Q999" s="338"/>
      <c r="R999" s="338" t="s">
        <v>7255</v>
      </c>
      <c r="S999" s="338"/>
      <c r="T999" s="338" t="s">
        <v>8949</v>
      </c>
      <c r="U999" s="338" t="s">
        <v>7277</v>
      </c>
      <c r="V999" s="337">
        <v>1</v>
      </c>
      <c r="W999" s="337">
        <v>1</v>
      </c>
      <c r="X999" s="338"/>
      <c r="Y999" s="338" t="s">
        <v>7190</v>
      </c>
      <c r="Z999" s="338" t="s">
        <v>9116</v>
      </c>
      <c r="AA999" s="338" t="s">
        <v>6079</v>
      </c>
      <c r="AB999" s="338"/>
      <c r="AC999" s="338" t="s">
        <v>7891</v>
      </c>
      <c r="AD999" s="338"/>
      <c r="AF999" s="502" t="str">
        <f>Table15[[#This Row],[code2]]</f>
        <v>PDA</v>
      </c>
      <c r="AG999" s="502" t="str">
        <f>Table15[[#This Row],[code5]]</f>
        <v>ANTD</v>
      </c>
    </row>
    <row r="1000" spans="1:33">
      <c r="A1000" s="338" t="s">
        <v>6072</v>
      </c>
      <c r="B1000" s="338" t="s">
        <v>6073</v>
      </c>
      <c r="C1000" s="337">
        <v>1</v>
      </c>
      <c r="D1000" s="338" t="s">
        <v>7015</v>
      </c>
      <c r="E1000" s="338" t="s">
        <v>7016</v>
      </c>
      <c r="F1000" s="337">
        <v>1</v>
      </c>
      <c r="G1000" s="337">
        <v>1</v>
      </c>
      <c r="H1000" s="338"/>
      <c r="I1000" s="338" t="s">
        <v>9555</v>
      </c>
      <c r="J1000" s="338" t="s">
        <v>9556</v>
      </c>
      <c r="K1000" s="338" t="s">
        <v>7017</v>
      </c>
      <c r="L1000" s="338" t="s">
        <v>7018</v>
      </c>
      <c r="M1000" s="338" t="s">
        <v>7253</v>
      </c>
      <c r="N1000" s="338" t="s">
        <v>7254</v>
      </c>
      <c r="O1000" s="337">
        <v>1</v>
      </c>
      <c r="P1000" s="337">
        <v>1</v>
      </c>
      <c r="Q1000" s="338"/>
      <c r="R1000" s="338" t="s">
        <v>7255</v>
      </c>
      <c r="S1000" s="338"/>
      <c r="T1000" s="338" t="s">
        <v>8949</v>
      </c>
      <c r="U1000" s="338" t="s">
        <v>7278</v>
      </c>
      <c r="V1000" s="337">
        <v>1</v>
      </c>
      <c r="W1000" s="337">
        <v>1</v>
      </c>
      <c r="X1000" s="338"/>
      <c r="Y1000" s="338" t="s">
        <v>7183</v>
      </c>
      <c r="Z1000" s="338" t="s">
        <v>8261</v>
      </c>
      <c r="AA1000" s="338" t="s">
        <v>6079</v>
      </c>
      <c r="AB1000" s="338"/>
      <c r="AC1000" s="338" t="s">
        <v>7892</v>
      </c>
      <c r="AD1000" s="338"/>
      <c r="AF1000" s="502" t="str">
        <f>Table15[[#This Row],[code2]]</f>
        <v>PDA</v>
      </c>
      <c r="AG1000" s="502" t="str">
        <f>Table15[[#This Row],[code5]]</f>
        <v>ANTD</v>
      </c>
    </row>
    <row r="1001" spans="1:33">
      <c r="A1001" s="338" t="s">
        <v>6072</v>
      </c>
      <c r="B1001" s="338" t="s">
        <v>6073</v>
      </c>
      <c r="C1001" s="337">
        <v>1</v>
      </c>
      <c r="D1001" s="338" t="s">
        <v>7015</v>
      </c>
      <c r="E1001" s="338" t="s">
        <v>7016</v>
      </c>
      <c r="F1001" s="337">
        <v>1</v>
      </c>
      <c r="G1001" s="337">
        <v>1</v>
      </c>
      <c r="H1001" s="338"/>
      <c r="I1001" s="338" t="s">
        <v>9555</v>
      </c>
      <c r="J1001" s="338" t="s">
        <v>9556</v>
      </c>
      <c r="K1001" s="338" t="s">
        <v>7017</v>
      </c>
      <c r="L1001" s="338" t="s">
        <v>7018</v>
      </c>
      <c r="M1001" s="338" t="s">
        <v>7253</v>
      </c>
      <c r="N1001" s="338" t="s">
        <v>7254</v>
      </c>
      <c r="O1001" s="337">
        <v>1</v>
      </c>
      <c r="P1001" s="337">
        <v>1</v>
      </c>
      <c r="Q1001" s="338"/>
      <c r="R1001" s="338" t="s">
        <v>7255</v>
      </c>
      <c r="S1001" s="338"/>
      <c r="T1001" s="338" t="s">
        <v>8949</v>
      </c>
      <c r="U1001" s="338" t="s">
        <v>7279</v>
      </c>
      <c r="V1001" s="337">
        <v>1</v>
      </c>
      <c r="W1001" s="337">
        <v>1</v>
      </c>
      <c r="X1001" s="338"/>
      <c r="Y1001" s="338" t="s">
        <v>7185</v>
      </c>
      <c r="Z1001" s="338" t="s">
        <v>9559</v>
      </c>
      <c r="AA1001" s="338" t="s">
        <v>6079</v>
      </c>
      <c r="AB1001" s="338"/>
      <c r="AC1001" s="338" t="s">
        <v>7892</v>
      </c>
      <c r="AD1001" s="338"/>
      <c r="AF1001" s="502" t="str">
        <f>Table15[[#This Row],[code2]]</f>
        <v>PDA</v>
      </c>
      <c r="AG1001" s="502" t="str">
        <f>Table15[[#This Row],[code5]]</f>
        <v>ANTD</v>
      </c>
    </row>
    <row r="1002" spans="1:33">
      <c r="A1002" s="338" t="s">
        <v>6072</v>
      </c>
      <c r="B1002" s="338" t="s">
        <v>6073</v>
      </c>
      <c r="C1002" s="337">
        <v>1</v>
      </c>
      <c r="D1002" s="338" t="s">
        <v>7015</v>
      </c>
      <c r="E1002" s="338" t="s">
        <v>7016</v>
      </c>
      <c r="F1002" s="337">
        <v>1</v>
      </c>
      <c r="G1002" s="337">
        <v>1</v>
      </c>
      <c r="H1002" s="338"/>
      <c r="I1002" s="338" t="s">
        <v>9555</v>
      </c>
      <c r="J1002" s="338" t="s">
        <v>9556</v>
      </c>
      <c r="K1002" s="338" t="s">
        <v>7017</v>
      </c>
      <c r="L1002" s="338" t="s">
        <v>7018</v>
      </c>
      <c r="M1002" s="338" t="s">
        <v>7253</v>
      </c>
      <c r="N1002" s="338" t="s">
        <v>7254</v>
      </c>
      <c r="O1002" s="337">
        <v>1</v>
      </c>
      <c r="P1002" s="337">
        <v>1</v>
      </c>
      <c r="Q1002" s="338"/>
      <c r="R1002" s="338" t="s">
        <v>7255</v>
      </c>
      <c r="S1002" s="338"/>
      <c r="T1002" s="338" t="s">
        <v>8949</v>
      </c>
      <c r="U1002" s="338" t="s">
        <v>7280</v>
      </c>
      <c r="V1002" s="337">
        <v>1</v>
      </c>
      <c r="W1002" s="337">
        <v>1</v>
      </c>
      <c r="X1002" s="338"/>
      <c r="Y1002" s="338" t="s">
        <v>7187</v>
      </c>
      <c r="Z1002" s="338" t="s">
        <v>9560</v>
      </c>
      <c r="AA1002" s="338" t="s">
        <v>6079</v>
      </c>
      <c r="AB1002" s="338"/>
      <c r="AC1002" s="338" t="s">
        <v>7892</v>
      </c>
      <c r="AD1002" s="338"/>
      <c r="AF1002" s="502" t="str">
        <f>Table15[[#This Row],[code2]]</f>
        <v>PDA</v>
      </c>
      <c r="AG1002" s="502" t="str">
        <f>Table15[[#This Row],[code5]]</f>
        <v>ANTD</v>
      </c>
    </row>
    <row r="1003" spans="1:33">
      <c r="A1003" s="338" t="s">
        <v>6072</v>
      </c>
      <c r="B1003" s="338" t="s">
        <v>6073</v>
      </c>
      <c r="C1003" s="337">
        <v>1</v>
      </c>
      <c r="D1003" s="338" t="s">
        <v>7015</v>
      </c>
      <c r="E1003" s="338" t="s">
        <v>7016</v>
      </c>
      <c r="F1003" s="337">
        <v>1</v>
      </c>
      <c r="G1003" s="337">
        <v>1</v>
      </c>
      <c r="H1003" s="338"/>
      <c r="I1003" s="338" t="s">
        <v>9555</v>
      </c>
      <c r="J1003" s="338" t="s">
        <v>9556</v>
      </c>
      <c r="K1003" s="338" t="s">
        <v>7017</v>
      </c>
      <c r="L1003" s="338" t="s">
        <v>7018</v>
      </c>
      <c r="M1003" s="338" t="s">
        <v>7253</v>
      </c>
      <c r="N1003" s="338" t="s">
        <v>7254</v>
      </c>
      <c r="O1003" s="337">
        <v>1</v>
      </c>
      <c r="P1003" s="337">
        <v>1</v>
      </c>
      <c r="Q1003" s="338"/>
      <c r="R1003" s="338" t="s">
        <v>7255</v>
      </c>
      <c r="S1003" s="338"/>
      <c r="T1003" s="338" t="s">
        <v>8949</v>
      </c>
      <c r="U1003" s="338" t="s">
        <v>7281</v>
      </c>
      <c r="V1003" s="337">
        <v>1</v>
      </c>
      <c r="W1003" s="337">
        <v>1</v>
      </c>
      <c r="X1003" s="338"/>
      <c r="Y1003" s="338" t="s">
        <v>7190</v>
      </c>
      <c r="Z1003" s="338" t="s">
        <v>7845</v>
      </c>
      <c r="AA1003" s="338" t="s">
        <v>6079</v>
      </c>
      <c r="AB1003" s="338"/>
      <c r="AC1003" s="338" t="s">
        <v>7892</v>
      </c>
      <c r="AD1003" s="338"/>
      <c r="AF1003" s="502" t="str">
        <f>Table15[[#This Row],[code2]]</f>
        <v>PDA</v>
      </c>
      <c r="AG1003" s="502" t="str">
        <f>Table15[[#This Row],[code5]]</f>
        <v>ANTD</v>
      </c>
    </row>
    <row r="1004" spans="1:33">
      <c r="A1004" s="338" t="s">
        <v>6072</v>
      </c>
      <c r="B1004" s="338" t="s">
        <v>6073</v>
      </c>
      <c r="C1004" s="337">
        <v>1</v>
      </c>
      <c r="D1004" s="338" t="s">
        <v>7015</v>
      </c>
      <c r="E1004" s="338" t="s">
        <v>7016</v>
      </c>
      <c r="F1004" s="337">
        <v>1</v>
      </c>
      <c r="G1004" s="337">
        <v>1</v>
      </c>
      <c r="H1004" s="338"/>
      <c r="I1004" s="338" t="s">
        <v>9555</v>
      </c>
      <c r="J1004" s="338" t="s">
        <v>9556</v>
      </c>
      <c r="K1004" s="338" t="s">
        <v>7017</v>
      </c>
      <c r="L1004" s="338" t="s">
        <v>7018</v>
      </c>
      <c r="M1004" s="338" t="s">
        <v>7253</v>
      </c>
      <c r="N1004" s="338" t="s">
        <v>7254</v>
      </c>
      <c r="O1004" s="337">
        <v>1</v>
      </c>
      <c r="P1004" s="337">
        <v>1</v>
      </c>
      <c r="Q1004" s="338"/>
      <c r="R1004" s="338" t="s">
        <v>7255</v>
      </c>
      <c r="S1004" s="338"/>
      <c r="T1004" s="338" t="s">
        <v>8949</v>
      </c>
      <c r="U1004" s="338" t="s">
        <v>7282</v>
      </c>
      <c r="V1004" s="337">
        <v>1</v>
      </c>
      <c r="W1004" s="337">
        <v>1</v>
      </c>
      <c r="X1004" s="338"/>
      <c r="Y1004" s="338" t="s">
        <v>7183</v>
      </c>
      <c r="Z1004" s="338" t="s">
        <v>8692</v>
      </c>
      <c r="AA1004" s="338" t="s">
        <v>6079</v>
      </c>
      <c r="AB1004" s="338"/>
      <c r="AC1004" s="338" t="s">
        <v>7893</v>
      </c>
      <c r="AD1004" s="338"/>
      <c r="AF1004" s="502" t="str">
        <f>Table15[[#This Row],[code2]]</f>
        <v>PDA</v>
      </c>
      <c r="AG1004" s="502" t="str">
        <f>Table15[[#This Row],[code5]]</f>
        <v>ANTD</v>
      </c>
    </row>
    <row r="1005" spans="1:33">
      <c r="A1005" s="338" t="s">
        <v>6072</v>
      </c>
      <c r="B1005" s="338" t="s">
        <v>6073</v>
      </c>
      <c r="C1005" s="337">
        <v>1</v>
      </c>
      <c r="D1005" s="338" t="s">
        <v>7015</v>
      </c>
      <c r="E1005" s="338" t="s">
        <v>7016</v>
      </c>
      <c r="F1005" s="337">
        <v>1</v>
      </c>
      <c r="G1005" s="337">
        <v>1</v>
      </c>
      <c r="H1005" s="338"/>
      <c r="I1005" s="338" t="s">
        <v>9555</v>
      </c>
      <c r="J1005" s="338" t="s">
        <v>9556</v>
      </c>
      <c r="K1005" s="338" t="s">
        <v>7017</v>
      </c>
      <c r="L1005" s="338" t="s">
        <v>7018</v>
      </c>
      <c r="M1005" s="338" t="s">
        <v>7253</v>
      </c>
      <c r="N1005" s="338" t="s">
        <v>7254</v>
      </c>
      <c r="O1005" s="337">
        <v>1</v>
      </c>
      <c r="P1005" s="337">
        <v>1</v>
      </c>
      <c r="Q1005" s="338"/>
      <c r="R1005" s="338" t="s">
        <v>7255</v>
      </c>
      <c r="S1005" s="338"/>
      <c r="T1005" s="338" t="s">
        <v>8949</v>
      </c>
      <c r="U1005" s="338" t="s">
        <v>7283</v>
      </c>
      <c r="V1005" s="337">
        <v>1</v>
      </c>
      <c r="W1005" s="337">
        <v>1</v>
      </c>
      <c r="X1005" s="338"/>
      <c r="Y1005" s="338" t="s">
        <v>7185</v>
      </c>
      <c r="Z1005" s="338" t="s">
        <v>9117</v>
      </c>
      <c r="AA1005" s="338" t="s">
        <v>6079</v>
      </c>
      <c r="AB1005" s="338"/>
      <c r="AC1005" s="338" t="s">
        <v>7893</v>
      </c>
      <c r="AD1005" s="338"/>
      <c r="AF1005" s="502" t="str">
        <f>Table15[[#This Row],[code2]]</f>
        <v>PDA</v>
      </c>
      <c r="AG1005" s="502" t="str">
        <f>Table15[[#This Row],[code5]]</f>
        <v>ANTD</v>
      </c>
    </row>
    <row r="1006" spans="1:33">
      <c r="A1006" s="338" t="s">
        <v>6072</v>
      </c>
      <c r="B1006" s="338" t="s">
        <v>6073</v>
      </c>
      <c r="C1006" s="337">
        <v>1</v>
      </c>
      <c r="D1006" s="338" t="s">
        <v>7015</v>
      </c>
      <c r="E1006" s="338" t="s">
        <v>7016</v>
      </c>
      <c r="F1006" s="337">
        <v>1</v>
      </c>
      <c r="G1006" s="337">
        <v>1</v>
      </c>
      <c r="H1006" s="338"/>
      <c r="I1006" s="338" t="s">
        <v>9555</v>
      </c>
      <c r="J1006" s="338" t="s">
        <v>9556</v>
      </c>
      <c r="K1006" s="338" t="s">
        <v>7017</v>
      </c>
      <c r="L1006" s="338" t="s">
        <v>7018</v>
      </c>
      <c r="M1006" s="338" t="s">
        <v>7253</v>
      </c>
      <c r="N1006" s="338" t="s">
        <v>7254</v>
      </c>
      <c r="O1006" s="337">
        <v>1</v>
      </c>
      <c r="P1006" s="337">
        <v>1</v>
      </c>
      <c r="Q1006" s="338"/>
      <c r="R1006" s="338" t="s">
        <v>7255</v>
      </c>
      <c r="S1006" s="338"/>
      <c r="T1006" s="338" t="s">
        <v>8949</v>
      </c>
      <c r="U1006" s="338" t="s">
        <v>7284</v>
      </c>
      <c r="V1006" s="337">
        <v>1</v>
      </c>
      <c r="W1006" s="337">
        <v>1</v>
      </c>
      <c r="X1006" s="338"/>
      <c r="Y1006" s="338" t="s">
        <v>7187</v>
      </c>
      <c r="Z1006" s="338" t="s">
        <v>8984</v>
      </c>
      <c r="AA1006" s="338" t="s">
        <v>6079</v>
      </c>
      <c r="AB1006" s="338"/>
      <c r="AC1006" s="338" t="s">
        <v>7893</v>
      </c>
      <c r="AD1006" s="338"/>
      <c r="AF1006" s="502" t="str">
        <f>Table15[[#This Row],[code2]]</f>
        <v>PDA</v>
      </c>
      <c r="AG1006" s="502" t="str">
        <f>Table15[[#This Row],[code5]]</f>
        <v>ANTD</v>
      </c>
    </row>
    <row r="1007" spans="1:33">
      <c r="A1007" s="338" t="s">
        <v>6072</v>
      </c>
      <c r="B1007" s="338" t="s">
        <v>6073</v>
      </c>
      <c r="C1007" s="337">
        <v>1</v>
      </c>
      <c r="D1007" s="338" t="s">
        <v>7015</v>
      </c>
      <c r="E1007" s="338" t="s">
        <v>7016</v>
      </c>
      <c r="F1007" s="337">
        <v>1</v>
      </c>
      <c r="G1007" s="337">
        <v>1</v>
      </c>
      <c r="H1007" s="338"/>
      <c r="I1007" s="338" t="s">
        <v>9555</v>
      </c>
      <c r="J1007" s="338" t="s">
        <v>9556</v>
      </c>
      <c r="K1007" s="338" t="s">
        <v>7017</v>
      </c>
      <c r="L1007" s="338" t="s">
        <v>7018</v>
      </c>
      <c r="M1007" s="338" t="s">
        <v>7253</v>
      </c>
      <c r="N1007" s="338" t="s">
        <v>7254</v>
      </c>
      <c r="O1007" s="337">
        <v>1</v>
      </c>
      <c r="P1007" s="337">
        <v>1</v>
      </c>
      <c r="Q1007" s="338"/>
      <c r="R1007" s="338" t="s">
        <v>7255</v>
      </c>
      <c r="S1007" s="338"/>
      <c r="T1007" s="338" t="s">
        <v>8949</v>
      </c>
      <c r="U1007" s="338" t="s">
        <v>7285</v>
      </c>
      <c r="V1007" s="337">
        <v>1</v>
      </c>
      <c r="W1007" s="337">
        <v>1</v>
      </c>
      <c r="X1007" s="338"/>
      <c r="Y1007" s="338" t="s">
        <v>7190</v>
      </c>
      <c r="Z1007" s="338" t="s">
        <v>8693</v>
      </c>
      <c r="AA1007" s="338" t="s">
        <v>6079</v>
      </c>
      <c r="AB1007" s="338"/>
      <c r="AC1007" s="338" t="s">
        <v>7893</v>
      </c>
      <c r="AD1007" s="338"/>
      <c r="AF1007" s="502" t="str">
        <f>Table15[[#This Row],[code2]]</f>
        <v>PDA</v>
      </c>
      <c r="AG1007" s="502" t="str">
        <f>Table15[[#This Row],[code5]]</f>
        <v>ANTD</v>
      </c>
    </row>
    <row r="1008" spans="1:33">
      <c r="A1008" s="338" t="s">
        <v>6072</v>
      </c>
      <c r="B1008" s="338" t="s">
        <v>6073</v>
      </c>
      <c r="C1008" s="337">
        <v>1</v>
      </c>
      <c r="D1008" s="338" t="s">
        <v>7015</v>
      </c>
      <c r="E1008" s="338" t="s">
        <v>7016</v>
      </c>
      <c r="F1008" s="337">
        <v>1</v>
      </c>
      <c r="G1008" s="337">
        <v>1</v>
      </c>
      <c r="H1008" s="338"/>
      <c r="I1008" s="338" t="s">
        <v>9555</v>
      </c>
      <c r="J1008" s="338" t="s">
        <v>9556</v>
      </c>
      <c r="K1008" s="338" t="s">
        <v>7017</v>
      </c>
      <c r="L1008" s="338" t="s">
        <v>7018</v>
      </c>
      <c r="M1008" s="338" t="s">
        <v>7253</v>
      </c>
      <c r="N1008" s="338" t="s">
        <v>7254</v>
      </c>
      <c r="O1008" s="337">
        <v>1</v>
      </c>
      <c r="P1008" s="337">
        <v>1</v>
      </c>
      <c r="Q1008" s="338"/>
      <c r="R1008" s="338" t="s">
        <v>7255</v>
      </c>
      <c r="S1008" s="338"/>
      <c r="T1008" s="338" t="s">
        <v>8949</v>
      </c>
      <c r="U1008" s="338" t="s">
        <v>7286</v>
      </c>
      <c r="V1008" s="337">
        <v>1</v>
      </c>
      <c r="W1008" s="337">
        <v>1</v>
      </c>
      <c r="X1008" s="338"/>
      <c r="Y1008" s="338" t="s">
        <v>7183</v>
      </c>
      <c r="Z1008" s="338" t="s">
        <v>9083</v>
      </c>
      <c r="AA1008" s="338" t="s">
        <v>6079</v>
      </c>
      <c r="AB1008" s="338"/>
      <c r="AC1008" s="338" t="s">
        <v>7894</v>
      </c>
      <c r="AD1008" s="338"/>
      <c r="AF1008" s="502" t="str">
        <f>Table15[[#This Row],[code2]]</f>
        <v>PDA</v>
      </c>
      <c r="AG1008" s="502" t="str">
        <f>Table15[[#This Row],[code5]]</f>
        <v>ANTD</v>
      </c>
    </row>
    <row r="1009" spans="1:33">
      <c r="A1009" s="338" t="s">
        <v>6072</v>
      </c>
      <c r="B1009" s="338" t="s">
        <v>6073</v>
      </c>
      <c r="C1009" s="337">
        <v>1</v>
      </c>
      <c r="D1009" s="338" t="s">
        <v>7015</v>
      </c>
      <c r="E1009" s="338" t="s">
        <v>7016</v>
      </c>
      <c r="F1009" s="337">
        <v>1</v>
      </c>
      <c r="G1009" s="337">
        <v>1</v>
      </c>
      <c r="H1009" s="338"/>
      <c r="I1009" s="338" t="s">
        <v>9555</v>
      </c>
      <c r="J1009" s="338" t="s">
        <v>9556</v>
      </c>
      <c r="K1009" s="338" t="s">
        <v>7017</v>
      </c>
      <c r="L1009" s="338" t="s">
        <v>7018</v>
      </c>
      <c r="M1009" s="338" t="s">
        <v>7253</v>
      </c>
      <c r="N1009" s="338" t="s">
        <v>7254</v>
      </c>
      <c r="O1009" s="337">
        <v>1</v>
      </c>
      <c r="P1009" s="337">
        <v>1</v>
      </c>
      <c r="Q1009" s="338"/>
      <c r="R1009" s="338" t="s">
        <v>7255</v>
      </c>
      <c r="S1009" s="338"/>
      <c r="T1009" s="338" t="s">
        <v>8949</v>
      </c>
      <c r="U1009" s="338" t="s">
        <v>7287</v>
      </c>
      <c r="V1009" s="337">
        <v>1</v>
      </c>
      <c r="W1009" s="337">
        <v>1</v>
      </c>
      <c r="X1009" s="338"/>
      <c r="Y1009" s="338" t="s">
        <v>7185</v>
      </c>
      <c r="Z1009" s="338" t="s">
        <v>9561</v>
      </c>
      <c r="AA1009" s="338" t="s">
        <v>6079</v>
      </c>
      <c r="AB1009" s="338"/>
      <c r="AC1009" s="338" t="s">
        <v>7894</v>
      </c>
      <c r="AD1009" s="338"/>
      <c r="AF1009" s="502" t="str">
        <f>Table15[[#This Row],[code2]]</f>
        <v>PDA</v>
      </c>
      <c r="AG1009" s="502" t="str">
        <f>Table15[[#This Row],[code5]]</f>
        <v>ANTD</v>
      </c>
    </row>
    <row r="1010" spans="1:33">
      <c r="A1010" s="338" t="s">
        <v>6072</v>
      </c>
      <c r="B1010" s="338" t="s">
        <v>6073</v>
      </c>
      <c r="C1010" s="337">
        <v>1</v>
      </c>
      <c r="D1010" s="338" t="s">
        <v>7015</v>
      </c>
      <c r="E1010" s="338" t="s">
        <v>7016</v>
      </c>
      <c r="F1010" s="337">
        <v>1</v>
      </c>
      <c r="G1010" s="337">
        <v>1</v>
      </c>
      <c r="H1010" s="338"/>
      <c r="I1010" s="338" t="s">
        <v>9555</v>
      </c>
      <c r="J1010" s="338" t="s">
        <v>9556</v>
      </c>
      <c r="K1010" s="338" t="s">
        <v>7017</v>
      </c>
      <c r="L1010" s="338" t="s">
        <v>7018</v>
      </c>
      <c r="M1010" s="338" t="s">
        <v>7253</v>
      </c>
      <c r="N1010" s="338" t="s">
        <v>7254</v>
      </c>
      <c r="O1010" s="337">
        <v>1</v>
      </c>
      <c r="P1010" s="337">
        <v>1</v>
      </c>
      <c r="Q1010" s="338"/>
      <c r="R1010" s="338" t="s">
        <v>7255</v>
      </c>
      <c r="S1010" s="338"/>
      <c r="T1010" s="338" t="s">
        <v>8949</v>
      </c>
      <c r="U1010" s="338" t="s">
        <v>7288</v>
      </c>
      <c r="V1010" s="337">
        <v>1</v>
      </c>
      <c r="W1010" s="337">
        <v>1</v>
      </c>
      <c r="X1010" s="338"/>
      <c r="Y1010" s="338" t="s">
        <v>7187</v>
      </c>
      <c r="Z1010" s="338" t="s">
        <v>9562</v>
      </c>
      <c r="AA1010" s="338" t="s">
        <v>6079</v>
      </c>
      <c r="AB1010" s="338"/>
      <c r="AC1010" s="338" t="s">
        <v>7894</v>
      </c>
      <c r="AD1010" s="338"/>
      <c r="AF1010" s="502" t="str">
        <f>Table15[[#This Row],[code2]]</f>
        <v>PDA</v>
      </c>
      <c r="AG1010" s="502" t="str">
        <f>Table15[[#This Row],[code5]]</f>
        <v>ANTD</v>
      </c>
    </row>
    <row r="1011" spans="1:33">
      <c r="A1011" s="338" t="s">
        <v>6072</v>
      </c>
      <c r="B1011" s="338" t="s">
        <v>6073</v>
      </c>
      <c r="C1011" s="337">
        <v>1</v>
      </c>
      <c r="D1011" s="338" t="s">
        <v>7015</v>
      </c>
      <c r="E1011" s="338" t="s">
        <v>7016</v>
      </c>
      <c r="F1011" s="337">
        <v>1</v>
      </c>
      <c r="G1011" s="337">
        <v>1</v>
      </c>
      <c r="H1011" s="338"/>
      <c r="I1011" s="338" t="s">
        <v>9555</v>
      </c>
      <c r="J1011" s="338" t="s">
        <v>9556</v>
      </c>
      <c r="K1011" s="338" t="s">
        <v>7017</v>
      </c>
      <c r="L1011" s="338" t="s">
        <v>7018</v>
      </c>
      <c r="M1011" s="338" t="s">
        <v>7253</v>
      </c>
      <c r="N1011" s="338" t="s">
        <v>7254</v>
      </c>
      <c r="O1011" s="337">
        <v>1</v>
      </c>
      <c r="P1011" s="337">
        <v>1</v>
      </c>
      <c r="Q1011" s="338"/>
      <c r="R1011" s="338" t="s">
        <v>7255</v>
      </c>
      <c r="S1011" s="338"/>
      <c r="T1011" s="338" t="s">
        <v>8949</v>
      </c>
      <c r="U1011" s="338" t="s">
        <v>7289</v>
      </c>
      <c r="V1011" s="337">
        <v>1</v>
      </c>
      <c r="W1011" s="337">
        <v>1</v>
      </c>
      <c r="X1011" s="338"/>
      <c r="Y1011" s="338" t="s">
        <v>7190</v>
      </c>
      <c r="Z1011" s="338" t="s">
        <v>9563</v>
      </c>
      <c r="AA1011" s="338" t="s">
        <v>6079</v>
      </c>
      <c r="AB1011" s="338"/>
      <c r="AC1011" s="338" t="s">
        <v>7894</v>
      </c>
      <c r="AD1011" s="338"/>
      <c r="AF1011" s="502" t="str">
        <f>Table15[[#This Row],[code2]]</f>
        <v>PDA</v>
      </c>
      <c r="AG1011" s="502" t="str">
        <f>Table15[[#This Row],[code5]]</f>
        <v>ANTD</v>
      </c>
    </row>
    <row r="1012" spans="1:33">
      <c r="A1012" s="338" t="s">
        <v>6072</v>
      </c>
      <c r="B1012" s="338" t="s">
        <v>6073</v>
      </c>
      <c r="C1012" s="337">
        <v>1</v>
      </c>
      <c r="D1012" s="338" t="s">
        <v>7015</v>
      </c>
      <c r="E1012" s="338" t="s">
        <v>7016</v>
      </c>
      <c r="F1012" s="337">
        <v>1</v>
      </c>
      <c r="G1012" s="337">
        <v>1</v>
      </c>
      <c r="H1012" s="338"/>
      <c r="I1012" s="338" t="s">
        <v>9555</v>
      </c>
      <c r="J1012" s="338" t="s">
        <v>9556</v>
      </c>
      <c r="K1012" s="338" t="s">
        <v>7017</v>
      </c>
      <c r="L1012" s="338" t="s">
        <v>7018</v>
      </c>
      <c r="M1012" s="338" t="s">
        <v>7253</v>
      </c>
      <c r="N1012" s="338" t="s">
        <v>7254</v>
      </c>
      <c r="O1012" s="337">
        <v>1</v>
      </c>
      <c r="P1012" s="337">
        <v>1</v>
      </c>
      <c r="Q1012" s="338"/>
      <c r="R1012" s="338" t="s">
        <v>7255</v>
      </c>
      <c r="S1012" s="338"/>
      <c r="T1012" s="338" t="s">
        <v>8949</v>
      </c>
      <c r="U1012" s="338" t="s">
        <v>7290</v>
      </c>
      <c r="V1012" s="337">
        <v>1</v>
      </c>
      <c r="W1012" s="337">
        <v>1</v>
      </c>
      <c r="X1012" s="338"/>
      <c r="Y1012" s="338" t="s">
        <v>7183</v>
      </c>
      <c r="Z1012" s="338" t="s">
        <v>9083</v>
      </c>
      <c r="AA1012" s="338" t="s">
        <v>6079</v>
      </c>
      <c r="AB1012" s="338"/>
      <c r="AC1012" s="338" t="s">
        <v>7895</v>
      </c>
      <c r="AD1012" s="338"/>
      <c r="AF1012" s="502" t="str">
        <f>Table15[[#This Row],[code2]]</f>
        <v>PDA</v>
      </c>
      <c r="AG1012" s="502" t="str">
        <f>Table15[[#This Row],[code5]]</f>
        <v>ANTD</v>
      </c>
    </row>
    <row r="1013" spans="1:33">
      <c r="A1013" s="338" t="s">
        <v>6072</v>
      </c>
      <c r="B1013" s="338" t="s">
        <v>6073</v>
      </c>
      <c r="C1013" s="337">
        <v>1</v>
      </c>
      <c r="D1013" s="338" t="s">
        <v>7015</v>
      </c>
      <c r="E1013" s="338" t="s">
        <v>7016</v>
      </c>
      <c r="F1013" s="337">
        <v>1</v>
      </c>
      <c r="G1013" s="337">
        <v>1</v>
      </c>
      <c r="H1013" s="338"/>
      <c r="I1013" s="338" t="s">
        <v>9555</v>
      </c>
      <c r="J1013" s="338" t="s">
        <v>9556</v>
      </c>
      <c r="K1013" s="338" t="s">
        <v>7017</v>
      </c>
      <c r="L1013" s="338" t="s">
        <v>7018</v>
      </c>
      <c r="M1013" s="338" t="s">
        <v>7253</v>
      </c>
      <c r="N1013" s="338" t="s">
        <v>7254</v>
      </c>
      <c r="O1013" s="337">
        <v>1</v>
      </c>
      <c r="P1013" s="337">
        <v>1</v>
      </c>
      <c r="Q1013" s="338"/>
      <c r="R1013" s="338" t="s">
        <v>7255</v>
      </c>
      <c r="S1013" s="338"/>
      <c r="T1013" s="338" t="s">
        <v>8949</v>
      </c>
      <c r="U1013" s="338" t="s">
        <v>7291</v>
      </c>
      <c r="V1013" s="337">
        <v>1</v>
      </c>
      <c r="W1013" s="337">
        <v>1</v>
      </c>
      <c r="X1013" s="338"/>
      <c r="Y1013" s="338" t="s">
        <v>7185</v>
      </c>
      <c r="Z1013" s="338" t="s">
        <v>9564</v>
      </c>
      <c r="AA1013" s="338" t="s">
        <v>6079</v>
      </c>
      <c r="AB1013" s="338"/>
      <c r="AC1013" s="338" t="s">
        <v>7895</v>
      </c>
      <c r="AD1013" s="338"/>
      <c r="AF1013" s="502" t="str">
        <f>Table15[[#This Row],[code2]]</f>
        <v>PDA</v>
      </c>
      <c r="AG1013" s="502" t="str">
        <f>Table15[[#This Row],[code5]]</f>
        <v>ANTD</v>
      </c>
    </row>
    <row r="1014" spans="1:33">
      <c r="A1014" s="338" t="s">
        <v>6072</v>
      </c>
      <c r="B1014" s="338" t="s">
        <v>6073</v>
      </c>
      <c r="C1014" s="337">
        <v>1</v>
      </c>
      <c r="D1014" s="338" t="s">
        <v>7015</v>
      </c>
      <c r="E1014" s="338" t="s">
        <v>7016</v>
      </c>
      <c r="F1014" s="337">
        <v>1</v>
      </c>
      <c r="G1014" s="337">
        <v>1</v>
      </c>
      <c r="H1014" s="338"/>
      <c r="I1014" s="338" t="s">
        <v>9555</v>
      </c>
      <c r="J1014" s="338" t="s">
        <v>9556</v>
      </c>
      <c r="K1014" s="338" t="s">
        <v>7017</v>
      </c>
      <c r="L1014" s="338" t="s">
        <v>7018</v>
      </c>
      <c r="M1014" s="338" t="s">
        <v>7253</v>
      </c>
      <c r="N1014" s="338" t="s">
        <v>7254</v>
      </c>
      <c r="O1014" s="337">
        <v>1</v>
      </c>
      <c r="P1014" s="337">
        <v>1</v>
      </c>
      <c r="Q1014" s="338"/>
      <c r="R1014" s="338" t="s">
        <v>7255</v>
      </c>
      <c r="S1014" s="338"/>
      <c r="T1014" s="338" t="s">
        <v>8949</v>
      </c>
      <c r="U1014" s="338" t="s">
        <v>7292</v>
      </c>
      <c r="V1014" s="337">
        <v>1</v>
      </c>
      <c r="W1014" s="337">
        <v>1</v>
      </c>
      <c r="X1014" s="338"/>
      <c r="Y1014" s="338" t="s">
        <v>7187</v>
      </c>
      <c r="Z1014" s="338" t="s">
        <v>9562</v>
      </c>
      <c r="AA1014" s="338" t="s">
        <v>6079</v>
      </c>
      <c r="AB1014" s="338"/>
      <c r="AC1014" s="338" t="s">
        <v>7895</v>
      </c>
      <c r="AD1014" s="338"/>
      <c r="AF1014" s="502" t="str">
        <f>Table15[[#This Row],[code2]]</f>
        <v>PDA</v>
      </c>
      <c r="AG1014" s="502" t="str">
        <f>Table15[[#This Row],[code5]]</f>
        <v>ANTD</v>
      </c>
    </row>
    <row r="1015" spans="1:33">
      <c r="A1015" s="338" t="s">
        <v>6072</v>
      </c>
      <c r="B1015" s="338" t="s">
        <v>6073</v>
      </c>
      <c r="C1015" s="337">
        <v>1</v>
      </c>
      <c r="D1015" s="338" t="s">
        <v>7015</v>
      </c>
      <c r="E1015" s="338" t="s">
        <v>7016</v>
      </c>
      <c r="F1015" s="337">
        <v>1</v>
      </c>
      <c r="G1015" s="337">
        <v>1</v>
      </c>
      <c r="H1015" s="338"/>
      <c r="I1015" s="338" t="s">
        <v>9555</v>
      </c>
      <c r="J1015" s="338" t="s">
        <v>9556</v>
      </c>
      <c r="K1015" s="338" t="s">
        <v>7017</v>
      </c>
      <c r="L1015" s="338" t="s">
        <v>7018</v>
      </c>
      <c r="M1015" s="338" t="s">
        <v>7253</v>
      </c>
      <c r="N1015" s="338" t="s">
        <v>7254</v>
      </c>
      <c r="O1015" s="337">
        <v>1</v>
      </c>
      <c r="P1015" s="337">
        <v>1</v>
      </c>
      <c r="Q1015" s="338"/>
      <c r="R1015" s="338" t="s">
        <v>7255</v>
      </c>
      <c r="S1015" s="338"/>
      <c r="T1015" s="338" t="s">
        <v>8949</v>
      </c>
      <c r="U1015" s="338" t="s">
        <v>7293</v>
      </c>
      <c r="V1015" s="337">
        <v>1</v>
      </c>
      <c r="W1015" s="337">
        <v>1</v>
      </c>
      <c r="X1015" s="338"/>
      <c r="Y1015" s="338" t="s">
        <v>7190</v>
      </c>
      <c r="Z1015" s="338" t="s">
        <v>9565</v>
      </c>
      <c r="AA1015" s="338" t="s">
        <v>6079</v>
      </c>
      <c r="AB1015" s="338"/>
      <c r="AC1015" s="338" t="s">
        <v>7895</v>
      </c>
      <c r="AD1015" s="338"/>
      <c r="AF1015" s="502" t="str">
        <f>Table15[[#This Row],[code2]]</f>
        <v>PDA</v>
      </c>
      <c r="AG1015" s="502" t="str">
        <f>Table15[[#This Row],[code5]]</f>
        <v>ANTD</v>
      </c>
    </row>
    <row r="1016" spans="1:33">
      <c r="A1016" s="338" t="s">
        <v>6072</v>
      </c>
      <c r="B1016" s="338" t="s">
        <v>6073</v>
      </c>
      <c r="C1016" s="337">
        <v>1</v>
      </c>
      <c r="D1016" s="338" t="s">
        <v>7015</v>
      </c>
      <c r="E1016" s="338" t="s">
        <v>7016</v>
      </c>
      <c r="F1016" s="337">
        <v>1</v>
      </c>
      <c r="G1016" s="337">
        <v>1</v>
      </c>
      <c r="H1016" s="338"/>
      <c r="I1016" s="338" t="s">
        <v>9555</v>
      </c>
      <c r="J1016" s="338" t="s">
        <v>9556</v>
      </c>
      <c r="K1016" s="338" t="s">
        <v>7017</v>
      </c>
      <c r="L1016" s="338" t="s">
        <v>7018</v>
      </c>
      <c r="M1016" s="338" t="s">
        <v>7253</v>
      </c>
      <c r="N1016" s="338" t="s">
        <v>7254</v>
      </c>
      <c r="O1016" s="337">
        <v>1</v>
      </c>
      <c r="P1016" s="337">
        <v>1</v>
      </c>
      <c r="Q1016" s="338"/>
      <c r="R1016" s="338" t="s">
        <v>7255</v>
      </c>
      <c r="S1016" s="338"/>
      <c r="T1016" s="338" t="s">
        <v>8949</v>
      </c>
      <c r="U1016" s="338" t="s">
        <v>7294</v>
      </c>
      <c r="V1016" s="337">
        <v>1</v>
      </c>
      <c r="W1016" s="337">
        <v>1</v>
      </c>
      <c r="X1016" s="338"/>
      <c r="Y1016" s="338" t="s">
        <v>7185</v>
      </c>
      <c r="Z1016" s="338" t="s">
        <v>8423</v>
      </c>
      <c r="AA1016" s="338" t="s">
        <v>6079</v>
      </c>
      <c r="AB1016" s="338"/>
      <c r="AC1016" s="338" t="s">
        <v>7896</v>
      </c>
      <c r="AD1016" s="338"/>
      <c r="AF1016" s="502" t="str">
        <f>Table15[[#This Row],[code2]]</f>
        <v>PDA</v>
      </c>
      <c r="AG1016" s="502" t="str">
        <f>Table15[[#This Row],[code5]]</f>
        <v>ANTD</v>
      </c>
    </row>
    <row r="1017" spans="1:33">
      <c r="A1017" s="338" t="s">
        <v>6072</v>
      </c>
      <c r="B1017" s="338" t="s">
        <v>6073</v>
      </c>
      <c r="C1017" s="337">
        <v>1</v>
      </c>
      <c r="D1017" s="338" t="s">
        <v>7015</v>
      </c>
      <c r="E1017" s="338" t="s">
        <v>7016</v>
      </c>
      <c r="F1017" s="337">
        <v>1</v>
      </c>
      <c r="G1017" s="337">
        <v>1</v>
      </c>
      <c r="H1017" s="338"/>
      <c r="I1017" s="338" t="s">
        <v>9555</v>
      </c>
      <c r="J1017" s="338" t="s">
        <v>9556</v>
      </c>
      <c r="K1017" s="338" t="s">
        <v>7017</v>
      </c>
      <c r="L1017" s="338" t="s">
        <v>7018</v>
      </c>
      <c r="M1017" s="338" t="s">
        <v>7253</v>
      </c>
      <c r="N1017" s="338" t="s">
        <v>7254</v>
      </c>
      <c r="O1017" s="337">
        <v>1</v>
      </c>
      <c r="P1017" s="337">
        <v>1</v>
      </c>
      <c r="Q1017" s="338"/>
      <c r="R1017" s="338" t="s">
        <v>7255</v>
      </c>
      <c r="S1017" s="338"/>
      <c r="T1017" s="338" t="s">
        <v>8949</v>
      </c>
      <c r="U1017" s="338" t="s">
        <v>7295</v>
      </c>
      <c r="V1017" s="337">
        <v>1</v>
      </c>
      <c r="W1017" s="337">
        <v>1</v>
      </c>
      <c r="X1017" s="338"/>
      <c r="Y1017" s="338" t="s">
        <v>7187</v>
      </c>
      <c r="Z1017" s="338" t="s">
        <v>8424</v>
      </c>
      <c r="AA1017" s="338" t="s">
        <v>6079</v>
      </c>
      <c r="AB1017" s="338"/>
      <c r="AC1017" s="338" t="s">
        <v>7896</v>
      </c>
      <c r="AD1017" s="338"/>
      <c r="AF1017" s="502" t="str">
        <f>Table15[[#This Row],[code2]]</f>
        <v>PDA</v>
      </c>
      <c r="AG1017" s="502" t="str">
        <f>Table15[[#This Row],[code5]]</f>
        <v>ANTD</v>
      </c>
    </row>
    <row r="1018" spans="1:33">
      <c r="A1018" s="338" t="s">
        <v>6072</v>
      </c>
      <c r="B1018" s="338" t="s">
        <v>6073</v>
      </c>
      <c r="C1018" s="337">
        <v>1</v>
      </c>
      <c r="D1018" s="338" t="s">
        <v>7015</v>
      </c>
      <c r="E1018" s="338" t="s">
        <v>7016</v>
      </c>
      <c r="F1018" s="337">
        <v>1</v>
      </c>
      <c r="G1018" s="337">
        <v>1</v>
      </c>
      <c r="H1018" s="338"/>
      <c r="I1018" s="338" t="s">
        <v>9555</v>
      </c>
      <c r="J1018" s="338" t="s">
        <v>9556</v>
      </c>
      <c r="K1018" s="338" t="s">
        <v>7017</v>
      </c>
      <c r="L1018" s="338" t="s">
        <v>7018</v>
      </c>
      <c r="M1018" s="338" t="s">
        <v>7253</v>
      </c>
      <c r="N1018" s="338" t="s">
        <v>7254</v>
      </c>
      <c r="O1018" s="337">
        <v>1</v>
      </c>
      <c r="P1018" s="337">
        <v>1</v>
      </c>
      <c r="Q1018" s="338"/>
      <c r="R1018" s="338" t="s">
        <v>7255</v>
      </c>
      <c r="S1018" s="338"/>
      <c r="T1018" s="338" t="s">
        <v>8949</v>
      </c>
      <c r="U1018" s="338" t="s">
        <v>7296</v>
      </c>
      <c r="V1018" s="337">
        <v>1</v>
      </c>
      <c r="W1018" s="337">
        <v>1</v>
      </c>
      <c r="X1018" s="338"/>
      <c r="Y1018" s="338" t="s">
        <v>7190</v>
      </c>
      <c r="Z1018" s="338" t="s">
        <v>8425</v>
      </c>
      <c r="AA1018" s="338" t="s">
        <v>6079</v>
      </c>
      <c r="AB1018" s="338"/>
      <c r="AC1018" s="338" t="s">
        <v>7896</v>
      </c>
      <c r="AD1018" s="338"/>
      <c r="AF1018" s="502" t="str">
        <f>Table15[[#This Row],[code2]]</f>
        <v>PDA</v>
      </c>
      <c r="AG1018" s="502" t="str">
        <f>Table15[[#This Row],[code5]]</f>
        <v>ANTD</v>
      </c>
    </row>
    <row r="1019" spans="1:33">
      <c r="A1019" s="338" t="s">
        <v>6072</v>
      </c>
      <c r="B1019" s="338" t="s">
        <v>6073</v>
      </c>
      <c r="C1019" s="337">
        <v>1</v>
      </c>
      <c r="D1019" s="338" t="s">
        <v>7015</v>
      </c>
      <c r="E1019" s="338" t="s">
        <v>7016</v>
      </c>
      <c r="F1019" s="337">
        <v>1</v>
      </c>
      <c r="G1019" s="337">
        <v>1</v>
      </c>
      <c r="H1019" s="338"/>
      <c r="I1019" s="338" t="s">
        <v>9555</v>
      </c>
      <c r="J1019" s="338" t="s">
        <v>9556</v>
      </c>
      <c r="K1019" s="338" t="s">
        <v>7017</v>
      </c>
      <c r="L1019" s="338" t="s">
        <v>7018</v>
      </c>
      <c r="M1019" s="338" t="s">
        <v>7253</v>
      </c>
      <c r="N1019" s="338" t="s">
        <v>7254</v>
      </c>
      <c r="O1019" s="337">
        <v>1</v>
      </c>
      <c r="P1019" s="337">
        <v>1</v>
      </c>
      <c r="Q1019" s="338"/>
      <c r="R1019" s="338" t="s">
        <v>7255</v>
      </c>
      <c r="S1019" s="338"/>
      <c r="T1019" s="338" t="s">
        <v>8949</v>
      </c>
      <c r="U1019" s="338" t="s">
        <v>7297</v>
      </c>
      <c r="V1019" s="337">
        <v>1</v>
      </c>
      <c r="W1019" s="337">
        <v>1</v>
      </c>
      <c r="X1019" s="338"/>
      <c r="Y1019" s="338" t="s">
        <v>7192</v>
      </c>
      <c r="Z1019" s="338" t="s">
        <v>8426</v>
      </c>
      <c r="AA1019" s="338" t="s">
        <v>6079</v>
      </c>
      <c r="AB1019" s="338"/>
      <c r="AC1019" s="338" t="s">
        <v>7896</v>
      </c>
      <c r="AD1019" s="338"/>
      <c r="AF1019" s="502" t="str">
        <f>Table15[[#This Row],[code2]]</f>
        <v>PDA</v>
      </c>
      <c r="AG1019" s="502" t="str">
        <f>Table15[[#This Row],[code5]]</f>
        <v>ANTD</v>
      </c>
    </row>
    <row r="1020" spans="1:33">
      <c r="A1020" s="338" t="s">
        <v>6072</v>
      </c>
      <c r="B1020" s="338" t="s">
        <v>6073</v>
      </c>
      <c r="C1020" s="337">
        <v>1</v>
      </c>
      <c r="D1020" s="338" t="s">
        <v>7015</v>
      </c>
      <c r="E1020" s="338" t="s">
        <v>7016</v>
      </c>
      <c r="F1020" s="337">
        <v>1</v>
      </c>
      <c r="G1020" s="337">
        <v>1</v>
      </c>
      <c r="H1020" s="338"/>
      <c r="I1020" s="338" t="s">
        <v>9555</v>
      </c>
      <c r="J1020" s="338" t="s">
        <v>9556</v>
      </c>
      <c r="K1020" s="338" t="s">
        <v>7017</v>
      </c>
      <c r="L1020" s="338" t="s">
        <v>7018</v>
      </c>
      <c r="M1020" s="338" t="s">
        <v>7253</v>
      </c>
      <c r="N1020" s="338" t="s">
        <v>7254</v>
      </c>
      <c r="O1020" s="337">
        <v>1</v>
      </c>
      <c r="P1020" s="337">
        <v>1</v>
      </c>
      <c r="Q1020" s="338"/>
      <c r="R1020" s="338" t="s">
        <v>7255</v>
      </c>
      <c r="S1020" s="338"/>
      <c r="T1020" s="338" t="s">
        <v>8949</v>
      </c>
      <c r="U1020" s="338" t="s">
        <v>7298</v>
      </c>
      <c r="V1020" s="337">
        <v>0</v>
      </c>
      <c r="W1020" s="337">
        <v>0</v>
      </c>
      <c r="X1020" s="338"/>
      <c r="Y1020" s="338" t="s">
        <v>7185</v>
      </c>
      <c r="Z1020" s="338" t="s">
        <v>9074</v>
      </c>
      <c r="AA1020" s="338" t="s">
        <v>6079</v>
      </c>
      <c r="AB1020" s="338"/>
      <c r="AC1020" s="338" t="s">
        <v>7897</v>
      </c>
      <c r="AD1020" s="338"/>
      <c r="AF1020" s="502" t="str">
        <f>Table15[[#This Row],[code2]]</f>
        <v>PDA</v>
      </c>
      <c r="AG1020" s="502" t="str">
        <f>Table15[[#This Row],[code5]]</f>
        <v>ANTD</v>
      </c>
    </row>
    <row r="1021" spans="1:33">
      <c r="A1021" s="338" t="s">
        <v>6072</v>
      </c>
      <c r="B1021" s="338" t="s">
        <v>6073</v>
      </c>
      <c r="C1021" s="337">
        <v>1</v>
      </c>
      <c r="D1021" s="338" t="s">
        <v>7015</v>
      </c>
      <c r="E1021" s="338" t="s">
        <v>7016</v>
      </c>
      <c r="F1021" s="337">
        <v>1</v>
      </c>
      <c r="G1021" s="337">
        <v>1</v>
      </c>
      <c r="H1021" s="338"/>
      <c r="I1021" s="338" t="s">
        <v>9555</v>
      </c>
      <c r="J1021" s="338" t="s">
        <v>9556</v>
      </c>
      <c r="K1021" s="338" t="s">
        <v>7017</v>
      </c>
      <c r="L1021" s="338" t="s">
        <v>7018</v>
      </c>
      <c r="M1021" s="338" t="s">
        <v>7253</v>
      </c>
      <c r="N1021" s="338" t="s">
        <v>7254</v>
      </c>
      <c r="O1021" s="337">
        <v>1</v>
      </c>
      <c r="P1021" s="337">
        <v>1</v>
      </c>
      <c r="Q1021" s="338"/>
      <c r="R1021" s="338" t="s">
        <v>7255</v>
      </c>
      <c r="S1021" s="338"/>
      <c r="T1021" s="338" t="s">
        <v>8949</v>
      </c>
      <c r="U1021" s="338" t="s">
        <v>7299</v>
      </c>
      <c r="V1021" s="337">
        <v>0</v>
      </c>
      <c r="W1021" s="337">
        <v>0</v>
      </c>
      <c r="X1021" s="338"/>
      <c r="Y1021" s="338" t="s">
        <v>7187</v>
      </c>
      <c r="Z1021" s="338" t="s">
        <v>9075</v>
      </c>
      <c r="AA1021" s="338" t="s">
        <v>6079</v>
      </c>
      <c r="AB1021" s="338"/>
      <c r="AC1021" s="338" t="s">
        <v>7897</v>
      </c>
      <c r="AD1021" s="338"/>
      <c r="AF1021" s="502" t="str">
        <f>Table15[[#This Row],[code2]]</f>
        <v>PDA</v>
      </c>
      <c r="AG1021" s="502" t="str">
        <f>Table15[[#This Row],[code5]]</f>
        <v>ANTD</v>
      </c>
    </row>
    <row r="1022" spans="1:33">
      <c r="A1022" s="338" t="s">
        <v>6072</v>
      </c>
      <c r="B1022" s="338" t="s">
        <v>6073</v>
      </c>
      <c r="C1022" s="337">
        <v>1</v>
      </c>
      <c r="D1022" s="338" t="s">
        <v>7015</v>
      </c>
      <c r="E1022" s="338" t="s">
        <v>7016</v>
      </c>
      <c r="F1022" s="337">
        <v>1</v>
      </c>
      <c r="G1022" s="337">
        <v>1</v>
      </c>
      <c r="H1022" s="338"/>
      <c r="I1022" s="338" t="s">
        <v>9555</v>
      </c>
      <c r="J1022" s="338" t="s">
        <v>9556</v>
      </c>
      <c r="K1022" s="338" t="s">
        <v>7017</v>
      </c>
      <c r="L1022" s="338" t="s">
        <v>7018</v>
      </c>
      <c r="M1022" s="338" t="s">
        <v>7253</v>
      </c>
      <c r="N1022" s="338" t="s">
        <v>7254</v>
      </c>
      <c r="O1022" s="337">
        <v>1</v>
      </c>
      <c r="P1022" s="337">
        <v>1</v>
      </c>
      <c r="Q1022" s="338"/>
      <c r="R1022" s="338" t="s">
        <v>7255</v>
      </c>
      <c r="S1022" s="338"/>
      <c r="T1022" s="338" t="s">
        <v>8949</v>
      </c>
      <c r="U1022" s="338" t="s">
        <v>7300</v>
      </c>
      <c r="V1022" s="337">
        <v>0</v>
      </c>
      <c r="W1022" s="337">
        <v>0</v>
      </c>
      <c r="X1022" s="338"/>
      <c r="Y1022" s="338" t="s">
        <v>7190</v>
      </c>
      <c r="Z1022" s="338" t="s">
        <v>9076</v>
      </c>
      <c r="AA1022" s="338" t="s">
        <v>6079</v>
      </c>
      <c r="AB1022" s="338"/>
      <c r="AC1022" s="338" t="s">
        <v>7897</v>
      </c>
      <c r="AD1022" s="338"/>
      <c r="AF1022" s="502" t="str">
        <f>Table15[[#This Row],[code2]]</f>
        <v>PDA</v>
      </c>
      <c r="AG1022" s="502" t="str">
        <f>Table15[[#This Row],[code5]]</f>
        <v>ANTD</v>
      </c>
    </row>
    <row r="1023" spans="1:33">
      <c r="A1023" s="338" t="s">
        <v>6072</v>
      </c>
      <c r="B1023" s="338" t="s">
        <v>6073</v>
      </c>
      <c r="C1023" s="337">
        <v>1</v>
      </c>
      <c r="D1023" s="338" t="s">
        <v>7015</v>
      </c>
      <c r="E1023" s="338" t="s">
        <v>7016</v>
      </c>
      <c r="F1023" s="337">
        <v>1</v>
      </c>
      <c r="G1023" s="337">
        <v>1</v>
      </c>
      <c r="H1023" s="338"/>
      <c r="I1023" s="338" t="s">
        <v>9555</v>
      </c>
      <c r="J1023" s="338" t="s">
        <v>9556</v>
      </c>
      <c r="K1023" s="338" t="s">
        <v>7017</v>
      </c>
      <c r="L1023" s="338" t="s">
        <v>7018</v>
      </c>
      <c r="M1023" s="338" t="s">
        <v>7253</v>
      </c>
      <c r="N1023" s="338" t="s">
        <v>7254</v>
      </c>
      <c r="O1023" s="337">
        <v>1</v>
      </c>
      <c r="P1023" s="337">
        <v>1</v>
      </c>
      <c r="Q1023" s="338"/>
      <c r="R1023" s="338" t="s">
        <v>7255</v>
      </c>
      <c r="S1023" s="338"/>
      <c r="T1023" s="338" t="s">
        <v>8949</v>
      </c>
      <c r="U1023" s="338" t="s">
        <v>7301</v>
      </c>
      <c r="V1023" s="337">
        <v>0</v>
      </c>
      <c r="W1023" s="337">
        <v>0</v>
      </c>
      <c r="X1023" s="338"/>
      <c r="Y1023" s="338" t="s">
        <v>7192</v>
      </c>
      <c r="Z1023" s="338" t="s">
        <v>9077</v>
      </c>
      <c r="AA1023" s="338" t="s">
        <v>6079</v>
      </c>
      <c r="AB1023" s="338"/>
      <c r="AC1023" s="338" t="s">
        <v>7897</v>
      </c>
      <c r="AD1023" s="338"/>
      <c r="AF1023" s="502" t="str">
        <f>Table15[[#This Row],[code2]]</f>
        <v>PDA</v>
      </c>
      <c r="AG1023" s="502" t="str">
        <f>Table15[[#This Row],[code5]]</f>
        <v>ANTD</v>
      </c>
    </row>
    <row r="1024" spans="1:33">
      <c r="A1024" s="338" t="s">
        <v>6072</v>
      </c>
      <c r="B1024" s="338" t="s">
        <v>6073</v>
      </c>
      <c r="C1024" s="337">
        <v>1</v>
      </c>
      <c r="D1024" s="338" t="s">
        <v>7015</v>
      </c>
      <c r="E1024" s="338" t="s">
        <v>7016</v>
      </c>
      <c r="F1024" s="337">
        <v>1</v>
      </c>
      <c r="G1024" s="337">
        <v>1</v>
      </c>
      <c r="H1024" s="338"/>
      <c r="I1024" s="338" t="s">
        <v>9555</v>
      </c>
      <c r="J1024" s="338" t="s">
        <v>9556</v>
      </c>
      <c r="K1024" s="338" t="s">
        <v>7017</v>
      </c>
      <c r="L1024" s="338" t="s">
        <v>7018</v>
      </c>
      <c r="M1024" s="338" t="s">
        <v>7253</v>
      </c>
      <c r="N1024" s="338" t="s">
        <v>7254</v>
      </c>
      <c r="O1024" s="337">
        <v>1</v>
      </c>
      <c r="P1024" s="337">
        <v>1</v>
      </c>
      <c r="Q1024" s="338"/>
      <c r="R1024" s="338" t="s">
        <v>7255</v>
      </c>
      <c r="S1024" s="338"/>
      <c r="T1024" s="338" t="s">
        <v>8949</v>
      </c>
      <c r="U1024" s="338" t="s">
        <v>7302</v>
      </c>
      <c r="V1024" s="337">
        <v>1</v>
      </c>
      <c r="W1024" s="337">
        <v>1</v>
      </c>
      <c r="X1024" s="338"/>
      <c r="Y1024" s="338" t="s">
        <v>7185</v>
      </c>
      <c r="Z1024" s="338" t="s">
        <v>9082</v>
      </c>
      <c r="AA1024" s="338" t="s">
        <v>6079</v>
      </c>
      <c r="AB1024" s="338"/>
      <c r="AC1024" s="338" t="s">
        <v>7898</v>
      </c>
      <c r="AD1024" s="338"/>
      <c r="AF1024" s="502" t="str">
        <f>Table15[[#This Row],[code2]]</f>
        <v>PDA</v>
      </c>
      <c r="AG1024" s="502" t="str">
        <f>Table15[[#This Row],[code5]]</f>
        <v>ANTD</v>
      </c>
    </row>
    <row r="1025" spans="1:33">
      <c r="A1025" s="338" t="s">
        <v>6072</v>
      </c>
      <c r="B1025" s="338" t="s">
        <v>6073</v>
      </c>
      <c r="C1025" s="337">
        <v>1</v>
      </c>
      <c r="D1025" s="338" t="s">
        <v>7015</v>
      </c>
      <c r="E1025" s="338" t="s">
        <v>7016</v>
      </c>
      <c r="F1025" s="337">
        <v>1</v>
      </c>
      <c r="G1025" s="337">
        <v>1</v>
      </c>
      <c r="H1025" s="338"/>
      <c r="I1025" s="338" t="s">
        <v>9555</v>
      </c>
      <c r="J1025" s="338" t="s">
        <v>9556</v>
      </c>
      <c r="K1025" s="338" t="s">
        <v>7017</v>
      </c>
      <c r="L1025" s="338" t="s">
        <v>7018</v>
      </c>
      <c r="M1025" s="338" t="s">
        <v>7253</v>
      </c>
      <c r="N1025" s="338" t="s">
        <v>7254</v>
      </c>
      <c r="O1025" s="337">
        <v>1</v>
      </c>
      <c r="P1025" s="337">
        <v>1</v>
      </c>
      <c r="Q1025" s="338"/>
      <c r="R1025" s="338" t="s">
        <v>7255</v>
      </c>
      <c r="S1025" s="338"/>
      <c r="T1025" s="338" t="s">
        <v>8949</v>
      </c>
      <c r="U1025" s="338" t="s">
        <v>7303</v>
      </c>
      <c r="V1025" s="337">
        <v>1</v>
      </c>
      <c r="W1025" s="337">
        <v>1</v>
      </c>
      <c r="X1025" s="338"/>
      <c r="Y1025" s="338" t="s">
        <v>7187</v>
      </c>
      <c r="Z1025" s="338" t="s">
        <v>9083</v>
      </c>
      <c r="AA1025" s="338" t="s">
        <v>6079</v>
      </c>
      <c r="AB1025" s="338"/>
      <c r="AC1025" s="338" t="s">
        <v>7898</v>
      </c>
      <c r="AD1025" s="338"/>
      <c r="AF1025" s="502" t="str">
        <f>Table15[[#This Row],[code2]]</f>
        <v>PDA</v>
      </c>
      <c r="AG1025" s="502" t="str">
        <f>Table15[[#This Row],[code5]]</f>
        <v>ANTD</v>
      </c>
    </row>
    <row r="1026" spans="1:33">
      <c r="A1026" s="338" t="s">
        <v>6072</v>
      </c>
      <c r="B1026" s="338" t="s">
        <v>6073</v>
      </c>
      <c r="C1026" s="337">
        <v>1</v>
      </c>
      <c r="D1026" s="338" t="s">
        <v>7015</v>
      </c>
      <c r="E1026" s="338" t="s">
        <v>7016</v>
      </c>
      <c r="F1026" s="337">
        <v>1</v>
      </c>
      <c r="G1026" s="337">
        <v>1</v>
      </c>
      <c r="H1026" s="338"/>
      <c r="I1026" s="338" t="s">
        <v>9555</v>
      </c>
      <c r="J1026" s="338" t="s">
        <v>9556</v>
      </c>
      <c r="K1026" s="338" t="s">
        <v>7017</v>
      </c>
      <c r="L1026" s="338" t="s">
        <v>7018</v>
      </c>
      <c r="M1026" s="338" t="s">
        <v>7253</v>
      </c>
      <c r="N1026" s="338" t="s">
        <v>7254</v>
      </c>
      <c r="O1026" s="337">
        <v>1</v>
      </c>
      <c r="P1026" s="337">
        <v>1</v>
      </c>
      <c r="Q1026" s="338"/>
      <c r="R1026" s="338" t="s">
        <v>7255</v>
      </c>
      <c r="S1026" s="338"/>
      <c r="T1026" s="338" t="s">
        <v>8949</v>
      </c>
      <c r="U1026" s="338" t="s">
        <v>7304</v>
      </c>
      <c r="V1026" s="337">
        <v>1</v>
      </c>
      <c r="W1026" s="337">
        <v>1</v>
      </c>
      <c r="X1026" s="338"/>
      <c r="Y1026" s="338" t="s">
        <v>7190</v>
      </c>
      <c r="Z1026" s="338" t="s">
        <v>9084</v>
      </c>
      <c r="AA1026" s="338" t="s">
        <v>6079</v>
      </c>
      <c r="AB1026" s="338"/>
      <c r="AC1026" s="338" t="s">
        <v>7898</v>
      </c>
      <c r="AD1026" s="338"/>
      <c r="AF1026" s="502" t="str">
        <f>Table15[[#This Row],[code2]]</f>
        <v>PDA</v>
      </c>
      <c r="AG1026" s="502" t="str">
        <f>Table15[[#This Row],[code5]]</f>
        <v>ANTD</v>
      </c>
    </row>
    <row r="1027" spans="1:33">
      <c r="A1027" s="338" t="s">
        <v>6072</v>
      </c>
      <c r="B1027" s="338" t="s">
        <v>6073</v>
      </c>
      <c r="C1027" s="337">
        <v>1</v>
      </c>
      <c r="D1027" s="338" t="s">
        <v>7015</v>
      </c>
      <c r="E1027" s="338" t="s">
        <v>7016</v>
      </c>
      <c r="F1027" s="337">
        <v>1</v>
      </c>
      <c r="G1027" s="337">
        <v>1</v>
      </c>
      <c r="H1027" s="338"/>
      <c r="I1027" s="338" t="s">
        <v>9555</v>
      </c>
      <c r="J1027" s="338" t="s">
        <v>9556</v>
      </c>
      <c r="K1027" s="338" t="s">
        <v>7017</v>
      </c>
      <c r="L1027" s="338" t="s">
        <v>7018</v>
      </c>
      <c r="M1027" s="338" t="s">
        <v>7253</v>
      </c>
      <c r="N1027" s="338" t="s">
        <v>7254</v>
      </c>
      <c r="O1027" s="337">
        <v>1</v>
      </c>
      <c r="P1027" s="337">
        <v>1</v>
      </c>
      <c r="Q1027" s="338"/>
      <c r="R1027" s="338" t="s">
        <v>7255</v>
      </c>
      <c r="S1027" s="338"/>
      <c r="T1027" s="338" t="s">
        <v>8949</v>
      </c>
      <c r="U1027" s="338" t="s">
        <v>7305</v>
      </c>
      <c r="V1027" s="337">
        <v>1</v>
      </c>
      <c r="W1027" s="337">
        <v>1</v>
      </c>
      <c r="X1027" s="338"/>
      <c r="Y1027" s="338" t="s">
        <v>7192</v>
      </c>
      <c r="Z1027" s="338" t="s">
        <v>9072</v>
      </c>
      <c r="AA1027" s="338" t="s">
        <v>6079</v>
      </c>
      <c r="AB1027" s="338"/>
      <c r="AC1027" s="338" t="s">
        <v>7898</v>
      </c>
      <c r="AD1027" s="338"/>
      <c r="AF1027" s="502" t="str">
        <f>Table15[[#This Row],[code2]]</f>
        <v>PDA</v>
      </c>
      <c r="AG1027" s="502" t="str">
        <f>Table15[[#This Row],[code5]]</f>
        <v>ANTD</v>
      </c>
    </row>
    <row r="1028" spans="1:33">
      <c r="A1028" s="338" t="s">
        <v>6072</v>
      </c>
      <c r="B1028" s="338" t="s">
        <v>6073</v>
      </c>
      <c r="C1028" s="337">
        <v>1</v>
      </c>
      <c r="D1028" s="338" t="s">
        <v>7015</v>
      </c>
      <c r="E1028" s="338" t="s">
        <v>7016</v>
      </c>
      <c r="F1028" s="337">
        <v>1</v>
      </c>
      <c r="G1028" s="337">
        <v>1</v>
      </c>
      <c r="H1028" s="338"/>
      <c r="I1028" s="338" t="s">
        <v>9555</v>
      </c>
      <c r="J1028" s="338" t="s">
        <v>9556</v>
      </c>
      <c r="K1028" s="338" t="s">
        <v>7017</v>
      </c>
      <c r="L1028" s="338" t="s">
        <v>7018</v>
      </c>
      <c r="M1028" s="338" t="s">
        <v>7253</v>
      </c>
      <c r="N1028" s="338" t="s">
        <v>7254</v>
      </c>
      <c r="O1028" s="337">
        <v>1</v>
      </c>
      <c r="P1028" s="337">
        <v>1</v>
      </c>
      <c r="Q1028" s="338"/>
      <c r="R1028" s="338" t="s">
        <v>7255</v>
      </c>
      <c r="S1028" s="338"/>
      <c r="T1028" s="338" t="s">
        <v>8949</v>
      </c>
      <c r="U1028" s="338" t="s">
        <v>7306</v>
      </c>
      <c r="V1028" s="337">
        <v>1</v>
      </c>
      <c r="W1028" s="337">
        <v>1</v>
      </c>
      <c r="X1028" s="338"/>
      <c r="Y1028" s="338" t="s">
        <v>7185</v>
      </c>
      <c r="Z1028" s="338" t="s">
        <v>9078</v>
      </c>
      <c r="AA1028" s="338" t="s">
        <v>6079</v>
      </c>
      <c r="AB1028" s="338"/>
      <c r="AC1028" s="338" t="s">
        <v>7899</v>
      </c>
      <c r="AD1028" s="338"/>
      <c r="AF1028" s="502" t="str">
        <f>Table15[[#This Row],[code2]]</f>
        <v>PDA</v>
      </c>
      <c r="AG1028" s="502" t="str">
        <f>Table15[[#This Row],[code5]]</f>
        <v>ANTD</v>
      </c>
    </row>
    <row r="1029" spans="1:33">
      <c r="A1029" s="338" t="s">
        <v>6072</v>
      </c>
      <c r="B1029" s="338" t="s">
        <v>6073</v>
      </c>
      <c r="C1029" s="337">
        <v>1</v>
      </c>
      <c r="D1029" s="338" t="s">
        <v>7015</v>
      </c>
      <c r="E1029" s="338" t="s">
        <v>7016</v>
      </c>
      <c r="F1029" s="337">
        <v>1</v>
      </c>
      <c r="G1029" s="337">
        <v>1</v>
      </c>
      <c r="H1029" s="338"/>
      <c r="I1029" s="338" t="s">
        <v>9555</v>
      </c>
      <c r="J1029" s="338" t="s">
        <v>9556</v>
      </c>
      <c r="K1029" s="338" t="s">
        <v>7017</v>
      </c>
      <c r="L1029" s="338" t="s">
        <v>7018</v>
      </c>
      <c r="M1029" s="338" t="s">
        <v>7253</v>
      </c>
      <c r="N1029" s="338" t="s">
        <v>7254</v>
      </c>
      <c r="O1029" s="337">
        <v>1</v>
      </c>
      <c r="P1029" s="337">
        <v>1</v>
      </c>
      <c r="Q1029" s="338"/>
      <c r="R1029" s="338" t="s">
        <v>7255</v>
      </c>
      <c r="S1029" s="338"/>
      <c r="T1029" s="338" t="s">
        <v>8949</v>
      </c>
      <c r="U1029" s="338" t="s">
        <v>7307</v>
      </c>
      <c r="V1029" s="337">
        <v>1</v>
      </c>
      <c r="W1029" s="337">
        <v>1</v>
      </c>
      <c r="X1029" s="338"/>
      <c r="Y1029" s="338" t="s">
        <v>7187</v>
      </c>
      <c r="Z1029" s="338" t="s">
        <v>9078</v>
      </c>
      <c r="AA1029" s="338" t="s">
        <v>6079</v>
      </c>
      <c r="AB1029" s="338"/>
      <c r="AC1029" s="338" t="s">
        <v>7899</v>
      </c>
      <c r="AD1029" s="338"/>
      <c r="AF1029" s="502" t="str">
        <f>Table15[[#This Row],[code2]]</f>
        <v>PDA</v>
      </c>
      <c r="AG1029" s="502" t="str">
        <f>Table15[[#This Row],[code5]]</f>
        <v>ANTD</v>
      </c>
    </row>
    <row r="1030" spans="1:33">
      <c r="A1030" s="338" t="s">
        <v>6072</v>
      </c>
      <c r="B1030" s="338" t="s">
        <v>6073</v>
      </c>
      <c r="C1030" s="337">
        <v>1</v>
      </c>
      <c r="D1030" s="338" t="s">
        <v>7015</v>
      </c>
      <c r="E1030" s="338" t="s">
        <v>7016</v>
      </c>
      <c r="F1030" s="337">
        <v>1</v>
      </c>
      <c r="G1030" s="337">
        <v>1</v>
      </c>
      <c r="H1030" s="338"/>
      <c r="I1030" s="338" t="s">
        <v>9555</v>
      </c>
      <c r="J1030" s="338" t="s">
        <v>9556</v>
      </c>
      <c r="K1030" s="338" t="s">
        <v>7017</v>
      </c>
      <c r="L1030" s="338" t="s">
        <v>7018</v>
      </c>
      <c r="M1030" s="338" t="s">
        <v>7253</v>
      </c>
      <c r="N1030" s="338" t="s">
        <v>7254</v>
      </c>
      <c r="O1030" s="337">
        <v>1</v>
      </c>
      <c r="P1030" s="337">
        <v>1</v>
      </c>
      <c r="Q1030" s="338"/>
      <c r="R1030" s="338" t="s">
        <v>7255</v>
      </c>
      <c r="S1030" s="338"/>
      <c r="T1030" s="338" t="s">
        <v>8949</v>
      </c>
      <c r="U1030" s="338" t="s">
        <v>7308</v>
      </c>
      <c r="V1030" s="337">
        <v>1</v>
      </c>
      <c r="W1030" s="337">
        <v>1</v>
      </c>
      <c r="X1030" s="338"/>
      <c r="Y1030" s="338" t="s">
        <v>7190</v>
      </c>
      <c r="Z1030" s="338" t="s">
        <v>9079</v>
      </c>
      <c r="AA1030" s="338" t="s">
        <v>6079</v>
      </c>
      <c r="AB1030" s="338"/>
      <c r="AC1030" s="338" t="s">
        <v>7899</v>
      </c>
      <c r="AD1030" s="338"/>
      <c r="AF1030" s="502" t="str">
        <f>Table15[[#This Row],[code2]]</f>
        <v>PDA</v>
      </c>
      <c r="AG1030" s="502" t="str">
        <f>Table15[[#This Row],[code5]]</f>
        <v>ANTD</v>
      </c>
    </row>
    <row r="1031" spans="1:33">
      <c r="A1031" s="338" t="s">
        <v>6072</v>
      </c>
      <c r="B1031" s="338" t="s">
        <v>6073</v>
      </c>
      <c r="C1031" s="337">
        <v>1</v>
      </c>
      <c r="D1031" s="338" t="s">
        <v>7015</v>
      </c>
      <c r="E1031" s="338" t="s">
        <v>7016</v>
      </c>
      <c r="F1031" s="337">
        <v>1</v>
      </c>
      <c r="G1031" s="337">
        <v>1</v>
      </c>
      <c r="H1031" s="338"/>
      <c r="I1031" s="338" t="s">
        <v>9555</v>
      </c>
      <c r="J1031" s="338" t="s">
        <v>9556</v>
      </c>
      <c r="K1031" s="338" t="s">
        <v>7017</v>
      </c>
      <c r="L1031" s="338" t="s">
        <v>7018</v>
      </c>
      <c r="M1031" s="338" t="s">
        <v>7253</v>
      </c>
      <c r="N1031" s="338" t="s">
        <v>7254</v>
      </c>
      <c r="O1031" s="337">
        <v>1</v>
      </c>
      <c r="P1031" s="337">
        <v>1</v>
      </c>
      <c r="Q1031" s="338"/>
      <c r="R1031" s="338" t="s">
        <v>7255</v>
      </c>
      <c r="S1031" s="338"/>
      <c r="T1031" s="338" t="s">
        <v>8949</v>
      </c>
      <c r="U1031" s="338" t="s">
        <v>7309</v>
      </c>
      <c r="V1031" s="337">
        <v>1</v>
      </c>
      <c r="W1031" s="337">
        <v>1</v>
      </c>
      <c r="X1031" s="338"/>
      <c r="Y1031" s="338" t="s">
        <v>7192</v>
      </c>
      <c r="Z1031" s="338" t="s">
        <v>9080</v>
      </c>
      <c r="AA1031" s="338" t="s">
        <v>6079</v>
      </c>
      <c r="AB1031" s="338"/>
      <c r="AC1031" s="338" t="s">
        <v>7899</v>
      </c>
      <c r="AD1031" s="338"/>
      <c r="AF1031" s="502" t="str">
        <f>Table15[[#This Row],[code2]]</f>
        <v>PDA</v>
      </c>
      <c r="AG1031" s="502" t="str">
        <f>Table15[[#This Row],[code5]]</f>
        <v>ANTD</v>
      </c>
    </row>
    <row r="1032" spans="1:33">
      <c r="A1032" s="338" t="s">
        <v>6072</v>
      </c>
      <c r="B1032" s="338" t="s">
        <v>6073</v>
      </c>
      <c r="C1032" s="337">
        <v>1</v>
      </c>
      <c r="D1032" s="338" t="s">
        <v>7015</v>
      </c>
      <c r="E1032" s="338" t="s">
        <v>7016</v>
      </c>
      <c r="F1032" s="337">
        <v>1</v>
      </c>
      <c r="G1032" s="337">
        <v>1</v>
      </c>
      <c r="H1032" s="338"/>
      <c r="I1032" s="338" t="s">
        <v>9555</v>
      </c>
      <c r="J1032" s="338" t="s">
        <v>9556</v>
      </c>
      <c r="K1032" s="338" t="s">
        <v>7017</v>
      </c>
      <c r="L1032" s="338" t="s">
        <v>7018</v>
      </c>
      <c r="M1032" s="338" t="s">
        <v>7253</v>
      </c>
      <c r="N1032" s="338" t="s">
        <v>7254</v>
      </c>
      <c r="O1032" s="337">
        <v>1</v>
      </c>
      <c r="P1032" s="337">
        <v>1</v>
      </c>
      <c r="Q1032" s="338"/>
      <c r="R1032" s="338" t="s">
        <v>7255</v>
      </c>
      <c r="S1032" s="338"/>
      <c r="T1032" s="338" t="s">
        <v>8949</v>
      </c>
      <c r="U1032" s="338" t="s">
        <v>7310</v>
      </c>
      <c r="V1032" s="337">
        <v>1</v>
      </c>
      <c r="W1032" s="337">
        <v>1</v>
      </c>
      <c r="X1032" s="338"/>
      <c r="Y1032" s="338" t="s">
        <v>7185</v>
      </c>
      <c r="Z1032" s="338" t="s">
        <v>9078</v>
      </c>
      <c r="AA1032" s="338" t="s">
        <v>6079</v>
      </c>
      <c r="AB1032" s="338"/>
      <c r="AC1032" s="338" t="s">
        <v>7900</v>
      </c>
      <c r="AD1032" s="338"/>
      <c r="AF1032" s="502" t="str">
        <f>Table15[[#This Row],[code2]]</f>
        <v>PDA</v>
      </c>
      <c r="AG1032" s="502" t="str">
        <f>Table15[[#This Row],[code5]]</f>
        <v>ANTD</v>
      </c>
    </row>
    <row r="1033" spans="1:33">
      <c r="A1033" s="338" t="s">
        <v>6072</v>
      </c>
      <c r="B1033" s="338" t="s">
        <v>6073</v>
      </c>
      <c r="C1033" s="337">
        <v>1</v>
      </c>
      <c r="D1033" s="338" t="s">
        <v>7015</v>
      </c>
      <c r="E1033" s="338" t="s">
        <v>7016</v>
      </c>
      <c r="F1033" s="337">
        <v>1</v>
      </c>
      <c r="G1033" s="337">
        <v>1</v>
      </c>
      <c r="H1033" s="338"/>
      <c r="I1033" s="338" t="s">
        <v>9555</v>
      </c>
      <c r="J1033" s="338" t="s">
        <v>9556</v>
      </c>
      <c r="K1033" s="338" t="s">
        <v>7017</v>
      </c>
      <c r="L1033" s="338" t="s">
        <v>7018</v>
      </c>
      <c r="M1033" s="338" t="s">
        <v>7253</v>
      </c>
      <c r="N1033" s="338" t="s">
        <v>7254</v>
      </c>
      <c r="O1033" s="337">
        <v>1</v>
      </c>
      <c r="P1033" s="337">
        <v>1</v>
      </c>
      <c r="Q1033" s="338"/>
      <c r="R1033" s="338" t="s">
        <v>7255</v>
      </c>
      <c r="S1033" s="338"/>
      <c r="T1033" s="338" t="s">
        <v>8949</v>
      </c>
      <c r="U1033" s="338" t="s">
        <v>7311</v>
      </c>
      <c r="V1033" s="337">
        <v>1</v>
      </c>
      <c r="W1033" s="337">
        <v>1</v>
      </c>
      <c r="X1033" s="338"/>
      <c r="Y1033" s="338" t="s">
        <v>7187</v>
      </c>
      <c r="Z1033" s="338" t="s">
        <v>9078</v>
      </c>
      <c r="AA1033" s="338" t="s">
        <v>6079</v>
      </c>
      <c r="AB1033" s="338"/>
      <c r="AC1033" s="338" t="s">
        <v>7900</v>
      </c>
      <c r="AD1033" s="338"/>
      <c r="AF1033" s="502" t="str">
        <f>Table15[[#This Row],[code2]]</f>
        <v>PDA</v>
      </c>
      <c r="AG1033" s="502" t="str">
        <f>Table15[[#This Row],[code5]]</f>
        <v>ANTD</v>
      </c>
    </row>
    <row r="1034" spans="1:33">
      <c r="A1034" s="338" t="s">
        <v>6072</v>
      </c>
      <c r="B1034" s="338" t="s">
        <v>6073</v>
      </c>
      <c r="C1034" s="337">
        <v>1</v>
      </c>
      <c r="D1034" s="338" t="s">
        <v>7015</v>
      </c>
      <c r="E1034" s="338" t="s">
        <v>7016</v>
      </c>
      <c r="F1034" s="337">
        <v>1</v>
      </c>
      <c r="G1034" s="337">
        <v>1</v>
      </c>
      <c r="H1034" s="338"/>
      <c r="I1034" s="338" t="s">
        <v>9555</v>
      </c>
      <c r="J1034" s="338" t="s">
        <v>9556</v>
      </c>
      <c r="K1034" s="338" t="s">
        <v>7017</v>
      </c>
      <c r="L1034" s="338" t="s">
        <v>7018</v>
      </c>
      <c r="M1034" s="338" t="s">
        <v>7253</v>
      </c>
      <c r="N1034" s="338" t="s">
        <v>7254</v>
      </c>
      <c r="O1034" s="337">
        <v>1</v>
      </c>
      <c r="P1034" s="337">
        <v>1</v>
      </c>
      <c r="Q1034" s="338"/>
      <c r="R1034" s="338" t="s">
        <v>7255</v>
      </c>
      <c r="S1034" s="338"/>
      <c r="T1034" s="338" t="s">
        <v>8949</v>
      </c>
      <c r="U1034" s="338" t="s">
        <v>7312</v>
      </c>
      <c r="V1034" s="337">
        <v>1</v>
      </c>
      <c r="W1034" s="337">
        <v>1</v>
      </c>
      <c r="X1034" s="338"/>
      <c r="Y1034" s="338" t="s">
        <v>7190</v>
      </c>
      <c r="Z1034" s="338" t="s">
        <v>9079</v>
      </c>
      <c r="AA1034" s="338" t="s">
        <v>6079</v>
      </c>
      <c r="AB1034" s="338"/>
      <c r="AC1034" s="338" t="s">
        <v>7900</v>
      </c>
      <c r="AD1034" s="338"/>
      <c r="AF1034" s="502" t="str">
        <f>Table15[[#This Row],[code2]]</f>
        <v>PDA</v>
      </c>
      <c r="AG1034" s="502" t="str">
        <f>Table15[[#This Row],[code5]]</f>
        <v>ANTD</v>
      </c>
    </row>
    <row r="1035" spans="1:33">
      <c r="A1035" s="338" t="s">
        <v>6072</v>
      </c>
      <c r="B1035" s="338" t="s">
        <v>6073</v>
      </c>
      <c r="C1035" s="337">
        <v>1</v>
      </c>
      <c r="D1035" s="338" t="s">
        <v>7015</v>
      </c>
      <c r="E1035" s="338" t="s">
        <v>7016</v>
      </c>
      <c r="F1035" s="337">
        <v>1</v>
      </c>
      <c r="G1035" s="337">
        <v>1</v>
      </c>
      <c r="H1035" s="338"/>
      <c r="I1035" s="338" t="s">
        <v>9555</v>
      </c>
      <c r="J1035" s="338" t="s">
        <v>9556</v>
      </c>
      <c r="K1035" s="338" t="s">
        <v>7017</v>
      </c>
      <c r="L1035" s="338" t="s">
        <v>7018</v>
      </c>
      <c r="M1035" s="338" t="s">
        <v>7253</v>
      </c>
      <c r="N1035" s="338" t="s">
        <v>7254</v>
      </c>
      <c r="O1035" s="337">
        <v>1</v>
      </c>
      <c r="P1035" s="337">
        <v>1</v>
      </c>
      <c r="Q1035" s="338"/>
      <c r="R1035" s="338" t="s">
        <v>7255</v>
      </c>
      <c r="S1035" s="338"/>
      <c r="T1035" s="338" t="s">
        <v>8949</v>
      </c>
      <c r="U1035" s="338" t="s">
        <v>7313</v>
      </c>
      <c r="V1035" s="337">
        <v>1</v>
      </c>
      <c r="W1035" s="337">
        <v>1</v>
      </c>
      <c r="X1035" s="338"/>
      <c r="Y1035" s="338" t="s">
        <v>7192</v>
      </c>
      <c r="Z1035" s="338" t="s">
        <v>9080</v>
      </c>
      <c r="AA1035" s="338" t="s">
        <v>6079</v>
      </c>
      <c r="AB1035" s="338"/>
      <c r="AC1035" s="338" t="s">
        <v>7900</v>
      </c>
      <c r="AD1035" s="338"/>
      <c r="AF1035" s="502" t="str">
        <f>Table15[[#This Row],[code2]]</f>
        <v>PDA</v>
      </c>
      <c r="AG1035" s="502" t="str">
        <f>Table15[[#This Row],[code5]]</f>
        <v>ANTD</v>
      </c>
    </row>
    <row r="1036" spans="1:33">
      <c r="A1036" s="338" t="s">
        <v>6072</v>
      </c>
      <c r="B1036" s="338" t="s">
        <v>6073</v>
      </c>
      <c r="C1036" s="337">
        <v>1</v>
      </c>
      <c r="D1036" s="338" t="s">
        <v>7015</v>
      </c>
      <c r="E1036" s="338" t="s">
        <v>7016</v>
      </c>
      <c r="F1036" s="337">
        <v>1</v>
      </c>
      <c r="G1036" s="337">
        <v>1</v>
      </c>
      <c r="H1036" s="338"/>
      <c r="I1036" s="338" t="s">
        <v>9555</v>
      </c>
      <c r="J1036" s="338" t="s">
        <v>9556</v>
      </c>
      <c r="K1036" s="338" t="s">
        <v>7017</v>
      </c>
      <c r="L1036" s="338" t="s">
        <v>7018</v>
      </c>
      <c r="M1036" s="338" t="s">
        <v>7253</v>
      </c>
      <c r="N1036" s="338" t="s">
        <v>7254</v>
      </c>
      <c r="O1036" s="337">
        <v>1</v>
      </c>
      <c r="P1036" s="337">
        <v>1</v>
      </c>
      <c r="Q1036" s="338"/>
      <c r="R1036" s="338" t="s">
        <v>7255</v>
      </c>
      <c r="S1036" s="338"/>
      <c r="T1036" s="338" t="s">
        <v>8949</v>
      </c>
      <c r="U1036" s="338" t="s">
        <v>7314</v>
      </c>
      <c r="V1036" s="337">
        <v>0</v>
      </c>
      <c r="W1036" s="337">
        <v>0</v>
      </c>
      <c r="X1036" s="338"/>
      <c r="Y1036" s="338" t="s">
        <v>7185</v>
      </c>
      <c r="Z1036" s="338" t="s">
        <v>9078</v>
      </c>
      <c r="AA1036" s="338" t="s">
        <v>6079</v>
      </c>
      <c r="AB1036" s="338"/>
      <c r="AC1036" s="338" t="s">
        <v>7901</v>
      </c>
      <c r="AD1036" s="338"/>
      <c r="AF1036" s="502" t="str">
        <f>Table15[[#This Row],[code2]]</f>
        <v>PDA</v>
      </c>
      <c r="AG1036" s="502" t="str">
        <f>Table15[[#This Row],[code5]]</f>
        <v>ANTD</v>
      </c>
    </row>
    <row r="1037" spans="1:33">
      <c r="A1037" s="338" t="s">
        <v>6072</v>
      </c>
      <c r="B1037" s="338" t="s">
        <v>6073</v>
      </c>
      <c r="C1037" s="337">
        <v>1</v>
      </c>
      <c r="D1037" s="338" t="s">
        <v>7015</v>
      </c>
      <c r="E1037" s="338" t="s">
        <v>7016</v>
      </c>
      <c r="F1037" s="337">
        <v>1</v>
      </c>
      <c r="G1037" s="337">
        <v>1</v>
      </c>
      <c r="H1037" s="338"/>
      <c r="I1037" s="338" t="s">
        <v>9555</v>
      </c>
      <c r="J1037" s="338" t="s">
        <v>9556</v>
      </c>
      <c r="K1037" s="338" t="s">
        <v>7017</v>
      </c>
      <c r="L1037" s="338" t="s">
        <v>7018</v>
      </c>
      <c r="M1037" s="338" t="s">
        <v>7253</v>
      </c>
      <c r="N1037" s="338" t="s">
        <v>7254</v>
      </c>
      <c r="O1037" s="337">
        <v>1</v>
      </c>
      <c r="P1037" s="337">
        <v>1</v>
      </c>
      <c r="Q1037" s="338"/>
      <c r="R1037" s="338" t="s">
        <v>7255</v>
      </c>
      <c r="S1037" s="338"/>
      <c r="T1037" s="338" t="s">
        <v>8949</v>
      </c>
      <c r="U1037" s="338" t="s">
        <v>7315</v>
      </c>
      <c r="V1037" s="337">
        <v>0</v>
      </c>
      <c r="W1037" s="337">
        <v>0</v>
      </c>
      <c r="X1037" s="338"/>
      <c r="Y1037" s="338" t="s">
        <v>7187</v>
      </c>
      <c r="Z1037" s="338" t="s">
        <v>9078</v>
      </c>
      <c r="AA1037" s="338" t="s">
        <v>6079</v>
      </c>
      <c r="AB1037" s="338"/>
      <c r="AC1037" s="338" t="s">
        <v>7901</v>
      </c>
      <c r="AD1037" s="338"/>
      <c r="AF1037" s="502" t="str">
        <f>Table15[[#This Row],[code2]]</f>
        <v>PDA</v>
      </c>
      <c r="AG1037" s="502" t="str">
        <f>Table15[[#This Row],[code5]]</f>
        <v>ANTD</v>
      </c>
    </row>
    <row r="1038" spans="1:33">
      <c r="A1038" s="338" t="s">
        <v>6072</v>
      </c>
      <c r="B1038" s="338" t="s">
        <v>6073</v>
      </c>
      <c r="C1038" s="337">
        <v>1</v>
      </c>
      <c r="D1038" s="338" t="s">
        <v>7015</v>
      </c>
      <c r="E1038" s="338" t="s">
        <v>7016</v>
      </c>
      <c r="F1038" s="337">
        <v>1</v>
      </c>
      <c r="G1038" s="337">
        <v>1</v>
      </c>
      <c r="H1038" s="338"/>
      <c r="I1038" s="338" t="s">
        <v>9555</v>
      </c>
      <c r="J1038" s="338" t="s">
        <v>9556</v>
      </c>
      <c r="K1038" s="338" t="s">
        <v>7017</v>
      </c>
      <c r="L1038" s="338" t="s">
        <v>7018</v>
      </c>
      <c r="M1038" s="338" t="s">
        <v>7253</v>
      </c>
      <c r="N1038" s="338" t="s">
        <v>7254</v>
      </c>
      <c r="O1038" s="337">
        <v>1</v>
      </c>
      <c r="P1038" s="337">
        <v>1</v>
      </c>
      <c r="Q1038" s="338"/>
      <c r="R1038" s="338" t="s">
        <v>7255</v>
      </c>
      <c r="S1038" s="338"/>
      <c r="T1038" s="338" t="s">
        <v>8949</v>
      </c>
      <c r="U1038" s="338" t="s">
        <v>7316</v>
      </c>
      <c r="V1038" s="337">
        <v>0</v>
      </c>
      <c r="W1038" s="337">
        <v>0</v>
      </c>
      <c r="X1038" s="338"/>
      <c r="Y1038" s="338" t="s">
        <v>7190</v>
      </c>
      <c r="Z1038" s="338" t="s">
        <v>9079</v>
      </c>
      <c r="AA1038" s="338" t="s">
        <v>6079</v>
      </c>
      <c r="AB1038" s="338"/>
      <c r="AC1038" s="338" t="s">
        <v>7901</v>
      </c>
      <c r="AD1038" s="338"/>
      <c r="AF1038" s="502" t="str">
        <f>Table15[[#This Row],[code2]]</f>
        <v>PDA</v>
      </c>
      <c r="AG1038" s="502" t="str">
        <f>Table15[[#This Row],[code5]]</f>
        <v>ANTD</v>
      </c>
    </row>
    <row r="1039" spans="1:33">
      <c r="A1039" s="338" t="s">
        <v>6072</v>
      </c>
      <c r="B1039" s="338" t="s">
        <v>6073</v>
      </c>
      <c r="C1039" s="337">
        <v>1</v>
      </c>
      <c r="D1039" s="338" t="s">
        <v>7015</v>
      </c>
      <c r="E1039" s="338" t="s">
        <v>7016</v>
      </c>
      <c r="F1039" s="337">
        <v>1</v>
      </c>
      <c r="G1039" s="337">
        <v>1</v>
      </c>
      <c r="H1039" s="338"/>
      <c r="I1039" s="338" t="s">
        <v>9555</v>
      </c>
      <c r="J1039" s="338" t="s">
        <v>9556</v>
      </c>
      <c r="K1039" s="338" t="s">
        <v>7017</v>
      </c>
      <c r="L1039" s="338" t="s">
        <v>7018</v>
      </c>
      <c r="M1039" s="338" t="s">
        <v>7253</v>
      </c>
      <c r="N1039" s="338" t="s">
        <v>7254</v>
      </c>
      <c r="O1039" s="337">
        <v>1</v>
      </c>
      <c r="P1039" s="337">
        <v>1</v>
      </c>
      <c r="Q1039" s="338"/>
      <c r="R1039" s="338" t="s">
        <v>7255</v>
      </c>
      <c r="S1039" s="338"/>
      <c r="T1039" s="338" t="s">
        <v>8949</v>
      </c>
      <c r="U1039" s="338" t="s">
        <v>7317</v>
      </c>
      <c r="V1039" s="337">
        <v>0</v>
      </c>
      <c r="W1039" s="337">
        <v>0</v>
      </c>
      <c r="X1039" s="338"/>
      <c r="Y1039" s="338" t="s">
        <v>7192</v>
      </c>
      <c r="Z1039" s="338" t="s">
        <v>9080</v>
      </c>
      <c r="AA1039" s="338" t="s">
        <v>6079</v>
      </c>
      <c r="AB1039" s="338"/>
      <c r="AC1039" s="338" t="s">
        <v>7901</v>
      </c>
      <c r="AD1039" s="338"/>
      <c r="AF1039" s="502" t="str">
        <f>Table15[[#This Row],[code2]]</f>
        <v>PDA</v>
      </c>
      <c r="AG1039" s="502" t="str">
        <f>Table15[[#This Row],[code5]]</f>
        <v>ANTD</v>
      </c>
    </row>
    <row r="1040" spans="1:33">
      <c r="A1040" s="338" t="s">
        <v>6072</v>
      </c>
      <c r="B1040" s="338" t="s">
        <v>6073</v>
      </c>
      <c r="C1040" s="337">
        <v>1</v>
      </c>
      <c r="D1040" s="338" t="s">
        <v>7015</v>
      </c>
      <c r="E1040" s="338" t="s">
        <v>7016</v>
      </c>
      <c r="F1040" s="337">
        <v>1</v>
      </c>
      <c r="G1040" s="337">
        <v>1</v>
      </c>
      <c r="H1040" s="338"/>
      <c r="I1040" s="338" t="s">
        <v>9555</v>
      </c>
      <c r="J1040" s="338" t="s">
        <v>9556</v>
      </c>
      <c r="K1040" s="338" t="s">
        <v>7017</v>
      </c>
      <c r="L1040" s="338" t="s">
        <v>7018</v>
      </c>
      <c r="M1040" s="338" t="s">
        <v>7253</v>
      </c>
      <c r="N1040" s="338" t="s">
        <v>7254</v>
      </c>
      <c r="O1040" s="337">
        <v>1</v>
      </c>
      <c r="P1040" s="337">
        <v>1</v>
      </c>
      <c r="Q1040" s="338"/>
      <c r="R1040" s="338" t="s">
        <v>7255</v>
      </c>
      <c r="S1040" s="338"/>
      <c r="T1040" s="338" t="s">
        <v>8949</v>
      </c>
      <c r="U1040" s="338" t="s">
        <v>7318</v>
      </c>
      <c r="V1040" s="337">
        <v>1</v>
      </c>
      <c r="W1040" s="337">
        <v>1</v>
      </c>
      <c r="X1040" s="338"/>
      <c r="Y1040" s="338" t="s">
        <v>7183</v>
      </c>
      <c r="Z1040" s="338" t="s">
        <v>8034</v>
      </c>
      <c r="AA1040" s="338" t="s">
        <v>6079</v>
      </c>
      <c r="AB1040" s="338"/>
      <c r="AC1040" s="338" t="s">
        <v>7902</v>
      </c>
      <c r="AD1040" s="338"/>
      <c r="AF1040" s="502" t="str">
        <f>Table15[[#This Row],[code2]]</f>
        <v>PDA</v>
      </c>
      <c r="AG1040" s="502" t="str">
        <f>Table15[[#This Row],[code5]]</f>
        <v>ANTD</v>
      </c>
    </row>
    <row r="1041" spans="1:33">
      <c r="A1041" s="338" t="s">
        <v>6072</v>
      </c>
      <c r="B1041" s="338" t="s">
        <v>6073</v>
      </c>
      <c r="C1041" s="337">
        <v>1</v>
      </c>
      <c r="D1041" s="338" t="s">
        <v>7015</v>
      </c>
      <c r="E1041" s="338" t="s">
        <v>7016</v>
      </c>
      <c r="F1041" s="337">
        <v>1</v>
      </c>
      <c r="G1041" s="337">
        <v>1</v>
      </c>
      <c r="H1041" s="338"/>
      <c r="I1041" s="338" t="s">
        <v>9555</v>
      </c>
      <c r="J1041" s="338" t="s">
        <v>9556</v>
      </c>
      <c r="K1041" s="338" t="s">
        <v>7017</v>
      </c>
      <c r="L1041" s="338" t="s">
        <v>7018</v>
      </c>
      <c r="M1041" s="338" t="s">
        <v>7319</v>
      </c>
      <c r="N1041" s="338" t="s">
        <v>7320</v>
      </c>
      <c r="O1041" s="337">
        <v>1</v>
      </c>
      <c r="P1041" s="337">
        <v>1</v>
      </c>
      <c r="Q1041" s="338"/>
      <c r="R1041" s="338" t="s">
        <v>14</v>
      </c>
      <c r="S1041" s="338"/>
      <c r="T1041" s="338" t="s">
        <v>9110</v>
      </c>
      <c r="U1041" s="338" t="s">
        <v>7321</v>
      </c>
      <c r="V1041" s="337">
        <v>1</v>
      </c>
      <c r="W1041" s="337">
        <v>1</v>
      </c>
      <c r="X1041" s="338"/>
      <c r="Y1041" s="338" t="s">
        <v>6318</v>
      </c>
      <c r="Z1041" s="338" t="s">
        <v>7147</v>
      </c>
      <c r="AA1041" s="338" t="s">
        <v>6079</v>
      </c>
      <c r="AB1041" s="338"/>
      <c r="AC1041" s="338" t="s">
        <v>7322</v>
      </c>
      <c r="AD1041" s="338"/>
      <c r="AF1041" s="502" t="str">
        <f>Table15[[#This Row],[code2]]</f>
        <v>PDA</v>
      </c>
      <c r="AG1041" s="502" t="str">
        <f>Table15[[#This Row],[code5]]</f>
        <v>AD</v>
      </c>
    </row>
    <row r="1042" spans="1:33">
      <c r="A1042" s="338" t="s">
        <v>6072</v>
      </c>
      <c r="B1042" s="338" t="s">
        <v>6073</v>
      </c>
      <c r="C1042" s="337">
        <v>1</v>
      </c>
      <c r="D1042" s="338" t="s">
        <v>7015</v>
      </c>
      <c r="E1042" s="338" t="s">
        <v>7016</v>
      </c>
      <c r="F1042" s="337">
        <v>1</v>
      </c>
      <c r="G1042" s="337">
        <v>1</v>
      </c>
      <c r="H1042" s="338"/>
      <c r="I1042" s="338" t="s">
        <v>9555</v>
      </c>
      <c r="J1042" s="338" t="s">
        <v>9556</v>
      </c>
      <c r="K1042" s="338" t="s">
        <v>7017</v>
      </c>
      <c r="L1042" s="338" t="s">
        <v>7018</v>
      </c>
      <c r="M1042" s="338" t="s">
        <v>7319</v>
      </c>
      <c r="N1042" s="338" t="s">
        <v>7320</v>
      </c>
      <c r="O1042" s="337">
        <v>1</v>
      </c>
      <c r="P1042" s="337">
        <v>1</v>
      </c>
      <c r="Q1042" s="338"/>
      <c r="R1042" s="338" t="s">
        <v>14</v>
      </c>
      <c r="S1042" s="338"/>
      <c r="T1042" s="338" t="s">
        <v>9110</v>
      </c>
      <c r="U1042" s="338" t="s">
        <v>7323</v>
      </c>
      <c r="V1042" s="337">
        <v>1</v>
      </c>
      <c r="W1042" s="337">
        <v>1</v>
      </c>
      <c r="X1042" s="338"/>
      <c r="Y1042" s="338" t="s">
        <v>6318</v>
      </c>
      <c r="Z1042" s="338" t="s">
        <v>9172</v>
      </c>
      <c r="AA1042" s="338" t="s">
        <v>6079</v>
      </c>
      <c r="AB1042" s="338"/>
      <c r="AC1042" s="338" t="s">
        <v>7324</v>
      </c>
      <c r="AD1042" s="338"/>
      <c r="AF1042" s="502" t="str">
        <f>Table15[[#This Row],[code2]]</f>
        <v>PDA</v>
      </c>
      <c r="AG1042" s="502" t="str">
        <f>Table15[[#This Row],[code5]]</f>
        <v>AD</v>
      </c>
    </row>
    <row r="1043" spans="1:33">
      <c r="A1043" s="338" t="s">
        <v>6072</v>
      </c>
      <c r="B1043" s="338" t="s">
        <v>6073</v>
      </c>
      <c r="C1043" s="337">
        <v>1</v>
      </c>
      <c r="D1043" s="338" t="s">
        <v>7015</v>
      </c>
      <c r="E1043" s="338" t="s">
        <v>7016</v>
      </c>
      <c r="F1043" s="337">
        <v>1</v>
      </c>
      <c r="G1043" s="337">
        <v>1</v>
      </c>
      <c r="H1043" s="338"/>
      <c r="I1043" s="338" t="s">
        <v>9555</v>
      </c>
      <c r="J1043" s="338" t="s">
        <v>9556</v>
      </c>
      <c r="K1043" s="338" t="s">
        <v>7017</v>
      </c>
      <c r="L1043" s="338" t="s">
        <v>7018</v>
      </c>
      <c r="M1043" s="338" t="s">
        <v>7319</v>
      </c>
      <c r="N1043" s="338" t="s">
        <v>7320</v>
      </c>
      <c r="O1043" s="337">
        <v>1</v>
      </c>
      <c r="P1043" s="337">
        <v>1</v>
      </c>
      <c r="Q1043" s="338"/>
      <c r="R1043" s="338" t="s">
        <v>14</v>
      </c>
      <c r="S1043" s="338"/>
      <c r="T1043" s="338" t="s">
        <v>9110</v>
      </c>
      <c r="U1043" s="338" t="s">
        <v>7325</v>
      </c>
      <c r="V1043" s="337">
        <v>1</v>
      </c>
      <c r="W1043" s="337">
        <v>1</v>
      </c>
      <c r="X1043" s="338"/>
      <c r="Y1043" s="338" t="s">
        <v>6318</v>
      </c>
      <c r="Z1043" s="338" t="s">
        <v>9173</v>
      </c>
      <c r="AA1043" s="338" t="s">
        <v>6079</v>
      </c>
      <c r="AB1043" s="338"/>
      <c r="AC1043" s="338" t="s">
        <v>7326</v>
      </c>
      <c r="AD1043" s="338"/>
      <c r="AF1043" s="502" t="str">
        <f>Table15[[#This Row],[code2]]</f>
        <v>PDA</v>
      </c>
      <c r="AG1043" s="502" t="str">
        <f>Table15[[#This Row],[code5]]</f>
        <v>AD</v>
      </c>
    </row>
    <row r="1044" spans="1:33">
      <c r="A1044" s="338" t="s">
        <v>6072</v>
      </c>
      <c r="B1044" s="338" t="s">
        <v>6073</v>
      </c>
      <c r="C1044" s="337">
        <v>1</v>
      </c>
      <c r="D1044" s="338" t="s">
        <v>7015</v>
      </c>
      <c r="E1044" s="338" t="s">
        <v>7016</v>
      </c>
      <c r="F1044" s="337">
        <v>1</v>
      </c>
      <c r="G1044" s="337">
        <v>1</v>
      </c>
      <c r="H1044" s="338"/>
      <c r="I1044" s="338" t="s">
        <v>9555</v>
      </c>
      <c r="J1044" s="338" t="s">
        <v>9556</v>
      </c>
      <c r="K1044" s="338" t="s">
        <v>7017</v>
      </c>
      <c r="L1044" s="338" t="s">
        <v>7018</v>
      </c>
      <c r="M1044" s="338" t="s">
        <v>7327</v>
      </c>
      <c r="N1044" s="338" t="s">
        <v>7328</v>
      </c>
      <c r="O1044" s="337">
        <v>0</v>
      </c>
      <c r="P1044" s="337">
        <v>1</v>
      </c>
      <c r="Q1044" s="338"/>
      <c r="R1044" s="338" t="s">
        <v>14</v>
      </c>
      <c r="S1044" s="338"/>
      <c r="T1044" s="338" t="s">
        <v>9111</v>
      </c>
      <c r="U1044" s="338" t="s">
        <v>7329</v>
      </c>
      <c r="V1044" s="337">
        <v>0</v>
      </c>
      <c r="W1044" s="337">
        <v>1</v>
      </c>
      <c r="X1044" s="338"/>
      <c r="Y1044" s="338" t="s">
        <v>6318</v>
      </c>
      <c r="Z1044" s="338" t="s">
        <v>7147</v>
      </c>
      <c r="AA1044" s="338" t="s">
        <v>6079</v>
      </c>
      <c r="AB1044" s="338"/>
      <c r="AC1044" s="338" t="s">
        <v>7322</v>
      </c>
      <c r="AD1044" s="338"/>
      <c r="AF1044" s="502" t="str">
        <f>Table15[[#This Row],[code2]]</f>
        <v>PDA</v>
      </c>
      <c r="AG1044" s="502" t="str">
        <f>Table15[[#This Row],[code5]]</f>
        <v>APD</v>
      </c>
    </row>
    <row r="1045" spans="1:33">
      <c r="A1045" s="338" t="s">
        <v>6072</v>
      </c>
      <c r="B1045" s="338" t="s">
        <v>6073</v>
      </c>
      <c r="C1045" s="337">
        <v>1</v>
      </c>
      <c r="D1045" s="338" t="s">
        <v>7015</v>
      </c>
      <c r="E1045" s="338" t="s">
        <v>7016</v>
      </c>
      <c r="F1045" s="337">
        <v>1</v>
      </c>
      <c r="G1045" s="337">
        <v>1</v>
      </c>
      <c r="H1045" s="338"/>
      <c r="I1045" s="338" t="s">
        <v>9555</v>
      </c>
      <c r="J1045" s="338" t="s">
        <v>9556</v>
      </c>
      <c r="K1045" s="338" t="s">
        <v>7017</v>
      </c>
      <c r="L1045" s="338" t="s">
        <v>7018</v>
      </c>
      <c r="M1045" s="338" t="s">
        <v>7327</v>
      </c>
      <c r="N1045" s="338" t="s">
        <v>7328</v>
      </c>
      <c r="O1045" s="337">
        <v>0</v>
      </c>
      <c r="P1045" s="337">
        <v>1</v>
      </c>
      <c r="Q1045" s="338"/>
      <c r="R1045" s="338" t="s">
        <v>14</v>
      </c>
      <c r="S1045" s="338"/>
      <c r="T1045" s="338" t="s">
        <v>9111</v>
      </c>
      <c r="U1045" s="338" t="s">
        <v>7330</v>
      </c>
      <c r="V1045" s="337">
        <v>0</v>
      </c>
      <c r="W1045" s="337">
        <v>1</v>
      </c>
      <c r="X1045" s="338"/>
      <c r="Y1045" s="338" t="s">
        <v>6318</v>
      </c>
      <c r="Z1045" s="338" t="s">
        <v>9172</v>
      </c>
      <c r="AA1045" s="338" t="s">
        <v>6079</v>
      </c>
      <c r="AB1045" s="338"/>
      <c r="AC1045" s="338" t="s">
        <v>7324</v>
      </c>
      <c r="AD1045" s="338"/>
      <c r="AF1045" s="502" t="str">
        <f>Table15[[#This Row],[code2]]</f>
        <v>PDA</v>
      </c>
      <c r="AG1045" s="502" t="str">
        <f>Table15[[#This Row],[code5]]</f>
        <v>APD</v>
      </c>
    </row>
    <row r="1046" spans="1:33">
      <c r="A1046" s="338" t="s">
        <v>6072</v>
      </c>
      <c r="B1046" s="338" t="s">
        <v>6073</v>
      </c>
      <c r="C1046" s="337">
        <v>1</v>
      </c>
      <c r="D1046" s="338" t="s">
        <v>7015</v>
      </c>
      <c r="E1046" s="338" t="s">
        <v>7016</v>
      </c>
      <c r="F1046" s="337">
        <v>1</v>
      </c>
      <c r="G1046" s="337">
        <v>1</v>
      </c>
      <c r="H1046" s="338"/>
      <c r="I1046" s="338" t="s">
        <v>9555</v>
      </c>
      <c r="J1046" s="338" t="s">
        <v>9556</v>
      </c>
      <c r="K1046" s="338" t="s">
        <v>7017</v>
      </c>
      <c r="L1046" s="338" t="s">
        <v>7018</v>
      </c>
      <c r="M1046" s="338" t="s">
        <v>7327</v>
      </c>
      <c r="N1046" s="338" t="s">
        <v>7328</v>
      </c>
      <c r="O1046" s="337">
        <v>0</v>
      </c>
      <c r="P1046" s="337">
        <v>1</v>
      </c>
      <c r="Q1046" s="338"/>
      <c r="R1046" s="338" t="s">
        <v>14</v>
      </c>
      <c r="S1046" s="338"/>
      <c r="T1046" s="338" t="s">
        <v>9111</v>
      </c>
      <c r="U1046" s="338" t="s">
        <v>7331</v>
      </c>
      <c r="V1046" s="337">
        <v>0</v>
      </c>
      <c r="W1046" s="337">
        <v>1</v>
      </c>
      <c r="X1046" s="338"/>
      <c r="Y1046" s="338" t="s">
        <v>6318</v>
      </c>
      <c r="Z1046" s="338" t="s">
        <v>9173</v>
      </c>
      <c r="AA1046" s="338" t="s">
        <v>6079</v>
      </c>
      <c r="AB1046" s="338"/>
      <c r="AC1046" s="338" t="s">
        <v>7326</v>
      </c>
      <c r="AD1046" s="338"/>
      <c r="AF1046" s="502" t="str">
        <f>Table15[[#This Row],[code2]]</f>
        <v>PDA</v>
      </c>
      <c r="AG1046" s="502" t="str">
        <f>Table15[[#This Row],[code5]]</f>
        <v>APD</v>
      </c>
    </row>
    <row r="1047" spans="1:33">
      <c r="A1047" s="338" t="s">
        <v>6072</v>
      </c>
      <c r="B1047" s="338" t="s">
        <v>6073</v>
      </c>
      <c r="C1047" s="337">
        <v>1</v>
      </c>
      <c r="D1047" s="338" t="s">
        <v>7015</v>
      </c>
      <c r="E1047" s="338" t="s">
        <v>7016</v>
      </c>
      <c r="F1047" s="337">
        <v>1</v>
      </c>
      <c r="G1047" s="337">
        <v>1</v>
      </c>
      <c r="H1047" s="338"/>
      <c r="I1047" s="338" t="s">
        <v>9555</v>
      </c>
      <c r="J1047" s="338" t="s">
        <v>9556</v>
      </c>
      <c r="K1047" s="338" t="s">
        <v>7017</v>
      </c>
      <c r="L1047" s="338" t="s">
        <v>7018</v>
      </c>
      <c r="M1047" s="338" t="s">
        <v>7332</v>
      </c>
      <c r="N1047" s="338" t="s">
        <v>7333</v>
      </c>
      <c r="O1047" s="337">
        <v>0</v>
      </c>
      <c r="P1047" s="337">
        <v>0</v>
      </c>
      <c r="Q1047" s="338"/>
      <c r="R1047" s="338" t="s">
        <v>14</v>
      </c>
      <c r="S1047" s="338"/>
      <c r="T1047" s="338"/>
      <c r="U1047" s="338" t="s">
        <v>7334</v>
      </c>
      <c r="V1047" s="337">
        <v>0</v>
      </c>
      <c r="W1047" s="337">
        <v>0</v>
      </c>
      <c r="X1047" s="338"/>
      <c r="Y1047" s="338" t="s">
        <v>6318</v>
      </c>
      <c r="Z1047" s="338" t="s">
        <v>6164</v>
      </c>
      <c r="AA1047" s="338" t="s">
        <v>6079</v>
      </c>
      <c r="AB1047" s="338"/>
      <c r="AC1047" s="338" t="s">
        <v>7335</v>
      </c>
      <c r="AD1047" s="338"/>
      <c r="AF1047" s="502" t="str">
        <f>Table15[[#This Row],[code2]]</f>
        <v>PDA</v>
      </c>
      <c r="AG1047" s="502" t="str">
        <f>Table15[[#This Row],[code5]]</f>
        <v>GAD</v>
      </c>
    </row>
    <row r="1048" spans="1:33">
      <c r="A1048" s="338" t="s">
        <v>6072</v>
      </c>
      <c r="B1048" s="338" t="s">
        <v>6073</v>
      </c>
      <c r="C1048" s="337">
        <v>1</v>
      </c>
      <c r="D1048" s="338" t="s">
        <v>7015</v>
      </c>
      <c r="E1048" s="338" t="s">
        <v>7016</v>
      </c>
      <c r="F1048" s="337">
        <v>1</v>
      </c>
      <c r="G1048" s="337">
        <v>1</v>
      </c>
      <c r="H1048" s="338"/>
      <c r="I1048" s="338" t="s">
        <v>9555</v>
      </c>
      <c r="J1048" s="338" t="s">
        <v>9556</v>
      </c>
      <c r="K1048" s="338" t="s">
        <v>7017</v>
      </c>
      <c r="L1048" s="338" t="s">
        <v>7018</v>
      </c>
      <c r="M1048" s="338" t="s">
        <v>7332</v>
      </c>
      <c r="N1048" s="338" t="s">
        <v>7333</v>
      </c>
      <c r="O1048" s="337">
        <v>0</v>
      </c>
      <c r="P1048" s="337">
        <v>0</v>
      </c>
      <c r="Q1048" s="338"/>
      <c r="R1048" s="338" t="s">
        <v>14</v>
      </c>
      <c r="S1048" s="338"/>
      <c r="T1048" s="338"/>
      <c r="U1048" s="338" t="s">
        <v>7336</v>
      </c>
      <c r="V1048" s="337">
        <v>0</v>
      </c>
      <c r="W1048" s="337">
        <v>0</v>
      </c>
      <c r="X1048" s="338"/>
      <c r="Y1048" s="338" t="s">
        <v>6318</v>
      </c>
      <c r="Z1048" s="338" t="s">
        <v>7337</v>
      </c>
      <c r="AA1048" s="338" t="s">
        <v>6079</v>
      </c>
      <c r="AB1048" s="338"/>
      <c r="AC1048" s="338" t="s">
        <v>7338</v>
      </c>
      <c r="AD1048" s="338"/>
      <c r="AF1048" s="502" t="str">
        <f>Table15[[#This Row],[code2]]</f>
        <v>PDA</v>
      </c>
      <c r="AG1048" s="502" t="str">
        <f>Table15[[#This Row],[code5]]</f>
        <v>GAD</v>
      </c>
    </row>
    <row r="1049" spans="1:33">
      <c r="A1049" s="338" t="s">
        <v>6072</v>
      </c>
      <c r="B1049" s="338" t="s">
        <v>6073</v>
      </c>
      <c r="C1049" s="337">
        <v>1</v>
      </c>
      <c r="D1049" s="338" t="s">
        <v>7015</v>
      </c>
      <c r="E1049" s="338" t="s">
        <v>7016</v>
      </c>
      <c r="F1049" s="337">
        <v>1</v>
      </c>
      <c r="G1049" s="337">
        <v>1</v>
      </c>
      <c r="H1049" s="338"/>
      <c r="I1049" s="338" t="s">
        <v>9555</v>
      </c>
      <c r="J1049" s="338" t="s">
        <v>9556</v>
      </c>
      <c r="K1049" s="338" t="s">
        <v>7017</v>
      </c>
      <c r="L1049" s="338" t="s">
        <v>7018</v>
      </c>
      <c r="M1049" s="338" t="s">
        <v>7339</v>
      </c>
      <c r="N1049" s="338" t="s">
        <v>7340</v>
      </c>
      <c r="O1049" s="337">
        <v>0</v>
      </c>
      <c r="P1049" s="337">
        <v>0</v>
      </c>
      <c r="Q1049" s="338"/>
      <c r="R1049" s="338" t="s">
        <v>14</v>
      </c>
      <c r="S1049" s="338"/>
      <c r="T1049" s="338"/>
      <c r="U1049" s="338" t="s">
        <v>7341</v>
      </c>
      <c r="V1049" s="337">
        <v>0</v>
      </c>
      <c r="W1049" s="337">
        <v>0</v>
      </c>
      <c r="X1049" s="338"/>
      <c r="Y1049" s="338" t="s">
        <v>6318</v>
      </c>
      <c r="Z1049" s="338" t="s">
        <v>6164</v>
      </c>
      <c r="AA1049" s="338" t="s">
        <v>6079</v>
      </c>
      <c r="AB1049" s="338"/>
      <c r="AC1049" s="338" t="s">
        <v>7335</v>
      </c>
      <c r="AD1049" s="338"/>
      <c r="AF1049" s="502" t="str">
        <f>Table15[[#This Row],[code2]]</f>
        <v>PDA</v>
      </c>
      <c r="AG1049" s="502" t="str">
        <f>Table15[[#This Row],[code5]]</f>
        <v>ECU</v>
      </c>
    </row>
    <row r="1050" spans="1:33">
      <c r="A1050" s="338" t="s">
        <v>6072</v>
      </c>
      <c r="B1050" s="338" t="s">
        <v>6073</v>
      </c>
      <c r="C1050" s="337">
        <v>1</v>
      </c>
      <c r="D1050" s="338" t="s">
        <v>7015</v>
      </c>
      <c r="E1050" s="338" t="s">
        <v>7016</v>
      </c>
      <c r="F1050" s="337">
        <v>1</v>
      </c>
      <c r="G1050" s="337">
        <v>1</v>
      </c>
      <c r="H1050" s="338"/>
      <c r="I1050" s="338" t="s">
        <v>9555</v>
      </c>
      <c r="J1050" s="338" t="s">
        <v>9556</v>
      </c>
      <c r="K1050" s="338" t="s">
        <v>7017</v>
      </c>
      <c r="L1050" s="338" t="s">
        <v>7018</v>
      </c>
      <c r="M1050" s="338" t="s">
        <v>7339</v>
      </c>
      <c r="N1050" s="338" t="s">
        <v>7340</v>
      </c>
      <c r="O1050" s="337">
        <v>0</v>
      </c>
      <c r="P1050" s="337">
        <v>0</v>
      </c>
      <c r="Q1050" s="338"/>
      <c r="R1050" s="338" t="s">
        <v>14</v>
      </c>
      <c r="S1050" s="338"/>
      <c r="T1050" s="338"/>
      <c r="U1050" s="338" t="s">
        <v>7342</v>
      </c>
      <c r="V1050" s="337">
        <v>0</v>
      </c>
      <c r="W1050" s="337">
        <v>0</v>
      </c>
      <c r="X1050" s="338"/>
      <c r="Y1050" s="338" t="s">
        <v>6318</v>
      </c>
      <c r="Z1050" s="338" t="s">
        <v>7337</v>
      </c>
      <c r="AA1050" s="338" t="s">
        <v>6079</v>
      </c>
      <c r="AB1050" s="338"/>
      <c r="AC1050" s="338" t="s">
        <v>7343</v>
      </c>
      <c r="AD1050" s="338"/>
      <c r="AF1050" s="502" t="str">
        <f>Table15[[#This Row],[code2]]</f>
        <v>PDA</v>
      </c>
      <c r="AG1050" s="502" t="str">
        <f>Table15[[#This Row],[code5]]</f>
        <v>ECU</v>
      </c>
    </row>
    <row r="1051" spans="1:33">
      <c r="A1051" s="338" t="s">
        <v>6072</v>
      </c>
      <c r="B1051" s="338" t="s">
        <v>6073</v>
      </c>
      <c r="C1051" s="337">
        <v>1</v>
      </c>
      <c r="D1051" s="338" t="s">
        <v>7015</v>
      </c>
      <c r="E1051" s="338" t="s">
        <v>7016</v>
      </c>
      <c r="F1051" s="337">
        <v>1</v>
      </c>
      <c r="G1051" s="337">
        <v>1</v>
      </c>
      <c r="H1051" s="338"/>
      <c r="I1051" s="338" t="s">
        <v>9555</v>
      </c>
      <c r="J1051" s="338" t="s">
        <v>9556</v>
      </c>
      <c r="K1051" s="338" t="s">
        <v>7017</v>
      </c>
      <c r="L1051" s="338" t="s">
        <v>7018</v>
      </c>
      <c r="M1051" s="338" t="s">
        <v>7344</v>
      </c>
      <c r="N1051" s="338" t="s">
        <v>7345</v>
      </c>
      <c r="O1051" s="337">
        <v>0</v>
      </c>
      <c r="P1051" s="337">
        <v>0</v>
      </c>
      <c r="Q1051" s="338"/>
      <c r="R1051" s="338" t="s">
        <v>14</v>
      </c>
      <c r="S1051" s="338"/>
      <c r="T1051" s="338"/>
      <c r="U1051" s="338" t="s">
        <v>7346</v>
      </c>
      <c r="V1051" s="337">
        <v>0</v>
      </c>
      <c r="W1051" s="337">
        <v>0</v>
      </c>
      <c r="X1051" s="338"/>
      <c r="Y1051" s="338" t="s">
        <v>6318</v>
      </c>
      <c r="Z1051" s="338" t="s">
        <v>6164</v>
      </c>
      <c r="AA1051" s="338" t="s">
        <v>6079</v>
      </c>
      <c r="AB1051" s="338"/>
      <c r="AC1051" s="338" t="s">
        <v>7335</v>
      </c>
      <c r="AD1051" s="338"/>
      <c r="AF1051" s="502" t="str">
        <f>Table15[[#This Row],[code2]]</f>
        <v>PDA</v>
      </c>
      <c r="AG1051" s="502" t="str">
        <f>Table15[[#This Row],[code5]]</f>
        <v>BEA</v>
      </c>
    </row>
    <row r="1052" spans="1:33">
      <c r="A1052" s="338" t="s">
        <v>6072</v>
      </c>
      <c r="B1052" s="338" t="s">
        <v>6073</v>
      </c>
      <c r="C1052" s="337">
        <v>1</v>
      </c>
      <c r="D1052" s="338" t="s">
        <v>7015</v>
      </c>
      <c r="E1052" s="338" t="s">
        <v>7016</v>
      </c>
      <c r="F1052" s="337">
        <v>1</v>
      </c>
      <c r="G1052" s="337">
        <v>1</v>
      </c>
      <c r="H1052" s="338"/>
      <c r="I1052" s="338" t="s">
        <v>9555</v>
      </c>
      <c r="J1052" s="338" t="s">
        <v>9556</v>
      </c>
      <c r="K1052" s="338" t="s">
        <v>7017</v>
      </c>
      <c r="L1052" s="338" t="s">
        <v>7018</v>
      </c>
      <c r="M1052" s="338" t="s">
        <v>7344</v>
      </c>
      <c r="N1052" s="338" t="s">
        <v>7345</v>
      </c>
      <c r="O1052" s="337">
        <v>0</v>
      </c>
      <c r="P1052" s="337">
        <v>0</v>
      </c>
      <c r="Q1052" s="338"/>
      <c r="R1052" s="338" t="s">
        <v>14</v>
      </c>
      <c r="S1052" s="338"/>
      <c r="T1052" s="338"/>
      <c r="U1052" s="338" t="s">
        <v>7347</v>
      </c>
      <c r="V1052" s="337">
        <v>0</v>
      </c>
      <c r="W1052" s="337">
        <v>0</v>
      </c>
      <c r="X1052" s="338"/>
      <c r="Y1052" s="338" t="s">
        <v>6318</v>
      </c>
      <c r="Z1052" s="338" t="s">
        <v>7337</v>
      </c>
      <c r="AA1052" s="338" t="s">
        <v>6079</v>
      </c>
      <c r="AB1052" s="338"/>
      <c r="AC1052" s="338" t="s">
        <v>7343</v>
      </c>
      <c r="AD1052" s="338"/>
      <c r="AF1052" s="502" t="str">
        <f>Table15[[#This Row],[code2]]</f>
        <v>PDA</v>
      </c>
      <c r="AG1052" s="502" t="str">
        <f>Table15[[#This Row],[code5]]</f>
        <v>BEA</v>
      </c>
    </row>
    <row r="1053" spans="1:33">
      <c r="A1053" s="338" t="s">
        <v>6072</v>
      </c>
      <c r="B1053" s="338" t="s">
        <v>6073</v>
      </c>
      <c r="C1053" s="337">
        <v>1</v>
      </c>
      <c r="D1053" s="338" t="s">
        <v>7015</v>
      </c>
      <c r="E1053" s="338" t="s">
        <v>7016</v>
      </c>
      <c r="F1053" s="337">
        <v>1</v>
      </c>
      <c r="G1053" s="337">
        <v>1</v>
      </c>
      <c r="H1053" s="338"/>
      <c r="I1053" s="338" t="s">
        <v>9555</v>
      </c>
      <c r="J1053" s="338" t="s">
        <v>9556</v>
      </c>
      <c r="K1053" s="338" t="s">
        <v>7017</v>
      </c>
      <c r="L1053" s="338" t="s">
        <v>7018</v>
      </c>
      <c r="M1053" s="338" t="s">
        <v>7348</v>
      </c>
      <c r="N1053" s="338" t="s">
        <v>7349</v>
      </c>
      <c r="O1053" s="337">
        <v>1</v>
      </c>
      <c r="P1053" s="337">
        <v>1</v>
      </c>
      <c r="Q1053" s="338"/>
      <c r="R1053" s="338" t="s">
        <v>14</v>
      </c>
      <c r="S1053" s="338"/>
      <c r="T1053" s="338" t="s">
        <v>7350</v>
      </c>
      <c r="U1053" s="338" t="s">
        <v>7351</v>
      </c>
      <c r="V1053" s="337">
        <v>1</v>
      </c>
      <c r="W1053" s="337">
        <v>1</v>
      </c>
      <c r="X1053" s="338"/>
      <c r="Y1053" s="338" t="s">
        <v>6318</v>
      </c>
      <c r="Z1053" s="338" t="s">
        <v>6164</v>
      </c>
      <c r="AA1053" s="338" t="s">
        <v>6079</v>
      </c>
      <c r="AB1053" s="338"/>
      <c r="AC1053" s="338" t="s">
        <v>7166</v>
      </c>
      <c r="AD1053" s="338"/>
      <c r="AF1053" s="502" t="str">
        <f>Table15[[#This Row],[code2]]</f>
        <v>PDA</v>
      </c>
      <c r="AG1053" s="502" t="str">
        <f>Table15[[#This Row],[code5]]</f>
        <v>SMSF</v>
      </c>
    </row>
    <row r="1054" spans="1:33">
      <c r="A1054" s="338" t="s">
        <v>6072</v>
      </c>
      <c r="B1054" s="338" t="s">
        <v>6073</v>
      </c>
      <c r="C1054" s="337">
        <v>1</v>
      </c>
      <c r="D1054" s="338" t="s">
        <v>7015</v>
      </c>
      <c r="E1054" s="338" t="s">
        <v>7016</v>
      </c>
      <c r="F1054" s="337">
        <v>1</v>
      </c>
      <c r="G1054" s="337">
        <v>1</v>
      </c>
      <c r="H1054" s="338"/>
      <c r="I1054" s="338" t="s">
        <v>9555</v>
      </c>
      <c r="J1054" s="338" t="s">
        <v>9556</v>
      </c>
      <c r="K1054" s="338" t="s">
        <v>7017</v>
      </c>
      <c r="L1054" s="338" t="s">
        <v>7018</v>
      </c>
      <c r="M1054" s="338" t="s">
        <v>7348</v>
      </c>
      <c r="N1054" s="338" t="s">
        <v>7349</v>
      </c>
      <c r="O1054" s="337">
        <v>1</v>
      </c>
      <c r="P1054" s="337">
        <v>1</v>
      </c>
      <c r="Q1054" s="338"/>
      <c r="R1054" s="338" t="s">
        <v>14</v>
      </c>
      <c r="S1054" s="338"/>
      <c r="T1054" s="338" t="s">
        <v>7350</v>
      </c>
      <c r="U1054" s="338" t="s">
        <v>7352</v>
      </c>
      <c r="V1054" s="337">
        <v>1</v>
      </c>
      <c r="W1054" s="337">
        <v>1</v>
      </c>
      <c r="X1054" s="338"/>
      <c r="Y1054" s="338" t="s">
        <v>6318</v>
      </c>
      <c r="Z1054" s="338" t="s">
        <v>9174</v>
      </c>
      <c r="AA1054" s="338" t="s">
        <v>6079</v>
      </c>
      <c r="AB1054" s="338"/>
      <c r="AC1054" s="338" t="s">
        <v>7353</v>
      </c>
      <c r="AD1054" s="338"/>
      <c r="AF1054" s="502" t="str">
        <f>Table15[[#This Row],[code2]]</f>
        <v>PDA</v>
      </c>
      <c r="AG1054" s="502" t="str">
        <f>Table15[[#This Row],[code5]]</f>
        <v>SMSF</v>
      </c>
    </row>
    <row r="1055" spans="1:33">
      <c r="A1055" s="338" t="s">
        <v>6072</v>
      </c>
      <c r="B1055" s="338" t="s">
        <v>6073</v>
      </c>
      <c r="C1055" s="337">
        <v>1</v>
      </c>
      <c r="D1055" s="338" t="s">
        <v>7015</v>
      </c>
      <c r="E1055" s="338" t="s">
        <v>7016</v>
      </c>
      <c r="F1055" s="337">
        <v>1</v>
      </c>
      <c r="G1055" s="337">
        <v>1</v>
      </c>
      <c r="H1055" s="338"/>
      <c r="I1055" s="338" t="s">
        <v>9555</v>
      </c>
      <c r="J1055" s="338" t="s">
        <v>9556</v>
      </c>
      <c r="K1055" s="338" t="s">
        <v>7017</v>
      </c>
      <c r="L1055" s="338" t="s">
        <v>7018</v>
      </c>
      <c r="M1055" s="338" t="s">
        <v>7354</v>
      </c>
      <c r="N1055" s="338" t="s">
        <v>7355</v>
      </c>
      <c r="O1055" s="337">
        <v>1</v>
      </c>
      <c r="P1055" s="337">
        <v>1</v>
      </c>
      <c r="Q1055" s="338"/>
      <c r="R1055" s="338"/>
      <c r="S1055" s="338"/>
      <c r="T1055" s="338" t="s">
        <v>7356</v>
      </c>
      <c r="U1055" s="338" t="s">
        <v>7357</v>
      </c>
      <c r="V1055" s="337">
        <v>1</v>
      </c>
      <c r="W1055" s="337">
        <v>1</v>
      </c>
      <c r="X1055" s="338"/>
      <c r="Y1055" s="338" t="s">
        <v>6318</v>
      </c>
      <c r="Z1055" s="338" t="s">
        <v>9171</v>
      </c>
      <c r="AA1055" s="338" t="s">
        <v>6079</v>
      </c>
      <c r="AB1055" s="338"/>
      <c r="AC1055" s="338"/>
      <c r="AD1055" s="338"/>
      <c r="AF1055" s="502" t="str">
        <f>Table15[[#This Row],[code2]]</f>
        <v>PDA</v>
      </c>
      <c r="AG1055" s="502" t="str">
        <f>Table15[[#This Row],[code5]]</f>
        <v>V2B</v>
      </c>
    </row>
    <row r="1056" spans="1:33">
      <c r="A1056" s="338" t="s">
        <v>6072</v>
      </c>
      <c r="B1056" s="338" t="s">
        <v>6073</v>
      </c>
      <c r="C1056" s="337">
        <v>1</v>
      </c>
      <c r="D1056" s="338" t="s">
        <v>7358</v>
      </c>
      <c r="E1056" s="338" t="s">
        <v>7359</v>
      </c>
      <c r="F1056" s="337">
        <v>1</v>
      </c>
      <c r="G1056" s="337">
        <v>1</v>
      </c>
      <c r="H1056" s="338"/>
      <c r="I1056" s="338" t="s">
        <v>8862</v>
      </c>
      <c r="J1056" s="338" t="s">
        <v>8863</v>
      </c>
      <c r="K1056" s="338" t="s">
        <v>7360</v>
      </c>
      <c r="L1056" s="338"/>
      <c r="M1056" s="338" t="s">
        <v>7361</v>
      </c>
      <c r="N1056" s="338" t="s">
        <v>7362</v>
      </c>
      <c r="O1056" s="337">
        <v>1</v>
      </c>
      <c r="P1056" s="337">
        <v>1</v>
      </c>
      <c r="Q1056" s="338"/>
      <c r="R1056" s="338"/>
      <c r="S1056" s="338"/>
      <c r="T1056" s="338" t="s">
        <v>7363</v>
      </c>
      <c r="U1056" s="338" t="s">
        <v>7364</v>
      </c>
      <c r="V1056" s="337">
        <v>1</v>
      </c>
      <c r="W1056" s="337">
        <v>1</v>
      </c>
      <c r="X1056" s="338"/>
      <c r="Y1056" s="338" t="s">
        <v>7365</v>
      </c>
      <c r="Z1056" s="338" t="s">
        <v>8685</v>
      </c>
      <c r="AA1056" s="338" t="s">
        <v>6079</v>
      </c>
      <c r="AB1056" s="338"/>
      <c r="AC1056" s="338"/>
      <c r="AD1056" s="338"/>
      <c r="AF1056" s="502" t="str">
        <f>Table15[[#This Row],[code2]]</f>
        <v>PCC</v>
      </c>
      <c r="AG1056" s="502" t="str">
        <f>Table15[[#This Row],[code5]]</f>
        <v>ALRM</v>
      </c>
    </row>
    <row r="1057" spans="1:33">
      <c r="A1057" s="338" t="s">
        <v>6072</v>
      </c>
      <c r="B1057" s="338" t="s">
        <v>6073</v>
      </c>
      <c r="C1057" s="337">
        <v>1</v>
      </c>
      <c r="D1057" s="338" t="s">
        <v>7358</v>
      </c>
      <c r="E1057" s="338" t="s">
        <v>7359</v>
      </c>
      <c r="F1057" s="337">
        <v>1</v>
      </c>
      <c r="G1057" s="337">
        <v>1</v>
      </c>
      <c r="H1057" s="338"/>
      <c r="I1057" s="338" t="s">
        <v>8862</v>
      </c>
      <c r="J1057" s="338" t="s">
        <v>8863</v>
      </c>
      <c r="K1057" s="338" t="s">
        <v>7360</v>
      </c>
      <c r="L1057" s="338"/>
      <c r="M1057" s="338" t="s">
        <v>7361</v>
      </c>
      <c r="N1057" s="338" t="s">
        <v>7362</v>
      </c>
      <c r="O1057" s="337">
        <v>1</v>
      </c>
      <c r="P1057" s="337">
        <v>1</v>
      </c>
      <c r="Q1057" s="338"/>
      <c r="R1057" s="338"/>
      <c r="S1057" s="338"/>
      <c r="T1057" s="338" t="s">
        <v>7363</v>
      </c>
      <c r="U1057" s="338" t="s">
        <v>7366</v>
      </c>
      <c r="V1057" s="337">
        <v>1</v>
      </c>
      <c r="W1057" s="337">
        <v>1</v>
      </c>
      <c r="X1057" s="338"/>
      <c r="Y1057" s="338" t="s">
        <v>7367</v>
      </c>
      <c r="Z1057" s="338" t="s">
        <v>8686</v>
      </c>
      <c r="AA1057" s="338" t="s">
        <v>6079</v>
      </c>
      <c r="AB1057" s="338"/>
      <c r="AC1057" s="338"/>
      <c r="AD1057" s="338"/>
      <c r="AF1057" s="502" t="str">
        <f>Table15[[#This Row],[code2]]</f>
        <v>PCC</v>
      </c>
      <c r="AG1057" s="502" t="str">
        <f>Table15[[#This Row],[code5]]</f>
        <v>ALRM</v>
      </c>
    </row>
    <row r="1058" spans="1:33">
      <c r="A1058" s="338" t="s">
        <v>6072</v>
      </c>
      <c r="B1058" s="338" t="s">
        <v>6073</v>
      </c>
      <c r="C1058" s="337">
        <v>1</v>
      </c>
      <c r="D1058" s="338" t="s">
        <v>7358</v>
      </c>
      <c r="E1058" s="338" t="s">
        <v>7359</v>
      </c>
      <c r="F1058" s="337">
        <v>1</v>
      </c>
      <c r="G1058" s="337">
        <v>1</v>
      </c>
      <c r="H1058" s="338"/>
      <c r="I1058" s="338" t="s">
        <v>8862</v>
      </c>
      <c r="J1058" s="338" t="s">
        <v>8863</v>
      </c>
      <c r="K1058" s="338" t="s">
        <v>7360</v>
      </c>
      <c r="L1058" s="338"/>
      <c r="M1058" s="338" t="s">
        <v>7361</v>
      </c>
      <c r="N1058" s="338" t="s">
        <v>7362</v>
      </c>
      <c r="O1058" s="337">
        <v>1</v>
      </c>
      <c r="P1058" s="337">
        <v>1</v>
      </c>
      <c r="Q1058" s="338"/>
      <c r="R1058" s="338"/>
      <c r="S1058" s="338"/>
      <c r="T1058" s="338" t="s">
        <v>7363</v>
      </c>
      <c r="U1058" s="338" t="s">
        <v>7369</v>
      </c>
      <c r="V1058" s="337">
        <v>1</v>
      </c>
      <c r="W1058" s="337">
        <v>1</v>
      </c>
      <c r="X1058" s="338"/>
      <c r="Y1058" s="338" t="s">
        <v>7370</v>
      </c>
      <c r="Z1058" s="338" t="s">
        <v>8686</v>
      </c>
      <c r="AA1058" s="338" t="s">
        <v>6079</v>
      </c>
      <c r="AB1058" s="338"/>
      <c r="AC1058" s="338"/>
      <c r="AD1058" s="338"/>
      <c r="AF1058" s="502" t="str">
        <f>Table15[[#This Row],[code2]]</f>
        <v>PCC</v>
      </c>
      <c r="AG1058" s="502" t="str">
        <f>Table15[[#This Row],[code5]]</f>
        <v>ALRM</v>
      </c>
    </row>
    <row r="1059" spans="1:33">
      <c r="A1059" s="338" t="s">
        <v>6072</v>
      </c>
      <c r="B1059" s="338" t="s">
        <v>6073</v>
      </c>
      <c r="C1059" s="337">
        <v>1</v>
      </c>
      <c r="D1059" s="338" t="s">
        <v>7358</v>
      </c>
      <c r="E1059" s="338" t="s">
        <v>7359</v>
      </c>
      <c r="F1059" s="337">
        <v>1</v>
      </c>
      <c r="G1059" s="337">
        <v>1</v>
      </c>
      <c r="H1059" s="338"/>
      <c r="I1059" s="338" t="s">
        <v>8862</v>
      </c>
      <c r="J1059" s="338" t="s">
        <v>8863</v>
      </c>
      <c r="K1059" s="338" t="s">
        <v>7360</v>
      </c>
      <c r="L1059" s="338"/>
      <c r="M1059" s="338" t="s">
        <v>7371</v>
      </c>
      <c r="N1059" s="338" t="s">
        <v>7372</v>
      </c>
      <c r="O1059" s="337">
        <v>1</v>
      </c>
      <c r="P1059" s="337">
        <v>1</v>
      </c>
      <c r="Q1059" s="338"/>
      <c r="R1059" s="338"/>
      <c r="S1059" s="338"/>
      <c r="T1059" s="338" t="s">
        <v>7373</v>
      </c>
      <c r="U1059" s="338" t="s">
        <v>7374</v>
      </c>
      <c r="V1059" s="337">
        <v>1</v>
      </c>
      <c r="W1059" s="337">
        <v>1</v>
      </c>
      <c r="X1059" s="338"/>
      <c r="Y1059" s="338" t="s">
        <v>7365</v>
      </c>
      <c r="Z1059" s="338" t="s">
        <v>7375</v>
      </c>
      <c r="AA1059" s="338" t="s">
        <v>6079</v>
      </c>
      <c r="AB1059" s="338"/>
      <c r="AC1059" s="338"/>
      <c r="AD1059" s="338"/>
      <c r="AF1059" s="502" t="str">
        <f>Table15[[#This Row],[code2]]</f>
        <v>PCC</v>
      </c>
      <c r="AG1059" s="502" t="str">
        <f>Table15[[#This Row],[code5]]</f>
        <v>ALRP</v>
      </c>
    </row>
    <row r="1060" spans="1:33">
      <c r="A1060" s="338" t="s">
        <v>6072</v>
      </c>
      <c r="B1060" s="338" t="s">
        <v>6073</v>
      </c>
      <c r="C1060" s="337">
        <v>1</v>
      </c>
      <c r="D1060" s="338" t="s">
        <v>7358</v>
      </c>
      <c r="E1060" s="338" t="s">
        <v>7359</v>
      </c>
      <c r="F1060" s="337">
        <v>1</v>
      </c>
      <c r="G1060" s="337">
        <v>1</v>
      </c>
      <c r="H1060" s="338"/>
      <c r="I1060" s="338" t="s">
        <v>8862</v>
      </c>
      <c r="J1060" s="338" t="s">
        <v>8863</v>
      </c>
      <c r="K1060" s="338" t="s">
        <v>7360</v>
      </c>
      <c r="L1060" s="338"/>
      <c r="M1060" s="338" t="s">
        <v>7371</v>
      </c>
      <c r="N1060" s="338" t="s">
        <v>7372</v>
      </c>
      <c r="O1060" s="337">
        <v>1</v>
      </c>
      <c r="P1060" s="337">
        <v>1</v>
      </c>
      <c r="Q1060" s="338"/>
      <c r="R1060" s="338"/>
      <c r="S1060" s="338"/>
      <c r="T1060" s="338" t="s">
        <v>7373</v>
      </c>
      <c r="U1060" s="338" t="s">
        <v>7376</v>
      </c>
      <c r="V1060" s="337">
        <v>1</v>
      </c>
      <c r="W1060" s="337">
        <v>1</v>
      </c>
      <c r="X1060" s="338"/>
      <c r="Y1060" s="338" t="s">
        <v>7367</v>
      </c>
      <c r="Z1060" s="338" t="s">
        <v>7377</v>
      </c>
      <c r="AA1060" s="338" t="s">
        <v>6079</v>
      </c>
      <c r="AB1060" s="338"/>
      <c r="AC1060" s="338"/>
      <c r="AD1060" s="338"/>
      <c r="AF1060" s="502" t="str">
        <f>Table15[[#This Row],[code2]]</f>
        <v>PCC</v>
      </c>
      <c r="AG1060" s="502" t="str">
        <f>Table15[[#This Row],[code5]]</f>
        <v>ALRP</v>
      </c>
    </row>
    <row r="1061" spans="1:33">
      <c r="A1061" s="338" t="s">
        <v>6072</v>
      </c>
      <c r="B1061" s="338" t="s">
        <v>6073</v>
      </c>
      <c r="C1061" s="337">
        <v>1</v>
      </c>
      <c r="D1061" s="338" t="s">
        <v>7358</v>
      </c>
      <c r="E1061" s="338" t="s">
        <v>7359</v>
      </c>
      <c r="F1061" s="337">
        <v>1</v>
      </c>
      <c r="G1061" s="337">
        <v>1</v>
      </c>
      <c r="H1061" s="338"/>
      <c r="I1061" s="338" t="s">
        <v>8862</v>
      </c>
      <c r="J1061" s="338" t="s">
        <v>8863</v>
      </c>
      <c r="K1061" s="338" t="s">
        <v>7360</v>
      </c>
      <c r="L1061" s="338"/>
      <c r="M1061" s="338" t="s">
        <v>7371</v>
      </c>
      <c r="N1061" s="338" t="s">
        <v>7372</v>
      </c>
      <c r="O1061" s="337">
        <v>1</v>
      </c>
      <c r="P1061" s="337">
        <v>1</v>
      </c>
      <c r="Q1061" s="338"/>
      <c r="R1061" s="338"/>
      <c r="S1061" s="338"/>
      <c r="T1061" s="338" t="s">
        <v>7373</v>
      </c>
      <c r="U1061" s="338" t="s">
        <v>7378</v>
      </c>
      <c r="V1061" s="337">
        <v>1</v>
      </c>
      <c r="W1061" s="337">
        <v>1</v>
      </c>
      <c r="X1061" s="338"/>
      <c r="Y1061" s="338" t="s">
        <v>7370</v>
      </c>
      <c r="Z1061" s="338" t="s">
        <v>7377</v>
      </c>
      <c r="AA1061" s="338" t="s">
        <v>6079</v>
      </c>
      <c r="AB1061" s="338"/>
      <c r="AC1061" s="338"/>
      <c r="AD1061" s="338"/>
      <c r="AF1061" s="502" t="str">
        <f>Table15[[#This Row],[code2]]</f>
        <v>PCC</v>
      </c>
      <c r="AG1061" s="502" t="str">
        <f>Table15[[#This Row],[code5]]</f>
        <v>ALRP</v>
      </c>
    </row>
    <row r="1062" spans="1:33">
      <c r="A1062" s="338" t="s">
        <v>6072</v>
      </c>
      <c r="B1062" s="338" t="s">
        <v>6073</v>
      </c>
      <c r="C1062" s="337">
        <v>1</v>
      </c>
      <c r="D1062" s="338" t="s">
        <v>7358</v>
      </c>
      <c r="E1062" s="338" t="s">
        <v>7359</v>
      </c>
      <c r="F1062" s="337">
        <v>1</v>
      </c>
      <c r="G1062" s="337">
        <v>1</v>
      </c>
      <c r="H1062" s="338"/>
      <c r="I1062" s="338" t="s">
        <v>8862</v>
      </c>
      <c r="J1062" s="338" t="s">
        <v>8863</v>
      </c>
      <c r="K1062" s="338" t="s">
        <v>7360</v>
      </c>
      <c r="L1062" s="338"/>
      <c r="M1062" s="338" t="s">
        <v>7379</v>
      </c>
      <c r="N1062" s="338" t="s">
        <v>7380</v>
      </c>
      <c r="O1062" s="337">
        <v>1</v>
      </c>
      <c r="P1062" s="337">
        <v>1</v>
      </c>
      <c r="Q1062" s="338"/>
      <c r="R1062" s="338"/>
      <c r="S1062" s="338"/>
      <c r="T1062" s="338" t="s">
        <v>7373</v>
      </c>
      <c r="U1062" s="338" t="s">
        <v>7381</v>
      </c>
      <c r="V1062" s="337">
        <v>1</v>
      </c>
      <c r="W1062" s="337">
        <v>1</v>
      </c>
      <c r="X1062" s="338"/>
      <c r="Y1062" s="338" t="s">
        <v>7365</v>
      </c>
      <c r="Z1062" s="338" t="s">
        <v>7382</v>
      </c>
      <c r="AA1062" s="338" t="s">
        <v>6079</v>
      </c>
      <c r="AB1062" s="338"/>
      <c r="AC1062" s="338"/>
      <c r="AD1062" s="338"/>
      <c r="AF1062" s="502" t="str">
        <f>Table15[[#This Row],[code2]]</f>
        <v>PCC</v>
      </c>
      <c r="AG1062" s="502" t="str">
        <f>Table15[[#This Row],[code5]]</f>
        <v>ABV</v>
      </c>
    </row>
    <row r="1063" spans="1:33">
      <c r="A1063" s="338" t="s">
        <v>6072</v>
      </c>
      <c r="B1063" s="338" t="s">
        <v>6073</v>
      </c>
      <c r="C1063" s="337">
        <v>1</v>
      </c>
      <c r="D1063" s="338" t="s">
        <v>7358</v>
      </c>
      <c r="E1063" s="338" t="s">
        <v>7359</v>
      </c>
      <c r="F1063" s="337">
        <v>1</v>
      </c>
      <c r="G1063" s="337">
        <v>1</v>
      </c>
      <c r="H1063" s="338"/>
      <c r="I1063" s="338" t="s">
        <v>8862</v>
      </c>
      <c r="J1063" s="338" t="s">
        <v>8863</v>
      </c>
      <c r="K1063" s="338" t="s">
        <v>7360</v>
      </c>
      <c r="L1063" s="338"/>
      <c r="M1063" s="338" t="s">
        <v>7379</v>
      </c>
      <c r="N1063" s="338" t="s">
        <v>7380</v>
      </c>
      <c r="O1063" s="337">
        <v>1</v>
      </c>
      <c r="P1063" s="337">
        <v>1</v>
      </c>
      <c r="Q1063" s="338"/>
      <c r="R1063" s="338"/>
      <c r="S1063" s="338"/>
      <c r="T1063" s="338" t="s">
        <v>7373</v>
      </c>
      <c r="U1063" s="338" t="s">
        <v>7383</v>
      </c>
      <c r="V1063" s="337">
        <v>1</v>
      </c>
      <c r="W1063" s="337">
        <v>1</v>
      </c>
      <c r="X1063" s="338"/>
      <c r="Y1063" s="338" t="s">
        <v>7367</v>
      </c>
      <c r="Z1063" s="338" t="s">
        <v>7377</v>
      </c>
      <c r="AA1063" s="338" t="s">
        <v>6079</v>
      </c>
      <c r="AB1063" s="338"/>
      <c r="AC1063" s="338"/>
      <c r="AD1063" s="338"/>
      <c r="AF1063" s="502" t="str">
        <f>Table15[[#This Row],[code2]]</f>
        <v>PCC</v>
      </c>
      <c r="AG1063" s="502" t="str">
        <f>Table15[[#This Row],[code5]]</f>
        <v>ABV</v>
      </c>
    </row>
    <row r="1064" spans="1:33">
      <c r="A1064" s="338" t="s">
        <v>6072</v>
      </c>
      <c r="B1064" s="338" t="s">
        <v>6073</v>
      </c>
      <c r="C1064" s="337">
        <v>1</v>
      </c>
      <c r="D1064" s="338" t="s">
        <v>7358</v>
      </c>
      <c r="E1064" s="338" t="s">
        <v>7359</v>
      </c>
      <c r="F1064" s="337">
        <v>1</v>
      </c>
      <c r="G1064" s="337">
        <v>1</v>
      </c>
      <c r="H1064" s="338"/>
      <c r="I1064" s="338" t="s">
        <v>8862</v>
      </c>
      <c r="J1064" s="338" t="s">
        <v>8863</v>
      </c>
      <c r="K1064" s="338" t="s">
        <v>7360</v>
      </c>
      <c r="L1064" s="338"/>
      <c r="M1064" s="338" t="s">
        <v>7379</v>
      </c>
      <c r="N1064" s="338" t="s">
        <v>7380</v>
      </c>
      <c r="O1064" s="337">
        <v>1</v>
      </c>
      <c r="P1064" s="337">
        <v>1</v>
      </c>
      <c r="Q1064" s="338"/>
      <c r="R1064" s="338"/>
      <c r="S1064" s="338"/>
      <c r="T1064" s="338" t="s">
        <v>7373</v>
      </c>
      <c r="U1064" s="338" t="s">
        <v>7384</v>
      </c>
      <c r="V1064" s="337">
        <v>1</v>
      </c>
      <c r="W1064" s="337">
        <v>1</v>
      </c>
      <c r="X1064" s="338"/>
      <c r="Y1064" s="338" t="s">
        <v>7370</v>
      </c>
      <c r="Z1064" s="338" t="s">
        <v>7377</v>
      </c>
      <c r="AA1064" s="338" t="s">
        <v>6079</v>
      </c>
      <c r="AB1064" s="338"/>
      <c r="AC1064" s="338"/>
      <c r="AD1064" s="338"/>
      <c r="AF1064" s="502" t="str">
        <f>Table15[[#This Row],[code2]]</f>
        <v>PCC</v>
      </c>
      <c r="AG1064" s="502" t="str">
        <f>Table15[[#This Row],[code5]]</f>
        <v>ABV</v>
      </c>
    </row>
    <row r="1065" spans="1:33">
      <c r="A1065" s="338" t="s">
        <v>6072</v>
      </c>
      <c r="B1065" s="338" t="s">
        <v>6073</v>
      </c>
      <c r="C1065" s="337">
        <v>1</v>
      </c>
      <c r="D1065" s="338" t="s">
        <v>7358</v>
      </c>
      <c r="E1065" s="338" t="s">
        <v>7359</v>
      </c>
      <c r="F1065" s="337">
        <v>1</v>
      </c>
      <c r="G1065" s="337">
        <v>1</v>
      </c>
      <c r="H1065" s="338"/>
      <c r="I1065" s="338" t="s">
        <v>8862</v>
      </c>
      <c r="J1065" s="338" t="s">
        <v>8863</v>
      </c>
      <c r="K1065" s="338" t="s">
        <v>7360</v>
      </c>
      <c r="L1065" s="338"/>
      <c r="M1065" s="338" t="s">
        <v>7385</v>
      </c>
      <c r="N1065" s="338" t="s">
        <v>7386</v>
      </c>
      <c r="O1065" s="337">
        <v>1</v>
      </c>
      <c r="P1065" s="337">
        <v>1</v>
      </c>
      <c r="Q1065" s="338"/>
      <c r="R1065" s="338"/>
      <c r="S1065" s="338"/>
      <c r="T1065" s="338" t="s">
        <v>7373</v>
      </c>
      <c r="U1065" s="338" t="s">
        <v>7387</v>
      </c>
      <c r="V1065" s="337">
        <v>1</v>
      </c>
      <c r="W1065" s="337">
        <v>1</v>
      </c>
      <c r="X1065" s="338"/>
      <c r="Y1065" s="338" t="s">
        <v>7365</v>
      </c>
      <c r="Z1065" s="338" t="s">
        <v>7453</v>
      </c>
      <c r="AA1065" s="338" t="s">
        <v>6079</v>
      </c>
      <c r="AB1065" s="338"/>
      <c r="AC1065" s="338"/>
      <c r="AD1065" s="338"/>
      <c r="AF1065" s="502" t="str">
        <f>Table15[[#This Row],[code2]]</f>
        <v>PCC</v>
      </c>
      <c r="AG1065" s="502" t="str">
        <f>Table15[[#This Row],[code5]]</f>
        <v>AF</v>
      </c>
    </row>
    <row r="1066" spans="1:33">
      <c r="A1066" s="338" t="s">
        <v>6072</v>
      </c>
      <c r="B1066" s="338" t="s">
        <v>6073</v>
      </c>
      <c r="C1066" s="337">
        <v>1</v>
      </c>
      <c r="D1066" s="338" t="s">
        <v>7358</v>
      </c>
      <c r="E1066" s="338" t="s">
        <v>7359</v>
      </c>
      <c r="F1066" s="337">
        <v>1</v>
      </c>
      <c r="G1066" s="337">
        <v>1</v>
      </c>
      <c r="H1066" s="338"/>
      <c r="I1066" s="338" t="s">
        <v>8862</v>
      </c>
      <c r="J1066" s="338" t="s">
        <v>8863</v>
      </c>
      <c r="K1066" s="338" t="s">
        <v>7360</v>
      </c>
      <c r="L1066" s="338"/>
      <c r="M1066" s="338" t="s">
        <v>7385</v>
      </c>
      <c r="N1066" s="338" t="s">
        <v>7386</v>
      </c>
      <c r="O1066" s="337">
        <v>1</v>
      </c>
      <c r="P1066" s="337">
        <v>1</v>
      </c>
      <c r="Q1066" s="338"/>
      <c r="R1066" s="338"/>
      <c r="S1066" s="338"/>
      <c r="T1066" s="338" t="s">
        <v>7373</v>
      </c>
      <c r="U1066" s="338" t="s">
        <v>7388</v>
      </c>
      <c r="V1066" s="337">
        <v>1</v>
      </c>
      <c r="W1066" s="337">
        <v>1</v>
      </c>
      <c r="X1066" s="338"/>
      <c r="Y1066" s="338" t="s">
        <v>7367</v>
      </c>
      <c r="Z1066" s="338" t="s">
        <v>8686</v>
      </c>
      <c r="AA1066" s="338" t="s">
        <v>6079</v>
      </c>
      <c r="AB1066" s="338"/>
      <c r="AC1066" s="338"/>
      <c r="AD1066" s="338"/>
      <c r="AF1066" s="502" t="str">
        <f>Table15[[#This Row],[code2]]</f>
        <v>PCC</v>
      </c>
      <c r="AG1066" s="502" t="str">
        <f>Table15[[#This Row],[code5]]</f>
        <v>AF</v>
      </c>
    </row>
    <row r="1067" spans="1:33">
      <c r="A1067" s="338" t="s">
        <v>6072</v>
      </c>
      <c r="B1067" s="338" t="s">
        <v>6073</v>
      </c>
      <c r="C1067" s="337">
        <v>1</v>
      </c>
      <c r="D1067" s="338" t="s">
        <v>7358</v>
      </c>
      <c r="E1067" s="338" t="s">
        <v>7359</v>
      </c>
      <c r="F1067" s="337">
        <v>1</v>
      </c>
      <c r="G1067" s="337">
        <v>1</v>
      </c>
      <c r="H1067" s="338"/>
      <c r="I1067" s="338" t="s">
        <v>8862</v>
      </c>
      <c r="J1067" s="338" t="s">
        <v>8863</v>
      </c>
      <c r="K1067" s="338" t="s">
        <v>7360</v>
      </c>
      <c r="L1067" s="338"/>
      <c r="M1067" s="338" t="s">
        <v>7385</v>
      </c>
      <c r="N1067" s="338" t="s">
        <v>7386</v>
      </c>
      <c r="O1067" s="337">
        <v>1</v>
      </c>
      <c r="P1067" s="337">
        <v>1</v>
      </c>
      <c r="Q1067" s="338"/>
      <c r="R1067" s="338"/>
      <c r="S1067" s="338"/>
      <c r="T1067" s="338" t="s">
        <v>7373</v>
      </c>
      <c r="U1067" s="338" t="s">
        <v>7389</v>
      </c>
      <c r="V1067" s="337">
        <v>1</v>
      </c>
      <c r="W1067" s="337">
        <v>1</v>
      </c>
      <c r="X1067" s="338"/>
      <c r="Y1067" s="338" t="s">
        <v>7370</v>
      </c>
      <c r="Z1067" s="338" t="s">
        <v>8686</v>
      </c>
      <c r="AA1067" s="338" t="s">
        <v>6079</v>
      </c>
      <c r="AB1067" s="338"/>
      <c r="AC1067" s="338"/>
      <c r="AD1067" s="338"/>
      <c r="AF1067" s="502" t="str">
        <f>Table15[[#This Row],[code2]]</f>
        <v>PCC</v>
      </c>
      <c r="AG1067" s="502" t="str">
        <f>Table15[[#This Row],[code5]]</f>
        <v>AF</v>
      </c>
    </row>
    <row r="1068" spans="1:33">
      <c r="A1068" s="338" t="s">
        <v>6072</v>
      </c>
      <c r="B1068" s="338" t="s">
        <v>6073</v>
      </c>
      <c r="C1068" s="337">
        <v>1</v>
      </c>
      <c r="D1068" s="338" t="s">
        <v>7358</v>
      </c>
      <c r="E1068" s="338" t="s">
        <v>7359</v>
      </c>
      <c r="F1068" s="337">
        <v>1</v>
      </c>
      <c r="G1068" s="337">
        <v>1</v>
      </c>
      <c r="H1068" s="338"/>
      <c r="I1068" s="338" t="s">
        <v>8862</v>
      </c>
      <c r="J1068" s="338" t="s">
        <v>8863</v>
      </c>
      <c r="K1068" s="338" t="s">
        <v>7360</v>
      </c>
      <c r="L1068" s="338"/>
      <c r="M1068" s="338" t="s">
        <v>7390</v>
      </c>
      <c r="N1068" s="338" t="s">
        <v>4429</v>
      </c>
      <c r="O1068" s="337">
        <v>1</v>
      </c>
      <c r="P1068" s="337">
        <v>1</v>
      </c>
      <c r="Q1068" s="338"/>
      <c r="R1068" s="338"/>
      <c r="S1068" s="338"/>
      <c r="T1068" s="338" t="s">
        <v>7373</v>
      </c>
      <c r="U1068" s="338" t="s">
        <v>7391</v>
      </c>
      <c r="V1068" s="337">
        <v>1</v>
      </c>
      <c r="W1068" s="337">
        <v>1</v>
      </c>
      <c r="X1068" s="338"/>
      <c r="Y1068" s="338" t="s">
        <v>7365</v>
      </c>
      <c r="Z1068" s="338" t="s">
        <v>7453</v>
      </c>
      <c r="AA1068" s="338" t="s">
        <v>6079</v>
      </c>
      <c r="AB1068" s="338"/>
      <c r="AC1068" s="338"/>
      <c r="AD1068" s="338"/>
      <c r="AF1068" s="502" t="str">
        <f>Table15[[#This Row],[code2]]</f>
        <v>PCC</v>
      </c>
      <c r="AG1068" s="502" t="str">
        <f>Table15[[#This Row],[code5]]</f>
        <v>AP</v>
      </c>
    </row>
    <row r="1069" spans="1:33">
      <c r="A1069" s="338" t="s">
        <v>6072</v>
      </c>
      <c r="B1069" s="338" t="s">
        <v>6073</v>
      </c>
      <c r="C1069" s="337">
        <v>1</v>
      </c>
      <c r="D1069" s="338" t="s">
        <v>7358</v>
      </c>
      <c r="E1069" s="338" t="s">
        <v>7359</v>
      </c>
      <c r="F1069" s="337">
        <v>1</v>
      </c>
      <c r="G1069" s="337">
        <v>1</v>
      </c>
      <c r="H1069" s="338"/>
      <c r="I1069" s="338" t="s">
        <v>8862</v>
      </c>
      <c r="J1069" s="338" t="s">
        <v>8863</v>
      </c>
      <c r="K1069" s="338" t="s">
        <v>7360</v>
      </c>
      <c r="L1069" s="338"/>
      <c r="M1069" s="338" t="s">
        <v>7390</v>
      </c>
      <c r="N1069" s="338" t="s">
        <v>4429</v>
      </c>
      <c r="O1069" s="337">
        <v>1</v>
      </c>
      <c r="P1069" s="337">
        <v>1</v>
      </c>
      <c r="Q1069" s="338"/>
      <c r="R1069" s="338"/>
      <c r="S1069" s="338"/>
      <c r="T1069" s="338" t="s">
        <v>7373</v>
      </c>
      <c r="U1069" s="338" t="s">
        <v>7392</v>
      </c>
      <c r="V1069" s="337">
        <v>1</v>
      </c>
      <c r="W1069" s="337">
        <v>1</v>
      </c>
      <c r="X1069" s="338"/>
      <c r="Y1069" s="338" t="s">
        <v>7367</v>
      </c>
      <c r="Z1069" s="338" t="s">
        <v>8686</v>
      </c>
      <c r="AA1069" s="338" t="s">
        <v>6079</v>
      </c>
      <c r="AB1069" s="338"/>
      <c r="AC1069" s="338"/>
      <c r="AD1069" s="338"/>
      <c r="AF1069" s="502" t="str">
        <f>Table15[[#This Row],[code2]]</f>
        <v>PCC</v>
      </c>
      <c r="AG1069" s="502" t="str">
        <f>Table15[[#This Row],[code5]]</f>
        <v>AP</v>
      </c>
    </row>
    <row r="1070" spans="1:33">
      <c r="A1070" s="338" t="s">
        <v>6072</v>
      </c>
      <c r="B1070" s="338" t="s">
        <v>6073</v>
      </c>
      <c r="C1070" s="337">
        <v>1</v>
      </c>
      <c r="D1070" s="338" t="s">
        <v>7358</v>
      </c>
      <c r="E1070" s="338" t="s">
        <v>7359</v>
      </c>
      <c r="F1070" s="337">
        <v>1</v>
      </c>
      <c r="G1070" s="337">
        <v>1</v>
      </c>
      <c r="H1070" s="338"/>
      <c r="I1070" s="338" t="s">
        <v>8862</v>
      </c>
      <c r="J1070" s="338" t="s">
        <v>8863</v>
      </c>
      <c r="K1070" s="338" t="s">
        <v>7360</v>
      </c>
      <c r="L1070" s="338"/>
      <c r="M1070" s="338" t="s">
        <v>7390</v>
      </c>
      <c r="N1070" s="338" t="s">
        <v>4429</v>
      </c>
      <c r="O1070" s="337">
        <v>1</v>
      </c>
      <c r="P1070" s="337">
        <v>1</v>
      </c>
      <c r="Q1070" s="338"/>
      <c r="R1070" s="338"/>
      <c r="S1070" s="338"/>
      <c r="T1070" s="338" t="s">
        <v>7373</v>
      </c>
      <c r="U1070" s="338" t="s">
        <v>7393</v>
      </c>
      <c r="V1070" s="337">
        <v>1</v>
      </c>
      <c r="W1070" s="337">
        <v>1</v>
      </c>
      <c r="X1070" s="338"/>
      <c r="Y1070" s="338" t="s">
        <v>7370</v>
      </c>
      <c r="Z1070" s="338" t="s">
        <v>8686</v>
      </c>
      <c r="AA1070" s="338" t="s">
        <v>6079</v>
      </c>
      <c r="AB1070" s="338"/>
      <c r="AC1070" s="338"/>
      <c r="AD1070" s="338"/>
      <c r="AF1070" s="502" t="str">
        <f>Table15[[#This Row],[code2]]</f>
        <v>PCC</v>
      </c>
      <c r="AG1070" s="502" t="str">
        <f>Table15[[#This Row],[code5]]</f>
        <v>AP</v>
      </c>
    </row>
    <row r="1071" spans="1:33">
      <c r="A1071" s="338" t="s">
        <v>6072</v>
      </c>
      <c r="B1071" s="338" t="s">
        <v>6073</v>
      </c>
      <c r="C1071" s="337">
        <v>1</v>
      </c>
      <c r="D1071" s="338" t="s">
        <v>7358</v>
      </c>
      <c r="E1071" s="338" t="s">
        <v>7359</v>
      </c>
      <c r="F1071" s="337">
        <v>1</v>
      </c>
      <c r="G1071" s="337">
        <v>1</v>
      </c>
      <c r="H1071" s="338"/>
      <c r="I1071" s="338" t="s">
        <v>8862</v>
      </c>
      <c r="J1071" s="338" t="s">
        <v>8863</v>
      </c>
      <c r="K1071" s="338" t="s">
        <v>7360</v>
      </c>
      <c r="L1071" s="338"/>
      <c r="M1071" s="338" t="s">
        <v>7394</v>
      </c>
      <c r="N1071" s="338" t="s">
        <v>7395</v>
      </c>
      <c r="O1071" s="337">
        <v>1</v>
      </c>
      <c r="P1071" s="337">
        <v>1</v>
      </c>
      <c r="Q1071" s="338"/>
      <c r="R1071" s="338"/>
      <c r="S1071" s="338"/>
      <c r="T1071" s="338" t="s">
        <v>7373</v>
      </c>
      <c r="U1071" s="338" t="s">
        <v>7396</v>
      </c>
      <c r="V1071" s="337">
        <v>1</v>
      </c>
      <c r="W1071" s="337">
        <v>1</v>
      </c>
      <c r="X1071" s="338"/>
      <c r="Y1071" s="338" t="s">
        <v>7365</v>
      </c>
      <c r="Z1071" s="338" t="s">
        <v>7453</v>
      </c>
      <c r="AA1071" s="338" t="s">
        <v>6079</v>
      </c>
      <c r="AB1071" s="338"/>
      <c r="AC1071" s="338"/>
      <c r="AD1071" s="338"/>
      <c r="AF1071" s="502" t="str">
        <f>Table15[[#This Row],[code2]]</f>
        <v>PCC</v>
      </c>
      <c r="AG1071" s="502" t="str">
        <f>Table15[[#This Row],[code5]]</f>
        <v>AFF</v>
      </c>
    </row>
    <row r="1072" spans="1:33">
      <c r="A1072" s="338" t="s">
        <v>6072</v>
      </c>
      <c r="B1072" s="338" t="s">
        <v>6073</v>
      </c>
      <c r="C1072" s="337">
        <v>1</v>
      </c>
      <c r="D1072" s="338" t="s">
        <v>7358</v>
      </c>
      <c r="E1072" s="338" t="s">
        <v>7359</v>
      </c>
      <c r="F1072" s="337">
        <v>1</v>
      </c>
      <c r="G1072" s="337">
        <v>1</v>
      </c>
      <c r="H1072" s="338"/>
      <c r="I1072" s="338" t="s">
        <v>8862</v>
      </c>
      <c r="J1072" s="338" t="s">
        <v>8863</v>
      </c>
      <c r="K1072" s="338" t="s">
        <v>7360</v>
      </c>
      <c r="L1072" s="338"/>
      <c r="M1072" s="338" t="s">
        <v>7394</v>
      </c>
      <c r="N1072" s="338" t="s">
        <v>7395</v>
      </c>
      <c r="O1072" s="337">
        <v>1</v>
      </c>
      <c r="P1072" s="337">
        <v>1</v>
      </c>
      <c r="Q1072" s="338"/>
      <c r="R1072" s="338"/>
      <c r="S1072" s="338"/>
      <c r="T1072" s="338" t="s">
        <v>7373</v>
      </c>
      <c r="U1072" s="338" t="s">
        <v>7397</v>
      </c>
      <c r="V1072" s="337">
        <v>1</v>
      </c>
      <c r="W1072" s="337">
        <v>1</v>
      </c>
      <c r="X1072" s="338"/>
      <c r="Y1072" s="338" t="s">
        <v>7367</v>
      </c>
      <c r="Z1072" s="338" t="s">
        <v>8686</v>
      </c>
      <c r="AA1072" s="338" t="s">
        <v>6079</v>
      </c>
      <c r="AB1072" s="338"/>
      <c r="AC1072" s="338"/>
      <c r="AD1072" s="338"/>
      <c r="AF1072" s="502" t="str">
        <f>Table15[[#This Row],[code2]]</f>
        <v>PCC</v>
      </c>
      <c r="AG1072" s="502" t="str">
        <f>Table15[[#This Row],[code5]]</f>
        <v>AFF</v>
      </c>
    </row>
    <row r="1073" spans="1:33">
      <c r="A1073" s="338" t="s">
        <v>6072</v>
      </c>
      <c r="B1073" s="338" t="s">
        <v>6073</v>
      </c>
      <c r="C1073" s="337">
        <v>1</v>
      </c>
      <c r="D1073" s="338" t="s">
        <v>7358</v>
      </c>
      <c r="E1073" s="338" t="s">
        <v>7359</v>
      </c>
      <c r="F1073" s="337">
        <v>1</v>
      </c>
      <c r="G1073" s="337">
        <v>1</v>
      </c>
      <c r="H1073" s="338"/>
      <c r="I1073" s="338" t="s">
        <v>8862</v>
      </c>
      <c r="J1073" s="338" t="s">
        <v>8863</v>
      </c>
      <c r="K1073" s="338" t="s">
        <v>7360</v>
      </c>
      <c r="L1073" s="338"/>
      <c r="M1073" s="338" t="s">
        <v>7394</v>
      </c>
      <c r="N1073" s="338" t="s">
        <v>7395</v>
      </c>
      <c r="O1073" s="337">
        <v>1</v>
      </c>
      <c r="P1073" s="337">
        <v>1</v>
      </c>
      <c r="Q1073" s="338"/>
      <c r="R1073" s="338"/>
      <c r="S1073" s="338"/>
      <c r="T1073" s="338" t="s">
        <v>7373</v>
      </c>
      <c r="U1073" s="338" t="s">
        <v>7398</v>
      </c>
      <c r="V1073" s="337">
        <v>1</v>
      </c>
      <c r="W1073" s="337">
        <v>1</v>
      </c>
      <c r="X1073" s="338"/>
      <c r="Y1073" s="338" t="s">
        <v>7370</v>
      </c>
      <c r="Z1073" s="338" t="s">
        <v>8686</v>
      </c>
      <c r="AA1073" s="338" t="s">
        <v>6079</v>
      </c>
      <c r="AB1073" s="338"/>
      <c r="AC1073" s="338"/>
      <c r="AD1073" s="338"/>
      <c r="AF1073" s="502" t="str">
        <f>Table15[[#This Row],[code2]]</f>
        <v>PCC</v>
      </c>
      <c r="AG1073" s="502" t="str">
        <f>Table15[[#This Row],[code5]]</f>
        <v>AFF</v>
      </c>
    </row>
    <row r="1074" spans="1:33">
      <c r="A1074" s="338" t="s">
        <v>6072</v>
      </c>
      <c r="B1074" s="338" t="s">
        <v>6073</v>
      </c>
      <c r="C1074" s="337">
        <v>1</v>
      </c>
      <c r="D1074" s="338" t="s">
        <v>7358</v>
      </c>
      <c r="E1074" s="338" t="s">
        <v>7359</v>
      </c>
      <c r="F1074" s="337">
        <v>1</v>
      </c>
      <c r="G1074" s="337">
        <v>1</v>
      </c>
      <c r="H1074" s="338"/>
      <c r="I1074" s="338" t="s">
        <v>8862</v>
      </c>
      <c r="J1074" s="338" t="s">
        <v>8863</v>
      </c>
      <c r="K1074" s="338" t="s">
        <v>7360</v>
      </c>
      <c r="L1074" s="338"/>
      <c r="M1074" s="338" t="s">
        <v>7399</v>
      </c>
      <c r="N1074" s="338" t="s">
        <v>7400</v>
      </c>
      <c r="O1074" s="337">
        <v>1</v>
      </c>
      <c r="P1074" s="337">
        <v>1</v>
      </c>
      <c r="Q1074" s="338"/>
      <c r="R1074" s="338"/>
      <c r="S1074" s="338"/>
      <c r="T1074" s="338" t="s">
        <v>7373</v>
      </c>
      <c r="U1074" s="338" t="s">
        <v>7401</v>
      </c>
      <c r="V1074" s="337">
        <v>1</v>
      </c>
      <c r="W1074" s="337">
        <v>1</v>
      </c>
      <c r="X1074" s="338"/>
      <c r="Y1074" s="338" t="s">
        <v>7365</v>
      </c>
      <c r="Z1074" s="338" t="s">
        <v>7453</v>
      </c>
      <c r="AA1074" s="338" t="s">
        <v>6079</v>
      </c>
      <c r="AB1074" s="338"/>
      <c r="AC1074" s="338"/>
      <c r="AD1074" s="338"/>
      <c r="AF1074" s="502" t="str">
        <f>Table15[[#This Row],[code2]]</f>
        <v>PCC</v>
      </c>
      <c r="AG1074" s="502" t="str">
        <f>Table15[[#This Row],[code5]]</f>
        <v>AFFG</v>
      </c>
    </row>
    <row r="1075" spans="1:33">
      <c r="A1075" s="338" t="s">
        <v>6072</v>
      </c>
      <c r="B1075" s="338" t="s">
        <v>6073</v>
      </c>
      <c r="C1075" s="337">
        <v>1</v>
      </c>
      <c r="D1075" s="338" t="s">
        <v>7358</v>
      </c>
      <c r="E1075" s="338" t="s">
        <v>7359</v>
      </c>
      <c r="F1075" s="337">
        <v>1</v>
      </c>
      <c r="G1075" s="337">
        <v>1</v>
      </c>
      <c r="H1075" s="338"/>
      <c r="I1075" s="338" t="s">
        <v>8862</v>
      </c>
      <c r="J1075" s="338" t="s">
        <v>8863</v>
      </c>
      <c r="K1075" s="338" t="s">
        <v>7360</v>
      </c>
      <c r="L1075" s="338"/>
      <c r="M1075" s="338" t="s">
        <v>7399</v>
      </c>
      <c r="N1075" s="338" t="s">
        <v>7400</v>
      </c>
      <c r="O1075" s="337">
        <v>1</v>
      </c>
      <c r="P1075" s="337">
        <v>1</v>
      </c>
      <c r="Q1075" s="338"/>
      <c r="R1075" s="338"/>
      <c r="S1075" s="338"/>
      <c r="T1075" s="338" t="s">
        <v>7373</v>
      </c>
      <c r="U1075" s="338" t="s">
        <v>7403</v>
      </c>
      <c r="V1075" s="337">
        <v>1</v>
      </c>
      <c r="W1075" s="337">
        <v>1</v>
      </c>
      <c r="X1075" s="338"/>
      <c r="Y1075" s="338" t="s">
        <v>7367</v>
      </c>
      <c r="Z1075" s="338" t="s">
        <v>8686</v>
      </c>
      <c r="AA1075" s="338" t="s">
        <v>6079</v>
      </c>
      <c r="AB1075" s="338"/>
      <c r="AC1075" s="338"/>
      <c r="AD1075" s="338"/>
      <c r="AF1075" s="502" t="str">
        <f>Table15[[#This Row],[code2]]</f>
        <v>PCC</v>
      </c>
      <c r="AG1075" s="502" t="str">
        <f>Table15[[#This Row],[code5]]</f>
        <v>AFFG</v>
      </c>
    </row>
    <row r="1076" spans="1:33">
      <c r="A1076" s="338" t="s">
        <v>6072</v>
      </c>
      <c r="B1076" s="338" t="s">
        <v>6073</v>
      </c>
      <c r="C1076" s="337">
        <v>1</v>
      </c>
      <c r="D1076" s="338" t="s">
        <v>7358</v>
      </c>
      <c r="E1076" s="338" t="s">
        <v>7359</v>
      </c>
      <c r="F1076" s="337">
        <v>1</v>
      </c>
      <c r="G1076" s="337">
        <v>1</v>
      </c>
      <c r="H1076" s="338"/>
      <c r="I1076" s="338" t="s">
        <v>8862</v>
      </c>
      <c r="J1076" s="338" t="s">
        <v>8863</v>
      </c>
      <c r="K1076" s="338" t="s">
        <v>7360</v>
      </c>
      <c r="L1076" s="338"/>
      <c r="M1076" s="338" t="s">
        <v>7399</v>
      </c>
      <c r="N1076" s="338" t="s">
        <v>7400</v>
      </c>
      <c r="O1076" s="337">
        <v>1</v>
      </c>
      <c r="P1076" s="337">
        <v>1</v>
      </c>
      <c r="Q1076" s="338"/>
      <c r="R1076" s="338"/>
      <c r="S1076" s="338"/>
      <c r="T1076" s="338" t="s">
        <v>7373</v>
      </c>
      <c r="U1076" s="338" t="s">
        <v>7404</v>
      </c>
      <c r="V1076" s="337">
        <v>1</v>
      </c>
      <c r="W1076" s="337">
        <v>1</v>
      </c>
      <c r="X1076" s="338"/>
      <c r="Y1076" s="338" t="s">
        <v>7370</v>
      </c>
      <c r="Z1076" s="338" t="s">
        <v>8686</v>
      </c>
      <c r="AA1076" s="338" t="s">
        <v>6079</v>
      </c>
      <c r="AB1076" s="338"/>
      <c r="AC1076" s="338"/>
      <c r="AD1076" s="338"/>
      <c r="AF1076" s="502" t="str">
        <f>Table15[[#This Row],[code2]]</f>
        <v>PCC</v>
      </c>
      <c r="AG1076" s="502" t="str">
        <f>Table15[[#This Row],[code5]]</f>
        <v>AFFG</v>
      </c>
    </row>
    <row r="1077" spans="1:33">
      <c r="A1077" s="338" t="s">
        <v>6072</v>
      </c>
      <c r="B1077" s="338" t="s">
        <v>6073</v>
      </c>
      <c r="C1077" s="337">
        <v>1</v>
      </c>
      <c r="D1077" s="338" t="s">
        <v>7358</v>
      </c>
      <c r="E1077" s="338" t="s">
        <v>7359</v>
      </c>
      <c r="F1077" s="337">
        <v>1</v>
      </c>
      <c r="G1077" s="337">
        <v>1</v>
      </c>
      <c r="H1077" s="338"/>
      <c r="I1077" s="338" t="s">
        <v>8862</v>
      </c>
      <c r="J1077" s="338" t="s">
        <v>8863</v>
      </c>
      <c r="K1077" s="338" t="s">
        <v>7360</v>
      </c>
      <c r="L1077" s="338"/>
      <c r="M1077" s="338" t="s">
        <v>7405</v>
      </c>
      <c r="N1077" s="338" t="s">
        <v>4430</v>
      </c>
      <c r="O1077" s="337">
        <v>1</v>
      </c>
      <c r="P1077" s="337">
        <v>1</v>
      </c>
      <c r="Q1077" s="338"/>
      <c r="R1077" s="338"/>
      <c r="S1077" s="338"/>
      <c r="T1077" s="338" t="s">
        <v>7373</v>
      </c>
      <c r="U1077" s="338" t="s">
        <v>7406</v>
      </c>
      <c r="V1077" s="337">
        <v>1</v>
      </c>
      <c r="W1077" s="337">
        <v>1</v>
      </c>
      <c r="X1077" s="338"/>
      <c r="Y1077" s="338" t="s">
        <v>7365</v>
      </c>
      <c r="Z1077" s="338" t="s">
        <v>7453</v>
      </c>
      <c r="AA1077" s="338" t="s">
        <v>6079</v>
      </c>
      <c r="AB1077" s="338"/>
      <c r="AC1077" s="338"/>
      <c r="AD1077" s="338"/>
      <c r="AF1077" s="502" t="str">
        <f>Table15[[#This Row],[code2]]</f>
        <v>PCC</v>
      </c>
      <c r="AG1077" s="502" t="str">
        <f>Table15[[#This Row],[code5]]</f>
        <v>AFFP</v>
      </c>
    </row>
    <row r="1078" spans="1:33">
      <c r="A1078" s="338" t="s">
        <v>6072</v>
      </c>
      <c r="B1078" s="338" t="s">
        <v>6073</v>
      </c>
      <c r="C1078" s="337">
        <v>1</v>
      </c>
      <c r="D1078" s="338" t="s">
        <v>7358</v>
      </c>
      <c r="E1078" s="338" t="s">
        <v>7359</v>
      </c>
      <c r="F1078" s="337">
        <v>1</v>
      </c>
      <c r="G1078" s="337">
        <v>1</v>
      </c>
      <c r="H1078" s="338"/>
      <c r="I1078" s="338" t="s">
        <v>8862</v>
      </c>
      <c r="J1078" s="338" t="s">
        <v>8863</v>
      </c>
      <c r="K1078" s="338" t="s">
        <v>7360</v>
      </c>
      <c r="L1078" s="338"/>
      <c r="M1078" s="338" t="s">
        <v>7405</v>
      </c>
      <c r="N1078" s="338" t="s">
        <v>4430</v>
      </c>
      <c r="O1078" s="337">
        <v>1</v>
      </c>
      <c r="P1078" s="337">
        <v>1</v>
      </c>
      <c r="Q1078" s="338"/>
      <c r="R1078" s="338"/>
      <c r="S1078" s="338"/>
      <c r="T1078" s="338" t="s">
        <v>7373</v>
      </c>
      <c r="U1078" s="338" t="s">
        <v>7407</v>
      </c>
      <c r="V1078" s="337">
        <v>1</v>
      </c>
      <c r="W1078" s="337">
        <v>1</v>
      </c>
      <c r="X1078" s="338"/>
      <c r="Y1078" s="338" t="s">
        <v>7367</v>
      </c>
      <c r="Z1078" s="338" t="s">
        <v>8686</v>
      </c>
      <c r="AA1078" s="338" t="s">
        <v>6079</v>
      </c>
      <c r="AB1078" s="338"/>
      <c r="AC1078" s="338"/>
      <c r="AD1078" s="338"/>
      <c r="AF1078" s="502" t="str">
        <f>Table15[[#This Row],[code2]]</f>
        <v>PCC</v>
      </c>
      <c r="AG1078" s="502" t="str">
        <f>Table15[[#This Row],[code5]]</f>
        <v>AFFP</v>
      </c>
    </row>
    <row r="1079" spans="1:33">
      <c r="A1079" s="338" t="s">
        <v>6072</v>
      </c>
      <c r="B1079" s="338" t="s">
        <v>6073</v>
      </c>
      <c r="C1079" s="337">
        <v>1</v>
      </c>
      <c r="D1079" s="338" t="s">
        <v>7358</v>
      </c>
      <c r="E1079" s="338" t="s">
        <v>7359</v>
      </c>
      <c r="F1079" s="337">
        <v>1</v>
      </c>
      <c r="G1079" s="337">
        <v>1</v>
      </c>
      <c r="H1079" s="338"/>
      <c r="I1079" s="338" t="s">
        <v>8862</v>
      </c>
      <c r="J1079" s="338" t="s">
        <v>8863</v>
      </c>
      <c r="K1079" s="338" t="s">
        <v>7360</v>
      </c>
      <c r="L1079" s="338"/>
      <c r="M1079" s="338" t="s">
        <v>7405</v>
      </c>
      <c r="N1079" s="338" t="s">
        <v>4430</v>
      </c>
      <c r="O1079" s="337">
        <v>1</v>
      </c>
      <c r="P1079" s="337">
        <v>1</v>
      </c>
      <c r="Q1079" s="338"/>
      <c r="R1079" s="338"/>
      <c r="S1079" s="338"/>
      <c r="T1079" s="338" t="s">
        <v>7373</v>
      </c>
      <c r="U1079" s="338" t="s">
        <v>7408</v>
      </c>
      <c r="V1079" s="337">
        <v>1</v>
      </c>
      <c r="W1079" s="337">
        <v>1</v>
      </c>
      <c r="X1079" s="338"/>
      <c r="Y1079" s="338" t="s">
        <v>7370</v>
      </c>
      <c r="Z1079" s="338" t="s">
        <v>8686</v>
      </c>
      <c r="AA1079" s="338" t="s">
        <v>6079</v>
      </c>
      <c r="AB1079" s="338"/>
      <c r="AC1079" s="338"/>
      <c r="AD1079" s="338"/>
      <c r="AF1079" s="502" t="str">
        <f>Table15[[#This Row],[code2]]</f>
        <v>PCC</v>
      </c>
      <c r="AG1079" s="502" t="str">
        <f>Table15[[#This Row],[code5]]</f>
        <v>AFFP</v>
      </c>
    </row>
    <row r="1080" spans="1:33">
      <c r="A1080" s="338" t="s">
        <v>6072</v>
      </c>
      <c r="B1080" s="338" t="s">
        <v>6073</v>
      </c>
      <c r="C1080" s="337">
        <v>1</v>
      </c>
      <c r="D1080" s="338" t="s">
        <v>7358</v>
      </c>
      <c r="E1080" s="338" t="s">
        <v>7359</v>
      </c>
      <c r="F1080" s="337">
        <v>1</v>
      </c>
      <c r="G1080" s="337">
        <v>1</v>
      </c>
      <c r="H1080" s="338"/>
      <c r="I1080" s="338" t="s">
        <v>8862</v>
      </c>
      <c r="J1080" s="338" t="s">
        <v>8863</v>
      </c>
      <c r="K1080" s="338" t="s">
        <v>7360</v>
      </c>
      <c r="L1080" s="338"/>
      <c r="M1080" s="338" t="s">
        <v>7409</v>
      </c>
      <c r="N1080" s="338" t="s">
        <v>4438</v>
      </c>
      <c r="O1080" s="337">
        <v>1</v>
      </c>
      <c r="P1080" s="337">
        <v>1</v>
      </c>
      <c r="Q1080" s="338"/>
      <c r="R1080" s="338"/>
      <c r="S1080" s="338"/>
      <c r="T1080" s="338" t="s">
        <v>7373</v>
      </c>
      <c r="U1080" s="338" t="s">
        <v>7410</v>
      </c>
      <c r="V1080" s="337">
        <v>1</v>
      </c>
      <c r="W1080" s="337">
        <v>1</v>
      </c>
      <c r="X1080" s="338"/>
      <c r="Y1080" s="338" t="s">
        <v>7365</v>
      </c>
      <c r="Z1080" s="338" t="s">
        <v>7453</v>
      </c>
      <c r="AA1080" s="338" t="s">
        <v>6079</v>
      </c>
      <c r="AB1080" s="338"/>
      <c r="AC1080" s="338"/>
      <c r="AD1080" s="338"/>
      <c r="AF1080" s="502" t="str">
        <f>Table15[[#This Row],[code2]]</f>
        <v>PCC</v>
      </c>
      <c r="AG1080" s="502" t="str">
        <f>Table15[[#This Row],[code5]]</f>
        <v>AFFB</v>
      </c>
    </row>
    <row r="1081" spans="1:33">
      <c r="A1081" s="338" t="s">
        <v>6072</v>
      </c>
      <c r="B1081" s="338" t="s">
        <v>6073</v>
      </c>
      <c r="C1081" s="337">
        <v>1</v>
      </c>
      <c r="D1081" s="338" t="s">
        <v>7358</v>
      </c>
      <c r="E1081" s="338" t="s">
        <v>7359</v>
      </c>
      <c r="F1081" s="337">
        <v>1</v>
      </c>
      <c r="G1081" s="337">
        <v>1</v>
      </c>
      <c r="H1081" s="338"/>
      <c r="I1081" s="338" t="s">
        <v>8862</v>
      </c>
      <c r="J1081" s="338" t="s">
        <v>8863</v>
      </c>
      <c r="K1081" s="338" t="s">
        <v>7360</v>
      </c>
      <c r="L1081" s="338"/>
      <c r="M1081" s="338" t="s">
        <v>7409</v>
      </c>
      <c r="N1081" s="338" t="s">
        <v>4438</v>
      </c>
      <c r="O1081" s="337">
        <v>1</v>
      </c>
      <c r="P1081" s="337">
        <v>1</v>
      </c>
      <c r="Q1081" s="338"/>
      <c r="R1081" s="338"/>
      <c r="S1081" s="338"/>
      <c r="T1081" s="338" t="s">
        <v>7373</v>
      </c>
      <c r="U1081" s="338" t="s">
        <v>7411</v>
      </c>
      <c r="V1081" s="337">
        <v>1</v>
      </c>
      <c r="W1081" s="337">
        <v>1</v>
      </c>
      <c r="X1081" s="338"/>
      <c r="Y1081" s="338" t="s">
        <v>7367</v>
      </c>
      <c r="Z1081" s="338" t="s">
        <v>8686</v>
      </c>
      <c r="AA1081" s="338" t="s">
        <v>6079</v>
      </c>
      <c r="AB1081" s="338"/>
      <c r="AC1081" s="338"/>
      <c r="AD1081" s="338"/>
      <c r="AF1081" s="502" t="str">
        <f>Table15[[#This Row],[code2]]</f>
        <v>PCC</v>
      </c>
      <c r="AG1081" s="502" t="str">
        <f>Table15[[#This Row],[code5]]</f>
        <v>AFFB</v>
      </c>
    </row>
    <row r="1082" spans="1:33">
      <c r="A1082" s="338" t="s">
        <v>6072</v>
      </c>
      <c r="B1082" s="338" t="s">
        <v>6073</v>
      </c>
      <c r="C1082" s="337">
        <v>1</v>
      </c>
      <c r="D1082" s="338" t="s">
        <v>7358</v>
      </c>
      <c r="E1082" s="338" t="s">
        <v>7359</v>
      </c>
      <c r="F1082" s="337">
        <v>1</v>
      </c>
      <c r="G1082" s="337">
        <v>1</v>
      </c>
      <c r="H1082" s="338"/>
      <c r="I1082" s="338" t="s">
        <v>8862</v>
      </c>
      <c r="J1082" s="338" t="s">
        <v>8863</v>
      </c>
      <c r="K1082" s="338" t="s">
        <v>7360</v>
      </c>
      <c r="L1082" s="338"/>
      <c r="M1082" s="338" t="s">
        <v>7409</v>
      </c>
      <c r="N1082" s="338" t="s">
        <v>4438</v>
      </c>
      <c r="O1082" s="337">
        <v>1</v>
      </c>
      <c r="P1082" s="337">
        <v>1</v>
      </c>
      <c r="Q1082" s="338"/>
      <c r="R1082" s="338"/>
      <c r="S1082" s="338"/>
      <c r="T1082" s="338" t="s">
        <v>7373</v>
      </c>
      <c r="U1082" s="338" t="s">
        <v>7412</v>
      </c>
      <c r="V1082" s="337">
        <v>1</v>
      </c>
      <c r="W1082" s="337">
        <v>1</v>
      </c>
      <c r="X1082" s="338"/>
      <c r="Y1082" s="338" t="s">
        <v>7370</v>
      </c>
      <c r="Z1082" s="338" t="s">
        <v>8686</v>
      </c>
      <c r="AA1082" s="338" t="s">
        <v>6079</v>
      </c>
      <c r="AB1082" s="338"/>
      <c r="AC1082" s="338"/>
      <c r="AD1082" s="338"/>
      <c r="AF1082" s="502" t="str">
        <f>Table15[[#This Row],[code2]]</f>
        <v>PCC</v>
      </c>
      <c r="AG1082" s="502" t="str">
        <f>Table15[[#This Row],[code5]]</f>
        <v>AFFB</v>
      </c>
    </row>
    <row r="1083" spans="1:33">
      <c r="A1083" s="338" t="s">
        <v>6072</v>
      </c>
      <c r="B1083" s="338" t="s">
        <v>6073</v>
      </c>
      <c r="C1083" s="337">
        <v>1</v>
      </c>
      <c r="D1083" s="338" t="s">
        <v>7358</v>
      </c>
      <c r="E1083" s="338" t="s">
        <v>7359</v>
      </c>
      <c r="F1083" s="337">
        <v>1</v>
      </c>
      <c r="G1083" s="337">
        <v>1</v>
      </c>
      <c r="H1083" s="338"/>
      <c r="I1083" s="338" t="s">
        <v>8862</v>
      </c>
      <c r="J1083" s="338" t="s">
        <v>8863</v>
      </c>
      <c r="K1083" s="338" t="s">
        <v>7360</v>
      </c>
      <c r="L1083" s="338"/>
      <c r="M1083" s="338" t="s">
        <v>7413</v>
      </c>
      <c r="N1083" s="338" t="s">
        <v>7414</v>
      </c>
      <c r="O1083" s="337">
        <v>1</v>
      </c>
      <c r="P1083" s="337">
        <v>1</v>
      </c>
      <c r="Q1083" s="338"/>
      <c r="R1083" s="338"/>
      <c r="S1083" s="338"/>
      <c r="T1083" s="338" t="s">
        <v>7373</v>
      </c>
      <c r="U1083" s="338" t="s">
        <v>7415</v>
      </c>
      <c r="V1083" s="337">
        <v>1</v>
      </c>
      <c r="W1083" s="337">
        <v>1</v>
      </c>
      <c r="X1083" s="338"/>
      <c r="Y1083" s="338" t="s">
        <v>7365</v>
      </c>
      <c r="Z1083" s="338" t="s">
        <v>7453</v>
      </c>
      <c r="AA1083" s="338" t="s">
        <v>6079</v>
      </c>
      <c r="AB1083" s="338"/>
      <c r="AC1083" s="338"/>
      <c r="AD1083" s="338"/>
      <c r="AF1083" s="502" t="str">
        <f>Table15[[#This Row],[code2]]</f>
        <v>PCC</v>
      </c>
      <c r="AG1083" s="502" t="str">
        <f>Table15[[#This Row],[code5]]</f>
        <v>ARV</v>
      </c>
    </row>
    <row r="1084" spans="1:33">
      <c r="A1084" s="338" t="s">
        <v>6072</v>
      </c>
      <c r="B1084" s="338" t="s">
        <v>6073</v>
      </c>
      <c r="C1084" s="337">
        <v>1</v>
      </c>
      <c r="D1084" s="338" t="s">
        <v>7358</v>
      </c>
      <c r="E1084" s="338" t="s">
        <v>7359</v>
      </c>
      <c r="F1084" s="337">
        <v>1</v>
      </c>
      <c r="G1084" s="337">
        <v>1</v>
      </c>
      <c r="H1084" s="338"/>
      <c r="I1084" s="338" t="s">
        <v>8862</v>
      </c>
      <c r="J1084" s="338" t="s">
        <v>8863</v>
      </c>
      <c r="K1084" s="338" t="s">
        <v>7360</v>
      </c>
      <c r="L1084" s="338"/>
      <c r="M1084" s="338" t="s">
        <v>7413</v>
      </c>
      <c r="N1084" s="338" t="s">
        <v>7414</v>
      </c>
      <c r="O1084" s="337">
        <v>1</v>
      </c>
      <c r="P1084" s="337">
        <v>1</v>
      </c>
      <c r="Q1084" s="338"/>
      <c r="R1084" s="338"/>
      <c r="S1084" s="338"/>
      <c r="T1084" s="338" t="s">
        <v>7373</v>
      </c>
      <c r="U1084" s="338" t="s">
        <v>7416</v>
      </c>
      <c r="V1084" s="337">
        <v>1</v>
      </c>
      <c r="W1084" s="337">
        <v>1</v>
      </c>
      <c r="X1084" s="338"/>
      <c r="Y1084" s="338" t="s">
        <v>7367</v>
      </c>
      <c r="Z1084" s="338" t="s">
        <v>8686</v>
      </c>
      <c r="AA1084" s="338" t="s">
        <v>6079</v>
      </c>
      <c r="AB1084" s="338"/>
      <c r="AC1084" s="338"/>
      <c r="AD1084" s="338"/>
      <c r="AF1084" s="502" t="str">
        <f>Table15[[#This Row],[code2]]</f>
        <v>PCC</v>
      </c>
      <c r="AG1084" s="502" t="str">
        <f>Table15[[#This Row],[code5]]</f>
        <v>ARV</v>
      </c>
    </row>
    <row r="1085" spans="1:33">
      <c r="A1085" s="338" t="s">
        <v>6072</v>
      </c>
      <c r="B1085" s="338" t="s">
        <v>6073</v>
      </c>
      <c r="C1085" s="337">
        <v>1</v>
      </c>
      <c r="D1085" s="338" t="s">
        <v>7358</v>
      </c>
      <c r="E1085" s="338" t="s">
        <v>7359</v>
      </c>
      <c r="F1085" s="337">
        <v>1</v>
      </c>
      <c r="G1085" s="337">
        <v>1</v>
      </c>
      <c r="H1085" s="338"/>
      <c r="I1085" s="338" t="s">
        <v>8862</v>
      </c>
      <c r="J1085" s="338" t="s">
        <v>8863</v>
      </c>
      <c r="K1085" s="338" t="s">
        <v>7360</v>
      </c>
      <c r="L1085" s="338"/>
      <c r="M1085" s="338" t="s">
        <v>7413</v>
      </c>
      <c r="N1085" s="338" t="s">
        <v>7414</v>
      </c>
      <c r="O1085" s="337">
        <v>1</v>
      </c>
      <c r="P1085" s="337">
        <v>1</v>
      </c>
      <c r="Q1085" s="338"/>
      <c r="R1085" s="338"/>
      <c r="S1085" s="338"/>
      <c r="T1085" s="338" t="s">
        <v>7373</v>
      </c>
      <c r="U1085" s="338" t="s">
        <v>7417</v>
      </c>
      <c r="V1085" s="337">
        <v>1</v>
      </c>
      <c r="W1085" s="337">
        <v>1</v>
      </c>
      <c r="X1085" s="338"/>
      <c r="Y1085" s="338" t="s">
        <v>7370</v>
      </c>
      <c r="Z1085" s="338" t="s">
        <v>8686</v>
      </c>
      <c r="AA1085" s="338" t="s">
        <v>6079</v>
      </c>
      <c r="AB1085" s="338"/>
      <c r="AC1085" s="338"/>
      <c r="AD1085" s="338"/>
      <c r="AF1085" s="502" t="str">
        <f>Table15[[#This Row],[code2]]</f>
        <v>PCC</v>
      </c>
      <c r="AG1085" s="502" t="str">
        <f>Table15[[#This Row],[code5]]</f>
        <v>ARV</v>
      </c>
    </row>
    <row r="1086" spans="1:33">
      <c r="A1086" s="338" t="s">
        <v>6072</v>
      </c>
      <c r="B1086" s="338" t="s">
        <v>6073</v>
      </c>
      <c r="C1086" s="337">
        <v>1</v>
      </c>
      <c r="D1086" s="338" t="s">
        <v>7358</v>
      </c>
      <c r="E1086" s="338" t="s">
        <v>7359</v>
      </c>
      <c r="F1086" s="337">
        <v>1</v>
      </c>
      <c r="G1086" s="337">
        <v>1</v>
      </c>
      <c r="H1086" s="338"/>
      <c r="I1086" s="338" t="s">
        <v>8862</v>
      </c>
      <c r="J1086" s="338" t="s">
        <v>8863</v>
      </c>
      <c r="K1086" s="338" t="s">
        <v>7360</v>
      </c>
      <c r="L1086" s="338"/>
      <c r="M1086" s="338" t="s">
        <v>7418</v>
      </c>
      <c r="N1086" s="338" t="s">
        <v>4432</v>
      </c>
      <c r="O1086" s="337">
        <v>1</v>
      </c>
      <c r="P1086" s="337">
        <v>1</v>
      </c>
      <c r="Q1086" s="338"/>
      <c r="R1086" s="338"/>
      <c r="S1086" s="338"/>
      <c r="T1086" s="338" t="s">
        <v>7373</v>
      </c>
      <c r="U1086" s="338" t="s">
        <v>7419</v>
      </c>
      <c r="V1086" s="337">
        <v>1</v>
      </c>
      <c r="W1086" s="337">
        <v>1</v>
      </c>
      <c r="X1086" s="338"/>
      <c r="Y1086" s="338" t="s">
        <v>7365</v>
      </c>
      <c r="Z1086" s="338" t="s">
        <v>7453</v>
      </c>
      <c r="AA1086" s="338" t="s">
        <v>6079</v>
      </c>
      <c r="AB1086" s="338"/>
      <c r="AC1086" s="338"/>
      <c r="AD1086" s="338"/>
      <c r="AF1086" s="502" t="str">
        <f>Table15[[#This Row],[code2]]</f>
        <v>PCC</v>
      </c>
      <c r="AG1086" s="502" t="str">
        <f>Table15[[#This Row],[code5]]</f>
        <v>ARVP</v>
      </c>
    </row>
    <row r="1087" spans="1:33">
      <c r="A1087" s="338" t="s">
        <v>6072</v>
      </c>
      <c r="B1087" s="338" t="s">
        <v>6073</v>
      </c>
      <c r="C1087" s="337">
        <v>1</v>
      </c>
      <c r="D1087" s="338" t="s">
        <v>7358</v>
      </c>
      <c r="E1087" s="338" t="s">
        <v>7359</v>
      </c>
      <c r="F1087" s="337">
        <v>1</v>
      </c>
      <c r="G1087" s="337">
        <v>1</v>
      </c>
      <c r="H1087" s="338"/>
      <c r="I1087" s="338" t="s">
        <v>8862</v>
      </c>
      <c r="J1087" s="338" t="s">
        <v>8863</v>
      </c>
      <c r="K1087" s="338" t="s">
        <v>7360</v>
      </c>
      <c r="L1087" s="338"/>
      <c r="M1087" s="338" t="s">
        <v>7418</v>
      </c>
      <c r="N1087" s="338" t="s">
        <v>4432</v>
      </c>
      <c r="O1087" s="337">
        <v>1</v>
      </c>
      <c r="P1087" s="337">
        <v>1</v>
      </c>
      <c r="Q1087" s="338"/>
      <c r="R1087" s="338"/>
      <c r="S1087" s="338"/>
      <c r="T1087" s="338" t="s">
        <v>7373</v>
      </c>
      <c r="U1087" s="338" t="s">
        <v>7420</v>
      </c>
      <c r="V1087" s="337">
        <v>1</v>
      </c>
      <c r="W1087" s="337">
        <v>1</v>
      </c>
      <c r="X1087" s="338"/>
      <c r="Y1087" s="338" t="s">
        <v>7367</v>
      </c>
      <c r="Z1087" s="338" t="s">
        <v>8686</v>
      </c>
      <c r="AA1087" s="338" t="s">
        <v>6079</v>
      </c>
      <c r="AB1087" s="338"/>
      <c r="AC1087" s="338"/>
      <c r="AD1087" s="338"/>
      <c r="AF1087" s="502" t="str">
        <f>Table15[[#This Row],[code2]]</f>
        <v>PCC</v>
      </c>
      <c r="AG1087" s="502" t="str">
        <f>Table15[[#This Row],[code5]]</f>
        <v>ARVP</v>
      </c>
    </row>
    <row r="1088" spans="1:33">
      <c r="A1088" s="338" t="s">
        <v>6072</v>
      </c>
      <c r="B1088" s="338" t="s">
        <v>6073</v>
      </c>
      <c r="C1088" s="337">
        <v>1</v>
      </c>
      <c r="D1088" s="338" t="s">
        <v>7358</v>
      </c>
      <c r="E1088" s="338" t="s">
        <v>7359</v>
      </c>
      <c r="F1088" s="337">
        <v>1</v>
      </c>
      <c r="G1088" s="337">
        <v>1</v>
      </c>
      <c r="H1088" s="338"/>
      <c r="I1088" s="338" t="s">
        <v>8862</v>
      </c>
      <c r="J1088" s="338" t="s">
        <v>8863</v>
      </c>
      <c r="K1088" s="338" t="s">
        <v>7360</v>
      </c>
      <c r="L1088" s="338"/>
      <c r="M1088" s="338" t="s">
        <v>7418</v>
      </c>
      <c r="N1088" s="338" t="s">
        <v>4432</v>
      </c>
      <c r="O1088" s="337">
        <v>1</v>
      </c>
      <c r="P1088" s="337">
        <v>1</v>
      </c>
      <c r="Q1088" s="338"/>
      <c r="R1088" s="338"/>
      <c r="S1088" s="338"/>
      <c r="T1088" s="338" t="s">
        <v>7373</v>
      </c>
      <c r="U1088" s="338" t="s">
        <v>7421</v>
      </c>
      <c r="V1088" s="337">
        <v>1</v>
      </c>
      <c r="W1088" s="337">
        <v>1</v>
      </c>
      <c r="X1088" s="338"/>
      <c r="Y1088" s="338" t="s">
        <v>7370</v>
      </c>
      <c r="Z1088" s="338" t="s">
        <v>8686</v>
      </c>
      <c r="AA1088" s="338" t="s">
        <v>6079</v>
      </c>
      <c r="AB1088" s="338"/>
      <c r="AC1088" s="338"/>
      <c r="AD1088" s="338"/>
      <c r="AF1088" s="502" t="str">
        <f>Table15[[#This Row],[code2]]</f>
        <v>PCC</v>
      </c>
      <c r="AG1088" s="502" t="str">
        <f>Table15[[#This Row],[code5]]</f>
        <v>ARVP</v>
      </c>
    </row>
    <row r="1089" spans="1:33">
      <c r="A1089" s="338" t="s">
        <v>6072</v>
      </c>
      <c r="B1089" s="338" t="s">
        <v>6073</v>
      </c>
      <c r="C1089" s="337">
        <v>1</v>
      </c>
      <c r="D1089" s="338" t="s">
        <v>7358</v>
      </c>
      <c r="E1089" s="338" t="s">
        <v>7359</v>
      </c>
      <c r="F1089" s="337">
        <v>1</v>
      </c>
      <c r="G1089" s="337">
        <v>1</v>
      </c>
      <c r="H1089" s="338"/>
      <c r="I1089" s="338" t="s">
        <v>8862</v>
      </c>
      <c r="J1089" s="338" t="s">
        <v>8863</v>
      </c>
      <c r="K1089" s="338" t="s">
        <v>7360</v>
      </c>
      <c r="L1089" s="338"/>
      <c r="M1089" s="338" t="s">
        <v>7422</v>
      </c>
      <c r="N1089" s="338" t="s">
        <v>4436</v>
      </c>
      <c r="O1089" s="337">
        <v>1</v>
      </c>
      <c r="P1089" s="337">
        <v>1</v>
      </c>
      <c r="Q1089" s="338"/>
      <c r="R1089" s="338"/>
      <c r="S1089" s="338"/>
      <c r="T1089" s="338"/>
      <c r="U1089" s="338" t="s">
        <v>7423</v>
      </c>
      <c r="V1089" s="337">
        <v>1</v>
      </c>
      <c r="W1089" s="337">
        <v>1</v>
      </c>
      <c r="X1089" s="338"/>
      <c r="Y1089" s="338" t="s">
        <v>7365</v>
      </c>
      <c r="Z1089" s="338" t="s">
        <v>7453</v>
      </c>
      <c r="AA1089" s="338" t="s">
        <v>6079</v>
      </c>
      <c r="AB1089" s="338"/>
      <c r="AC1089" s="338"/>
      <c r="AD1089" s="338"/>
      <c r="AF1089" s="502" t="str">
        <f>Table15[[#This Row],[code2]]</f>
        <v>PCC</v>
      </c>
      <c r="AG1089" s="502" t="str">
        <f>Table15[[#This Row],[code5]]</f>
        <v>ARTA</v>
      </c>
    </row>
    <row r="1090" spans="1:33">
      <c r="A1090" s="338" t="s">
        <v>6072</v>
      </c>
      <c r="B1090" s="338" t="s">
        <v>6073</v>
      </c>
      <c r="C1090" s="337">
        <v>1</v>
      </c>
      <c r="D1090" s="338" t="s">
        <v>7358</v>
      </c>
      <c r="E1090" s="338" t="s">
        <v>7359</v>
      </c>
      <c r="F1090" s="337">
        <v>1</v>
      </c>
      <c r="G1090" s="337">
        <v>1</v>
      </c>
      <c r="H1090" s="338"/>
      <c r="I1090" s="338" t="s">
        <v>8862</v>
      </c>
      <c r="J1090" s="338" t="s">
        <v>8863</v>
      </c>
      <c r="K1090" s="338" t="s">
        <v>7360</v>
      </c>
      <c r="L1090" s="338"/>
      <c r="M1090" s="338" t="s">
        <v>7422</v>
      </c>
      <c r="N1090" s="338" t="s">
        <v>4436</v>
      </c>
      <c r="O1090" s="337">
        <v>1</v>
      </c>
      <c r="P1090" s="337">
        <v>1</v>
      </c>
      <c r="Q1090" s="338"/>
      <c r="R1090" s="338"/>
      <c r="S1090" s="338"/>
      <c r="T1090" s="338"/>
      <c r="U1090" s="338" t="s">
        <v>7424</v>
      </c>
      <c r="V1090" s="337">
        <v>1</v>
      </c>
      <c r="W1090" s="337">
        <v>1</v>
      </c>
      <c r="X1090" s="338"/>
      <c r="Y1090" s="338" t="s">
        <v>7367</v>
      </c>
      <c r="Z1090" s="338" t="s">
        <v>8686</v>
      </c>
      <c r="AA1090" s="338" t="s">
        <v>6079</v>
      </c>
      <c r="AB1090" s="338"/>
      <c r="AC1090" s="338"/>
      <c r="AD1090" s="338"/>
      <c r="AF1090" s="502" t="str">
        <f>Table15[[#This Row],[code2]]</f>
        <v>PCC</v>
      </c>
      <c r="AG1090" s="502" t="str">
        <f>Table15[[#This Row],[code5]]</f>
        <v>ARTA</v>
      </c>
    </row>
    <row r="1091" spans="1:33">
      <c r="A1091" s="338" t="s">
        <v>6072</v>
      </c>
      <c r="B1091" s="338" t="s">
        <v>6073</v>
      </c>
      <c r="C1091" s="337">
        <v>1</v>
      </c>
      <c r="D1091" s="338" t="s">
        <v>7358</v>
      </c>
      <c r="E1091" s="338" t="s">
        <v>7359</v>
      </c>
      <c r="F1091" s="337">
        <v>1</v>
      </c>
      <c r="G1091" s="337">
        <v>1</v>
      </c>
      <c r="H1091" s="338"/>
      <c r="I1091" s="338" t="s">
        <v>8862</v>
      </c>
      <c r="J1091" s="338" t="s">
        <v>8863</v>
      </c>
      <c r="K1091" s="338" t="s">
        <v>7360</v>
      </c>
      <c r="L1091" s="338"/>
      <c r="M1091" s="338" t="s">
        <v>7422</v>
      </c>
      <c r="N1091" s="338" t="s">
        <v>4436</v>
      </c>
      <c r="O1091" s="337">
        <v>1</v>
      </c>
      <c r="P1091" s="337">
        <v>1</v>
      </c>
      <c r="Q1091" s="338"/>
      <c r="R1091" s="338"/>
      <c r="S1091" s="338"/>
      <c r="T1091" s="338"/>
      <c r="U1091" s="338" t="s">
        <v>7425</v>
      </c>
      <c r="V1091" s="337">
        <v>1</v>
      </c>
      <c r="W1091" s="337">
        <v>1</v>
      </c>
      <c r="X1091" s="338"/>
      <c r="Y1091" s="338" t="s">
        <v>7370</v>
      </c>
      <c r="Z1091" s="338" t="s">
        <v>8686</v>
      </c>
      <c r="AA1091" s="338" t="s">
        <v>6079</v>
      </c>
      <c r="AB1091" s="338"/>
      <c r="AC1091" s="338"/>
      <c r="AD1091" s="338"/>
      <c r="AF1091" s="502" t="str">
        <f>Table15[[#This Row],[code2]]</f>
        <v>PCC</v>
      </c>
      <c r="AG1091" s="502" t="str">
        <f>Table15[[#This Row],[code5]]</f>
        <v>ARTA</v>
      </c>
    </row>
    <row r="1092" spans="1:33">
      <c r="A1092" s="338" t="s">
        <v>6072</v>
      </c>
      <c r="B1092" s="338" t="s">
        <v>6073</v>
      </c>
      <c r="C1092" s="337">
        <v>1</v>
      </c>
      <c r="D1092" s="338" t="s">
        <v>7358</v>
      </c>
      <c r="E1092" s="338" t="s">
        <v>7359</v>
      </c>
      <c r="F1092" s="337">
        <v>1</v>
      </c>
      <c r="G1092" s="337">
        <v>1</v>
      </c>
      <c r="H1092" s="338"/>
      <c r="I1092" s="338" t="s">
        <v>8862</v>
      </c>
      <c r="J1092" s="338" t="s">
        <v>8863</v>
      </c>
      <c r="K1092" s="338" t="s">
        <v>7360</v>
      </c>
      <c r="L1092" s="338"/>
      <c r="M1092" s="338" t="s">
        <v>7426</v>
      </c>
      <c r="N1092" s="338" t="s">
        <v>4437</v>
      </c>
      <c r="O1092" s="337">
        <v>1</v>
      </c>
      <c r="P1092" s="337">
        <v>1</v>
      </c>
      <c r="Q1092" s="338"/>
      <c r="R1092" s="338"/>
      <c r="S1092" s="338"/>
      <c r="T1092" s="338" t="s">
        <v>7373</v>
      </c>
      <c r="U1092" s="338" t="s">
        <v>7427</v>
      </c>
      <c r="V1092" s="337">
        <v>1</v>
      </c>
      <c r="W1092" s="337">
        <v>1</v>
      </c>
      <c r="X1092" s="338"/>
      <c r="Y1092" s="338" t="s">
        <v>7365</v>
      </c>
      <c r="Z1092" s="338" t="s">
        <v>7453</v>
      </c>
      <c r="AA1092" s="338" t="s">
        <v>6079</v>
      </c>
      <c r="AB1092" s="338"/>
      <c r="AC1092" s="338"/>
      <c r="AD1092" s="338"/>
      <c r="AF1092" s="502" t="str">
        <f>Table15[[#This Row],[code2]]</f>
        <v>PCC</v>
      </c>
      <c r="AG1092" s="502" t="str">
        <f>Table15[[#This Row],[code5]]</f>
        <v>ARB</v>
      </c>
    </row>
    <row r="1093" spans="1:33">
      <c r="A1093" s="338" t="s">
        <v>6072</v>
      </c>
      <c r="B1093" s="338" t="s">
        <v>6073</v>
      </c>
      <c r="C1093" s="337">
        <v>1</v>
      </c>
      <c r="D1093" s="338" t="s">
        <v>7358</v>
      </c>
      <c r="E1093" s="338" t="s">
        <v>7359</v>
      </c>
      <c r="F1093" s="337">
        <v>1</v>
      </c>
      <c r="G1093" s="337">
        <v>1</v>
      </c>
      <c r="H1093" s="338"/>
      <c r="I1093" s="338" t="s">
        <v>8862</v>
      </c>
      <c r="J1093" s="338" t="s">
        <v>8863</v>
      </c>
      <c r="K1093" s="338" t="s">
        <v>7360</v>
      </c>
      <c r="L1093" s="338"/>
      <c r="M1093" s="338" t="s">
        <v>7426</v>
      </c>
      <c r="N1093" s="338" t="s">
        <v>4437</v>
      </c>
      <c r="O1093" s="337">
        <v>1</v>
      </c>
      <c r="P1093" s="337">
        <v>1</v>
      </c>
      <c r="Q1093" s="338"/>
      <c r="R1093" s="338"/>
      <c r="S1093" s="338"/>
      <c r="T1093" s="338" t="s">
        <v>7373</v>
      </c>
      <c r="U1093" s="338" t="s">
        <v>7428</v>
      </c>
      <c r="V1093" s="337">
        <v>1</v>
      </c>
      <c r="W1093" s="337">
        <v>1</v>
      </c>
      <c r="X1093" s="338"/>
      <c r="Y1093" s="338" t="s">
        <v>7367</v>
      </c>
      <c r="Z1093" s="338" t="s">
        <v>8686</v>
      </c>
      <c r="AA1093" s="338" t="s">
        <v>6079</v>
      </c>
      <c r="AB1093" s="338"/>
      <c r="AC1093" s="338"/>
      <c r="AD1093" s="338"/>
      <c r="AF1093" s="502" t="str">
        <f>Table15[[#This Row],[code2]]</f>
        <v>PCC</v>
      </c>
      <c r="AG1093" s="502" t="str">
        <f>Table15[[#This Row],[code5]]</f>
        <v>ARB</v>
      </c>
    </row>
    <row r="1094" spans="1:33">
      <c r="A1094" s="338" t="s">
        <v>6072</v>
      </c>
      <c r="B1094" s="338" t="s">
        <v>6073</v>
      </c>
      <c r="C1094" s="337">
        <v>1</v>
      </c>
      <c r="D1094" s="338" t="s">
        <v>7358</v>
      </c>
      <c r="E1094" s="338" t="s">
        <v>7359</v>
      </c>
      <c r="F1094" s="337">
        <v>1</v>
      </c>
      <c r="G1094" s="337">
        <v>1</v>
      </c>
      <c r="H1094" s="338"/>
      <c r="I1094" s="338" t="s">
        <v>8862</v>
      </c>
      <c r="J1094" s="338" t="s">
        <v>8863</v>
      </c>
      <c r="K1094" s="338" t="s">
        <v>7360</v>
      </c>
      <c r="L1094" s="338"/>
      <c r="M1094" s="338" t="s">
        <v>7426</v>
      </c>
      <c r="N1094" s="338" t="s">
        <v>4437</v>
      </c>
      <c r="O1094" s="337">
        <v>1</v>
      </c>
      <c r="P1094" s="337">
        <v>1</v>
      </c>
      <c r="Q1094" s="338"/>
      <c r="R1094" s="338"/>
      <c r="S1094" s="338"/>
      <c r="T1094" s="338" t="s">
        <v>7373</v>
      </c>
      <c r="U1094" s="338" t="s">
        <v>7429</v>
      </c>
      <c r="V1094" s="337">
        <v>1</v>
      </c>
      <c r="W1094" s="337">
        <v>1</v>
      </c>
      <c r="X1094" s="338"/>
      <c r="Y1094" s="338" t="s">
        <v>7370</v>
      </c>
      <c r="Z1094" s="338" t="s">
        <v>8686</v>
      </c>
      <c r="AA1094" s="338" t="s">
        <v>6079</v>
      </c>
      <c r="AB1094" s="338"/>
      <c r="AC1094" s="338"/>
      <c r="AD1094" s="338"/>
      <c r="AF1094" s="502" t="str">
        <f>Table15[[#This Row],[code2]]</f>
        <v>PCC</v>
      </c>
      <c r="AG1094" s="502" t="str">
        <f>Table15[[#This Row],[code5]]</f>
        <v>ARB</v>
      </c>
    </row>
    <row r="1095" spans="1:33">
      <c r="A1095" s="338" t="s">
        <v>6072</v>
      </c>
      <c r="B1095" s="338" t="s">
        <v>6073</v>
      </c>
      <c r="C1095" s="337">
        <v>1</v>
      </c>
      <c r="D1095" s="338" t="s">
        <v>7358</v>
      </c>
      <c r="E1095" s="338" t="s">
        <v>7359</v>
      </c>
      <c r="F1095" s="337">
        <v>1</v>
      </c>
      <c r="G1095" s="337">
        <v>1</v>
      </c>
      <c r="H1095" s="338"/>
      <c r="I1095" s="338" t="s">
        <v>8862</v>
      </c>
      <c r="J1095" s="338" t="s">
        <v>8863</v>
      </c>
      <c r="K1095" s="338" t="s">
        <v>7360</v>
      </c>
      <c r="L1095" s="338"/>
      <c r="M1095" s="338" t="s">
        <v>7430</v>
      </c>
      <c r="N1095" s="338" t="s">
        <v>7431</v>
      </c>
      <c r="O1095" s="337">
        <v>0</v>
      </c>
      <c r="P1095" s="337">
        <v>1</v>
      </c>
      <c r="Q1095" s="338"/>
      <c r="R1095" s="338"/>
      <c r="S1095" s="338"/>
      <c r="T1095" s="338"/>
      <c r="U1095" s="338" t="s">
        <v>7432</v>
      </c>
      <c r="V1095" s="337">
        <v>0</v>
      </c>
      <c r="W1095" s="337">
        <v>1</v>
      </c>
      <c r="X1095" s="338"/>
      <c r="Y1095" s="338" t="s">
        <v>7365</v>
      </c>
      <c r="Z1095" s="338" t="s">
        <v>7433</v>
      </c>
      <c r="AA1095" s="338" t="s">
        <v>6079</v>
      </c>
      <c r="AB1095" s="338"/>
      <c r="AC1095" s="338"/>
      <c r="AD1095" s="338"/>
      <c r="AF1095" s="502" t="str">
        <f>Table15[[#This Row],[code2]]</f>
        <v>PCC</v>
      </c>
      <c r="AG1095" s="502" t="str">
        <f>Table15[[#This Row],[code5]]</f>
        <v>ABC</v>
      </c>
    </row>
    <row r="1096" spans="1:33">
      <c r="A1096" s="338" t="s">
        <v>6072</v>
      </c>
      <c r="B1096" s="338" t="s">
        <v>6073</v>
      </c>
      <c r="C1096" s="337">
        <v>1</v>
      </c>
      <c r="D1096" s="338" t="s">
        <v>7358</v>
      </c>
      <c r="E1096" s="338" t="s">
        <v>7359</v>
      </c>
      <c r="F1096" s="337">
        <v>1</v>
      </c>
      <c r="G1096" s="337">
        <v>1</v>
      </c>
      <c r="H1096" s="338"/>
      <c r="I1096" s="338" t="s">
        <v>8862</v>
      </c>
      <c r="J1096" s="338" t="s">
        <v>8863</v>
      </c>
      <c r="K1096" s="338" t="s">
        <v>7360</v>
      </c>
      <c r="L1096" s="338"/>
      <c r="M1096" s="338" t="s">
        <v>7430</v>
      </c>
      <c r="N1096" s="338" t="s">
        <v>7431</v>
      </c>
      <c r="O1096" s="337">
        <v>0</v>
      </c>
      <c r="P1096" s="337">
        <v>1</v>
      </c>
      <c r="Q1096" s="338"/>
      <c r="R1096" s="338"/>
      <c r="S1096" s="338"/>
      <c r="T1096" s="338"/>
      <c r="U1096" s="338" t="s">
        <v>7434</v>
      </c>
      <c r="V1096" s="337">
        <v>0</v>
      </c>
      <c r="W1096" s="337">
        <v>1</v>
      </c>
      <c r="X1096" s="338"/>
      <c r="Y1096" s="338" t="s">
        <v>7367</v>
      </c>
      <c r="Z1096" s="338" t="s">
        <v>7433</v>
      </c>
      <c r="AA1096" s="338" t="s">
        <v>6079</v>
      </c>
      <c r="AB1096" s="338"/>
      <c r="AC1096" s="338"/>
      <c r="AD1096" s="338"/>
      <c r="AF1096" s="502" t="str">
        <f>Table15[[#This Row],[code2]]</f>
        <v>PCC</v>
      </c>
      <c r="AG1096" s="502" t="str">
        <f>Table15[[#This Row],[code5]]</f>
        <v>ABC</v>
      </c>
    </row>
    <row r="1097" spans="1:33">
      <c r="A1097" s="338" t="s">
        <v>6072</v>
      </c>
      <c r="B1097" s="338" t="s">
        <v>6073</v>
      </c>
      <c r="C1097" s="337">
        <v>1</v>
      </c>
      <c r="D1097" s="338" t="s">
        <v>7358</v>
      </c>
      <c r="E1097" s="338" t="s">
        <v>7359</v>
      </c>
      <c r="F1097" s="337">
        <v>1</v>
      </c>
      <c r="G1097" s="337">
        <v>1</v>
      </c>
      <c r="H1097" s="338"/>
      <c r="I1097" s="338" t="s">
        <v>8862</v>
      </c>
      <c r="J1097" s="338" t="s">
        <v>8863</v>
      </c>
      <c r="K1097" s="338" t="s">
        <v>7360</v>
      </c>
      <c r="L1097" s="338"/>
      <c r="M1097" s="338" t="s">
        <v>7430</v>
      </c>
      <c r="N1097" s="338" t="s">
        <v>7431</v>
      </c>
      <c r="O1097" s="337">
        <v>0</v>
      </c>
      <c r="P1097" s="337">
        <v>1</v>
      </c>
      <c r="Q1097" s="338"/>
      <c r="R1097" s="338"/>
      <c r="S1097" s="338"/>
      <c r="T1097" s="338"/>
      <c r="U1097" s="338" t="s">
        <v>7435</v>
      </c>
      <c r="V1097" s="337">
        <v>0</v>
      </c>
      <c r="W1097" s="337">
        <v>1</v>
      </c>
      <c r="X1097" s="338"/>
      <c r="Y1097" s="338" t="s">
        <v>7370</v>
      </c>
      <c r="Z1097" s="338" t="s">
        <v>7433</v>
      </c>
      <c r="AA1097" s="338" t="s">
        <v>6079</v>
      </c>
      <c r="AB1097" s="338"/>
      <c r="AC1097" s="338"/>
      <c r="AD1097" s="338"/>
      <c r="AF1097" s="502" t="str">
        <f>Table15[[#This Row],[code2]]</f>
        <v>PCC</v>
      </c>
      <c r="AG1097" s="502" t="str">
        <f>Table15[[#This Row],[code5]]</f>
        <v>ABC</v>
      </c>
    </row>
    <row r="1098" spans="1:33">
      <c r="A1098" s="338" t="s">
        <v>6072</v>
      </c>
      <c r="B1098" s="338" t="s">
        <v>6073</v>
      </c>
      <c r="C1098" s="337">
        <v>1</v>
      </c>
      <c r="D1098" s="338" t="s">
        <v>7358</v>
      </c>
      <c r="E1098" s="338" t="s">
        <v>7359</v>
      </c>
      <c r="F1098" s="337">
        <v>1</v>
      </c>
      <c r="G1098" s="337">
        <v>1</v>
      </c>
      <c r="H1098" s="338"/>
      <c r="I1098" s="338" t="s">
        <v>8862</v>
      </c>
      <c r="J1098" s="338" t="s">
        <v>8863</v>
      </c>
      <c r="K1098" s="338" t="s">
        <v>7360</v>
      </c>
      <c r="L1098" s="338"/>
      <c r="M1098" s="338" t="s">
        <v>7436</v>
      </c>
      <c r="N1098" s="338" t="s">
        <v>7437</v>
      </c>
      <c r="O1098" s="337">
        <v>0</v>
      </c>
      <c r="P1098" s="337">
        <v>1</v>
      </c>
      <c r="Q1098" s="338"/>
      <c r="R1098" s="338"/>
      <c r="S1098" s="338"/>
      <c r="T1098" s="338"/>
      <c r="U1098" s="338" t="s">
        <v>7438</v>
      </c>
      <c r="V1098" s="337">
        <v>0</v>
      </c>
      <c r="W1098" s="337">
        <v>1</v>
      </c>
      <c r="X1098" s="338"/>
      <c r="Y1098" s="338" t="s">
        <v>7365</v>
      </c>
      <c r="Z1098" s="338" t="s">
        <v>7439</v>
      </c>
      <c r="AA1098" s="338" t="s">
        <v>6079</v>
      </c>
      <c r="AB1098" s="338"/>
      <c r="AC1098" s="338"/>
      <c r="AD1098" s="338"/>
      <c r="AF1098" s="502" t="str">
        <f>Table15[[#This Row],[code2]]</f>
        <v>PCC</v>
      </c>
      <c r="AG1098" s="502" t="str">
        <f>Table15[[#This Row],[code5]]</f>
        <v>LIMC</v>
      </c>
    </row>
    <row r="1099" spans="1:33">
      <c r="A1099" s="338" t="s">
        <v>6072</v>
      </c>
      <c r="B1099" s="338" t="s">
        <v>6073</v>
      </c>
      <c r="C1099" s="337">
        <v>1</v>
      </c>
      <c r="D1099" s="338" t="s">
        <v>7358</v>
      </c>
      <c r="E1099" s="338" t="s">
        <v>7359</v>
      </c>
      <c r="F1099" s="337">
        <v>1</v>
      </c>
      <c r="G1099" s="337">
        <v>1</v>
      </c>
      <c r="H1099" s="338"/>
      <c r="I1099" s="338" t="s">
        <v>8862</v>
      </c>
      <c r="J1099" s="338" t="s">
        <v>8863</v>
      </c>
      <c r="K1099" s="338" t="s">
        <v>7360</v>
      </c>
      <c r="L1099" s="338"/>
      <c r="M1099" s="338" t="s">
        <v>7436</v>
      </c>
      <c r="N1099" s="338" t="s">
        <v>7437</v>
      </c>
      <c r="O1099" s="337">
        <v>0</v>
      </c>
      <c r="P1099" s="337">
        <v>1</v>
      </c>
      <c r="Q1099" s="338"/>
      <c r="R1099" s="338"/>
      <c r="S1099" s="338"/>
      <c r="T1099" s="338"/>
      <c r="U1099" s="338" t="s">
        <v>7440</v>
      </c>
      <c r="V1099" s="337">
        <v>0</v>
      </c>
      <c r="W1099" s="337">
        <v>1</v>
      </c>
      <c r="X1099" s="338"/>
      <c r="Y1099" s="338" t="s">
        <v>7367</v>
      </c>
      <c r="Z1099" s="338" t="s">
        <v>7439</v>
      </c>
      <c r="AA1099" s="338" t="s">
        <v>6079</v>
      </c>
      <c r="AB1099" s="338"/>
      <c r="AC1099" s="338"/>
      <c r="AD1099" s="338"/>
      <c r="AF1099" s="502" t="str">
        <f>Table15[[#This Row],[code2]]</f>
        <v>PCC</v>
      </c>
      <c r="AG1099" s="502" t="str">
        <f>Table15[[#This Row],[code5]]</f>
        <v>LIMC</v>
      </c>
    </row>
    <row r="1100" spans="1:33">
      <c r="A1100" s="338" t="s">
        <v>6072</v>
      </c>
      <c r="B1100" s="338" t="s">
        <v>6073</v>
      </c>
      <c r="C1100" s="337">
        <v>1</v>
      </c>
      <c r="D1100" s="338" t="s">
        <v>7358</v>
      </c>
      <c r="E1100" s="338" t="s">
        <v>7359</v>
      </c>
      <c r="F1100" s="337">
        <v>1</v>
      </c>
      <c r="G1100" s="337">
        <v>1</v>
      </c>
      <c r="H1100" s="338"/>
      <c r="I1100" s="338" t="s">
        <v>8862</v>
      </c>
      <c r="J1100" s="338" t="s">
        <v>8863</v>
      </c>
      <c r="K1100" s="338" t="s">
        <v>7360</v>
      </c>
      <c r="L1100" s="338"/>
      <c r="M1100" s="338" t="s">
        <v>7436</v>
      </c>
      <c r="N1100" s="338" t="s">
        <v>7437</v>
      </c>
      <c r="O1100" s="337">
        <v>0</v>
      </c>
      <c r="P1100" s="337">
        <v>1</v>
      </c>
      <c r="Q1100" s="338"/>
      <c r="R1100" s="338"/>
      <c r="S1100" s="338"/>
      <c r="T1100" s="338"/>
      <c r="U1100" s="338" t="s">
        <v>7441</v>
      </c>
      <c r="V1100" s="337">
        <v>0</v>
      </c>
      <c r="W1100" s="337">
        <v>1</v>
      </c>
      <c r="X1100" s="338"/>
      <c r="Y1100" s="338" t="s">
        <v>7370</v>
      </c>
      <c r="Z1100" s="338" t="s">
        <v>7439</v>
      </c>
      <c r="AA1100" s="338" t="s">
        <v>6079</v>
      </c>
      <c r="AB1100" s="338"/>
      <c r="AC1100" s="338"/>
      <c r="AD1100" s="338"/>
      <c r="AF1100" s="502" t="str">
        <f>Table15[[#This Row],[code2]]</f>
        <v>PCC</v>
      </c>
      <c r="AG1100" s="502" t="str">
        <f>Table15[[#This Row],[code5]]</f>
        <v>LIMC</v>
      </c>
    </row>
    <row r="1101" spans="1:33">
      <c r="A1101" s="338" t="s">
        <v>6072</v>
      </c>
      <c r="B1101" s="338" t="s">
        <v>6073</v>
      </c>
      <c r="C1101" s="337">
        <v>1</v>
      </c>
      <c r="D1101" s="338" t="s">
        <v>7358</v>
      </c>
      <c r="E1101" s="338" t="s">
        <v>7359</v>
      </c>
      <c r="F1101" s="337">
        <v>1</v>
      </c>
      <c r="G1101" s="337">
        <v>1</v>
      </c>
      <c r="H1101" s="338"/>
      <c r="I1101" s="338" t="s">
        <v>8862</v>
      </c>
      <c r="J1101" s="338" t="s">
        <v>8863</v>
      </c>
      <c r="K1101" s="338" t="s">
        <v>7360</v>
      </c>
      <c r="L1101" s="338"/>
      <c r="M1101" s="338" t="s">
        <v>7442</v>
      </c>
      <c r="N1101" s="338" t="s">
        <v>7443</v>
      </c>
      <c r="O1101" s="337">
        <v>0</v>
      </c>
      <c r="P1101" s="337">
        <v>1</v>
      </c>
      <c r="Q1101" s="338"/>
      <c r="R1101" s="338"/>
      <c r="S1101" s="338"/>
      <c r="T1101" s="338"/>
      <c r="U1101" s="338" t="s">
        <v>7444</v>
      </c>
      <c r="V1101" s="337">
        <v>0</v>
      </c>
      <c r="W1101" s="337">
        <v>1</v>
      </c>
      <c r="X1101" s="338"/>
      <c r="Y1101" s="338" t="s">
        <v>7365</v>
      </c>
      <c r="Z1101" s="338" t="s">
        <v>7445</v>
      </c>
      <c r="AA1101" s="338" t="s">
        <v>6079</v>
      </c>
      <c r="AB1101" s="338"/>
      <c r="AC1101" s="338"/>
      <c r="AD1101" s="338"/>
      <c r="AF1101" s="502" t="str">
        <f>Table15[[#This Row],[code2]]</f>
        <v>PCC</v>
      </c>
      <c r="AG1101" s="502" t="str">
        <f>Table15[[#This Row],[code5]]</f>
        <v>AFLI</v>
      </c>
    </row>
    <row r="1102" spans="1:33">
      <c r="A1102" s="338" t="s">
        <v>6072</v>
      </c>
      <c r="B1102" s="338" t="s">
        <v>6073</v>
      </c>
      <c r="C1102" s="337">
        <v>1</v>
      </c>
      <c r="D1102" s="338" t="s">
        <v>7358</v>
      </c>
      <c r="E1102" s="338" t="s">
        <v>7359</v>
      </c>
      <c r="F1102" s="337">
        <v>1</v>
      </c>
      <c r="G1102" s="337">
        <v>1</v>
      </c>
      <c r="H1102" s="338"/>
      <c r="I1102" s="338" t="s">
        <v>8862</v>
      </c>
      <c r="J1102" s="338" t="s">
        <v>8863</v>
      </c>
      <c r="K1102" s="338" t="s">
        <v>7360</v>
      </c>
      <c r="L1102" s="338"/>
      <c r="M1102" s="338" t="s">
        <v>7442</v>
      </c>
      <c r="N1102" s="338" t="s">
        <v>7443</v>
      </c>
      <c r="O1102" s="337">
        <v>0</v>
      </c>
      <c r="P1102" s="337">
        <v>1</v>
      </c>
      <c r="Q1102" s="338"/>
      <c r="R1102" s="338"/>
      <c r="S1102" s="338"/>
      <c r="T1102" s="338"/>
      <c r="U1102" s="338" t="s">
        <v>7446</v>
      </c>
      <c r="V1102" s="337">
        <v>0</v>
      </c>
      <c r="W1102" s="337">
        <v>1</v>
      </c>
      <c r="X1102" s="338"/>
      <c r="Y1102" s="338" t="s">
        <v>7367</v>
      </c>
      <c r="Z1102" s="338" t="s">
        <v>7445</v>
      </c>
      <c r="AA1102" s="338" t="s">
        <v>6079</v>
      </c>
      <c r="AB1102" s="338"/>
      <c r="AC1102" s="338"/>
      <c r="AD1102" s="338"/>
      <c r="AF1102" s="502" t="str">
        <f>Table15[[#This Row],[code2]]</f>
        <v>PCC</v>
      </c>
      <c r="AG1102" s="502" t="str">
        <f>Table15[[#This Row],[code5]]</f>
        <v>AFLI</v>
      </c>
    </row>
    <row r="1103" spans="1:33">
      <c r="A1103" s="338" t="s">
        <v>6072</v>
      </c>
      <c r="B1103" s="338" t="s">
        <v>6073</v>
      </c>
      <c r="C1103" s="337">
        <v>1</v>
      </c>
      <c r="D1103" s="338" t="s">
        <v>7358</v>
      </c>
      <c r="E1103" s="338" t="s">
        <v>7359</v>
      </c>
      <c r="F1103" s="337">
        <v>1</v>
      </c>
      <c r="G1103" s="337">
        <v>1</v>
      </c>
      <c r="H1103" s="338"/>
      <c r="I1103" s="338" t="s">
        <v>8862</v>
      </c>
      <c r="J1103" s="338" t="s">
        <v>8863</v>
      </c>
      <c r="K1103" s="338" t="s">
        <v>7360</v>
      </c>
      <c r="L1103" s="338"/>
      <c r="M1103" s="338" t="s">
        <v>7442</v>
      </c>
      <c r="N1103" s="338" t="s">
        <v>7443</v>
      </c>
      <c r="O1103" s="337">
        <v>0</v>
      </c>
      <c r="P1103" s="337">
        <v>1</v>
      </c>
      <c r="Q1103" s="338"/>
      <c r="R1103" s="338"/>
      <c r="S1103" s="338"/>
      <c r="T1103" s="338"/>
      <c r="U1103" s="338" t="s">
        <v>7447</v>
      </c>
      <c r="V1103" s="337">
        <v>0</v>
      </c>
      <c r="W1103" s="337">
        <v>1</v>
      </c>
      <c r="X1103" s="338"/>
      <c r="Y1103" s="338" t="s">
        <v>7370</v>
      </c>
      <c r="Z1103" s="338" t="s">
        <v>7445</v>
      </c>
      <c r="AA1103" s="338" t="s">
        <v>6079</v>
      </c>
      <c r="AB1103" s="338"/>
      <c r="AC1103" s="338"/>
      <c r="AD1103" s="338"/>
      <c r="AF1103" s="502" t="str">
        <f>Table15[[#This Row],[code2]]</f>
        <v>PCC</v>
      </c>
      <c r="AG1103" s="502" t="str">
        <f>Table15[[#This Row],[code5]]</f>
        <v>AFLI</v>
      </c>
    </row>
    <row r="1104" spans="1:33">
      <c r="A1104" s="338" t="s">
        <v>6072</v>
      </c>
      <c r="B1104" s="338" t="s">
        <v>6073</v>
      </c>
      <c r="C1104" s="337">
        <v>1</v>
      </c>
      <c r="D1104" s="338" t="s">
        <v>7358</v>
      </c>
      <c r="E1104" s="338" t="s">
        <v>7359</v>
      </c>
      <c r="F1104" s="337">
        <v>1</v>
      </c>
      <c r="G1104" s="337">
        <v>1</v>
      </c>
      <c r="H1104" s="338"/>
      <c r="I1104" s="338" t="s">
        <v>8862</v>
      </c>
      <c r="J1104" s="338" t="s">
        <v>8863</v>
      </c>
      <c r="K1104" s="338" t="s">
        <v>7360</v>
      </c>
      <c r="L1104" s="338"/>
      <c r="M1104" s="338" t="s">
        <v>7448</v>
      </c>
      <c r="N1104" s="338" t="s">
        <v>7449</v>
      </c>
      <c r="O1104" s="337">
        <v>0</v>
      </c>
      <c r="P1104" s="337">
        <v>1</v>
      </c>
      <c r="Q1104" s="338"/>
      <c r="R1104" s="338"/>
      <c r="S1104" s="338"/>
      <c r="T1104" s="338"/>
      <c r="U1104" s="338" t="s">
        <v>7450</v>
      </c>
      <c r="V1104" s="337">
        <v>0</v>
      </c>
      <c r="W1104" s="337">
        <v>1</v>
      </c>
      <c r="X1104" s="338"/>
      <c r="Y1104" s="338" t="s">
        <v>7365</v>
      </c>
      <c r="Z1104" s="338" t="s">
        <v>7451</v>
      </c>
      <c r="AA1104" s="338" t="s">
        <v>6079</v>
      </c>
      <c r="AB1104" s="338"/>
      <c r="AC1104" s="338"/>
      <c r="AD1104" s="338"/>
      <c r="AF1104" s="502" t="str">
        <f>Table15[[#This Row],[code2]]</f>
        <v>PCC</v>
      </c>
      <c r="AG1104" s="502" t="str">
        <f>Table15[[#This Row],[code5]]</f>
        <v>AFDM</v>
      </c>
    </row>
    <row r="1105" spans="1:33">
      <c r="A1105" s="338" t="s">
        <v>6072</v>
      </c>
      <c r="B1105" s="338" t="s">
        <v>6073</v>
      </c>
      <c r="C1105" s="337">
        <v>1</v>
      </c>
      <c r="D1105" s="338" t="s">
        <v>7358</v>
      </c>
      <c r="E1105" s="338" t="s">
        <v>7359</v>
      </c>
      <c r="F1105" s="337">
        <v>1</v>
      </c>
      <c r="G1105" s="337">
        <v>1</v>
      </c>
      <c r="H1105" s="338"/>
      <c r="I1105" s="338" t="s">
        <v>8862</v>
      </c>
      <c r="J1105" s="338" t="s">
        <v>8863</v>
      </c>
      <c r="K1105" s="338" t="s">
        <v>7360</v>
      </c>
      <c r="L1105" s="338"/>
      <c r="M1105" s="338" t="s">
        <v>7448</v>
      </c>
      <c r="N1105" s="338" t="s">
        <v>7449</v>
      </c>
      <c r="O1105" s="337">
        <v>0</v>
      </c>
      <c r="P1105" s="337">
        <v>1</v>
      </c>
      <c r="Q1105" s="338"/>
      <c r="R1105" s="338"/>
      <c r="S1105" s="338"/>
      <c r="T1105" s="338"/>
      <c r="U1105" s="338" t="s">
        <v>7452</v>
      </c>
      <c r="V1105" s="337">
        <v>0</v>
      </c>
      <c r="W1105" s="337">
        <v>1</v>
      </c>
      <c r="X1105" s="338"/>
      <c r="Y1105" s="338" t="s">
        <v>7367</v>
      </c>
      <c r="Z1105" s="338" t="s">
        <v>7453</v>
      </c>
      <c r="AA1105" s="338" t="s">
        <v>6079</v>
      </c>
      <c r="AB1105" s="338"/>
      <c r="AC1105" s="338"/>
      <c r="AD1105" s="338"/>
      <c r="AF1105" s="502" t="str">
        <f>Table15[[#This Row],[code2]]</f>
        <v>PCC</v>
      </c>
      <c r="AG1105" s="502" t="str">
        <f>Table15[[#This Row],[code5]]</f>
        <v>AFDM</v>
      </c>
    </row>
    <row r="1106" spans="1:33">
      <c r="A1106" s="338" t="s">
        <v>6072</v>
      </c>
      <c r="B1106" s="338" t="s">
        <v>6073</v>
      </c>
      <c r="C1106" s="337">
        <v>1</v>
      </c>
      <c r="D1106" s="338" t="s">
        <v>7358</v>
      </c>
      <c r="E1106" s="338" t="s">
        <v>7359</v>
      </c>
      <c r="F1106" s="337">
        <v>1</v>
      </c>
      <c r="G1106" s="337">
        <v>1</v>
      </c>
      <c r="H1106" s="338"/>
      <c r="I1106" s="338" t="s">
        <v>8862</v>
      </c>
      <c r="J1106" s="338" t="s">
        <v>8863</v>
      </c>
      <c r="K1106" s="338" t="s">
        <v>7360</v>
      </c>
      <c r="L1106" s="338"/>
      <c r="M1106" s="338" t="s">
        <v>7448</v>
      </c>
      <c r="N1106" s="338" t="s">
        <v>7449</v>
      </c>
      <c r="O1106" s="337">
        <v>0</v>
      </c>
      <c r="P1106" s="337">
        <v>1</v>
      </c>
      <c r="Q1106" s="338"/>
      <c r="R1106" s="338"/>
      <c r="S1106" s="338"/>
      <c r="T1106" s="338"/>
      <c r="U1106" s="338" t="s">
        <v>7454</v>
      </c>
      <c r="V1106" s="337">
        <v>0</v>
      </c>
      <c r="W1106" s="337">
        <v>1</v>
      </c>
      <c r="X1106" s="338"/>
      <c r="Y1106" s="338" t="s">
        <v>7370</v>
      </c>
      <c r="Z1106" s="338" t="s">
        <v>7453</v>
      </c>
      <c r="AA1106" s="338" t="s">
        <v>6079</v>
      </c>
      <c r="AB1106" s="338"/>
      <c r="AC1106" s="338"/>
      <c r="AD1106" s="338"/>
      <c r="AF1106" s="502" t="str">
        <f>Table15[[#This Row],[code2]]</f>
        <v>PCC</v>
      </c>
      <c r="AG1106" s="502" t="str">
        <f>Table15[[#This Row],[code5]]</f>
        <v>AFDM</v>
      </c>
    </row>
    <row r="1107" spans="1:33">
      <c r="A1107" s="338" t="s">
        <v>6072</v>
      </c>
      <c r="B1107" s="338" t="s">
        <v>6073</v>
      </c>
      <c r="C1107" s="337">
        <v>1</v>
      </c>
      <c r="D1107" s="338" t="s">
        <v>7358</v>
      </c>
      <c r="E1107" s="338" t="s">
        <v>7359</v>
      </c>
      <c r="F1107" s="337">
        <v>1</v>
      </c>
      <c r="G1107" s="337">
        <v>1</v>
      </c>
      <c r="H1107" s="338"/>
      <c r="I1107" s="338" t="s">
        <v>8862</v>
      </c>
      <c r="J1107" s="338" t="s">
        <v>8863</v>
      </c>
      <c r="K1107" s="338" t="s">
        <v>7360</v>
      </c>
      <c r="L1107" s="338"/>
      <c r="M1107" s="338" t="s">
        <v>7455</v>
      </c>
      <c r="N1107" s="338" t="s">
        <v>7456</v>
      </c>
      <c r="O1107" s="337">
        <v>0</v>
      </c>
      <c r="P1107" s="337">
        <v>1</v>
      </c>
      <c r="Q1107" s="338"/>
      <c r="R1107" s="338"/>
      <c r="S1107" s="338"/>
      <c r="T1107" s="338"/>
      <c r="U1107" s="338" t="s">
        <v>7457</v>
      </c>
      <c r="V1107" s="337">
        <v>0</v>
      </c>
      <c r="W1107" s="337">
        <v>1</v>
      </c>
      <c r="X1107" s="338"/>
      <c r="Y1107" s="338" t="s">
        <v>7365</v>
      </c>
      <c r="Z1107" s="338" t="s">
        <v>7458</v>
      </c>
      <c r="AA1107" s="338" t="s">
        <v>6079</v>
      </c>
      <c r="AB1107" s="338"/>
      <c r="AC1107" s="338"/>
      <c r="AD1107" s="338"/>
      <c r="AF1107" s="502" t="str">
        <f>Table15[[#This Row],[code2]]</f>
        <v>PCC</v>
      </c>
      <c r="AG1107" s="502" t="str">
        <f>Table15[[#This Row],[code5]]</f>
        <v>AVP</v>
      </c>
    </row>
    <row r="1108" spans="1:33">
      <c r="A1108" s="338" t="s">
        <v>6072</v>
      </c>
      <c r="B1108" s="338" t="s">
        <v>6073</v>
      </c>
      <c r="C1108" s="337">
        <v>1</v>
      </c>
      <c r="D1108" s="338" t="s">
        <v>7358</v>
      </c>
      <c r="E1108" s="338" t="s">
        <v>7359</v>
      </c>
      <c r="F1108" s="337">
        <v>1</v>
      </c>
      <c r="G1108" s="337">
        <v>1</v>
      </c>
      <c r="H1108" s="338"/>
      <c r="I1108" s="338" t="s">
        <v>8862</v>
      </c>
      <c r="J1108" s="338" t="s">
        <v>8863</v>
      </c>
      <c r="K1108" s="338" t="s">
        <v>7360</v>
      </c>
      <c r="L1108" s="338"/>
      <c r="M1108" s="338" t="s">
        <v>7455</v>
      </c>
      <c r="N1108" s="338" t="s">
        <v>7456</v>
      </c>
      <c r="O1108" s="337">
        <v>0</v>
      </c>
      <c r="P1108" s="337">
        <v>1</v>
      </c>
      <c r="Q1108" s="338"/>
      <c r="R1108" s="338"/>
      <c r="S1108" s="338"/>
      <c r="T1108" s="338"/>
      <c r="U1108" s="338" t="s">
        <v>7459</v>
      </c>
      <c r="V1108" s="337">
        <v>0</v>
      </c>
      <c r="W1108" s="337">
        <v>1</v>
      </c>
      <c r="X1108" s="338"/>
      <c r="Y1108" s="338" t="s">
        <v>7367</v>
      </c>
      <c r="Z1108" s="338" t="s">
        <v>7458</v>
      </c>
      <c r="AA1108" s="338" t="s">
        <v>6079</v>
      </c>
      <c r="AB1108" s="338"/>
      <c r="AC1108" s="338"/>
      <c r="AD1108" s="338"/>
      <c r="AF1108" s="502" t="str">
        <f>Table15[[#This Row],[code2]]</f>
        <v>PCC</v>
      </c>
      <c r="AG1108" s="502" t="str">
        <f>Table15[[#This Row],[code5]]</f>
        <v>AVP</v>
      </c>
    </row>
    <row r="1109" spans="1:33">
      <c r="A1109" s="338" t="s">
        <v>6072</v>
      </c>
      <c r="B1109" s="338" t="s">
        <v>6073</v>
      </c>
      <c r="C1109" s="337">
        <v>1</v>
      </c>
      <c r="D1109" s="338" t="s">
        <v>7358</v>
      </c>
      <c r="E1109" s="338" t="s">
        <v>7359</v>
      </c>
      <c r="F1109" s="337">
        <v>1</v>
      </c>
      <c r="G1109" s="337">
        <v>1</v>
      </c>
      <c r="H1109" s="338"/>
      <c r="I1109" s="338" t="s">
        <v>8862</v>
      </c>
      <c r="J1109" s="338" t="s">
        <v>8863</v>
      </c>
      <c r="K1109" s="338" t="s">
        <v>7360</v>
      </c>
      <c r="L1109" s="338"/>
      <c r="M1109" s="338" t="s">
        <v>7455</v>
      </c>
      <c r="N1109" s="338" t="s">
        <v>7456</v>
      </c>
      <c r="O1109" s="337">
        <v>0</v>
      </c>
      <c r="P1109" s="337">
        <v>1</v>
      </c>
      <c r="Q1109" s="338"/>
      <c r="R1109" s="338"/>
      <c r="S1109" s="338"/>
      <c r="T1109" s="338"/>
      <c r="U1109" s="338" t="s">
        <v>7460</v>
      </c>
      <c r="V1109" s="337">
        <v>0</v>
      </c>
      <c r="W1109" s="337">
        <v>1</v>
      </c>
      <c r="X1109" s="338"/>
      <c r="Y1109" s="338" t="s">
        <v>7370</v>
      </c>
      <c r="Z1109" s="338" t="s">
        <v>7458</v>
      </c>
      <c r="AA1109" s="338" t="s">
        <v>6079</v>
      </c>
      <c r="AB1109" s="338"/>
      <c r="AC1109" s="338"/>
      <c r="AD1109" s="338"/>
      <c r="AF1109" s="502" t="str">
        <f>Table15[[#This Row],[code2]]</f>
        <v>PCC</v>
      </c>
      <c r="AG1109" s="502" t="str">
        <f>Table15[[#This Row],[code5]]</f>
        <v>AVP</v>
      </c>
    </row>
    <row r="1110" spans="1:33">
      <c r="A1110" s="338" t="s">
        <v>6072</v>
      </c>
      <c r="B1110" s="338" t="s">
        <v>6073</v>
      </c>
      <c r="C1110" s="337">
        <v>1</v>
      </c>
      <c r="D1110" s="338" t="s">
        <v>7358</v>
      </c>
      <c r="E1110" s="338" t="s">
        <v>7359</v>
      </c>
      <c r="F1110" s="337">
        <v>1</v>
      </c>
      <c r="G1110" s="337">
        <v>1</v>
      </c>
      <c r="H1110" s="338"/>
      <c r="I1110" s="338" t="s">
        <v>8862</v>
      </c>
      <c r="J1110" s="338" t="s">
        <v>8863</v>
      </c>
      <c r="K1110" s="338" t="s">
        <v>7360</v>
      </c>
      <c r="L1110" s="338"/>
      <c r="M1110" s="338" t="s">
        <v>7461</v>
      </c>
      <c r="N1110" s="338" t="s">
        <v>7462</v>
      </c>
      <c r="O1110" s="337">
        <v>0</v>
      </c>
      <c r="P1110" s="337">
        <v>1</v>
      </c>
      <c r="Q1110" s="338"/>
      <c r="R1110" s="338"/>
      <c r="S1110" s="338"/>
      <c r="T1110" s="338"/>
      <c r="U1110" s="338" t="s">
        <v>7463</v>
      </c>
      <c r="V1110" s="337">
        <v>0</v>
      </c>
      <c r="W1110" s="337">
        <v>1</v>
      </c>
      <c r="X1110" s="338"/>
      <c r="Y1110" s="338" t="s">
        <v>7365</v>
      </c>
      <c r="Z1110" s="338" t="s">
        <v>7464</v>
      </c>
      <c r="AA1110" s="338" t="s">
        <v>6079</v>
      </c>
      <c r="AB1110" s="338"/>
      <c r="AC1110" s="338"/>
      <c r="AD1110" s="338"/>
      <c r="AF1110" s="502" t="str">
        <f>Table15[[#This Row],[code2]]</f>
        <v>PCC</v>
      </c>
      <c r="AG1110" s="502" t="str">
        <f>Table15[[#This Row],[code5]]</f>
        <v>RVPC</v>
      </c>
    </row>
    <row r="1111" spans="1:33">
      <c r="A1111" s="338" t="s">
        <v>6072</v>
      </c>
      <c r="B1111" s="338" t="s">
        <v>6073</v>
      </c>
      <c r="C1111" s="337">
        <v>1</v>
      </c>
      <c r="D1111" s="338" t="s">
        <v>7358</v>
      </c>
      <c r="E1111" s="338" t="s">
        <v>7359</v>
      </c>
      <c r="F1111" s="337">
        <v>1</v>
      </c>
      <c r="G1111" s="337">
        <v>1</v>
      </c>
      <c r="H1111" s="338"/>
      <c r="I1111" s="338" t="s">
        <v>8862</v>
      </c>
      <c r="J1111" s="338" t="s">
        <v>8863</v>
      </c>
      <c r="K1111" s="338" t="s">
        <v>7360</v>
      </c>
      <c r="L1111" s="338"/>
      <c r="M1111" s="338" t="s">
        <v>7461</v>
      </c>
      <c r="N1111" s="338" t="s">
        <v>7462</v>
      </c>
      <c r="O1111" s="337">
        <v>0</v>
      </c>
      <c r="P1111" s="337">
        <v>1</v>
      </c>
      <c r="Q1111" s="338"/>
      <c r="R1111" s="338"/>
      <c r="S1111" s="338"/>
      <c r="T1111" s="338"/>
      <c r="U1111" s="338" t="s">
        <v>7465</v>
      </c>
      <c r="V1111" s="337">
        <v>0</v>
      </c>
      <c r="W1111" s="337">
        <v>1</v>
      </c>
      <c r="X1111" s="338"/>
      <c r="Y1111" s="338" t="s">
        <v>7367</v>
      </c>
      <c r="Z1111" s="338" t="s">
        <v>7464</v>
      </c>
      <c r="AA1111" s="338" t="s">
        <v>6079</v>
      </c>
      <c r="AB1111" s="338"/>
      <c r="AC1111" s="338"/>
      <c r="AD1111" s="338"/>
      <c r="AF1111" s="502" t="str">
        <f>Table15[[#This Row],[code2]]</f>
        <v>PCC</v>
      </c>
      <c r="AG1111" s="502" t="str">
        <f>Table15[[#This Row],[code5]]</f>
        <v>RVPC</v>
      </c>
    </row>
    <row r="1112" spans="1:33">
      <c r="A1112" s="338" t="s">
        <v>6072</v>
      </c>
      <c r="B1112" s="338" t="s">
        <v>6073</v>
      </c>
      <c r="C1112" s="337">
        <v>1</v>
      </c>
      <c r="D1112" s="338" t="s">
        <v>7358</v>
      </c>
      <c r="E1112" s="338" t="s">
        <v>7359</v>
      </c>
      <c r="F1112" s="337">
        <v>1</v>
      </c>
      <c r="G1112" s="337">
        <v>1</v>
      </c>
      <c r="H1112" s="338"/>
      <c r="I1112" s="338" t="s">
        <v>8862</v>
      </c>
      <c r="J1112" s="338" t="s">
        <v>8863</v>
      </c>
      <c r="K1112" s="338" t="s">
        <v>7360</v>
      </c>
      <c r="L1112" s="338"/>
      <c r="M1112" s="338" t="s">
        <v>7461</v>
      </c>
      <c r="N1112" s="338" t="s">
        <v>7462</v>
      </c>
      <c r="O1112" s="337">
        <v>0</v>
      </c>
      <c r="P1112" s="337">
        <v>1</v>
      </c>
      <c r="Q1112" s="338"/>
      <c r="R1112" s="338"/>
      <c r="S1112" s="338"/>
      <c r="T1112" s="338"/>
      <c r="U1112" s="338" t="s">
        <v>7466</v>
      </c>
      <c r="V1112" s="337">
        <v>0</v>
      </c>
      <c r="W1112" s="337">
        <v>1</v>
      </c>
      <c r="X1112" s="338"/>
      <c r="Y1112" s="338" t="s">
        <v>7370</v>
      </c>
      <c r="Z1112" s="338" t="s">
        <v>7464</v>
      </c>
      <c r="AA1112" s="338" t="s">
        <v>6079</v>
      </c>
      <c r="AB1112" s="338"/>
      <c r="AC1112" s="338"/>
      <c r="AD1112" s="338"/>
      <c r="AF1112" s="502" t="str">
        <f>Table15[[#This Row],[code2]]</f>
        <v>PCC</v>
      </c>
      <c r="AG1112" s="502" t="str">
        <f>Table15[[#This Row],[code5]]</f>
        <v>RVPC</v>
      </c>
    </row>
    <row r="1113" spans="1:33">
      <c r="A1113" s="338" t="s">
        <v>6072</v>
      </c>
      <c r="B1113" s="338" t="s">
        <v>6073</v>
      </c>
      <c r="C1113" s="337">
        <v>1</v>
      </c>
      <c r="D1113" s="338" t="s">
        <v>7358</v>
      </c>
      <c r="E1113" s="338" t="s">
        <v>7359</v>
      </c>
      <c r="F1113" s="337">
        <v>1</v>
      </c>
      <c r="G1113" s="337">
        <v>1</v>
      </c>
      <c r="H1113" s="338"/>
      <c r="I1113" s="338" t="s">
        <v>8862</v>
      </c>
      <c r="J1113" s="338" t="s">
        <v>8863</v>
      </c>
      <c r="K1113" s="338" t="s">
        <v>7360</v>
      </c>
      <c r="L1113" s="338"/>
      <c r="M1113" s="338" t="s">
        <v>7467</v>
      </c>
      <c r="N1113" s="338" t="s">
        <v>7468</v>
      </c>
      <c r="O1113" s="337">
        <v>1</v>
      </c>
      <c r="P1113" s="337">
        <v>1</v>
      </c>
      <c r="Q1113" s="338"/>
      <c r="R1113" s="338"/>
      <c r="S1113" s="338"/>
      <c r="T1113" s="338"/>
      <c r="U1113" s="338" t="s">
        <v>7467</v>
      </c>
      <c r="V1113" s="337">
        <v>1</v>
      </c>
      <c r="W1113" s="337">
        <v>1</v>
      </c>
      <c r="X1113" s="338"/>
      <c r="Y1113" s="338" t="s">
        <v>6318</v>
      </c>
      <c r="Z1113" s="338" t="s">
        <v>7469</v>
      </c>
      <c r="AA1113" s="338" t="s">
        <v>6079</v>
      </c>
      <c r="AB1113" s="338"/>
      <c r="AC1113" s="338"/>
      <c r="AD1113" s="338"/>
      <c r="AF1113" s="502" t="str">
        <f>Table15[[#This Row],[code2]]</f>
        <v>PCC</v>
      </c>
      <c r="AG1113" s="502" t="str">
        <f>Table15[[#This Row],[code5]]</f>
        <v>CCIR</v>
      </c>
    </row>
    <row r="1114" spans="1:33">
      <c r="A1114" s="338" t="s">
        <v>6072</v>
      </c>
      <c r="B1114" s="338" t="s">
        <v>6073</v>
      </c>
      <c r="C1114" s="337">
        <v>1</v>
      </c>
      <c r="D1114" s="338" t="s">
        <v>7470</v>
      </c>
      <c r="E1114" s="338" t="s">
        <v>7471</v>
      </c>
      <c r="F1114" s="337">
        <v>0</v>
      </c>
      <c r="G1114" s="337">
        <v>0</v>
      </c>
      <c r="H1114" s="338" t="s">
        <v>7471</v>
      </c>
      <c r="I1114" s="338" t="s">
        <v>8568</v>
      </c>
      <c r="J1114" s="338" t="s">
        <v>8569</v>
      </c>
      <c r="K1114" s="338" t="s">
        <v>7472</v>
      </c>
      <c r="L1114" s="338" t="s">
        <v>7473</v>
      </c>
      <c r="M1114" s="338" t="s">
        <v>7474</v>
      </c>
      <c r="N1114" s="338" t="s">
        <v>7475</v>
      </c>
      <c r="O1114" s="337">
        <v>0</v>
      </c>
      <c r="P1114" s="337">
        <v>0</v>
      </c>
      <c r="Q1114" s="338"/>
      <c r="R1114" s="338" t="s">
        <v>14</v>
      </c>
      <c r="S1114" s="338"/>
      <c r="T1114" s="338" t="s">
        <v>7965</v>
      </c>
      <c r="U1114" s="338" t="s">
        <v>7476</v>
      </c>
      <c r="V1114" s="337">
        <v>0</v>
      </c>
      <c r="W1114" s="337">
        <v>0</v>
      </c>
      <c r="X1114" s="338"/>
      <c r="Y1114" s="338" t="s">
        <v>6318</v>
      </c>
      <c r="Z1114" s="338" t="s">
        <v>8448</v>
      </c>
      <c r="AA1114" s="338" t="s">
        <v>6079</v>
      </c>
      <c r="AB1114" s="338"/>
      <c r="AC1114" s="338" t="s">
        <v>7477</v>
      </c>
      <c r="AD1114" s="338"/>
      <c r="AF1114" s="502" t="str">
        <f>Table15[[#This Row],[code2]]</f>
        <v>PIL</v>
      </c>
      <c r="AG1114" s="502" t="str">
        <f>Table15[[#This Row],[code5]]</f>
        <v>MLFR</v>
      </c>
    </row>
    <row r="1115" spans="1:33">
      <c r="A1115" s="338" t="s">
        <v>6072</v>
      </c>
      <c r="B1115" s="338" t="s">
        <v>6073</v>
      </c>
      <c r="C1115" s="337">
        <v>1</v>
      </c>
      <c r="D1115" s="338" t="s">
        <v>7470</v>
      </c>
      <c r="E1115" s="338" t="s">
        <v>7471</v>
      </c>
      <c r="F1115" s="337">
        <v>0</v>
      </c>
      <c r="G1115" s="337">
        <v>0</v>
      </c>
      <c r="H1115" s="338" t="s">
        <v>7471</v>
      </c>
      <c r="I1115" s="338" t="s">
        <v>8568</v>
      </c>
      <c r="J1115" s="338" t="s">
        <v>8569</v>
      </c>
      <c r="K1115" s="338" t="s">
        <v>7472</v>
      </c>
      <c r="L1115" s="338" t="s">
        <v>7473</v>
      </c>
      <c r="M1115" s="338" t="s">
        <v>7474</v>
      </c>
      <c r="N1115" s="338" t="s">
        <v>7475</v>
      </c>
      <c r="O1115" s="337">
        <v>0</v>
      </c>
      <c r="P1115" s="337">
        <v>0</v>
      </c>
      <c r="Q1115" s="338"/>
      <c r="R1115" s="338" t="s">
        <v>14</v>
      </c>
      <c r="S1115" s="338"/>
      <c r="T1115" s="338" t="s">
        <v>7965</v>
      </c>
      <c r="U1115" s="338" t="s">
        <v>7478</v>
      </c>
      <c r="V1115" s="337">
        <v>0</v>
      </c>
      <c r="W1115" s="337">
        <v>0</v>
      </c>
      <c r="X1115" s="338"/>
      <c r="Y1115" s="338" t="s">
        <v>6318</v>
      </c>
      <c r="Z1115" s="338" t="s">
        <v>8449</v>
      </c>
      <c r="AA1115" s="338" t="s">
        <v>6079</v>
      </c>
      <c r="AB1115" s="338"/>
      <c r="AC1115" s="338" t="s">
        <v>7479</v>
      </c>
      <c r="AD1115" s="338"/>
      <c r="AF1115" s="502" t="str">
        <f>Table15[[#This Row],[code2]]</f>
        <v>PIL</v>
      </c>
      <c r="AG1115" s="502" t="str">
        <f>Table15[[#This Row],[code5]]</f>
        <v>MLFR</v>
      </c>
    </row>
    <row r="1116" spans="1:33">
      <c r="A1116" s="338" t="s">
        <v>6072</v>
      </c>
      <c r="B1116" s="338" t="s">
        <v>6073</v>
      </c>
      <c r="C1116" s="337">
        <v>1</v>
      </c>
      <c r="D1116" s="338" t="s">
        <v>7470</v>
      </c>
      <c r="E1116" s="338" t="s">
        <v>7471</v>
      </c>
      <c r="F1116" s="337">
        <v>0</v>
      </c>
      <c r="G1116" s="337">
        <v>0</v>
      </c>
      <c r="H1116" s="338" t="s">
        <v>7471</v>
      </c>
      <c r="I1116" s="338" t="s">
        <v>8568</v>
      </c>
      <c r="J1116" s="338" t="s">
        <v>8569</v>
      </c>
      <c r="K1116" s="338" t="s">
        <v>7472</v>
      </c>
      <c r="L1116" s="338" t="s">
        <v>7473</v>
      </c>
      <c r="M1116" s="338" t="s">
        <v>7474</v>
      </c>
      <c r="N1116" s="338" t="s">
        <v>7475</v>
      </c>
      <c r="O1116" s="337">
        <v>0</v>
      </c>
      <c r="P1116" s="337">
        <v>0</v>
      </c>
      <c r="Q1116" s="338"/>
      <c r="R1116" s="338" t="s">
        <v>14</v>
      </c>
      <c r="S1116" s="338"/>
      <c r="T1116" s="338" t="s">
        <v>7965</v>
      </c>
      <c r="U1116" s="338" t="s">
        <v>7480</v>
      </c>
      <c r="V1116" s="337">
        <v>0</v>
      </c>
      <c r="W1116" s="337">
        <v>0</v>
      </c>
      <c r="X1116" s="338"/>
      <c r="Y1116" s="338" t="s">
        <v>6318</v>
      </c>
      <c r="Z1116" s="338" t="s">
        <v>8450</v>
      </c>
      <c r="AA1116" s="338" t="s">
        <v>6079</v>
      </c>
      <c r="AB1116" s="338"/>
      <c r="AC1116" s="338" t="s">
        <v>7481</v>
      </c>
      <c r="AD1116" s="338"/>
      <c r="AF1116" s="502" t="str">
        <f>Table15[[#This Row],[code2]]</f>
        <v>PIL</v>
      </c>
      <c r="AG1116" s="502" t="str">
        <f>Table15[[#This Row],[code5]]</f>
        <v>MLFR</v>
      </c>
    </row>
    <row r="1117" spans="1:33">
      <c r="A1117" s="338" t="s">
        <v>6072</v>
      </c>
      <c r="B1117" s="338" t="s">
        <v>6073</v>
      </c>
      <c r="C1117" s="337">
        <v>1</v>
      </c>
      <c r="D1117" s="338" t="s">
        <v>7470</v>
      </c>
      <c r="E1117" s="338" t="s">
        <v>7471</v>
      </c>
      <c r="F1117" s="337">
        <v>0</v>
      </c>
      <c r="G1117" s="337">
        <v>0</v>
      </c>
      <c r="H1117" s="338" t="s">
        <v>7471</v>
      </c>
      <c r="I1117" s="338" t="s">
        <v>8568</v>
      </c>
      <c r="J1117" s="338" t="s">
        <v>8569</v>
      </c>
      <c r="K1117" s="338" t="s">
        <v>7472</v>
      </c>
      <c r="L1117" s="338" t="s">
        <v>7473</v>
      </c>
      <c r="M1117" s="338" t="s">
        <v>7482</v>
      </c>
      <c r="N1117" s="338" t="s">
        <v>7483</v>
      </c>
      <c r="O1117" s="337">
        <v>0</v>
      </c>
      <c r="P1117" s="337">
        <v>0</v>
      </c>
      <c r="Q1117" s="338"/>
      <c r="R1117" s="338"/>
      <c r="S1117" s="338"/>
      <c r="T1117" s="338"/>
      <c r="U1117" s="338" t="s">
        <v>7484</v>
      </c>
      <c r="V1117" s="337">
        <v>0</v>
      </c>
      <c r="W1117" s="337">
        <v>0</v>
      </c>
      <c r="X1117" s="338" t="s">
        <v>6078</v>
      </c>
      <c r="Y1117" s="338" t="s">
        <v>6318</v>
      </c>
      <c r="Z1117" s="338" t="s">
        <v>8570</v>
      </c>
      <c r="AA1117" s="338" t="s">
        <v>6079</v>
      </c>
      <c r="AB1117" s="338"/>
      <c r="AC1117" s="338"/>
      <c r="AD1117" s="338"/>
      <c r="AF1117" s="502" t="str">
        <f>Table15[[#This Row],[code2]]</f>
        <v>PIL</v>
      </c>
      <c r="AG1117" s="502" t="str">
        <f>Table15[[#This Row],[code5]]</f>
        <v>MLVR</v>
      </c>
    </row>
    <row r="1118" spans="1:33">
      <c r="A1118" s="338" t="s">
        <v>6072</v>
      </c>
      <c r="B1118" s="338" t="s">
        <v>6073</v>
      </c>
      <c r="C1118" s="337">
        <v>1</v>
      </c>
      <c r="D1118" s="338" t="s">
        <v>7486</v>
      </c>
      <c r="E1118" s="338" t="s">
        <v>7487</v>
      </c>
      <c r="F1118" s="337">
        <v>1</v>
      </c>
      <c r="G1118" s="337">
        <v>1</v>
      </c>
      <c r="H1118" s="338"/>
      <c r="I1118" s="338" t="s">
        <v>9126</v>
      </c>
      <c r="J1118" s="338" t="s">
        <v>9130</v>
      </c>
      <c r="K1118" s="338" t="s">
        <v>7488</v>
      </c>
      <c r="L1118" s="338"/>
      <c r="M1118" s="338" t="s">
        <v>7489</v>
      </c>
      <c r="N1118" s="338" t="s">
        <v>7490</v>
      </c>
      <c r="O1118" s="337">
        <v>1</v>
      </c>
      <c r="P1118" s="337">
        <v>1</v>
      </c>
      <c r="Q1118" s="338"/>
      <c r="R1118" s="338" t="s">
        <v>13</v>
      </c>
      <c r="S1118" s="338"/>
      <c r="T1118" s="338" t="s">
        <v>6967</v>
      </c>
      <c r="U1118" s="338" t="s">
        <v>7491</v>
      </c>
      <c r="V1118" s="337">
        <v>0</v>
      </c>
      <c r="W1118" s="337">
        <v>0</v>
      </c>
      <c r="X1118" s="338"/>
      <c r="Y1118" s="338" t="s">
        <v>6318</v>
      </c>
      <c r="Z1118" s="338" t="s">
        <v>7023</v>
      </c>
      <c r="AA1118" s="338" t="s">
        <v>6079</v>
      </c>
      <c r="AB1118" s="338"/>
      <c r="AC1118" s="338" t="s">
        <v>7492</v>
      </c>
      <c r="AD1118" s="338"/>
      <c r="AF1118" s="502" t="str">
        <f>Table15[[#This Row],[code2]]</f>
        <v>CIB</v>
      </c>
      <c r="AG1118" s="502" t="str">
        <f>Table15[[#This Row],[code5]]</f>
        <v>AIB</v>
      </c>
    </row>
    <row r="1119" spans="1:33">
      <c r="A1119" s="338" t="s">
        <v>6072</v>
      </c>
      <c r="B1119" s="338" t="s">
        <v>6073</v>
      </c>
      <c r="C1119" s="337">
        <v>1</v>
      </c>
      <c r="D1119" s="338" t="s">
        <v>7486</v>
      </c>
      <c r="E1119" s="338" t="s">
        <v>7487</v>
      </c>
      <c r="F1119" s="337">
        <v>1</v>
      </c>
      <c r="G1119" s="337">
        <v>1</v>
      </c>
      <c r="H1119" s="338"/>
      <c r="I1119" s="338" t="s">
        <v>9126</v>
      </c>
      <c r="J1119" s="338" t="s">
        <v>9130</v>
      </c>
      <c r="K1119" s="338" t="s">
        <v>7488</v>
      </c>
      <c r="L1119" s="338"/>
      <c r="M1119" s="338" t="s">
        <v>7489</v>
      </c>
      <c r="N1119" s="338" t="s">
        <v>7490</v>
      </c>
      <c r="O1119" s="337">
        <v>1</v>
      </c>
      <c r="P1119" s="337">
        <v>1</v>
      </c>
      <c r="Q1119" s="338"/>
      <c r="R1119" s="338" t="s">
        <v>13</v>
      </c>
      <c r="S1119" s="338"/>
      <c r="T1119" s="338" t="s">
        <v>6967</v>
      </c>
      <c r="U1119" s="338" t="s">
        <v>7493</v>
      </c>
      <c r="V1119" s="337">
        <v>1</v>
      </c>
      <c r="W1119" s="337">
        <v>1</v>
      </c>
      <c r="X1119" s="338"/>
      <c r="Y1119" s="338" t="s">
        <v>6318</v>
      </c>
      <c r="Z1119" s="338" t="s">
        <v>8531</v>
      </c>
      <c r="AA1119" s="338" t="s">
        <v>6079</v>
      </c>
      <c r="AB1119" s="338"/>
      <c r="AC1119" s="338" t="s">
        <v>7494</v>
      </c>
      <c r="AD1119" s="338"/>
      <c r="AF1119" s="502" t="str">
        <f>Table15[[#This Row],[code2]]</f>
        <v>CIB</v>
      </c>
      <c r="AG1119" s="502" t="str">
        <f>Table15[[#This Row],[code5]]</f>
        <v>AIB</v>
      </c>
    </row>
    <row r="1120" spans="1:33">
      <c r="A1120" s="338" t="s">
        <v>6072</v>
      </c>
      <c r="B1120" s="338" t="s">
        <v>6073</v>
      </c>
      <c r="C1120" s="337">
        <v>1</v>
      </c>
      <c r="D1120" s="338" t="s">
        <v>7486</v>
      </c>
      <c r="E1120" s="338" t="s">
        <v>7487</v>
      </c>
      <c r="F1120" s="337">
        <v>1</v>
      </c>
      <c r="G1120" s="337">
        <v>1</v>
      </c>
      <c r="H1120" s="338"/>
      <c r="I1120" s="338" t="s">
        <v>9126</v>
      </c>
      <c r="J1120" s="338" t="s">
        <v>9130</v>
      </c>
      <c r="K1120" s="338" t="s">
        <v>7488</v>
      </c>
      <c r="L1120" s="338"/>
      <c r="M1120" s="338" t="s">
        <v>7489</v>
      </c>
      <c r="N1120" s="338" t="s">
        <v>7490</v>
      </c>
      <c r="O1120" s="337">
        <v>1</v>
      </c>
      <c r="P1120" s="337">
        <v>1</v>
      </c>
      <c r="Q1120" s="338"/>
      <c r="R1120" s="338" t="s">
        <v>13</v>
      </c>
      <c r="S1120" s="338"/>
      <c r="T1120" s="338" t="s">
        <v>6967</v>
      </c>
      <c r="U1120" s="338" t="s">
        <v>7495</v>
      </c>
      <c r="V1120" s="337">
        <v>1</v>
      </c>
      <c r="W1120" s="337">
        <v>1</v>
      </c>
      <c r="X1120" s="338"/>
      <c r="Y1120" s="338" t="s">
        <v>6318</v>
      </c>
      <c r="Z1120" s="338" t="s">
        <v>9175</v>
      </c>
      <c r="AA1120" s="338" t="s">
        <v>6079</v>
      </c>
      <c r="AB1120" s="338"/>
      <c r="AC1120" s="338" t="s">
        <v>7496</v>
      </c>
      <c r="AD1120" s="338"/>
      <c r="AF1120" s="502" t="str">
        <f>Table15[[#This Row],[code2]]</f>
        <v>CIB</v>
      </c>
      <c r="AG1120" s="502" t="str">
        <f>Table15[[#This Row],[code5]]</f>
        <v>AIB</v>
      </c>
    </row>
    <row r="1121" spans="1:33">
      <c r="A1121" s="338" t="s">
        <v>6072</v>
      </c>
      <c r="B1121" s="338" t="s">
        <v>6073</v>
      </c>
      <c r="C1121" s="337">
        <v>1</v>
      </c>
      <c r="D1121" s="338" t="s">
        <v>7486</v>
      </c>
      <c r="E1121" s="338" t="s">
        <v>7487</v>
      </c>
      <c r="F1121" s="337">
        <v>1</v>
      </c>
      <c r="G1121" s="337">
        <v>1</v>
      </c>
      <c r="H1121" s="338"/>
      <c r="I1121" s="338" t="s">
        <v>9126</v>
      </c>
      <c r="J1121" s="338" t="s">
        <v>9130</v>
      </c>
      <c r="K1121" s="338" t="s">
        <v>7488</v>
      </c>
      <c r="L1121" s="338"/>
      <c r="M1121" s="338" t="s">
        <v>7497</v>
      </c>
      <c r="N1121" s="338" t="s">
        <v>7498</v>
      </c>
      <c r="O1121" s="337">
        <v>1</v>
      </c>
      <c r="P1121" s="337">
        <v>1</v>
      </c>
      <c r="Q1121" s="338"/>
      <c r="R1121" s="338" t="s">
        <v>7499</v>
      </c>
      <c r="S1121" s="338"/>
      <c r="T1121" s="338"/>
      <c r="U1121" s="338" t="s">
        <v>7500</v>
      </c>
      <c r="V1121" s="337">
        <v>1</v>
      </c>
      <c r="W1121" s="337">
        <v>1</v>
      </c>
      <c r="X1121" s="338"/>
      <c r="Y1121" s="338" t="s">
        <v>6318</v>
      </c>
      <c r="Z1121" s="338" t="s">
        <v>8299</v>
      </c>
      <c r="AA1121" s="338" t="s">
        <v>6079</v>
      </c>
      <c r="AB1121" s="338"/>
      <c r="AC1121" s="338" t="s">
        <v>7500</v>
      </c>
      <c r="AD1121" s="338"/>
      <c r="AF1121" s="502" t="str">
        <f>Table15[[#This Row],[code2]]</f>
        <v>CIB</v>
      </c>
      <c r="AG1121" s="502" t="str">
        <f>Table15[[#This Row],[code5]]</f>
        <v>HVFCA</v>
      </c>
    </row>
    <row r="1122" spans="1:33">
      <c r="A1122" s="338" t="s">
        <v>6072</v>
      </c>
      <c r="B1122" s="338" t="s">
        <v>6073</v>
      </c>
      <c r="C1122" s="337">
        <v>1</v>
      </c>
      <c r="D1122" s="338" t="s">
        <v>7486</v>
      </c>
      <c r="E1122" s="338" t="s">
        <v>7487</v>
      </c>
      <c r="F1122" s="337">
        <v>1</v>
      </c>
      <c r="G1122" s="337">
        <v>1</v>
      </c>
      <c r="H1122" s="338"/>
      <c r="I1122" s="338" t="s">
        <v>9126</v>
      </c>
      <c r="J1122" s="338" t="s">
        <v>9130</v>
      </c>
      <c r="K1122" s="338" t="s">
        <v>7488</v>
      </c>
      <c r="L1122" s="338"/>
      <c r="M1122" s="338" t="s">
        <v>7497</v>
      </c>
      <c r="N1122" s="338" t="s">
        <v>7498</v>
      </c>
      <c r="O1122" s="337">
        <v>1</v>
      </c>
      <c r="P1122" s="337">
        <v>1</v>
      </c>
      <c r="Q1122" s="338"/>
      <c r="R1122" s="338" t="s">
        <v>7499</v>
      </c>
      <c r="S1122" s="338"/>
      <c r="T1122" s="338"/>
      <c r="U1122" s="338" t="s">
        <v>7501</v>
      </c>
      <c r="V1122" s="337">
        <v>0</v>
      </c>
      <c r="W1122" s="337">
        <v>0</v>
      </c>
      <c r="X1122" s="338"/>
      <c r="Y1122" s="338" t="s">
        <v>6318</v>
      </c>
      <c r="Z1122" s="338" t="s">
        <v>7023</v>
      </c>
      <c r="AA1122" s="338" t="s">
        <v>6079</v>
      </c>
      <c r="AB1122" s="338"/>
      <c r="AC1122" s="338" t="s">
        <v>7501</v>
      </c>
      <c r="AD1122" s="338"/>
      <c r="AF1122" s="502" t="str">
        <f>Table15[[#This Row],[code2]]</f>
        <v>CIB</v>
      </c>
      <c r="AG1122" s="502" t="str">
        <f>Table15[[#This Row],[code5]]</f>
        <v>HVFCA</v>
      </c>
    </row>
    <row r="1123" spans="1:33">
      <c r="A1123" s="338" t="s">
        <v>6072</v>
      </c>
      <c r="B1123" s="338" t="s">
        <v>6073</v>
      </c>
      <c r="C1123" s="337">
        <v>1</v>
      </c>
      <c r="D1123" s="338" t="s">
        <v>7486</v>
      </c>
      <c r="E1123" s="338" t="s">
        <v>7487</v>
      </c>
      <c r="F1123" s="337">
        <v>1</v>
      </c>
      <c r="G1123" s="337">
        <v>1</v>
      </c>
      <c r="H1123" s="338"/>
      <c r="I1123" s="338" t="s">
        <v>9126</v>
      </c>
      <c r="J1123" s="338" t="s">
        <v>9130</v>
      </c>
      <c r="K1123" s="338" t="s">
        <v>7488</v>
      </c>
      <c r="L1123" s="338"/>
      <c r="M1123" s="338" t="s">
        <v>7497</v>
      </c>
      <c r="N1123" s="338" t="s">
        <v>7498</v>
      </c>
      <c r="O1123" s="337">
        <v>1</v>
      </c>
      <c r="P1123" s="337">
        <v>1</v>
      </c>
      <c r="Q1123" s="338"/>
      <c r="R1123" s="338" t="s">
        <v>7499</v>
      </c>
      <c r="S1123" s="338"/>
      <c r="T1123" s="338"/>
      <c r="U1123" s="338" t="s">
        <v>7502</v>
      </c>
      <c r="V1123" s="337">
        <v>0</v>
      </c>
      <c r="W1123" s="337">
        <v>0</v>
      </c>
      <c r="X1123" s="338"/>
      <c r="Y1123" s="338" t="s">
        <v>6318</v>
      </c>
      <c r="Z1123" s="338" t="s">
        <v>7023</v>
      </c>
      <c r="AA1123" s="338" t="s">
        <v>6079</v>
      </c>
      <c r="AB1123" s="338"/>
      <c r="AC1123" s="338" t="s">
        <v>7502</v>
      </c>
      <c r="AD1123" s="338"/>
      <c r="AF1123" s="502" t="str">
        <f>Table15[[#This Row],[code2]]</f>
        <v>CIB</v>
      </c>
      <c r="AG1123" s="502" t="str">
        <f>Table15[[#This Row],[code5]]</f>
        <v>HVFCA</v>
      </c>
    </row>
    <row r="1124" spans="1:33">
      <c r="A1124" s="338" t="s">
        <v>6072</v>
      </c>
      <c r="B1124" s="338" t="s">
        <v>6073</v>
      </c>
      <c r="C1124" s="337">
        <v>1</v>
      </c>
      <c r="D1124" s="338" t="s">
        <v>7486</v>
      </c>
      <c r="E1124" s="338" t="s">
        <v>7487</v>
      </c>
      <c r="F1124" s="337">
        <v>1</v>
      </c>
      <c r="G1124" s="337">
        <v>1</v>
      </c>
      <c r="H1124" s="338"/>
      <c r="I1124" s="338" t="s">
        <v>9126</v>
      </c>
      <c r="J1124" s="338" t="s">
        <v>9130</v>
      </c>
      <c r="K1124" s="338" t="s">
        <v>7488</v>
      </c>
      <c r="L1124" s="338"/>
      <c r="M1124" s="338" t="s">
        <v>7497</v>
      </c>
      <c r="N1124" s="338" t="s">
        <v>7498</v>
      </c>
      <c r="O1124" s="337">
        <v>1</v>
      </c>
      <c r="P1124" s="337">
        <v>1</v>
      </c>
      <c r="Q1124" s="338"/>
      <c r="R1124" s="338" t="s">
        <v>7499</v>
      </c>
      <c r="S1124" s="338"/>
      <c r="T1124" s="338"/>
      <c r="U1124" s="338" t="s">
        <v>7503</v>
      </c>
      <c r="V1124" s="337">
        <v>0</v>
      </c>
      <c r="W1124" s="337">
        <v>0</v>
      </c>
      <c r="X1124" s="338"/>
      <c r="Y1124" s="338" t="s">
        <v>6318</v>
      </c>
      <c r="Z1124" s="338" t="s">
        <v>7023</v>
      </c>
      <c r="AA1124" s="338" t="s">
        <v>6079</v>
      </c>
      <c r="AB1124" s="338"/>
      <c r="AC1124" s="338" t="s">
        <v>7503</v>
      </c>
      <c r="AD1124" s="338"/>
      <c r="AF1124" s="502" t="str">
        <f>Table15[[#This Row],[code2]]</f>
        <v>CIB</v>
      </c>
      <c r="AG1124" s="502" t="str">
        <f>Table15[[#This Row],[code5]]</f>
        <v>HVFCA</v>
      </c>
    </row>
    <row r="1125" spans="1:33">
      <c r="A1125" s="338" t="s">
        <v>6072</v>
      </c>
      <c r="B1125" s="338" t="s">
        <v>6073</v>
      </c>
      <c r="C1125" s="337">
        <v>1</v>
      </c>
      <c r="D1125" s="338" t="s">
        <v>7486</v>
      </c>
      <c r="E1125" s="338" t="s">
        <v>7487</v>
      </c>
      <c r="F1125" s="337">
        <v>1</v>
      </c>
      <c r="G1125" s="337">
        <v>1</v>
      </c>
      <c r="H1125" s="338"/>
      <c r="I1125" s="338" t="s">
        <v>9126</v>
      </c>
      <c r="J1125" s="338" t="s">
        <v>9130</v>
      </c>
      <c r="K1125" s="338" t="s">
        <v>7488</v>
      </c>
      <c r="L1125" s="338"/>
      <c r="M1125" s="338" t="s">
        <v>7497</v>
      </c>
      <c r="N1125" s="338" t="s">
        <v>7498</v>
      </c>
      <c r="O1125" s="337">
        <v>1</v>
      </c>
      <c r="P1125" s="337">
        <v>1</v>
      </c>
      <c r="Q1125" s="338"/>
      <c r="R1125" s="338" t="s">
        <v>7499</v>
      </c>
      <c r="S1125" s="338"/>
      <c r="T1125" s="338"/>
      <c r="U1125" s="338" t="s">
        <v>7504</v>
      </c>
      <c r="V1125" s="337">
        <v>1</v>
      </c>
      <c r="W1125" s="337">
        <v>1</v>
      </c>
      <c r="X1125" s="338"/>
      <c r="Y1125" s="338" t="s">
        <v>6318</v>
      </c>
      <c r="Z1125" s="338" t="s">
        <v>7023</v>
      </c>
      <c r="AA1125" s="338" t="s">
        <v>6079</v>
      </c>
      <c r="AB1125" s="338"/>
      <c r="AC1125" s="338" t="s">
        <v>7504</v>
      </c>
      <c r="AD1125" s="338"/>
      <c r="AF1125" s="502" t="str">
        <f>Table15[[#This Row],[code2]]</f>
        <v>CIB</v>
      </c>
      <c r="AG1125" s="502" t="str">
        <f>Table15[[#This Row],[code5]]</f>
        <v>HVFCA</v>
      </c>
    </row>
    <row r="1126" spans="1:33">
      <c r="A1126" s="338" t="s">
        <v>6072</v>
      </c>
      <c r="B1126" s="338" t="s">
        <v>6073</v>
      </c>
      <c r="C1126" s="337">
        <v>1</v>
      </c>
      <c r="D1126" s="338" t="s">
        <v>7486</v>
      </c>
      <c r="E1126" s="338" t="s">
        <v>7487</v>
      </c>
      <c r="F1126" s="337">
        <v>1</v>
      </c>
      <c r="G1126" s="337">
        <v>1</v>
      </c>
      <c r="H1126" s="338"/>
      <c r="I1126" s="338" t="s">
        <v>9126</v>
      </c>
      <c r="J1126" s="338" t="s">
        <v>9130</v>
      </c>
      <c r="K1126" s="338" t="s">
        <v>7488</v>
      </c>
      <c r="L1126" s="338"/>
      <c r="M1126" s="338" t="s">
        <v>7497</v>
      </c>
      <c r="N1126" s="338" t="s">
        <v>7498</v>
      </c>
      <c r="O1126" s="337">
        <v>1</v>
      </c>
      <c r="P1126" s="337">
        <v>1</v>
      </c>
      <c r="Q1126" s="338"/>
      <c r="R1126" s="338" t="s">
        <v>7499</v>
      </c>
      <c r="S1126" s="338"/>
      <c r="T1126" s="338"/>
      <c r="U1126" s="338" t="s">
        <v>7505</v>
      </c>
      <c r="V1126" s="337">
        <v>1</v>
      </c>
      <c r="W1126" s="337">
        <v>1</v>
      </c>
      <c r="X1126" s="338"/>
      <c r="Y1126" s="338" t="s">
        <v>6318</v>
      </c>
      <c r="Z1126" s="338" t="s">
        <v>6164</v>
      </c>
      <c r="AA1126" s="338" t="s">
        <v>6079</v>
      </c>
      <c r="AB1126" s="338"/>
      <c r="AC1126" s="338" t="s">
        <v>7505</v>
      </c>
      <c r="AD1126" s="338"/>
      <c r="AF1126" s="502" t="str">
        <f>Table15[[#This Row],[code2]]</f>
        <v>CIB</v>
      </c>
      <c r="AG1126" s="502" t="str">
        <f>Table15[[#This Row],[code5]]</f>
        <v>HVFCA</v>
      </c>
    </row>
    <row r="1127" spans="1:33">
      <c r="A1127" s="338" t="s">
        <v>6072</v>
      </c>
      <c r="B1127" s="338" t="s">
        <v>6073</v>
      </c>
      <c r="C1127" s="337">
        <v>1</v>
      </c>
      <c r="D1127" s="338" t="s">
        <v>7486</v>
      </c>
      <c r="E1127" s="338" t="s">
        <v>7487</v>
      </c>
      <c r="F1127" s="337">
        <v>1</v>
      </c>
      <c r="G1127" s="337">
        <v>1</v>
      </c>
      <c r="H1127" s="338"/>
      <c r="I1127" s="338" t="s">
        <v>9126</v>
      </c>
      <c r="J1127" s="338" t="s">
        <v>9130</v>
      </c>
      <c r="K1127" s="338" t="s">
        <v>7488</v>
      </c>
      <c r="L1127" s="338"/>
      <c r="M1127" s="338" t="s">
        <v>7497</v>
      </c>
      <c r="N1127" s="338" t="s">
        <v>7498</v>
      </c>
      <c r="O1127" s="337">
        <v>1</v>
      </c>
      <c r="P1127" s="337">
        <v>1</v>
      </c>
      <c r="Q1127" s="338"/>
      <c r="R1127" s="338" t="s">
        <v>7499</v>
      </c>
      <c r="S1127" s="338"/>
      <c r="T1127" s="338"/>
      <c r="U1127" s="338" t="s">
        <v>7506</v>
      </c>
      <c r="V1127" s="337">
        <v>1</v>
      </c>
      <c r="W1127" s="337">
        <v>1</v>
      </c>
      <c r="X1127" s="338"/>
      <c r="Y1127" s="338" t="s">
        <v>6318</v>
      </c>
      <c r="Z1127" s="338" t="s">
        <v>6164</v>
      </c>
      <c r="AA1127" s="338" t="s">
        <v>6079</v>
      </c>
      <c r="AB1127" s="338"/>
      <c r="AC1127" s="338" t="s">
        <v>7506</v>
      </c>
      <c r="AD1127" s="338"/>
      <c r="AF1127" s="502" t="str">
        <f>Table15[[#This Row],[code2]]</f>
        <v>CIB</v>
      </c>
      <c r="AG1127" s="502" t="str">
        <f>Table15[[#This Row],[code5]]</f>
        <v>HVFCA</v>
      </c>
    </row>
    <row r="1128" spans="1:33">
      <c r="A1128" s="338" t="s">
        <v>6072</v>
      </c>
      <c r="B1128" s="338" t="s">
        <v>6073</v>
      </c>
      <c r="C1128" s="337">
        <v>1</v>
      </c>
      <c r="D1128" s="338" t="s">
        <v>7486</v>
      </c>
      <c r="E1128" s="338" t="s">
        <v>7487</v>
      </c>
      <c r="F1128" s="337">
        <v>1</v>
      </c>
      <c r="G1128" s="337">
        <v>1</v>
      </c>
      <c r="H1128" s="338"/>
      <c r="I1128" s="338" t="s">
        <v>9126</v>
      </c>
      <c r="J1128" s="338" t="s">
        <v>9130</v>
      </c>
      <c r="K1128" s="338" t="s">
        <v>7488</v>
      </c>
      <c r="L1128" s="338"/>
      <c r="M1128" s="338" t="s">
        <v>7507</v>
      </c>
      <c r="N1128" s="338" t="s">
        <v>7508</v>
      </c>
      <c r="O1128" s="337">
        <v>1</v>
      </c>
      <c r="P1128" s="337">
        <v>1</v>
      </c>
      <c r="Q1128" s="338"/>
      <c r="R1128" s="338"/>
      <c r="S1128" s="338"/>
      <c r="T1128" s="338"/>
      <c r="U1128" s="338" t="s">
        <v>7509</v>
      </c>
      <c r="V1128" s="337">
        <v>1</v>
      </c>
      <c r="W1128" s="337">
        <v>1</v>
      </c>
      <c r="X1128" s="338" t="s">
        <v>7510</v>
      </c>
      <c r="Y1128" s="338" t="s">
        <v>6318</v>
      </c>
      <c r="Z1128" s="338" t="s">
        <v>8261</v>
      </c>
      <c r="AA1128" s="338" t="s">
        <v>6079</v>
      </c>
      <c r="AB1128" s="338"/>
      <c r="AC1128" s="338"/>
      <c r="AD1128" s="338"/>
      <c r="AF1128" s="502" t="str">
        <f>Table15[[#This Row],[code2]]</f>
        <v>CIB</v>
      </c>
      <c r="AG1128" s="502" t="str">
        <f>Table15[[#This Row],[code5]]</f>
        <v>FIBOCR</v>
      </c>
    </row>
    <row r="1129" spans="1:33">
      <c r="A1129" s="338" t="s">
        <v>6072</v>
      </c>
      <c r="B1129" s="338" t="s">
        <v>6073</v>
      </c>
      <c r="C1129" s="337">
        <v>1</v>
      </c>
      <c r="D1129" s="338" t="s">
        <v>7486</v>
      </c>
      <c r="E1129" s="338" t="s">
        <v>7487</v>
      </c>
      <c r="F1129" s="337">
        <v>1</v>
      </c>
      <c r="G1129" s="337">
        <v>1</v>
      </c>
      <c r="H1129" s="338"/>
      <c r="I1129" s="338" t="s">
        <v>9126</v>
      </c>
      <c r="J1129" s="338" t="s">
        <v>9130</v>
      </c>
      <c r="K1129" s="338" t="s">
        <v>7488</v>
      </c>
      <c r="L1129" s="338"/>
      <c r="M1129" s="338" t="s">
        <v>7507</v>
      </c>
      <c r="N1129" s="338" t="s">
        <v>7508</v>
      </c>
      <c r="O1129" s="337">
        <v>1</v>
      </c>
      <c r="P1129" s="337">
        <v>1</v>
      </c>
      <c r="Q1129" s="338"/>
      <c r="R1129" s="338"/>
      <c r="S1129" s="338"/>
      <c r="T1129" s="338"/>
      <c r="U1129" s="338" t="s">
        <v>7511</v>
      </c>
      <c r="V1129" s="337">
        <v>1</v>
      </c>
      <c r="W1129" s="337">
        <v>1</v>
      </c>
      <c r="X1129" s="338" t="s">
        <v>7512</v>
      </c>
      <c r="Y1129" s="338" t="s">
        <v>6318</v>
      </c>
      <c r="Z1129" s="338" t="s">
        <v>9072</v>
      </c>
      <c r="AA1129" s="338" t="s">
        <v>6079</v>
      </c>
      <c r="AB1129" s="338"/>
      <c r="AC1129" s="338"/>
      <c r="AD1129" s="338"/>
      <c r="AF1129" s="502" t="str">
        <f>Table15[[#This Row],[code2]]</f>
        <v>CIB</v>
      </c>
      <c r="AG1129" s="502" t="str">
        <f>Table15[[#This Row],[code5]]</f>
        <v>FIBOCR</v>
      </c>
    </row>
    <row r="1130" spans="1:33">
      <c r="A1130" s="338" t="s">
        <v>6072</v>
      </c>
      <c r="B1130" s="338" t="s">
        <v>6073</v>
      </c>
      <c r="C1130" s="337">
        <v>1</v>
      </c>
      <c r="D1130" s="338" t="s">
        <v>7486</v>
      </c>
      <c r="E1130" s="338" t="s">
        <v>7487</v>
      </c>
      <c r="F1130" s="337">
        <v>1</v>
      </c>
      <c r="G1130" s="337">
        <v>1</v>
      </c>
      <c r="H1130" s="338"/>
      <c r="I1130" s="338" t="s">
        <v>9126</v>
      </c>
      <c r="J1130" s="338" t="s">
        <v>9130</v>
      </c>
      <c r="K1130" s="338" t="s">
        <v>7488</v>
      </c>
      <c r="L1130" s="338"/>
      <c r="M1130" s="338" t="s">
        <v>7507</v>
      </c>
      <c r="N1130" s="338" t="s">
        <v>7508</v>
      </c>
      <c r="O1130" s="337">
        <v>1</v>
      </c>
      <c r="P1130" s="337">
        <v>1</v>
      </c>
      <c r="Q1130" s="338"/>
      <c r="R1130" s="338"/>
      <c r="S1130" s="338"/>
      <c r="T1130" s="338"/>
      <c r="U1130" s="338" t="s">
        <v>7513</v>
      </c>
      <c r="V1130" s="337">
        <v>1</v>
      </c>
      <c r="W1130" s="337">
        <v>1</v>
      </c>
      <c r="X1130" s="338" t="s">
        <v>7514</v>
      </c>
      <c r="Y1130" s="338" t="s">
        <v>6318</v>
      </c>
      <c r="Z1130" s="338" t="s">
        <v>9118</v>
      </c>
      <c r="AA1130" s="338" t="s">
        <v>6079</v>
      </c>
      <c r="AB1130" s="338"/>
      <c r="AC1130" s="338"/>
      <c r="AD1130" s="338"/>
      <c r="AF1130" s="502" t="str">
        <f>Table15[[#This Row],[code2]]</f>
        <v>CIB</v>
      </c>
      <c r="AG1130" s="502" t="str">
        <f>Table15[[#This Row],[code5]]</f>
        <v>FIBOCR</v>
      </c>
    </row>
    <row r="1131" spans="1:33">
      <c r="A1131" s="338" t="s">
        <v>6072</v>
      </c>
      <c r="B1131" s="338" t="s">
        <v>6073</v>
      </c>
      <c r="C1131" s="337">
        <v>1</v>
      </c>
      <c r="D1131" s="338" t="s">
        <v>7486</v>
      </c>
      <c r="E1131" s="338" t="s">
        <v>7487</v>
      </c>
      <c r="F1131" s="337">
        <v>1</v>
      </c>
      <c r="G1131" s="337">
        <v>1</v>
      </c>
      <c r="H1131" s="338"/>
      <c r="I1131" s="338" t="s">
        <v>9126</v>
      </c>
      <c r="J1131" s="338" t="s">
        <v>9130</v>
      </c>
      <c r="K1131" s="338" t="s">
        <v>7488</v>
      </c>
      <c r="L1131" s="338"/>
      <c r="M1131" s="338" t="s">
        <v>7515</v>
      </c>
      <c r="N1131" s="338" t="s">
        <v>7516</v>
      </c>
      <c r="O1131" s="337">
        <v>1</v>
      </c>
      <c r="P1131" s="337">
        <v>1</v>
      </c>
      <c r="Q1131" s="338"/>
      <c r="R1131" s="338"/>
      <c r="S1131" s="338"/>
      <c r="T1131" s="338"/>
      <c r="U1131" s="338" t="s">
        <v>7517</v>
      </c>
      <c r="V1131" s="337">
        <v>1</v>
      </c>
      <c r="W1131" s="337">
        <v>1</v>
      </c>
      <c r="X1131" s="338" t="s">
        <v>7518</v>
      </c>
      <c r="Y1131" s="338" t="s">
        <v>6318</v>
      </c>
      <c r="Z1131" s="338" t="s">
        <v>7519</v>
      </c>
      <c r="AA1131" s="338" t="s">
        <v>6079</v>
      </c>
      <c r="AB1131" s="338"/>
      <c r="AC1131" s="338"/>
      <c r="AD1131" s="338"/>
      <c r="AF1131" s="502" t="str">
        <f>Table15[[#This Row],[code2]]</f>
        <v>CIB</v>
      </c>
      <c r="AG1131" s="502" t="str">
        <f>Table15[[#This Row],[code5]]</f>
        <v>FCAAPR</v>
      </c>
    </row>
    <row r="1132" spans="1:33">
      <c r="A1132" s="338" t="s">
        <v>6072</v>
      </c>
      <c r="B1132" s="338" t="s">
        <v>6073</v>
      </c>
      <c r="C1132" s="337">
        <v>1</v>
      </c>
      <c r="D1132" s="338" t="s">
        <v>7486</v>
      </c>
      <c r="E1132" s="338" t="s">
        <v>7487</v>
      </c>
      <c r="F1132" s="337">
        <v>1</v>
      </c>
      <c r="G1132" s="337">
        <v>1</v>
      </c>
      <c r="H1132" s="338"/>
      <c r="I1132" s="338" t="s">
        <v>9126</v>
      </c>
      <c r="J1132" s="338" t="s">
        <v>9130</v>
      </c>
      <c r="K1132" s="338" t="s">
        <v>7488</v>
      </c>
      <c r="L1132" s="338"/>
      <c r="M1132" s="338" t="s">
        <v>7515</v>
      </c>
      <c r="N1132" s="338" t="s">
        <v>7516</v>
      </c>
      <c r="O1132" s="337">
        <v>1</v>
      </c>
      <c r="P1132" s="337">
        <v>1</v>
      </c>
      <c r="Q1132" s="338"/>
      <c r="R1132" s="338"/>
      <c r="S1132" s="338"/>
      <c r="T1132" s="338"/>
      <c r="U1132" s="338" t="s">
        <v>7520</v>
      </c>
      <c r="V1132" s="337">
        <v>1</v>
      </c>
      <c r="W1132" s="337">
        <v>1</v>
      </c>
      <c r="X1132" s="338" t="s">
        <v>7521</v>
      </c>
      <c r="Y1132" s="338" t="s">
        <v>6318</v>
      </c>
      <c r="Z1132" s="338" t="s">
        <v>7519</v>
      </c>
      <c r="AA1132" s="338" t="s">
        <v>6079</v>
      </c>
      <c r="AB1132" s="338"/>
      <c r="AC1132" s="338"/>
      <c r="AD1132" s="338"/>
      <c r="AF1132" s="502" t="str">
        <f>Table15[[#This Row],[code2]]</f>
        <v>CIB</v>
      </c>
      <c r="AG1132" s="502" t="str">
        <f>Table15[[#This Row],[code5]]</f>
        <v>FCAAPR</v>
      </c>
    </row>
    <row r="1133" spans="1:33">
      <c r="A1133" s="338" t="s">
        <v>6072</v>
      </c>
      <c r="B1133" s="338" t="s">
        <v>6073</v>
      </c>
      <c r="C1133" s="337">
        <v>1</v>
      </c>
      <c r="D1133" s="338" t="s">
        <v>7486</v>
      </c>
      <c r="E1133" s="338" t="s">
        <v>7487</v>
      </c>
      <c r="F1133" s="337">
        <v>1</v>
      </c>
      <c r="G1133" s="337">
        <v>1</v>
      </c>
      <c r="H1133" s="338"/>
      <c r="I1133" s="338" t="s">
        <v>9126</v>
      </c>
      <c r="J1133" s="338" t="s">
        <v>9130</v>
      </c>
      <c r="K1133" s="338" t="s">
        <v>7488</v>
      </c>
      <c r="L1133" s="338"/>
      <c r="M1133" s="338" t="s">
        <v>7515</v>
      </c>
      <c r="N1133" s="338" t="s">
        <v>7516</v>
      </c>
      <c r="O1133" s="337">
        <v>1</v>
      </c>
      <c r="P1133" s="337">
        <v>1</v>
      </c>
      <c r="Q1133" s="338"/>
      <c r="R1133" s="338"/>
      <c r="S1133" s="338"/>
      <c r="T1133" s="338"/>
      <c r="U1133" s="338" t="s">
        <v>7522</v>
      </c>
      <c r="V1133" s="337">
        <v>1</v>
      </c>
      <c r="W1133" s="337">
        <v>1</v>
      </c>
      <c r="X1133" s="338" t="s">
        <v>7523</v>
      </c>
      <c r="Y1133" s="338" t="s">
        <v>6318</v>
      </c>
      <c r="Z1133" s="338" t="s">
        <v>7519</v>
      </c>
      <c r="AA1133" s="338" t="s">
        <v>6079</v>
      </c>
      <c r="AB1133" s="338"/>
      <c r="AC1133" s="338"/>
      <c r="AD1133" s="338"/>
      <c r="AF1133" s="502" t="str">
        <f>Table15[[#This Row],[code2]]</f>
        <v>CIB</v>
      </c>
      <c r="AG1133" s="502" t="str">
        <f>Table15[[#This Row],[code5]]</f>
        <v>FCAAPR</v>
      </c>
    </row>
    <row r="1134" spans="1:33">
      <c r="A1134" s="338" t="s">
        <v>6072</v>
      </c>
      <c r="B1134" s="338" t="s">
        <v>6073</v>
      </c>
      <c r="C1134" s="337">
        <v>1</v>
      </c>
      <c r="D1134" s="338" t="s">
        <v>7486</v>
      </c>
      <c r="E1134" s="338" t="s">
        <v>7487</v>
      </c>
      <c r="F1134" s="337">
        <v>1</v>
      </c>
      <c r="G1134" s="337">
        <v>1</v>
      </c>
      <c r="H1134" s="338"/>
      <c r="I1134" s="338" t="s">
        <v>9126</v>
      </c>
      <c r="J1134" s="338" t="s">
        <v>9130</v>
      </c>
      <c r="K1134" s="338" t="s">
        <v>7488</v>
      </c>
      <c r="L1134" s="338"/>
      <c r="M1134" s="338" t="s">
        <v>7515</v>
      </c>
      <c r="N1134" s="338" t="s">
        <v>7516</v>
      </c>
      <c r="O1134" s="337">
        <v>1</v>
      </c>
      <c r="P1134" s="337">
        <v>1</v>
      </c>
      <c r="Q1134" s="338"/>
      <c r="R1134" s="338"/>
      <c r="S1134" s="338"/>
      <c r="T1134" s="338"/>
      <c r="U1134" s="338" t="s">
        <v>7524</v>
      </c>
      <c r="V1134" s="337">
        <v>1</v>
      </c>
      <c r="W1134" s="337">
        <v>1</v>
      </c>
      <c r="X1134" s="338" t="s">
        <v>7502</v>
      </c>
      <c r="Y1134" s="338" t="s">
        <v>6318</v>
      </c>
      <c r="Z1134" s="338" t="s">
        <v>7519</v>
      </c>
      <c r="AA1134" s="338" t="s">
        <v>6079</v>
      </c>
      <c r="AB1134" s="338"/>
      <c r="AC1134" s="338"/>
      <c r="AD1134" s="338"/>
      <c r="AF1134" s="502" t="str">
        <f>Table15[[#This Row],[code2]]</f>
        <v>CIB</v>
      </c>
      <c r="AG1134" s="502" t="str">
        <f>Table15[[#This Row],[code5]]</f>
        <v>FCAAPR</v>
      </c>
    </row>
    <row r="1135" spans="1:33">
      <c r="A1135" s="338" t="s">
        <v>6072</v>
      </c>
      <c r="B1135" s="338" t="s">
        <v>6073</v>
      </c>
      <c r="C1135" s="337">
        <v>1</v>
      </c>
      <c r="D1135" s="338" t="s">
        <v>7486</v>
      </c>
      <c r="E1135" s="338" t="s">
        <v>7487</v>
      </c>
      <c r="F1135" s="337">
        <v>1</v>
      </c>
      <c r="G1135" s="337">
        <v>1</v>
      </c>
      <c r="H1135" s="338"/>
      <c r="I1135" s="338" t="s">
        <v>9126</v>
      </c>
      <c r="J1135" s="338" t="s">
        <v>9130</v>
      </c>
      <c r="K1135" s="338" t="s">
        <v>7488</v>
      </c>
      <c r="L1135" s="338"/>
      <c r="M1135" s="338" t="s">
        <v>7515</v>
      </c>
      <c r="N1135" s="338" t="s">
        <v>7516</v>
      </c>
      <c r="O1135" s="337">
        <v>1</v>
      </c>
      <c r="P1135" s="337">
        <v>1</v>
      </c>
      <c r="Q1135" s="338"/>
      <c r="R1135" s="338"/>
      <c r="S1135" s="338"/>
      <c r="T1135" s="338"/>
      <c r="U1135" s="338" t="s">
        <v>7525</v>
      </c>
      <c r="V1135" s="337">
        <v>1</v>
      </c>
      <c r="W1135" s="337">
        <v>1</v>
      </c>
      <c r="X1135" s="338" t="s">
        <v>7504</v>
      </c>
      <c r="Y1135" s="338" t="s">
        <v>6318</v>
      </c>
      <c r="Z1135" s="338" t="s">
        <v>7519</v>
      </c>
      <c r="AA1135" s="338" t="s">
        <v>6079</v>
      </c>
      <c r="AB1135" s="338"/>
      <c r="AC1135" s="338"/>
      <c r="AD1135" s="338"/>
      <c r="AF1135" s="502" t="str">
        <f>Table15[[#This Row],[code2]]</f>
        <v>CIB</v>
      </c>
      <c r="AG1135" s="502" t="str">
        <f>Table15[[#This Row],[code5]]</f>
        <v>FCAAPR</v>
      </c>
    </row>
    <row r="1136" spans="1:33">
      <c r="A1136" s="338" t="s">
        <v>6072</v>
      </c>
      <c r="B1136" s="338" t="s">
        <v>6073</v>
      </c>
      <c r="C1136" s="337">
        <v>1</v>
      </c>
      <c r="D1136" s="338" t="s">
        <v>7486</v>
      </c>
      <c r="E1136" s="338" t="s">
        <v>7487</v>
      </c>
      <c r="F1136" s="337">
        <v>1</v>
      </c>
      <c r="G1136" s="337">
        <v>1</v>
      </c>
      <c r="H1136" s="338"/>
      <c r="I1136" s="338" t="s">
        <v>9126</v>
      </c>
      <c r="J1136" s="338" t="s">
        <v>9130</v>
      </c>
      <c r="K1136" s="338" t="s">
        <v>7488</v>
      </c>
      <c r="L1136" s="338"/>
      <c r="M1136" s="338" t="s">
        <v>7515</v>
      </c>
      <c r="N1136" s="338" t="s">
        <v>7516</v>
      </c>
      <c r="O1136" s="337">
        <v>1</v>
      </c>
      <c r="P1136" s="337">
        <v>1</v>
      </c>
      <c r="Q1136" s="338"/>
      <c r="R1136" s="338"/>
      <c r="S1136" s="338"/>
      <c r="T1136" s="338"/>
      <c r="U1136" s="338" t="s">
        <v>7526</v>
      </c>
      <c r="V1136" s="337">
        <v>1</v>
      </c>
      <c r="W1136" s="337">
        <v>1</v>
      </c>
      <c r="X1136" s="338" t="s">
        <v>7500</v>
      </c>
      <c r="Y1136" s="338" t="s">
        <v>6318</v>
      </c>
      <c r="Z1136" s="338" t="s">
        <v>7519</v>
      </c>
      <c r="AA1136" s="338" t="s">
        <v>6079</v>
      </c>
      <c r="AB1136" s="338"/>
      <c r="AC1136" s="338"/>
      <c r="AD1136" s="338"/>
      <c r="AF1136" s="502" t="str">
        <f>Table15[[#This Row],[code2]]</f>
        <v>CIB</v>
      </c>
      <c r="AG1136" s="502" t="str">
        <f>Table15[[#This Row],[code5]]</f>
        <v>FCAAPR</v>
      </c>
    </row>
    <row r="1137" spans="1:33">
      <c r="A1137" s="338" t="s">
        <v>6072</v>
      </c>
      <c r="B1137" s="338" t="s">
        <v>6073</v>
      </c>
      <c r="C1137" s="337">
        <v>1</v>
      </c>
      <c r="D1137" s="338" t="s">
        <v>7486</v>
      </c>
      <c r="E1137" s="338" t="s">
        <v>7487</v>
      </c>
      <c r="F1137" s="337">
        <v>1</v>
      </c>
      <c r="G1137" s="337">
        <v>1</v>
      </c>
      <c r="H1137" s="338"/>
      <c r="I1137" s="338" t="s">
        <v>9126</v>
      </c>
      <c r="J1137" s="338" t="s">
        <v>9130</v>
      </c>
      <c r="K1137" s="338" t="s">
        <v>7488</v>
      </c>
      <c r="L1137" s="338"/>
      <c r="M1137" s="338" t="s">
        <v>7515</v>
      </c>
      <c r="N1137" s="338" t="s">
        <v>7516</v>
      </c>
      <c r="O1137" s="337">
        <v>1</v>
      </c>
      <c r="P1137" s="337">
        <v>1</v>
      </c>
      <c r="Q1137" s="338"/>
      <c r="R1137" s="338"/>
      <c r="S1137" s="338"/>
      <c r="T1137" s="338"/>
      <c r="U1137" s="338" t="s">
        <v>7527</v>
      </c>
      <c r="V1137" s="337">
        <v>1</v>
      </c>
      <c r="W1137" s="337">
        <v>1</v>
      </c>
      <c r="X1137" s="338" t="s">
        <v>7528</v>
      </c>
      <c r="Y1137" s="338" t="s">
        <v>6318</v>
      </c>
      <c r="Z1137" s="338" t="s">
        <v>6164</v>
      </c>
      <c r="AA1137" s="338" t="s">
        <v>6079</v>
      </c>
      <c r="AB1137" s="338"/>
      <c r="AC1137" s="338"/>
      <c r="AD1137" s="338"/>
      <c r="AF1137" s="502" t="str">
        <f>Table15[[#This Row],[code2]]</f>
        <v>CIB</v>
      </c>
      <c r="AG1137" s="502" t="str">
        <f>Table15[[#This Row],[code5]]</f>
        <v>FCAAPR</v>
      </c>
    </row>
    <row r="1138" spans="1:33">
      <c r="A1138" s="338" t="s">
        <v>6072</v>
      </c>
      <c r="B1138" s="338" t="s">
        <v>6073</v>
      </c>
      <c r="C1138" s="337">
        <v>1</v>
      </c>
      <c r="D1138" s="338" t="s">
        <v>7486</v>
      </c>
      <c r="E1138" s="338" t="s">
        <v>7487</v>
      </c>
      <c r="F1138" s="337">
        <v>1</v>
      </c>
      <c r="G1138" s="337">
        <v>1</v>
      </c>
      <c r="H1138" s="338"/>
      <c r="I1138" s="338" t="s">
        <v>9126</v>
      </c>
      <c r="J1138" s="338" t="s">
        <v>9130</v>
      </c>
      <c r="K1138" s="338" t="s">
        <v>7488</v>
      </c>
      <c r="L1138" s="338"/>
      <c r="M1138" s="338" t="s">
        <v>7515</v>
      </c>
      <c r="N1138" s="338" t="s">
        <v>7516</v>
      </c>
      <c r="O1138" s="337">
        <v>1</v>
      </c>
      <c r="P1138" s="337">
        <v>1</v>
      </c>
      <c r="Q1138" s="338"/>
      <c r="R1138" s="338"/>
      <c r="S1138" s="338"/>
      <c r="T1138" s="338"/>
      <c r="U1138" s="338" t="s">
        <v>7529</v>
      </c>
      <c r="V1138" s="337">
        <v>1</v>
      </c>
      <c r="W1138" s="337">
        <v>1</v>
      </c>
      <c r="X1138" s="338" t="s">
        <v>7505</v>
      </c>
      <c r="Y1138" s="338" t="s">
        <v>6318</v>
      </c>
      <c r="Z1138" s="338" t="s">
        <v>7519</v>
      </c>
      <c r="AA1138" s="338" t="s">
        <v>6079</v>
      </c>
      <c r="AB1138" s="338"/>
      <c r="AC1138" s="338"/>
      <c r="AD1138" s="338"/>
      <c r="AF1138" s="502" t="str">
        <f>Table15[[#This Row],[code2]]</f>
        <v>CIB</v>
      </c>
      <c r="AG1138" s="502" t="str">
        <f>Table15[[#This Row],[code5]]</f>
        <v>FCAAPR</v>
      </c>
    </row>
    <row r="1139" spans="1:33">
      <c r="A1139" s="338" t="s">
        <v>6072</v>
      </c>
      <c r="B1139" s="338" t="s">
        <v>6073</v>
      </c>
      <c r="C1139" s="337">
        <v>1</v>
      </c>
      <c r="D1139" s="338" t="s">
        <v>7486</v>
      </c>
      <c r="E1139" s="338" t="s">
        <v>7487</v>
      </c>
      <c r="F1139" s="337">
        <v>1</v>
      </c>
      <c r="G1139" s="337">
        <v>1</v>
      </c>
      <c r="H1139" s="338"/>
      <c r="I1139" s="338" t="s">
        <v>9126</v>
      </c>
      <c r="J1139" s="338" t="s">
        <v>9130</v>
      </c>
      <c r="K1139" s="338" t="s">
        <v>7488</v>
      </c>
      <c r="L1139" s="338"/>
      <c r="M1139" s="338" t="s">
        <v>7515</v>
      </c>
      <c r="N1139" s="338" t="s">
        <v>7516</v>
      </c>
      <c r="O1139" s="337">
        <v>1</v>
      </c>
      <c r="P1139" s="337">
        <v>1</v>
      </c>
      <c r="Q1139" s="338"/>
      <c r="R1139" s="338"/>
      <c r="S1139" s="338"/>
      <c r="T1139" s="338"/>
      <c r="U1139" s="338" t="s">
        <v>7530</v>
      </c>
      <c r="V1139" s="337">
        <v>1</v>
      </c>
      <c r="W1139" s="337">
        <v>1</v>
      </c>
      <c r="X1139" s="338" t="s">
        <v>7501</v>
      </c>
      <c r="Y1139" s="338" t="s">
        <v>6318</v>
      </c>
      <c r="Z1139" s="338" t="s">
        <v>7519</v>
      </c>
      <c r="AA1139" s="338" t="s">
        <v>6079</v>
      </c>
      <c r="AB1139" s="338"/>
      <c r="AC1139" s="338"/>
      <c r="AD1139" s="338"/>
      <c r="AF1139" s="502" t="str">
        <f>Table15[[#This Row],[code2]]</f>
        <v>CIB</v>
      </c>
      <c r="AG1139" s="502" t="str">
        <f>Table15[[#This Row],[code5]]</f>
        <v>FCAAPR</v>
      </c>
    </row>
    <row r="1140" spans="1:33">
      <c r="A1140" s="338" t="s">
        <v>6072</v>
      </c>
      <c r="B1140" s="338" t="s">
        <v>6073</v>
      </c>
      <c r="C1140" s="337">
        <v>1</v>
      </c>
      <c r="D1140" s="338" t="s">
        <v>7486</v>
      </c>
      <c r="E1140" s="338" t="s">
        <v>7487</v>
      </c>
      <c r="F1140" s="337">
        <v>1</v>
      </c>
      <c r="G1140" s="337">
        <v>1</v>
      </c>
      <c r="H1140" s="338"/>
      <c r="I1140" s="338" t="s">
        <v>9126</v>
      </c>
      <c r="J1140" s="338" t="s">
        <v>9130</v>
      </c>
      <c r="K1140" s="338" t="s">
        <v>7488</v>
      </c>
      <c r="L1140" s="338"/>
      <c r="M1140" s="338" t="s">
        <v>7515</v>
      </c>
      <c r="N1140" s="338" t="s">
        <v>7516</v>
      </c>
      <c r="O1140" s="337">
        <v>1</v>
      </c>
      <c r="P1140" s="337">
        <v>1</v>
      </c>
      <c r="Q1140" s="338"/>
      <c r="R1140" s="338"/>
      <c r="S1140" s="338"/>
      <c r="T1140" s="338"/>
      <c r="U1140" s="338" t="s">
        <v>7531</v>
      </c>
      <c r="V1140" s="337">
        <v>1</v>
      </c>
      <c r="W1140" s="337">
        <v>1</v>
      </c>
      <c r="X1140" s="338" t="s">
        <v>7532</v>
      </c>
      <c r="Y1140" s="338" t="s">
        <v>6318</v>
      </c>
      <c r="Z1140" s="338" t="s">
        <v>8299</v>
      </c>
      <c r="AA1140" s="338" t="s">
        <v>6079</v>
      </c>
      <c r="AB1140" s="338"/>
      <c r="AC1140" s="338"/>
      <c r="AD1140" s="338"/>
      <c r="AF1140" s="502" t="str">
        <f>Table15[[#This Row],[code2]]</f>
        <v>CIB</v>
      </c>
      <c r="AG1140" s="502" t="str">
        <f>Table15[[#This Row],[code5]]</f>
        <v>FCAAPR</v>
      </c>
    </row>
    <row r="1141" spans="1:33">
      <c r="A1141" s="338" t="s">
        <v>6072</v>
      </c>
      <c r="B1141" s="338" t="s">
        <v>6073</v>
      </c>
      <c r="C1141" s="337">
        <v>1</v>
      </c>
      <c r="D1141" s="338" t="s">
        <v>7486</v>
      </c>
      <c r="E1141" s="338" t="s">
        <v>7487</v>
      </c>
      <c r="F1141" s="337">
        <v>1</v>
      </c>
      <c r="G1141" s="337">
        <v>1</v>
      </c>
      <c r="H1141" s="338"/>
      <c r="I1141" s="338" t="s">
        <v>9126</v>
      </c>
      <c r="J1141" s="338" t="s">
        <v>9130</v>
      </c>
      <c r="K1141" s="338" t="s">
        <v>7488</v>
      </c>
      <c r="L1141" s="338"/>
      <c r="M1141" s="338" t="s">
        <v>7515</v>
      </c>
      <c r="N1141" s="338" t="s">
        <v>7516</v>
      </c>
      <c r="O1141" s="337">
        <v>1</v>
      </c>
      <c r="P1141" s="337">
        <v>1</v>
      </c>
      <c r="Q1141" s="338"/>
      <c r="R1141" s="338"/>
      <c r="S1141" s="338"/>
      <c r="T1141" s="338"/>
      <c r="U1141" s="338" t="s">
        <v>7533</v>
      </c>
      <c r="V1141" s="337">
        <v>1</v>
      </c>
      <c r="W1141" s="337">
        <v>1</v>
      </c>
      <c r="X1141" s="338" t="s">
        <v>7534</v>
      </c>
      <c r="Y1141" s="338" t="s">
        <v>6318</v>
      </c>
      <c r="Z1141" s="338" t="s">
        <v>6164</v>
      </c>
      <c r="AA1141" s="338" t="s">
        <v>6079</v>
      </c>
      <c r="AB1141" s="338"/>
      <c r="AC1141" s="338"/>
      <c r="AD1141" s="338"/>
      <c r="AF1141" s="502" t="str">
        <f>Table15[[#This Row],[code2]]</f>
        <v>CIB</v>
      </c>
      <c r="AG1141" s="502" t="str">
        <f>Table15[[#This Row],[code5]]</f>
        <v>FCAAPR</v>
      </c>
    </row>
    <row r="1142" spans="1:33">
      <c r="A1142" s="338" t="s">
        <v>6072</v>
      </c>
      <c r="B1142" s="338" t="s">
        <v>6073</v>
      </c>
      <c r="C1142" s="337">
        <v>1</v>
      </c>
      <c r="D1142" s="338" t="s">
        <v>7486</v>
      </c>
      <c r="E1142" s="338" t="s">
        <v>7487</v>
      </c>
      <c r="F1142" s="337">
        <v>1</v>
      </c>
      <c r="G1142" s="337">
        <v>1</v>
      </c>
      <c r="H1142" s="338"/>
      <c r="I1142" s="338" t="s">
        <v>9126</v>
      </c>
      <c r="J1142" s="338" t="s">
        <v>9130</v>
      </c>
      <c r="K1142" s="338" t="s">
        <v>7488</v>
      </c>
      <c r="L1142" s="338"/>
      <c r="M1142" s="338" t="s">
        <v>7515</v>
      </c>
      <c r="N1142" s="338" t="s">
        <v>7516</v>
      </c>
      <c r="O1142" s="337">
        <v>1</v>
      </c>
      <c r="P1142" s="337">
        <v>1</v>
      </c>
      <c r="Q1142" s="338"/>
      <c r="R1142" s="338"/>
      <c r="S1142" s="338"/>
      <c r="T1142" s="338"/>
      <c r="U1142" s="338" t="s">
        <v>7535</v>
      </c>
      <c r="V1142" s="337">
        <v>1</v>
      </c>
      <c r="W1142" s="337">
        <v>1</v>
      </c>
      <c r="X1142" s="338" t="s">
        <v>7506</v>
      </c>
      <c r="Y1142" s="338" t="s">
        <v>6318</v>
      </c>
      <c r="Z1142" s="338" t="s">
        <v>7519</v>
      </c>
      <c r="AA1142" s="338" t="s">
        <v>6079</v>
      </c>
      <c r="AB1142" s="338"/>
      <c r="AC1142" s="338"/>
      <c r="AD1142" s="338"/>
      <c r="AF1142" s="502" t="str">
        <f>Table15[[#This Row],[code2]]</f>
        <v>CIB</v>
      </c>
      <c r="AG1142" s="502" t="str">
        <f>Table15[[#This Row],[code5]]</f>
        <v>FCAAPR</v>
      </c>
    </row>
    <row r="1143" spans="1:33">
      <c r="A1143" s="338" t="s">
        <v>6072</v>
      </c>
      <c r="B1143" s="338" t="s">
        <v>6073</v>
      </c>
      <c r="C1143" s="337">
        <v>1</v>
      </c>
      <c r="D1143" s="338" t="s">
        <v>7486</v>
      </c>
      <c r="E1143" s="338" t="s">
        <v>7487</v>
      </c>
      <c r="F1143" s="337">
        <v>1</v>
      </c>
      <c r="G1143" s="337">
        <v>1</v>
      </c>
      <c r="H1143" s="338"/>
      <c r="I1143" s="338" t="s">
        <v>9126</v>
      </c>
      <c r="J1143" s="338" t="s">
        <v>9130</v>
      </c>
      <c r="K1143" s="338" t="s">
        <v>7488</v>
      </c>
      <c r="L1143" s="338"/>
      <c r="M1143" s="338" t="s">
        <v>7515</v>
      </c>
      <c r="N1143" s="338" t="s">
        <v>7516</v>
      </c>
      <c r="O1143" s="337">
        <v>1</v>
      </c>
      <c r="P1143" s="337">
        <v>1</v>
      </c>
      <c r="Q1143" s="338"/>
      <c r="R1143" s="338"/>
      <c r="S1143" s="338"/>
      <c r="T1143" s="338"/>
      <c r="U1143" s="338" t="s">
        <v>7536</v>
      </c>
      <c r="V1143" s="337">
        <v>1</v>
      </c>
      <c r="W1143" s="337">
        <v>1</v>
      </c>
      <c r="X1143" s="338" t="s">
        <v>7503</v>
      </c>
      <c r="Y1143" s="338" t="s">
        <v>6318</v>
      </c>
      <c r="Z1143" s="338" t="s">
        <v>7519</v>
      </c>
      <c r="AA1143" s="338" t="s">
        <v>6079</v>
      </c>
      <c r="AB1143" s="338"/>
      <c r="AC1143" s="338"/>
      <c r="AD1143" s="338"/>
      <c r="AF1143" s="502" t="str">
        <f>Table15[[#This Row],[code2]]</f>
        <v>CIB</v>
      </c>
      <c r="AG1143" s="502" t="str">
        <f>Table15[[#This Row],[code5]]</f>
        <v>FCAAPR</v>
      </c>
    </row>
    <row r="1144" spans="1:33">
      <c r="A1144" s="338" t="s">
        <v>6072</v>
      </c>
      <c r="B1144" s="338" t="s">
        <v>6073</v>
      </c>
      <c r="C1144" s="337">
        <v>1</v>
      </c>
      <c r="D1144" s="338" t="s">
        <v>7486</v>
      </c>
      <c r="E1144" s="338" t="s">
        <v>7487</v>
      </c>
      <c r="F1144" s="337">
        <v>1</v>
      </c>
      <c r="G1144" s="337">
        <v>1</v>
      </c>
      <c r="H1144" s="338"/>
      <c r="I1144" s="338" t="s">
        <v>9126</v>
      </c>
      <c r="J1144" s="338" t="s">
        <v>9130</v>
      </c>
      <c r="K1144" s="338" t="s">
        <v>7488</v>
      </c>
      <c r="L1144" s="338"/>
      <c r="M1144" s="338" t="s">
        <v>7515</v>
      </c>
      <c r="N1144" s="338" t="s">
        <v>7516</v>
      </c>
      <c r="O1144" s="337">
        <v>1</v>
      </c>
      <c r="P1144" s="337">
        <v>1</v>
      </c>
      <c r="Q1144" s="338"/>
      <c r="R1144" s="338"/>
      <c r="S1144" s="338"/>
      <c r="T1144" s="338"/>
      <c r="U1144" s="338" t="s">
        <v>7537</v>
      </c>
      <c r="V1144" s="337">
        <v>1</v>
      </c>
      <c r="W1144" s="337">
        <v>1</v>
      </c>
      <c r="X1144" s="338" t="s">
        <v>7538</v>
      </c>
      <c r="Y1144" s="338" t="s">
        <v>6318</v>
      </c>
      <c r="Z1144" s="338" t="s">
        <v>7519</v>
      </c>
      <c r="AA1144" s="338" t="s">
        <v>6079</v>
      </c>
      <c r="AB1144" s="338"/>
      <c r="AC1144" s="338"/>
      <c r="AD1144" s="338"/>
      <c r="AF1144" s="502" t="str">
        <f>Table15[[#This Row],[code2]]</f>
        <v>CIB</v>
      </c>
      <c r="AG1144" s="502" t="str">
        <f>Table15[[#This Row],[code5]]</f>
        <v>FCAAPR</v>
      </c>
    </row>
    <row r="1145" spans="1:33">
      <c r="A1145" s="338" t="s">
        <v>6072</v>
      </c>
      <c r="B1145" s="338" t="s">
        <v>6073</v>
      </c>
      <c r="C1145" s="337">
        <v>1</v>
      </c>
      <c r="D1145" s="338" t="s">
        <v>7486</v>
      </c>
      <c r="E1145" s="338" t="s">
        <v>7487</v>
      </c>
      <c r="F1145" s="337">
        <v>1</v>
      </c>
      <c r="G1145" s="337">
        <v>1</v>
      </c>
      <c r="H1145" s="338"/>
      <c r="I1145" s="338" t="s">
        <v>9126</v>
      </c>
      <c r="J1145" s="338" t="s">
        <v>9130</v>
      </c>
      <c r="K1145" s="338" t="s">
        <v>7488</v>
      </c>
      <c r="L1145" s="338"/>
      <c r="M1145" s="338" t="s">
        <v>7515</v>
      </c>
      <c r="N1145" s="338" t="s">
        <v>7516</v>
      </c>
      <c r="O1145" s="337">
        <v>1</v>
      </c>
      <c r="P1145" s="337">
        <v>1</v>
      </c>
      <c r="Q1145" s="338"/>
      <c r="R1145" s="338"/>
      <c r="S1145" s="338"/>
      <c r="T1145" s="338"/>
      <c r="U1145" s="338" t="s">
        <v>7539</v>
      </c>
      <c r="V1145" s="337">
        <v>1</v>
      </c>
      <c r="W1145" s="337">
        <v>1</v>
      </c>
      <c r="X1145" s="338" t="s">
        <v>7540</v>
      </c>
      <c r="Y1145" s="338" t="s">
        <v>6318</v>
      </c>
      <c r="Z1145" s="338" t="s">
        <v>7519</v>
      </c>
      <c r="AA1145" s="338" t="s">
        <v>6079</v>
      </c>
      <c r="AB1145" s="338"/>
      <c r="AC1145" s="338"/>
      <c r="AD1145" s="338"/>
      <c r="AF1145" s="502" t="str">
        <f>Table15[[#This Row],[code2]]</f>
        <v>CIB</v>
      </c>
      <c r="AG1145" s="502" t="str">
        <f>Table15[[#This Row],[code5]]</f>
        <v>FCAAPR</v>
      </c>
    </row>
    <row r="1146" spans="1:33">
      <c r="A1146" s="338" t="s">
        <v>6072</v>
      </c>
      <c r="B1146" s="338" t="s">
        <v>6073</v>
      </c>
      <c r="C1146" s="337">
        <v>1</v>
      </c>
      <c r="D1146" s="338" t="s">
        <v>7486</v>
      </c>
      <c r="E1146" s="338" t="s">
        <v>7487</v>
      </c>
      <c r="F1146" s="337">
        <v>1</v>
      </c>
      <c r="G1146" s="337">
        <v>1</v>
      </c>
      <c r="H1146" s="338"/>
      <c r="I1146" s="338" t="s">
        <v>9126</v>
      </c>
      <c r="J1146" s="338" t="s">
        <v>9130</v>
      </c>
      <c r="K1146" s="338" t="s">
        <v>7488</v>
      </c>
      <c r="L1146" s="338"/>
      <c r="M1146" s="338" t="s">
        <v>7515</v>
      </c>
      <c r="N1146" s="338" t="s">
        <v>7516</v>
      </c>
      <c r="O1146" s="337">
        <v>1</v>
      </c>
      <c r="P1146" s="337">
        <v>1</v>
      </c>
      <c r="Q1146" s="338"/>
      <c r="R1146" s="338"/>
      <c r="S1146" s="338"/>
      <c r="T1146" s="338"/>
      <c r="U1146" s="338" t="s">
        <v>7541</v>
      </c>
      <c r="V1146" s="337">
        <v>1</v>
      </c>
      <c r="W1146" s="337">
        <v>1</v>
      </c>
      <c r="X1146" s="338" t="s">
        <v>7542</v>
      </c>
      <c r="Y1146" s="338" t="s">
        <v>6318</v>
      </c>
      <c r="Z1146" s="338" t="s">
        <v>7519</v>
      </c>
      <c r="AA1146" s="338" t="s">
        <v>6079</v>
      </c>
      <c r="AB1146" s="338"/>
      <c r="AC1146" s="338"/>
      <c r="AD1146" s="338"/>
      <c r="AF1146" s="502" t="str">
        <f>Table15[[#This Row],[code2]]</f>
        <v>CIB</v>
      </c>
      <c r="AG1146" s="502" t="str">
        <f>Table15[[#This Row],[code5]]</f>
        <v>FCAAPR</v>
      </c>
    </row>
    <row r="1147" spans="1:33">
      <c r="A1147" s="338" t="s">
        <v>6072</v>
      </c>
      <c r="B1147" s="338" t="s">
        <v>6073</v>
      </c>
      <c r="C1147" s="337">
        <v>1</v>
      </c>
      <c r="D1147" s="338" t="s">
        <v>7543</v>
      </c>
      <c r="E1147" s="338" t="s">
        <v>7544</v>
      </c>
      <c r="F1147" s="337">
        <v>1</v>
      </c>
      <c r="G1147" s="337">
        <v>1</v>
      </c>
      <c r="H1147" s="338"/>
      <c r="I1147" s="338" t="s">
        <v>9107</v>
      </c>
      <c r="J1147" s="338" t="s">
        <v>9108</v>
      </c>
      <c r="K1147" s="338" t="s">
        <v>7545</v>
      </c>
      <c r="L1147" s="338"/>
      <c r="M1147" s="338" t="s">
        <v>7546</v>
      </c>
      <c r="N1147" s="338" t="s">
        <v>7547</v>
      </c>
      <c r="O1147" s="337">
        <v>1</v>
      </c>
      <c r="P1147" s="337">
        <v>1</v>
      </c>
      <c r="Q1147" s="338"/>
      <c r="R1147" s="338"/>
      <c r="S1147" s="338"/>
      <c r="T1147" s="338" t="s">
        <v>6967</v>
      </c>
      <c r="U1147" s="338" t="s">
        <v>7548</v>
      </c>
      <c r="V1147" s="337">
        <v>1</v>
      </c>
      <c r="W1147" s="337">
        <v>1</v>
      </c>
      <c r="X1147" s="338"/>
      <c r="Y1147" s="338" t="s">
        <v>6318</v>
      </c>
      <c r="Z1147" s="338" t="s">
        <v>7026</v>
      </c>
      <c r="AA1147" s="338" t="s">
        <v>6079</v>
      </c>
      <c r="AB1147" s="338"/>
      <c r="AC1147" s="338"/>
      <c r="AD1147" s="338"/>
      <c r="AF1147" s="502" t="str">
        <f>Table15[[#This Row],[code2]]</f>
        <v>BDA</v>
      </c>
      <c r="AG1147" s="502" t="str">
        <f>Table15[[#This Row],[code5]]</f>
        <v>BDR</v>
      </c>
    </row>
    <row r="1148" spans="1:33">
      <c r="A1148" s="338" t="s">
        <v>6072</v>
      </c>
      <c r="B1148" s="338" t="s">
        <v>6073</v>
      </c>
      <c r="C1148" s="337">
        <v>1</v>
      </c>
      <c r="D1148" s="338" t="s">
        <v>7543</v>
      </c>
      <c r="E1148" s="338" t="s">
        <v>7544</v>
      </c>
      <c r="F1148" s="337">
        <v>1</v>
      </c>
      <c r="G1148" s="337">
        <v>1</v>
      </c>
      <c r="H1148" s="338"/>
      <c r="I1148" s="338" t="s">
        <v>9107</v>
      </c>
      <c r="J1148" s="338" t="s">
        <v>9108</v>
      </c>
      <c r="K1148" s="338" t="s">
        <v>7545</v>
      </c>
      <c r="L1148" s="338"/>
      <c r="M1148" s="338" t="s">
        <v>7549</v>
      </c>
      <c r="N1148" s="338" t="s">
        <v>8720</v>
      </c>
      <c r="O1148" s="337">
        <v>0</v>
      </c>
      <c r="P1148" s="337">
        <v>0</v>
      </c>
      <c r="Q1148" s="338"/>
      <c r="R1148" s="338" t="s">
        <v>14</v>
      </c>
      <c r="S1148" s="338"/>
      <c r="T1148" s="338" t="s">
        <v>7550</v>
      </c>
      <c r="U1148" s="338" t="s">
        <v>7551</v>
      </c>
      <c r="V1148" s="337">
        <v>0</v>
      </c>
      <c r="W1148" s="337">
        <v>0</v>
      </c>
      <c r="X1148" s="338"/>
      <c r="Y1148" s="338" t="s">
        <v>6318</v>
      </c>
      <c r="Z1148" s="338" t="s">
        <v>7023</v>
      </c>
      <c r="AA1148" s="338" t="s">
        <v>6079</v>
      </c>
      <c r="AB1148" s="338"/>
      <c r="AC1148" s="338" t="s">
        <v>7553</v>
      </c>
      <c r="AD1148" s="338"/>
      <c r="AF1148" s="502" t="str">
        <f>Table15[[#This Row],[code2]]</f>
        <v>BDA</v>
      </c>
      <c r="AG1148" s="502" t="str">
        <f>Table15[[#This Row],[code5]]</f>
        <v>BAE</v>
      </c>
    </row>
    <row r="1149" spans="1:33">
      <c r="A1149" s="338" t="s">
        <v>6072</v>
      </c>
      <c r="B1149" s="338" t="s">
        <v>6073</v>
      </c>
      <c r="C1149" s="337">
        <v>1</v>
      </c>
      <c r="D1149" s="338" t="s">
        <v>7543</v>
      </c>
      <c r="E1149" s="338" t="s">
        <v>7544</v>
      </c>
      <c r="F1149" s="337">
        <v>1</v>
      </c>
      <c r="G1149" s="337">
        <v>1</v>
      </c>
      <c r="H1149" s="338"/>
      <c r="I1149" s="338" t="s">
        <v>9107</v>
      </c>
      <c r="J1149" s="338" t="s">
        <v>9108</v>
      </c>
      <c r="K1149" s="338" t="s">
        <v>7545</v>
      </c>
      <c r="L1149" s="338"/>
      <c r="M1149" s="338" t="s">
        <v>7549</v>
      </c>
      <c r="N1149" s="338" t="s">
        <v>8720</v>
      </c>
      <c r="O1149" s="337">
        <v>0</v>
      </c>
      <c r="P1149" s="337">
        <v>0</v>
      </c>
      <c r="Q1149" s="338"/>
      <c r="R1149" s="338" t="s">
        <v>14</v>
      </c>
      <c r="S1149" s="338"/>
      <c r="T1149" s="338" t="s">
        <v>7550</v>
      </c>
      <c r="U1149" s="338" t="s">
        <v>7554</v>
      </c>
      <c r="V1149" s="337">
        <v>0</v>
      </c>
      <c r="W1149" s="337">
        <v>0</v>
      </c>
      <c r="X1149" s="338"/>
      <c r="Y1149" s="338" t="s">
        <v>6318</v>
      </c>
      <c r="Z1149" s="338" t="s">
        <v>7026</v>
      </c>
      <c r="AA1149" s="338" t="s">
        <v>6079</v>
      </c>
      <c r="AB1149" s="338"/>
      <c r="AC1149" s="338" t="s">
        <v>7555</v>
      </c>
      <c r="AD1149" s="338"/>
      <c r="AF1149" s="502" t="str">
        <f>Table15[[#This Row],[code2]]</f>
        <v>BDA</v>
      </c>
      <c r="AG1149" s="502" t="str">
        <f>Table15[[#This Row],[code5]]</f>
        <v>BAE</v>
      </c>
    </row>
    <row r="1150" spans="1:33">
      <c r="A1150" s="338" t="s">
        <v>6072</v>
      </c>
      <c r="B1150" s="338" t="s">
        <v>6073</v>
      </c>
      <c r="C1150" s="337">
        <v>1</v>
      </c>
      <c r="D1150" s="338" t="s">
        <v>7543</v>
      </c>
      <c r="E1150" s="338" t="s">
        <v>7544</v>
      </c>
      <c r="F1150" s="337">
        <v>1</v>
      </c>
      <c r="G1150" s="337">
        <v>1</v>
      </c>
      <c r="H1150" s="338"/>
      <c r="I1150" s="338" t="s">
        <v>9107</v>
      </c>
      <c r="J1150" s="338" t="s">
        <v>9108</v>
      </c>
      <c r="K1150" s="338" t="s">
        <v>7545</v>
      </c>
      <c r="L1150" s="338"/>
      <c r="M1150" s="338" t="s">
        <v>7549</v>
      </c>
      <c r="N1150" s="338" t="s">
        <v>8720</v>
      </c>
      <c r="O1150" s="337">
        <v>0</v>
      </c>
      <c r="P1150" s="337">
        <v>0</v>
      </c>
      <c r="Q1150" s="338"/>
      <c r="R1150" s="338" t="s">
        <v>14</v>
      </c>
      <c r="S1150" s="338"/>
      <c r="T1150" s="338" t="s">
        <v>7550</v>
      </c>
      <c r="U1150" s="338" t="s">
        <v>7556</v>
      </c>
      <c r="V1150" s="337">
        <v>0</v>
      </c>
      <c r="W1150" s="337">
        <v>0</v>
      </c>
      <c r="X1150" s="338"/>
      <c r="Y1150" s="338" t="s">
        <v>6318</v>
      </c>
      <c r="Z1150" s="338" t="s">
        <v>7026</v>
      </c>
      <c r="AA1150" s="338" t="s">
        <v>6079</v>
      </c>
      <c r="AB1150" s="338"/>
      <c r="AC1150" s="338" t="s">
        <v>7136</v>
      </c>
      <c r="AD1150" s="338"/>
      <c r="AF1150" s="502" t="str">
        <f>Table15[[#This Row],[code2]]</f>
        <v>BDA</v>
      </c>
      <c r="AG1150" s="502" t="str">
        <f>Table15[[#This Row],[code5]]</f>
        <v>BAE</v>
      </c>
    </row>
    <row r="1151" spans="1:33">
      <c r="A1151" s="338" t="s">
        <v>6072</v>
      </c>
      <c r="B1151" s="338" t="s">
        <v>6073</v>
      </c>
      <c r="C1151" s="337">
        <v>1</v>
      </c>
      <c r="D1151" s="338" t="s">
        <v>7543</v>
      </c>
      <c r="E1151" s="338" t="s">
        <v>7544</v>
      </c>
      <c r="F1151" s="337">
        <v>1</v>
      </c>
      <c r="G1151" s="337">
        <v>1</v>
      </c>
      <c r="H1151" s="338"/>
      <c r="I1151" s="338" t="s">
        <v>9107</v>
      </c>
      <c r="J1151" s="338" t="s">
        <v>9108</v>
      </c>
      <c r="K1151" s="338" t="s">
        <v>7545</v>
      </c>
      <c r="L1151" s="338"/>
      <c r="M1151" s="338" t="s">
        <v>7549</v>
      </c>
      <c r="N1151" s="338" t="s">
        <v>8720</v>
      </c>
      <c r="O1151" s="337">
        <v>0</v>
      </c>
      <c r="P1151" s="337">
        <v>0</v>
      </c>
      <c r="Q1151" s="338"/>
      <c r="R1151" s="338" t="s">
        <v>14</v>
      </c>
      <c r="S1151" s="338"/>
      <c r="T1151" s="338" t="s">
        <v>7550</v>
      </c>
      <c r="U1151" s="338" t="s">
        <v>7557</v>
      </c>
      <c r="V1151" s="337">
        <v>0</v>
      </c>
      <c r="W1151" s="337">
        <v>0</v>
      </c>
      <c r="X1151" s="338"/>
      <c r="Y1151" s="338" t="s">
        <v>6318</v>
      </c>
      <c r="Z1151" s="338" t="s">
        <v>7026</v>
      </c>
      <c r="AA1151" s="338" t="s">
        <v>6079</v>
      </c>
      <c r="AB1151" s="338"/>
      <c r="AC1151" s="338" t="s">
        <v>7138</v>
      </c>
      <c r="AD1151" s="338"/>
      <c r="AF1151" s="502" t="str">
        <f>Table15[[#This Row],[code2]]</f>
        <v>BDA</v>
      </c>
      <c r="AG1151" s="502" t="str">
        <f>Table15[[#This Row],[code5]]</f>
        <v>BAE</v>
      </c>
    </row>
    <row r="1152" spans="1:33">
      <c r="A1152" s="338" t="s">
        <v>6072</v>
      </c>
      <c r="B1152" s="338" t="s">
        <v>6073</v>
      </c>
      <c r="C1152" s="337">
        <v>1</v>
      </c>
      <c r="D1152" s="338" t="s">
        <v>7543</v>
      </c>
      <c r="E1152" s="338" t="s">
        <v>7544</v>
      </c>
      <c r="F1152" s="337">
        <v>1</v>
      </c>
      <c r="G1152" s="337">
        <v>1</v>
      </c>
      <c r="H1152" s="338"/>
      <c r="I1152" s="338" t="s">
        <v>9107</v>
      </c>
      <c r="J1152" s="338" t="s">
        <v>9108</v>
      </c>
      <c r="K1152" s="338" t="s">
        <v>7545</v>
      </c>
      <c r="L1152" s="338"/>
      <c r="M1152" s="338" t="s">
        <v>7549</v>
      </c>
      <c r="N1152" s="338" t="s">
        <v>8720</v>
      </c>
      <c r="O1152" s="337">
        <v>0</v>
      </c>
      <c r="P1152" s="337">
        <v>0</v>
      </c>
      <c r="Q1152" s="338"/>
      <c r="R1152" s="338" t="s">
        <v>14</v>
      </c>
      <c r="S1152" s="338"/>
      <c r="T1152" s="338" t="s">
        <v>7550</v>
      </c>
      <c r="U1152" s="338" t="s">
        <v>7558</v>
      </c>
      <c r="V1152" s="337">
        <v>0</v>
      </c>
      <c r="W1152" s="337">
        <v>0</v>
      </c>
      <c r="X1152" s="338"/>
      <c r="Y1152" s="338" t="s">
        <v>6318</v>
      </c>
      <c r="Z1152" s="338" t="s">
        <v>7026</v>
      </c>
      <c r="AA1152" s="338" t="s">
        <v>6079</v>
      </c>
      <c r="AB1152" s="338"/>
      <c r="AC1152" s="338" t="s">
        <v>7027</v>
      </c>
      <c r="AD1152" s="338"/>
      <c r="AF1152" s="502" t="str">
        <f>Table15[[#This Row],[code2]]</f>
        <v>BDA</v>
      </c>
      <c r="AG1152" s="502" t="str">
        <f>Table15[[#This Row],[code5]]</f>
        <v>BAE</v>
      </c>
    </row>
    <row r="1153" spans="1:33">
      <c r="A1153" s="338" t="s">
        <v>6072</v>
      </c>
      <c r="B1153" s="338" t="s">
        <v>6073</v>
      </c>
      <c r="C1153" s="337">
        <v>1</v>
      </c>
      <c r="D1153" s="338" t="s">
        <v>7543</v>
      </c>
      <c r="E1153" s="338" t="s">
        <v>7544</v>
      </c>
      <c r="F1153" s="337">
        <v>1</v>
      </c>
      <c r="G1153" s="337">
        <v>1</v>
      </c>
      <c r="H1153" s="338"/>
      <c r="I1153" s="338" t="s">
        <v>9107</v>
      </c>
      <c r="J1153" s="338" t="s">
        <v>9108</v>
      </c>
      <c r="K1153" s="338" t="s">
        <v>7545</v>
      </c>
      <c r="L1153" s="338"/>
      <c r="M1153" s="338" t="s">
        <v>7549</v>
      </c>
      <c r="N1153" s="338" t="s">
        <v>8720</v>
      </c>
      <c r="O1153" s="337">
        <v>0</v>
      </c>
      <c r="P1153" s="337">
        <v>0</v>
      </c>
      <c r="Q1153" s="338"/>
      <c r="R1153" s="338" t="s">
        <v>14</v>
      </c>
      <c r="S1153" s="338"/>
      <c r="T1153" s="338" t="s">
        <v>7550</v>
      </c>
      <c r="U1153" s="338" t="s">
        <v>7559</v>
      </c>
      <c r="V1153" s="337">
        <v>0</v>
      </c>
      <c r="W1153" s="337">
        <v>0</v>
      </c>
      <c r="X1153" s="338"/>
      <c r="Y1153" s="338" t="s">
        <v>6318</v>
      </c>
      <c r="Z1153" s="338" t="s">
        <v>7026</v>
      </c>
      <c r="AA1153" s="338" t="s">
        <v>6079</v>
      </c>
      <c r="AB1153" s="338"/>
      <c r="AC1153" s="338" t="s">
        <v>7141</v>
      </c>
      <c r="AD1153" s="338"/>
      <c r="AF1153" s="502" t="str">
        <f>Table15[[#This Row],[code2]]</f>
        <v>BDA</v>
      </c>
      <c r="AG1153" s="502" t="str">
        <f>Table15[[#This Row],[code5]]</f>
        <v>BAE</v>
      </c>
    </row>
    <row r="1154" spans="1:33">
      <c r="A1154" s="338" t="s">
        <v>6072</v>
      </c>
      <c r="B1154" s="338" t="s">
        <v>6073</v>
      </c>
      <c r="C1154" s="337">
        <v>1</v>
      </c>
      <c r="D1154" s="338" t="s">
        <v>7543</v>
      </c>
      <c r="E1154" s="338" t="s">
        <v>7544</v>
      </c>
      <c r="F1154" s="337">
        <v>1</v>
      </c>
      <c r="G1154" s="337">
        <v>1</v>
      </c>
      <c r="H1154" s="338"/>
      <c r="I1154" s="338" t="s">
        <v>9107</v>
      </c>
      <c r="J1154" s="338" t="s">
        <v>9108</v>
      </c>
      <c r="K1154" s="338" t="s">
        <v>7545</v>
      </c>
      <c r="L1154" s="338"/>
      <c r="M1154" s="338" t="s">
        <v>7549</v>
      </c>
      <c r="N1154" s="338" t="s">
        <v>8720</v>
      </c>
      <c r="O1154" s="337">
        <v>0</v>
      </c>
      <c r="P1154" s="337">
        <v>0</v>
      </c>
      <c r="Q1154" s="338"/>
      <c r="R1154" s="338" t="s">
        <v>14</v>
      </c>
      <c r="S1154" s="338"/>
      <c r="T1154" s="338" t="s">
        <v>7550</v>
      </c>
      <c r="U1154" s="338" t="s">
        <v>7560</v>
      </c>
      <c r="V1154" s="337">
        <v>0</v>
      </c>
      <c r="W1154" s="337">
        <v>0</v>
      </c>
      <c r="X1154" s="338"/>
      <c r="Y1154" s="338" t="s">
        <v>6318</v>
      </c>
      <c r="Z1154" s="338" t="s">
        <v>7026</v>
      </c>
      <c r="AA1154" s="338" t="s">
        <v>6079</v>
      </c>
      <c r="AB1154" s="338"/>
      <c r="AC1154" s="338" t="s">
        <v>7143</v>
      </c>
      <c r="AD1154" s="338"/>
      <c r="AF1154" s="502" t="str">
        <f>Table15[[#This Row],[code2]]</f>
        <v>BDA</v>
      </c>
      <c r="AG1154" s="502" t="str">
        <f>Table15[[#This Row],[code5]]</f>
        <v>BAE</v>
      </c>
    </row>
    <row r="1155" spans="1:33">
      <c r="A1155" s="338" t="s">
        <v>6072</v>
      </c>
      <c r="B1155" s="338" t="s">
        <v>6073</v>
      </c>
      <c r="C1155" s="337">
        <v>1</v>
      </c>
      <c r="D1155" s="338" t="s">
        <v>7543</v>
      </c>
      <c r="E1155" s="338" t="s">
        <v>7544</v>
      </c>
      <c r="F1155" s="337">
        <v>1</v>
      </c>
      <c r="G1155" s="337">
        <v>1</v>
      </c>
      <c r="H1155" s="338"/>
      <c r="I1155" s="338" t="s">
        <v>9107</v>
      </c>
      <c r="J1155" s="338" t="s">
        <v>9108</v>
      </c>
      <c r="K1155" s="338" t="s">
        <v>7545</v>
      </c>
      <c r="L1155" s="338"/>
      <c r="M1155" s="338" t="s">
        <v>7549</v>
      </c>
      <c r="N1155" s="338" t="s">
        <v>8720</v>
      </c>
      <c r="O1155" s="337">
        <v>0</v>
      </c>
      <c r="P1155" s="337">
        <v>0</v>
      </c>
      <c r="Q1155" s="338"/>
      <c r="R1155" s="338" t="s">
        <v>14</v>
      </c>
      <c r="S1155" s="338"/>
      <c r="T1155" s="338" t="s">
        <v>7550</v>
      </c>
      <c r="U1155" s="338" t="s">
        <v>7561</v>
      </c>
      <c r="V1155" s="337">
        <v>0</v>
      </c>
      <c r="W1155" s="337">
        <v>0</v>
      </c>
      <c r="X1155" s="338"/>
      <c r="Y1155" s="338" t="s">
        <v>6318</v>
      </c>
      <c r="Z1155" s="338" t="s">
        <v>7026</v>
      </c>
      <c r="AA1155" s="338" t="s">
        <v>6079</v>
      </c>
      <c r="AB1155" s="338"/>
      <c r="AC1155" s="338" t="s">
        <v>7562</v>
      </c>
      <c r="AD1155" s="338"/>
      <c r="AF1155" s="502" t="str">
        <f>Table15[[#This Row],[code2]]</f>
        <v>BDA</v>
      </c>
      <c r="AG1155" s="502" t="str">
        <f>Table15[[#This Row],[code5]]</f>
        <v>BAE</v>
      </c>
    </row>
    <row r="1156" spans="1:33">
      <c r="A1156" s="338" t="s">
        <v>6072</v>
      </c>
      <c r="B1156" s="338" t="s">
        <v>6073</v>
      </c>
      <c r="C1156" s="337">
        <v>1</v>
      </c>
      <c r="D1156" s="338" t="s">
        <v>7543</v>
      </c>
      <c r="E1156" s="338" t="s">
        <v>7544</v>
      </c>
      <c r="F1156" s="337">
        <v>1</v>
      </c>
      <c r="G1156" s="337">
        <v>1</v>
      </c>
      <c r="H1156" s="338"/>
      <c r="I1156" s="338" t="s">
        <v>9107</v>
      </c>
      <c r="J1156" s="338" t="s">
        <v>9108</v>
      </c>
      <c r="K1156" s="338" t="s">
        <v>7545</v>
      </c>
      <c r="L1156" s="338"/>
      <c r="M1156" s="338" t="s">
        <v>7563</v>
      </c>
      <c r="N1156" s="338" t="s">
        <v>8160</v>
      </c>
      <c r="O1156" s="337">
        <v>0</v>
      </c>
      <c r="P1156" s="337">
        <v>0</v>
      </c>
      <c r="Q1156" s="338"/>
      <c r="R1156" s="338" t="s">
        <v>14</v>
      </c>
      <c r="S1156" s="338"/>
      <c r="T1156" s="338" t="s">
        <v>7564</v>
      </c>
      <c r="U1156" s="338" t="s">
        <v>7565</v>
      </c>
      <c r="V1156" s="337">
        <v>0</v>
      </c>
      <c r="W1156" s="337">
        <v>0</v>
      </c>
      <c r="X1156" s="338"/>
      <c r="Y1156" s="338" t="s">
        <v>7552</v>
      </c>
      <c r="Z1156" s="338" t="s">
        <v>7023</v>
      </c>
      <c r="AA1156" s="338" t="s">
        <v>6079</v>
      </c>
      <c r="AB1156" s="338"/>
      <c r="AC1156" s="338" t="s">
        <v>7566</v>
      </c>
      <c r="AD1156" s="338"/>
      <c r="AF1156" s="502" t="str">
        <f>Table15[[#This Row],[code2]]</f>
        <v>BDA</v>
      </c>
      <c r="AG1156" s="502" t="str">
        <f>Table15[[#This Row],[code5]]</f>
        <v>BACM</v>
      </c>
    </row>
    <row r="1157" spans="1:33">
      <c r="A1157" s="338" t="s">
        <v>6072</v>
      </c>
      <c r="B1157" s="338" t="s">
        <v>6073</v>
      </c>
      <c r="C1157" s="337">
        <v>1</v>
      </c>
      <c r="D1157" s="338" t="s">
        <v>7543</v>
      </c>
      <c r="E1157" s="338" t="s">
        <v>7544</v>
      </c>
      <c r="F1157" s="337">
        <v>1</v>
      </c>
      <c r="G1157" s="337">
        <v>1</v>
      </c>
      <c r="H1157" s="338"/>
      <c r="I1157" s="338" t="s">
        <v>9107</v>
      </c>
      <c r="J1157" s="338" t="s">
        <v>9108</v>
      </c>
      <c r="K1157" s="338" t="s">
        <v>7545</v>
      </c>
      <c r="L1157" s="338"/>
      <c r="M1157" s="338" t="s">
        <v>7563</v>
      </c>
      <c r="N1157" s="338" t="s">
        <v>8160</v>
      </c>
      <c r="O1157" s="337">
        <v>0</v>
      </c>
      <c r="P1157" s="337">
        <v>0</v>
      </c>
      <c r="Q1157" s="338"/>
      <c r="R1157" s="338" t="s">
        <v>14</v>
      </c>
      <c r="S1157" s="338"/>
      <c r="T1157" s="338" t="s">
        <v>7564</v>
      </c>
      <c r="U1157" s="338" t="s">
        <v>7567</v>
      </c>
      <c r="V1157" s="337">
        <v>0</v>
      </c>
      <c r="W1157" s="337">
        <v>0</v>
      </c>
      <c r="X1157" s="338"/>
      <c r="Y1157" s="338" t="s">
        <v>7568</v>
      </c>
      <c r="Z1157" s="338" t="s">
        <v>7023</v>
      </c>
      <c r="AA1157" s="338" t="s">
        <v>6079</v>
      </c>
      <c r="AB1157" s="338"/>
      <c r="AC1157" s="338" t="s">
        <v>7566</v>
      </c>
      <c r="AD1157" s="338"/>
      <c r="AF1157" s="502" t="str">
        <f>Table15[[#This Row],[code2]]</f>
        <v>BDA</v>
      </c>
      <c r="AG1157" s="502" t="str">
        <f>Table15[[#This Row],[code5]]</f>
        <v>BACM</v>
      </c>
    </row>
    <row r="1158" spans="1:33">
      <c r="A1158" s="338" t="s">
        <v>6072</v>
      </c>
      <c r="B1158" s="338" t="s">
        <v>6073</v>
      </c>
      <c r="C1158" s="337">
        <v>1</v>
      </c>
      <c r="D1158" s="338" t="s">
        <v>7543</v>
      </c>
      <c r="E1158" s="338" t="s">
        <v>7544</v>
      </c>
      <c r="F1158" s="337">
        <v>1</v>
      </c>
      <c r="G1158" s="337">
        <v>1</v>
      </c>
      <c r="H1158" s="338"/>
      <c r="I1158" s="338" t="s">
        <v>9107</v>
      </c>
      <c r="J1158" s="338" t="s">
        <v>9108</v>
      </c>
      <c r="K1158" s="338" t="s">
        <v>7545</v>
      </c>
      <c r="L1158" s="338"/>
      <c r="M1158" s="338" t="s">
        <v>7563</v>
      </c>
      <c r="N1158" s="338" t="s">
        <v>8160</v>
      </c>
      <c r="O1158" s="337">
        <v>0</v>
      </c>
      <c r="P1158" s="337">
        <v>0</v>
      </c>
      <c r="Q1158" s="338"/>
      <c r="R1158" s="338" t="s">
        <v>14</v>
      </c>
      <c r="S1158" s="338"/>
      <c r="T1158" s="338" t="s">
        <v>7564</v>
      </c>
      <c r="U1158" s="338" t="s">
        <v>7569</v>
      </c>
      <c r="V1158" s="337">
        <v>0</v>
      </c>
      <c r="W1158" s="337">
        <v>0</v>
      </c>
      <c r="X1158" s="338"/>
      <c r="Y1158" s="338" t="s">
        <v>7552</v>
      </c>
      <c r="Z1158" s="338" t="s">
        <v>7162</v>
      </c>
      <c r="AA1158" s="338" t="s">
        <v>6079</v>
      </c>
      <c r="AB1158" s="338"/>
      <c r="AC1158" s="338" t="s">
        <v>7570</v>
      </c>
      <c r="AD1158" s="338"/>
      <c r="AF1158" s="502" t="str">
        <f>Table15[[#This Row],[code2]]</f>
        <v>BDA</v>
      </c>
      <c r="AG1158" s="502" t="str">
        <f>Table15[[#This Row],[code5]]</f>
        <v>BACM</v>
      </c>
    </row>
    <row r="1159" spans="1:33">
      <c r="A1159" s="338" t="s">
        <v>6072</v>
      </c>
      <c r="B1159" s="338" t="s">
        <v>6073</v>
      </c>
      <c r="C1159" s="337">
        <v>1</v>
      </c>
      <c r="D1159" s="338" t="s">
        <v>7543</v>
      </c>
      <c r="E1159" s="338" t="s">
        <v>7544</v>
      </c>
      <c r="F1159" s="337">
        <v>1</v>
      </c>
      <c r="G1159" s="337">
        <v>1</v>
      </c>
      <c r="H1159" s="338"/>
      <c r="I1159" s="338" t="s">
        <v>9107</v>
      </c>
      <c r="J1159" s="338" t="s">
        <v>9108</v>
      </c>
      <c r="K1159" s="338" t="s">
        <v>7545</v>
      </c>
      <c r="L1159" s="338"/>
      <c r="M1159" s="338" t="s">
        <v>7563</v>
      </c>
      <c r="N1159" s="338" t="s">
        <v>8160</v>
      </c>
      <c r="O1159" s="337">
        <v>0</v>
      </c>
      <c r="P1159" s="337">
        <v>0</v>
      </c>
      <c r="Q1159" s="338"/>
      <c r="R1159" s="338" t="s">
        <v>14</v>
      </c>
      <c r="S1159" s="338"/>
      <c r="T1159" s="338" t="s">
        <v>7564</v>
      </c>
      <c r="U1159" s="338" t="s">
        <v>7571</v>
      </c>
      <c r="V1159" s="337">
        <v>0</v>
      </c>
      <c r="W1159" s="337">
        <v>0</v>
      </c>
      <c r="X1159" s="338"/>
      <c r="Y1159" s="338" t="s">
        <v>7568</v>
      </c>
      <c r="Z1159" s="338" t="s">
        <v>7162</v>
      </c>
      <c r="AA1159" s="338" t="s">
        <v>6079</v>
      </c>
      <c r="AB1159" s="338"/>
      <c r="AC1159" s="338" t="s">
        <v>7570</v>
      </c>
      <c r="AD1159" s="338"/>
      <c r="AF1159" s="502" t="str">
        <f>Table15[[#This Row],[code2]]</f>
        <v>BDA</v>
      </c>
      <c r="AG1159" s="502" t="str">
        <f>Table15[[#This Row],[code5]]</f>
        <v>BACM</v>
      </c>
    </row>
    <row r="1160" spans="1:33">
      <c r="A1160" s="338" t="s">
        <v>6072</v>
      </c>
      <c r="B1160" s="338" t="s">
        <v>6073</v>
      </c>
      <c r="C1160" s="337">
        <v>1</v>
      </c>
      <c r="D1160" s="338" t="s">
        <v>7543</v>
      </c>
      <c r="E1160" s="338" t="s">
        <v>7544</v>
      </c>
      <c r="F1160" s="337">
        <v>1</v>
      </c>
      <c r="G1160" s="337">
        <v>1</v>
      </c>
      <c r="H1160" s="338"/>
      <c r="I1160" s="338" t="s">
        <v>9107</v>
      </c>
      <c r="J1160" s="338" t="s">
        <v>9108</v>
      </c>
      <c r="K1160" s="338" t="s">
        <v>7545</v>
      </c>
      <c r="L1160" s="338"/>
      <c r="M1160" s="338" t="s">
        <v>7563</v>
      </c>
      <c r="N1160" s="338" t="s">
        <v>8160</v>
      </c>
      <c r="O1160" s="337">
        <v>0</v>
      </c>
      <c r="P1160" s="337">
        <v>0</v>
      </c>
      <c r="Q1160" s="338"/>
      <c r="R1160" s="338" t="s">
        <v>14</v>
      </c>
      <c r="S1160" s="338"/>
      <c r="T1160" s="338" t="s">
        <v>7564</v>
      </c>
      <c r="U1160" s="338" t="s">
        <v>7572</v>
      </c>
      <c r="V1160" s="337">
        <v>0</v>
      </c>
      <c r="W1160" s="337">
        <v>0</v>
      </c>
      <c r="X1160" s="338"/>
      <c r="Y1160" s="338" t="s">
        <v>7552</v>
      </c>
      <c r="Z1160" s="338" t="s">
        <v>7162</v>
      </c>
      <c r="AA1160" s="338" t="s">
        <v>6079</v>
      </c>
      <c r="AB1160" s="338"/>
      <c r="AC1160" s="338" t="s">
        <v>7573</v>
      </c>
      <c r="AD1160" s="338"/>
      <c r="AF1160" s="502" t="str">
        <f>Table15[[#This Row],[code2]]</f>
        <v>BDA</v>
      </c>
      <c r="AG1160" s="502" t="str">
        <f>Table15[[#This Row],[code5]]</f>
        <v>BACM</v>
      </c>
    </row>
    <row r="1161" spans="1:33">
      <c r="A1161" s="338" t="s">
        <v>6072</v>
      </c>
      <c r="B1161" s="338" t="s">
        <v>6073</v>
      </c>
      <c r="C1161" s="337">
        <v>1</v>
      </c>
      <c r="D1161" s="338" t="s">
        <v>7543</v>
      </c>
      <c r="E1161" s="338" t="s">
        <v>7544</v>
      </c>
      <c r="F1161" s="337">
        <v>1</v>
      </c>
      <c r="G1161" s="337">
        <v>1</v>
      </c>
      <c r="H1161" s="338"/>
      <c r="I1161" s="338" t="s">
        <v>9107</v>
      </c>
      <c r="J1161" s="338" t="s">
        <v>9108</v>
      </c>
      <c r="K1161" s="338" t="s">
        <v>7545</v>
      </c>
      <c r="L1161" s="338"/>
      <c r="M1161" s="338" t="s">
        <v>7563</v>
      </c>
      <c r="N1161" s="338" t="s">
        <v>8160</v>
      </c>
      <c r="O1161" s="337">
        <v>0</v>
      </c>
      <c r="P1161" s="337">
        <v>0</v>
      </c>
      <c r="Q1161" s="338"/>
      <c r="R1161" s="338" t="s">
        <v>14</v>
      </c>
      <c r="S1161" s="338"/>
      <c r="T1161" s="338" t="s">
        <v>7564</v>
      </c>
      <c r="U1161" s="338" t="s">
        <v>7574</v>
      </c>
      <c r="V1161" s="337">
        <v>0</v>
      </c>
      <c r="W1161" s="337">
        <v>0</v>
      </c>
      <c r="X1161" s="338"/>
      <c r="Y1161" s="338" t="s">
        <v>7568</v>
      </c>
      <c r="Z1161" s="338" t="s">
        <v>7162</v>
      </c>
      <c r="AA1161" s="338" t="s">
        <v>6079</v>
      </c>
      <c r="AB1161" s="338"/>
      <c r="AC1161" s="338" t="s">
        <v>7573</v>
      </c>
      <c r="AD1161" s="338"/>
      <c r="AF1161" s="502" t="str">
        <f>Table15[[#This Row],[code2]]</f>
        <v>BDA</v>
      </c>
      <c r="AG1161" s="502" t="str">
        <f>Table15[[#This Row],[code5]]</f>
        <v>BACM</v>
      </c>
    </row>
    <row r="1162" spans="1:33">
      <c r="A1162" s="338" t="s">
        <v>6072</v>
      </c>
      <c r="B1162" s="338" t="s">
        <v>6073</v>
      </c>
      <c r="C1162" s="337">
        <v>1</v>
      </c>
      <c r="D1162" s="338" t="s">
        <v>7543</v>
      </c>
      <c r="E1162" s="338" t="s">
        <v>7544</v>
      </c>
      <c r="F1162" s="337">
        <v>1</v>
      </c>
      <c r="G1162" s="337">
        <v>1</v>
      </c>
      <c r="H1162" s="338"/>
      <c r="I1162" s="338" t="s">
        <v>9107</v>
      </c>
      <c r="J1162" s="338" t="s">
        <v>9108</v>
      </c>
      <c r="K1162" s="338" t="s">
        <v>7545</v>
      </c>
      <c r="L1162" s="338"/>
      <c r="M1162" s="338" t="s">
        <v>7563</v>
      </c>
      <c r="N1162" s="338" t="s">
        <v>8160</v>
      </c>
      <c r="O1162" s="337">
        <v>0</v>
      </c>
      <c r="P1162" s="337">
        <v>0</v>
      </c>
      <c r="Q1162" s="338"/>
      <c r="R1162" s="338" t="s">
        <v>14</v>
      </c>
      <c r="S1162" s="338"/>
      <c r="T1162" s="338" t="s">
        <v>7564</v>
      </c>
      <c r="U1162" s="338" t="s">
        <v>7575</v>
      </c>
      <c r="V1162" s="337">
        <v>0</v>
      </c>
      <c r="W1162" s="337">
        <v>0</v>
      </c>
      <c r="X1162" s="338"/>
      <c r="Y1162" s="338" t="s">
        <v>7552</v>
      </c>
      <c r="Z1162" s="338" t="s">
        <v>7162</v>
      </c>
      <c r="AA1162" s="338" t="s">
        <v>6079</v>
      </c>
      <c r="AB1162" s="338"/>
      <c r="AC1162" s="338" t="s">
        <v>7138</v>
      </c>
      <c r="AD1162" s="338"/>
      <c r="AF1162" s="502" t="str">
        <f>Table15[[#This Row],[code2]]</f>
        <v>BDA</v>
      </c>
      <c r="AG1162" s="502" t="str">
        <f>Table15[[#This Row],[code5]]</f>
        <v>BACM</v>
      </c>
    </row>
    <row r="1163" spans="1:33">
      <c r="A1163" s="338" t="s">
        <v>6072</v>
      </c>
      <c r="B1163" s="338" t="s">
        <v>6073</v>
      </c>
      <c r="C1163" s="337">
        <v>1</v>
      </c>
      <c r="D1163" s="338" t="s">
        <v>7543</v>
      </c>
      <c r="E1163" s="338" t="s">
        <v>7544</v>
      </c>
      <c r="F1163" s="337">
        <v>1</v>
      </c>
      <c r="G1163" s="337">
        <v>1</v>
      </c>
      <c r="H1163" s="338"/>
      <c r="I1163" s="338" t="s">
        <v>9107</v>
      </c>
      <c r="J1163" s="338" t="s">
        <v>9108</v>
      </c>
      <c r="K1163" s="338" t="s">
        <v>7545</v>
      </c>
      <c r="L1163" s="338"/>
      <c r="M1163" s="338" t="s">
        <v>7563</v>
      </c>
      <c r="N1163" s="338" t="s">
        <v>8160</v>
      </c>
      <c r="O1163" s="337">
        <v>0</v>
      </c>
      <c r="P1163" s="337">
        <v>0</v>
      </c>
      <c r="Q1163" s="338"/>
      <c r="R1163" s="338" t="s">
        <v>14</v>
      </c>
      <c r="S1163" s="338"/>
      <c r="T1163" s="338" t="s">
        <v>7564</v>
      </c>
      <c r="U1163" s="338" t="s">
        <v>7576</v>
      </c>
      <c r="V1163" s="337">
        <v>0</v>
      </c>
      <c r="W1163" s="337">
        <v>0</v>
      </c>
      <c r="X1163" s="338"/>
      <c r="Y1163" s="338" t="s">
        <v>7568</v>
      </c>
      <c r="Z1163" s="338" t="s">
        <v>7162</v>
      </c>
      <c r="AA1163" s="338" t="s">
        <v>6079</v>
      </c>
      <c r="AB1163" s="338"/>
      <c r="AC1163" s="338" t="s">
        <v>7138</v>
      </c>
      <c r="AD1163" s="338"/>
      <c r="AF1163" s="502" t="str">
        <f>Table15[[#This Row],[code2]]</f>
        <v>BDA</v>
      </c>
      <c r="AG1163" s="502" t="str">
        <f>Table15[[#This Row],[code5]]</f>
        <v>BACM</v>
      </c>
    </row>
    <row r="1164" spans="1:33">
      <c r="A1164" s="338" t="s">
        <v>6072</v>
      </c>
      <c r="B1164" s="338" t="s">
        <v>6073</v>
      </c>
      <c r="C1164" s="337">
        <v>1</v>
      </c>
      <c r="D1164" s="338" t="s">
        <v>7543</v>
      </c>
      <c r="E1164" s="338" t="s">
        <v>7544</v>
      </c>
      <c r="F1164" s="337">
        <v>1</v>
      </c>
      <c r="G1164" s="337">
        <v>1</v>
      </c>
      <c r="H1164" s="338"/>
      <c r="I1164" s="338" t="s">
        <v>9107</v>
      </c>
      <c r="J1164" s="338" t="s">
        <v>9108</v>
      </c>
      <c r="K1164" s="338" t="s">
        <v>7545</v>
      </c>
      <c r="L1164" s="338"/>
      <c r="M1164" s="338" t="s">
        <v>7563</v>
      </c>
      <c r="N1164" s="338" t="s">
        <v>8160</v>
      </c>
      <c r="O1164" s="337">
        <v>0</v>
      </c>
      <c r="P1164" s="337">
        <v>0</v>
      </c>
      <c r="Q1164" s="338"/>
      <c r="R1164" s="338" t="s">
        <v>14</v>
      </c>
      <c r="S1164" s="338"/>
      <c r="T1164" s="338" t="s">
        <v>7564</v>
      </c>
      <c r="U1164" s="338" t="s">
        <v>7577</v>
      </c>
      <c r="V1164" s="337">
        <v>0</v>
      </c>
      <c r="W1164" s="337">
        <v>0</v>
      </c>
      <c r="X1164" s="338"/>
      <c r="Y1164" s="338" t="s">
        <v>7552</v>
      </c>
      <c r="Z1164" s="338" t="s">
        <v>7162</v>
      </c>
      <c r="AA1164" s="338" t="s">
        <v>6079</v>
      </c>
      <c r="AB1164" s="338"/>
      <c r="AC1164" s="338" t="s">
        <v>7578</v>
      </c>
      <c r="AD1164" s="338"/>
      <c r="AF1164" s="502" t="str">
        <f>Table15[[#This Row],[code2]]</f>
        <v>BDA</v>
      </c>
      <c r="AG1164" s="502" t="str">
        <f>Table15[[#This Row],[code5]]</f>
        <v>BACM</v>
      </c>
    </row>
    <row r="1165" spans="1:33">
      <c r="A1165" s="338" t="s">
        <v>6072</v>
      </c>
      <c r="B1165" s="338" t="s">
        <v>6073</v>
      </c>
      <c r="C1165" s="337">
        <v>1</v>
      </c>
      <c r="D1165" s="338" t="s">
        <v>7543</v>
      </c>
      <c r="E1165" s="338" t="s">
        <v>7544</v>
      </c>
      <c r="F1165" s="337">
        <v>1</v>
      </c>
      <c r="G1165" s="337">
        <v>1</v>
      </c>
      <c r="H1165" s="338"/>
      <c r="I1165" s="338" t="s">
        <v>9107</v>
      </c>
      <c r="J1165" s="338" t="s">
        <v>9108</v>
      </c>
      <c r="K1165" s="338" t="s">
        <v>7545</v>
      </c>
      <c r="L1165" s="338"/>
      <c r="M1165" s="338" t="s">
        <v>7563</v>
      </c>
      <c r="N1165" s="338" t="s">
        <v>8160</v>
      </c>
      <c r="O1165" s="337">
        <v>0</v>
      </c>
      <c r="P1165" s="337">
        <v>0</v>
      </c>
      <c r="Q1165" s="338"/>
      <c r="R1165" s="338" t="s">
        <v>14</v>
      </c>
      <c r="S1165" s="338"/>
      <c r="T1165" s="338" t="s">
        <v>7564</v>
      </c>
      <c r="U1165" s="338" t="s">
        <v>7579</v>
      </c>
      <c r="V1165" s="337">
        <v>0</v>
      </c>
      <c r="W1165" s="337">
        <v>0</v>
      </c>
      <c r="X1165" s="338"/>
      <c r="Y1165" s="338" t="s">
        <v>7568</v>
      </c>
      <c r="Z1165" s="338" t="s">
        <v>7162</v>
      </c>
      <c r="AA1165" s="338" t="s">
        <v>6079</v>
      </c>
      <c r="AB1165" s="338"/>
      <c r="AC1165" s="338" t="s">
        <v>7578</v>
      </c>
      <c r="AD1165" s="338"/>
      <c r="AF1165" s="502" t="str">
        <f>Table15[[#This Row],[code2]]</f>
        <v>BDA</v>
      </c>
      <c r="AG1165" s="502" t="str">
        <f>Table15[[#This Row],[code5]]</f>
        <v>BACM</v>
      </c>
    </row>
    <row r="1166" spans="1:33">
      <c r="A1166" s="338" t="s">
        <v>6072</v>
      </c>
      <c r="B1166" s="338" t="s">
        <v>6073</v>
      </c>
      <c r="C1166" s="337">
        <v>1</v>
      </c>
      <c r="D1166" s="338" t="s">
        <v>7543</v>
      </c>
      <c r="E1166" s="338" t="s">
        <v>7544</v>
      </c>
      <c r="F1166" s="337">
        <v>1</v>
      </c>
      <c r="G1166" s="337">
        <v>1</v>
      </c>
      <c r="H1166" s="338"/>
      <c r="I1166" s="338" t="s">
        <v>9107</v>
      </c>
      <c r="J1166" s="338" t="s">
        <v>9108</v>
      </c>
      <c r="K1166" s="338" t="s">
        <v>7545</v>
      </c>
      <c r="L1166" s="338"/>
      <c r="M1166" s="338" t="s">
        <v>7580</v>
      </c>
      <c r="N1166" s="338" t="s">
        <v>7581</v>
      </c>
      <c r="O1166" s="337">
        <v>1</v>
      </c>
      <c r="P1166" s="337">
        <v>1</v>
      </c>
      <c r="Q1166" s="338"/>
      <c r="R1166" s="338" t="s">
        <v>14</v>
      </c>
      <c r="S1166" s="338"/>
      <c r="T1166" s="338" t="s">
        <v>9058</v>
      </c>
      <c r="U1166" s="338" t="s">
        <v>7582</v>
      </c>
      <c r="V1166" s="337">
        <v>1</v>
      </c>
      <c r="W1166" s="337">
        <v>1</v>
      </c>
      <c r="X1166" s="338"/>
      <c r="Y1166" s="338" t="s">
        <v>6318</v>
      </c>
      <c r="Z1166" s="338" t="s">
        <v>7023</v>
      </c>
      <c r="AA1166" s="338" t="s">
        <v>6079</v>
      </c>
      <c r="AB1166" s="338"/>
      <c r="AC1166" s="338" t="s">
        <v>7553</v>
      </c>
      <c r="AD1166" s="338"/>
      <c r="AF1166" s="502" t="str">
        <f>Table15[[#This Row],[code2]]</f>
        <v>BDA</v>
      </c>
      <c r="AG1166" s="502" t="str">
        <f>Table15[[#This Row],[code5]]</f>
        <v>BAOS</v>
      </c>
    </row>
    <row r="1167" spans="1:33">
      <c r="A1167" s="338" t="s">
        <v>6072</v>
      </c>
      <c r="B1167" s="338" t="s">
        <v>6073</v>
      </c>
      <c r="C1167" s="337">
        <v>1</v>
      </c>
      <c r="D1167" s="338" t="s">
        <v>7543</v>
      </c>
      <c r="E1167" s="338" t="s">
        <v>7544</v>
      </c>
      <c r="F1167" s="337">
        <v>1</v>
      </c>
      <c r="G1167" s="337">
        <v>1</v>
      </c>
      <c r="H1167" s="338"/>
      <c r="I1167" s="338" t="s">
        <v>9107</v>
      </c>
      <c r="J1167" s="338" t="s">
        <v>9108</v>
      </c>
      <c r="K1167" s="338" t="s">
        <v>7545</v>
      </c>
      <c r="L1167" s="338"/>
      <c r="M1167" s="338" t="s">
        <v>7580</v>
      </c>
      <c r="N1167" s="338" t="s">
        <v>7581</v>
      </c>
      <c r="O1167" s="337">
        <v>1</v>
      </c>
      <c r="P1167" s="337">
        <v>1</v>
      </c>
      <c r="Q1167" s="338"/>
      <c r="R1167" s="338" t="s">
        <v>14</v>
      </c>
      <c r="S1167" s="338"/>
      <c r="T1167" s="338" t="s">
        <v>9058</v>
      </c>
      <c r="U1167" s="338" t="s">
        <v>7583</v>
      </c>
      <c r="V1167" s="337">
        <v>0</v>
      </c>
      <c r="W1167" s="337">
        <v>0</v>
      </c>
      <c r="X1167" s="338"/>
      <c r="Y1167" s="338" t="s">
        <v>7568</v>
      </c>
      <c r="Z1167" s="338" t="s">
        <v>7023</v>
      </c>
      <c r="AA1167" s="338" t="s">
        <v>6079</v>
      </c>
      <c r="AB1167" s="338"/>
      <c r="AC1167" s="338" t="s">
        <v>7553</v>
      </c>
      <c r="AD1167" s="338"/>
      <c r="AF1167" s="502" t="str">
        <f>Table15[[#This Row],[code2]]</f>
        <v>BDA</v>
      </c>
      <c r="AG1167" s="502" t="str">
        <f>Table15[[#This Row],[code5]]</f>
        <v>BAOS</v>
      </c>
    </row>
    <row r="1168" spans="1:33">
      <c r="A1168" s="338" t="s">
        <v>6072</v>
      </c>
      <c r="B1168" s="338" t="s">
        <v>6073</v>
      </c>
      <c r="C1168" s="337">
        <v>1</v>
      </c>
      <c r="D1168" s="338" t="s">
        <v>7543</v>
      </c>
      <c r="E1168" s="338" t="s">
        <v>7544</v>
      </c>
      <c r="F1168" s="337">
        <v>1</v>
      </c>
      <c r="G1168" s="337">
        <v>1</v>
      </c>
      <c r="H1168" s="338"/>
      <c r="I1168" s="338" t="s">
        <v>9107</v>
      </c>
      <c r="J1168" s="338" t="s">
        <v>9108</v>
      </c>
      <c r="K1168" s="338" t="s">
        <v>7545</v>
      </c>
      <c r="L1168" s="338"/>
      <c r="M1168" s="338" t="s">
        <v>7580</v>
      </c>
      <c r="N1168" s="338" t="s">
        <v>7581</v>
      </c>
      <c r="O1168" s="337">
        <v>1</v>
      </c>
      <c r="P1168" s="337">
        <v>1</v>
      </c>
      <c r="Q1168" s="338"/>
      <c r="R1168" s="338" t="s">
        <v>14</v>
      </c>
      <c r="S1168" s="338"/>
      <c r="T1168" s="338" t="s">
        <v>9058</v>
      </c>
      <c r="U1168" s="338" t="s">
        <v>7584</v>
      </c>
      <c r="V1168" s="337">
        <v>1</v>
      </c>
      <c r="W1168" s="337">
        <v>1</v>
      </c>
      <c r="X1168" s="338"/>
      <c r="Y1168" s="338" t="s">
        <v>6318</v>
      </c>
      <c r="Z1168" s="338" t="s">
        <v>9081</v>
      </c>
      <c r="AA1168" s="338" t="s">
        <v>6079</v>
      </c>
      <c r="AB1168" s="338"/>
      <c r="AC1168" s="338" t="s">
        <v>7585</v>
      </c>
      <c r="AD1168" s="338"/>
      <c r="AF1168" s="502" t="str">
        <f>Table15[[#This Row],[code2]]</f>
        <v>BDA</v>
      </c>
      <c r="AG1168" s="502" t="str">
        <f>Table15[[#This Row],[code5]]</f>
        <v>BAOS</v>
      </c>
    </row>
    <row r="1169" spans="1:33">
      <c r="A1169" s="338" t="s">
        <v>6072</v>
      </c>
      <c r="B1169" s="338" t="s">
        <v>6073</v>
      </c>
      <c r="C1169" s="337">
        <v>1</v>
      </c>
      <c r="D1169" s="338" t="s">
        <v>7543</v>
      </c>
      <c r="E1169" s="338" t="s">
        <v>7544</v>
      </c>
      <c r="F1169" s="337">
        <v>1</v>
      </c>
      <c r="G1169" s="337">
        <v>1</v>
      </c>
      <c r="H1169" s="338"/>
      <c r="I1169" s="338" t="s">
        <v>9107</v>
      </c>
      <c r="J1169" s="338" t="s">
        <v>9108</v>
      </c>
      <c r="K1169" s="338" t="s">
        <v>7545</v>
      </c>
      <c r="L1169" s="338"/>
      <c r="M1169" s="338" t="s">
        <v>7580</v>
      </c>
      <c r="N1169" s="338" t="s">
        <v>7581</v>
      </c>
      <c r="O1169" s="337">
        <v>1</v>
      </c>
      <c r="P1169" s="337">
        <v>1</v>
      </c>
      <c r="Q1169" s="338"/>
      <c r="R1169" s="338" t="s">
        <v>14</v>
      </c>
      <c r="S1169" s="338"/>
      <c r="T1169" s="338" t="s">
        <v>9058</v>
      </c>
      <c r="U1169" s="338" t="s">
        <v>7586</v>
      </c>
      <c r="V1169" s="337">
        <v>0</v>
      </c>
      <c r="W1169" s="337">
        <v>0</v>
      </c>
      <c r="X1169" s="338"/>
      <c r="Y1169" s="338" t="s">
        <v>7568</v>
      </c>
      <c r="Z1169" s="338" t="s">
        <v>9081</v>
      </c>
      <c r="AA1169" s="338" t="s">
        <v>6079</v>
      </c>
      <c r="AB1169" s="338"/>
      <c r="AC1169" s="338" t="s">
        <v>7585</v>
      </c>
      <c r="AD1169" s="338"/>
      <c r="AF1169" s="502" t="str">
        <f>Table15[[#This Row],[code2]]</f>
        <v>BDA</v>
      </c>
      <c r="AG1169" s="502" t="str">
        <f>Table15[[#This Row],[code5]]</f>
        <v>BAOS</v>
      </c>
    </row>
    <row r="1170" spans="1:33">
      <c r="A1170" s="338" t="s">
        <v>6072</v>
      </c>
      <c r="B1170" s="338" t="s">
        <v>6073</v>
      </c>
      <c r="C1170" s="337">
        <v>1</v>
      </c>
      <c r="D1170" s="338" t="s">
        <v>7543</v>
      </c>
      <c r="E1170" s="338" t="s">
        <v>7544</v>
      </c>
      <c r="F1170" s="337">
        <v>1</v>
      </c>
      <c r="G1170" s="337">
        <v>1</v>
      </c>
      <c r="H1170" s="338"/>
      <c r="I1170" s="338" t="s">
        <v>9107</v>
      </c>
      <c r="J1170" s="338" t="s">
        <v>9108</v>
      </c>
      <c r="K1170" s="338" t="s">
        <v>7545</v>
      </c>
      <c r="L1170" s="338"/>
      <c r="M1170" s="338" t="s">
        <v>7580</v>
      </c>
      <c r="N1170" s="338" t="s">
        <v>7581</v>
      </c>
      <c r="O1170" s="337">
        <v>1</v>
      </c>
      <c r="P1170" s="337">
        <v>1</v>
      </c>
      <c r="Q1170" s="338"/>
      <c r="R1170" s="338" t="s">
        <v>14</v>
      </c>
      <c r="S1170" s="338"/>
      <c r="T1170" s="338" t="s">
        <v>9058</v>
      </c>
      <c r="U1170" s="338" t="s">
        <v>9112</v>
      </c>
      <c r="V1170" s="337">
        <v>1</v>
      </c>
      <c r="W1170" s="337">
        <v>0</v>
      </c>
      <c r="X1170" s="338"/>
      <c r="Y1170" s="338" t="s">
        <v>6318</v>
      </c>
      <c r="Z1170" s="338" t="s">
        <v>7023</v>
      </c>
      <c r="AA1170" s="338" t="s">
        <v>6079</v>
      </c>
      <c r="AB1170" s="338"/>
      <c r="AC1170" s="338" t="s">
        <v>9121</v>
      </c>
      <c r="AD1170" s="338"/>
      <c r="AF1170" s="502" t="str">
        <f>Table15[[#This Row],[code2]]</f>
        <v>BDA</v>
      </c>
      <c r="AG1170" s="502" t="str">
        <f>Table15[[#This Row],[code5]]</f>
        <v>BAOS</v>
      </c>
    </row>
    <row r="1171" spans="1:33">
      <c r="A1171" s="338" t="s">
        <v>6072</v>
      </c>
      <c r="B1171" s="338" t="s">
        <v>6073</v>
      </c>
      <c r="C1171" s="337">
        <v>1</v>
      </c>
      <c r="D1171" s="338" t="s">
        <v>7543</v>
      </c>
      <c r="E1171" s="338" t="s">
        <v>7544</v>
      </c>
      <c r="F1171" s="337">
        <v>1</v>
      </c>
      <c r="G1171" s="337">
        <v>1</v>
      </c>
      <c r="H1171" s="338"/>
      <c r="I1171" s="338" t="s">
        <v>9107</v>
      </c>
      <c r="J1171" s="338" t="s">
        <v>9108</v>
      </c>
      <c r="K1171" s="338" t="s">
        <v>7545</v>
      </c>
      <c r="L1171" s="338"/>
      <c r="M1171" s="338" t="s">
        <v>7580</v>
      </c>
      <c r="N1171" s="338" t="s">
        <v>7581</v>
      </c>
      <c r="O1171" s="337">
        <v>1</v>
      </c>
      <c r="P1171" s="337">
        <v>1</v>
      </c>
      <c r="Q1171" s="338"/>
      <c r="R1171" s="338" t="s">
        <v>14</v>
      </c>
      <c r="S1171" s="338"/>
      <c r="T1171" s="338" t="s">
        <v>9058</v>
      </c>
      <c r="U1171" s="338" t="s">
        <v>9113</v>
      </c>
      <c r="V1171" s="337">
        <v>1</v>
      </c>
      <c r="W1171" s="337">
        <v>0</v>
      </c>
      <c r="X1171" s="338"/>
      <c r="Y1171" s="338" t="s">
        <v>6318</v>
      </c>
      <c r="Z1171" s="338" t="s">
        <v>7023</v>
      </c>
      <c r="AA1171" s="338" t="s">
        <v>6079</v>
      </c>
      <c r="AB1171" s="338"/>
      <c r="AC1171" s="338" t="s">
        <v>7143</v>
      </c>
      <c r="AD1171" s="338"/>
      <c r="AF1171" s="502" t="str">
        <f>Table15[[#This Row],[code2]]</f>
        <v>BDA</v>
      </c>
      <c r="AG1171" s="502" t="str">
        <f>Table15[[#This Row],[code5]]</f>
        <v>BAOS</v>
      </c>
    </row>
    <row r="1172" spans="1:33">
      <c r="A1172" s="338" t="s">
        <v>6072</v>
      </c>
      <c r="B1172" s="338" t="s">
        <v>6073</v>
      </c>
      <c r="C1172" s="337">
        <v>1</v>
      </c>
      <c r="D1172" s="338" t="s">
        <v>7543</v>
      </c>
      <c r="E1172" s="338" t="s">
        <v>7544</v>
      </c>
      <c r="F1172" s="337">
        <v>1</v>
      </c>
      <c r="G1172" s="337">
        <v>1</v>
      </c>
      <c r="H1172" s="338"/>
      <c r="I1172" s="338" t="s">
        <v>9107</v>
      </c>
      <c r="J1172" s="338" t="s">
        <v>9108</v>
      </c>
      <c r="K1172" s="338" t="s">
        <v>7545</v>
      </c>
      <c r="L1172" s="338"/>
      <c r="M1172" s="338" t="s">
        <v>7580</v>
      </c>
      <c r="N1172" s="338" t="s">
        <v>7581</v>
      </c>
      <c r="O1172" s="337">
        <v>1</v>
      </c>
      <c r="P1172" s="337">
        <v>1</v>
      </c>
      <c r="Q1172" s="338"/>
      <c r="R1172" s="338" t="s">
        <v>14</v>
      </c>
      <c r="S1172" s="338"/>
      <c r="T1172" s="338" t="s">
        <v>9058</v>
      </c>
      <c r="U1172" s="338" t="s">
        <v>9114</v>
      </c>
      <c r="V1172" s="337">
        <v>1</v>
      </c>
      <c r="W1172" s="337">
        <v>0</v>
      </c>
      <c r="X1172" s="338"/>
      <c r="Y1172" s="338" t="s">
        <v>6318</v>
      </c>
      <c r="Z1172" s="338" t="s">
        <v>7023</v>
      </c>
      <c r="AA1172" s="338" t="s">
        <v>6079</v>
      </c>
      <c r="AB1172" s="338"/>
      <c r="AC1172" s="338" t="s">
        <v>7562</v>
      </c>
      <c r="AD1172" s="338"/>
      <c r="AF1172" s="502" t="str">
        <f>Table15[[#This Row],[code2]]</f>
        <v>BDA</v>
      </c>
      <c r="AG1172" s="502" t="str">
        <f>Table15[[#This Row],[code5]]</f>
        <v>BAOS</v>
      </c>
    </row>
    <row r="1173" spans="1:33">
      <c r="A1173" s="338" t="s">
        <v>6072</v>
      </c>
      <c r="B1173" s="338" t="s">
        <v>6073</v>
      </c>
      <c r="C1173" s="337">
        <v>1</v>
      </c>
      <c r="D1173" s="338" t="s">
        <v>7543</v>
      </c>
      <c r="E1173" s="338" t="s">
        <v>7544</v>
      </c>
      <c r="F1173" s="337">
        <v>1</v>
      </c>
      <c r="G1173" s="337">
        <v>1</v>
      </c>
      <c r="H1173" s="338"/>
      <c r="I1173" s="338" t="s">
        <v>9107</v>
      </c>
      <c r="J1173" s="338" t="s">
        <v>9108</v>
      </c>
      <c r="K1173" s="338" t="s">
        <v>7545</v>
      </c>
      <c r="L1173" s="338"/>
      <c r="M1173" s="338" t="s">
        <v>7587</v>
      </c>
      <c r="N1173" s="338" t="s">
        <v>8161</v>
      </c>
      <c r="O1173" s="337">
        <v>0</v>
      </c>
      <c r="P1173" s="337">
        <v>0</v>
      </c>
      <c r="Q1173" s="338"/>
      <c r="R1173" s="338" t="s">
        <v>14</v>
      </c>
      <c r="S1173" s="338"/>
      <c r="T1173" s="338" t="s">
        <v>7564</v>
      </c>
      <c r="U1173" s="338" t="s">
        <v>7588</v>
      </c>
      <c r="V1173" s="337">
        <v>0</v>
      </c>
      <c r="W1173" s="337">
        <v>0</v>
      </c>
      <c r="X1173" s="338"/>
      <c r="Y1173" s="338" t="s">
        <v>7552</v>
      </c>
      <c r="Z1173" s="338" t="s">
        <v>7023</v>
      </c>
      <c r="AA1173" s="338" t="s">
        <v>6079</v>
      </c>
      <c r="AB1173" s="338"/>
      <c r="AC1173" s="338" t="s">
        <v>7589</v>
      </c>
      <c r="AD1173" s="338"/>
      <c r="AF1173" s="502" t="str">
        <f>Table15[[#This Row],[code2]]</f>
        <v>BDA</v>
      </c>
      <c r="AG1173" s="502" t="str">
        <f>Table15[[#This Row],[code5]]</f>
        <v>BAPC</v>
      </c>
    </row>
    <row r="1174" spans="1:33">
      <c r="A1174" s="338" t="s">
        <v>6072</v>
      </c>
      <c r="B1174" s="338" t="s">
        <v>6073</v>
      </c>
      <c r="C1174" s="337">
        <v>1</v>
      </c>
      <c r="D1174" s="338" t="s">
        <v>7543</v>
      </c>
      <c r="E1174" s="338" t="s">
        <v>7544</v>
      </c>
      <c r="F1174" s="337">
        <v>1</v>
      </c>
      <c r="G1174" s="337">
        <v>1</v>
      </c>
      <c r="H1174" s="338"/>
      <c r="I1174" s="338" t="s">
        <v>9107</v>
      </c>
      <c r="J1174" s="338" t="s">
        <v>9108</v>
      </c>
      <c r="K1174" s="338" t="s">
        <v>7545</v>
      </c>
      <c r="L1174" s="338"/>
      <c r="M1174" s="338" t="s">
        <v>7587</v>
      </c>
      <c r="N1174" s="338" t="s">
        <v>8161</v>
      </c>
      <c r="O1174" s="337">
        <v>0</v>
      </c>
      <c r="P1174" s="337">
        <v>0</v>
      </c>
      <c r="Q1174" s="338"/>
      <c r="R1174" s="338" t="s">
        <v>14</v>
      </c>
      <c r="S1174" s="338"/>
      <c r="T1174" s="338" t="s">
        <v>7564</v>
      </c>
      <c r="U1174" s="338" t="s">
        <v>7590</v>
      </c>
      <c r="V1174" s="337">
        <v>0</v>
      </c>
      <c r="W1174" s="337">
        <v>0</v>
      </c>
      <c r="X1174" s="338"/>
      <c r="Y1174" s="338" t="s">
        <v>7568</v>
      </c>
      <c r="Z1174" s="338" t="s">
        <v>7023</v>
      </c>
      <c r="AA1174" s="338" t="s">
        <v>6079</v>
      </c>
      <c r="AB1174" s="338"/>
      <c r="AC1174" s="338" t="s">
        <v>7589</v>
      </c>
      <c r="AD1174" s="338"/>
      <c r="AF1174" s="502" t="str">
        <f>Table15[[#This Row],[code2]]</f>
        <v>BDA</v>
      </c>
      <c r="AG1174" s="502" t="str">
        <f>Table15[[#This Row],[code5]]</f>
        <v>BAPC</v>
      </c>
    </row>
    <row r="1175" spans="1:33">
      <c r="A1175" s="338" t="s">
        <v>6072</v>
      </c>
      <c r="B1175" s="338" t="s">
        <v>6073</v>
      </c>
      <c r="C1175" s="337">
        <v>1</v>
      </c>
      <c r="D1175" s="338" t="s">
        <v>7543</v>
      </c>
      <c r="E1175" s="338" t="s">
        <v>7544</v>
      </c>
      <c r="F1175" s="337">
        <v>1</v>
      </c>
      <c r="G1175" s="337">
        <v>1</v>
      </c>
      <c r="H1175" s="338"/>
      <c r="I1175" s="338" t="s">
        <v>9107</v>
      </c>
      <c r="J1175" s="338" t="s">
        <v>9108</v>
      </c>
      <c r="K1175" s="338" t="s">
        <v>7545</v>
      </c>
      <c r="L1175" s="338"/>
      <c r="M1175" s="338" t="s">
        <v>7587</v>
      </c>
      <c r="N1175" s="338" t="s">
        <v>8161</v>
      </c>
      <c r="O1175" s="337">
        <v>0</v>
      </c>
      <c r="P1175" s="337">
        <v>0</v>
      </c>
      <c r="Q1175" s="338"/>
      <c r="R1175" s="338" t="s">
        <v>14</v>
      </c>
      <c r="S1175" s="338"/>
      <c r="T1175" s="338" t="s">
        <v>7564</v>
      </c>
      <c r="U1175" s="338" t="s">
        <v>7591</v>
      </c>
      <c r="V1175" s="337">
        <v>0</v>
      </c>
      <c r="W1175" s="337">
        <v>0</v>
      </c>
      <c r="X1175" s="338"/>
      <c r="Y1175" s="338" t="s">
        <v>7552</v>
      </c>
      <c r="Z1175" s="338" t="s">
        <v>7162</v>
      </c>
      <c r="AA1175" s="338" t="s">
        <v>6079</v>
      </c>
      <c r="AB1175" s="338"/>
      <c r="AC1175" s="338" t="s">
        <v>7592</v>
      </c>
      <c r="AD1175" s="338"/>
      <c r="AF1175" s="502" t="str">
        <f>Table15[[#This Row],[code2]]</f>
        <v>BDA</v>
      </c>
      <c r="AG1175" s="502" t="str">
        <f>Table15[[#This Row],[code5]]</f>
        <v>BAPC</v>
      </c>
    </row>
    <row r="1176" spans="1:33">
      <c r="A1176" s="338" t="s">
        <v>6072</v>
      </c>
      <c r="B1176" s="338" t="s">
        <v>6073</v>
      </c>
      <c r="C1176" s="337">
        <v>1</v>
      </c>
      <c r="D1176" s="338" t="s">
        <v>7543</v>
      </c>
      <c r="E1176" s="338" t="s">
        <v>7544</v>
      </c>
      <c r="F1176" s="337">
        <v>1</v>
      </c>
      <c r="G1176" s="337">
        <v>1</v>
      </c>
      <c r="H1176" s="338"/>
      <c r="I1176" s="338" t="s">
        <v>9107</v>
      </c>
      <c r="J1176" s="338" t="s">
        <v>9108</v>
      </c>
      <c r="K1176" s="338" t="s">
        <v>7545</v>
      </c>
      <c r="L1176" s="338"/>
      <c r="M1176" s="338" t="s">
        <v>7587</v>
      </c>
      <c r="N1176" s="338" t="s">
        <v>8161</v>
      </c>
      <c r="O1176" s="337">
        <v>0</v>
      </c>
      <c r="P1176" s="337">
        <v>0</v>
      </c>
      <c r="Q1176" s="338"/>
      <c r="R1176" s="338" t="s">
        <v>14</v>
      </c>
      <c r="S1176" s="338"/>
      <c r="T1176" s="338" t="s">
        <v>7564</v>
      </c>
      <c r="U1176" s="338" t="s">
        <v>7593</v>
      </c>
      <c r="V1176" s="337">
        <v>0</v>
      </c>
      <c r="W1176" s="337">
        <v>0</v>
      </c>
      <c r="X1176" s="338"/>
      <c r="Y1176" s="338" t="s">
        <v>7568</v>
      </c>
      <c r="Z1176" s="338" t="s">
        <v>7162</v>
      </c>
      <c r="AA1176" s="338" t="s">
        <v>6079</v>
      </c>
      <c r="AB1176" s="338"/>
      <c r="AC1176" s="338" t="s">
        <v>7592</v>
      </c>
      <c r="AD1176" s="338"/>
      <c r="AF1176" s="502" t="str">
        <f>Table15[[#This Row],[code2]]</f>
        <v>BDA</v>
      </c>
      <c r="AG1176" s="502" t="str">
        <f>Table15[[#This Row],[code5]]</f>
        <v>BAPC</v>
      </c>
    </row>
    <row r="1177" spans="1:33">
      <c r="A1177" s="338" t="s">
        <v>6072</v>
      </c>
      <c r="B1177" s="338" t="s">
        <v>6073</v>
      </c>
      <c r="C1177" s="337">
        <v>1</v>
      </c>
      <c r="D1177" s="338" t="s">
        <v>7543</v>
      </c>
      <c r="E1177" s="338" t="s">
        <v>7544</v>
      </c>
      <c r="F1177" s="337">
        <v>1</v>
      </c>
      <c r="G1177" s="337">
        <v>1</v>
      </c>
      <c r="H1177" s="338"/>
      <c r="I1177" s="338" t="s">
        <v>9107</v>
      </c>
      <c r="J1177" s="338" t="s">
        <v>9108</v>
      </c>
      <c r="K1177" s="338" t="s">
        <v>7545</v>
      </c>
      <c r="L1177" s="338"/>
      <c r="M1177" s="338" t="s">
        <v>7587</v>
      </c>
      <c r="N1177" s="338" t="s">
        <v>8161</v>
      </c>
      <c r="O1177" s="337">
        <v>0</v>
      </c>
      <c r="P1177" s="337">
        <v>0</v>
      </c>
      <c r="Q1177" s="338"/>
      <c r="R1177" s="338" t="s">
        <v>14</v>
      </c>
      <c r="S1177" s="338"/>
      <c r="T1177" s="338" t="s">
        <v>7564</v>
      </c>
      <c r="U1177" s="338" t="s">
        <v>7594</v>
      </c>
      <c r="V1177" s="337">
        <v>0</v>
      </c>
      <c r="W1177" s="337">
        <v>0</v>
      </c>
      <c r="X1177" s="338"/>
      <c r="Y1177" s="338" t="s">
        <v>7552</v>
      </c>
      <c r="Z1177" s="338" t="s">
        <v>5825</v>
      </c>
      <c r="AA1177" s="338" t="s">
        <v>6079</v>
      </c>
      <c r="AB1177" s="338"/>
      <c r="AC1177" s="338" t="s">
        <v>7595</v>
      </c>
      <c r="AD1177" s="338"/>
      <c r="AF1177" s="502" t="str">
        <f>Table15[[#This Row],[code2]]</f>
        <v>BDA</v>
      </c>
      <c r="AG1177" s="502" t="str">
        <f>Table15[[#This Row],[code5]]</f>
        <v>BAPC</v>
      </c>
    </row>
    <row r="1178" spans="1:33">
      <c r="A1178" s="338" t="s">
        <v>6072</v>
      </c>
      <c r="B1178" s="338" t="s">
        <v>6073</v>
      </c>
      <c r="C1178" s="337">
        <v>1</v>
      </c>
      <c r="D1178" s="338" t="s">
        <v>7543</v>
      </c>
      <c r="E1178" s="338" t="s">
        <v>7544</v>
      </c>
      <c r="F1178" s="337">
        <v>1</v>
      </c>
      <c r="G1178" s="337">
        <v>1</v>
      </c>
      <c r="H1178" s="338"/>
      <c r="I1178" s="338" t="s">
        <v>9107</v>
      </c>
      <c r="J1178" s="338" t="s">
        <v>9108</v>
      </c>
      <c r="K1178" s="338" t="s">
        <v>7545</v>
      </c>
      <c r="L1178" s="338"/>
      <c r="M1178" s="338" t="s">
        <v>7587</v>
      </c>
      <c r="N1178" s="338" t="s">
        <v>8161</v>
      </c>
      <c r="O1178" s="337">
        <v>0</v>
      </c>
      <c r="P1178" s="337">
        <v>0</v>
      </c>
      <c r="Q1178" s="338"/>
      <c r="R1178" s="338" t="s">
        <v>14</v>
      </c>
      <c r="S1178" s="338"/>
      <c r="T1178" s="338" t="s">
        <v>7564</v>
      </c>
      <c r="U1178" s="338" t="s">
        <v>7596</v>
      </c>
      <c r="V1178" s="337">
        <v>0</v>
      </c>
      <c r="W1178" s="337">
        <v>0</v>
      </c>
      <c r="X1178" s="338"/>
      <c r="Y1178" s="338" t="s">
        <v>7568</v>
      </c>
      <c r="Z1178" s="338" t="s">
        <v>5825</v>
      </c>
      <c r="AA1178" s="338" t="s">
        <v>6079</v>
      </c>
      <c r="AB1178" s="338"/>
      <c r="AC1178" s="338" t="s">
        <v>7595</v>
      </c>
      <c r="AD1178" s="338"/>
      <c r="AF1178" s="502" t="str">
        <f>Table15[[#This Row],[code2]]</f>
        <v>BDA</v>
      </c>
      <c r="AG1178" s="502" t="str">
        <f>Table15[[#This Row],[code5]]</f>
        <v>BAPC</v>
      </c>
    </row>
    <row r="1179" spans="1:33">
      <c r="A1179" s="338" t="s">
        <v>6072</v>
      </c>
      <c r="B1179" s="338" t="s">
        <v>6073</v>
      </c>
      <c r="C1179" s="337">
        <v>1</v>
      </c>
      <c r="D1179" s="338" t="s">
        <v>7543</v>
      </c>
      <c r="E1179" s="338" t="s">
        <v>7544</v>
      </c>
      <c r="F1179" s="337">
        <v>1</v>
      </c>
      <c r="G1179" s="337">
        <v>1</v>
      </c>
      <c r="H1179" s="338"/>
      <c r="I1179" s="338" t="s">
        <v>9107</v>
      </c>
      <c r="J1179" s="338" t="s">
        <v>9108</v>
      </c>
      <c r="K1179" s="338" t="s">
        <v>7545</v>
      </c>
      <c r="L1179" s="338"/>
      <c r="M1179" s="338" t="s">
        <v>7597</v>
      </c>
      <c r="N1179" s="338" t="s">
        <v>7879</v>
      </c>
      <c r="O1179" s="337">
        <v>1</v>
      </c>
      <c r="P1179" s="337">
        <v>1</v>
      </c>
      <c r="Q1179" s="338"/>
      <c r="R1179" s="338" t="s">
        <v>14</v>
      </c>
      <c r="S1179" s="338"/>
      <c r="T1179" s="338" t="s">
        <v>9058</v>
      </c>
      <c r="U1179" s="338" t="s">
        <v>7598</v>
      </c>
      <c r="V1179" s="337">
        <v>1</v>
      </c>
      <c r="W1179" s="337">
        <v>1</v>
      </c>
      <c r="X1179" s="338"/>
      <c r="Y1179" s="338" t="s">
        <v>6318</v>
      </c>
      <c r="Z1179" s="338" t="s">
        <v>7023</v>
      </c>
      <c r="AA1179" s="338" t="s">
        <v>6079</v>
      </c>
      <c r="AB1179" s="338"/>
      <c r="AC1179" s="338" t="s">
        <v>7553</v>
      </c>
      <c r="AD1179" s="338"/>
      <c r="AF1179" s="502" t="str">
        <f>Table15[[#This Row],[code2]]</f>
        <v>BDA</v>
      </c>
      <c r="AG1179" s="502" t="str">
        <f>Table15[[#This Row],[code5]]</f>
        <v>BAPS</v>
      </c>
    </row>
    <row r="1180" spans="1:33">
      <c r="A1180" s="338" t="s">
        <v>6072</v>
      </c>
      <c r="B1180" s="338" t="s">
        <v>6073</v>
      </c>
      <c r="C1180" s="337">
        <v>1</v>
      </c>
      <c r="D1180" s="338" t="s">
        <v>7543</v>
      </c>
      <c r="E1180" s="338" t="s">
        <v>7544</v>
      </c>
      <c r="F1180" s="337">
        <v>1</v>
      </c>
      <c r="G1180" s="337">
        <v>1</v>
      </c>
      <c r="H1180" s="338"/>
      <c r="I1180" s="338" t="s">
        <v>9107</v>
      </c>
      <c r="J1180" s="338" t="s">
        <v>9108</v>
      </c>
      <c r="K1180" s="338" t="s">
        <v>7545</v>
      </c>
      <c r="L1180" s="338"/>
      <c r="M1180" s="338" t="s">
        <v>7597</v>
      </c>
      <c r="N1180" s="338" t="s">
        <v>7879</v>
      </c>
      <c r="O1180" s="337">
        <v>1</v>
      </c>
      <c r="P1180" s="337">
        <v>1</v>
      </c>
      <c r="Q1180" s="338"/>
      <c r="R1180" s="338" t="s">
        <v>14</v>
      </c>
      <c r="S1180" s="338"/>
      <c r="T1180" s="338" t="s">
        <v>9058</v>
      </c>
      <c r="U1180" s="338" t="s">
        <v>7599</v>
      </c>
      <c r="V1180" s="337">
        <v>0</v>
      </c>
      <c r="W1180" s="337">
        <v>0</v>
      </c>
      <c r="X1180" s="338"/>
      <c r="Y1180" s="338" t="s">
        <v>7568</v>
      </c>
      <c r="Z1180" s="338" t="s">
        <v>7023</v>
      </c>
      <c r="AA1180" s="338" t="s">
        <v>6079</v>
      </c>
      <c r="AB1180" s="338"/>
      <c r="AC1180" s="338" t="s">
        <v>7553</v>
      </c>
      <c r="AD1180" s="338"/>
      <c r="AF1180" s="502" t="str">
        <f>Table15[[#This Row],[code2]]</f>
        <v>BDA</v>
      </c>
      <c r="AG1180" s="502" t="str">
        <f>Table15[[#This Row],[code5]]</f>
        <v>BAPS</v>
      </c>
    </row>
    <row r="1181" spans="1:33">
      <c r="A1181" s="338" t="s">
        <v>6072</v>
      </c>
      <c r="B1181" s="338" t="s">
        <v>6073</v>
      </c>
      <c r="C1181" s="337">
        <v>1</v>
      </c>
      <c r="D1181" s="338" t="s">
        <v>7543</v>
      </c>
      <c r="E1181" s="338" t="s">
        <v>7544</v>
      </c>
      <c r="F1181" s="337">
        <v>1</v>
      </c>
      <c r="G1181" s="337">
        <v>1</v>
      </c>
      <c r="H1181" s="338"/>
      <c r="I1181" s="338" t="s">
        <v>9107</v>
      </c>
      <c r="J1181" s="338" t="s">
        <v>9108</v>
      </c>
      <c r="K1181" s="338" t="s">
        <v>7545</v>
      </c>
      <c r="L1181" s="338"/>
      <c r="M1181" s="338" t="s">
        <v>7597</v>
      </c>
      <c r="N1181" s="338" t="s">
        <v>7879</v>
      </c>
      <c r="O1181" s="337">
        <v>1</v>
      </c>
      <c r="P1181" s="337">
        <v>1</v>
      </c>
      <c r="Q1181" s="338"/>
      <c r="R1181" s="338" t="s">
        <v>14</v>
      </c>
      <c r="S1181" s="338"/>
      <c r="T1181" s="338" t="s">
        <v>9058</v>
      </c>
      <c r="U1181" s="338" t="s">
        <v>7600</v>
      </c>
      <c r="V1181" s="337">
        <v>1</v>
      </c>
      <c r="W1181" s="337">
        <v>1</v>
      </c>
      <c r="X1181" s="338"/>
      <c r="Y1181" s="338" t="s">
        <v>6318</v>
      </c>
      <c r="Z1181" s="338" t="s">
        <v>7026</v>
      </c>
      <c r="AA1181" s="338" t="s">
        <v>6079</v>
      </c>
      <c r="AB1181" s="338"/>
      <c r="AC1181" s="338" t="s">
        <v>7585</v>
      </c>
      <c r="AD1181" s="338"/>
      <c r="AF1181" s="502" t="str">
        <f>Table15[[#This Row],[code2]]</f>
        <v>BDA</v>
      </c>
      <c r="AG1181" s="502" t="str">
        <f>Table15[[#This Row],[code5]]</f>
        <v>BAPS</v>
      </c>
    </row>
    <row r="1182" spans="1:33">
      <c r="A1182" s="338" t="s">
        <v>6072</v>
      </c>
      <c r="B1182" s="338" t="s">
        <v>6073</v>
      </c>
      <c r="C1182" s="337">
        <v>1</v>
      </c>
      <c r="D1182" s="338" t="s">
        <v>7543</v>
      </c>
      <c r="E1182" s="338" t="s">
        <v>7544</v>
      </c>
      <c r="F1182" s="337">
        <v>1</v>
      </c>
      <c r="G1182" s="337">
        <v>1</v>
      </c>
      <c r="H1182" s="338"/>
      <c r="I1182" s="338" t="s">
        <v>9107</v>
      </c>
      <c r="J1182" s="338" t="s">
        <v>9108</v>
      </c>
      <c r="K1182" s="338" t="s">
        <v>7545</v>
      </c>
      <c r="L1182" s="338"/>
      <c r="M1182" s="338" t="s">
        <v>7597</v>
      </c>
      <c r="N1182" s="338" t="s">
        <v>7879</v>
      </c>
      <c r="O1182" s="337">
        <v>1</v>
      </c>
      <c r="P1182" s="337">
        <v>1</v>
      </c>
      <c r="Q1182" s="338"/>
      <c r="R1182" s="338" t="s">
        <v>14</v>
      </c>
      <c r="S1182" s="338"/>
      <c r="T1182" s="338" t="s">
        <v>9058</v>
      </c>
      <c r="U1182" s="338" t="s">
        <v>7601</v>
      </c>
      <c r="V1182" s="337">
        <v>0</v>
      </c>
      <c r="W1182" s="337">
        <v>0</v>
      </c>
      <c r="X1182" s="338"/>
      <c r="Y1182" s="338" t="s">
        <v>7568</v>
      </c>
      <c r="Z1182" s="338" t="s">
        <v>7026</v>
      </c>
      <c r="AA1182" s="338" t="s">
        <v>6079</v>
      </c>
      <c r="AB1182" s="338"/>
      <c r="AC1182" s="338" t="s">
        <v>7585</v>
      </c>
      <c r="AD1182" s="338"/>
      <c r="AF1182" s="502" t="str">
        <f>Table15[[#This Row],[code2]]</f>
        <v>BDA</v>
      </c>
      <c r="AG1182" s="502" t="str">
        <f>Table15[[#This Row],[code5]]</f>
        <v>BAPS</v>
      </c>
    </row>
    <row r="1183" spans="1:33">
      <c r="A1183" s="338" t="s">
        <v>6072</v>
      </c>
      <c r="B1183" s="338" t="s">
        <v>6073</v>
      </c>
      <c r="C1183" s="337">
        <v>1</v>
      </c>
      <c r="D1183" s="338" t="s">
        <v>7543</v>
      </c>
      <c r="E1183" s="338" t="s">
        <v>7544</v>
      </c>
      <c r="F1183" s="337">
        <v>1</v>
      </c>
      <c r="G1183" s="337">
        <v>1</v>
      </c>
      <c r="H1183" s="338"/>
      <c r="I1183" s="338" t="s">
        <v>9107</v>
      </c>
      <c r="J1183" s="338" t="s">
        <v>9108</v>
      </c>
      <c r="K1183" s="338" t="s">
        <v>7545</v>
      </c>
      <c r="L1183" s="338"/>
      <c r="M1183" s="338" t="s">
        <v>7602</v>
      </c>
      <c r="N1183" s="338" t="s">
        <v>7603</v>
      </c>
      <c r="O1183" s="337">
        <v>1</v>
      </c>
      <c r="P1183" s="337">
        <v>0</v>
      </c>
      <c r="Q1183" s="338"/>
      <c r="R1183" s="338"/>
      <c r="S1183" s="338"/>
      <c r="T1183" s="338"/>
      <c r="U1183" s="338" t="s">
        <v>7604</v>
      </c>
      <c r="V1183" s="337">
        <v>1</v>
      </c>
      <c r="W1183" s="337">
        <v>0</v>
      </c>
      <c r="X1183" s="338" t="s">
        <v>7605</v>
      </c>
      <c r="Y1183" s="338" t="s">
        <v>6318</v>
      </c>
      <c r="Z1183" s="338" t="s">
        <v>7023</v>
      </c>
      <c r="AA1183" s="338" t="s">
        <v>6079</v>
      </c>
      <c r="AB1183" s="338"/>
      <c r="AC1183" s="338"/>
      <c r="AD1183" s="338"/>
      <c r="AF1183" s="502" t="str">
        <f>Table15[[#This Row],[code2]]</f>
        <v>BDA</v>
      </c>
      <c r="AG1183" s="502" t="str">
        <f>Table15[[#This Row],[code5]]</f>
        <v>BAWB</v>
      </c>
    </row>
    <row r="1184" spans="1:33">
      <c r="A1184" s="338" t="s">
        <v>6072</v>
      </c>
      <c r="B1184" s="338" t="s">
        <v>6073</v>
      </c>
      <c r="C1184" s="337">
        <v>1</v>
      </c>
      <c r="D1184" s="338" t="s">
        <v>7543</v>
      </c>
      <c r="E1184" s="338" t="s">
        <v>7544</v>
      </c>
      <c r="F1184" s="337">
        <v>1</v>
      </c>
      <c r="G1184" s="337">
        <v>1</v>
      </c>
      <c r="H1184" s="338"/>
      <c r="I1184" s="338" t="s">
        <v>9107</v>
      </c>
      <c r="J1184" s="338" t="s">
        <v>9108</v>
      </c>
      <c r="K1184" s="338" t="s">
        <v>7545</v>
      </c>
      <c r="L1184" s="338"/>
      <c r="M1184" s="338" t="s">
        <v>7606</v>
      </c>
      <c r="N1184" s="338" t="s">
        <v>7607</v>
      </c>
      <c r="O1184" s="337">
        <v>1</v>
      </c>
      <c r="P1184" s="337">
        <v>0</v>
      </c>
      <c r="Q1184" s="338"/>
      <c r="R1184" s="338"/>
      <c r="S1184" s="338"/>
      <c r="T1184" s="338"/>
      <c r="U1184" s="338" t="s">
        <v>7608</v>
      </c>
      <c r="V1184" s="337">
        <v>1</v>
      </c>
      <c r="W1184" s="337">
        <v>0</v>
      </c>
      <c r="X1184" s="338"/>
      <c r="Y1184" s="338" t="s">
        <v>6318</v>
      </c>
      <c r="Z1184" s="338" t="s">
        <v>7162</v>
      </c>
      <c r="AA1184" s="338" t="s">
        <v>6079</v>
      </c>
      <c r="AB1184" s="338"/>
      <c r="AC1184" s="338"/>
      <c r="AD1184" s="338"/>
      <c r="AF1184" s="502" t="str">
        <f>Table15[[#This Row],[code2]]</f>
        <v>BDA</v>
      </c>
      <c r="AG1184" s="502" t="str">
        <f>Table15[[#This Row],[code5]]</f>
        <v>SDA</v>
      </c>
    </row>
    <row r="1185" spans="1:33">
      <c r="A1185" s="338" t="s">
        <v>6072</v>
      </c>
      <c r="B1185" s="338" t="s">
        <v>6073</v>
      </c>
      <c r="C1185" s="337">
        <v>1</v>
      </c>
      <c r="D1185" s="338" t="s">
        <v>7609</v>
      </c>
      <c r="E1185" s="338" t="s">
        <v>7610</v>
      </c>
      <c r="F1185" s="337">
        <v>1</v>
      </c>
      <c r="G1185" s="337">
        <v>1</v>
      </c>
      <c r="H1185" s="338"/>
      <c r="I1185" s="338" t="s">
        <v>9059</v>
      </c>
      <c r="J1185" s="338" t="s">
        <v>9060</v>
      </c>
      <c r="K1185" s="338"/>
      <c r="L1185" s="338"/>
      <c r="M1185" s="338" t="s">
        <v>7611</v>
      </c>
      <c r="N1185" s="338" t="s">
        <v>7612</v>
      </c>
      <c r="O1185" s="337">
        <v>1</v>
      </c>
      <c r="P1185" s="337">
        <v>1</v>
      </c>
      <c r="Q1185" s="338"/>
      <c r="R1185" s="338" t="s">
        <v>7255</v>
      </c>
      <c r="S1185" s="338"/>
      <c r="T1185" s="338"/>
      <c r="U1185" s="338" t="s">
        <v>7613</v>
      </c>
      <c r="V1185" s="337">
        <v>0</v>
      </c>
      <c r="W1185" s="337">
        <v>1</v>
      </c>
      <c r="X1185" s="338"/>
      <c r="Y1185" s="338" t="s">
        <v>7183</v>
      </c>
      <c r="Z1185" s="338" t="s">
        <v>8034</v>
      </c>
      <c r="AA1185" s="338" t="s">
        <v>6079</v>
      </c>
      <c r="AB1185" s="338"/>
      <c r="AC1185" s="338" t="s">
        <v>7885</v>
      </c>
      <c r="AD1185" s="338"/>
      <c r="AF1185" s="502" t="str">
        <f>Table15[[#This Row],[code2]]</f>
        <v>BSA</v>
      </c>
      <c r="AG1185" s="502" t="str">
        <f>Table15[[#This Row],[code5]]</f>
        <v>ABNTD</v>
      </c>
    </row>
    <row r="1186" spans="1:33">
      <c r="A1186" s="338" t="s">
        <v>6072</v>
      </c>
      <c r="B1186" s="338" t="s">
        <v>6073</v>
      </c>
      <c r="C1186" s="337">
        <v>1</v>
      </c>
      <c r="D1186" s="338" t="s">
        <v>7609</v>
      </c>
      <c r="E1186" s="338" t="s">
        <v>7610</v>
      </c>
      <c r="F1186" s="337">
        <v>1</v>
      </c>
      <c r="G1186" s="337">
        <v>1</v>
      </c>
      <c r="H1186" s="338"/>
      <c r="I1186" s="338" t="s">
        <v>9059</v>
      </c>
      <c r="J1186" s="338" t="s">
        <v>9060</v>
      </c>
      <c r="K1186" s="338"/>
      <c r="L1186" s="338"/>
      <c r="M1186" s="338" t="s">
        <v>7611</v>
      </c>
      <c r="N1186" s="338" t="s">
        <v>7612</v>
      </c>
      <c r="O1186" s="337">
        <v>1</v>
      </c>
      <c r="P1186" s="337">
        <v>1</v>
      </c>
      <c r="Q1186" s="338"/>
      <c r="R1186" s="338" t="s">
        <v>7255</v>
      </c>
      <c r="S1186" s="338"/>
      <c r="T1186" s="338"/>
      <c r="U1186" s="338" t="s">
        <v>7614</v>
      </c>
      <c r="V1186" s="337">
        <v>1</v>
      </c>
      <c r="W1186" s="337">
        <v>0</v>
      </c>
      <c r="X1186" s="338"/>
      <c r="Y1186" s="338" t="s">
        <v>7185</v>
      </c>
      <c r="Z1186" s="338" t="s">
        <v>7188</v>
      </c>
      <c r="AA1186" s="338" t="s">
        <v>6079</v>
      </c>
      <c r="AB1186" s="338"/>
      <c r="AC1186" s="338" t="s">
        <v>7885</v>
      </c>
      <c r="AD1186" s="338"/>
      <c r="AF1186" s="502" t="str">
        <f>Table15[[#This Row],[code2]]</f>
        <v>BSA</v>
      </c>
      <c r="AG1186" s="502" t="str">
        <f>Table15[[#This Row],[code5]]</f>
        <v>ABNTD</v>
      </c>
    </row>
    <row r="1187" spans="1:33">
      <c r="A1187" s="338" t="s">
        <v>6072</v>
      </c>
      <c r="B1187" s="338" t="s">
        <v>6073</v>
      </c>
      <c r="C1187" s="337">
        <v>1</v>
      </c>
      <c r="D1187" s="338" t="s">
        <v>7609</v>
      </c>
      <c r="E1187" s="338" t="s">
        <v>7610</v>
      </c>
      <c r="F1187" s="337">
        <v>1</v>
      </c>
      <c r="G1187" s="337">
        <v>1</v>
      </c>
      <c r="H1187" s="338"/>
      <c r="I1187" s="338" t="s">
        <v>9059</v>
      </c>
      <c r="J1187" s="338" t="s">
        <v>9060</v>
      </c>
      <c r="K1187" s="338"/>
      <c r="L1187" s="338"/>
      <c r="M1187" s="338" t="s">
        <v>7611</v>
      </c>
      <c r="N1187" s="338" t="s">
        <v>7612</v>
      </c>
      <c r="O1187" s="337">
        <v>1</v>
      </c>
      <c r="P1187" s="337">
        <v>1</v>
      </c>
      <c r="Q1187" s="338"/>
      <c r="R1187" s="338" t="s">
        <v>7255</v>
      </c>
      <c r="S1187" s="338"/>
      <c r="T1187" s="338"/>
      <c r="U1187" s="338" t="s">
        <v>7615</v>
      </c>
      <c r="V1187" s="337">
        <v>1</v>
      </c>
      <c r="W1187" s="337">
        <v>0</v>
      </c>
      <c r="X1187" s="338"/>
      <c r="Y1187" s="338" t="s">
        <v>7187</v>
      </c>
      <c r="Z1187" s="338" t="s">
        <v>7188</v>
      </c>
      <c r="AA1187" s="338" t="s">
        <v>6079</v>
      </c>
      <c r="AB1187" s="338"/>
      <c r="AC1187" s="338" t="s">
        <v>7885</v>
      </c>
      <c r="AD1187" s="338"/>
      <c r="AF1187" s="502" t="str">
        <f>Table15[[#This Row],[code2]]</f>
        <v>BSA</v>
      </c>
      <c r="AG1187" s="502" t="str">
        <f>Table15[[#This Row],[code5]]</f>
        <v>ABNTD</v>
      </c>
    </row>
    <row r="1188" spans="1:33">
      <c r="A1188" s="338" t="s">
        <v>6072</v>
      </c>
      <c r="B1188" s="338" t="s">
        <v>6073</v>
      </c>
      <c r="C1188" s="337">
        <v>1</v>
      </c>
      <c r="D1188" s="338" t="s">
        <v>7609</v>
      </c>
      <c r="E1188" s="338" t="s">
        <v>7610</v>
      </c>
      <c r="F1188" s="337">
        <v>1</v>
      </c>
      <c r="G1188" s="337">
        <v>1</v>
      </c>
      <c r="H1188" s="338"/>
      <c r="I1188" s="338" t="s">
        <v>9059</v>
      </c>
      <c r="J1188" s="338" t="s">
        <v>9060</v>
      </c>
      <c r="K1188" s="338"/>
      <c r="L1188" s="338"/>
      <c r="M1188" s="338" t="s">
        <v>7611</v>
      </c>
      <c r="N1188" s="338" t="s">
        <v>7612</v>
      </c>
      <c r="O1188" s="337">
        <v>1</v>
      </c>
      <c r="P1188" s="337">
        <v>1</v>
      </c>
      <c r="Q1188" s="338"/>
      <c r="R1188" s="338" t="s">
        <v>7255</v>
      </c>
      <c r="S1188" s="338"/>
      <c r="T1188" s="338"/>
      <c r="U1188" s="338" t="s">
        <v>7616</v>
      </c>
      <c r="V1188" s="337">
        <v>1</v>
      </c>
      <c r="W1188" s="337">
        <v>0</v>
      </c>
      <c r="X1188" s="338"/>
      <c r="Y1188" s="338" t="s">
        <v>7190</v>
      </c>
      <c r="Z1188" s="338" t="s">
        <v>7188</v>
      </c>
      <c r="AA1188" s="338" t="s">
        <v>6079</v>
      </c>
      <c r="AB1188" s="338"/>
      <c r="AC1188" s="338" t="s">
        <v>7885</v>
      </c>
      <c r="AD1188" s="338"/>
      <c r="AF1188" s="502" t="str">
        <f>Table15[[#This Row],[code2]]</f>
        <v>BSA</v>
      </c>
      <c r="AG1188" s="502" t="str">
        <f>Table15[[#This Row],[code5]]</f>
        <v>ABNTD</v>
      </c>
    </row>
    <row r="1189" spans="1:33">
      <c r="A1189" s="338" t="s">
        <v>6072</v>
      </c>
      <c r="B1189" s="338" t="s">
        <v>6073</v>
      </c>
      <c r="C1189" s="337">
        <v>1</v>
      </c>
      <c r="D1189" s="338" t="s">
        <v>7609</v>
      </c>
      <c r="E1189" s="338" t="s">
        <v>7610</v>
      </c>
      <c r="F1189" s="337">
        <v>1</v>
      </c>
      <c r="G1189" s="337">
        <v>1</v>
      </c>
      <c r="H1189" s="338"/>
      <c r="I1189" s="338" t="s">
        <v>9059</v>
      </c>
      <c r="J1189" s="338" t="s">
        <v>9060</v>
      </c>
      <c r="K1189" s="338"/>
      <c r="L1189" s="338"/>
      <c r="M1189" s="338" t="s">
        <v>7611</v>
      </c>
      <c r="N1189" s="338" t="s">
        <v>7612</v>
      </c>
      <c r="O1189" s="337">
        <v>1</v>
      </c>
      <c r="P1189" s="337">
        <v>1</v>
      </c>
      <c r="Q1189" s="338"/>
      <c r="R1189" s="338" t="s">
        <v>7255</v>
      </c>
      <c r="S1189" s="338"/>
      <c r="T1189" s="338"/>
      <c r="U1189" s="338" t="s">
        <v>7617</v>
      </c>
      <c r="V1189" s="337">
        <v>1</v>
      </c>
      <c r="W1189" s="337">
        <v>0</v>
      </c>
      <c r="X1189" s="338"/>
      <c r="Y1189" s="338" t="s">
        <v>7192</v>
      </c>
      <c r="Z1189" s="338" t="s">
        <v>7188</v>
      </c>
      <c r="AA1189" s="338" t="s">
        <v>6079</v>
      </c>
      <c r="AB1189" s="338"/>
      <c r="AC1189" s="338" t="s">
        <v>7885</v>
      </c>
      <c r="AD1189" s="338"/>
      <c r="AF1189" s="502" t="str">
        <f>Table15[[#This Row],[code2]]</f>
        <v>BSA</v>
      </c>
      <c r="AG1189" s="502" t="str">
        <f>Table15[[#This Row],[code5]]</f>
        <v>ABNTD</v>
      </c>
    </row>
    <row r="1190" spans="1:33">
      <c r="A1190" s="338" t="s">
        <v>6072</v>
      </c>
      <c r="B1190" s="338" t="s">
        <v>6073</v>
      </c>
      <c r="C1190" s="337">
        <v>1</v>
      </c>
      <c r="D1190" s="338" t="s">
        <v>7609</v>
      </c>
      <c r="E1190" s="338" t="s">
        <v>7610</v>
      </c>
      <c r="F1190" s="337">
        <v>1</v>
      </c>
      <c r="G1190" s="337">
        <v>1</v>
      </c>
      <c r="H1190" s="338"/>
      <c r="I1190" s="338" t="s">
        <v>9059</v>
      </c>
      <c r="J1190" s="338" t="s">
        <v>9060</v>
      </c>
      <c r="K1190" s="338"/>
      <c r="L1190" s="338"/>
      <c r="M1190" s="338" t="s">
        <v>7611</v>
      </c>
      <c r="N1190" s="338" t="s">
        <v>7612</v>
      </c>
      <c r="O1190" s="337">
        <v>1</v>
      </c>
      <c r="P1190" s="337">
        <v>1</v>
      </c>
      <c r="Q1190" s="338"/>
      <c r="R1190" s="338" t="s">
        <v>7255</v>
      </c>
      <c r="S1190" s="338"/>
      <c r="T1190" s="338"/>
      <c r="U1190" s="338" t="s">
        <v>7618</v>
      </c>
      <c r="V1190" s="337">
        <v>1</v>
      </c>
      <c r="W1190" s="337">
        <v>1</v>
      </c>
      <c r="X1190" s="338"/>
      <c r="Y1190" s="338" t="s">
        <v>7183</v>
      </c>
      <c r="Z1190" s="338" t="s">
        <v>8529</v>
      </c>
      <c r="AA1190" s="338" t="s">
        <v>6079</v>
      </c>
      <c r="AB1190" s="338"/>
      <c r="AC1190" s="338" t="s">
        <v>7886</v>
      </c>
      <c r="AD1190" s="338"/>
      <c r="AF1190" s="502" t="str">
        <f>Table15[[#This Row],[code2]]</f>
        <v>BSA</v>
      </c>
      <c r="AG1190" s="502" t="str">
        <f>Table15[[#This Row],[code5]]</f>
        <v>ABNTD</v>
      </c>
    </row>
    <row r="1191" spans="1:33">
      <c r="A1191" s="338" t="s">
        <v>6072</v>
      </c>
      <c r="B1191" s="338" t="s">
        <v>6073</v>
      </c>
      <c r="C1191" s="337">
        <v>1</v>
      </c>
      <c r="D1191" s="338" t="s">
        <v>7609</v>
      </c>
      <c r="E1191" s="338" t="s">
        <v>7610</v>
      </c>
      <c r="F1191" s="337">
        <v>1</v>
      </c>
      <c r="G1191" s="337">
        <v>1</v>
      </c>
      <c r="H1191" s="338"/>
      <c r="I1191" s="338" t="s">
        <v>9059</v>
      </c>
      <c r="J1191" s="338" t="s">
        <v>9060</v>
      </c>
      <c r="K1191" s="338"/>
      <c r="L1191" s="338"/>
      <c r="M1191" s="338" t="s">
        <v>7611</v>
      </c>
      <c r="N1191" s="338" t="s">
        <v>7612</v>
      </c>
      <c r="O1191" s="337">
        <v>1</v>
      </c>
      <c r="P1191" s="337">
        <v>1</v>
      </c>
      <c r="Q1191" s="338"/>
      <c r="R1191" s="338" t="s">
        <v>7255</v>
      </c>
      <c r="S1191" s="338"/>
      <c r="T1191" s="338"/>
      <c r="U1191" s="338" t="s">
        <v>7619</v>
      </c>
      <c r="V1191" s="337">
        <v>1</v>
      </c>
      <c r="W1191" s="337">
        <v>1</v>
      </c>
      <c r="X1191" s="338"/>
      <c r="Y1191" s="338" t="s">
        <v>7185</v>
      </c>
      <c r="Z1191" s="338" t="s">
        <v>8529</v>
      </c>
      <c r="AA1191" s="338" t="s">
        <v>6079</v>
      </c>
      <c r="AB1191" s="338"/>
      <c r="AC1191" s="338" t="s">
        <v>7886</v>
      </c>
      <c r="AD1191" s="338"/>
      <c r="AF1191" s="502" t="str">
        <f>Table15[[#This Row],[code2]]</f>
        <v>BSA</v>
      </c>
      <c r="AG1191" s="502" t="str">
        <f>Table15[[#This Row],[code5]]</f>
        <v>ABNTD</v>
      </c>
    </row>
    <row r="1192" spans="1:33">
      <c r="A1192" s="338" t="s">
        <v>6072</v>
      </c>
      <c r="B1192" s="338" t="s">
        <v>6073</v>
      </c>
      <c r="C1192" s="337">
        <v>1</v>
      </c>
      <c r="D1192" s="338" t="s">
        <v>7609</v>
      </c>
      <c r="E1192" s="338" t="s">
        <v>7610</v>
      </c>
      <c r="F1192" s="337">
        <v>1</v>
      </c>
      <c r="G1192" s="337">
        <v>1</v>
      </c>
      <c r="H1192" s="338"/>
      <c r="I1192" s="338" t="s">
        <v>9059</v>
      </c>
      <c r="J1192" s="338" t="s">
        <v>9060</v>
      </c>
      <c r="K1192" s="338"/>
      <c r="L1192" s="338"/>
      <c r="M1192" s="338" t="s">
        <v>7611</v>
      </c>
      <c r="N1192" s="338" t="s">
        <v>7612</v>
      </c>
      <c r="O1192" s="337">
        <v>1</v>
      </c>
      <c r="P1192" s="337">
        <v>1</v>
      </c>
      <c r="Q1192" s="338"/>
      <c r="R1192" s="338" t="s">
        <v>7255</v>
      </c>
      <c r="S1192" s="338"/>
      <c r="T1192" s="338"/>
      <c r="U1192" s="338" t="s">
        <v>7620</v>
      </c>
      <c r="V1192" s="337">
        <v>1</v>
      </c>
      <c r="W1192" s="337">
        <v>1</v>
      </c>
      <c r="X1192" s="338"/>
      <c r="Y1192" s="338" t="s">
        <v>7183</v>
      </c>
      <c r="Z1192" s="338" t="s">
        <v>9069</v>
      </c>
      <c r="AA1192" s="338" t="s">
        <v>6079</v>
      </c>
      <c r="AB1192" s="338"/>
      <c r="AC1192" s="338" t="s">
        <v>7887</v>
      </c>
      <c r="AD1192" s="338"/>
      <c r="AF1192" s="502" t="str">
        <f>Table15[[#This Row],[code2]]</f>
        <v>BSA</v>
      </c>
      <c r="AG1192" s="502" t="str">
        <f>Table15[[#This Row],[code5]]</f>
        <v>ABNTD</v>
      </c>
    </row>
    <row r="1193" spans="1:33">
      <c r="A1193" s="338" t="s">
        <v>6072</v>
      </c>
      <c r="B1193" s="338" t="s">
        <v>6073</v>
      </c>
      <c r="C1193" s="337">
        <v>1</v>
      </c>
      <c r="D1193" s="338" t="s">
        <v>7609</v>
      </c>
      <c r="E1193" s="338" t="s">
        <v>7610</v>
      </c>
      <c r="F1193" s="337">
        <v>1</v>
      </c>
      <c r="G1193" s="337">
        <v>1</v>
      </c>
      <c r="H1193" s="338"/>
      <c r="I1193" s="338" t="s">
        <v>9059</v>
      </c>
      <c r="J1193" s="338" t="s">
        <v>9060</v>
      </c>
      <c r="K1193" s="338"/>
      <c r="L1193" s="338"/>
      <c r="M1193" s="338" t="s">
        <v>7611</v>
      </c>
      <c r="N1193" s="338" t="s">
        <v>7612</v>
      </c>
      <c r="O1193" s="337">
        <v>1</v>
      </c>
      <c r="P1193" s="337">
        <v>1</v>
      </c>
      <c r="Q1193" s="338"/>
      <c r="R1193" s="338" t="s">
        <v>7255</v>
      </c>
      <c r="S1193" s="338"/>
      <c r="T1193" s="338"/>
      <c r="U1193" s="338" t="s">
        <v>7621</v>
      </c>
      <c r="V1193" s="337">
        <v>1</v>
      </c>
      <c r="W1193" s="337">
        <v>1</v>
      </c>
      <c r="X1193" s="338"/>
      <c r="Y1193" s="338" t="s">
        <v>7185</v>
      </c>
      <c r="Z1193" s="338" t="s">
        <v>9070</v>
      </c>
      <c r="AA1193" s="338" t="s">
        <v>6079</v>
      </c>
      <c r="AB1193" s="338"/>
      <c r="AC1193" s="338" t="s">
        <v>7887</v>
      </c>
      <c r="AD1193" s="338"/>
      <c r="AF1193" s="502" t="str">
        <f>Table15[[#This Row],[code2]]</f>
        <v>BSA</v>
      </c>
      <c r="AG1193" s="502" t="str">
        <f>Table15[[#This Row],[code5]]</f>
        <v>ABNTD</v>
      </c>
    </row>
    <row r="1194" spans="1:33">
      <c r="A1194" s="338" t="s">
        <v>6072</v>
      </c>
      <c r="B1194" s="338" t="s">
        <v>6073</v>
      </c>
      <c r="C1194" s="337">
        <v>1</v>
      </c>
      <c r="D1194" s="338" t="s">
        <v>7609</v>
      </c>
      <c r="E1194" s="338" t="s">
        <v>7610</v>
      </c>
      <c r="F1194" s="337">
        <v>1</v>
      </c>
      <c r="G1194" s="337">
        <v>1</v>
      </c>
      <c r="H1194" s="338"/>
      <c r="I1194" s="338" t="s">
        <v>9059</v>
      </c>
      <c r="J1194" s="338" t="s">
        <v>9060</v>
      </c>
      <c r="K1194" s="338"/>
      <c r="L1194" s="338"/>
      <c r="M1194" s="338" t="s">
        <v>7611</v>
      </c>
      <c r="N1194" s="338" t="s">
        <v>7612</v>
      </c>
      <c r="O1194" s="337">
        <v>1</v>
      </c>
      <c r="P1194" s="337">
        <v>1</v>
      </c>
      <c r="Q1194" s="338"/>
      <c r="R1194" s="338" t="s">
        <v>7255</v>
      </c>
      <c r="S1194" s="338"/>
      <c r="T1194" s="338"/>
      <c r="U1194" s="338" t="s">
        <v>7622</v>
      </c>
      <c r="V1194" s="337">
        <v>1</v>
      </c>
      <c r="W1194" s="337">
        <v>1</v>
      </c>
      <c r="X1194" s="338"/>
      <c r="Y1194" s="338" t="s">
        <v>7183</v>
      </c>
      <c r="Z1194" s="338" t="s">
        <v>8665</v>
      </c>
      <c r="AA1194" s="338" t="s">
        <v>6079</v>
      </c>
      <c r="AB1194" s="338"/>
      <c r="AC1194" s="338" t="s">
        <v>7888</v>
      </c>
      <c r="AD1194" s="338"/>
      <c r="AF1194" s="502" t="str">
        <f>Table15[[#This Row],[code2]]</f>
        <v>BSA</v>
      </c>
      <c r="AG1194" s="502" t="str">
        <f>Table15[[#This Row],[code5]]</f>
        <v>ABNTD</v>
      </c>
    </row>
    <row r="1195" spans="1:33">
      <c r="A1195" s="338" t="s">
        <v>6072</v>
      </c>
      <c r="B1195" s="338" t="s">
        <v>6073</v>
      </c>
      <c r="C1195" s="337">
        <v>1</v>
      </c>
      <c r="D1195" s="338" t="s">
        <v>7609</v>
      </c>
      <c r="E1195" s="338" t="s">
        <v>7610</v>
      </c>
      <c r="F1195" s="337">
        <v>1</v>
      </c>
      <c r="G1195" s="337">
        <v>1</v>
      </c>
      <c r="H1195" s="338"/>
      <c r="I1195" s="338" t="s">
        <v>9059</v>
      </c>
      <c r="J1195" s="338" t="s">
        <v>9060</v>
      </c>
      <c r="K1195" s="338"/>
      <c r="L1195" s="338"/>
      <c r="M1195" s="338" t="s">
        <v>7611</v>
      </c>
      <c r="N1195" s="338" t="s">
        <v>7612</v>
      </c>
      <c r="O1195" s="337">
        <v>1</v>
      </c>
      <c r="P1195" s="337">
        <v>1</v>
      </c>
      <c r="Q1195" s="338"/>
      <c r="R1195" s="338" t="s">
        <v>7255</v>
      </c>
      <c r="S1195" s="338"/>
      <c r="T1195" s="338"/>
      <c r="U1195" s="338" t="s">
        <v>7623</v>
      </c>
      <c r="V1195" s="337">
        <v>1</v>
      </c>
      <c r="W1195" s="337">
        <v>1</v>
      </c>
      <c r="X1195" s="338"/>
      <c r="Y1195" s="338" t="s">
        <v>7185</v>
      </c>
      <c r="Z1195" s="338" t="s">
        <v>8666</v>
      </c>
      <c r="AA1195" s="338" t="s">
        <v>6079</v>
      </c>
      <c r="AB1195" s="338"/>
      <c r="AC1195" s="338" t="s">
        <v>7888</v>
      </c>
      <c r="AD1195" s="338"/>
      <c r="AF1195" s="502" t="str">
        <f>Table15[[#This Row],[code2]]</f>
        <v>BSA</v>
      </c>
      <c r="AG1195" s="502" t="str">
        <f>Table15[[#This Row],[code5]]</f>
        <v>ABNTD</v>
      </c>
    </row>
    <row r="1196" spans="1:33">
      <c r="A1196" s="338" t="s">
        <v>6072</v>
      </c>
      <c r="B1196" s="338" t="s">
        <v>6073</v>
      </c>
      <c r="C1196" s="337">
        <v>1</v>
      </c>
      <c r="D1196" s="338" t="s">
        <v>7609</v>
      </c>
      <c r="E1196" s="338" t="s">
        <v>7610</v>
      </c>
      <c r="F1196" s="337">
        <v>1</v>
      </c>
      <c r="G1196" s="337">
        <v>1</v>
      </c>
      <c r="H1196" s="338"/>
      <c r="I1196" s="338" t="s">
        <v>9059</v>
      </c>
      <c r="J1196" s="338" t="s">
        <v>9060</v>
      </c>
      <c r="K1196" s="338"/>
      <c r="L1196" s="338"/>
      <c r="M1196" s="338" t="s">
        <v>7611</v>
      </c>
      <c r="N1196" s="338" t="s">
        <v>7612</v>
      </c>
      <c r="O1196" s="337">
        <v>1</v>
      </c>
      <c r="P1196" s="337">
        <v>1</v>
      </c>
      <c r="Q1196" s="338"/>
      <c r="R1196" s="338" t="s">
        <v>7255</v>
      </c>
      <c r="S1196" s="338"/>
      <c r="T1196" s="338"/>
      <c r="U1196" s="338" t="s">
        <v>7624</v>
      </c>
      <c r="V1196" s="337">
        <v>1</v>
      </c>
      <c r="W1196" s="337">
        <v>1</v>
      </c>
      <c r="X1196" s="338"/>
      <c r="Y1196" s="338" t="s">
        <v>7187</v>
      </c>
      <c r="Z1196" s="338" t="s">
        <v>8665</v>
      </c>
      <c r="AA1196" s="338" t="s">
        <v>6079</v>
      </c>
      <c r="AB1196" s="338"/>
      <c r="AC1196" s="338" t="s">
        <v>7888</v>
      </c>
      <c r="AD1196" s="338"/>
      <c r="AF1196" s="502" t="str">
        <f>Table15[[#This Row],[code2]]</f>
        <v>BSA</v>
      </c>
      <c r="AG1196" s="502" t="str">
        <f>Table15[[#This Row],[code5]]</f>
        <v>ABNTD</v>
      </c>
    </row>
    <row r="1197" spans="1:33">
      <c r="A1197" s="338" t="s">
        <v>6072</v>
      </c>
      <c r="B1197" s="338" t="s">
        <v>6073</v>
      </c>
      <c r="C1197" s="337">
        <v>1</v>
      </c>
      <c r="D1197" s="338" t="s">
        <v>7609</v>
      </c>
      <c r="E1197" s="338" t="s">
        <v>7610</v>
      </c>
      <c r="F1197" s="337">
        <v>1</v>
      </c>
      <c r="G1197" s="337">
        <v>1</v>
      </c>
      <c r="H1197" s="338"/>
      <c r="I1197" s="338" t="s">
        <v>9059</v>
      </c>
      <c r="J1197" s="338" t="s">
        <v>9060</v>
      </c>
      <c r="K1197" s="338"/>
      <c r="L1197" s="338"/>
      <c r="M1197" s="338" t="s">
        <v>7611</v>
      </c>
      <c r="N1197" s="338" t="s">
        <v>7612</v>
      </c>
      <c r="O1197" s="337">
        <v>1</v>
      </c>
      <c r="P1197" s="337">
        <v>1</v>
      </c>
      <c r="Q1197" s="338"/>
      <c r="R1197" s="338" t="s">
        <v>7255</v>
      </c>
      <c r="S1197" s="338"/>
      <c r="T1197" s="338"/>
      <c r="U1197" s="338" t="s">
        <v>7625</v>
      </c>
      <c r="V1197" s="337">
        <v>1</v>
      </c>
      <c r="W1197" s="337">
        <v>1</v>
      </c>
      <c r="X1197" s="338"/>
      <c r="Y1197" s="338" t="s">
        <v>7183</v>
      </c>
      <c r="Z1197" s="338" t="s">
        <v>8622</v>
      </c>
      <c r="AA1197" s="338" t="s">
        <v>6079</v>
      </c>
      <c r="AB1197" s="338"/>
      <c r="AC1197" s="338" t="s">
        <v>7889</v>
      </c>
      <c r="AD1197" s="338"/>
      <c r="AF1197" s="502" t="str">
        <f>Table15[[#This Row],[code2]]</f>
        <v>BSA</v>
      </c>
      <c r="AG1197" s="502" t="str">
        <f>Table15[[#This Row],[code5]]</f>
        <v>ABNTD</v>
      </c>
    </row>
    <row r="1198" spans="1:33">
      <c r="A1198" s="338" t="s">
        <v>6072</v>
      </c>
      <c r="B1198" s="338" t="s">
        <v>6073</v>
      </c>
      <c r="C1198" s="337">
        <v>1</v>
      </c>
      <c r="D1198" s="338" t="s">
        <v>7609</v>
      </c>
      <c r="E1198" s="338" t="s">
        <v>7610</v>
      </c>
      <c r="F1198" s="337">
        <v>1</v>
      </c>
      <c r="G1198" s="337">
        <v>1</v>
      </c>
      <c r="H1198" s="338"/>
      <c r="I1198" s="338" t="s">
        <v>9059</v>
      </c>
      <c r="J1198" s="338" t="s">
        <v>9060</v>
      </c>
      <c r="K1198" s="338"/>
      <c r="L1198" s="338"/>
      <c r="M1198" s="338" t="s">
        <v>7611</v>
      </c>
      <c r="N1198" s="338" t="s">
        <v>7612</v>
      </c>
      <c r="O1198" s="337">
        <v>1</v>
      </c>
      <c r="P1198" s="337">
        <v>1</v>
      </c>
      <c r="Q1198" s="338"/>
      <c r="R1198" s="338" t="s">
        <v>7255</v>
      </c>
      <c r="S1198" s="338"/>
      <c r="T1198" s="338"/>
      <c r="U1198" s="338" t="s">
        <v>7626</v>
      </c>
      <c r="V1198" s="337">
        <v>1</v>
      </c>
      <c r="W1198" s="337">
        <v>1</v>
      </c>
      <c r="X1198" s="338"/>
      <c r="Y1198" s="338" t="s">
        <v>7185</v>
      </c>
      <c r="Z1198" s="338" t="s">
        <v>8667</v>
      </c>
      <c r="AA1198" s="338" t="s">
        <v>6079</v>
      </c>
      <c r="AB1198" s="338"/>
      <c r="AC1198" s="338" t="s">
        <v>7889</v>
      </c>
      <c r="AD1198" s="338"/>
      <c r="AF1198" s="502" t="str">
        <f>Table15[[#This Row],[code2]]</f>
        <v>BSA</v>
      </c>
      <c r="AG1198" s="502" t="str">
        <f>Table15[[#This Row],[code5]]</f>
        <v>ABNTD</v>
      </c>
    </row>
    <row r="1199" spans="1:33">
      <c r="A1199" s="338" t="s">
        <v>6072</v>
      </c>
      <c r="B1199" s="338" t="s">
        <v>6073</v>
      </c>
      <c r="C1199" s="337">
        <v>1</v>
      </c>
      <c r="D1199" s="338" t="s">
        <v>7609</v>
      </c>
      <c r="E1199" s="338" t="s">
        <v>7610</v>
      </c>
      <c r="F1199" s="337">
        <v>1</v>
      </c>
      <c r="G1199" s="337">
        <v>1</v>
      </c>
      <c r="H1199" s="338"/>
      <c r="I1199" s="338" t="s">
        <v>9059</v>
      </c>
      <c r="J1199" s="338" t="s">
        <v>9060</v>
      </c>
      <c r="K1199" s="338"/>
      <c r="L1199" s="338"/>
      <c r="M1199" s="338" t="s">
        <v>7611</v>
      </c>
      <c r="N1199" s="338" t="s">
        <v>7612</v>
      </c>
      <c r="O1199" s="337">
        <v>1</v>
      </c>
      <c r="P1199" s="337">
        <v>1</v>
      </c>
      <c r="Q1199" s="338"/>
      <c r="R1199" s="338" t="s">
        <v>7255</v>
      </c>
      <c r="S1199" s="338"/>
      <c r="T1199" s="338"/>
      <c r="U1199" s="338" t="s">
        <v>7627</v>
      </c>
      <c r="V1199" s="337">
        <v>1</v>
      </c>
      <c r="W1199" s="337">
        <v>1</v>
      </c>
      <c r="X1199" s="338"/>
      <c r="Y1199" s="338" t="s">
        <v>7187</v>
      </c>
      <c r="Z1199" s="338" t="s">
        <v>8668</v>
      </c>
      <c r="AA1199" s="338" t="s">
        <v>6079</v>
      </c>
      <c r="AB1199" s="338"/>
      <c r="AC1199" s="338" t="s">
        <v>7889</v>
      </c>
      <c r="AD1199" s="338"/>
      <c r="AF1199" s="502" t="str">
        <f>Table15[[#This Row],[code2]]</f>
        <v>BSA</v>
      </c>
      <c r="AG1199" s="502" t="str">
        <f>Table15[[#This Row],[code5]]</f>
        <v>ABNTD</v>
      </c>
    </row>
    <row r="1200" spans="1:33">
      <c r="A1200" s="338" t="s">
        <v>6072</v>
      </c>
      <c r="B1200" s="338" t="s">
        <v>6073</v>
      </c>
      <c r="C1200" s="337">
        <v>1</v>
      </c>
      <c r="D1200" s="338" t="s">
        <v>7609</v>
      </c>
      <c r="E1200" s="338" t="s">
        <v>7610</v>
      </c>
      <c r="F1200" s="337">
        <v>1</v>
      </c>
      <c r="G1200" s="337">
        <v>1</v>
      </c>
      <c r="H1200" s="338"/>
      <c r="I1200" s="338" t="s">
        <v>9059</v>
      </c>
      <c r="J1200" s="338" t="s">
        <v>9060</v>
      </c>
      <c r="K1200" s="338"/>
      <c r="L1200" s="338"/>
      <c r="M1200" s="338" t="s">
        <v>7611</v>
      </c>
      <c r="N1200" s="338" t="s">
        <v>7612</v>
      </c>
      <c r="O1200" s="337">
        <v>1</v>
      </c>
      <c r="P1200" s="337">
        <v>1</v>
      </c>
      <c r="Q1200" s="338"/>
      <c r="R1200" s="338" t="s">
        <v>7255</v>
      </c>
      <c r="S1200" s="338"/>
      <c r="T1200" s="338"/>
      <c r="U1200" s="338" t="s">
        <v>7628</v>
      </c>
      <c r="V1200" s="337">
        <v>1</v>
      </c>
      <c r="W1200" s="337">
        <v>1</v>
      </c>
      <c r="X1200" s="338"/>
      <c r="Y1200" s="338" t="s">
        <v>7183</v>
      </c>
      <c r="Z1200" s="338" t="s">
        <v>8742</v>
      </c>
      <c r="AA1200" s="338" t="s">
        <v>6079</v>
      </c>
      <c r="AB1200" s="338"/>
      <c r="AC1200" s="338" t="s">
        <v>7890</v>
      </c>
      <c r="AD1200" s="338"/>
      <c r="AF1200" s="502" t="str">
        <f>Table15[[#This Row],[code2]]</f>
        <v>BSA</v>
      </c>
      <c r="AG1200" s="502" t="str">
        <f>Table15[[#This Row],[code5]]</f>
        <v>ABNTD</v>
      </c>
    </row>
    <row r="1201" spans="1:33">
      <c r="A1201" s="338" t="s">
        <v>6072</v>
      </c>
      <c r="B1201" s="338" t="s">
        <v>6073</v>
      </c>
      <c r="C1201" s="337">
        <v>1</v>
      </c>
      <c r="D1201" s="338" t="s">
        <v>7609</v>
      </c>
      <c r="E1201" s="338" t="s">
        <v>7610</v>
      </c>
      <c r="F1201" s="337">
        <v>1</v>
      </c>
      <c r="G1201" s="337">
        <v>1</v>
      </c>
      <c r="H1201" s="338"/>
      <c r="I1201" s="338" t="s">
        <v>9059</v>
      </c>
      <c r="J1201" s="338" t="s">
        <v>9060</v>
      </c>
      <c r="K1201" s="338"/>
      <c r="L1201" s="338"/>
      <c r="M1201" s="338" t="s">
        <v>7611</v>
      </c>
      <c r="N1201" s="338" t="s">
        <v>7612</v>
      </c>
      <c r="O1201" s="337">
        <v>1</v>
      </c>
      <c r="P1201" s="337">
        <v>1</v>
      </c>
      <c r="Q1201" s="338"/>
      <c r="R1201" s="338" t="s">
        <v>7255</v>
      </c>
      <c r="S1201" s="338"/>
      <c r="T1201" s="338"/>
      <c r="U1201" s="338" t="s">
        <v>7629</v>
      </c>
      <c r="V1201" s="337">
        <v>1</v>
      </c>
      <c r="W1201" s="337">
        <v>1</v>
      </c>
      <c r="X1201" s="338"/>
      <c r="Y1201" s="338" t="s">
        <v>7185</v>
      </c>
      <c r="Z1201" s="338" t="s">
        <v>8744</v>
      </c>
      <c r="AA1201" s="338" t="s">
        <v>6079</v>
      </c>
      <c r="AB1201" s="338"/>
      <c r="AC1201" s="338" t="s">
        <v>7890</v>
      </c>
      <c r="AD1201" s="338"/>
      <c r="AF1201" s="502" t="str">
        <f>Table15[[#This Row],[code2]]</f>
        <v>BSA</v>
      </c>
      <c r="AG1201" s="502" t="str">
        <f>Table15[[#This Row],[code5]]</f>
        <v>ABNTD</v>
      </c>
    </row>
    <row r="1202" spans="1:33">
      <c r="A1202" s="338" t="s">
        <v>6072</v>
      </c>
      <c r="B1202" s="338" t="s">
        <v>6073</v>
      </c>
      <c r="C1202" s="337">
        <v>1</v>
      </c>
      <c r="D1202" s="338" t="s">
        <v>7609</v>
      </c>
      <c r="E1202" s="338" t="s">
        <v>7610</v>
      </c>
      <c r="F1202" s="337">
        <v>1</v>
      </c>
      <c r="G1202" s="337">
        <v>1</v>
      </c>
      <c r="H1202" s="338"/>
      <c r="I1202" s="338" t="s">
        <v>9059</v>
      </c>
      <c r="J1202" s="338" t="s">
        <v>9060</v>
      </c>
      <c r="K1202" s="338"/>
      <c r="L1202" s="338"/>
      <c r="M1202" s="338" t="s">
        <v>7611</v>
      </c>
      <c r="N1202" s="338" t="s">
        <v>7612</v>
      </c>
      <c r="O1202" s="337">
        <v>1</v>
      </c>
      <c r="P1202" s="337">
        <v>1</v>
      </c>
      <c r="Q1202" s="338"/>
      <c r="R1202" s="338" t="s">
        <v>7255</v>
      </c>
      <c r="S1202" s="338"/>
      <c r="T1202" s="338"/>
      <c r="U1202" s="338" t="s">
        <v>7630</v>
      </c>
      <c r="V1202" s="337">
        <v>1</v>
      </c>
      <c r="W1202" s="337">
        <v>1</v>
      </c>
      <c r="X1202" s="338"/>
      <c r="Y1202" s="338" t="s">
        <v>7187</v>
      </c>
      <c r="Z1202" s="338" t="s">
        <v>8981</v>
      </c>
      <c r="AA1202" s="338" t="s">
        <v>6079</v>
      </c>
      <c r="AB1202" s="338"/>
      <c r="AC1202" s="338" t="s">
        <v>7890</v>
      </c>
      <c r="AD1202" s="338"/>
      <c r="AF1202" s="502" t="str">
        <f>Table15[[#This Row],[code2]]</f>
        <v>BSA</v>
      </c>
      <c r="AG1202" s="502" t="str">
        <f>Table15[[#This Row],[code5]]</f>
        <v>ABNTD</v>
      </c>
    </row>
    <row r="1203" spans="1:33">
      <c r="A1203" s="338" t="s">
        <v>6072</v>
      </c>
      <c r="B1203" s="338" t="s">
        <v>6073</v>
      </c>
      <c r="C1203" s="337">
        <v>1</v>
      </c>
      <c r="D1203" s="338" t="s">
        <v>7609</v>
      </c>
      <c r="E1203" s="338" t="s">
        <v>7610</v>
      </c>
      <c r="F1203" s="337">
        <v>1</v>
      </c>
      <c r="G1203" s="337">
        <v>1</v>
      </c>
      <c r="H1203" s="338"/>
      <c r="I1203" s="338" t="s">
        <v>9059</v>
      </c>
      <c r="J1203" s="338" t="s">
        <v>9060</v>
      </c>
      <c r="K1203" s="338"/>
      <c r="L1203" s="338"/>
      <c r="M1203" s="338" t="s">
        <v>7611</v>
      </c>
      <c r="N1203" s="338" t="s">
        <v>7612</v>
      </c>
      <c r="O1203" s="337">
        <v>1</v>
      </c>
      <c r="P1203" s="337">
        <v>1</v>
      </c>
      <c r="Q1203" s="338"/>
      <c r="R1203" s="338" t="s">
        <v>7255</v>
      </c>
      <c r="S1203" s="338"/>
      <c r="T1203" s="338"/>
      <c r="U1203" s="338" t="s">
        <v>7631</v>
      </c>
      <c r="V1203" s="337">
        <v>1</v>
      </c>
      <c r="W1203" s="337">
        <v>0</v>
      </c>
      <c r="X1203" s="338"/>
      <c r="Y1203" s="338" t="s">
        <v>7190</v>
      </c>
      <c r="Z1203" s="338" t="s">
        <v>8742</v>
      </c>
      <c r="AA1203" s="338" t="s">
        <v>6079</v>
      </c>
      <c r="AB1203" s="338"/>
      <c r="AC1203" s="338" t="s">
        <v>7890</v>
      </c>
      <c r="AD1203" s="338"/>
      <c r="AF1203" s="502" t="str">
        <f>Table15[[#This Row],[code2]]</f>
        <v>BSA</v>
      </c>
      <c r="AG1203" s="502" t="str">
        <f>Table15[[#This Row],[code5]]</f>
        <v>ABNTD</v>
      </c>
    </row>
    <row r="1204" spans="1:33">
      <c r="A1204" s="338" t="s">
        <v>6072</v>
      </c>
      <c r="B1204" s="338" t="s">
        <v>6073</v>
      </c>
      <c r="C1204" s="337">
        <v>1</v>
      </c>
      <c r="D1204" s="338" t="s">
        <v>7609</v>
      </c>
      <c r="E1204" s="338" t="s">
        <v>7610</v>
      </c>
      <c r="F1204" s="337">
        <v>1</v>
      </c>
      <c r="G1204" s="337">
        <v>1</v>
      </c>
      <c r="H1204" s="338"/>
      <c r="I1204" s="338" t="s">
        <v>9059</v>
      </c>
      <c r="J1204" s="338" t="s">
        <v>9060</v>
      </c>
      <c r="K1204" s="338"/>
      <c r="L1204" s="338"/>
      <c r="M1204" s="338" t="s">
        <v>7611</v>
      </c>
      <c r="N1204" s="338" t="s">
        <v>7612</v>
      </c>
      <c r="O1204" s="337">
        <v>1</v>
      </c>
      <c r="P1204" s="337">
        <v>1</v>
      </c>
      <c r="Q1204" s="338"/>
      <c r="R1204" s="338" t="s">
        <v>7255</v>
      </c>
      <c r="S1204" s="338"/>
      <c r="T1204" s="338"/>
      <c r="U1204" s="338" t="s">
        <v>7632</v>
      </c>
      <c r="V1204" s="337">
        <v>1</v>
      </c>
      <c r="W1204" s="337">
        <v>1</v>
      </c>
      <c r="X1204" s="338"/>
      <c r="Y1204" s="338" t="s">
        <v>7183</v>
      </c>
      <c r="Z1204" s="338" t="s">
        <v>8742</v>
      </c>
      <c r="AA1204" s="338" t="s">
        <v>6079</v>
      </c>
      <c r="AB1204" s="338"/>
      <c r="AC1204" s="338" t="s">
        <v>8748</v>
      </c>
      <c r="AD1204" s="338"/>
      <c r="AF1204" s="502" t="str">
        <f>Table15[[#This Row],[code2]]</f>
        <v>BSA</v>
      </c>
      <c r="AG1204" s="502" t="str">
        <f>Table15[[#This Row],[code5]]</f>
        <v>ABNTD</v>
      </c>
    </row>
    <row r="1205" spans="1:33">
      <c r="A1205" s="338" t="s">
        <v>6072</v>
      </c>
      <c r="B1205" s="338" t="s">
        <v>6073</v>
      </c>
      <c r="C1205" s="337">
        <v>1</v>
      </c>
      <c r="D1205" s="338" t="s">
        <v>7609</v>
      </c>
      <c r="E1205" s="338" t="s">
        <v>7610</v>
      </c>
      <c r="F1205" s="337">
        <v>1</v>
      </c>
      <c r="G1205" s="337">
        <v>1</v>
      </c>
      <c r="H1205" s="338"/>
      <c r="I1205" s="338" t="s">
        <v>9059</v>
      </c>
      <c r="J1205" s="338" t="s">
        <v>9060</v>
      </c>
      <c r="K1205" s="338"/>
      <c r="L1205" s="338"/>
      <c r="M1205" s="338" t="s">
        <v>7611</v>
      </c>
      <c r="N1205" s="338" t="s">
        <v>7612</v>
      </c>
      <c r="O1205" s="337">
        <v>1</v>
      </c>
      <c r="P1205" s="337">
        <v>1</v>
      </c>
      <c r="Q1205" s="338"/>
      <c r="R1205" s="338" t="s">
        <v>7255</v>
      </c>
      <c r="S1205" s="338"/>
      <c r="T1205" s="338"/>
      <c r="U1205" s="338" t="s">
        <v>7633</v>
      </c>
      <c r="V1205" s="337">
        <v>1</v>
      </c>
      <c r="W1205" s="337">
        <v>1</v>
      </c>
      <c r="X1205" s="338"/>
      <c r="Y1205" s="338" t="s">
        <v>7185</v>
      </c>
      <c r="Z1205" s="338" t="s">
        <v>8743</v>
      </c>
      <c r="AA1205" s="338" t="s">
        <v>6079</v>
      </c>
      <c r="AB1205" s="338"/>
      <c r="AC1205" s="338" t="s">
        <v>8748</v>
      </c>
      <c r="AD1205" s="338"/>
      <c r="AF1205" s="502" t="str">
        <f>Table15[[#This Row],[code2]]</f>
        <v>BSA</v>
      </c>
      <c r="AG1205" s="502" t="str">
        <f>Table15[[#This Row],[code5]]</f>
        <v>ABNTD</v>
      </c>
    </row>
    <row r="1206" spans="1:33">
      <c r="A1206" s="338" t="s">
        <v>6072</v>
      </c>
      <c r="B1206" s="338" t="s">
        <v>6073</v>
      </c>
      <c r="C1206" s="337">
        <v>1</v>
      </c>
      <c r="D1206" s="338" t="s">
        <v>7609</v>
      </c>
      <c r="E1206" s="338" t="s">
        <v>7610</v>
      </c>
      <c r="F1206" s="337">
        <v>1</v>
      </c>
      <c r="G1206" s="337">
        <v>1</v>
      </c>
      <c r="H1206" s="338"/>
      <c r="I1206" s="338" t="s">
        <v>9059</v>
      </c>
      <c r="J1206" s="338" t="s">
        <v>9060</v>
      </c>
      <c r="K1206" s="338"/>
      <c r="L1206" s="338"/>
      <c r="M1206" s="338" t="s">
        <v>7611</v>
      </c>
      <c r="N1206" s="338" t="s">
        <v>7612</v>
      </c>
      <c r="O1206" s="337">
        <v>1</v>
      </c>
      <c r="P1206" s="337">
        <v>1</v>
      </c>
      <c r="Q1206" s="338"/>
      <c r="R1206" s="338" t="s">
        <v>7255</v>
      </c>
      <c r="S1206" s="338"/>
      <c r="T1206" s="338"/>
      <c r="U1206" s="338" t="s">
        <v>7634</v>
      </c>
      <c r="V1206" s="337">
        <v>1</v>
      </c>
      <c r="W1206" s="337">
        <v>1</v>
      </c>
      <c r="X1206" s="338"/>
      <c r="Y1206" s="338" t="s">
        <v>7187</v>
      </c>
      <c r="Z1206" s="338" t="s">
        <v>8744</v>
      </c>
      <c r="AA1206" s="338" t="s">
        <v>6079</v>
      </c>
      <c r="AB1206" s="338"/>
      <c r="AC1206" s="338" t="s">
        <v>8748</v>
      </c>
      <c r="AD1206" s="338"/>
      <c r="AF1206" s="502" t="str">
        <f>Table15[[#This Row],[code2]]</f>
        <v>BSA</v>
      </c>
      <c r="AG1206" s="502" t="str">
        <f>Table15[[#This Row],[code5]]</f>
        <v>ABNTD</v>
      </c>
    </row>
    <row r="1207" spans="1:33">
      <c r="A1207" s="338" t="s">
        <v>6072</v>
      </c>
      <c r="B1207" s="338" t="s">
        <v>6073</v>
      </c>
      <c r="C1207" s="337">
        <v>1</v>
      </c>
      <c r="D1207" s="338" t="s">
        <v>7609</v>
      </c>
      <c r="E1207" s="338" t="s">
        <v>7610</v>
      </c>
      <c r="F1207" s="337">
        <v>1</v>
      </c>
      <c r="G1207" s="337">
        <v>1</v>
      </c>
      <c r="H1207" s="338"/>
      <c r="I1207" s="338" t="s">
        <v>9059</v>
      </c>
      <c r="J1207" s="338" t="s">
        <v>9060</v>
      </c>
      <c r="K1207" s="338"/>
      <c r="L1207" s="338"/>
      <c r="M1207" s="338" t="s">
        <v>7611</v>
      </c>
      <c r="N1207" s="338" t="s">
        <v>7612</v>
      </c>
      <c r="O1207" s="337">
        <v>1</v>
      </c>
      <c r="P1207" s="337">
        <v>1</v>
      </c>
      <c r="Q1207" s="338"/>
      <c r="R1207" s="338" t="s">
        <v>7255</v>
      </c>
      <c r="S1207" s="338"/>
      <c r="T1207" s="338"/>
      <c r="U1207" s="338" t="s">
        <v>7635</v>
      </c>
      <c r="V1207" s="337">
        <v>1</v>
      </c>
      <c r="W1207" s="337">
        <v>1</v>
      </c>
      <c r="X1207" s="338"/>
      <c r="Y1207" s="338" t="s">
        <v>7190</v>
      </c>
      <c r="Z1207" s="338" t="s">
        <v>8742</v>
      </c>
      <c r="AA1207" s="338" t="s">
        <v>6079</v>
      </c>
      <c r="AB1207" s="338"/>
      <c r="AC1207" s="338" t="s">
        <v>8748</v>
      </c>
      <c r="AD1207" s="338"/>
      <c r="AF1207" s="502" t="str">
        <f>Table15[[#This Row],[code2]]</f>
        <v>BSA</v>
      </c>
      <c r="AG1207" s="502" t="str">
        <f>Table15[[#This Row],[code5]]</f>
        <v>ABNTD</v>
      </c>
    </row>
    <row r="1208" spans="1:33">
      <c r="A1208" s="338" t="s">
        <v>6072</v>
      </c>
      <c r="B1208" s="338" t="s">
        <v>6073</v>
      </c>
      <c r="C1208" s="337">
        <v>1</v>
      </c>
      <c r="D1208" s="338" t="s">
        <v>7609</v>
      </c>
      <c r="E1208" s="338" t="s">
        <v>7610</v>
      </c>
      <c r="F1208" s="337">
        <v>1</v>
      </c>
      <c r="G1208" s="337">
        <v>1</v>
      </c>
      <c r="H1208" s="338"/>
      <c r="I1208" s="338" t="s">
        <v>9059</v>
      </c>
      <c r="J1208" s="338" t="s">
        <v>9060</v>
      </c>
      <c r="K1208" s="338"/>
      <c r="L1208" s="338"/>
      <c r="M1208" s="338" t="s">
        <v>7611</v>
      </c>
      <c r="N1208" s="338" t="s">
        <v>7612</v>
      </c>
      <c r="O1208" s="337">
        <v>1</v>
      </c>
      <c r="P1208" s="337">
        <v>1</v>
      </c>
      <c r="Q1208" s="338"/>
      <c r="R1208" s="338" t="s">
        <v>7255</v>
      </c>
      <c r="S1208" s="338"/>
      <c r="T1208" s="338"/>
      <c r="U1208" s="338" t="s">
        <v>7636</v>
      </c>
      <c r="V1208" s="337">
        <v>0</v>
      </c>
      <c r="W1208" s="337">
        <v>0</v>
      </c>
      <c r="X1208" s="338"/>
      <c r="Y1208" s="338" t="s">
        <v>7183</v>
      </c>
      <c r="Z1208" s="338" t="s">
        <v>8742</v>
      </c>
      <c r="AA1208" s="338" t="s">
        <v>6079</v>
      </c>
      <c r="AB1208" s="338"/>
      <c r="AC1208" s="338" t="s">
        <v>8749</v>
      </c>
      <c r="AD1208" s="338"/>
      <c r="AF1208" s="502" t="str">
        <f>Table15[[#This Row],[code2]]</f>
        <v>BSA</v>
      </c>
      <c r="AG1208" s="502" t="str">
        <f>Table15[[#This Row],[code5]]</f>
        <v>ABNTD</v>
      </c>
    </row>
    <row r="1209" spans="1:33">
      <c r="A1209" s="338" t="s">
        <v>6072</v>
      </c>
      <c r="B1209" s="338" t="s">
        <v>6073</v>
      </c>
      <c r="C1209" s="337">
        <v>1</v>
      </c>
      <c r="D1209" s="338" t="s">
        <v>7609</v>
      </c>
      <c r="E1209" s="338" t="s">
        <v>7610</v>
      </c>
      <c r="F1209" s="337">
        <v>1</v>
      </c>
      <c r="G1209" s="337">
        <v>1</v>
      </c>
      <c r="H1209" s="338"/>
      <c r="I1209" s="338" t="s">
        <v>9059</v>
      </c>
      <c r="J1209" s="338" t="s">
        <v>9060</v>
      </c>
      <c r="K1209" s="338"/>
      <c r="L1209" s="338"/>
      <c r="M1209" s="338" t="s">
        <v>7611</v>
      </c>
      <c r="N1209" s="338" t="s">
        <v>7612</v>
      </c>
      <c r="O1209" s="337">
        <v>1</v>
      </c>
      <c r="P1209" s="337">
        <v>1</v>
      </c>
      <c r="Q1209" s="338"/>
      <c r="R1209" s="338" t="s">
        <v>7255</v>
      </c>
      <c r="S1209" s="338"/>
      <c r="T1209" s="338"/>
      <c r="U1209" s="338" t="s">
        <v>7637</v>
      </c>
      <c r="V1209" s="337">
        <v>0</v>
      </c>
      <c r="W1209" s="337">
        <v>0</v>
      </c>
      <c r="X1209" s="338"/>
      <c r="Y1209" s="338" t="s">
        <v>7185</v>
      </c>
      <c r="Z1209" s="338" t="s">
        <v>8743</v>
      </c>
      <c r="AA1209" s="338" t="s">
        <v>6079</v>
      </c>
      <c r="AB1209" s="338"/>
      <c r="AC1209" s="338" t="s">
        <v>8749</v>
      </c>
      <c r="AD1209" s="338"/>
      <c r="AF1209" s="502" t="str">
        <f>Table15[[#This Row],[code2]]</f>
        <v>BSA</v>
      </c>
      <c r="AG1209" s="502" t="str">
        <f>Table15[[#This Row],[code5]]</f>
        <v>ABNTD</v>
      </c>
    </row>
    <row r="1210" spans="1:33">
      <c r="A1210" s="338" t="s">
        <v>6072</v>
      </c>
      <c r="B1210" s="338" t="s">
        <v>6073</v>
      </c>
      <c r="C1210" s="337">
        <v>1</v>
      </c>
      <c r="D1210" s="338" t="s">
        <v>7609</v>
      </c>
      <c r="E1210" s="338" t="s">
        <v>7610</v>
      </c>
      <c r="F1210" s="337">
        <v>1</v>
      </c>
      <c r="G1210" s="337">
        <v>1</v>
      </c>
      <c r="H1210" s="338"/>
      <c r="I1210" s="338" t="s">
        <v>9059</v>
      </c>
      <c r="J1210" s="338" t="s">
        <v>9060</v>
      </c>
      <c r="K1210" s="338"/>
      <c r="L1210" s="338"/>
      <c r="M1210" s="338" t="s">
        <v>7611</v>
      </c>
      <c r="N1210" s="338" t="s">
        <v>7612</v>
      </c>
      <c r="O1210" s="337">
        <v>1</v>
      </c>
      <c r="P1210" s="337">
        <v>1</v>
      </c>
      <c r="Q1210" s="338"/>
      <c r="R1210" s="338" t="s">
        <v>7255</v>
      </c>
      <c r="S1210" s="338"/>
      <c r="T1210" s="338"/>
      <c r="U1210" s="338" t="s">
        <v>7638</v>
      </c>
      <c r="V1210" s="337">
        <v>0</v>
      </c>
      <c r="W1210" s="337">
        <v>0</v>
      </c>
      <c r="X1210" s="338"/>
      <c r="Y1210" s="338" t="s">
        <v>7187</v>
      </c>
      <c r="Z1210" s="338" t="s">
        <v>8744</v>
      </c>
      <c r="AA1210" s="338" t="s">
        <v>6079</v>
      </c>
      <c r="AB1210" s="338"/>
      <c r="AC1210" s="338" t="s">
        <v>8749</v>
      </c>
      <c r="AD1210" s="338"/>
      <c r="AF1210" s="502" t="str">
        <f>Table15[[#This Row],[code2]]</f>
        <v>BSA</v>
      </c>
      <c r="AG1210" s="502" t="str">
        <f>Table15[[#This Row],[code5]]</f>
        <v>ABNTD</v>
      </c>
    </row>
    <row r="1211" spans="1:33">
      <c r="A1211" s="338" t="s">
        <v>6072</v>
      </c>
      <c r="B1211" s="338" t="s">
        <v>6073</v>
      </c>
      <c r="C1211" s="337">
        <v>1</v>
      </c>
      <c r="D1211" s="338" t="s">
        <v>7609</v>
      </c>
      <c r="E1211" s="338" t="s">
        <v>7610</v>
      </c>
      <c r="F1211" s="337">
        <v>1</v>
      </c>
      <c r="G1211" s="337">
        <v>1</v>
      </c>
      <c r="H1211" s="338"/>
      <c r="I1211" s="338" t="s">
        <v>9059</v>
      </c>
      <c r="J1211" s="338" t="s">
        <v>9060</v>
      </c>
      <c r="K1211" s="338"/>
      <c r="L1211" s="338"/>
      <c r="M1211" s="338" t="s">
        <v>7611</v>
      </c>
      <c r="N1211" s="338" t="s">
        <v>7612</v>
      </c>
      <c r="O1211" s="337">
        <v>1</v>
      </c>
      <c r="P1211" s="337">
        <v>1</v>
      </c>
      <c r="Q1211" s="338"/>
      <c r="R1211" s="338" t="s">
        <v>7255</v>
      </c>
      <c r="S1211" s="338"/>
      <c r="T1211" s="338"/>
      <c r="U1211" s="338" t="s">
        <v>7639</v>
      </c>
      <c r="V1211" s="337">
        <v>0</v>
      </c>
      <c r="W1211" s="337">
        <v>0</v>
      </c>
      <c r="X1211" s="338"/>
      <c r="Y1211" s="338" t="s">
        <v>7190</v>
      </c>
      <c r="Z1211" s="338" t="s">
        <v>8742</v>
      </c>
      <c r="AA1211" s="338" t="s">
        <v>6079</v>
      </c>
      <c r="AB1211" s="338"/>
      <c r="AC1211" s="338" t="s">
        <v>8749</v>
      </c>
      <c r="AD1211" s="338"/>
      <c r="AF1211" s="502" t="str">
        <f>Table15[[#This Row],[code2]]</f>
        <v>BSA</v>
      </c>
      <c r="AG1211" s="502" t="str">
        <f>Table15[[#This Row],[code5]]</f>
        <v>ABNTD</v>
      </c>
    </row>
    <row r="1212" spans="1:33">
      <c r="A1212" s="338" t="s">
        <v>6072</v>
      </c>
      <c r="B1212" s="338" t="s">
        <v>6073</v>
      </c>
      <c r="C1212" s="337">
        <v>1</v>
      </c>
      <c r="D1212" s="338" t="s">
        <v>7609</v>
      </c>
      <c r="E1212" s="338" t="s">
        <v>7610</v>
      </c>
      <c r="F1212" s="337">
        <v>1</v>
      </c>
      <c r="G1212" s="337">
        <v>1</v>
      </c>
      <c r="H1212" s="338"/>
      <c r="I1212" s="338" t="s">
        <v>9059</v>
      </c>
      <c r="J1212" s="338" t="s">
        <v>9060</v>
      </c>
      <c r="K1212" s="338"/>
      <c r="L1212" s="338"/>
      <c r="M1212" s="338" t="s">
        <v>7611</v>
      </c>
      <c r="N1212" s="338" t="s">
        <v>7612</v>
      </c>
      <c r="O1212" s="337">
        <v>1</v>
      </c>
      <c r="P1212" s="337">
        <v>1</v>
      </c>
      <c r="Q1212" s="338"/>
      <c r="R1212" s="338" t="s">
        <v>7255</v>
      </c>
      <c r="S1212" s="338"/>
      <c r="T1212" s="338"/>
      <c r="U1212" s="338" t="s">
        <v>7640</v>
      </c>
      <c r="V1212" s="337">
        <v>1</v>
      </c>
      <c r="W1212" s="337">
        <v>1</v>
      </c>
      <c r="X1212" s="338"/>
      <c r="Y1212" s="338" t="s">
        <v>7183</v>
      </c>
      <c r="Z1212" s="338" t="s">
        <v>8669</v>
      </c>
      <c r="AA1212" s="338" t="s">
        <v>6079</v>
      </c>
      <c r="AB1212" s="338"/>
      <c r="AC1212" s="338" t="s">
        <v>8750</v>
      </c>
      <c r="AD1212" s="338"/>
      <c r="AF1212" s="502" t="str">
        <f>Table15[[#This Row],[code2]]</f>
        <v>BSA</v>
      </c>
      <c r="AG1212" s="502" t="str">
        <f>Table15[[#This Row],[code5]]</f>
        <v>ABNTD</v>
      </c>
    </row>
    <row r="1213" spans="1:33">
      <c r="A1213" s="338" t="s">
        <v>6072</v>
      </c>
      <c r="B1213" s="338" t="s">
        <v>6073</v>
      </c>
      <c r="C1213" s="337">
        <v>1</v>
      </c>
      <c r="D1213" s="338" t="s">
        <v>7609</v>
      </c>
      <c r="E1213" s="338" t="s">
        <v>7610</v>
      </c>
      <c r="F1213" s="337">
        <v>1</v>
      </c>
      <c r="G1213" s="337">
        <v>1</v>
      </c>
      <c r="H1213" s="338"/>
      <c r="I1213" s="338" t="s">
        <v>9059</v>
      </c>
      <c r="J1213" s="338" t="s">
        <v>9060</v>
      </c>
      <c r="K1213" s="338"/>
      <c r="L1213" s="338"/>
      <c r="M1213" s="338" t="s">
        <v>7611</v>
      </c>
      <c r="N1213" s="338" t="s">
        <v>7612</v>
      </c>
      <c r="O1213" s="337">
        <v>1</v>
      </c>
      <c r="P1213" s="337">
        <v>1</v>
      </c>
      <c r="Q1213" s="338"/>
      <c r="R1213" s="338" t="s">
        <v>7255</v>
      </c>
      <c r="S1213" s="338"/>
      <c r="T1213" s="338"/>
      <c r="U1213" s="338" t="s">
        <v>7641</v>
      </c>
      <c r="V1213" s="337">
        <v>1</v>
      </c>
      <c r="W1213" s="337">
        <v>1</v>
      </c>
      <c r="X1213" s="338"/>
      <c r="Y1213" s="338" t="s">
        <v>7185</v>
      </c>
      <c r="Z1213" s="338" t="s">
        <v>8670</v>
      </c>
      <c r="AA1213" s="338" t="s">
        <v>6079</v>
      </c>
      <c r="AB1213" s="338"/>
      <c r="AC1213" s="338" t="s">
        <v>8750</v>
      </c>
      <c r="AD1213" s="338"/>
      <c r="AF1213" s="502" t="str">
        <f>Table15[[#This Row],[code2]]</f>
        <v>BSA</v>
      </c>
      <c r="AG1213" s="502" t="str">
        <f>Table15[[#This Row],[code5]]</f>
        <v>ABNTD</v>
      </c>
    </row>
    <row r="1214" spans="1:33">
      <c r="A1214" s="338" t="s">
        <v>6072</v>
      </c>
      <c r="B1214" s="338" t="s">
        <v>6073</v>
      </c>
      <c r="C1214" s="337">
        <v>1</v>
      </c>
      <c r="D1214" s="338" t="s">
        <v>7609</v>
      </c>
      <c r="E1214" s="338" t="s">
        <v>7610</v>
      </c>
      <c r="F1214" s="337">
        <v>1</v>
      </c>
      <c r="G1214" s="337">
        <v>1</v>
      </c>
      <c r="H1214" s="338"/>
      <c r="I1214" s="338" t="s">
        <v>9059</v>
      </c>
      <c r="J1214" s="338" t="s">
        <v>9060</v>
      </c>
      <c r="K1214" s="338"/>
      <c r="L1214" s="338"/>
      <c r="M1214" s="338" t="s">
        <v>7611</v>
      </c>
      <c r="N1214" s="338" t="s">
        <v>7612</v>
      </c>
      <c r="O1214" s="337">
        <v>1</v>
      </c>
      <c r="P1214" s="337">
        <v>1</v>
      </c>
      <c r="Q1214" s="338"/>
      <c r="R1214" s="338" t="s">
        <v>7255</v>
      </c>
      <c r="S1214" s="338"/>
      <c r="T1214" s="338"/>
      <c r="U1214" s="338" t="s">
        <v>7642</v>
      </c>
      <c r="V1214" s="337">
        <v>1</v>
      </c>
      <c r="W1214" s="337">
        <v>1</v>
      </c>
      <c r="X1214" s="338"/>
      <c r="Y1214" s="338" t="s">
        <v>7187</v>
      </c>
      <c r="Z1214" s="338" t="s">
        <v>8671</v>
      </c>
      <c r="AA1214" s="338" t="s">
        <v>6079</v>
      </c>
      <c r="AB1214" s="338"/>
      <c r="AC1214" s="338" t="s">
        <v>8750</v>
      </c>
      <c r="AD1214" s="338"/>
      <c r="AF1214" s="502" t="str">
        <f>Table15[[#This Row],[code2]]</f>
        <v>BSA</v>
      </c>
      <c r="AG1214" s="502" t="str">
        <f>Table15[[#This Row],[code5]]</f>
        <v>ABNTD</v>
      </c>
    </row>
    <row r="1215" spans="1:33">
      <c r="A1215" s="338" t="s">
        <v>6072</v>
      </c>
      <c r="B1215" s="338" t="s">
        <v>6073</v>
      </c>
      <c r="C1215" s="337">
        <v>1</v>
      </c>
      <c r="D1215" s="338" t="s">
        <v>7609</v>
      </c>
      <c r="E1215" s="338" t="s">
        <v>7610</v>
      </c>
      <c r="F1215" s="337">
        <v>1</v>
      </c>
      <c r="G1215" s="337">
        <v>1</v>
      </c>
      <c r="H1215" s="338"/>
      <c r="I1215" s="338" t="s">
        <v>9059</v>
      </c>
      <c r="J1215" s="338" t="s">
        <v>9060</v>
      </c>
      <c r="K1215" s="338"/>
      <c r="L1215" s="338"/>
      <c r="M1215" s="338" t="s">
        <v>7611</v>
      </c>
      <c r="N1215" s="338" t="s">
        <v>7612</v>
      </c>
      <c r="O1215" s="337">
        <v>1</v>
      </c>
      <c r="P1215" s="337">
        <v>1</v>
      </c>
      <c r="Q1215" s="338"/>
      <c r="R1215" s="338" t="s">
        <v>7255</v>
      </c>
      <c r="S1215" s="338"/>
      <c r="T1215" s="338"/>
      <c r="U1215" s="338" t="s">
        <v>7643</v>
      </c>
      <c r="V1215" s="337">
        <v>1</v>
      </c>
      <c r="W1215" s="337">
        <v>1</v>
      </c>
      <c r="X1215" s="338"/>
      <c r="Y1215" s="338" t="s">
        <v>7190</v>
      </c>
      <c r="Z1215" s="338" t="s">
        <v>8672</v>
      </c>
      <c r="AA1215" s="338" t="s">
        <v>6079</v>
      </c>
      <c r="AB1215" s="338"/>
      <c r="AC1215" s="338" t="s">
        <v>8750</v>
      </c>
      <c r="AD1215" s="338"/>
      <c r="AF1215" s="502" t="str">
        <f>Table15[[#This Row],[code2]]</f>
        <v>BSA</v>
      </c>
      <c r="AG1215" s="502" t="str">
        <f>Table15[[#This Row],[code5]]</f>
        <v>ABNTD</v>
      </c>
    </row>
    <row r="1216" spans="1:33">
      <c r="A1216" s="338" t="s">
        <v>6072</v>
      </c>
      <c r="B1216" s="338" t="s">
        <v>6073</v>
      </c>
      <c r="C1216" s="337">
        <v>1</v>
      </c>
      <c r="D1216" s="338" t="s">
        <v>7609</v>
      </c>
      <c r="E1216" s="338" t="s">
        <v>7610</v>
      </c>
      <c r="F1216" s="337">
        <v>1</v>
      </c>
      <c r="G1216" s="337">
        <v>1</v>
      </c>
      <c r="H1216" s="338"/>
      <c r="I1216" s="338" t="s">
        <v>9059</v>
      </c>
      <c r="J1216" s="338" t="s">
        <v>9060</v>
      </c>
      <c r="K1216" s="338"/>
      <c r="L1216" s="338"/>
      <c r="M1216" s="338" t="s">
        <v>7611</v>
      </c>
      <c r="N1216" s="338" t="s">
        <v>7612</v>
      </c>
      <c r="O1216" s="337">
        <v>1</v>
      </c>
      <c r="P1216" s="337">
        <v>1</v>
      </c>
      <c r="Q1216" s="338"/>
      <c r="R1216" s="338" t="s">
        <v>7255</v>
      </c>
      <c r="S1216" s="338"/>
      <c r="T1216" s="338"/>
      <c r="U1216" s="338" t="s">
        <v>7644</v>
      </c>
      <c r="V1216" s="337">
        <v>0</v>
      </c>
      <c r="W1216" s="337">
        <v>0</v>
      </c>
      <c r="X1216" s="338"/>
      <c r="Y1216" s="338" t="s">
        <v>7183</v>
      </c>
      <c r="Z1216" s="338" t="s">
        <v>8669</v>
      </c>
      <c r="AA1216" s="338" t="s">
        <v>6079</v>
      </c>
      <c r="AB1216" s="338"/>
      <c r="AC1216" s="338" t="s">
        <v>8751</v>
      </c>
      <c r="AD1216" s="338"/>
      <c r="AF1216" s="502" t="str">
        <f>Table15[[#This Row],[code2]]</f>
        <v>BSA</v>
      </c>
      <c r="AG1216" s="502" t="str">
        <f>Table15[[#This Row],[code5]]</f>
        <v>ABNTD</v>
      </c>
    </row>
    <row r="1217" spans="1:33">
      <c r="A1217" s="338" t="s">
        <v>6072</v>
      </c>
      <c r="B1217" s="338" t="s">
        <v>6073</v>
      </c>
      <c r="C1217" s="337">
        <v>1</v>
      </c>
      <c r="D1217" s="338" t="s">
        <v>7609</v>
      </c>
      <c r="E1217" s="338" t="s">
        <v>7610</v>
      </c>
      <c r="F1217" s="337">
        <v>1</v>
      </c>
      <c r="G1217" s="337">
        <v>1</v>
      </c>
      <c r="H1217" s="338"/>
      <c r="I1217" s="338" t="s">
        <v>9059</v>
      </c>
      <c r="J1217" s="338" t="s">
        <v>9060</v>
      </c>
      <c r="K1217" s="338"/>
      <c r="L1217" s="338"/>
      <c r="M1217" s="338" t="s">
        <v>7611</v>
      </c>
      <c r="N1217" s="338" t="s">
        <v>7612</v>
      </c>
      <c r="O1217" s="337">
        <v>1</v>
      </c>
      <c r="P1217" s="337">
        <v>1</v>
      </c>
      <c r="Q1217" s="338"/>
      <c r="R1217" s="338" t="s">
        <v>7255</v>
      </c>
      <c r="S1217" s="338"/>
      <c r="T1217" s="338"/>
      <c r="U1217" s="338" t="s">
        <v>7645</v>
      </c>
      <c r="V1217" s="337">
        <v>0</v>
      </c>
      <c r="W1217" s="337">
        <v>0</v>
      </c>
      <c r="X1217" s="338"/>
      <c r="Y1217" s="338" t="s">
        <v>7185</v>
      </c>
      <c r="Z1217" s="338" t="s">
        <v>8373</v>
      </c>
      <c r="AA1217" s="338" t="s">
        <v>6079</v>
      </c>
      <c r="AB1217" s="338"/>
      <c r="AC1217" s="338" t="s">
        <v>8751</v>
      </c>
      <c r="AD1217" s="338"/>
      <c r="AF1217" s="502" t="str">
        <f>Table15[[#This Row],[code2]]</f>
        <v>BSA</v>
      </c>
      <c r="AG1217" s="502" t="str">
        <f>Table15[[#This Row],[code5]]</f>
        <v>ABNTD</v>
      </c>
    </row>
    <row r="1218" spans="1:33">
      <c r="A1218" s="338" t="s">
        <v>6072</v>
      </c>
      <c r="B1218" s="338" t="s">
        <v>6073</v>
      </c>
      <c r="C1218" s="337">
        <v>1</v>
      </c>
      <c r="D1218" s="338" t="s">
        <v>7609</v>
      </c>
      <c r="E1218" s="338" t="s">
        <v>7610</v>
      </c>
      <c r="F1218" s="337">
        <v>1</v>
      </c>
      <c r="G1218" s="337">
        <v>1</v>
      </c>
      <c r="H1218" s="338"/>
      <c r="I1218" s="338" t="s">
        <v>9059</v>
      </c>
      <c r="J1218" s="338" t="s">
        <v>9060</v>
      </c>
      <c r="K1218" s="338"/>
      <c r="L1218" s="338"/>
      <c r="M1218" s="338" t="s">
        <v>7611</v>
      </c>
      <c r="N1218" s="338" t="s">
        <v>7612</v>
      </c>
      <c r="O1218" s="337">
        <v>1</v>
      </c>
      <c r="P1218" s="337">
        <v>1</v>
      </c>
      <c r="Q1218" s="338"/>
      <c r="R1218" s="338" t="s">
        <v>7255</v>
      </c>
      <c r="S1218" s="338"/>
      <c r="T1218" s="338"/>
      <c r="U1218" s="338" t="s">
        <v>7646</v>
      </c>
      <c r="V1218" s="337">
        <v>0</v>
      </c>
      <c r="W1218" s="337">
        <v>0</v>
      </c>
      <c r="X1218" s="338"/>
      <c r="Y1218" s="338" t="s">
        <v>7187</v>
      </c>
      <c r="Z1218" s="338" t="s">
        <v>8670</v>
      </c>
      <c r="AA1218" s="338" t="s">
        <v>6079</v>
      </c>
      <c r="AB1218" s="338"/>
      <c r="AC1218" s="338" t="s">
        <v>8751</v>
      </c>
      <c r="AD1218" s="338"/>
      <c r="AF1218" s="502" t="str">
        <f>Table15[[#This Row],[code2]]</f>
        <v>BSA</v>
      </c>
      <c r="AG1218" s="502" t="str">
        <f>Table15[[#This Row],[code5]]</f>
        <v>ABNTD</v>
      </c>
    </row>
    <row r="1219" spans="1:33">
      <c r="A1219" s="338" t="s">
        <v>6072</v>
      </c>
      <c r="B1219" s="338" t="s">
        <v>6073</v>
      </c>
      <c r="C1219" s="337">
        <v>1</v>
      </c>
      <c r="D1219" s="338" t="s">
        <v>7609</v>
      </c>
      <c r="E1219" s="338" t="s">
        <v>7610</v>
      </c>
      <c r="F1219" s="337">
        <v>1</v>
      </c>
      <c r="G1219" s="337">
        <v>1</v>
      </c>
      <c r="H1219" s="338"/>
      <c r="I1219" s="338" t="s">
        <v>9059</v>
      </c>
      <c r="J1219" s="338" t="s">
        <v>9060</v>
      </c>
      <c r="K1219" s="338"/>
      <c r="L1219" s="338"/>
      <c r="M1219" s="338" t="s">
        <v>7611</v>
      </c>
      <c r="N1219" s="338" t="s">
        <v>7612</v>
      </c>
      <c r="O1219" s="337">
        <v>1</v>
      </c>
      <c r="P1219" s="337">
        <v>1</v>
      </c>
      <c r="Q1219" s="338"/>
      <c r="R1219" s="338" t="s">
        <v>7255</v>
      </c>
      <c r="S1219" s="338"/>
      <c r="T1219" s="338"/>
      <c r="U1219" s="338" t="s">
        <v>7647</v>
      </c>
      <c r="V1219" s="337">
        <v>0</v>
      </c>
      <c r="W1219" s="337">
        <v>0</v>
      </c>
      <c r="X1219" s="338"/>
      <c r="Y1219" s="338" t="s">
        <v>7190</v>
      </c>
      <c r="Z1219" s="338" t="s">
        <v>8672</v>
      </c>
      <c r="AA1219" s="338" t="s">
        <v>6079</v>
      </c>
      <c r="AB1219" s="338"/>
      <c r="AC1219" s="338" t="s">
        <v>8751</v>
      </c>
      <c r="AD1219" s="338"/>
      <c r="AF1219" s="502" t="str">
        <f>Table15[[#This Row],[code2]]</f>
        <v>BSA</v>
      </c>
      <c r="AG1219" s="502" t="str">
        <f>Table15[[#This Row],[code5]]</f>
        <v>ABNTD</v>
      </c>
    </row>
    <row r="1220" spans="1:33">
      <c r="A1220" s="338" t="s">
        <v>6072</v>
      </c>
      <c r="B1220" s="338" t="s">
        <v>6073</v>
      </c>
      <c r="C1220" s="337">
        <v>1</v>
      </c>
      <c r="D1220" s="338" t="s">
        <v>7609</v>
      </c>
      <c r="E1220" s="338" t="s">
        <v>7610</v>
      </c>
      <c r="F1220" s="337">
        <v>1</v>
      </c>
      <c r="G1220" s="337">
        <v>1</v>
      </c>
      <c r="H1220" s="338"/>
      <c r="I1220" s="338" t="s">
        <v>9059</v>
      </c>
      <c r="J1220" s="338" t="s">
        <v>9060</v>
      </c>
      <c r="K1220" s="338"/>
      <c r="L1220" s="338"/>
      <c r="M1220" s="338" t="s">
        <v>7611</v>
      </c>
      <c r="N1220" s="338" t="s">
        <v>7612</v>
      </c>
      <c r="O1220" s="337">
        <v>1</v>
      </c>
      <c r="P1220" s="337">
        <v>1</v>
      </c>
      <c r="Q1220" s="338"/>
      <c r="R1220" s="338" t="s">
        <v>7255</v>
      </c>
      <c r="S1220" s="338"/>
      <c r="T1220" s="338"/>
      <c r="U1220" s="338" t="s">
        <v>7648</v>
      </c>
      <c r="V1220" s="337">
        <v>0</v>
      </c>
      <c r="W1220" s="337">
        <v>0</v>
      </c>
      <c r="X1220" s="338"/>
      <c r="Y1220" s="338" t="s">
        <v>7183</v>
      </c>
      <c r="Z1220" s="338" t="s">
        <v>8669</v>
      </c>
      <c r="AA1220" s="338" t="s">
        <v>6079</v>
      </c>
      <c r="AB1220" s="338"/>
      <c r="AC1220" s="338" t="s">
        <v>8752</v>
      </c>
      <c r="AD1220" s="338"/>
      <c r="AF1220" s="502" t="str">
        <f>Table15[[#This Row],[code2]]</f>
        <v>BSA</v>
      </c>
      <c r="AG1220" s="502" t="str">
        <f>Table15[[#This Row],[code5]]</f>
        <v>ABNTD</v>
      </c>
    </row>
    <row r="1221" spans="1:33">
      <c r="A1221" s="338" t="s">
        <v>6072</v>
      </c>
      <c r="B1221" s="338" t="s">
        <v>6073</v>
      </c>
      <c r="C1221" s="337">
        <v>1</v>
      </c>
      <c r="D1221" s="338" t="s">
        <v>7609</v>
      </c>
      <c r="E1221" s="338" t="s">
        <v>7610</v>
      </c>
      <c r="F1221" s="337">
        <v>1</v>
      </c>
      <c r="G1221" s="337">
        <v>1</v>
      </c>
      <c r="H1221" s="338"/>
      <c r="I1221" s="338" t="s">
        <v>9059</v>
      </c>
      <c r="J1221" s="338" t="s">
        <v>9060</v>
      </c>
      <c r="K1221" s="338"/>
      <c r="L1221" s="338"/>
      <c r="M1221" s="338" t="s">
        <v>7611</v>
      </c>
      <c r="N1221" s="338" t="s">
        <v>7612</v>
      </c>
      <c r="O1221" s="337">
        <v>1</v>
      </c>
      <c r="P1221" s="337">
        <v>1</v>
      </c>
      <c r="Q1221" s="338"/>
      <c r="R1221" s="338" t="s">
        <v>7255</v>
      </c>
      <c r="S1221" s="338"/>
      <c r="T1221" s="338"/>
      <c r="U1221" s="338" t="s">
        <v>7649</v>
      </c>
      <c r="V1221" s="337">
        <v>0</v>
      </c>
      <c r="W1221" s="337">
        <v>0</v>
      </c>
      <c r="X1221" s="338"/>
      <c r="Y1221" s="338" t="s">
        <v>7185</v>
      </c>
      <c r="Z1221" s="338" t="s">
        <v>8373</v>
      </c>
      <c r="AA1221" s="338" t="s">
        <v>6079</v>
      </c>
      <c r="AB1221" s="338"/>
      <c r="AC1221" s="338" t="s">
        <v>8752</v>
      </c>
      <c r="AD1221" s="338"/>
      <c r="AF1221" s="502" t="str">
        <f>Table15[[#This Row],[code2]]</f>
        <v>BSA</v>
      </c>
      <c r="AG1221" s="502" t="str">
        <f>Table15[[#This Row],[code5]]</f>
        <v>ABNTD</v>
      </c>
    </row>
    <row r="1222" spans="1:33">
      <c r="A1222" s="338" t="s">
        <v>6072</v>
      </c>
      <c r="B1222" s="338" t="s">
        <v>6073</v>
      </c>
      <c r="C1222" s="337">
        <v>1</v>
      </c>
      <c r="D1222" s="338" t="s">
        <v>7609</v>
      </c>
      <c r="E1222" s="338" t="s">
        <v>7610</v>
      </c>
      <c r="F1222" s="337">
        <v>1</v>
      </c>
      <c r="G1222" s="337">
        <v>1</v>
      </c>
      <c r="H1222" s="338"/>
      <c r="I1222" s="338" t="s">
        <v>9059</v>
      </c>
      <c r="J1222" s="338" t="s">
        <v>9060</v>
      </c>
      <c r="K1222" s="338"/>
      <c r="L1222" s="338"/>
      <c r="M1222" s="338" t="s">
        <v>7611</v>
      </c>
      <c r="N1222" s="338" t="s">
        <v>7612</v>
      </c>
      <c r="O1222" s="337">
        <v>1</v>
      </c>
      <c r="P1222" s="337">
        <v>1</v>
      </c>
      <c r="Q1222" s="338"/>
      <c r="R1222" s="338" t="s">
        <v>7255</v>
      </c>
      <c r="S1222" s="338"/>
      <c r="T1222" s="338"/>
      <c r="U1222" s="338" t="s">
        <v>7650</v>
      </c>
      <c r="V1222" s="337">
        <v>0</v>
      </c>
      <c r="W1222" s="337">
        <v>0</v>
      </c>
      <c r="X1222" s="338"/>
      <c r="Y1222" s="338" t="s">
        <v>7187</v>
      </c>
      <c r="Z1222" s="338" t="s">
        <v>8670</v>
      </c>
      <c r="AA1222" s="338" t="s">
        <v>6079</v>
      </c>
      <c r="AB1222" s="338"/>
      <c r="AC1222" s="338" t="s">
        <v>8752</v>
      </c>
      <c r="AD1222" s="338"/>
      <c r="AF1222" s="502" t="str">
        <f>Table15[[#This Row],[code2]]</f>
        <v>BSA</v>
      </c>
      <c r="AG1222" s="502" t="str">
        <f>Table15[[#This Row],[code5]]</f>
        <v>ABNTD</v>
      </c>
    </row>
    <row r="1223" spans="1:33">
      <c r="A1223" s="338" t="s">
        <v>6072</v>
      </c>
      <c r="B1223" s="338" t="s">
        <v>6073</v>
      </c>
      <c r="C1223" s="337">
        <v>1</v>
      </c>
      <c r="D1223" s="338" t="s">
        <v>7609</v>
      </c>
      <c r="E1223" s="338" t="s">
        <v>7610</v>
      </c>
      <c r="F1223" s="337">
        <v>1</v>
      </c>
      <c r="G1223" s="337">
        <v>1</v>
      </c>
      <c r="H1223" s="338"/>
      <c r="I1223" s="338" t="s">
        <v>9059</v>
      </c>
      <c r="J1223" s="338" t="s">
        <v>9060</v>
      </c>
      <c r="K1223" s="338"/>
      <c r="L1223" s="338"/>
      <c r="M1223" s="338" t="s">
        <v>7611</v>
      </c>
      <c r="N1223" s="338" t="s">
        <v>7612</v>
      </c>
      <c r="O1223" s="337">
        <v>1</v>
      </c>
      <c r="P1223" s="337">
        <v>1</v>
      </c>
      <c r="Q1223" s="338"/>
      <c r="R1223" s="338" t="s">
        <v>7255</v>
      </c>
      <c r="S1223" s="338"/>
      <c r="T1223" s="338"/>
      <c r="U1223" s="338" t="s">
        <v>7651</v>
      </c>
      <c r="V1223" s="337">
        <v>0</v>
      </c>
      <c r="W1223" s="337">
        <v>0</v>
      </c>
      <c r="X1223" s="338"/>
      <c r="Y1223" s="338" t="s">
        <v>7190</v>
      </c>
      <c r="Z1223" s="338" t="s">
        <v>8671</v>
      </c>
      <c r="AA1223" s="338" t="s">
        <v>6079</v>
      </c>
      <c r="AB1223" s="338"/>
      <c r="AC1223" s="338" t="s">
        <v>8752</v>
      </c>
      <c r="AD1223" s="338"/>
      <c r="AF1223" s="502" t="str">
        <f>Table15[[#This Row],[code2]]</f>
        <v>BSA</v>
      </c>
      <c r="AG1223" s="502" t="str">
        <f>Table15[[#This Row],[code5]]</f>
        <v>ABNTD</v>
      </c>
    </row>
    <row r="1224" spans="1:33">
      <c r="A1224" s="338" t="s">
        <v>6072</v>
      </c>
      <c r="B1224" s="338" t="s">
        <v>6073</v>
      </c>
      <c r="C1224" s="337">
        <v>1</v>
      </c>
      <c r="D1224" s="338" t="s">
        <v>7609</v>
      </c>
      <c r="E1224" s="338" t="s">
        <v>7610</v>
      </c>
      <c r="F1224" s="337">
        <v>1</v>
      </c>
      <c r="G1224" s="337">
        <v>1</v>
      </c>
      <c r="H1224" s="338"/>
      <c r="I1224" s="338" t="s">
        <v>9059</v>
      </c>
      <c r="J1224" s="338" t="s">
        <v>9060</v>
      </c>
      <c r="K1224" s="338"/>
      <c r="L1224" s="338"/>
      <c r="M1224" s="338" t="s">
        <v>7611</v>
      </c>
      <c r="N1224" s="338" t="s">
        <v>7612</v>
      </c>
      <c r="O1224" s="337">
        <v>1</v>
      </c>
      <c r="P1224" s="337">
        <v>1</v>
      </c>
      <c r="Q1224" s="338"/>
      <c r="R1224" s="338" t="s">
        <v>7255</v>
      </c>
      <c r="S1224" s="338"/>
      <c r="T1224" s="338"/>
      <c r="U1224" s="338" t="s">
        <v>7652</v>
      </c>
      <c r="V1224" s="337">
        <v>1</v>
      </c>
      <c r="W1224" s="337">
        <v>1</v>
      </c>
      <c r="X1224" s="338"/>
      <c r="Y1224" s="338" t="s">
        <v>7185</v>
      </c>
      <c r="Z1224" s="338" t="s">
        <v>8423</v>
      </c>
      <c r="AA1224" s="338" t="s">
        <v>6079</v>
      </c>
      <c r="AB1224" s="338"/>
      <c r="AC1224" s="338" t="s">
        <v>7937</v>
      </c>
      <c r="AD1224" s="338"/>
      <c r="AF1224" s="502" t="str">
        <f>Table15[[#This Row],[code2]]</f>
        <v>BSA</v>
      </c>
      <c r="AG1224" s="502" t="str">
        <f>Table15[[#This Row],[code5]]</f>
        <v>ABNTD</v>
      </c>
    </row>
    <row r="1225" spans="1:33">
      <c r="A1225" s="338" t="s">
        <v>6072</v>
      </c>
      <c r="B1225" s="338" t="s">
        <v>6073</v>
      </c>
      <c r="C1225" s="337">
        <v>1</v>
      </c>
      <c r="D1225" s="338" t="s">
        <v>7609</v>
      </c>
      <c r="E1225" s="338" t="s">
        <v>7610</v>
      </c>
      <c r="F1225" s="337">
        <v>1</v>
      </c>
      <c r="G1225" s="337">
        <v>1</v>
      </c>
      <c r="H1225" s="338"/>
      <c r="I1225" s="338" t="s">
        <v>9059</v>
      </c>
      <c r="J1225" s="338" t="s">
        <v>9060</v>
      </c>
      <c r="K1225" s="338"/>
      <c r="L1225" s="338"/>
      <c r="M1225" s="338" t="s">
        <v>7611</v>
      </c>
      <c r="N1225" s="338" t="s">
        <v>7612</v>
      </c>
      <c r="O1225" s="337">
        <v>1</v>
      </c>
      <c r="P1225" s="337">
        <v>1</v>
      </c>
      <c r="Q1225" s="338"/>
      <c r="R1225" s="338" t="s">
        <v>7255</v>
      </c>
      <c r="S1225" s="338"/>
      <c r="T1225" s="338"/>
      <c r="U1225" s="338" t="s">
        <v>7653</v>
      </c>
      <c r="V1225" s="337">
        <v>1</v>
      </c>
      <c r="W1225" s="337">
        <v>1</v>
      </c>
      <c r="X1225" s="338"/>
      <c r="Y1225" s="338" t="s">
        <v>7187</v>
      </c>
      <c r="Z1225" s="338" t="s">
        <v>8424</v>
      </c>
      <c r="AA1225" s="338" t="s">
        <v>6079</v>
      </c>
      <c r="AB1225" s="338"/>
      <c r="AC1225" s="338" t="s">
        <v>7937</v>
      </c>
      <c r="AD1225" s="338"/>
      <c r="AF1225" s="502" t="str">
        <f>Table15[[#This Row],[code2]]</f>
        <v>BSA</v>
      </c>
      <c r="AG1225" s="502" t="str">
        <f>Table15[[#This Row],[code5]]</f>
        <v>ABNTD</v>
      </c>
    </row>
    <row r="1226" spans="1:33">
      <c r="A1226" s="338" t="s">
        <v>6072</v>
      </c>
      <c r="B1226" s="338" t="s">
        <v>6073</v>
      </c>
      <c r="C1226" s="337">
        <v>1</v>
      </c>
      <c r="D1226" s="338" t="s">
        <v>7609</v>
      </c>
      <c r="E1226" s="338" t="s">
        <v>7610</v>
      </c>
      <c r="F1226" s="337">
        <v>1</v>
      </c>
      <c r="G1226" s="337">
        <v>1</v>
      </c>
      <c r="H1226" s="338"/>
      <c r="I1226" s="338" t="s">
        <v>9059</v>
      </c>
      <c r="J1226" s="338" t="s">
        <v>9060</v>
      </c>
      <c r="K1226" s="338"/>
      <c r="L1226" s="338"/>
      <c r="M1226" s="338" t="s">
        <v>7611</v>
      </c>
      <c r="N1226" s="338" t="s">
        <v>7612</v>
      </c>
      <c r="O1226" s="337">
        <v>1</v>
      </c>
      <c r="P1226" s="337">
        <v>1</v>
      </c>
      <c r="Q1226" s="338"/>
      <c r="R1226" s="338" t="s">
        <v>7255</v>
      </c>
      <c r="S1226" s="338"/>
      <c r="T1226" s="338"/>
      <c r="U1226" s="338" t="s">
        <v>7654</v>
      </c>
      <c r="V1226" s="337">
        <v>1</v>
      </c>
      <c r="W1226" s="337">
        <v>1</v>
      </c>
      <c r="X1226" s="338"/>
      <c r="Y1226" s="338" t="s">
        <v>7190</v>
      </c>
      <c r="Z1226" s="338" t="s">
        <v>8425</v>
      </c>
      <c r="AA1226" s="338" t="s">
        <v>6079</v>
      </c>
      <c r="AB1226" s="338"/>
      <c r="AC1226" s="338" t="s">
        <v>7937</v>
      </c>
      <c r="AD1226" s="338"/>
      <c r="AF1226" s="502" t="str">
        <f>Table15[[#This Row],[code2]]</f>
        <v>BSA</v>
      </c>
      <c r="AG1226" s="502" t="str">
        <f>Table15[[#This Row],[code5]]</f>
        <v>ABNTD</v>
      </c>
    </row>
    <row r="1227" spans="1:33">
      <c r="A1227" s="338" t="s">
        <v>6072</v>
      </c>
      <c r="B1227" s="338" t="s">
        <v>6073</v>
      </c>
      <c r="C1227" s="337">
        <v>1</v>
      </c>
      <c r="D1227" s="338" t="s">
        <v>7609</v>
      </c>
      <c r="E1227" s="338" t="s">
        <v>7610</v>
      </c>
      <c r="F1227" s="337">
        <v>1</v>
      </c>
      <c r="G1227" s="337">
        <v>1</v>
      </c>
      <c r="H1227" s="338"/>
      <c r="I1227" s="338" t="s">
        <v>9059</v>
      </c>
      <c r="J1227" s="338" t="s">
        <v>9060</v>
      </c>
      <c r="K1227" s="338"/>
      <c r="L1227" s="338"/>
      <c r="M1227" s="338" t="s">
        <v>7611</v>
      </c>
      <c r="N1227" s="338" t="s">
        <v>7612</v>
      </c>
      <c r="O1227" s="337">
        <v>1</v>
      </c>
      <c r="P1227" s="337">
        <v>1</v>
      </c>
      <c r="Q1227" s="338"/>
      <c r="R1227" s="338" t="s">
        <v>7255</v>
      </c>
      <c r="S1227" s="338"/>
      <c r="T1227" s="338"/>
      <c r="U1227" s="338" t="s">
        <v>7655</v>
      </c>
      <c r="V1227" s="337">
        <v>1</v>
      </c>
      <c r="W1227" s="337">
        <v>1</v>
      </c>
      <c r="X1227" s="338"/>
      <c r="Y1227" s="338" t="s">
        <v>7192</v>
      </c>
      <c r="Z1227" s="338" t="s">
        <v>8426</v>
      </c>
      <c r="AA1227" s="338" t="s">
        <v>6079</v>
      </c>
      <c r="AB1227" s="338"/>
      <c r="AC1227" s="338" t="s">
        <v>7937</v>
      </c>
      <c r="AD1227" s="338"/>
      <c r="AF1227" s="502" t="str">
        <f>Table15[[#This Row],[code2]]</f>
        <v>BSA</v>
      </c>
      <c r="AG1227" s="502" t="str">
        <f>Table15[[#This Row],[code5]]</f>
        <v>ABNTD</v>
      </c>
    </row>
    <row r="1228" spans="1:33">
      <c r="A1228" s="338" t="s">
        <v>6072</v>
      </c>
      <c r="B1228" s="338" t="s">
        <v>6073</v>
      </c>
      <c r="C1228" s="337">
        <v>1</v>
      </c>
      <c r="D1228" s="338" t="s">
        <v>7609</v>
      </c>
      <c r="E1228" s="338" t="s">
        <v>7610</v>
      </c>
      <c r="F1228" s="337">
        <v>1</v>
      </c>
      <c r="G1228" s="337">
        <v>1</v>
      </c>
      <c r="H1228" s="338"/>
      <c r="I1228" s="338" t="s">
        <v>9059</v>
      </c>
      <c r="J1228" s="338" t="s">
        <v>9060</v>
      </c>
      <c r="K1228" s="338"/>
      <c r="L1228" s="338"/>
      <c r="M1228" s="338" t="s">
        <v>7611</v>
      </c>
      <c r="N1228" s="338" t="s">
        <v>7612</v>
      </c>
      <c r="O1228" s="337">
        <v>1</v>
      </c>
      <c r="P1228" s="337">
        <v>1</v>
      </c>
      <c r="Q1228" s="338"/>
      <c r="R1228" s="338" t="s">
        <v>7255</v>
      </c>
      <c r="S1228" s="338"/>
      <c r="T1228" s="338"/>
      <c r="U1228" s="338" t="s">
        <v>7656</v>
      </c>
      <c r="V1228" s="337">
        <v>1</v>
      </c>
      <c r="W1228" s="337">
        <v>1</v>
      </c>
      <c r="X1228" s="338"/>
      <c r="Y1228" s="338" t="s">
        <v>7185</v>
      </c>
      <c r="Z1228" s="338" t="s">
        <v>8877</v>
      </c>
      <c r="AA1228" s="338" t="s">
        <v>6079</v>
      </c>
      <c r="AB1228" s="338"/>
      <c r="AC1228" s="338" t="s">
        <v>7938</v>
      </c>
      <c r="AD1228" s="338"/>
      <c r="AF1228" s="502" t="str">
        <f>Table15[[#This Row],[code2]]</f>
        <v>BSA</v>
      </c>
      <c r="AG1228" s="502" t="str">
        <f>Table15[[#This Row],[code5]]</f>
        <v>ABNTD</v>
      </c>
    </row>
    <row r="1229" spans="1:33">
      <c r="A1229" s="338" t="s">
        <v>6072</v>
      </c>
      <c r="B1229" s="338" t="s">
        <v>6073</v>
      </c>
      <c r="C1229" s="337">
        <v>1</v>
      </c>
      <c r="D1229" s="338" t="s">
        <v>7609</v>
      </c>
      <c r="E1229" s="338" t="s">
        <v>7610</v>
      </c>
      <c r="F1229" s="337">
        <v>1</v>
      </c>
      <c r="G1229" s="337">
        <v>1</v>
      </c>
      <c r="H1229" s="338"/>
      <c r="I1229" s="338" t="s">
        <v>9059</v>
      </c>
      <c r="J1229" s="338" t="s">
        <v>9060</v>
      </c>
      <c r="K1229" s="338"/>
      <c r="L1229" s="338"/>
      <c r="M1229" s="338" t="s">
        <v>7611</v>
      </c>
      <c r="N1229" s="338" t="s">
        <v>7612</v>
      </c>
      <c r="O1229" s="337">
        <v>1</v>
      </c>
      <c r="P1229" s="337">
        <v>1</v>
      </c>
      <c r="Q1229" s="338"/>
      <c r="R1229" s="338" t="s">
        <v>7255</v>
      </c>
      <c r="S1229" s="338"/>
      <c r="T1229" s="338"/>
      <c r="U1229" s="338" t="s">
        <v>7657</v>
      </c>
      <c r="V1229" s="337">
        <v>1</v>
      </c>
      <c r="W1229" s="337">
        <v>1</v>
      </c>
      <c r="X1229" s="338"/>
      <c r="Y1229" s="338" t="s">
        <v>7187</v>
      </c>
      <c r="Z1229" s="338" t="s">
        <v>8878</v>
      </c>
      <c r="AA1229" s="338" t="s">
        <v>6079</v>
      </c>
      <c r="AB1229" s="338"/>
      <c r="AC1229" s="338" t="s">
        <v>7938</v>
      </c>
      <c r="AD1229" s="338"/>
      <c r="AF1229" s="502" t="str">
        <f>Table15[[#This Row],[code2]]</f>
        <v>BSA</v>
      </c>
      <c r="AG1229" s="502" t="str">
        <f>Table15[[#This Row],[code5]]</f>
        <v>ABNTD</v>
      </c>
    </row>
    <row r="1230" spans="1:33">
      <c r="A1230" s="338" t="s">
        <v>6072</v>
      </c>
      <c r="B1230" s="338" t="s">
        <v>6073</v>
      </c>
      <c r="C1230" s="337">
        <v>1</v>
      </c>
      <c r="D1230" s="338" t="s">
        <v>7609</v>
      </c>
      <c r="E1230" s="338" t="s">
        <v>7610</v>
      </c>
      <c r="F1230" s="337">
        <v>1</v>
      </c>
      <c r="G1230" s="337">
        <v>1</v>
      </c>
      <c r="H1230" s="338"/>
      <c r="I1230" s="338" t="s">
        <v>9059</v>
      </c>
      <c r="J1230" s="338" t="s">
        <v>9060</v>
      </c>
      <c r="K1230" s="338"/>
      <c r="L1230" s="338"/>
      <c r="M1230" s="338" t="s">
        <v>7611</v>
      </c>
      <c r="N1230" s="338" t="s">
        <v>7612</v>
      </c>
      <c r="O1230" s="337">
        <v>1</v>
      </c>
      <c r="P1230" s="337">
        <v>1</v>
      </c>
      <c r="Q1230" s="338"/>
      <c r="R1230" s="338" t="s">
        <v>7255</v>
      </c>
      <c r="S1230" s="338"/>
      <c r="T1230" s="338"/>
      <c r="U1230" s="338" t="s">
        <v>7658</v>
      </c>
      <c r="V1230" s="337">
        <v>1</v>
      </c>
      <c r="W1230" s="337">
        <v>1</v>
      </c>
      <c r="X1230" s="338"/>
      <c r="Y1230" s="338" t="s">
        <v>7190</v>
      </c>
      <c r="Z1230" s="338" t="s">
        <v>8879</v>
      </c>
      <c r="AA1230" s="338" t="s">
        <v>6079</v>
      </c>
      <c r="AB1230" s="338"/>
      <c r="AC1230" s="338" t="s">
        <v>7938</v>
      </c>
      <c r="AD1230" s="338"/>
      <c r="AF1230" s="502" t="str">
        <f>Table15[[#This Row],[code2]]</f>
        <v>BSA</v>
      </c>
      <c r="AG1230" s="502" t="str">
        <f>Table15[[#This Row],[code5]]</f>
        <v>ABNTD</v>
      </c>
    </row>
    <row r="1231" spans="1:33">
      <c r="A1231" s="338" t="s">
        <v>6072</v>
      </c>
      <c r="B1231" s="338" t="s">
        <v>6073</v>
      </c>
      <c r="C1231" s="337">
        <v>1</v>
      </c>
      <c r="D1231" s="338" t="s">
        <v>7609</v>
      </c>
      <c r="E1231" s="338" t="s">
        <v>7610</v>
      </c>
      <c r="F1231" s="337">
        <v>1</v>
      </c>
      <c r="G1231" s="337">
        <v>1</v>
      </c>
      <c r="H1231" s="338"/>
      <c r="I1231" s="338" t="s">
        <v>9059</v>
      </c>
      <c r="J1231" s="338" t="s">
        <v>9060</v>
      </c>
      <c r="K1231" s="338"/>
      <c r="L1231" s="338"/>
      <c r="M1231" s="338" t="s">
        <v>7611</v>
      </c>
      <c r="N1231" s="338" t="s">
        <v>7612</v>
      </c>
      <c r="O1231" s="337">
        <v>1</v>
      </c>
      <c r="P1231" s="337">
        <v>1</v>
      </c>
      <c r="Q1231" s="338"/>
      <c r="R1231" s="338" t="s">
        <v>7255</v>
      </c>
      <c r="S1231" s="338"/>
      <c r="T1231" s="338"/>
      <c r="U1231" s="338" t="s">
        <v>7659</v>
      </c>
      <c r="V1231" s="337">
        <v>1</v>
      </c>
      <c r="W1231" s="337">
        <v>1</v>
      </c>
      <c r="X1231" s="338"/>
      <c r="Y1231" s="338" t="s">
        <v>7192</v>
      </c>
      <c r="Z1231" s="338" t="s">
        <v>8623</v>
      </c>
      <c r="AA1231" s="338" t="s">
        <v>6079</v>
      </c>
      <c r="AB1231" s="338"/>
      <c r="AC1231" s="338" t="s">
        <v>7938</v>
      </c>
      <c r="AD1231" s="338"/>
      <c r="AF1231" s="502" t="str">
        <f>Table15[[#This Row],[code2]]</f>
        <v>BSA</v>
      </c>
      <c r="AG1231" s="502" t="str">
        <f>Table15[[#This Row],[code5]]</f>
        <v>ABNTD</v>
      </c>
    </row>
    <row r="1232" spans="1:33">
      <c r="A1232" s="338" t="s">
        <v>6072</v>
      </c>
      <c r="B1232" s="338" t="s">
        <v>6073</v>
      </c>
      <c r="C1232" s="337">
        <v>1</v>
      </c>
      <c r="D1232" s="338" t="s">
        <v>7609</v>
      </c>
      <c r="E1232" s="338" t="s">
        <v>7610</v>
      </c>
      <c r="F1232" s="337">
        <v>1</v>
      </c>
      <c r="G1232" s="337">
        <v>1</v>
      </c>
      <c r="H1232" s="338"/>
      <c r="I1232" s="338" t="s">
        <v>9059</v>
      </c>
      <c r="J1232" s="338" t="s">
        <v>9060</v>
      </c>
      <c r="K1232" s="338"/>
      <c r="L1232" s="338"/>
      <c r="M1232" s="338" t="s">
        <v>7611</v>
      </c>
      <c r="N1232" s="338" t="s">
        <v>7612</v>
      </c>
      <c r="O1232" s="337">
        <v>1</v>
      </c>
      <c r="P1232" s="337">
        <v>1</v>
      </c>
      <c r="Q1232" s="338"/>
      <c r="R1232" s="338" t="s">
        <v>7255</v>
      </c>
      <c r="S1232" s="338"/>
      <c r="T1232" s="338"/>
      <c r="U1232" s="338" t="s">
        <v>7660</v>
      </c>
      <c r="V1232" s="337">
        <v>1</v>
      </c>
      <c r="W1232" s="337">
        <v>1</v>
      </c>
      <c r="X1232" s="338"/>
      <c r="Y1232" s="338" t="s">
        <v>7185</v>
      </c>
      <c r="Z1232" s="338" t="s">
        <v>9082</v>
      </c>
      <c r="AA1232" s="338" t="s">
        <v>6079</v>
      </c>
      <c r="AB1232" s="338"/>
      <c r="AC1232" s="338" t="s">
        <v>7898</v>
      </c>
      <c r="AD1232" s="338"/>
      <c r="AF1232" s="502" t="str">
        <f>Table15[[#This Row],[code2]]</f>
        <v>BSA</v>
      </c>
      <c r="AG1232" s="502" t="str">
        <f>Table15[[#This Row],[code5]]</f>
        <v>ABNTD</v>
      </c>
    </row>
    <row r="1233" spans="1:33">
      <c r="A1233" s="338" t="s">
        <v>6072</v>
      </c>
      <c r="B1233" s="338" t="s">
        <v>6073</v>
      </c>
      <c r="C1233" s="337">
        <v>1</v>
      </c>
      <c r="D1233" s="338" t="s">
        <v>7609</v>
      </c>
      <c r="E1233" s="338" t="s">
        <v>7610</v>
      </c>
      <c r="F1233" s="337">
        <v>1</v>
      </c>
      <c r="G1233" s="337">
        <v>1</v>
      </c>
      <c r="H1233" s="338"/>
      <c r="I1233" s="338" t="s">
        <v>9059</v>
      </c>
      <c r="J1233" s="338" t="s">
        <v>9060</v>
      </c>
      <c r="K1233" s="338"/>
      <c r="L1233" s="338"/>
      <c r="M1233" s="338" t="s">
        <v>7611</v>
      </c>
      <c r="N1233" s="338" t="s">
        <v>7612</v>
      </c>
      <c r="O1233" s="337">
        <v>1</v>
      </c>
      <c r="P1233" s="337">
        <v>1</v>
      </c>
      <c r="Q1233" s="338"/>
      <c r="R1233" s="338" t="s">
        <v>7255</v>
      </c>
      <c r="S1233" s="338"/>
      <c r="T1233" s="338"/>
      <c r="U1233" s="338" t="s">
        <v>7661</v>
      </c>
      <c r="V1233" s="337">
        <v>1</v>
      </c>
      <c r="W1233" s="337">
        <v>1</v>
      </c>
      <c r="X1233" s="338"/>
      <c r="Y1233" s="338" t="s">
        <v>7187</v>
      </c>
      <c r="Z1233" s="338" t="s">
        <v>9083</v>
      </c>
      <c r="AA1233" s="338" t="s">
        <v>6079</v>
      </c>
      <c r="AB1233" s="338"/>
      <c r="AC1233" s="338" t="s">
        <v>7898</v>
      </c>
      <c r="AD1233" s="338"/>
      <c r="AF1233" s="502" t="str">
        <f>Table15[[#This Row],[code2]]</f>
        <v>BSA</v>
      </c>
      <c r="AG1233" s="502" t="str">
        <f>Table15[[#This Row],[code5]]</f>
        <v>ABNTD</v>
      </c>
    </row>
    <row r="1234" spans="1:33">
      <c r="A1234" s="338" t="s">
        <v>6072</v>
      </c>
      <c r="B1234" s="338" t="s">
        <v>6073</v>
      </c>
      <c r="C1234" s="337">
        <v>1</v>
      </c>
      <c r="D1234" s="338" t="s">
        <v>7609</v>
      </c>
      <c r="E1234" s="338" t="s">
        <v>7610</v>
      </c>
      <c r="F1234" s="337">
        <v>1</v>
      </c>
      <c r="G1234" s="337">
        <v>1</v>
      </c>
      <c r="H1234" s="338"/>
      <c r="I1234" s="338" t="s">
        <v>9059</v>
      </c>
      <c r="J1234" s="338" t="s">
        <v>9060</v>
      </c>
      <c r="K1234" s="338"/>
      <c r="L1234" s="338"/>
      <c r="M1234" s="338" t="s">
        <v>7611</v>
      </c>
      <c r="N1234" s="338" t="s">
        <v>7612</v>
      </c>
      <c r="O1234" s="337">
        <v>1</v>
      </c>
      <c r="P1234" s="337">
        <v>1</v>
      </c>
      <c r="Q1234" s="338"/>
      <c r="R1234" s="338" t="s">
        <v>7255</v>
      </c>
      <c r="S1234" s="338"/>
      <c r="T1234" s="338"/>
      <c r="U1234" s="338" t="s">
        <v>7662</v>
      </c>
      <c r="V1234" s="337">
        <v>1</v>
      </c>
      <c r="W1234" s="337">
        <v>1</v>
      </c>
      <c r="X1234" s="338"/>
      <c r="Y1234" s="338" t="s">
        <v>7190</v>
      </c>
      <c r="Z1234" s="338" t="s">
        <v>9084</v>
      </c>
      <c r="AA1234" s="338" t="s">
        <v>6079</v>
      </c>
      <c r="AB1234" s="338"/>
      <c r="AC1234" s="338" t="s">
        <v>7898</v>
      </c>
      <c r="AD1234" s="338"/>
      <c r="AF1234" s="502" t="str">
        <f>Table15[[#This Row],[code2]]</f>
        <v>BSA</v>
      </c>
      <c r="AG1234" s="502" t="str">
        <f>Table15[[#This Row],[code5]]</f>
        <v>ABNTD</v>
      </c>
    </row>
    <row r="1235" spans="1:33">
      <c r="A1235" s="338" t="s">
        <v>6072</v>
      </c>
      <c r="B1235" s="338" t="s">
        <v>6073</v>
      </c>
      <c r="C1235" s="337">
        <v>1</v>
      </c>
      <c r="D1235" s="338" t="s">
        <v>7609</v>
      </c>
      <c r="E1235" s="338" t="s">
        <v>7610</v>
      </c>
      <c r="F1235" s="337">
        <v>1</v>
      </c>
      <c r="G1235" s="337">
        <v>1</v>
      </c>
      <c r="H1235" s="338"/>
      <c r="I1235" s="338" t="s">
        <v>9059</v>
      </c>
      <c r="J1235" s="338" t="s">
        <v>9060</v>
      </c>
      <c r="K1235" s="338"/>
      <c r="L1235" s="338"/>
      <c r="M1235" s="338" t="s">
        <v>7611</v>
      </c>
      <c r="N1235" s="338" t="s">
        <v>7612</v>
      </c>
      <c r="O1235" s="337">
        <v>1</v>
      </c>
      <c r="P1235" s="337">
        <v>1</v>
      </c>
      <c r="Q1235" s="338"/>
      <c r="R1235" s="338" t="s">
        <v>7255</v>
      </c>
      <c r="S1235" s="338"/>
      <c r="T1235" s="338"/>
      <c r="U1235" s="338" t="s">
        <v>7663</v>
      </c>
      <c r="V1235" s="337">
        <v>1</v>
      </c>
      <c r="W1235" s="337">
        <v>1</v>
      </c>
      <c r="X1235" s="338"/>
      <c r="Y1235" s="338" t="s">
        <v>7192</v>
      </c>
      <c r="Z1235" s="338" t="s">
        <v>9072</v>
      </c>
      <c r="AA1235" s="338" t="s">
        <v>6079</v>
      </c>
      <c r="AB1235" s="338"/>
      <c r="AC1235" s="338" t="s">
        <v>7898</v>
      </c>
      <c r="AD1235" s="338"/>
      <c r="AF1235" s="502" t="str">
        <f>Table15[[#This Row],[code2]]</f>
        <v>BSA</v>
      </c>
      <c r="AG1235" s="502" t="str">
        <f>Table15[[#This Row],[code5]]</f>
        <v>ABNTD</v>
      </c>
    </row>
    <row r="1236" spans="1:33">
      <c r="A1236" s="338" t="s">
        <v>6072</v>
      </c>
      <c r="B1236" s="338" t="s">
        <v>6073</v>
      </c>
      <c r="C1236" s="337">
        <v>1</v>
      </c>
      <c r="D1236" s="338" t="s">
        <v>7609</v>
      </c>
      <c r="E1236" s="338" t="s">
        <v>7610</v>
      </c>
      <c r="F1236" s="337">
        <v>1</v>
      </c>
      <c r="G1236" s="337">
        <v>1</v>
      </c>
      <c r="H1236" s="338"/>
      <c r="I1236" s="338" t="s">
        <v>9059</v>
      </c>
      <c r="J1236" s="338" t="s">
        <v>9060</v>
      </c>
      <c r="K1236" s="338"/>
      <c r="L1236" s="338"/>
      <c r="M1236" s="338" t="s">
        <v>7611</v>
      </c>
      <c r="N1236" s="338" t="s">
        <v>7612</v>
      </c>
      <c r="O1236" s="337">
        <v>1</v>
      </c>
      <c r="P1236" s="337">
        <v>1</v>
      </c>
      <c r="Q1236" s="338"/>
      <c r="R1236" s="338" t="s">
        <v>7255</v>
      </c>
      <c r="S1236" s="338"/>
      <c r="T1236" s="338"/>
      <c r="U1236" s="338" t="s">
        <v>7664</v>
      </c>
      <c r="V1236" s="337">
        <v>1</v>
      </c>
      <c r="W1236" s="337">
        <v>1</v>
      </c>
      <c r="X1236" s="338"/>
      <c r="Y1236" s="338" t="s">
        <v>7185</v>
      </c>
      <c r="Z1236" s="338" t="s">
        <v>9078</v>
      </c>
      <c r="AA1236" s="338" t="s">
        <v>6079</v>
      </c>
      <c r="AB1236" s="338"/>
      <c r="AC1236" s="338" t="s">
        <v>7899</v>
      </c>
      <c r="AD1236" s="338"/>
      <c r="AF1236" s="502" t="str">
        <f>Table15[[#This Row],[code2]]</f>
        <v>BSA</v>
      </c>
      <c r="AG1236" s="502" t="str">
        <f>Table15[[#This Row],[code5]]</f>
        <v>ABNTD</v>
      </c>
    </row>
    <row r="1237" spans="1:33">
      <c r="A1237" s="338" t="s">
        <v>6072</v>
      </c>
      <c r="B1237" s="338" t="s">
        <v>6073</v>
      </c>
      <c r="C1237" s="337">
        <v>1</v>
      </c>
      <c r="D1237" s="338" t="s">
        <v>7609</v>
      </c>
      <c r="E1237" s="338" t="s">
        <v>7610</v>
      </c>
      <c r="F1237" s="337">
        <v>1</v>
      </c>
      <c r="G1237" s="337">
        <v>1</v>
      </c>
      <c r="H1237" s="338"/>
      <c r="I1237" s="338" t="s">
        <v>9059</v>
      </c>
      <c r="J1237" s="338" t="s">
        <v>9060</v>
      </c>
      <c r="K1237" s="338"/>
      <c r="L1237" s="338"/>
      <c r="M1237" s="338" t="s">
        <v>7611</v>
      </c>
      <c r="N1237" s="338" t="s">
        <v>7612</v>
      </c>
      <c r="O1237" s="337">
        <v>1</v>
      </c>
      <c r="P1237" s="337">
        <v>1</v>
      </c>
      <c r="Q1237" s="338"/>
      <c r="R1237" s="338" t="s">
        <v>7255</v>
      </c>
      <c r="S1237" s="338"/>
      <c r="T1237" s="338"/>
      <c r="U1237" s="338" t="s">
        <v>7665</v>
      </c>
      <c r="V1237" s="337">
        <v>1</v>
      </c>
      <c r="W1237" s="337">
        <v>1</v>
      </c>
      <c r="X1237" s="338"/>
      <c r="Y1237" s="338" t="s">
        <v>7187</v>
      </c>
      <c r="Z1237" s="338" t="s">
        <v>9078</v>
      </c>
      <c r="AA1237" s="338" t="s">
        <v>6079</v>
      </c>
      <c r="AB1237" s="338"/>
      <c r="AC1237" s="338" t="s">
        <v>7899</v>
      </c>
      <c r="AD1237" s="338"/>
      <c r="AF1237" s="502" t="str">
        <f>Table15[[#This Row],[code2]]</f>
        <v>BSA</v>
      </c>
      <c r="AG1237" s="502" t="str">
        <f>Table15[[#This Row],[code5]]</f>
        <v>ABNTD</v>
      </c>
    </row>
    <row r="1238" spans="1:33">
      <c r="A1238" s="338" t="s">
        <v>6072</v>
      </c>
      <c r="B1238" s="338" t="s">
        <v>6073</v>
      </c>
      <c r="C1238" s="337">
        <v>1</v>
      </c>
      <c r="D1238" s="338" t="s">
        <v>7609</v>
      </c>
      <c r="E1238" s="338" t="s">
        <v>7610</v>
      </c>
      <c r="F1238" s="337">
        <v>1</v>
      </c>
      <c r="G1238" s="337">
        <v>1</v>
      </c>
      <c r="H1238" s="338"/>
      <c r="I1238" s="338" t="s">
        <v>9059</v>
      </c>
      <c r="J1238" s="338" t="s">
        <v>9060</v>
      </c>
      <c r="K1238" s="338"/>
      <c r="L1238" s="338"/>
      <c r="M1238" s="338" t="s">
        <v>7611</v>
      </c>
      <c r="N1238" s="338" t="s">
        <v>7612</v>
      </c>
      <c r="O1238" s="337">
        <v>1</v>
      </c>
      <c r="P1238" s="337">
        <v>1</v>
      </c>
      <c r="Q1238" s="338"/>
      <c r="R1238" s="338" t="s">
        <v>7255</v>
      </c>
      <c r="S1238" s="338"/>
      <c r="T1238" s="338"/>
      <c r="U1238" s="338" t="s">
        <v>7666</v>
      </c>
      <c r="V1238" s="337">
        <v>1</v>
      </c>
      <c r="W1238" s="337">
        <v>1</v>
      </c>
      <c r="X1238" s="338"/>
      <c r="Y1238" s="338" t="s">
        <v>7190</v>
      </c>
      <c r="Z1238" s="338" t="s">
        <v>9079</v>
      </c>
      <c r="AA1238" s="338" t="s">
        <v>6079</v>
      </c>
      <c r="AB1238" s="338"/>
      <c r="AC1238" s="338" t="s">
        <v>7899</v>
      </c>
      <c r="AD1238" s="338"/>
      <c r="AF1238" s="502" t="str">
        <f>Table15[[#This Row],[code2]]</f>
        <v>BSA</v>
      </c>
      <c r="AG1238" s="502" t="str">
        <f>Table15[[#This Row],[code5]]</f>
        <v>ABNTD</v>
      </c>
    </row>
    <row r="1239" spans="1:33">
      <c r="A1239" s="338" t="s">
        <v>6072</v>
      </c>
      <c r="B1239" s="338" t="s">
        <v>6073</v>
      </c>
      <c r="C1239" s="337">
        <v>1</v>
      </c>
      <c r="D1239" s="338" t="s">
        <v>7609</v>
      </c>
      <c r="E1239" s="338" t="s">
        <v>7610</v>
      </c>
      <c r="F1239" s="337">
        <v>1</v>
      </c>
      <c r="G1239" s="337">
        <v>1</v>
      </c>
      <c r="H1239" s="338"/>
      <c r="I1239" s="338" t="s">
        <v>9059</v>
      </c>
      <c r="J1239" s="338" t="s">
        <v>9060</v>
      </c>
      <c r="K1239" s="338"/>
      <c r="L1239" s="338"/>
      <c r="M1239" s="338" t="s">
        <v>7611</v>
      </c>
      <c r="N1239" s="338" t="s">
        <v>7612</v>
      </c>
      <c r="O1239" s="337">
        <v>1</v>
      </c>
      <c r="P1239" s="337">
        <v>1</v>
      </c>
      <c r="Q1239" s="338"/>
      <c r="R1239" s="338" t="s">
        <v>7255</v>
      </c>
      <c r="S1239" s="338"/>
      <c r="T1239" s="338"/>
      <c r="U1239" s="338" t="s">
        <v>7667</v>
      </c>
      <c r="V1239" s="337">
        <v>1</v>
      </c>
      <c r="W1239" s="337">
        <v>1</v>
      </c>
      <c r="X1239" s="338"/>
      <c r="Y1239" s="338" t="s">
        <v>7192</v>
      </c>
      <c r="Z1239" s="338" t="s">
        <v>9080</v>
      </c>
      <c r="AA1239" s="338" t="s">
        <v>6079</v>
      </c>
      <c r="AB1239" s="338"/>
      <c r="AC1239" s="338" t="s">
        <v>7899</v>
      </c>
      <c r="AD1239" s="338"/>
      <c r="AF1239" s="502" t="str">
        <f>Table15[[#This Row],[code2]]</f>
        <v>BSA</v>
      </c>
      <c r="AG1239" s="502" t="str">
        <f>Table15[[#This Row],[code5]]</f>
        <v>ABNTD</v>
      </c>
    </row>
    <row r="1240" spans="1:33">
      <c r="A1240" s="338" t="s">
        <v>6072</v>
      </c>
      <c r="B1240" s="338" t="s">
        <v>6073</v>
      </c>
      <c r="C1240" s="337">
        <v>1</v>
      </c>
      <c r="D1240" s="338" t="s">
        <v>7609</v>
      </c>
      <c r="E1240" s="338" t="s">
        <v>7610</v>
      </c>
      <c r="F1240" s="337">
        <v>1</v>
      </c>
      <c r="G1240" s="337">
        <v>1</v>
      </c>
      <c r="H1240" s="338"/>
      <c r="I1240" s="338" t="s">
        <v>9059</v>
      </c>
      <c r="J1240" s="338" t="s">
        <v>9060</v>
      </c>
      <c r="K1240" s="338"/>
      <c r="L1240" s="338"/>
      <c r="M1240" s="338" t="s">
        <v>7611</v>
      </c>
      <c r="N1240" s="338" t="s">
        <v>7612</v>
      </c>
      <c r="O1240" s="337">
        <v>1</v>
      </c>
      <c r="P1240" s="337">
        <v>1</v>
      </c>
      <c r="Q1240" s="338"/>
      <c r="R1240" s="338" t="s">
        <v>7255</v>
      </c>
      <c r="S1240" s="338"/>
      <c r="T1240" s="338"/>
      <c r="U1240" s="338" t="s">
        <v>7668</v>
      </c>
      <c r="V1240" s="337">
        <v>1</v>
      </c>
      <c r="W1240" s="337">
        <v>1</v>
      </c>
      <c r="X1240" s="338"/>
      <c r="Y1240" s="338" t="s">
        <v>7185</v>
      </c>
      <c r="Z1240" s="338" t="s">
        <v>9078</v>
      </c>
      <c r="AA1240" s="338" t="s">
        <v>6079</v>
      </c>
      <c r="AB1240" s="338"/>
      <c r="AC1240" s="338" t="s">
        <v>7900</v>
      </c>
      <c r="AD1240" s="338"/>
      <c r="AF1240" s="502" t="str">
        <f>Table15[[#This Row],[code2]]</f>
        <v>BSA</v>
      </c>
      <c r="AG1240" s="502" t="str">
        <f>Table15[[#This Row],[code5]]</f>
        <v>ABNTD</v>
      </c>
    </row>
    <row r="1241" spans="1:33">
      <c r="A1241" s="338" t="s">
        <v>6072</v>
      </c>
      <c r="B1241" s="338" t="s">
        <v>6073</v>
      </c>
      <c r="C1241" s="337">
        <v>1</v>
      </c>
      <c r="D1241" s="338" t="s">
        <v>7609</v>
      </c>
      <c r="E1241" s="338" t="s">
        <v>7610</v>
      </c>
      <c r="F1241" s="337">
        <v>1</v>
      </c>
      <c r="G1241" s="337">
        <v>1</v>
      </c>
      <c r="H1241" s="338"/>
      <c r="I1241" s="338" t="s">
        <v>9059</v>
      </c>
      <c r="J1241" s="338" t="s">
        <v>9060</v>
      </c>
      <c r="K1241" s="338"/>
      <c r="L1241" s="338"/>
      <c r="M1241" s="338" t="s">
        <v>7611</v>
      </c>
      <c r="N1241" s="338" t="s">
        <v>7612</v>
      </c>
      <c r="O1241" s="337">
        <v>1</v>
      </c>
      <c r="P1241" s="337">
        <v>1</v>
      </c>
      <c r="Q1241" s="338"/>
      <c r="R1241" s="338" t="s">
        <v>7255</v>
      </c>
      <c r="S1241" s="338"/>
      <c r="T1241" s="338"/>
      <c r="U1241" s="338" t="s">
        <v>7669</v>
      </c>
      <c r="V1241" s="337">
        <v>1</v>
      </c>
      <c r="W1241" s="337">
        <v>1</v>
      </c>
      <c r="X1241" s="338"/>
      <c r="Y1241" s="338" t="s">
        <v>7187</v>
      </c>
      <c r="Z1241" s="338" t="s">
        <v>9078</v>
      </c>
      <c r="AA1241" s="338" t="s">
        <v>6079</v>
      </c>
      <c r="AB1241" s="338"/>
      <c r="AC1241" s="338" t="s">
        <v>7900</v>
      </c>
      <c r="AD1241" s="338"/>
      <c r="AF1241" s="502" t="str">
        <f>Table15[[#This Row],[code2]]</f>
        <v>BSA</v>
      </c>
      <c r="AG1241" s="502" t="str">
        <f>Table15[[#This Row],[code5]]</f>
        <v>ABNTD</v>
      </c>
    </row>
    <row r="1242" spans="1:33">
      <c r="A1242" s="338" t="s">
        <v>6072</v>
      </c>
      <c r="B1242" s="338" t="s">
        <v>6073</v>
      </c>
      <c r="C1242" s="337">
        <v>1</v>
      </c>
      <c r="D1242" s="338" t="s">
        <v>7609</v>
      </c>
      <c r="E1242" s="338" t="s">
        <v>7610</v>
      </c>
      <c r="F1242" s="337">
        <v>1</v>
      </c>
      <c r="G1242" s="337">
        <v>1</v>
      </c>
      <c r="H1242" s="338"/>
      <c r="I1242" s="338" t="s">
        <v>9059</v>
      </c>
      <c r="J1242" s="338" t="s">
        <v>9060</v>
      </c>
      <c r="K1242" s="338"/>
      <c r="L1242" s="338"/>
      <c r="M1242" s="338" t="s">
        <v>7611</v>
      </c>
      <c r="N1242" s="338" t="s">
        <v>7612</v>
      </c>
      <c r="O1242" s="337">
        <v>1</v>
      </c>
      <c r="P1242" s="337">
        <v>1</v>
      </c>
      <c r="Q1242" s="338"/>
      <c r="R1242" s="338" t="s">
        <v>7255</v>
      </c>
      <c r="S1242" s="338"/>
      <c r="T1242" s="338"/>
      <c r="U1242" s="338" t="s">
        <v>7670</v>
      </c>
      <c r="V1242" s="337">
        <v>1</v>
      </c>
      <c r="W1242" s="337">
        <v>1</v>
      </c>
      <c r="X1242" s="338"/>
      <c r="Y1242" s="338" t="s">
        <v>7190</v>
      </c>
      <c r="Z1242" s="338" t="s">
        <v>9079</v>
      </c>
      <c r="AA1242" s="338" t="s">
        <v>6079</v>
      </c>
      <c r="AB1242" s="338"/>
      <c r="AC1242" s="338" t="s">
        <v>7900</v>
      </c>
      <c r="AD1242" s="338"/>
      <c r="AF1242" s="502" t="str">
        <f>Table15[[#This Row],[code2]]</f>
        <v>BSA</v>
      </c>
      <c r="AG1242" s="502" t="str">
        <f>Table15[[#This Row],[code5]]</f>
        <v>ABNTD</v>
      </c>
    </row>
    <row r="1243" spans="1:33">
      <c r="A1243" s="338" t="s">
        <v>6072</v>
      </c>
      <c r="B1243" s="338" t="s">
        <v>6073</v>
      </c>
      <c r="C1243" s="337">
        <v>1</v>
      </c>
      <c r="D1243" s="338" t="s">
        <v>7609</v>
      </c>
      <c r="E1243" s="338" t="s">
        <v>7610</v>
      </c>
      <c r="F1243" s="337">
        <v>1</v>
      </c>
      <c r="G1243" s="337">
        <v>1</v>
      </c>
      <c r="H1243" s="338"/>
      <c r="I1243" s="338" t="s">
        <v>9059</v>
      </c>
      <c r="J1243" s="338" t="s">
        <v>9060</v>
      </c>
      <c r="K1243" s="338"/>
      <c r="L1243" s="338"/>
      <c r="M1243" s="338" t="s">
        <v>7611</v>
      </c>
      <c r="N1243" s="338" t="s">
        <v>7612</v>
      </c>
      <c r="O1243" s="337">
        <v>1</v>
      </c>
      <c r="P1243" s="337">
        <v>1</v>
      </c>
      <c r="Q1243" s="338"/>
      <c r="R1243" s="338" t="s">
        <v>7255</v>
      </c>
      <c r="S1243" s="338"/>
      <c r="T1243" s="338"/>
      <c r="U1243" s="338" t="s">
        <v>7671</v>
      </c>
      <c r="V1243" s="337">
        <v>1</v>
      </c>
      <c r="W1243" s="337">
        <v>1</v>
      </c>
      <c r="X1243" s="338"/>
      <c r="Y1243" s="338" t="s">
        <v>7192</v>
      </c>
      <c r="Z1243" s="338" t="s">
        <v>9080</v>
      </c>
      <c r="AA1243" s="338" t="s">
        <v>6079</v>
      </c>
      <c r="AB1243" s="338"/>
      <c r="AC1243" s="338" t="s">
        <v>7900</v>
      </c>
      <c r="AD1243" s="338"/>
      <c r="AF1243" s="502" t="str">
        <f>Table15[[#This Row],[code2]]</f>
        <v>BSA</v>
      </c>
      <c r="AG1243" s="502" t="str">
        <f>Table15[[#This Row],[code5]]</f>
        <v>ABNTD</v>
      </c>
    </row>
    <row r="1244" spans="1:33">
      <c r="A1244" s="338" t="s">
        <v>6072</v>
      </c>
      <c r="B1244" s="338" t="s">
        <v>6073</v>
      </c>
      <c r="C1244" s="337">
        <v>1</v>
      </c>
      <c r="D1244" s="338" t="s">
        <v>7609</v>
      </c>
      <c r="E1244" s="338" t="s">
        <v>7610</v>
      </c>
      <c r="F1244" s="337">
        <v>1</v>
      </c>
      <c r="G1244" s="337">
        <v>1</v>
      </c>
      <c r="H1244" s="338"/>
      <c r="I1244" s="338" t="s">
        <v>9059</v>
      </c>
      <c r="J1244" s="338" t="s">
        <v>9060</v>
      </c>
      <c r="K1244" s="338"/>
      <c r="L1244" s="338"/>
      <c r="M1244" s="338" t="s">
        <v>7611</v>
      </c>
      <c r="N1244" s="338" t="s">
        <v>7612</v>
      </c>
      <c r="O1244" s="337">
        <v>1</v>
      </c>
      <c r="P1244" s="337">
        <v>1</v>
      </c>
      <c r="Q1244" s="338"/>
      <c r="R1244" s="338" t="s">
        <v>7255</v>
      </c>
      <c r="S1244" s="338"/>
      <c r="T1244" s="338"/>
      <c r="U1244" s="338" t="s">
        <v>7672</v>
      </c>
      <c r="V1244" s="337">
        <v>0</v>
      </c>
      <c r="W1244" s="337">
        <v>0</v>
      </c>
      <c r="X1244" s="338"/>
      <c r="Y1244" s="338" t="s">
        <v>7185</v>
      </c>
      <c r="Z1244" s="338" t="s">
        <v>9078</v>
      </c>
      <c r="AA1244" s="338" t="s">
        <v>6079</v>
      </c>
      <c r="AB1244" s="338"/>
      <c r="AC1244" s="338" t="s">
        <v>7939</v>
      </c>
      <c r="AD1244" s="338"/>
      <c r="AF1244" s="502" t="str">
        <f>Table15[[#This Row],[code2]]</f>
        <v>BSA</v>
      </c>
      <c r="AG1244" s="502" t="str">
        <f>Table15[[#This Row],[code5]]</f>
        <v>ABNTD</v>
      </c>
    </row>
    <row r="1245" spans="1:33">
      <c r="A1245" s="338" t="s">
        <v>6072</v>
      </c>
      <c r="B1245" s="338" t="s">
        <v>6073</v>
      </c>
      <c r="C1245" s="337">
        <v>1</v>
      </c>
      <c r="D1245" s="338" t="s">
        <v>7609</v>
      </c>
      <c r="E1245" s="338" t="s">
        <v>7610</v>
      </c>
      <c r="F1245" s="337">
        <v>1</v>
      </c>
      <c r="G1245" s="337">
        <v>1</v>
      </c>
      <c r="H1245" s="338"/>
      <c r="I1245" s="338" t="s">
        <v>9059</v>
      </c>
      <c r="J1245" s="338" t="s">
        <v>9060</v>
      </c>
      <c r="K1245" s="338"/>
      <c r="L1245" s="338"/>
      <c r="M1245" s="338" t="s">
        <v>7611</v>
      </c>
      <c r="N1245" s="338" t="s">
        <v>7612</v>
      </c>
      <c r="O1245" s="337">
        <v>1</v>
      </c>
      <c r="P1245" s="337">
        <v>1</v>
      </c>
      <c r="Q1245" s="338"/>
      <c r="R1245" s="338" t="s">
        <v>7255</v>
      </c>
      <c r="S1245" s="338"/>
      <c r="T1245" s="338"/>
      <c r="U1245" s="338" t="s">
        <v>7673</v>
      </c>
      <c r="V1245" s="337">
        <v>0</v>
      </c>
      <c r="W1245" s="337">
        <v>0</v>
      </c>
      <c r="X1245" s="338"/>
      <c r="Y1245" s="338" t="s">
        <v>7187</v>
      </c>
      <c r="Z1245" s="338" t="s">
        <v>9078</v>
      </c>
      <c r="AA1245" s="338" t="s">
        <v>6079</v>
      </c>
      <c r="AB1245" s="338"/>
      <c r="AC1245" s="338" t="s">
        <v>7939</v>
      </c>
      <c r="AD1245" s="338"/>
      <c r="AF1245" s="502" t="str">
        <f>Table15[[#This Row],[code2]]</f>
        <v>BSA</v>
      </c>
      <c r="AG1245" s="502" t="str">
        <f>Table15[[#This Row],[code5]]</f>
        <v>ABNTD</v>
      </c>
    </row>
    <row r="1246" spans="1:33">
      <c r="A1246" s="338" t="s">
        <v>6072</v>
      </c>
      <c r="B1246" s="338" t="s">
        <v>6073</v>
      </c>
      <c r="C1246" s="337">
        <v>1</v>
      </c>
      <c r="D1246" s="338" t="s">
        <v>7609</v>
      </c>
      <c r="E1246" s="338" t="s">
        <v>7610</v>
      </c>
      <c r="F1246" s="337">
        <v>1</v>
      </c>
      <c r="G1246" s="337">
        <v>1</v>
      </c>
      <c r="H1246" s="338"/>
      <c r="I1246" s="338" t="s">
        <v>9059</v>
      </c>
      <c r="J1246" s="338" t="s">
        <v>9060</v>
      </c>
      <c r="K1246" s="338"/>
      <c r="L1246" s="338"/>
      <c r="M1246" s="338" t="s">
        <v>7611</v>
      </c>
      <c r="N1246" s="338" t="s">
        <v>7612</v>
      </c>
      <c r="O1246" s="337">
        <v>1</v>
      </c>
      <c r="P1246" s="337">
        <v>1</v>
      </c>
      <c r="Q1246" s="338"/>
      <c r="R1246" s="338" t="s">
        <v>7255</v>
      </c>
      <c r="S1246" s="338"/>
      <c r="T1246" s="338"/>
      <c r="U1246" s="338" t="s">
        <v>7674</v>
      </c>
      <c r="V1246" s="337">
        <v>0</v>
      </c>
      <c r="W1246" s="337">
        <v>0</v>
      </c>
      <c r="X1246" s="338"/>
      <c r="Y1246" s="338" t="s">
        <v>7190</v>
      </c>
      <c r="Z1246" s="338" t="s">
        <v>9079</v>
      </c>
      <c r="AA1246" s="338" t="s">
        <v>6079</v>
      </c>
      <c r="AB1246" s="338"/>
      <c r="AC1246" s="338" t="s">
        <v>7939</v>
      </c>
      <c r="AD1246" s="338"/>
      <c r="AF1246" s="502" t="str">
        <f>Table15[[#This Row],[code2]]</f>
        <v>BSA</v>
      </c>
      <c r="AG1246" s="502" t="str">
        <f>Table15[[#This Row],[code5]]</f>
        <v>ABNTD</v>
      </c>
    </row>
    <row r="1247" spans="1:33">
      <c r="A1247" s="338" t="s">
        <v>6072</v>
      </c>
      <c r="B1247" s="338" t="s">
        <v>6073</v>
      </c>
      <c r="C1247" s="337">
        <v>1</v>
      </c>
      <c r="D1247" s="338" t="s">
        <v>7609</v>
      </c>
      <c r="E1247" s="338" t="s">
        <v>7610</v>
      </c>
      <c r="F1247" s="337">
        <v>1</v>
      </c>
      <c r="G1247" s="337">
        <v>1</v>
      </c>
      <c r="H1247" s="338"/>
      <c r="I1247" s="338" t="s">
        <v>9059</v>
      </c>
      <c r="J1247" s="338" t="s">
        <v>9060</v>
      </c>
      <c r="K1247" s="338"/>
      <c r="L1247" s="338"/>
      <c r="M1247" s="338" t="s">
        <v>7611</v>
      </c>
      <c r="N1247" s="338" t="s">
        <v>7612</v>
      </c>
      <c r="O1247" s="337">
        <v>1</v>
      </c>
      <c r="P1247" s="337">
        <v>1</v>
      </c>
      <c r="Q1247" s="338"/>
      <c r="R1247" s="338" t="s">
        <v>7255</v>
      </c>
      <c r="S1247" s="338"/>
      <c r="T1247" s="338"/>
      <c r="U1247" s="338" t="s">
        <v>7675</v>
      </c>
      <c r="V1247" s="337">
        <v>0</v>
      </c>
      <c r="W1247" s="337">
        <v>0</v>
      </c>
      <c r="X1247" s="338"/>
      <c r="Y1247" s="338" t="s">
        <v>7192</v>
      </c>
      <c r="Z1247" s="338" t="s">
        <v>9080</v>
      </c>
      <c r="AA1247" s="338" t="s">
        <v>6079</v>
      </c>
      <c r="AB1247" s="338"/>
      <c r="AC1247" s="338" t="s">
        <v>7939</v>
      </c>
      <c r="AD1247" s="338"/>
      <c r="AF1247" s="502" t="str">
        <f>Table15[[#This Row],[code2]]</f>
        <v>BSA</v>
      </c>
      <c r="AG1247" s="502" t="str">
        <f>Table15[[#This Row],[code5]]</f>
        <v>ABNTD</v>
      </c>
    </row>
    <row r="1248" spans="1:33">
      <c r="A1248" s="338" t="s">
        <v>6072</v>
      </c>
      <c r="B1248" s="338" t="s">
        <v>6073</v>
      </c>
      <c r="C1248" s="337">
        <v>1</v>
      </c>
      <c r="D1248" s="338" t="s">
        <v>7676</v>
      </c>
      <c r="E1248" s="338" t="s">
        <v>7677</v>
      </c>
      <c r="F1248" s="337">
        <v>1</v>
      </c>
      <c r="G1248" s="337">
        <v>1</v>
      </c>
      <c r="H1248" s="338"/>
      <c r="I1248" s="338" t="s">
        <v>9126</v>
      </c>
      <c r="J1248" s="338" t="s">
        <v>9131</v>
      </c>
      <c r="K1248" s="338" t="s">
        <v>7678</v>
      </c>
      <c r="L1248" s="338"/>
      <c r="M1248" s="338" t="s">
        <v>7679</v>
      </c>
      <c r="N1248" s="338" t="s">
        <v>9134</v>
      </c>
      <c r="O1248" s="337">
        <v>1</v>
      </c>
      <c r="P1248" s="337">
        <v>1</v>
      </c>
      <c r="Q1248" s="338"/>
      <c r="R1248" s="338" t="s">
        <v>14</v>
      </c>
      <c r="S1248" s="338"/>
      <c r="T1248" s="338" t="s">
        <v>9058</v>
      </c>
      <c r="U1248" s="338" t="s">
        <v>7680</v>
      </c>
      <c r="V1248" s="337">
        <v>1</v>
      </c>
      <c r="W1248" s="337">
        <v>1</v>
      </c>
      <c r="X1248" s="338"/>
      <c r="Y1248" s="338" t="s">
        <v>6318</v>
      </c>
      <c r="Z1248" s="338" t="s">
        <v>9176</v>
      </c>
      <c r="AA1248" s="338" t="s">
        <v>6079</v>
      </c>
      <c r="AB1248" s="338"/>
      <c r="AC1248" s="338" t="s">
        <v>7681</v>
      </c>
      <c r="AD1248" s="338"/>
      <c r="AF1248" s="502" t="str">
        <f>Table15[[#This Row],[code2]]</f>
        <v>BFDA</v>
      </c>
      <c r="AG1248" s="502" t="str">
        <f>Table15[[#This Row],[code5]]</f>
        <v>FMDC</v>
      </c>
    </row>
    <row r="1249" spans="1:33">
      <c r="A1249" s="338" t="s">
        <v>6072</v>
      </c>
      <c r="B1249" s="338" t="s">
        <v>6073</v>
      </c>
      <c r="C1249" s="337">
        <v>1</v>
      </c>
      <c r="D1249" s="338" t="s">
        <v>7676</v>
      </c>
      <c r="E1249" s="338" t="s">
        <v>7677</v>
      </c>
      <c r="F1249" s="337">
        <v>1</v>
      </c>
      <c r="G1249" s="337">
        <v>1</v>
      </c>
      <c r="H1249" s="338"/>
      <c r="I1249" s="338" t="s">
        <v>9126</v>
      </c>
      <c r="J1249" s="338" t="s">
        <v>9131</v>
      </c>
      <c r="K1249" s="338" t="s">
        <v>7678</v>
      </c>
      <c r="L1249" s="338"/>
      <c r="M1249" s="338" t="s">
        <v>7679</v>
      </c>
      <c r="N1249" s="338" t="s">
        <v>9134</v>
      </c>
      <c r="O1249" s="337">
        <v>1</v>
      </c>
      <c r="P1249" s="337">
        <v>1</v>
      </c>
      <c r="Q1249" s="338"/>
      <c r="R1249" s="338" t="s">
        <v>14</v>
      </c>
      <c r="S1249" s="338"/>
      <c r="T1249" s="338" t="s">
        <v>9058</v>
      </c>
      <c r="U1249" s="338" t="s">
        <v>7682</v>
      </c>
      <c r="V1249" s="337">
        <v>1</v>
      </c>
      <c r="W1249" s="337">
        <v>1</v>
      </c>
      <c r="X1249" s="338"/>
      <c r="Y1249" s="338" t="s">
        <v>6318</v>
      </c>
      <c r="Z1249" s="338" t="s">
        <v>9176</v>
      </c>
      <c r="AA1249" s="338" t="s">
        <v>6079</v>
      </c>
      <c r="AB1249" s="338"/>
      <c r="AC1249" s="338" t="s">
        <v>7683</v>
      </c>
      <c r="AD1249" s="338"/>
      <c r="AF1249" s="502" t="str">
        <f>Table15[[#This Row],[code2]]</f>
        <v>BFDA</v>
      </c>
      <c r="AG1249" s="502" t="str">
        <f>Table15[[#This Row],[code5]]</f>
        <v>FMDC</v>
      </c>
    </row>
    <row r="1250" spans="1:33">
      <c r="A1250" s="338" t="s">
        <v>6072</v>
      </c>
      <c r="B1250" s="338" t="s">
        <v>6073</v>
      </c>
      <c r="C1250" s="337">
        <v>1</v>
      </c>
      <c r="D1250" s="338" t="s">
        <v>7676</v>
      </c>
      <c r="E1250" s="338" t="s">
        <v>7677</v>
      </c>
      <c r="F1250" s="337">
        <v>1</v>
      </c>
      <c r="G1250" s="337">
        <v>1</v>
      </c>
      <c r="H1250" s="338"/>
      <c r="I1250" s="338" t="s">
        <v>9126</v>
      </c>
      <c r="J1250" s="338" t="s">
        <v>9131</v>
      </c>
      <c r="K1250" s="338" t="s">
        <v>7678</v>
      </c>
      <c r="L1250" s="338"/>
      <c r="M1250" s="338" t="s">
        <v>7679</v>
      </c>
      <c r="N1250" s="338" t="s">
        <v>9134</v>
      </c>
      <c r="O1250" s="337">
        <v>1</v>
      </c>
      <c r="P1250" s="337">
        <v>1</v>
      </c>
      <c r="Q1250" s="338"/>
      <c r="R1250" s="338" t="s">
        <v>14</v>
      </c>
      <c r="S1250" s="338"/>
      <c r="T1250" s="338" t="s">
        <v>9058</v>
      </c>
      <c r="U1250" s="338" t="s">
        <v>7684</v>
      </c>
      <c r="V1250" s="337">
        <v>1</v>
      </c>
      <c r="W1250" s="337">
        <v>1</v>
      </c>
      <c r="X1250" s="338"/>
      <c r="Y1250" s="338" t="s">
        <v>6318</v>
      </c>
      <c r="Z1250" s="338" t="s">
        <v>9176</v>
      </c>
      <c r="AA1250" s="338" t="s">
        <v>6079</v>
      </c>
      <c r="AB1250" s="338"/>
      <c r="AC1250" s="338" t="s">
        <v>7027</v>
      </c>
      <c r="AD1250" s="338"/>
      <c r="AF1250" s="502" t="str">
        <f>Table15[[#This Row],[code2]]</f>
        <v>BFDA</v>
      </c>
      <c r="AG1250" s="502" t="str">
        <f>Table15[[#This Row],[code5]]</f>
        <v>FMDC</v>
      </c>
    </row>
    <row r="1251" spans="1:33">
      <c r="A1251" s="338" t="s">
        <v>6072</v>
      </c>
      <c r="B1251" s="338" t="s">
        <v>6073</v>
      </c>
      <c r="C1251" s="337">
        <v>1</v>
      </c>
      <c r="D1251" s="338" t="s">
        <v>7676</v>
      </c>
      <c r="E1251" s="338" t="s">
        <v>7677</v>
      </c>
      <c r="F1251" s="337">
        <v>1</v>
      </c>
      <c r="G1251" s="337">
        <v>1</v>
      </c>
      <c r="H1251" s="338"/>
      <c r="I1251" s="338" t="s">
        <v>9126</v>
      </c>
      <c r="J1251" s="338" t="s">
        <v>9131</v>
      </c>
      <c r="K1251" s="338" t="s">
        <v>7678</v>
      </c>
      <c r="L1251" s="338"/>
      <c r="M1251" s="338" t="s">
        <v>7679</v>
      </c>
      <c r="N1251" s="338" t="s">
        <v>9134</v>
      </c>
      <c r="O1251" s="337">
        <v>1</v>
      </c>
      <c r="P1251" s="337">
        <v>1</v>
      </c>
      <c r="Q1251" s="338"/>
      <c r="R1251" s="338" t="s">
        <v>14</v>
      </c>
      <c r="S1251" s="338"/>
      <c r="T1251" s="338" t="s">
        <v>9058</v>
      </c>
      <c r="U1251" s="338" t="s">
        <v>7685</v>
      </c>
      <c r="V1251" s="337">
        <v>1</v>
      </c>
      <c r="W1251" s="337">
        <v>1</v>
      </c>
      <c r="X1251" s="338"/>
      <c r="Y1251" s="338" t="s">
        <v>6318</v>
      </c>
      <c r="Z1251" s="338" t="s">
        <v>9176</v>
      </c>
      <c r="AA1251" s="338" t="s">
        <v>6079</v>
      </c>
      <c r="AB1251" s="338"/>
      <c r="AC1251" s="338" t="s">
        <v>7686</v>
      </c>
      <c r="AD1251" s="338"/>
      <c r="AF1251" s="502" t="str">
        <f>Table15[[#This Row],[code2]]</f>
        <v>BFDA</v>
      </c>
      <c r="AG1251" s="502" t="str">
        <f>Table15[[#This Row],[code5]]</f>
        <v>FMDC</v>
      </c>
    </row>
    <row r="1252" spans="1:33">
      <c r="A1252" s="338" t="s">
        <v>6072</v>
      </c>
      <c r="B1252" s="338" t="s">
        <v>6073</v>
      </c>
      <c r="C1252" s="337">
        <v>1</v>
      </c>
      <c r="D1252" s="338" t="s">
        <v>7676</v>
      </c>
      <c r="E1252" s="338" t="s">
        <v>7677</v>
      </c>
      <c r="F1252" s="337">
        <v>1</v>
      </c>
      <c r="G1252" s="337">
        <v>1</v>
      </c>
      <c r="H1252" s="338"/>
      <c r="I1252" s="338" t="s">
        <v>9126</v>
      </c>
      <c r="J1252" s="338" t="s">
        <v>9131</v>
      </c>
      <c r="K1252" s="338" t="s">
        <v>7678</v>
      </c>
      <c r="L1252" s="338"/>
      <c r="M1252" s="338" t="s">
        <v>7679</v>
      </c>
      <c r="N1252" s="338" t="s">
        <v>9134</v>
      </c>
      <c r="O1252" s="337">
        <v>1</v>
      </c>
      <c r="P1252" s="337">
        <v>1</v>
      </c>
      <c r="Q1252" s="338"/>
      <c r="R1252" s="338" t="s">
        <v>14</v>
      </c>
      <c r="S1252" s="338"/>
      <c r="T1252" s="338" t="s">
        <v>9058</v>
      </c>
      <c r="U1252" s="338" t="s">
        <v>7687</v>
      </c>
      <c r="V1252" s="337">
        <v>1</v>
      </c>
      <c r="W1252" s="337">
        <v>1</v>
      </c>
      <c r="X1252" s="338"/>
      <c r="Y1252" s="338" t="s">
        <v>6318</v>
      </c>
      <c r="Z1252" s="338" t="s">
        <v>9176</v>
      </c>
      <c r="AA1252" s="338" t="s">
        <v>6079</v>
      </c>
      <c r="AB1252" s="338"/>
      <c r="AC1252" s="338" t="s">
        <v>7688</v>
      </c>
      <c r="AD1252" s="338"/>
      <c r="AF1252" s="502" t="str">
        <f>Table15[[#This Row],[code2]]</f>
        <v>BFDA</v>
      </c>
      <c r="AG1252" s="502" t="str">
        <f>Table15[[#This Row],[code5]]</f>
        <v>FMDC</v>
      </c>
    </row>
    <row r="1253" spans="1:33">
      <c r="A1253" s="338" t="s">
        <v>6072</v>
      </c>
      <c r="B1253" s="338" t="s">
        <v>6073</v>
      </c>
      <c r="C1253" s="337">
        <v>1</v>
      </c>
      <c r="D1253" s="338" t="s">
        <v>7676</v>
      </c>
      <c r="E1253" s="338" t="s">
        <v>7677</v>
      </c>
      <c r="F1253" s="337">
        <v>1</v>
      </c>
      <c r="G1253" s="337">
        <v>1</v>
      </c>
      <c r="H1253" s="338"/>
      <c r="I1253" s="338" t="s">
        <v>9126</v>
      </c>
      <c r="J1253" s="338" t="s">
        <v>9131</v>
      </c>
      <c r="K1253" s="338" t="s">
        <v>7678</v>
      </c>
      <c r="L1253" s="338"/>
      <c r="M1253" s="338" t="s">
        <v>7679</v>
      </c>
      <c r="N1253" s="338" t="s">
        <v>9134</v>
      </c>
      <c r="O1253" s="337">
        <v>1</v>
      </c>
      <c r="P1253" s="337">
        <v>1</v>
      </c>
      <c r="Q1253" s="338"/>
      <c r="R1253" s="338" t="s">
        <v>14</v>
      </c>
      <c r="S1253" s="338"/>
      <c r="T1253" s="338" t="s">
        <v>9058</v>
      </c>
      <c r="U1253" s="338" t="s">
        <v>7689</v>
      </c>
      <c r="V1253" s="337">
        <v>1</v>
      </c>
      <c r="W1253" s="337">
        <v>1</v>
      </c>
      <c r="X1253" s="338"/>
      <c r="Y1253" s="338" t="s">
        <v>6318</v>
      </c>
      <c r="Z1253" s="338" t="s">
        <v>9176</v>
      </c>
      <c r="AA1253" s="338" t="s">
        <v>6079</v>
      </c>
      <c r="AB1253" s="338"/>
      <c r="AC1253" s="338" t="s">
        <v>7690</v>
      </c>
      <c r="AD1253" s="338"/>
      <c r="AF1253" s="502" t="str">
        <f>Table15[[#This Row],[code2]]</f>
        <v>BFDA</v>
      </c>
      <c r="AG1253" s="502" t="str">
        <f>Table15[[#This Row],[code5]]</f>
        <v>FMDC</v>
      </c>
    </row>
    <row r="1254" spans="1:33">
      <c r="A1254" s="338" t="s">
        <v>6072</v>
      </c>
      <c r="B1254" s="338" t="s">
        <v>6073</v>
      </c>
      <c r="C1254" s="337">
        <v>1</v>
      </c>
      <c r="D1254" s="338" t="s">
        <v>7676</v>
      </c>
      <c r="E1254" s="338" t="s">
        <v>7677</v>
      </c>
      <c r="F1254" s="337">
        <v>1</v>
      </c>
      <c r="G1254" s="337">
        <v>1</v>
      </c>
      <c r="H1254" s="338"/>
      <c r="I1254" s="338" t="s">
        <v>9126</v>
      </c>
      <c r="J1254" s="338" t="s">
        <v>9131</v>
      </c>
      <c r="K1254" s="338" t="s">
        <v>7678</v>
      </c>
      <c r="L1254" s="338"/>
      <c r="M1254" s="338" t="s">
        <v>7691</v>
      </c>
      <c r="N1254" s="338" t="s">
        <v>7692</v>
      </c>
      <c r="O1254" s="337">
        <v>1</v>
      </c>
      <c r="P1254" s="337">
        <v>1</v>
      </c>
      <c r="Q1254" s="338"/>
      <c r="R1254" s="338" t="s">
        <v>14</v>
      </c>
      <c r="S1254" s="338" t="s">
        <v>6088</v>
      </c>
      <c r="T1254" s="338" t="s">
        <v>9058</v>
      </c>
      <c r="U1254" s="338" t="s">
        <v>7693</v>
      </c>
      <c r="V1254" s="337">
        <v>1</v>
      </c>
      <c r="W1254" s="337">
        <v>1</v>
      </c>
      <c r="X1254" s="338"/>
      <c r="Y1254" s="338"/>
      <c r="Z1254" s="338" t="s">
        <v>8622</v>
      </c>
      <c r="AA1254" s="338" t="s">
        <v>6079</v>
      </c>
      <c r="AB1254" s="338"/>
      <c r="AC1254" s="338" t="s">
        <v>7681</v>
      </c>
      <c r="AD1254" s="338" t="s">
        <v>7694</v>
      </c>
      <c r="AF1254" s="502" t="str">
        <f>Table15[[#This Row],[code2]]</f>
        <v>BFDA</v>
      </c>
      <c r="AG1254" s="502" t="str">
        <f>Table15[[#This Row],[code5]]</f>
        <v>FMDT</v>
      </c>
    </row>
    <row r="1255" spans="1:33">
      <c r="A1255" s="338" t="s">
        <v>6072</v>
      </c>
      <c r="B1255" s="338" t="s">
        <v>6073</v>
      </c>
      <c r="C1255" s="337">
        <v>1</v>
      </c>
      <c r="D1255" s="338" t="s">
        <v>7676</v>
      </c>
      <c r="E1255" s="338" t="s">
        <v>7677</v>
      </c>
      <c r="F1255" s="337">
        <v>1</v>
      </c>
      <c r="G1255" s="337">
        <v>1</v>
      </c>
      <c r="H1255" s="338"/>
      <c r="I1255" s="338" t="s">
        <v>9126</v>
      </c>
      <c r="J1255" s="338" t="s">
        <v>9131</v>
      </c>
      <c r="K1255" s="338" t="s">
        <v>7678</v>
      </c>
      <c r="L1255" s="338"/>
      <c r="M1255" s="338" t="s">
        <v>7691</v>
      </c>
      <c r="N1255" s="338" t="s">
        <v>7692</v>
      </c>
      <c r="O1255" s="337">
        <v>1</v>
      </c>
      <c r="P1255" s="337">
        <v>1</v>
      </c>
      <c r="Q1255" s="338"/>
      <c r="R1255" s="338" t="s">
        <v>14</v>
      </c>
      <c r="S1255" s="338" t="s">
        <v>6088</v>
      </c>
      <c r="T1255" s="338" t="s">
        <v>9058</v>
      </c>
      <c r="U1255" s="338" t="s">
        <v>7695</v>
      </c>
      <c r="V1255" s="337">
        <v>1</v>
      </c>
      <c r="W1255" s="337">
        <v>1</v>
      </c>
      <c r="X1255" s="338"/>
      <c r="Y1255" s="338"/>
      <c r="Z1255" s="338" t="s">
        <v>9071</v>
      </c>
      <c r="AA1255" s="338" t="s">
        <v>6079</v>
      </c>
      <c r="AB1255" s="338"/>
      <c r="AC1255" s="338" t="s">
        <v>7681</v>
      </c>
      <c r="AD1255" s="338" t="s">
        <v>7696</v>
      </c>
      <c r="AF1255" s="502" t="str">
        <f>Table15[[#This Row],[code2]]</f>
        <v>BFDA</v>
      </c>
      <c r="AG1255" s="502" t="str">
        <f>Table15[[#This Row],[code5]]</f>
        <v>FMDT</v>
      </c>
    </row>
    <row r="1256" spans="1:33">
      <c r="A1256" s="338" t="s">
        <v>6072</v>
      </c>
      <c r="B1256" s="338" t="s">
        <v>6073</v>
      </c>
      <c r="C1256" s="337">
        <v>1</v>
      </c>
      <c r="D1256" s="338" t="s">
        <v>7676</v>
      </c>
      <c r="E1256" s="338" t="s">
        <v>7677</v>
      </c>
      <c r="F1256" s="337">
        <v>1</v>
      </c>
      <c r="G1256" s="337">
        <v>1</v>
      </c>
      <c r="H1256" s="338"/>
      <c r="I1256" s="338" t="s">
        <v>9126</v>
      </c>
      <c r="J1256" s="338" t="s">
        <v>9131</v>
      </c>
      <c r="K1256" s="338" t="s">
        <v>7678</v>
      </c>
      <c r="L1256" s="338"/>
      <c r="M1256" s="338" t="s">
        <v>7691</v>
      </c>
      <c r="N1256" s="338" t="s">
        <v>7692</v>
      </c>
      <c r="O1256" s="337">
        <v>1</v>
      </c>
      <c r="P1256" s="337">
        <v>1</v>
      </c>
      <c r="Q1256" s="338"/>
      <c r="R1256" s="338" t="s">
        <v>14</v>
      </c>
      <c r="S1256" s="338" t="s">
        <v>6088</v>
      </c>
      <c r="T1256" s="338" t="s">
        <v>9058</v>
      </c>
      <c r="U1256" s="338" t="s">
        <v>7697</v>
      </c>
      <c r="V1256" s="337">
        <v>1</v>
      </c>
      <c r="W1256" s="337">
        <v>1</v>
      </c>
      <c r="X1256" s="338"/>
      <c r="Y1256" s="338"/>
      <c r="Z1256" s="338" t="s">
        <v>8261</v>
      </c>
      <c r="AA1256" s="338" t="s">
        <v>6079</v>
      </c>
      <c r="AB1256" s="338"/>
      <c r="AC1256" s="338" t="s">
        <v>7681</v>
      </c>
      <c r="AD1256" s="338" t="s">
        <v>7698</v>
      </c>
      <c r="AF1256" s="502" t="str">
        <f>Table15[[#This Row],[code2]]</f>
        <v>BFDA</v>
      </c>
      <c r="AG1256" s="502" t="str">
        <f>Table15[[#This Row],[code5]]</f>
        <v>FMDT</v>
      </c>
    </row>
    <row r="1257" spans="1:33">
      <c r="A1257" s="338" t="s">
        <v>6072</v>
      </c>
      <c r="B1257" s="338" t="s">
        <v>6073</v>
      </c>
      <c r="C1257" s="337">
        <v>1</v>
      </c>
      <c r="D1257" s="338" t="s">
        <v>7676</v>
      </c>
      <c r="E1257" s="338" t="s">
        <v>7677</v>
      </c>
      <c r="F1257" s="337">
        <v>1</v>
      </c>
      <c r="G1257" s="337">
        <v>1</v>
      </c>
      <c r="H1257" s="338"/>
      <c r="I1257" s="338" t="s">
        <v>9126</v>
      </c>
      <c r="J1257" s="338" t="s">
        <v>9131</v>
      </c>
      <c r="K1257" s="338" t="s">
        <v>7678</v>
      </c>
      <c r="L1257" s="338"/>
      <c r="M1257" s="338" t="s">
        <v>7691</v>
      </c>
      <c r="N1257" s="338" t="s">
        <v>7692</v>
      </c>
      <c r="O1257" s="337">
        <v>1</v>
      </c>
      <c r="P1257" s="337">
        <v>1</v>
      </c>
      <c r="Q1257" s="338"/>
      <c r="R1257" s="338" t="s">
        <v>14</v>
      </c>
      <c r="S1257" s="338" t="s">
        <v>6088</v>
      </c>
      <c r="T1257" s="338" t="s">
        <v>9058</v>
      </c>
      <c r="U1257" s="338" t="s">
        <v>7699</v>
      </c>
      <c r="V1257" s="337">
        <v>1</v>
      </c>
      <c r="W1257" s="337">
        <v>1</v>
      </c>
      <c r="X1257" s="338"/>
      <c r="Y1257" s="338"/>
      <c r="Z1257" s="338" t="s">
        <v>8624</v>
      </c>
      <c r="AA1257" s="338" t="s">
        <v>6079</v>
      </c>
      <c r="AB1257" s="338"/>
      <c r="AC1257" s="338" t="s">
        <v>7681</v>
      </c>
      <c r="AD1257" s="338" t="s">
        <v>7700</v>
      </c>
      <c r="AF1257" s="502" t="str">
        <f>Table15[[#This Row],[code2]]</f>
        <v>BFDA</v>
      </c>
      <c r="AG1257" s="502" t="str">
        <f>Table15[[#This Row],[code5]]</f>
        <v>FMDT</v>
      </c>
    </row>
    <row r="1258" spans="1:33">
      <c r="A1258" s="338" t="s">
        <v>6072</v>
      </c>
      <c r="B1258" s="338" t="s">
        <v>6073</v>
      </c>
      <c r="C1258" s="337">
        <v>1</v>
      </c>
      <c r="D1258" s="338" t="s">
        <v>7676</v>
      </c>
      <c r="E1258" s="338" t="s">
        <v>7677</v>
      </c>
      <c r="F1258" s="337">
        <v>1</v>
      </c>
      <c r="G1258" s="337">
        <v>1</v>
      </c>
      <c r="H1258" s="338"/>
      <c r="I1258" s="338" t="s">
        <v>9126</v>
      </c>
      <c r="J1258" s="338" t="s">
        <v>9131</v>
      </c>
      <c r="K1258" s="338" t="s">
        <v>7678</v>
      </c>
      <c r="L1258" s="338"/>
      <c r="M1258" s="338" t="s">
        <v>7691</v>
      </c>
      <c r="N1258" s="338" t="s">
        <v>7692</v>
      </c>
      <c r="O1258" s="337">
        <v>1</v>
      </c>
      <c r="P1258" s="337">
        <v>1</v>
      </c>
      <c r="Q1258" s="338"/>
      <c r="R1258" s="338" t="s">
        <v>14</v>
      </c>
      <c r="S1258" s="338" t="s">
        <v>6088</v>
      </c>
      <c r="T1258" s="338" t="s">
        <v>9058</v>
      </c>
      <c r="U1258" s="338" t="s">
        <v>7701</v>
      </c>
      <c r="V1258" s="337">
        <v>1</v>
      </c>
      <c r="W1258" s="337">
        <v>1</v>
      </c>
      <c r="X1258" s="338"/>
      <c r="Y1258" s="338"/>
      <c r="Z1258" s="338" t="s">
        <v>8624</v>
      </c>
      <c r="AA1258" s="338" t="s">
        <v>6079</v>
      </c>
      <c r="AB1258" s="338"/>
      <c r="AC1258" s="338" t="s">
        <v>7681</v>
      </c>
      <c r="AD1258" s="338" t="s">
        <v>7702</v>
      </c>
      <c r="AF1258" s="502" t="str">
        <f>Table15[[#This Row],[code2]]</f>
        <v>BFDA</v>
      </c>
      <c r="AG1258" s="502" t="str">
        <f>Table15[[#This Row],[code5]]</f>
        <v>FMDT</v>
      </c>
    </row>
    <row r="1259" spans="1:33">
      <c r="A1259" s="338" t="s">
        <v>6072</v>
      </c>
      <c r="B1259" s="338" t="s">
        <v>6073</v>
      </c>
      <c r="C1259" s="337">
        <v>1</v>
      </c>
      <c r="D1259" s="338" t="s">
        <v>7676</v>
      </c>
      <c r="E1259" s="338" t="s">
        <v>7677</v>
      </c>
      <c r="F1259" s="337">
        <v>1</v>
      </c>
      <c r="G1259" s="337">
        <v>1</v>
      </c>
      <c r="H1259" s="338"/>
      <c r="I1259" s="338" t="s">
        <v>9126</v>
      </c>
      <c r="J1259" s="338" t="s">
        <v>9131</v>
      </c>
      <c r="K1259" s="338" t="s">
        <v>7678</v>
      </c>
      <c r="L1259" s="338"/>
      <c r="M1259" s="338" t="s">
        <v>7691</v>
      </c>
      <c r="N1259" s="338" t="s">
        <v>7692</v>
      </c>
      <c r="O1259" s="337">
        <v>1</v>
      </c>
      <c r="P1259" s="337">
        <v>1</v>
      </c>
      <c r="Q1259" s="338"/>
      <c r="R1259" s="338" t="s">
        <v>14</v>
      </c>
      <c r="S1259" s="338" t="s">
        <v>6088</v>
      </c>
      <c r="T1259" s="338" t="s">
        <v>9058</v>
      </c>
      <c r="U1259" s="338" t="s">
        <v>7703</v>
      </c>
      <c r="V1259" s="337">
        <v>1</v>
      </c>
      <c r="W1259" s="337">
        <v>1</v>
      </c>
      <c r="X1259" s="338"/>
      <c r="Y1259" s="338"/>
      <c r="Z1259" s="338" t="s">
        <v>8622</v>
      </c>
      <c r="AA1259" s="338" t="s">
        <v>6079</v>
      </c>
      <c r="AB1259" s="338"/>
      <c r="AC1259" s="338" t="s">
        <v>7683</v>
      </c>
      <c r="AD1259" s="338" t="s">
        <v>7694</v>
      </c>
      <c r="AF1259" s="502" t="str">
        <f>Table15[[#This Row],[code2]]</f>
        <v>BFDA</v>
      </c>
      <c r="AG1259" s="502" t="str">
        <f>Table15[[#This Row],[code5]]</f>
        <v>FMDT</v>
      </c>
    </row>
    <row r="1260" spans="1:33">
      <c r="A1260" s="338" t="s">
        <v>6072</v>
      </c>
      <c r="B1260" s="338" t="s">
        <v>6073</v>
      </c>
      <c r="C1260" s="337">
        <v>1</v>
      </c>
      <c r="D1260" s="338" t="s">
        <v>7676</v>
      </c>
      <c r="E1260" s="338" t="s">
        <v>7677</v>
      </c>
      <c r="F1260" s="337">
        <v>1</v>
      </c>
      <c r="G1260" s="337">
        <v>1</v>
      </c>
      <c r="H1260" s="338"/>
      <c r="I1260" s="338" t="s">
        <v>9126</v>
      </c>
      <c r="J1260" s="338" t="s">
        <v>9131</v>
      </c>
      <c r="K1260" s="338" t="s">
        <v>7678</v>
      </c>
      <c r="L1260" s="338"/>
      <c r="M1260" s="338" t="s">
        <v>7691</v>
      </c>
      <c r="N1260" s="338" t="s">
        <v>7692</v>
      </c>
      <c r="O1260" s="337">
        <v>1</v>
      </c>
      <c r="P1260" s="337">
        <v>1</v>
      </c>
      <c r="Q1260" s="338"/>
      <c r="R1260" s="338" t="s">
        <v>14</v>
      </c>
      <c r="S1260" s="338" t="s">
        <v>6088</v>
      </c>
      <c r="T1260" s="338" t="s">
        <v>9058</v>
      </c>
      <c r="U1260" s="338" t="s">
        <v>7704</v>
      </c>
      <c r="V1260" s="337">
        <v>1</v>
      </c>
      <c r="W1260" s="337">
        <v>1</v>
      </c>
      <c r="X1260" s="338"/>
      <c r="Y1260" s="338"/>
      <c r="Z1260" s="338" t="s">
        <v>9071</v>
      </c>
      <c r="AA1260" s="338" t="s">
        <v>6079</v>
      </c>
      <c r="AB1260" s="338"/>
      <c r="AC1260" s="338" t="s">
        <v>7683</v>
      </c>
      <c r="AD1260" s="338" t="s">
        <v>7696</v>
      </c>
      <c r="AF1260" s="502" t="str">
        <f>Table15[[#This Row],[code2]]</f>
        <v>BFDA</v>
      </c>
      <c r="AG1260" s="502" t="str">
        <f>Table15[[#This Row],[code5]]</f>
        <v>FMDT</v>
      </c>
    </row>
    <row r="1261" spans="1:33">
      <c r="A1261" s="338" t="s">
        <v>6072</v>
      </c>
      <c r="B1261" s="338" t="s">
        <v>6073</v>
      </c>
      <c r="C1261" s="337">
        <v>1</v>
      </c>
      <c r="D1261" s="338" t="s">
        <v>7676</v>
      </c>
      <c r="E1261" s="338" t="s">
        <v>7677</v>
      </c>
      <c r="F1261" s="337">
        <v>1</v>
      </c>
      <c r="G1261" s="337">
        <v>1</v>
      </c>
      <c r="H1261" s="338"/>
      <c r="I1261" s="338" t="s">
        <v>9126</v>
      </c>
      <c r="J1261" s="338" t="s">
        <v>9131</v>
      </c>
      <c r="K1261" s="338" t="s">
        <v>7678</v>
      </c>
      <c r="L1261" s="338"/>
      <c r="M1261" s="338" t="s">
        <v>7691</v>
      </c>
      <c r="N1261" s="338" t="s">
        <v>7692</v>
      </c>
      <c r="O1261" s="337">
        <v>1</v>
      </c>
      <c r="P1261" s="337">
        <v>1</v>
      </c>
      <c r="Q1261" s="338"/>
      <c r="R1261" s="338" t="s">
        <v>14</v>
      </c>
      <c r="S1261" s="338" t="s">
        <v>6088</v>
      </c>
      <c r="T1261" s="338" t="s">
        <v>9058</v>
      </c>
      <c r="U1261" s="338" t="s">
        <v>7705</v>
      </c>
      <c r="V1261" s="337">
        <v>1</v>
      </c>
      <c r="W1261" s="337">
        <v>1</v>
      </c>
      <c r="X1261" s="338"/>
      <c r="Y1261" s="338"/>
      <c r="Z1261" s="338" t="s">
        <v>8261</v>
      </c>
      <c r="AA1261" s="338" t="s">
        <v>6079</v>
      </c>
      <c r="AB1261" s="338"/>
      <c r="AC1261" s="338" t="s">
        <v>7683</v>
      </c>
      <c r="AD1261" s="338" t="s">
        <v>7698</v>
      </c>
      <c r="AF1261" s="502" t="str">
        <f>Table15[[#This Row],[code2]]</f>
        <v>BFDA</v>
      </c>
      <c r="AG1261" s="502" t="str">
        <f>Table15[[#This Row],[code5]]</f>
        <v>FMDT</v>
      </c>
    </row>
    <row r="1262" spans="1:33">
      <c r="A1262" s="338" t="s">
        <v>6072</v>
      </c>
      <c r="B1262" s="338" t="s">
        <v>6073</v>
      </c>
      <c r="C1262" s="337">
        <v>1</v>
      </c>
      <c r="D1262" s="338" t="s">
        <v>7676</v>
      </c>
      <c r="E1262" s="338" t="s">
        <v>7677</v>
      </c>
      <c r="F1262" s="337">
        <v>1</v>
      </c>
      <c r="G1262" s="337">
        <v>1</v>
      </c>
      <c r="H1262" s="338"/>
      <c r="I1262" s="338" t="s">
        <v>9126</v>
      </c>
      <c r="J1262" s="338" t="s">
        <v>9131</v>
      </c>
      <c r="K1262" s="338" t="s">
        <v>7678</v>
      </c>
      <c r="L1262" s="338"/>
      <c r="M1262" s="338" t="s">
        <v>7691</v>
      </c>
      <c r="N1262" s="338" t="s">
        <v>7692</v>
      </c>
      <c r="O1262" s="337">
        <v>1</v>
      </c>
      <c r="P1262" s="337">
        <v>1</v>
      </c>
      <c r="Q1262" s="338"/>
      <c r="R1262" s="338" t="s">
        <v>14</v>
      </c>
      <c r="S1262" s="338" t="s">
        <v>6088</v>
      </c>
      <c r="T1262" s="338" t="s">
        <v>9058</v>
      </c>
      <c r="U1262" s="338" t="s">
        <v>7706</v>
      </c>
      <c r="V1262" s="337">
        <v>1</v>
      </c>
      <c r="W1262" s="337">
        <v>1</v>
      </c>
      <c r="X1262" s="338"/>
      <c r="Y1262" s="338"/>
      <c r="Z1262" s="338" t="s">
        <v>8624</v>
      </c>
      <c r="AA1262" s="338" t="s">
        <v>6079</v>
      </c>
      <c r="AB1262" s="338"/>
      <c r="AC1262" s="338" t="s">
        <v>7683</v>
      </c>
      <c r="AD1262" s="338" t="s">
        <v>7700</v>
      </c>
      <c r="AF1262" s="502" t="str">
        <f>Table15[[#This Row],[code2]]</f>
        <v>BFDA</v>
      </c>
      <c r="AG1262" s="502" t="str">
        <f>Table15[[#This Row],[code5]]</f>
        <v>FMDT</v>
      </c>
    </row>
    <row r="1263" spans="1:33">
      <c r="A1263" s="338" t="s">
        <v>6072</v>
      </c>
      <c r="B1263" s="338" t="s">
        <v>6073</v>
      </c>
      <c r="C1263" s="337">
        <v>1</v>
      </c>
      <c r="D1263" s="338" t="s">
        <v>7676</v>
      </c>
      <c r="E1263" s="338" t="s">
        <v>7677</v>
      </c>
      <c r="F1263" s="337">
        <v>1</v>
      </c>
      <c r="G1263" s="337">
        <v>1</v>
      </c>
      <c r="H1263" s="338"/>
      <c r="I1263" s="338" t="s">
        <v>9126</v>
      </c>
      <c r="J1263" s="338" t="s">
        <v>9131</v>
      </c>
      <c r="K1263" s="338" t="s">
        <v>7678</v>
      </c>
      <c r="L1263" s="338"/>
      <c r="M1263" s="338" t="s">
        <v>7691</v>
      </c>
      <c r="N1263" s="338" t="s">
        <v>7692</v>
      </c>
      <c r="O1263" s="337">
        <v>1</v>
      </c>
      <c r="P1263" s="337">
        <v>1</v>
      </c>
      <c r="Q1263" s="338"/>
      <c r="R1263" s="338" t="s">
        <v>14</v>
      </c>
      <c r="S1263" s="338" t="s">
        <v>6088</v>
      </c>
      <c r="T1263" s="338" t="s">
        <v>9058</v>
      </c>
      <c r="U1263" s="338" t="s">
        <v>7707</v>
      </c>
      <c r="V1263" s="337">
        <v>1</v>
      </c>
      <c r="W1263" s="337">
        <v>1</v>
      </c>
      <c r="X1263" s="338"/>
      <c r="Y1263" s="338"/>
      <c r="Z1263" s="338" t="s">
        <v>8624</v>
      </c>
      <c r="AA1263" s="338" t="s">
        <v>6079</v>
      </c>
      <c r="AB1263" s="338"/>
      <c r="AC1263" s="338" t="s">
        <v>7683</v>
      </c>
      <c r="AD1263" s="338" t="s">
        <v>7702</v>
      </c>
      <c r="AF1263" s="502" t="str">
        <f>Table15[[#This Row],[code2]]</f>
        <v>BFDA</v>
      </c>
      <c r="AG1263" s="502" t="str">
        <f>Table15[[#This Row],[code5]]</f>
        <v>FMDT</v>
      </c>
    </row>
    <row r="1264" spans="1:33">
      <c r="A1264" s="338" t="s">
        <v>6072</v>
      </c>
      <c r="B1264" s="338" t="s">
        <v>6073</v>
      </c>
      <c r="C1264" s="337">
        <v>1</v>
      </c>
      <c r="D1264" s="338" t="s">
        <v>7676</v>
      </c>
      <c r="E1264" s="338" t="s">
        <v>7677</v>
      </c>
      <c r="F1264" s="337">
        <v>1</v>
      </c>
      <c r="G1264" s="337">
        <v>1</v>
      </c>
      <c r="H1264" s="338"/>
      <c r="I1264" s="338" t="s">
        <v>9126</v>
      </c>
      <c r="J1264" s="338" t="s">
        <v>9131</v>
      </c>
      <c r="K1264" s="338" t="s">
        <v>7678</v>
      </c>
      <c r="L1264" s="338"/>
      <c r="M1264" s="338" t="s">
        <v>7691</v>
      </c>
      <c r="N1264" s="338" t="s">
        <v>7692</v>
      </c>
      <c r="O1264" s="337">
        <v>1</v>
      </c>
      <c r="P1264" s="337">
        <v>1</v>
      </c>
      <c r="Q1264" s="338"/>
      <c r="R1264" s="338" t="s">
        <v>14</v>
      </c>
      <c r="S1264" s="338" t="s">
        <v>6088</v>
      </c>
      <c r="T1264" s="338" t="s">
        <v>9058</v>
      </c>
      <c r="U1264" s="338" t="s">
        <v>7708</v>
      </c>
      <c r="V1264" s="337">
        <v>1</v>
      </c>
      <c r="W1264" s="337">
        <v>1</v>
      </c>
      <c r="X1264" s="338"/>
      <c r="Y1264" s="338"/>
      <c r="Z1264" s="338" t="s">
        <v>8622</v>
      </c>
      <c r="AA1264" s="338" t="s">
        <v>6079</v>
      </c>
      <c r="AB1264" s="338"/>
      <c r="AC1264" s="338" t="s">
        <v>7027</v>
      </c>
      <c r="AD1264" s="338" t="s">
        <v>7694</v>
      </c>
      <c r="AF1264" s="502" t="str">
        <f>Table15[[#This Row],[code2]]</f>
        <v>BFDA</v>
      </c>
      <c r="AG1264" s="502" t="str">
        <f>Table15[[#This Row],[code5]]</f>
        <v>FMDT</v>
      </c>
    </row>
    <row r="1265" spans="1:33">
      <c r="A1265" s="338" t="s">
        <v>6072</v>
      </c>
      <c r="B1265" s="338" t="s">
        <v>6073</v>
      </c>
      <c r="C1265" s="337">
        <v>1</v>
      </c>
      <c r="D1265" s="338" t="s">
        <v>7676</v>
      </c>
      <c r="E1265" s="338" t="s">
        <v>7677</v>
      </c>
      <c r="F1265" s="337">
        <v>1</v>
      </c>
      <c r="G1265" s="337">
        <v>1</v>
      </c>
      <c r="H1265" s="338"/>
      <c r="I1265" s="338" t="s">
        <v>9126</v>
      </c>
      <c r="J1265" s="338" t="s">
        <v>9131</v>
      </c>
      <c r="K1265" s="338" t="s">
        <v>7678</v>
      </c>
      <c r="L1265" s="338"/>
      <c r="M1265" s="338" t="s">
        <v>7691</v>
      </c>
      <c r="N1265" s="338" t="s">
        <v>7692</v>
      </c>
      <c r="O1265" s="337">
        <v>1</v>
      </c>
      <c r="P1265" s="337">
        <v>1</v>
      </c>
      <c r="Q1265" s="338"/>
      <c r="R1265" s="338" t="s">
        <v>14</v>
      </c>
      <c r="S1265" s="338" t="s">
        <v>6088</v>
      </c>
      <c r="T1265" s="338" t="s">
        <v>9058</v>
      </c>
      <c r="U1265" s="338" t="s">
        <v>7709</v>
      </c>
      <c r="V1265" s="337">
        <v>1</v>
      </c>
      <c r="W1265" s="337">
        <v>1</v>
      </c>
      <c r="X1265" s="338"/>
      <c r="Y1265" s="338"/>
      <c r="Z1265" s="338" t="s">
        <v>9071</v>
      </c>
      <c r="AA1265" s="338" t="s">
        <v>6079</v>
      </c>
      <c r="AB1265" s="338"/>
      <c r="AC1265" s="338" t="s">
        <v>7027</v>
      </c>
      <c r="AD1265" s="338" t="s">
        <v>7696</v>
      </c>
      <c r="AF1265" s="502" t="str">
        <f>Table15[[#This Row],[code2]]</f>
        <v>BFDA</v>
      </c>
      <c r="AG1265" s="502" t="str">
        <f>Table15[[#This Row],[code5]]</f>
        <v>FMDT</v>
      </c>
    </row>
    <row r="1266" spans="1:33">
      <c r="A1266" s="338" t="s">
        <v>6072</v>
      </c>
      <c r="B1266" s="338" t="s">
        <v>6073</v>
      </c>
      <c r="C1266" s="337">
        <v>1</v>
      </c>
      <c r="D1266" s="338" t="s">
        <v>7676</v>
      </c>
      <c r="E1266" s="338" t="s">
        <v>7677</v>
      </c>
      <c r="F1266" s="337">
        <v>1</v>
      </c>
      <c r="G1266" s="337">
        <v>1</v>
      </c>
      <c r="H1266" s="338"/>
      <c r="I1266" s="338" t="s">
        <v>9126</v>
      </c>
      <c r="J1266" s="338" t="s">
        <v>9131</v>
      </c>
      <c r="K1266" s="338" t="s">
        <v>7678</v>
      </c>
      <c r="L1266" s="338"/>
      <c r="M1266" s="338" t="s">
        <v>7691</v>
      </c>
      <c r="N1266" s="338" t="s">
        <v>7692</v>
      </c>
      <c r="O1266" s="337">
        <v>1</v>
      </c>
      <c r="P1266" s="337">
        <v>1</v>
      </c>
      <c r="Q1266" s="338"/>
      <c r="R1266" s="338" t="s">
        <v>14</v>
      </c>
      <c r="S1266" s="338" t="s">
        <v>6088</v>
      </c>
      <c r="T1266" s="338" t="s">
        <v>9058</v>
      </c>
      <c r="U1266" s="338" t="s">
        <v>7710</v>
      </c>
      <c r="V1266" s="337">
        <v>1</v>
      </c>
      <c r="W1266" s="337">
        <v>1</v>
      </c>
      <c r="X1266" s="338"/>
      <c r="Y1266" s="338"/>
      <c r="Z1266" s="338" t="s">
        <v>8261</v>
      </c>
      <c r="AA1266" s="338" t="s">
        <v>6079</v>
      </c>
      <c r="AB1266" s="338"/>
      <c r="AC1266" s="338" t="s">
        <v>7027</v>
      </c>
      <c r="AD1266" s="338" t="s">
        <v>7698</v>
      </c>
      <c r="AF1266" s="502" t="str">
        <f>Table15[[#This Row],[code2]]</f>
        <v>BFDA</v>
      </c>
      <c r="AG1266" s="502" t="str">
        <f>Table15[[#This Row],[code5]]</f>
        <v>FMDT</v>
      </c>
    </row>
    <row r="1267" spans="1:33">
      <c r="A1267" s="338" t="s">
        <v>6072</v>
      </c>
      <c r="B1267" s="338" t="s">
        <v>6073</v>
      </c>
      <c r="C1267" s="337">
        <v>1</v>
      </c>
      <c r="D1267" s="338" t="s">
        <v>7676</v>
      </c>
      <c r="E1267" s="338" t="s">
        <v>7677</v>
      </c>
      <c r="F1267" s="337">
        <v>1</v>
      </c>
      <c r="G1267" s="337">
        <v>1</v>
      </c>
      <c r="H1267" s="338"/>
      <c r="I1267" s="338" t="s">
        <v>9126</v>
      </c>
      <c r="J1267" s="338" t="s">
        <v>9131</v>
      </c>
      <c r="K1267" s="338" t="s">
        <v>7678</v>
      </c>
      <c r="L1267" s="338"/>
      <c r="M1267" s="338" t="s">
        <v>7691</v>
      </c>
      <c r="N1267" s="338" t="s">
        <v>7692</v>
      </c>
      <c r="O1267" s="337">
        <v>1</v>
      </c>
      <c r="P1267" s="337">
        <v>1</v>
      </c>
      <c r="Q1267" s="338"/>
      <c r="R1267" s="338" t="s">
        <v>14</v>
      </c>
      <c r="S1267" s="338" t="s">
        <v>6088</v>
      </c>
      <c r="T1267" s="338" t="s">
        <v>9058</v>
      </c>
      <c r="U1267" s="338" t="s">
        <v>7711</v>
      </c>
      <c r="V1267" s="337">
        <v>1</v>
      </c>
      <c r="W1267" s="337">
        <v>1</v>
      </c>
      <c r="X1267" s="338"/>
      <c r="Y1267" s="338"/>
      <c r="Z1267" s="338" t="s">
        <v>8624</v>
      </c>
      <c r="AA1267" s="338" t="s">
        <v>6079</v>
      </c>
      <c r="AB1267" s="338"/>
      <c r="AC1267" s="338" t="s">
        <v>7027</v>
      </c>
      <c r="AD1267" s="338" t="s">
        <v>7700</v>
      </c>
      <c r="AF1267" s="502" t="str">
        <f>Table15[[#This Row],[code2]]</f>
        <v>BFDA</v>
      </c>
      <c r="AG1267" s="502" t="str">
        <f>Table15[[#This Row],[code5]]</f>
        <v>FMDT</v>
      </c>
    </row>
    <row r="1268" spans="1:33">
      <c r="A1268" s="338" t="s">
        <v>6072</v>
      </c>
      <c r="B1268" s="338" t="s">
        <v>6073</v>
      </c>
      <c r="C1268" s="337">
        <v>1</v>
      </c>
      <c r="D1268" s="338" t="s">
        <v>7676</v>
      </c>
      <c r="E1268" s="338" t="s">
        <v>7677</v>
      </c>
      <c r="F1268" s="337">
        <v>1</v>
      </c>
      <c r="G1268" s="337">
        <v>1</v>
      </c>
      <c r="H1268" s="338"/>
      <c r="I1268" s="338" t="s">
        <v>9126</v>
      </c>
      <c r="J1268" s="338" t="s">
        <v>9131</v>
      </c>
      <c r="K1268" s="338" t="s">
        <v>7678</v>
      </c>
      <c r="L1268" s="338"/>
      <c r="M1268" s="338" t="s">
        <v>7691</v>
      </c>
      <c r="N1268" s="338" t="s">
        <v>7692</v>
      </c>
      <c r="O1268" s="337">
        <v>1</v>
      </c>
      <c r="P1268" s="337">
        <v>1</v>
      </c>
      <c r="Q1268" s="338"/>
      <c r="R1268" s="338" t="s">
        <v>14</v>
      </c>
      <c r="S1268" s="338" t="s">
        <v>6088</v>
      </c>
      <c r="T1268" s="338" t="s">
        <v>9058</v>
      </c>
      <c r="U1268" s="338" t="s">
        <v>7712</v>
      </c>
      <c r="V1268" s="337">
        <v>1</v>
      </c>
      <c r="W1268" s="337">
        <v>1</v>
      </c>
      <c r="X1268" s="338"/>
      <c r="Y1268" s="338"/>
      <c r="Z1268" s="338" t="s">
        <v>8624</v>
      </c>
      <c r="AA1268" s="338" t="s">
        <v>6079</v>
      </c>
      <c r="AB1268" s="338"/>
      <c r="AC1268" s="338" t="s">
        <v>7027</v>
      </c>
      <c r="AD1268" s="338" t="s">
        <v>7702</v>
      </c>
      <c r="AF1268" s="502" t="str">
        <f>Table15[[#This Row],[code2]]</f>
        <v>BFDA</v>
      </c>
      <c r="AG1268" s="502" t="str">
        <f>Table15[[#This Row],[code5]]</f>
        <v>FMDT</v>
      </c>
    </row>
    <row r="1269" spans="1:33">
      <c r="A1269" s="338" t="s">
        <v>6072</v>
      </c>
      <c r="B1269" s="338" t="s">
        <v>6073</v>
      </c>
      <c r="C1269" s="337">
        <v>1</v>
      </c>
      <c r="D1269" s="338" t="s">
        <v>7676</v>
      </c>
      <c r="E1269" s="338" t="s">
        <v>7677</v>
      </c>
      <c r="F1269" s="337">
        <v>1</v>
      </c>
      <c r="G1269" s="337">
        <v>1</v>
      </c>
      <c r="H1269" s="338"/>
      <c r="I1269" s="338" t="s">
        <v>9126</v>
      </c>
      <c r="J1269" s="338" t="s">
        <v>9131</v>
      </c>
      <c r="K1269" s="338" t="s">
        <v>7678</v>
      </c>
      <c r="L1269" s="338"/>
      <c r="M1269" s="338" t="s">
        <v>7691</v>
      </c>
      <c r="N1269" s="338" t="s">
        <v>7692</v>
      </c>
      <c r="O1269" s="337">
        <v>1</v>
      </c>
      <c r="P1269" s="337">
        <v>1</v>
      </c>
      <c r="Q1269" s="338"/>
      <c r="R1269" s="338" t="s">
        <v>14</v>
      </c>
      <c r="S1269" s="338" t="s">
        <v>6088</v>
      </c>
      <c r="T1269" s="338" t="s">
        <v>9058</v>
      </c>
      <c r="U1269" s="338" t="s">
        <v>7713</v>
      </c>
      <c r="V1269" s="337">
        <v>1</v>
      </c>
      <c r="W1269" s="337">
        <v>1</v>
      </c>
      <c r="X1269" s="338"/>
      <c r="Y1269" s="338"/>
      <c r="Z1269" s="338" t="s">
        <v>8622</v>
      </c>
      <c r="AA1269" s="338" t="s">
        <v>6079</v>
      </c>
      <c r="AB1269" s="338"/>
      <c r="AC1269" s="338" t="s">
        <v>7714</v>
      </c>
      <c r="AD1269" s="338" t="s">
        <v>7694</v>
      </c>
      <c r="AF1269" s="502" t="str">
        <f>Table15[[#This Row],[code2]]</f>
        <v>BFDA</v>
      </c>
      <c r="AG1269" s="502" t="str">
        <f>Table15[[#This Row],[code5]]</f>
        <v>FMDT</v>
      </c>
    </row>
    <row r="1270" spans="1:33">
      <c r="A1270" s="338" t="s">
        <v>6072</v>
      </c>
      <c r="B1270" s="338" t="s">
        <v>6073</v>
      </c>
      <c r="C1270" s="337">
        <v>1</v>
      </c>
      <c r="D1270" s="338" t="s">
        <v>7676</v>
      </c>
      <c r="E1270" s="338" t="s">
        <v>7677</v>
      </c>
      <c r="F1270" s="337">
        <v>1</v>
      </c>
      <c r="G1270" s="337">
        <v>1</v>
      </c>
      <c r="H1270" s="338"/>
      <c r="I1270" s="338" t="s">
        <v>9126</v>
      </c>
      <c r="J1270" s="338" t="s">
        <v>9131</v>
      </c>
      <c r="K1270" s="338" t="s">
        <v>7678</v>
      </c>
      <c r="L1270" s="338"/>
      <c r="M1270" s="338" t="s">
        <v>7691</v>
      </c>
      <c r="N1270" s="338" t="s">
        <v>7692</v>
      </c>
      <c r="O1270" s="337">
        <v>1</v>
      </c>
      <c r="P1270" s="337">
        <v>1</v>
      </c>
      <c r="Q1270" s="338"/>
      <c r="R1270" s="338" t="s">
        <v>14</v>
      </c>
      <c r="S1270" s="338" t="s">
        <v>6088</v>
      </c>
      <c r="T1270" s="338" t="s">
        <v>9058</v>
      </c>
      <c r="U1270" s="338" t="s">
        <v>7715</v>
      </c>
      <c r="V1270" s="337">
        <v>1</v>
      </c>
      <c r="W1270" s="337">
        <v>1</v>
      </c>
      <c r="X1270" s="338"/>
      <c r="Y1270" s="338"/>
      <c r="Z1270" s="338" t="s">
        <v>9071</v>
      </c>
      <c r="AA1270" s="338" t="s">
        <v>6079</v>
      </c>
      <c r="AB1270" s="338"/>
      <c r="AC1270" s="338" t="s">
        <v>7714</v>
      </c>
      <c r="AD1270" s="338" t="s">
        <v>7696</v>
      </c>
      <c r="AF1270" s="502" t="str">
        <f>Table15[[#This Row],[code2]]</f>
        <v>BFDA</v>
      </c>
      <c r="AG1270" s="502" t="str">
        <f>Table15[[#This Row],[code5]]</f>
        <v>FMDT</v>
      </c>
    </row>
    <row r="1271" spans="1:33">
      <c r="A1271" s="338" t="s">
        <v>6072</v>
      </c>
      <c r="B1271" s="338" t="s">
        <v>6073</v>
      </c>
      <c r="C1271" s="337">
        <v>1</v>
      </c>
      <c r="D1271" s="338" t="s">
        <v>7676</v>
      </c>
      <c r="E1271" s="338" t="s">
        <v>7677</v>
      </c>
      <c r="F1271" s="337">
        <v>1</v>
      </c>
      <c r="G1271" s="337">
        <v>1</v>
      </c>
      <c r="H1271" s="338"/>
      <c r="I1271" s="338" t="s">
        <v>9126</v>
      </c>
      <c r="J1271" s="338" t="s">
        <v>9131</v>
      </c>
      <c r="K1271" s="338" t="s">
        <v>7678</v>
      </c>
      <c r="L1271" s="338"/>
      <c r="M1271" s="338" t="s">
        <v>7691</v>
      </c>
      <c r="N1271" s="338" t="s">
        <v>7692</v>
      </c>
      <c r="O1271" s="337">
        <v>1</v>
      </c>
      <c r="P1271" s="337">
        <v>1</v>
      </c>
      <c r="Q1271" s="338"/>
      <c r="R1271" s="338" t="s">
        <v>14</v>
      </c>
      <c r="S1271" s="338" t="s">
        <v>6088</v>
      </c>
      <c r="T1271" s="338" t="s">
        <v>9058</v>
      </c>
      <c r="U1271" s="338" t="s">
        <v>7716</v>
      </c>
      <c r="V1271" s="337">
        <v>1</v>
      </c>
      <c r="W1271" s="337">
        <v>1</v>
      </c>
      <c r="X1271" s="338"/>
      <c r="Y1271" s="338"/>
      <c r="Z1271" s="338" t="s">
        <v>8261</v>
      </c>
      <c r="AA1271" s="338" t="s">
        <v>6079</v>
      </c>
      <c r="AB1271" s="338"/>
      <c r="AC1271" s="338" t="s">
        <v>7714</v>
      </c>
      <c r="AD1271" s="338" t="s">
        <v>7698</v>
      </c>
      <c r="AF1271" s="502" t="str">
        <f>Table15[[#This Row],[code2]]</f>
        <v>BFDA</v>
      </c>
      <c r="AG1271" s="502" t="str">
        <f>Table15[[#This Row],[code5]]</f>
        <v>FMDT</v>
      </c>
    </row>
    <row r="1272" spans="1:33">
      <c r="A1272" s="338" t="s">
        <v>6072</v>
      </c>
      <c r="B1272" s="338" t="s">
        <v>6073</v>
      </c>
      <c r="C1272" s="337">
        <v>1</v>
      </c>
      <c r="D1272" s="338" t="s">
        <v>7676</v>
      </c>
      <c r="E1272" s="338" t="s">
        <v>7677</v>
      </c>
      <c r="F1272" s="337">
        <v>1</v>
      </c>
      <c r="G1272" s="337">
        <v>1</v>
      </c>
      <c r="H1272" s="338"/>
      <c r="I1272" s="338" t="s">
        <v>9126</v>
      </c>
      <c r="J1272" s="338" t="s">
        <v>9131</v>
      </c>
      <c r="K1272" s="338" t="s">
        <v>7678</v>
      </c>
      <c r="L1272" s="338"/>
      <c r="M1272" s="338" t="s">
        <v>7691</v>
      </c>
      <c r="N1272" s="338" t="s">
        <v>7692</v>
      </c>
      <c r="O1272" s="337">
        <v>1</v>
      </c>
      <c r="P1272" s="337">
        <v>1</v>
      </c>
      <c r="Q1272" s="338"/>
      <c r="R1272" s="338" t="s">
        <v>14</v>
      </c>
      <c r="S1272" s="338" t="s">
        <v>6088</v>
      </c>
      <c r="T1272" s="338" t="s">
        <v>9058</v>
      </c>
      <c r="U1272" s="338" t="s">
        <v>7717</v>
      </c>
      <c r="V1272" s="337">
        <v>1</v>
      </c>
      <c r="W1272" s="337">
        <v>1</v>
      </c>
      <c r="X1272" s="338"/>
      <c r="Y1272" s="338"/>
      <c r="Z1272" s="338" t="s">
        <v>8624</v>
      </c>
      <c r="AA1272" s="338" t="s">
        <v>6079</v>
      </c>
      <c r="AB1272" s="338"/>
      <c r="AC1272" s="338" t="s">
        <v>7714</v>
      </c>
      <c r="AD1272" s="338" t="s">
        <v>7700</v>
      </c>
      <c r="AF1272" s="502" t="str">
        <f>Table15[[#This Row],[code2]]</f>
        <v>BFDA</v>
      </c>
      <c r="AG1272" s="502" t="str">
        <f>Table15[[#This Row],[code5]]</f>
        <v>FMDT</v>
      </c>
    </row>
    <row r="1273" spans="1:33">
      <c r="A1273" s="338" t="s">
        <v>6072</v>
      </c>
      <c r="B1273" s="338" t="s">
        <v>6073</v>
      </c>
      <c r="C1273" s="337">
        <v>1</v>
      </c>
      <c r="D1273" s="338" t="s">
        <v>7676</v>
      </c>
      <c r="E1273" s="338" t="s">
        <v>7677</v>
      </c>
      <c r="F1273" s="337">
        <v>1</v>
      </c>
      <c r="G1273" s="337">
        <v>1</v>
      </c>
      <c r="H1273" s="338"/>
      <c r="I1273" s="338" t="s">
        <v>9126</v>
      </c>
      <c r="J1273" s="338" t="s">
        <v>9131</v>
      </c>
      <c r="K1273" s="338" t="s">
        <v>7678</v>
      </c>
      <c r="L1273" s="338"/>
      <c r="M1273" s="338" t="s">
        <v>7691</v>
      </c>
      <c r="N1273" s="338" t="s">
        <v>7692</v>
      </c>
      <c r="O1273" s="337">
        <v>1</v>
      </c>
      <c r="P1273" s="337">
        <v>1</v>
      </c>
      <c r="Q1273" s="338"/>
      <c r="R1273" s="338" t="s">
        <v>14</v>
      </c>
      <c r="S1273" s="338" t="s">
        <v>6088</v>
      </c>
      <c r="T1273" s="338" t="s">
        <v>9058</v>
      </c>
      <c r="U1273" s="338" t="s">
        <v>7718</v>
      </c>
      <c r="V1273" s="337">
        <v>1</v>
      </c>
      <c r="W1273" s="337">
        <v>1</v>
      </c>
      <c r="X1273" s="338"/>
      <c r="Y1273" s="338"/>
      <c r="Z1273" s="338" t="s">
        <v>8624</v>
      </c>
      <c r="AA1273" s="338" t="s">
        <v>6079</v>
      </c>
      <c r="AB1273" s="338"/>
      <c r="AC1273" s="338" t="s">
        <v>7714</v>
      </c>
      <c r="AD1273" s="338" t="s">
        <v>7702</v>
      </c>
      <c r="AF1273" s="502" t="str">
        <f>Table15[[#This Row],[code2]]</f>
        <v>BFDA</v>
      </c>
      <c r="AG1273" s="502" t="str">
        <f>Table15[[#This Row],[code5]]</f>
        <v>FMDT</v>
      </c>
    </row>
    <row r="1274" spans="1:33">
      <c r="A1274" s="338" t="s">
        <v>6072</v>
      </c>
      <c r="B1274" s="338" t="s">
        <v>6073</v>
      </c>
      <c r="C1274" s="337">
        <v>1</v>
      </c>
      <c r="D1274" s="338" t="s">
        <v>7676</v>
      </c>
      <c r="E1274" s="338" t="s">
        <v>7677</v>
      </c>
      <c r="F1274" s="337">
        <v>1</v>
      </c>
      <c r="G1274" s="337">
        <v>1</v>
      </c>
      <c r="H1274" s="338"/>
      <c r="I1274" s="338" t="s">
        <v>9126</v>
      </c>
      <c r="J1274" s="338" t="s">
        <v>9131</v>
      </c>
      <c r="K1274" s="338" t="s">
        <v>7678</v>
      </c>
      <c r="L1274" s="338"/>
      <c r="M1274" s="338" t="s">
        <v>7691</v>
      </c>
      <c r="N1274" s="338" t="s">
        <v>7692</v>
      </c>
      <c r="O1274" s="337">
        <v>1</v>
      </c>
      <c r="P1274" s="337">
        <v>1</v>
      </c>
      <c r="Q1274" s="338"/>
      <c r="R1274" s="338" t="s">
        <v>14</v>
      </c>
      <c r="S1274" s="338" t="s">
        <v>6088</v>
      </c>
      <c r="T1274" s="338" t="s">
        <v>9058</v>
      </c>
      <c r="U1274" s="338" t="s">
        <v>7719</v>
      </c>
      <c r="V1274" s="337">
        <v>1</v>
      </c>
      <c r="W1274" s="337">
        <v>1</v>
      </c>
      <c r="X1274" s="338"/>
      <c r="Y1274" s="338"/>
      <c r="Z1274" s="338" t="s">
        <v>8622</v>
      </c>
      <c r="AA1274" s="338" t="s">
        <v>6079</v>
      </c>
      <c r="AB1274" s="338"/>
      <c r="AC1274" s="338" t="s">
        <v>7720</v>
      </c>
      <c r="AD1274" s="338" t="s">
        <v>7694</v>
      </c>
      <c r="AF1274" s="502" t="str">
        <f>Table15[[#This Row],[code2]]</f>
        <v>BFDA</v>
      </c>
      <c r="AG1274" s="502" t="str">
        <f>Table15[[#This Row],[code5]]</f>
        <v>FMDT</v>
      </c>
    </row>
    <row r="1275" spans="1:33">
      <c r="A1275" s="338" t="s">
        <v>6072</v>
      </c>
      <c r="B1275" s="338" t="s">
        <v>6073</v>
      </c>
      <c r="C1275" s="337">
        <v>1</v>
      </c>
      <c r="D1275" s="338" t="s">
        <v>7676</v>
      </c>
      <c r="E1275" s="338" t="s">
        <v>7677</v>
      </c>
      <c r="F1275" s="337">
        <v>1</v>
      </c>
      <c r="G1275" s="337">
        <v>1</v>
      </c>
      <c r="H1275" s="338"/>
      <c r="I1275" s="338" t="s">
        <v>9126</v>
      </c>
      <c r="J1275" s="338" t="s">
        <v>9131</v>
      </c>
      <c r="K1275" s="338" t="s">
        <v>7678</v>
      </c>
      <c r="L1275" s="338"/>
      <c r="M1275" s="338" t="s">
        <v>7691</v>
      </c>
      <c r="N1275" s="338" t="s">
        <v>7692</v>
      </c>
      <c r="O1275" s="337">
        <v>1</v>
      </c>
      <c r="P1275" s="337">
        <v>1</v>
      </c>
      <c r="Q1275" s="338"/>
      <c r="R1275" s="338" t="s">
        <v>14</v>
      </c>
      <c r="S1275" s="338" t="s">
        <v>6088</v>
      </c>
      <c r="T1275" s="338" t="s">
        <v>9058</v>
      </c>
      <c r="U1275" s="338" t="s">
        <v>7721</v>
      </c>
      <c r="V1275" s="337">
        <v>1</v>
      </c>
      <c r="W1275" s="337">
        <v>1</v>
      </c>
      <c r="X1275" s="338"/>
      <c r="Y1275" s="338"/>
      <c r="Z1275" s="338" t="s">
        <v>9071</v>
      </c>
      <c r="AA1275" s="338" t="s">
        <v>6079</v>
      </c>
      <c r="AB1275" s="338"/>
      <c r="AC1275" s="338" t="s">
        <v>7720</v>
      </c>
      <c r="AD1275" s="338" t="s">
        <v>7696</v>
      </c>
      <c r="AF1275" s="502" t="str">
        <f>Table15[[#This Row],[code2]]</f>
        <v>BFDA</v>
      </c>
      <c r="AG1275" s="502" t="str">
        <f>Table15[[#This Row],[code5]]</f>
        <v>FMDT</v>
      </c>
    </row>
    <row r="1276" spans="1:33">
      <c r="A1276" s="338" t="s">
        <v>6072</v>
      </c>
      <c r="B1276" s="338" t="s">
        <v>6073</v>
      </c>
      <c r="C1276" s="337">
        <v>1</v>
      </c>
      <c r="D1276" s="338" t="s">
        <v>7676</v>
      </c>
      <c r="E1276" s="338" t="s">
        <v>7677</v>
      </c>
      <c r="F1276" s="337">
        <v>1</v>
      </c>
      <c r="G1276" s="337">
        <v>1</v>
      </c>
      <c r="H1276" s="338"/>
      <c r="I1276" s="338" t="s">
        <v>9126</v>
      </c>
      <c r="J1276" s="338" t="s">
        <v>9131</v>
      </c>
      <c r="K1276" s="338" t="s">
        <v>7678</v>
      </c>
      <c r="L1276" s="338"/>
      <c r="M1276" s="338" t="s">
        <v>7691</v>
      </c>
      <c r="N1276" s="338" t="s">
        <v>7692</v>
      </c>
      <c r="O1276" s="337">
        <v>1</v>
      </c>
      <c r="P1276" s="337">
        <v>1</v>
      </c>
      <c r="Q1276" s="338"/>
      <c r="R1276" s="338" t="s">
        <v>14</v>
      </c>
      <c r="S1276" s="338" t="s">
        <v>6088</v>
      </c>
      <c r="T1276" s="338" t="s">
        <v>9058</v>
      </c>
      <c r="U1276" s="338" t="s">
        <v>7722</v>
      </c>
      <c r="V1276" s="337">
        <v>1</v>
      </c>
      <c r="W1276" s="337">
        <v>1</v>
      </c>
      <c r="X1276" s="338"/>
      <c r="Y1276" s="338"/>
      <c r="Z1276" s="338" t="s">
        <v>8261</v>
      </c>
      <c r="AA1276" s="338" t="s">
        <v>6079</v>
      </c>
      <c r="AB1276" s="338"/>
      <c r="AC1276" s="338" t="s">
        <v>7720</v>
      </c>
      <c r="AD1276" s="338" t="s">
        <v>7698</v>
      </c>
      <c r="AF1276" s="502" t="str">
        <f>Table15[[#This Row],[code2]]</f>
        <v>BFDA</v>
      </c>
      <c r="AG1276" s="502" t="str">
        <f>Table15[[#This Row],[code5]]</f>
        <v>FMDT</v>
      </c>
    </row>
    <row r="1277" spans="1:33">
      <c r="A1277" s="338" t="s">
        <v>6072</v>
      </c>
      <c r="B1277" s="338" t="s">
        <v>6073</v>
      </c>
      <c r="C1277" s="337">
        <v>1</v>
      </c>
      <c r="D1277" s="338" t="s">
        <v>7676</v>
      </c>
      <c r="E1277" s="338" t="s">
        <v>7677</v>
      </c>
      <c r="F1277" s="337">
        <v>1</v>
      </c>
      <c r="G1277" s="337">
        <v>1</v>
      </c>
      <c r="H1277" s="338"/>
      <c r="I1277" s="338" t="s">
        <v>9126</v>
      </c>
      <c r="J1277" s="338" t="s">
        <v>9131</v>
      </c>
      <c r="K1277" s="338" t="s">
        <v>7678</v>
      </c>
      <c r="L1277" s="338"/>
      <c r="M1277" s="338" t="s">
        <v>7691</v>
      </c>
      <c r="N1277" s="338" t="s">
        <v>7692</v>
      </c>
      <c r="O1277" s="337">
        <v>1</v>
      </c>
      <c r="P1277" s="337">
        <v>1</v>
      </c>
      <c r="Q1277" s="338"/>
      <c r="R1277" s="338" t="s">
        <v>14</v>
      </c>
      <c r="S1277" s="338" t="s">
        <v>6088</v>
      </c>
      <c r="T1277" s="338" t="s">
        <v>9058</v>
      </c>
      <c r="U1277" s="338" t="s">
        <v>7723</v>
      </c>
      <c r="V1277" s="337">
        <v>1</v>
      </c>
      <c r="W1277" s="337">
        <v>1</v>
      </c>
      <c r="X1277" s="338"/>
      <c r="Y1277" s="338"/>
      <c r="Z1277" s="338" t="s">
        <v>8624</v>
      </c>
      <c r="AA1277" s="338" t="s">
        <v>6079</v>
      </c>
      <c r="AB1277" s="338"/>
      <c r="AC1277" s="338" t="s">
        <v>7720</v>
      </c>
      <c r="AD1277" s="338" t="s">
        <v>7700</v>
      </c>
      <c r="AF1277" s="502" t="str">
        <f>Table15[[#This Row],[code2]]</f>
        <v>BFDA</v>
      </c>
      <c r="AG1277" s="502" t="str">
        <f>Table15[[#This Row],[code5]]</f>
        <v>FMDT</v>
      </c>
    </row>
    <row r="1278" spans="1:33">
      <c r="A1278" s="338" t="s">
        <v>6072</v>
      </c>
      <c r="B1278" s="338" t="s">
        <v>6073</v>
      </c>
      <c r="C1278" s="337">
        <v>1</v>
      </c>
      <c r="D1278" s="338" t="s">
        <v>7676</v>
      </c>
      <c r="E1278" s="338" t="s">
        <v>7677</v>
      </c>
      <c r="F1278" s="337">
        <v>1</v>
      </c>
      <c r="G1278" s="337">
        <v>1</v>
      </c>
      <c r="H1278" s="338"/>
      <c r="I1278" s="338" t="s">
        <v>9126</v>
      </c>
      <c r="J1278" s="338" t="s">
        <v>9131</v>
      </c>
      <c r="K1278" s="338" t="s">
        <v>7678</v>
      </c>
      <c r="L1278" s="338"/>
      <c r="M1278" s="338" t="s">
        <v>7691</v>
      </c>
      <c r="N1278" s="338" t="s">
        <v>7692</v>
      </c>
      <c r="O1278" s="337">
        <v>1</v>
      </c>
      <c r="P1278" s="337">
        <v>1</v>
      </c>
      <c r="Q1278" s="338"/>
      <c r="R1278" s="338" t="s">
        <v>14</v>
      </c>
      <c r="S1278" s="338" t="s">
        <v>6088</v>
      </c>
      <c r="T1278" s="338" t="s">
        <v>9058</v>
      </c>
      <c r="U1278" s="338" t="s">
        <v>7724</v>
      </c>
      <c r="V1278" s="337">
        <v>1</v>
      </c>
      <c r="W1278" s="337">
        <v>1</v>
      </c>
      <c r="X1278" s="338"/>
      <c r="Y1278" s="338"/>
      <c r="Z1278" s="338" t="s">
        <v>8624</v>
      </c>
      <c r="AA1278" s="338" t="s">
        <v>6079</v>
      </c>
      <c r="AB1278" s="338"/>
      <c r="AC1278" s="338" t="s">
        <v>7720</v>
      </c>
      <c r="AD1278" s="338" t="s">
        <v>7702</v>
      </c>
      <c r="AF1278" s="502" t="str">
        <f>Table15[[#This Row],[code2]]</f>
        <v>BFDA</v>
      </c>
      <c r="AG1278" s="502" t="str">
        <f>Table15[[#This Row],[code5]]</f>
        <v>FMDT</v>
      </c>
    </row>
    <row r="1279" spans="1:33">
      <c r="A1279" s="338" t="s">
        <v>6072</v>
      </c>
      <c r="B1279" s="338" t="s">
        <v>6073</v>
      </c>
      <c r="C1279" s="337">
        <v>1</v>
      </c>
      <c r="D1279" s="338" t="s">
        <v>7676</v>
      </c>
      <c r="E1279" s="338" t="s">
        <v>7677</v>
      </c>
      <c r="F1279" s="337">
        <v>1</v>
      </c>
      <c r="G1279" s="337">
        <v>1</v>
      </c>
      <c r="H1279" s="338"/>
      <c r="I1279" s="338" t="s">
        <v>9126</v>
      </c>
      <c r="J1279" s="338" t="s">
        <v>9131</v>
      </c>
      <c r="K1279" s="338" t="s">
        <v>7678</v>
      </c>
      <c r="L1279" s="338"/>
      <c r="M1279" s="338" t="s">
        <v>7691</v>
      </c>
      <c r="N1279" s="338" t="s">
        <v>7692</v>
      </c>
      <c r="O1279" s="337">
        <v>1</v>
      </c>
      <c r="P1279" s="337">
        <v>1</v>
      </c>
      <c r="Q1279" s="338"/>
      <c r="R1279" s="338" t="s">
        <v>14</v>
      </c>
      <c r="S1279" s="338" t="s">
        <v>6088</v>
      </c>
      <c r="T1279" s="338" t="s">
        <v>9058</v>
      </c>
      <c r="U1279" s="338" t="s">
        <v>7725</v>
      </c>
      <c r="V1279" s="337">
        <v>1</v>
      </c>
      <c r="W1279" s="337">
        <v>1</v>
      </c>
      <c r="X1279" s="338"/>
      <c r="Y1279" s="338"/>
      <c r="Z1279" s="338" t="s">
        <v>8622</v>
      </c>
      <c r="AA1279" s="338" t="s">
        <v>6079</v>
      </c>
      <c r="AB1279" s="338"/>
      <c r="AC1279" s="338" t="s">
        <v>7726</v>
      </c>
      <c r="AD1279" s="338" t="s">
        <v>7694</v>
      </c>
      <c r="AF1279" s="502" t="str">
        <f>Table15[[#This Row],[code2]]</f>
        <v>BFDA</v>
      </c>
      <c r="AG1279" s="502" t="str">
        <f>Table15[[#This Row],[code5]]</f>
        <v>FMDT</v>
      </c>
    </row>
    <row r="1280" spans="1:33">
      <c r="A1280" s="338" t="s">
        <v>6072</v>
      </c>
      <c r="B1280" s="338" t="s">
        <v>6073</v>
      </c>
      <c r="C1280" s="337">
        <v>1</v>
      </c>
      <c r="D1280" s="338" t="s">
        <v>7676</v>
      </c>
      <c r="E1280" s="338" t="s">
        <v>7677</v>
      </c>
      <c r="F1280" s="337">
        <v>1</v>
      </c>
      <c r="G1280" s="337">
        <v>1</v>
      </c>
      <c r="H1280" s="338"/>
      <c r="I1280" s="338" t="s">
        <v>9126</v>
      </c>
      <c r="J1280" s="338" t="s">
        <v>9131</v>
      </c>
      <c r="K1280" s="338" t="s">
        <v>7678</v>
      </c>
      <c r="L1280" s="338"/>
      <c r="M1280" s="338" t="s">
        <v>7691</v>
      </c>
      <c r="N1280" s="338" t="s">
        <v>7692</v>
      </c>
      <c r="O1280" s="337">
        <v>1</v>
      </c>
      <c r="P1280" s="337">
        <v>1</v>
      </c>
      <c r="Q1280" s="338"/>
      <c r="R1280" s="338" t="s">
        <v>14</v>
      </c>
      <c r="S1280" s="338" t="s">
        <v>6088</v>
      </c>
      <c r="T1280" s="338" t="s">
        <v>9058</v>
      </c>
      <c r="U1280" s="338" t="s">
        <v>7727</v>
      </c>
      <c r="V1280" s="337">
        <v>1</v>
      </c>
      <c r="W1280" s="337">
        <v>1</v>
      </c>
      <c r="X1280" s="338"/>
      <c r="Y1280" s="338"/>
      <c r="Z1280" s="338" t="s">
        <v>9071</v>
      </c>
      <c r="AA1280" s="338" t="s">
        <v>6079</v>
      </c>
      <c r="AB1280" s="338"/>
      <c r="AC1280" s="338" t="s">
        <v>7726</v>
      </c>
      <c r="AD1280" s="338" t="s">
        <v>7696</v>
      </c>
      <c r="AF1280" s="502" t="str">
        <f>Table15[[#This Row],[code2]]</f>
        <v>BFDA</v>
      </c>
      <c r="AG1280" s="502" t="str">
        <f>Table15[[#This Row],[code5]]</f>
        <v>FMDT</v>
      </c>
    </row>
    <row r="1281" spans="1:33">
      <c r="A1281" s="338" t="s">
        <v>6072</v>
      </c>
      <c r="B1281" s="338" t="s">
        <v>6073</v>
      </c>
      <c r="C1281" s="337">
        <v>1</v>
      </c>
      <c r="D1281" s="338" t="s">
        <v>7676</v>
      </c>
      <c r="E1281" s="338" t="s">
        <v>7677</v>
      </c>
      <c r="F1281" s="337">
        <v>1</v>
      </c>
      <c r="G1281" s="337">
        <v>1</v>
      </c>
      <c r="H1281" s="338"/>
      <c r="I1281" s="338" t="s">
        <v>9126</v>
      </c>
      <c r="J1281" s="338" t="s">
        <v>9131</v>
      </c>
      <c r="K1281" s="338" t="s">
        <v>7678</v>
      </c>
      <c r="L1281" s="338"/>
      <c r="M1281" s="338" t="s">
        <v>7691</v>
      </c>
      <c r="N1281" s="338" t="s">
        <v>7692</v>
      </c>
      <c r="O1281" s="337">
        <v>1</v>
      </c>
      <c r="P1281" s="337">
        <v>1</v>
      </c>
      <c r="Q1281" s="338"/>
      <c r="R1281" s="338" t="s">
        <v>14</v>
      </c>
      <c r="S1281" s="338" t="s">
        <v>6088</v>
      </c>
      <c r="T1281" s="338" t="s">
        <v>9058</v>
      </c>
      <c r="U1281" s="338" t="s">
        <v>7728</v>
      </c>
      <c r="V1281" s="337">
        <v>1</v>
      </c>
      <c r="W1281" s="337">
        <v>1</v>
      </c>
      <c r="X1281" s="338"/>
      <c r="Y1281" s="338"/>
      <c r="Z1281" s="338" t="s">
        <v>8261</v>
      </c>
      <c r="AA1281" s="338" t="s">
        <v>6079</v>
      </c>
      <c r="AB1281" s="338"/>
      <c r="AC1281" s="338" t="s">
        <v>7726</v>
      </c>
      <c r="AD1281" s="338" t="s">
        <v>7698</v>
      </c>
      <c r="AF1281" s="502" t="str">
        <f>Table15[[#This Row],[code2]]</f>
        <v>BFDA</v>
      </c>
      <c r="AG1281" s="502" t="str">
        <f>Table15[[#This Row],[code5]]</f>
        <v>FMDT</v>
      </c>
    </row>
    <row r="1282" spans="1:33">
      <c r="A1282" s="338" t="s">
        <v>6072</v>
      </c>
      <c r="B1282" s="338" t="s">
        <v>6073</v>
      </c>
      <c r="C1282" s="337">
        <v>1</v>
      </c>
      <c r="D1282" s="338" t="s">
        <v>7676</v>
      </c>
      <c r="E1282" s="338" t="s">
        <v>7677</v>
      </c>
      <c r="F1282" s="337">
        <v>1</v>
      </c>
      <c r="G1282" s="337">
        <v>1</v>
      </c>
      <c r="H1282" s="338"/>
      <c r="I1282" s="338" t="s">
        <v>9126</v>
      </c>
      <c r="J1282" s="338" t="s">
        <v>9131</v>
      </c>
      <c r="K1282" s="338" t="s">
        <v>7678</v>
      </c>
      <c r="L1282" s="338"/>
      <c r="M1282" s="338" t="s">
        <v>7691</v>
      </c>
      <c r="N1282" s="338" t="s">
        <v>7692</v>
      </c>
      <c r="O1282" s="337">
        <v>1</v>
      </c>
      <c r="P1282" s="337">
        <v>1</v>
      </c>
      <c r="Q1282" s="338"/>
      <c r="R1282" s="338" t="s">
        <v>14</v>
      </c>
      <c r="S1282" s="338" t="s">
        <v>6088</v>
      </c>
      <c r="T1282" s="338" t="s">
        <v>9058</v>
      </c>
      <c r="U1282" s="338" t="s">
        <v>7729</v>
      </c>
      <c r="V1282" s="337">
        <v>1</v>
      </c>
      <c r="W1282" s="337">
        <v>1</v>
      </c>
      <c r="X1282" s="338"/>
      <c r="Y1282" s="338"/>
      <c r="Z1282" s="338" t="s">
        <v>8624</v>
      </c>
      <c r="AA1282" s="338" t="s">
        <v>6079</v>
      </c>
      <c r="AB1282" s="338"/>
      <c r="AC1282" s="338" t="s">
        <v>7726</v>
      </c>
      <c r="AD1282" s="338" t="s">
        <v>7700</v>
      </c>
      <c r="AF1282" s="502" t="str">
        <f>Table15[[#This Row],[code2]]</f>
        <v>BFDA</v>
      </c>
      <c r="AG1282" s="502" t="str">
        <f>Table15[[#This Row],[code5]]</f>
        <v>FMDT</v>
      </c>
    </row>
    <row r="1283" spans="1:33">
      <c r="A1283" s="338" t="s">
        <v>6072</v>
      </c>
      <c r="B1283" s="338" t="s">
        <v>6073</v>
      </c>
      <c r="C1283" s="337">
        <v>1</v>
      </c>
      <c r="D1283" s="338" t="s">
        <v>7676</v>
      </c>
      <c r="E1283" s="338" t="s">
        <v>7677</v>
      </c>
      <c r="F1283" s="337">
        <v>1</v>
      </c>
      <c r="G1283" s="337">
        <v>1</v>
      </c>
      <c r="H1283" s="338"/>
      <c r="I1283" s="338" t="s">
        <v>9126</v>
      </c>
      <c r="J1283" s="338" t="s">
        <v>9131</v>
      </c>
      <c r="K1283" s="338" t="s">
        <v>7678</v>
      </c>
      <c r="L1283" s="338"/>
      <c r="M1283" s="338" t="s">
        <v>7691</v>
      </c>
      <c r="N1283" s="338" t="s">
        <v>7692</v>
      </c>
      <c r="O1283" s="337">
        <v>1</v>
      </c>
      <c r="P1283" s="337">
        <v>1</v>
      </c>
      <c r="Q1283" s="338"/>
      <c r="R1283" s="338" t="s">
        <v>14</v>
      </c>
      <c r="S1283" s="338" t="s">
        <v>6088</v>
      </c>
      <c r="T1283" s="338" t="s">
        <v>9058</v>
      </c>
      <c r="U1283" s="338" t="s">
        <v>7730</v>
      </c>
      <c r="V1283" s="337">
        <v>1</v>
      </c>
      <c r="W1283" s="337">
        <v>1</v>
      </c>
      <c r="X1283" s="338"/>
      <c r="Y1283" s="338"/>
      <c r="Z1283" s="338" t="s">
        <v>8624</v>
      </c>
      <c r="AA1283" s="338" t="s">
        <v>6079</v>
      </c>
      <c r="AB1283" s="338"/>
      <c r="AC1283" s="338" t="s">
        <v>7726</v>
      </c>
      <c r="AD1283" s="338" t="s">
        <v>7702</v>
      </c>
      <c r="AF1283" s="502" t="str">
        <f>Table15[[#This Row],[code2]]</f>
        <v>BFDA</v>
      </c>
      <c r="AG1283" s="502" t="str">
        <f>Table15[[#This Row],[code5]]</f>
        <v>FMDT</v>
      </c>
    </row>
    <row r="1284" spans="1:33">
      <c r="A1284" s="338" t="s">
        <v>6072</v>
      </c>
      <c r="B1284" s="338" t="s">
        <v>6073</v>
      </c>
      <c r="C1284" s="337">
        <v>1</v>
      </c>
      <c r="D1284" s="338" t="s">
        <v>7731</v>
      </c>
      <c r="E1284" s="338" t="s">
        <v>7732</v>
      </c>
      <c r="F1284" s="337">
        <v>1</v>
      </c>
      <c r="G1284" s="337">
        <v>1</v>
      </c>
      <c r="H1284" s="338"/>
      <c r="I1284" s="338" t="s">
        <v>9126</v>
      </c>
      <c r="J1284" s="338" t="s">
        <v>9132</v>
      </c>
      <c r="K1284" s="338" t="s">
        <v>7733</v>
      </c>
      <c r="L1284" s="338"/>
      <c r="M1284" s="338" t="s">
        <v>7734</v>
      </c>
      <c r="N1284" s="338" t="s">
        <v>8237</v>
      </c>
      <c r="O1284" s="337">
        <v>0</v>
      </c>
      <c r="P1284" s="337">
        <v>0</v>
      </c>
      <c r="Q1284" s="338" t="s">
        <v>7735</v>
      </c>
      <c r="R1284" s="338" t="s">
        <v>6088</v>
      </c>
      <c r="S1284" s="338"/>
      <c r="T1284" s="338" t="s">
        <v>7736</v>
      </c>
      <c r="U1284" s="338" t="s">
        <v>7737</v>
      </c>
      <c r="V1284" s="337">
        <v>0</v>
      </c>
      <c r="W1284" s="337">
        <v>0</v>
      </c>
      <c r="X1284" s="338"/>
      <c r="Y1284" s="338" t="s">
        <v>92</v>
      </c>
      <c r="Z1284" s="338" t="s">
        <v>7738</v>
      </c>
      <c r="AA1284" s="338" t="s">
        <v>6079</v>
      </c>
      <c r="AB1284" s="338"/>
      <c r="AC1284" s="338" t="s">
        <v>6091</v>
      </c>
      <c r="AD1284" s="338"/>
      <c r="AF1284" s="502" t="str">
        <f>Table15[[#This Row],[code2]]</f>
        <v>CBBF</v>
      </c>
      <c r="AG1284" s="502" t="str">
        <f>Table15[[#This Row],[code5]]</f>
        <v>BFML</v>
      </c>
    </row>
    <row r="1285" spans="1:33">
      <c r="A1285" s="338" t="s">
        <v>6072</v>
      </c>
      <c r="B1285" s="338" t="s">
        <v>6073</v>
      </c>
      <c r="C1285" s="337">
        <v>1</v>
      </c>
      <c r="D1285" s="338" t="s">
        <v>7731</v>
      </c>
      <c r="E1285" s="338" t="s">
        <v>7732</v>
      </c>
      <c r="F1285" s="337">
        <v>1</v>
      </c>
      <c r="G1285" s="337">
        <v>1</v>
      </c>
      <c r="H1285" s="338"/>
      <c r="I1285" s="338" t="s">
        <v>9126</v>
      </c>
      <c r="J1285" s="338" t="s">
        <v>9132</v>
      </c>
      <c r="K1285" s="338" t="s">
        <v>7733</v>
      </c>
      <c r="L1285" s="338"/>
      <c r="M1285" s="338" t="s">
        <v>7734</v>
      </c>
      <c r="N1285" s="338" t="s">
        <v>8237</v>
      </c>
      <c r="O1285" s="337">
        <v>0</v>
      </c>
      <c r="P1285" s="337">
        <v>0</v>
      </c>
      <c r="Q1285" s="338" t="s">
        <v>7735</v>
      </c>
      <c r="R1285" s="338" t="s">
        <v>6088</v>
      </c>
      <c r="S1285" s="338"/>
      <c r="T1285" s="338" t="s">
        <v>7736</v>
      </c>
      <c r="U1285" s="338" t="s">
        <v>7739</v>
      </c>
      <c r="V1285" s="337">
        <v>0</v>
      </c>
      <c r="W1285" s="337">
        <v>0</v>
      </c>
      <c r="X1285" s="338"/>
      <c r="Y1285" s="338" t="s">
        <v>92</v>
      </c>
      <c r="Z1285" s="338" t="s">
        <v>7740</v>
      </c>
      <c r="AA1285" s="338" t="s">
        <v>6079</v>
      </c>
      <c r="AB1285" s="338"/>
      <c r="AC1285" s="338" t="s">
        <v>6096</v>
      </c>
      <c r="AD1285" s="338"/>
      <c r="AF1285" s="502" t="str">
        <f>Table15[[#This Row],[code2]]</f>
        <v>CBBF</v>
      </c>
      <c r="AG1285" s="502" t="str">
        <f>Table15[[#This Row],[code5]]</f>
        <v>BFML</v>
      </c>
    </row>
    <row r="1286" spans="1:33">
      <c r="A1286" s="338" t="s">
        <v>6072</v>
      </c>
      <c r="B1286" s="338" t="s">
        <v>6073</v>
      </c>
      <c r="C1286" s="337">
        <v>1</v>
      </c>
      <c r="D1286" s="338" t="s">
        <v>7731</v>
      </c>
      <c r="E1286" s="338" t="s">
        <v>7732</v>
      </c>
      <c r="F1286" s="337">
        <v>1</v>
      </c>
      <c r="G1286" s="337">
        <v>1</v>
      </c>
      <c r="H1286" s="338"/>
      <c r="I1286" s="338" t="s">
        <v>9126</v>
      </c>
      <c r="J1286" s="338" t="s">
        <v>9132</v>
      </c>
      <c r="K1286" s="338" t="s">
        <v>7733</v>
      </c>
      <c r="L1286" s="338"/>
      <c r="M1286" s="338" t="s">
        <v>7734</v>
      </c>
      <c r="N1286" s="338" t="s">
        <v>8237</v>
      </c>
      <c r="O1286" s="337">
        <v>0</v>
      </c>
      <c r="P1286" s="337">
        <v>0</v>
      </c>
      <c r="Q1286" s="338" t="s">
        <v>7735</v>
      </c>
      <c r="R1286" s="338" t="s">
        <v>6088</v>
      </c>
      <c r="S1286" s="338"/>
      <c r="T1286" s="338" t="s">
        <v>7736</v>
      </c>
      <c r="U1286" s="338" t="s">
        <v>7741</v>
      </c>
      <c r="V1286" s="337">
        <v>0</v>
      </c>
      <c r="W1286" s="337">
        <v>0</v>
      </c>
      <c r="X1286" s="338"/>
      <c r="Y1286" s="338" t="s">
        <v>92</v>
      </c>
      <c r="Z1286" s="338" t="s">
        <v>7742</v>
      </c>
      <c r="AA1286" s="338" t="s">
        <v>6079</v>
      </c>
      <c r="AB1286" s="338"/>
      <c r="AC1286" s="338" t="s">
        <v>6101</v>
      </c>
      <c r="AD1286" s="338"/>
      <c r="AF1286" s="502" t="str">
        <f>Table15[[#This Row],[code2]]</f>
        <v>CBBF</v>
      </c>
      <c r="AG1286" s="502" t="str">
        <f>Table15[[#This Row],[code5]]</f>
        <v>BFML</v>
      </c>
    </row>
    <row r="1287" spans="1:33">
      <c r="A1287" s="338" t="s">
        <v>6072</v>
      </c>
      <c r="B1287" s="338" t="s">
        <v>6073</v>
      </c>
      <c r="C1287" s="337">
        <v>1</v>
      </c>
      <c r="D1287" s="338" t="s">
        <v>7731</v>
      </c>
      <c r="E1287" s="338" t="s">
        <v>7732</v>
      </c>
      <c r="F1287" s="337">
        <v>1</v>
      </c>
      <c r="G1287" s="337">
        <v>1</v>
      </c>
      <c r="H1287" s="338"/>
      <c r="I1287" s="338" t="s">
        <v>9126</v>
      </c>
      <c r="J1287" s="338" t="s">
        <v>9132</v>
      </c>
      <c r="K1287" s="338" t="s">
        <v>7733</v>
      </c>
      <c r="L1287" s="338"/>
      <c r="M1287" s="338" t="s">
        <v>7734</v>
      </c>
      <c r="N1287" s="338" t="s">
        <v>8237</v>
      </c>
      <c r="O1287" s="337">
        <v>0</v>
      </c>
      <c r="P1287" s="337">
        <v>0</v>
      </c>
      <c r="Q1287" s="338" t="s">
        <v>7735</v>
      </c>
      <c r="R1287" s="338" t="s">
        <v>6088</v>
      </c>
      <c r="S1287" s="338"/>
      <c r="T1287" s="338" t="s">
        <v>7736</v>
      </c>
      <c r="U1287" s="338" t="s">
        <v>7743</v>
      </c>
      <c r="V1287" s="337">
        <v>0</v>
      </c>
      <c r="W1287" s="337">
        <v>0</v>
      </c>
      <c r="X1287" s="338"/>
      <c r="Y1287" s="338" t="s">
        <v>92</v>
      </c>
      <c r="Z1287" s="338" t="s">
        <v>7744</v>
      </c>
      <c r="AA1287" s="338" t="s">
        <v>6079</v>
      </c>
      <c r="AB1287" s="338"/>
      <c r="AC1287" s="338" t="s">
        <v>6106</v>
      </c>
      <c r="AD1287" s="338"/>
      <c r="AF1287" s="502" t="str">
        <f>Table15[[#This Row],[code2]]</f>
        <v>CBBF</v>
      </c>
      <c r="AG1287" s="502" t="str">
        <f>Table15[[#This Row],[code5]]</f>
        <v>BFML</v>
      </c>
    </row>
    <row r="1288" spans="1:33">
      <c r="A1288" s="338" t="s">
        <v>6072</v>
      </c>
      <c r="B1288" s="338" t="s">
        <v>6073</v>
      </c>
      <c r="C1288" s="337">
        <v>1</v>
      </c>
      <c r="D1288" s="338" t="s">
        <v>7731</v>
      </c>
      <c r="E1288" s="338" t="s">
        <v>7732</v>
      </c>
      <c r="F1288" s="337">
        <v>1</v>
      </c>
      <c r="G1288" s="337">
        <v>1</v>
      </c>
      <c r="H1288" s="338"/>
      <c r="I1288" s="338" t="s">
        <v>9126</v>
      </c>
      <c r="J1288" s="338" t="s">
        <v>9132</v>
      </c>
      <c r="K1288" s="338" t="s">
        <v>7733</v>
      </c>
      <c r="L1288" s="338"/>
      <c r="M1288" s="338" t="s">
        <v>7734</v>
      </c>
      <c r="N1288" s="338" t="s">
        <v>8237</v>
      </c>
      <c r="O1288" s="337">
        <v>0</v>
      </c>
      <c r="P1288" s="337">
        <v>0</v>
      </c>
      <c r="Q1288" s="338" t="s">
        <v>7735</v>
      </c>
      <c r="R1288" s="338" t="s">
        <v>6088</v>
      </c>
      <c r="S1288" s="338"/>
      <c r="T1288" s="338" t="s">
        <v>7736</v>
      </c>
      <c r="U1288" s="338" t="s">
        <v>7745</v>
      </c>
      <c r="V1288" s="337">
        <v>0</v>
      </c>
      <c r="W1288" s="337">
        <v>0</v>
      </c>
      <c r="X1288" s="338"/>
      <c r="Y1288" s="338" t="s">
        <v>92</v>
      </c>
      <c r="Z1288" s="338" t="s">
        <v>6524</v>
      </c>
      <c r="AA1288" s="338" t="s">
        <v>6079</v>
      </c>
      <c r="AB1288" s="338"/>
      <c r="AC1288" s="338" t="s">
        <v>6111</v>
      </c>
      <c r="AD1288" s="338"/>
      <c r="AF1288" s="502" t="str">
        <f>Table15[[#This Row],[code2]]</f>
        <v>CBBF</v>
      </c>
      <c r="AG1288" s="502" t="str">
        <f>Table15[[#This Row],[code5]]</f>
        <v>BFML</v>
      </c>
    </row>
    <row r="1289" spans="1:33">
      <c r="A1289" s="338" t="s">
        <v>6072</v>
      </c>
      <c r="B1289" s="338" t="s">
        <v>6073</v>
      </c>
      <c r="C1289" s="337">
        <v>1</v>
      </c>
      <c r="D1289" s="338" t="s">
        <v>7731</v>
      </c>
      <c r="E1289" s="338" t="s">
        <v>7732</v>
      </c>
      <c r="F1289" s="337">
        <v>1</v>
      </c>
      <c r="G1289" s="337">
        <v>1</v>
      </c>
      <c r="H1289" s="338"/>
      <c r="I1289" s="338" t="s">
        <v>9126</v>
      </c>
      <c r="J1289" s="338" t="s">
        <v>9132</v>
      </c>
      <c r="K1289" s="338" t="s">
        <v>7733</v>
      </c>
      <c r="L1289" s="338"/>
      <c r="M1289" s="338" t="s">
        <v>7734</v>
      </c>
      <c r="N1289" s="338" t="s">
        <v>8237</v>
      </c>
      <c r="O1289" s="337">
        <v>0</v>
      </c>
      <c r="P1289" s="337">
        <v>0</v>
      </c>
      <c r="Q1289" s="338" t="s">
        <v>7735</v>
      </c>
      <c r="R1289" s="338" t="s">
        <v>6088</v>
      </c>
      <c r="S1289" s="338"/>
      <c r="T1289" s="338" t="s">
        <v>7736</v>
      </c>
      <c r="U1289" s="338" t="s">
        <v>7746</v>
      </c>
      <c r="V1289" s="337">
        <v>0</v>
      </c>
      <c r="W1289" s="337">
        <v>0</v>
      </c>
      <c r="X1289" s="338"/>
      <c r="Y1289" s="338" t="s">
        <v>92</v>
      </c>
      <c r="Z1289" s="338" t="s">
        <v>7747</v>
      </c>
      <c r="AA1289" s="338" t="s">
        <v>6079</v>
      </c>
      <c r="AB1289" s="338"/>
      <c r="AC1289" s="338" t="s">
        <v>6117</v>
      </c>
      <c r="AD1289" s="338"/>
      <c r="AF1289" s="502" t="str">
        <f>Table15[[#This Row],[code2]]</f>
        <v>CBBF</v>
      </c>
      <c r="AG1289" s="502" t="str">
        <f>Table15[[#This Row],[code5]]</f>
        <v>BFML</v>
      </c>
    </row>
    <row r="1290" spans="1:33">
      <c r="A1290" s="338" t="s">
        <v>6072</v>
      </c>
      <c r="B1290" s="338" t="s">
        <v>6073</v>
      </c>
      <c r="C1290" s="337">
        <v>1</v>
      </c>
      <c r="D1290" s="338" t="s">
        <v>7731</v>
      </c>
      <c r="E1290" s="338" t="s">
        <v>7732</v>
      </c>
      <c r="F1290" s="337">
        <v>1</v>
      </c>
      <c r="G1290" s="337">
        <v>1</v>
      </c>
      <c r="H1290" s="338"/>
      <c r="I1290" s="338" t="s">
        <v>9126</v>
      </c>
      <c r="J1290" s="338" t="s">
        <v>9132</v>
      </c>
      <c r="K1290" s="338" t="s">
        <v>7733</v>
      </c>
      <c r="L1290" s="338"/>
      <c r="M1290" s="338" t="s">
        <v>7734</v>
      </c>
      <c r="N1290" s="338" t="s">
        <v>8237</v>
      </c>
      <c r="O1290" s="337">
        <v>0</v>
      </c>
      <c r="P1290" s="337">
        <v>0</v>
      </c>
      <c r="Q1290" s="338" t="s">
        <v>7735</v>
      </c>
      <c r="R1290" s="338" t="s">
        <v>6088</v>
      </c>
      <c r="S1290" s="338"/>
      <c r="T1290" s="338" t="s">
        <v>7736</v>
      </c>
      <c r="U1290" s="338" t="s">
        <v>7748</v>
      </c>
      <c r="V1290" s="337">
        <v>0</v>
      </c>
      <c r="W1290" s="337">
        <v>0</v>
      </c>
      <c r="X1290" s="338"/>
      <c r="Y1290" s="338" t="s">
        <v>92</v>
      </c>
      <c r="Z1290" s="338" t="s">
        <v>7749</v>
      </c>
      <c r="AA1290" s="338" t="s">
        <v>6079</v>
      </c>
      <c r="AB1290" s="338"/>
      <c r="AC1290" s="338" t="s">
        <v>6122</v>
      </c>
      <c r="AD1290" s="338"/>
      <c r="AF1290" s="502" t="str">
        <f>Table15[[#This Row],[code2]]</f>
        <v>CBBF</v>
      </c>
      <c r="AG1290" s="502" t="str">
        <f>Table15[[#This Row],[code5]]</f>
        <v>BFML</v>
      </c>
    </row>
    <row r="1291" spans="1:33">
      <c r="A1291" s="338" t="s">
        <v>6072</v>
      </c>
      <c r="B1291" s="338" t="s">
        <v>6073</v>
      </c>
      <c r="C1291" s="337">
        <v>1</v>
      </c>
      <c r="D1291" s="338" t="s">
        <v>7731</v>
      </c>
      <c r="E1291" s="338" t="s">
        <v>7732</v>
      </c>
      <c r="F1291" s="337">
        <v>1</v>
      </c>
      <c r="G1291" s="337">
        <v>1</v>
      </c>
      <c r="H1291" s="338"/>
      <c r="I1291" s="338" t="s">
        <v>9126</v>
      </c>
      <c r="J1291" s="338" t="s">
        <v>9132</v>
      </c>
      <c r="K1291" s="338" t="s">
        <v>7733</v>
      </c>
      <c r="L1291" s="338"/>
      <c r="M1291" s="338" t="s">
        <v>7750</v>
      </c>
      <c r="N1291" s="338" t="s">
        <v>7751</v>
      </c>
      <c r="O1291" s="337">
        <v>1</v>
      </c>
      <c r="P1291" s="337">
        <v>0</v>
      </c>
      <c r="Q1291" s="338"/>
      <c r="R1291" s="338"/>
      <c r="S1291" s="338"/>
      <c r="T1291" s="338"/>
      <c r="U1291" s="338" t="s">
        <v>7752</v>
      </c>
      <c r="V1291" s="337">
        <v>1</v>
      </c>
      <c r="W1291" s="337">
        <v>0</v>
      </c>
      <c r="X1291" s="338" t="s">
        <v>7753</v>
      </c>
      <c r="Y1291" s="338" t="s">
        <v>6318</v>
      </c>
      <c r="Z1291" s="338" t="s">
        <v>7375</v>
      </c>
      <c r="AA1291" s="338" t="s">
        <v>6079</v>
      </c>
      <c r="AB1291" s="338"/>
      <c r="AC1291" s="338"/>
      <c r="AD1291" s="338"/>
      <c r="AF1291" s="502" t="str">
        <f>Table15[[#This Row],[code2]]</f>
        <v>CBBF</v>
      </c>
      <c r="AG1291" s="502" t="str">
        <f>Table15[[#This Row],[code5]]</f>
        <v>OBL</v>
      </c>
    </row>
    <row r="1292" spans="1:33">
      <c r="A1292" s="338" t="s">
        <v>6072</v>
      </c>
      <c r="B1292" s="338" t="s">
        <v>6073</v>
      </c>
      <c r="C1292" s="337">
        <v>1</v>
      </c>
      <c r="D1292" s="338" t="s">
        <v>7731</v>
      </c>
      <c r="E1292" s="338" t="s">
        <v>7732</v>
      </c>
      <c r="F1292" s="337">
        <v>1</v>
      </c>
      <c r="G1292" s="337">
        <v>1</v>
      </c>
      <c r="H1292" s="338"/>
      <c r="I1292" s="338" t="s">
        <v>9126</v>
      </c>
      <c r="J1292" s="338" t="s">
        <v>9132</v>
      </c>
      <c r="K1292" s="338" t="s">
        <v>7733</v>
      </c>
      <c r="L1292" s="338"/>
      <c r="M1292" s="338" t="s">
        <v>7750</v>
      </c>
      <c r="N1292" s="338" t="s">
        <v>7751</v>
      </c>
      <c r="O1292" s="337">
        <v>1</v>
      </c>
      <c r="P1292" s="337">
        <v>0</v>
      </c>
      <c r="Q1292" s="338"/>
      <c r="R1292" s="338"/>
      <c r="S1292" s="338"/>
      <c r="T1292" s="338"/>
      <c r="U1292" s="338" t="s">
        <v>7754</v>
      </c>
      <c r="V1292" s="337">
        <v>1</v>
      </c>
      <c r="W1292" s="337">
        <v>0</v>
      </c>
      <c r="X1292" s="338" t="s">
        <v>7755</v>
      </c>
      <c r="Y1292" s="338" t="s">
        <v>6318</v>
      </c>
      <c r="Z1292" s="338" t="s">
        <v>7375</v>
      </c>
      <c r="AA1292" s="338" t="s">
        <v>6079</v>
      </c>
      <c r="AB1292" s="338"/>
      <c r="AC1292" s="338"/>
      <c r="AD1292" s="338"/>
      <c r="AF1292" s="502" t="str">
        <f>Table15[[#This Row],[code2]]</f>
        <v>CBBF</v>
      </c>
      <c r="AG1292" s="502" t="str">
        <f>Table15[[#This Row],[code5]]</f>
        <v>OBL</v>
      </c>
    </row>
    <row r="1293" spans="1:33">
      <c r="A1293" s="338" t="s">
        <v>6072</v>
      </c>
      <c r="B1293" s="338" t="s">
        <v>6073</v>
      </c>
      <c r="C1293" s="337">
        <v>1</v>
      </c>
      <c r="D1293" s="338" t="s">
        <v>7731</v>
      </c>
      <c r="E1293" s="338" t="s">
        <v>7732</v>
      </c>
      <c r="F1293" s="337">
        <v>1</v>
      </c>
      <c r="G1293" s="337">
        <v>1</v>
      </c>
      <c r="H1293" s="338"/>
      <c r="I1293" s="338" t="s">
        <v>9126</v>
      </c>
      <c r="J1293" s="338" t="s">
        <v>9132</v>
      </c>
      <c r="K1293" s="338" t="s">
        <v>7733</v>
      </c>
      <c r="L1293" s="338"/>
      <c r="M1293" s="338" t="s">
        <v>7750</v>
      </c>
      <c r="N1293" s="338" t="s">
        <v>7751</v>
      </c>
      <c r="O1293" s="337">
        <v>1</v>
      </c>
      <c r="P1293" s="337">
        <v>0</v>
      </c>
      <c r="Q1293" s="338"/>
      <c r="R1293" s="338"/>
      <c r="S1293" s="338"/>
      <c r="T1293" s="338"/>
      <c r="U1293" s="338" t="s">
        <v>7756</v>
      </c>
      <c r="V1293" s="337">
        <v>1</v>
      </c>
      <c r="W1293" s="337">
        <v>0</v>
      </c>
      <c r="X1293" s="338" t="s">
        <v>7757</v>
      </c>
      <c r="Y1293" s="338" t="s">
        <v>6318</v>
      </c>
      <c r="Z1293" s="338" t="s">
        <v>9168</v>
      </c>
      <c r="AA1293" s="338" t="s">
        <v>6079</v>
      </c>
      <c r="AB1293" s="338"/>
      <c r="AC1293" s="338"/>
      <c r="AD1293" s="338"/>
      <c r="AF1293" s="502" t="str">
        <f>Table15[[#This Row],[code2]]</f>
        <v>CBBF</v>
      </c>
      <c r="AG1293" s="502" t="str">
        <f>Table15[[#This Row],[code5]]</f>
        <v>OBL</v>
      </c>
    </row>
    <row r="1294" spans="1:33">
      <c r="A1294" s="338" t="s">
        <v>6072</v>
      </c>
      <c r="B1294" s="338" t="s">
        <v>6073</v>
      </c>
      <c r="C1294" s="337">
        <v>1</v>
      </c>
      <c r="D1294" s="338" t="s">
        <v>7731</v>
      </c>
      <c r="E1294" s="338" t="s">
        <v>7732</v>
      </c>
      <c r="F1294" s="337">
        <v>1</v>
      </c>
      <c r="G1294" s="337">
        <v>1</v>
      </c>
      <c r="H1294" s="338"/>
      <c r="I1294" s="338" t="s">
        <v>9126</v>
      </c>
      <c r="J1294" s="338" t="s">
        <v>9132</v>
      </c>
      <c r="K1294" s="338" t="s">
        <v>7733</v>
      </c>
      <c r="L1294" s="338"/>
      <c r="M1294" s="338" t="s">
        <v>7758</v>
      </c>
      <c r="N1294" s="338" t="s">
        <v>7759</v>
      </c>
      <c r="O1294" s="337">
        <v>1</v>
      </c>
      <c r="P1294" s="337">
        <v>1</v>
      </c>
      <c r="Q1294" s="338"/>
      <c r="R1294" s="338"/>
      <c r="S1294" s="338"/>
      <c r="T1294" s="338" t="s">
        <v>7760</v>
      </c>
      <c r="U1294" s="338" t="s">
        <v>7761</v>
      </c>
      <c r="V1294" s="337">
        <v>1</v>
      </c>
      <c r="W1294" s="337">
        <v>1</v>
      </c>
      <c r="X1294" s="338" t="s">
        <v>7762</v>
      </c>
      <c r="Y1294" s="338" t="s">
        <v>92</v>
      </c>
      <c r="Z1294" s="338" t="s">
        <v>9177</v>
      </c>
      <c r="AA1294" s="338" t="s">
        <v>6079</v>
      </c>
      <c r="AB1294" s="338"/>
      <c r="AC1294" s="338"/>
      <c r="AD1294" s="338"/>
      <c r="AF1294" s="502" t="str">
        <f>Table15[[#This Row],[code2]]</f>
        <v>CBBF</v>
      </c>
      <c r="AG1294" s="502" t="str">
        <f>Table15[[#This Row],[code5]]</f>
        <v>BVR</v>
      </c>
    </row>
    <row r="1295" spans="1:33">
      <c r="A1295" s="338" t="s">
        <v>6072</v>
      </c>
      <c r="B1295" s="338" t="s">
        <v>6073</v>
      </c>
      <c r="C1295" s="337">
        <v>1</v>
      </c>
      <c r="D1295" s="338" t="s">
        <v>7731</v>
      </c>
      <c r="E1295" s="338" t="s">
        <v>7732</v>
      </c>
      <c r="F1295" s="337">
        <v>1</v>
      </c>
      <c r="G1295" s="337">
        <v>1</v>
      </c>
      <c r="H1295" s="338"/>
      <c r="I1295" s="338" t="s">
        <v>9126</v>
      </c>
      <c r="J1295" s="338" t="s">
        <v>9132</v>
      </c>
      <c r="K1295" s="338" t="s">
        <v>7733</v>
      </c>
      <c r="L1295" s="338"/>
      <c r="M1295" s="338" t="s">
        <v>7758</v>
      </c>
      <c r="N1295" s="338" t="s">
        <v>7759</v>
      </c>
      <c r="O1295" s="337">
        <v>1</v>
      </c>
      <c r="P1295" s="337">
        <v>1</v>
      </c>
      <c r="Q1295" s="338"/>
      <c r="R1295" s="338"/>
      <c r="S1295" s="338"/>
      <c r="T1295" s="338" t="s">
        <v>7760</v>
      </c>
      <c r="U1295" s="338" t="s">
        <v>4935</v>
      </c>
      <c r="V1295" s="337">
        <v>1</v>
      </c>
      <c r="W1295" s="337">
        <v>1</v>
      </c>
      <c r="X1295" s="338" t="s">
        <v>7763</v>
      </c>
      <c r="Y1295" s="338" t="s">
        <v>92</v>
      </c>
      <c r="Z1295" s="338" t="s">
        <v>9178</v>
      </c>
      <c r="AA1295" s="338" t="s">
        <v>6079</v>
      </c>
      <c r="AB1295" s="338"/>
      <c r="AC1295" s="338"/>
      <c r="AD1295" s="338"/>
      <c r="AF1295" s="502" t="str">
        <f>Table15[[#This Row],[code2]]</f>
        <v>CBBF</v>
      </c>
      <c r="AG1295" s="502" t="str">
        <f>Table15[[#This Row],[code5]]</f>
        <v>BVR</v>
      </c>
    </row>
    <row r="1296" spans="1:33">
      <c r="A1296" s="338" t="s">
        <v>6072</v>
      </c>
      <c r="B1296" s="338" t="s">
        <v>6073</v>
      </c>
      <c r="C1296" s="337">
        <v>1</v>
      </c>
      <c r="D1296" s="338" t="s">
        <v>7731</v>
      </c>
      <c r="E1296" s="338" t="s">
        <v>7732</v>
      </c>
      <c r="F1296" s="337">
        <v>1</v>
      </c>
      <c r="G1296" s="337">
        <v>1</v>
      </c>
      <c r="H1296" s="338"/>
      <c r="I1296" s="338" t="s">
        <v>9126</v>
      </c>
      <c r="J1296" s="338" t="s">
        <v>9132</v>
      </c>
      <c r="K1296" s="338" t="s">
        <v>7733</v>
      </c>
      <c r="L1296" s="338"/>
      <c r="M1296" s="338" t="s">
        <v>7758</v>
      </c>
      <c r="N1296" s="338" t="s">
        <v>7759</v>
      </c>
      <c r="O1296" s="337">
        <v>1</v>
      </c>
      <c r="P1296" s="337">
        <v>1</v>
      </c>
      <c r="Q1296" s="338"/>
      <c r="R1296" s="338"/>
      <c r="S1296" s="338"/>
      <c r="T1296" s="338" t="s">
        <v>7760</v>
      </c>
      <c r="U1296" s="338" t="s">
        <v>7764</v>
      </c>
      <c r="V1296" s="337">
        <v>1</v>
      </c>
      <c r="W1296" s="337">
        <v>1</v>
      </c>
      <c r="X1296" s="338" t="s">
        <v>7765</v>
      </c>
      <c r="Y1296" s="338" t="s">
        <v>92</v>
      </c>
      <c r="Z1296" s="338" t="s">
        <v>9178</v>
      </c>
      <c r="AA1296" s="338" t="s">
        <v>6079</v>
      </c>
      <c r="AB1296" s="338"/>
      <c r="AC1296" s="338"/>
      <c r="AD1296" s="338"/>
      <c r="AF1296" s="502" t="str">
        <f>Table15[[#This Row],[code2]]</f>
        <v>CBBF</v>
      </c>
      <c r="AG1296" s="502" t="str">
        <f>Table15[[#This Row],[code5]]</f>
        <v>BVR</v>
      </c>
    </row>
    <row r="1297" spans="1:33">
      <c r="A1297" s="338" t="s">
        <v>6072</v>
      </c>
      <c r="B1297" s="338" t="s">
        <v>6073</v>
      </c>
      <c r="C1297" s="337">
        <v>1</v>
      </c>
      <c r="D1297" s="338" t="s">
        <v>7731</v>
      </c>
      <c r="E1297" s="338" t="s">
        <v>7732</v>
      </c>
      <c r="F1297" s="337">
        <v>1</v>
      </c>
      <c r="G1297" s="337">
        <v>1</v>
      </c>
      <c r="H1297" s="338"/>
      <c r="I1297" s="338" t="s">
        <v>9126</v>
      </c>
      <c r="J1297" s="338" t="s">
        <v>9132</v>
      </c>
      <c r="K1297" s="338" t="s">
        <v>7733</v>
      </c>
      <c r="L1297" s="338"/>
      <c r="M1297" s="338" t="s">
        <v>7758</v>
      </c>
      <c r="N1297" s="338" t="s">
        <v>7759</v>
      </c>
      <c r="O1297" s="337">
        <v>1</v>
      </c>
      <c r="P1297" s="337">
        <v>1</v>
      </c>
      <c r="Q1297" s="338"/>
      <c r="R1297" s="338"/>
      <c r="S1297" s="338"/>
      <c r="T1297" s="338" t="s">
        <v>7760</v>
      </c>
      <c r="U1297" s="338" t="s">
        <v>7766</v>
      </c>
      <c r="V1297" s="337">
        <v>1</v>
      </c>
      <c r="W1297" s="337">
        <v>1</v>
      </c>
      <c r="X1297" s="338" t="s">
        <v>7767</v>
      </c>
      <c r="Y1297" s="338" t="s">
        <v>92</v>
      </c>
      <c r="Z1297" s="338" t="s">
        <v>9179</v>
      </c>
      <c r="AA1297" s="338" t="s">
        <v>6079</v>
      </c>
      <c r="AB1297" s="338"/>
      <c r="AC1297" s="338"/>
      <c r="AD1297" s="338"/>
      <c r="AF1297" s="502" t="str">
        <f>Table15[[#This Row],[code2]]</f>
        <v>CBBF</v>
      </c>
      <c r="AG1297" s="502" t="str">
        <f>Table15[[#This Row],[code5]]</f>
        <v>BVR</v>
      </c>
    </row>
    <row r="1298" spans="1:33">
      <c r="A1298" s="338" t="s">
        <v>6072</v>
      </c>
      <c r="B1298" s="338" t="s">
        <v>6073</v>
      </c>
      <c r="C1298" s="337">
        <v>1</v>
      </c>
      <c r="D1298" s="338" t="s">
        <v>7731</v>
      </c>
      <c r="E1298" s="338" t="s">
        <v>7732</v>
      </c>
      <c r="F1298" s="337">
        <v>1</v>
      </c>
      <c r="G1298" s="337">
        <v>1</v>
      </c>
      <c r="H1298" s="338"/>
      <c r="I1298" s="338" t="s">
        <v>9126</v>
      </c>
      <c r="J1298" s="338" t="s">
        <v>9132</v>
      </c>
      <c r="K1298" s="338" t="s">
        <v>7733</v>
      </c>
      <c r="L1298" s="338"/>
      <c r="M1298" s="338" t="s">
        <v>7758</v>
      </c>
      <c r="N1298" s="338" t="s">
        <v>7759</v>
      </c>
      <c r="O1298" s="337">
        <v>1</v>
      </c>
      <c r="P1298" s="337">
        <v>1</v>
      </c>
      <c r="Q1298" s="338"/>
      <c r="R1298" s="338"/>
      <c r="S1298" s="338"/>
      <c r="T1298" s="338" t="s">
        <v>7760</v>
      </c>
      <c r="U1298" s="338" t="s">
        <v>4933</v>
      </c>
      <c r="V1298" s="337">
        <v>1</v>
      </c>
      <c r="W1298" s="337">
        <v>1</v>
      </c>
      <c r="X1298" s="338" t="s">
        <v>7768</v>
      </c>
      <c r="Y1298" s="338" t="s">
        <v>92</v>
      </c>
      <c r="Z1298" s="338" t="s">
        <v>9170</v>
      </c>
      <c r="AA1298" s="338" t="s">
        <v>6079</v>
      </c>
      <c r="AB1298" s="338"/>
      <c r="AC1298" s="338"/>
      <c r="AD1298" s="338"/>
      <c r="AF1298" s="502" t="str">
        <f>Table15[[#This Row],[code2]]</f>
        <v>CBBF</v>
      </c>
      <c r="AG1298" s="502" t="str">
        <f>Table15[[#This Row],[code5]]</f>
        <v>BVR</v>
      </c>
    </row>
    <row r="1299" spans="1:33">
      <c r="A1299" s="338" t="s">
        <v>6072</v>
      </c>
      <c r="B1299" s="338" t="s">
        <v>6073</v>
      </c>
      <c r="C1299" s="337">
        <v>1</v>
      </c>
      <c r="D1299" s="338" t="s">
        <v>7731</v>
      </c>
      <c r="E1299" s="338" t="s">
        <v>7732</v>
      </c>
      <c r="F1299" s="337">
        <v>1</v>
      </c>
      <c r="G1299" s="337">
        <v>1</v>
      </c>
      <c r="H1299" s="338"/>
      <c r="I1299" s="338" t="s">
        <v>9126</v>
      </c>
      <c r="J1299" s="338" t="s">
        <v>9132</v>
      </c>
      <c r="K1299" s="338" t="s">
        <v>7733</v>
      </c>
      <c r="L1299" s="338"/>
      <c r="M1299" s="338" t="s">
        <v>7758</v>
      </c>
      <c r="N1299" s="338" t="s">
        <v>7759</v>
      </c>
      <c r="O1299" s="337">
        <v>1</v>
      </c>
      <c r="P1299" s="337">
        <v>1</v>
      </c>
      <c r="Q1299" s="338"/>
      <c r="R1299" s="338"/>
      <c r="S1299" s="338"/>
      <c r="T1299" s="338" t="s">
        <v>7760</v>
      </c>
      <c r="U1299" s="338" t="s">
        <v>7769</v>
      </c>
      <c r="V1299" s="337">
        <v>1</v>
      </c>
      <c r="W1299" s="337">
        <v>1</v>
      </c>
      <c r="X1299" s="338" t="s">
        <v>7770</v>
      </c>
      <c r="Y1299" s="338" t="s">
        <v>92</v>
      </c>
      <c r="Z1299" s="338" t="s">
        <v>9175</v>
      </c>
      <c r="AA1299" s="338" t="s">
        <v>6079</v>
      </c>
      <c r="AB1299" s="338"/>
      <c r="AC1299" s="338"/>
      <c r="AD1299" s="338"/>
      <c r="AF1299" s="502" t="str">
        <f>Table15[[#This Row],[code2]]</f>
        <v>CBBF</v>
      </c>
      <c r="AG1299" s="502" t="str">
        <f>Table15[[#This Row],[code5]]</f>
        <v>BVR</v>
      </c>
    </row>
    <row r="1300" spans="1:33">
      <c r="A1300" s="338" t="s">
        <v>6072</v>
      </c>
      <c r="B1300" s="338" t="s">
        <v>6073</v>
      </c>
      <c r="C1300" s="337">
        <v>1</v>
      </c>
      <c r="D1300" s="338" t="s">
        <v>7731</v>
      </c>
      <c r="E1300" s="338" t="s">
        <v>7732</v>
      </c>
      <c r="F1300" s="337">
        <v>1</v>
      </c>
      <c r="G1300" s="337">
        <v>1</v>
      </c>
      <c r="H1300" s="338"/>
      <c r="I1300" s="338" t="s">
        <v>9126</v>
      </c>
      <c r="J1300" s="338" t="s">
        <v>9132</v>
      </c>
      <c r="K1300" s="338" t="s">
        <v>7733</v>
      </c>
      <c r="L1300" s="338"/>
      <c r="M1300" s="338" t="s">
        <v>7758</v>
      </c>
      <c r="N1300" s="338" t="s">
        <v>7759</v>
      </c>
      <c r="O1300" s="337">
        <v>1</v>
      </c>
      <c r="P1300" s="337">
        <v>1</v>
      </c>
      <c r="Q1300" s="338"/>
      <c r="R1300" s="338"/>
      <c r="S1300" s="338"/>
      <c r="T1300" s="338" t="s">
        <v>7760</v>
      </c>
      <c r="U1300" s="338" t="s">
        <v>7771</v>
      </c>
      <c r="V1300" s="337">
        <v>1</v>
      </c>
      <c r="W1300" s="337">
        <v>1</v>
      </c>
      <c r="X1300" s="338" t="s">
        <v>7772</v>
      </c>
      <c r="Y1300" s="338" t="s">
        <v>92</v>
      </c>
      <c r="Z1300" s="338" t="s">
        <v>9180</v>
      </c>
      <c r="AA1300" s="338" t="s">
        <v>6079</v>
      </c>
      <c r="AB1300" s="338"/>
      <c r="AC1300" s="338"/>
      <c r="AD1300" s="338"/>
      <c r="AF1300" s="502" t="str">
        <f>Table15[[#This Row],[code2]]</f>
        <v>CBBF</v>
      </c>
      <c r="AG1300" s="502" t="str">
        <f>Table15[[#This Row],[code5]]</f>
        <v>BVR</v>
      </c>
    </row>
    <row r="1301" spans="1:33">
      <c r="A1301" s="338" t="s">
        <v>6072</v>
      </c>
      <c r="B1301" s="338" t="s">
        <v>6073</v>
      </c>
      <c r="C1301" s="337">
        <v>1</v>
      </c>
      <c r="D1301" s="338" t="s">
        <v>7731</v>
      </c>
      <c r="E1301" s="338" t="s">
        <v>7732</v>
      </c>
      <c r="F1301" s="337">
        <v>1</v>
      </c>
      <c r="G1301" s="337">
        <v>1</v>
      </c>
      <c r="H1301" s="338"/>
      <c r="I1301" s="338" t="s">
        <v>9126</v>
      </c>
      <c r="J1301" s="338" t="s">
        <v>9132</v>
      </c>
      <c r="K1301" s="338" t="s">
        <v>7733</v>
      </c>
      <c r="L1301" s="338"/>
      <c r="M1301" s="338" t="s">
        <v>7758</v>
      </c>
      <c r="N1301" s="338" t="s">
        <v>7759</v>
      </c>
      <c r="O1301" s="337">
        <v>1</v>
      </c>
      <c r="P1301" s="337">
        <v>1</v>
      </c>
      <c r="Q1301" s="338"/>
      <c r="R1301" s="338"/>
      <c r="S1301" s="338"/>
      <c r="T1301" s="338" t="s">
        <v>7760</v>
      </c>
      <c r="U1301" s="338" t="s">
        <v>7773</v>
      </c>
      <c r="V1301" s="337">
        <v>1</v>
      </c>
      <c r="W1301" s="337">
        <v>1</v>
      </c>
      <c r="X1301" s="338" t="s">
        <v>7774</v>
      </c>
      <c r="Y1301" s="338" t="s">
        <v>92</v>
      </c>
      <c r="Z1301" s="338" t="s">
        <v>9181</v>
      </c>
      <c r="AA1301" s="338" t="s">
        <v>6079</v>
      </c>
      <c r="AB1301" s="338"/>
      <c r="AC1301" s="338"/>
      <c r="AD1301" s="338"/>
      <c r="AF1301" s="502" t="str">
        <f>Table15[[#This Row],[code2]]</f>
        <v>CBBF</v>
      </c>
      <c r="AG1301" s="502" t="str">
        <f>Table15[[#This Row],[code5]]</f>
        <v>BVR</v>
      </c>
    </row>
    <row r="1302" spans="1:33">
      <c r="A1302" s="338" t="s">
        <v>6072</v>
      </c>
      <c r="B1302" s="338" t="s">
        <v>6073</v>
      </c>
      <c r="C1302" s="337">
        <v>1</v>
      </c>
      <c r="D1302" s="338" t="s">
        <v>7731</v>
      </c>
      <c r="E1302" s="338" t="s">
        <v>7732</v>
      </c>
      <c r="F1302" s="337">
        <v>1</v>
      </c>
      <c r="G1302" s="337">
        <v>1</v>
      </c>
      <c r="H1302" s="338"/>
      <c r="I1302" s="338" t="s">
        <v>9126</v>
      </c>
      <c r="J1302" s="338" t="s">
        <v>9132</v>
      </c>
      <c r="K1302" s="338" t="s">
        <v>7733</v>
      </c>
      <c r="L1302" s="338"/>
      <c r="M1302" s="338" t="s">
        <v>7758</v>
      </c>
      <c r="N1302" s="338" t="s">
        <v>7759</v>
      </c>
      <c r="O1302" s="337">
        <v>1</v>
      </c>
      <c r="P1302" s="337">
        <v>1</v>
      </c>
      <c r="Q1302" s="338"/>
      <c r="R1302" s="338"/>
      <c r="S1302" s="338"/>
      <c r="T1302" s="338" t="s">
        <v>7760</v>
      </c>
      <c r="U1302" s="338" t="s">
        <v>7775</v>
      </c>
      <c r="V1302" s="337">
        <v>1</v>
      </c>
      <c r="W1302" s="337">
        <v>1</v>
      </c>
      <c r="X1302" s="338" t="s">
        <v>7776</v>
      </c>
      <c r="Y1302" s="338" t="s">
        <v>92</v>
      </c>
      <c r="Z1302" s="338" t="s">
        <v>8427</v>
      </c>
      <c r="AA1302" s="338" t="s">
        <v>6079</v>
      </c>
      <c r="AB1302" s="338"/>
      <c r="AC1302" s="338"/>
      <c r="AD1302" s="338"/>
      <c r="AF1302" s="502" t="str">
        <f>Table15[[#This Row],[code2]]</f>
        <v>CBBF</v>
      </c>
      <c r="AG1302" s="502" t="str">
        <f>Table15[[#This Row],[code5]]</f>
        <v>BVR</v>
      </c>
    </row>
    <row r="1303" spans="1:33">
      <c r="A1303" s="338" t="s">
        <v>6072</v>
      </c>
      <c r="B1303" s="338" t="s">
        <v>6073</v>
      </c>
      <c r="C1303" s="337">
        <v>1</v>
      </c>
      <c r="D1303" s="338" t="s">
        <v>7731</v>
      </c>
      <c r="E1303" s="338" t="s">
        <v>7732</v>
      </c>
      <c r="F1303" s="337">
        <v>1</v>
      </c>
      <c r="G1303" s="337">
        <v>1</v>
      </c>
      <c r="H1303" s="338"/>
      <c r="I1303" s="338" t="s">
        <v>9126</v>
      </c>
      <c r="J1303" s="338" t="s">
        <v>9132</v>
      </c>
      <c r="K1303" s="338" t="s">
        <v>7733</v>
      </c>
      <c r="L1303" s="338"/>
      <c r="M1303" s="338" t="s">
        <v>7758</v>
      </c>
      <c r="N1303" s="338" t="s">
        <v>7759</v>
      </c>
      <c r="O1303" s="337">
        <v>1</v>
      </c>
      <c r="P1303" s="337">
        <v>1</v>
      </c>
      <c r="Q1303" s="338"/>
      <c r="R1303" s="338"/>
      <c r="S1303" s="338"/>
      <c r="T1303" s="338" t="s">
        <v>7760</v>
      </c>
      <c r="U1303" s="338" t="s">
        <v>7777</v>
      </c>
      <c r="V1303" s="337">
        <v>1</v>
      </c>
      <c r="W1303" s="337">
        <v>1</v>
      </c>
      <c r="X1303" s="338" t="s">
        <v>7778</v>
      </c>
      <c r="Y1303" s="338" t="s">
        <v>92</v>
      </c>
      <c r="Z1303" s="338" t="s">
        <v>8428</v>
      </c>
      <c r="AA1303" s="338" t="s">
        <v>6079</v>
      </c>
      <c r="AB1303" s="338"/>
      <c r="AC1303" s="338"/>
      <c r="AD1303" s="338"/>
      <c r="AF1303" s="502" t="str">
        <f>Table15[[#This Row],[code2]]</f>
        <v>CBBF</v>
      </c>
      <c r="AG1303" s="502" t="str">
        <f>Table15[[#This Row],[code5]]</f>
        <v>BVR</v>
      </c>
    </row>
    <row r="1304" spans="1:33">
      <c r="A1304" s="338" t="s">
        <v>6072</v>
      </c>
      <c r="B1304" s="338" t="s">
        <v>6073</v>
      </c>
      <c r="C1304" s="337">
        <v>1</v>
      </c>
      <c r="D1304" s="338" t="s">
        <v>7731</v>
      </c>
      <c r="E1304" s="338" t="s">
        <v>7732</v>
      </c>
      <c r="F1304" s="337">
        <v>1</v>
      </c>
      <c r="G1304" s="337">
        <v>1</v>
      </c>
      <c r="H1304" s="338"/>
      <c r="I1304" s="338" t="s">
        <v>9126</v>
      </c>
      <c r="J1304" s="338" t="s">
        <v>9132</v>
      </c>
      <c r="K1304" s="338" t="s">
        <v>7733</v>
      </c>
      <c r="L1304" s="338"/>
      <c r="M1304" s="338" t="s">
        <v>7758</v>
      </c>
      <c r="N1304" s="338" t="s">
        <v>7759</v>
      </c>
      <c r="O1304" s="337">
        <v>1</v>
      </c>
      <c r="P1304" s="337">
        <v>1</v>
      </c>
      <c r="Q1304" s="338"/>
      <c r="R1304" s="338"/>
      <c r="S1304" s="338"/>
      <c r="T1304" s="338" t="s">
        <v>7760</v>
      </c>
      <c r="U1304" s="338" t="s">
        <v>7779</v>
      </c>
      <c r="V1304" s="337">
        <v>0</v>
      </c>
      <c r="W1304" s="337">
        <v>0</v>
      </c>
      <c r="X1304" s="338" t="s">
        <v>8239</v>
      </c>
      <c r="Y1304" s="338" t="s">
        <v>92</v>
      </c>
      <c r="Z1304" s="338" t="s">
        <v>7968</v>
      </c>
      <c r="AA1304" s="338" t="s">
        <v>6079</v>
      </c>
      <c r="AB1304" s="338"/>
      <c r="AC1304" s="338"/>
      <c r="AD1304" s="338"/>
      <c r="AF1304" s="502" t="str">
        <f>Table15[[#This Row],[code2]]</f>
        <v>CBBF</v>
      </c>
      <c r="AG1304" s="502" t="str">
        <f>Table15[[#This Row],[code5]]</f>
        <v>BVR</v>
      </c>
    </row>
    <row r="1305" spans="1:33">
      <c r="A1305" s="338" t="s">
        <v>6072</v>
      </c>
      <c r="B1305" s="338" t="s">
        <v>6073</v>
      </c>
      <c r="C1305" s="337">
        <v>1</v>
      </c>
      <c r="D1305" s="338" t="s">
        <v>7731</v>
      </c>
      <c r="E1305" s="338" t="s">
        <v>7732</v>
      </c>
      <c r="F1305" s="337">
        <v>1</v>
      </c>
      <c r="G1305" s="337">
        <v>1</v>
      </c>
      <c r="H1305" s="338"/>
      <c r="I1305" s="338" t="s">
        <v>9126</v>
      </c>
      <c r="J1305" s="338" t="s">
        <v>9132</v>
      </c>
      <c r="K1305" s="338" t="s">
        <v>7733</v>
      </c>
      <c r="L1305" s="338"/>
      <c r="M1305" s="338" t="s">
        <v>7758</v>
      </c>
      <c r="N1305" s="338" t="s">
        <v>7759</v>
      </c>
      <c r="O1305" s="337">
        <v>1</v>
      </c>
      <c r="P1305" s="337">
        <v>1</v>
      </c>
      <c r="Q1305" s="338"/>
      <c r="R1305" s="338"/>
      <c r="S1305" s="338"/>
      <c r="T1305" s="338" t="s">
        <v>7760</v>
      </c>
      <c r="U1305" s="338" t="s">
        <v>7780</v>
      </c>
      <c r="V1305" s="337">
        <v>0</v>
      </c>
      <c r="W1305" s="337">
        <v>0</v>
      </c>
      <c r="X1305" s="338" t="s">
        <v>8240</v>
      </c>
      <c r="Y1305" s="338" t="s">
        <v>92</v>
      </c>
      <c r="Z1305" s="338" t="s">
        <v>8016</v>
      </c>
      <c r="AA1305" s="338" t="s">
        <v>6079</v>
      </c>
      <c r="AB1305" s="338"/>
      <c r="AC1305" s="338"/>
      <c r="AD1305" s="338"/>
      <c r="AF1305" s="502" t="str">
        <f>Table15[[#This Row],[code2]]</f>
        <v>CBBF</v>
      </c>
      <c r="AG1305" s="502" t="str">
        <f>Table15[[#This Row],[code5]]</f>
        <v>BVR</v>
      </c>
    </row>
    <row r="1306" spans="1:33">
      <c r="A1306" s="338" t="s">
        <v>6072</v>
      </c>
      <c r="B1306" s="338" t="s">
        <v>6073</v>
      </c>
      <c r="C1306" s="337">
        <v>1</v>
      </c>
      <c r="D1306" s="338" t="s">
        <v>7731</v>
      </c>
      <c r="E1306" s="338" t="s">
        <v>7732</v>
      </c>
      <c r="F1306" s="337">
        <v>1</v>
      </c>
      <c r="G1306" s="337">
        <v>1</v>
      </c>
      <c r="H1306" s="338"/>
      <c r="I1306" s="338" t="s">
        <v>9126</v>
      </c>
      <c r="J1306" s="338" t="s">
        <v>9132</v>
      </c>
      <c r="K1306" s="338" t="s">
        <v>7733</v>
      </c>
      <c r="L1306" s="338"/>
      <c r="M1306" s="338" t="s">
        <v>7758</v>
      </c>
      <c r="N1306" s="338" t="s">
        <v>7759</v>
      </c>
      <c r="O1306" s="337">
        <v>1</v>
      </c>
      <c r="P1306" s="337">
        <v>1</v>
      </c>
      <c r="Q1306" s="338"/>
      <c r="R1306" s="338"/>
      <c r="S1306" s="338"/>
      <c r="T1306" s="338" t="s">
        <v>7760</v>
      </c>
      <c r="U1306" s="338" t="s">
        <v>7781</v>
      </c>
      <c r="V1306" s="337">
        <v>1</v>
      </c>
      <c r="W1306" s="337">
        <v>0</v>
      </c>
      <c r="X1306" s="338" t="s">
        <v>8345</v>
      </c>
      <c r="Y1306" s="338" t="s">
        <v>92</v>
      </c>
      <c r="Z1306" s="338" t="s">
        <v>8024</v>
      </c>
      <c r="AA1306" s="338" t="s">
        <v>6079</v>
      </c>
      <c r="AB1306" s="338"/>
      <c r="AC1306" s="338"/>
      <c r="AD1306" s="338"/>
      <c r="AF1306" s="502" t="str">
        <f>Table15[[#This Row],[code2]]</f>
        <v>CBBF</v>
      </c>
      <c r="AG1306" s="502" t="str">
        <f>Table15[[#This Row],[code5]]</f>
        <v>BVR</v>
      </c>
    </row>
    <row r="1307" spans="1:33">
      <c r="A1307" s="338" t="s">
        <v>6072</v>
      </c>
      <c r="B1307" s="338" t="s">
        <v>6073</v>
      </c>
      <c r="C1307" s="337">
        <v>1</v>
      </c>
      <c r="D1307" s="338" t="s">
        <v>7731</v>
      </c>
      <c r="E1307" s="338" t="s">
        <v>7732</v>
      </c>
      <c r="F1307" s="337">
        <v>1</v>
      </c>
      <c r="G1307" s="337">
        <v>1</v>
      </c>
      <c r="H1307" s="338"/>
      <c r="I1307" s="338" t="s">
        <v>9126</v>
      </c>
      <c r="J1307" s="338" t="s">
        <v>9132</v>
      </c>
      <c r="K1307" s="338" t="s">
        <v>7733</v>
      </c>
      <c r="L1307" s="338"/>
      <c r="M1307" s="338" t="s">
        <v>7758</v>
      </c>
      <c r="N1307" s="338" t="s">
        <v>7759</v>
      </c>
      <c r="O1307" s="337">
        <v>1</v>
      </c>
      <c r="P1307" s="337">
        <v>1</v>
      </c>
      <c r="Q1307" s="338"/>
      <c r="R1307" s="338"/>
      <c r="S1307" s="338"/>
      <c r="T1307" s="338" t="s">
        <v>7760</v>
      </c>
      <c r="U1307" s="338" t="s">
        <v>7880</v>
      </c>
      <c r="V1307" s="337">
        <v>1</v>
      </c>
      <c r="W1307" s="337">
        <v>0</v>
      </c>
      <c r="X1307" s="338" t="s">
        <v>8467</v>
      </c>
      <c r="Y1307" s="338" t="s">
        <v>92</v>
      </c>
      <c r="Z1307" s="338" t="s">
        <v>8020</v>
      </c>
      <c r="AA1307" s="338" t="s">
        <v>6079</v>
      </c>
      <c r="AB1307" s="338"/>
      <c r="AC1307" s="338"/>
      <c r="AD1307" s="338"/>
      <c r="AF1307" s="502" t="str">
        <f>Table15[[#This Row],[code2]]</f>
        <v>CBBF</v>
      </c>
      <c r="AG1307" s="502" t="str">
        <f>Table15[[#This Row],[code5]]</f>
        <v>BVR</v>
      </c>
    </row>
    <row r="1308" spans="1:33">
      <c r="A1308" s="338" t="s">
        <v>6072</v>
      </c>
      <c r="B1308" s="338" t="s">
        <v>6073</v>
      </c>
      <c r="C1308" s="337">
        <v>1</v>
      </c>
      <c r="D1308" s="338" t="s">
        <v>7731</v>
      </c>
      <c r="E1308" s="338" t="s">
        <v>7732</v>
      </c>
      <c r="F1308" s="337">
        <v>1</v>
      </c>
      <c r="G1308" s="337">
        <v>1</v>
      </c>
      <c r="H1308" s="338"/>
      <c r="I1308" s="338" t="s">
        <v>9126</v>
      </c>
      <c r="J1308" s="338" t="s">
        <v>9132</v>
      </c>
      <c r="K1308" s="338" t="s">
        <v>7733</v>
      </c>
      <c r="L1308" s="338"/>
      <c r="M1308" s="338" t="s">
        <v>7881</v>
      </c>
      <c r="N1308" s="338" t="s">
        <v>8238</v>
      </c>
      <c r="O1308" s="337">
        <v>0</v>
      </c>
      <c r="P1308" s="337">
        <v>0</v>
      </c>
      <c r="Q1308" s="338"/>
      <c r="R1308" s="338"/>
      <c r="S1308" s="338"/>
      <c r="T1308" s="338"/>
      <c r="U1308" s="338" t="s">
        <v>7882</v>
      </c>
      <c r="V1308" s="337">
        <v>0</v>
      </c>
      <c r="W1308" s="337">
        <v>0</v>
      </c>
      <c r="X1308" s="338" t="s">
        <v>7883</v>
      </c>
      <c r="Y1308" s="338" t="s">
        <v>92</v>
      </c>
      <c r="Z1308" s="338" t="s">
        <v>6126</v>
      </c>
      <c r="AA1308" s="338" t="s">
        <v>6079</v>
      </c>
      <c r="AB1308" s="338"/>
      <c r="AC1308" s="338"/>
      <c r="AD1308" s="338"/>
      <c r="AF1308" s="502" t="str">
        <f>Table15[[#This Row],[code2]]</f>
        <v>CBBF</v>
      </c>
      <c r="AG1308" s="502" t="str">
        <f>Table15[[#This Row],[code5]]</f>
        <v>BL</v>
      </c>
    </row>
    <row r="1309" spans="1:33">
      <c r="A1309" s="338" t="s">
        <v>6072</v>
      </c>
      <c r="B1309" s="338" t="s">
        <v>6073</v>
      </c>
      <c r="C1309" s="337">
        <v>1</v>
      </c>
      <c r="D1309" s="338" t="s">
        <v>7782</v>
      </c>
      <c r="E1309" s="338" t="s">
        <v>7783</v>
      </c>
      <c r="F1309" s="337">
        <v>1</v>
      </c>
      <c r="G1309" s="337">
        <v>1</v>
      </c>
      <c r="H1309" s="338"/>
      <c r="I1309" s="338" t="s">
        <v>8694</v>
      </c>
      <c r="J1309" s="338" t="s">
        <v>8695</v>
      </c>
      <c r="K1309" s="338" t="s">
        <v>7784</v>
      </c>
      <c r="L1309" s="338"/>
      <c r="M1309" s="338" t="s">
        <v>8680</v>
      </c>
      <c r="N1309" s="338" t="s">
        <v>8681</v>
      </c>
      <c r="O1309" s="337">
        <v>1</v>
      </c>
      <c r="P1309" s="337">
        <v>1</v>
      </c>
      <c r="Q1309" s="338"/>
      <c r="R1309" s="338"/>
      <c r="S1309" s="338"/>
      <c r="T1309" s="338" t="s">
        <v>6967</v>
      </c>
      <c r="U1309" s="338" t="s">
        <v>8682</v>
      </c>
      <c r="V1309" s="337">
        <v>1</v>
      </c>
      <c r="W1309" s="337">
        <v>1</v>
      </c>
      <c r="X1309" s="338"/>
      <c r="Y1309" s="338" t="s">
        <v>7365</v>
      </c>
      <c r="Z1309" s="338" t="s">
        <v>7368</v>
      </c>
      <c r="AA1309" s="338" t="s">
        <v>6079</v>
      </c>
      <c r="AB1309" s="338"/>
      <c r="AC1309" s="338"/>
      <c r="AD1309" s="338"/>
      <c r="AF1309" s="502" t="str">
        <f>Table15[[#This Row],[code2]]</f>
        <v>CBCC</v>
      </c>
      <c r="AG1309" s="502" t="str">
        <f>Table15[[#This Row],[code5]]</f>
        <v>QBR</v>
      </c>
    </row>
    <row r="1310" spans="1:33">
      <c r="A1310" s="338" t="s">
        <v>6072</v>
      </c>
      <c r="B1310" s="338" t="s">
        <v>6073</v>
      </c>
      <c r="C1310" s="337">
        <v>1</v>
      </c>
      <c r="D1310" s="338" t="s">
        <v>7782</v>
      </c>
      <c r="E1310" s="338" t="s">
        <v>7783</v>
      </c>
      <c r="F1310" s="337">
        <v>1</v>
      </c>
      <c r="G1310" s="337">
        <v>1</v>
      </c>
      <c r="H1310" s="338"/>
      <c r="I1310" s="338" t="s">
        <v>8694</v>
      </c>
      <c r="J1310" s="338" t="s">
        <v>8695</v>
      </c>
      <c r="K1310" s="338" t="s">
        <v>7784</v>
      </c>
      <c r="L1310" s="338"/>
      <c r="M1310" s="338" t="s">
        <v>8680</v>
      </c>
      <c r="N1310" s="338" t="s">
        <v>8681</v>
      </c>
      <c r="O1310" s="337">
        <v>1</v>
      </c>
      <c r="P1310" s="337">
        <v>1</v>
      </c>
      <c r="Q1310" s="338"/>
      <c r="R1310" s="338"/>
      <c r="S1310" s="338"/>
      <c r="T1310" s="338" t="s">
        <v>6967</v>
      </c>
      <c r="U1310" s="338" t="s">
        <v>8683</v>
      </c>
      <c r="V1310" s="337">
        <v>1</v>
      </c>
      <c r="W1310" s="337">
        <v>1</v>
      </c>
      <c r="X1310" s="338"/>
      <c r="Y1310" s="338" t="s">
        <v>7370</v>
      </c>
      <c r="Z1310" s="338" t="s">
        <v>7377</v>
      </c>
      <c r="AA1310" s="338" t="s">
        <v>6079</v>
      </c>
      <c r="AB1310" s="338"/>
      <c r="AC1310" s="338"/>
      <c r="AD1310" s="338"/>
      <c r="AF1310" s="502" t="str">
        <f>Table15[[#This Row],[code2]]</f>
        <v>CBCC</v>
      </c>
      <c r="AG1310" s="502" t="str">
        <f>Table15[[#This Row],[code5]]</f>
        <v>QBR</v>
      </c>
    </row>
    <row r="1311" spans="1:33">
      <c r="A1311" s="338" t="s">
        <v>6072</v>
      </c>
      <c r="B1311" s="338" t="s">
        <v>6073</v>
      </c>
      <c r="C1311" s="337">
        <v>1</v>
      </c>
      <c r="D1311" s="338" t="s">
        <v>7782</v>
      </c>
      <c r="E1311" s="338" t="s">
        <v>7783</v>
      </c>
      <c r="F1311" s="337">
        <v>1</v>
      </c>
      <c r="G1311" s="337">
        <v>1</v>
      </c>
      <c r="H1311" s="338"/>
      <c r="I1311" s="338" t="s">
        <v>8694</v>
      </c>
      <c r="J1311" s="338" t="s">
        <v>8695</v>
      </c>
      <c r="K1311" s="338" t="s">
        <v>7784</v>
      </c>
      <c r="L1311" s="338"/>
      <c r="M1311" s="338" t="s">
        <v>7801</v>
      </c>
      <c r="N1311" s="338" t="s">
        <v>7802</v>
      </c>
      <c r="O1311" s="337">
        <v>1</v>
      </c>
      <c r="P1311" s="337">
        <v>1</v>
      </c>
      <c r="Q1311" s="338"/>
      <c r="R1311" s="338"/>
      <c r="S1311" s="338"/>
      <c r="T1311" s="338" t="s">
        <v>6967</v>
      </c>
      <c r="U1311" s="338" t="s">
        <v>7803</v>
      </c>
      <c r="V1311" s="337">
        <v>1</v>
      </c>
      <c r="W1311" s="337">
        <v>1</v>
      </c>
      <c r="X1311" s="338"/>
      <c r="Y1311" s="338" t="s">
        <v>7365</v>
      </c>
      <c r="Z1311" s="338" t="s">
        <v>7368</v>
      </c>
      <c r="AA1311" s="338" t="s">
        <v>6079</v>
      </c>
      <c r="AB1311" s="338"/>
      <c r="AC1311" s="338"/>
      <c r="AD1311" s="338"/>
      <c r="AF1311" s="502" t="str">
        <f>Table15[[#This Row],[code2]]</f>
        <v>CBCC</v>
      </c>
      <c r="AG1311" s="502" t="str">
        <f>Table15[[#This Row],[code5]]</f>
        <v>ABB</v>
      </c>
    </row>
    <row r="1312" spans="1:33">
      <c r="A1312" s="338" t="s">
        <v>6072</v>
      </c>
      <c r="B1312" s="338" t="s">
        <v>6073</v>
      </c>
      <c r="C1312" s="337">
        <v>1</v>
      </c>
      <c r="D1312" s="338" t="s">
        <v>7782</v>
      </c>
      <c r="E1312" s="338" t="s">
        <v>7783</v>
      </c>
      <c r="F1312" s="337">
        <v>1</v>
      </c>
      <c r="G1312" s="337">
        <v>1</v>
      </c>
      <c r="H1312" s="338"/>
      <c r="I1312" s="338" t="s">
        <v>8694</v>
      </c>
      <c r="J1312" s="338" t="s">
        <v>8695</v>
      </c>
      <c r="K1312" s="338" t="s">
        <v>7784</v>
      </c>
      <c r="L1312" s="338"/>
      <c r="M1312" s="338" t="s">
        <v>7801</v>
      </c>
      <c r="N1312" s="338" t="s">
        <v>7802</v>
      </c>
      <c r="O1312" s="337">
        <v>1</v>
      </c>
      <c r="P1312" s="337">
        <v>1</v>
      </c>
      <c r="Q1312" s="338"/>
      <c r="R1312" s="338"/>
      <c r="S1312" s="338"/>
      <c r="T1312" s="338" t="s">
        <v>6967</v>
      </c>
      <c r="U1312" s="338" t="s">
        <v>7804</v>
      </c>
      <c r="V1312" s="337">
        <v>0</v>
      </c>
      <c r="W1312" s="337">
        <v>1</v>
      </c>
      <c r="X1312" s="338"/>
      <c r="Y1312" s="338" t="s">
        <v>7370</v>
      </c>
      <c r="Z1312" s="338" t="s">
        <v>7377</v>
      </c>
      <c r="AA1312" s="338" t="s">
        <v>6079</v>
      </c>
      <c r="AB1312" s="338"/>
      <c r="AC1312" s="338"/>
      <c r="AD1312" s="338"/>
      <c r="AF1312" s="502" t="str">
        <f>Table15[[#This Row],[code2]]</f>
        <v>CBCC</v>
      </c>
      <c r="AG1312" s="502" t="str">
        <f>Table15[[#This Row],[code5]]</f>
        <v>ABB</v>
      </c>
    </row>
    <row r="1313" spans="1:33">
      <c r="A1313" s="338" t="s">
        <v>6072</v>
      </c>
      <c r="B1313" s="338" t="s">
        <v>6073</v>
      </c>
      <c r="C1313" s="337">
        <v>1</v>
      </c>
      <c r="D1313" s="338" t="s">
        <v>7782</v>
      </c>
      <c r="E1313" s="338" t="s">
        <v>7783</v>
      </c>
      <c r="F1313" s="337">
        <v>1</v>
      </c>
      <c r="G1313" s="337">
        <v>1</v>
      </c>
      <c r="H1313" s="338"/>
      <c r="I1313" s="338" t="s">
        <v>8694</v>
      </c>
      <c r="J1313" s="338" t="s">
        <v>8695</v>
      </c>
      <c r="K1313" s="338" t="s">
        <v>7784</v>
      </c>
      <c r="L1313" s="338"/>
      <c r="M1313" s="338" t="s">
        <v>7797</v>
      </c>
      <c r="N1313" s="338" t="s">
        <v>7798</v>
      </c>
      <c r="O1313" s="337">
        <v>1</v>
      </c>
      <c r="P1313" s="337">
        <v>1</v>
      </c>
      <c r="Q1313" s="338"/>
      <c r="R1313" s="338"/>
      <c r="S1313" s="338"/>
      <c r="T1313" s="338" t="s">
        <v>6967</v>
      </c>
      <c r="U1313" s="338" t="s">
        <v>7799</v>
      </c>
      <c r="V1313" s="337">
        <v>1</v>
      </c>
      <c r="W1313" s="337">
        <v>1</v>
      </c>
      <c r="X1313" s="338"/>
      <c r="Y1313" s="338" t="s">
        <v>7365</v>
      </c>
      <c r="Z1313" s="338" t="s">
        <v>7368</v>
      </c>
      <c r="AA1313" s="338" t="s">
        <v>6079</v>
      </c>
      <c r="AB1313" s="338"/>
      <c r="AC1313" s="338"/>
      <c r="AD1313" s="338"/>
      <c r="AF1313" s="502" t="str">
        <f>Table15[[#This Row],[code2]]</f>
        <v>CBCC</v>
      </c>
      <c r="AG1313" s="502" t="str">
        <f>Table15[[#This Row],[code5]]</f>
        <v>BORO</v>
      </c>
    </row>
    <row r="1314" spans="1:33">
      <c r="A1314" s="338" t="s">
        <v>6072</v>
      </c>
      <c r="B1314" s="338" t="s">
        <v>6073</v>
      </c>
      <c r="C1314" s="337">
        <v>1</v>
      </c>
      <c r="D1314" s="338" t="s">
        <v>7782</v>
      </c>
      <c r="E1314" s="338" t="s">
        <v>7783</v>
      </c>
      <c r="F1314" s="337">
        <v>1</v>
      </c>
      <c r="G1314" s="337">
        <v>1</v>
      </c>
      <c r="H1314" s="338"/>
      <c r="I1314" s="338" t="s">
        <v>8694</v>
      </c>
      <c r="J1314" s="338" t="s">
        <v>8695</v>
      </c>
      <c r="K1314" s="338" t="s">
        <v>7784</v>
      </c>
      <c r="L1314" s="338"/>
      <c r="M1314" s="338" t="s">
        <v>7797</v>
      </c>
      <c r="N1314" s="338" t="s">
        <v>7798</v>
      </c>
      <c r="O1314" s="337">
        <v>1</v>
      </c>
      <c r="P1314" s="337">
        <v>1</v>
      </c>
      <c r="Q1314" s="338"/>
      <c r="R1314" s="338"/>
      <c r="S1314" s="338"/>
      <c r="T1314" s="338" t="s">
        <v>6967</v>
      </c>
      <c r="U1314" s="338" t="s">
        <v>7800</v>
      </c>
      <c r="V1314" s="337">
        <v>1</v>
      </c>
      <c r="W1314" s="337">
        <v>1</v>
      </c>
      <c r="X1314" s="338"/>
      <c r="Y1314" s="338" t="s">
        <v>7370</v>
      </c>
      <c r="Z1314" s="338" t="s">
        <v>7377</v>
      </c>
      <c r="AA1314" s="338" t="s">
        <v>6079</v>
      </c>
      <c r="AB1314" s="338"/>
      <c r="AC1314" s="338"/>
      <c r="AD1314" s="338"/>
      <c r="AF1314" s="502" t="str">
        <f>Table15[[#This Row],[code2]]</f>
        <v>CBCC</v>
      </c>
      <c r="AG1314" s="502" t="str">
        <f>Table15[[#This Row],[code5]]</f>
        <v>BORO</v>
      </c>
    </row>
    <row r="1315" spans="1:33">
      <c r="A1315" s="338" t="s">
        <v>6072</v>
      </c>
      <c r="B1315" s="338" t="s">
        <v>6073</v>
      </c>
      <c r="C1315" s="337">
        <v>1</v>
      </c>
      <c r="D1315" s="338" t="s">
        <v>7782</v>
      </c>
      <c r="E1315" s="338" t="s">
        <v>7783</v>
      </c>
      <c r="F1315" s="337">
        <v>1</v>
      </c>
      <c r="G1315" s="337">
        <v>1</v>
      </c>
      <c r="H1315" s="338"/>
      <c r="I1315" s="338" t="s">
        <v>8694</v>
      </c>
      <c r="J1315" s="338" t="s">
        <v>8695</v>
      </c>
      <c r="K1315" s="338" t="s">
        <v>7784</v>
      </c>
      <c r="L1315" s="338"/>
      <c r="M1315" s="338" t="s">
        <v>7791</v>
      </c>
      <c r="N1315" s="338" t="s">
        <v>7792</v>
      </c>
      <c r="O1315" s="337">
        <v>1</v>
      </c>
      <c r="P1315" s="337">
        <v>1</v>
      </c>
      <c r="Q1315" s="338"/>
      <c r="R1315" s="338"/>
      <c r="S1315" s="338"/>
      <c r="T1315" s="338" t="s">
        <v>6967</v>
      </c>
      <c r="U1315" s="338" t="s">
        <v>7793</v>
      </c>
      <c r="V1315" s="337">
        <v>1</v>
      </c>
      <c r="W1315" s="337">
        <v>1</v>
      </c>
      <c r="X1315" s="338"/>
      <c r="Y1315" s="338" t="s">
        <v>7365</v>
      </c>
      <c r="Z1315" s="338" t="s">
        <v>7794</v>
      </c>
      <c r="AA1315" s="338" t="s">
        <v>6079</v>
      </c>
      <c r="AB1315" s="338"/>
      <c r="AC1315" s="338"/>
      <c r="AD1315" s="338"/>
      <c r="AF1315" s="502" t="str">
        <f>Table15[[#This Row],[code2]]</f>
        <v>CBCC</v>
      </c>
      <c r="AG1315" s="502" t="str">
        <f>Table15[[#This Row],[code5]]</f>
        <v>BOFD</v>
      </c>
    </row>
    <row r="1316" spans="1:33">
      <c r="A1316" s="338" t="s">
        <v>6072</v>
      </c>
      <c r="B1316" s="338" t="s">
        <v>6073</v>
      </c>
      <c r="C1316" s="337">
        <v>1</v>
      </c>
      <c r="D1316" s="338" t="s">
        <v>7782</v>
      </c>
      <c r="E1316" s="338" t="s">
        <v>7783</v>
      </c>
      <c r="F1316" s="337">
        <v>1</v>
      </c>
      <c r="G1316" s="337">
        <v>1</v>
      </c>
      <c r="H1316" s="338"/>
      <c r="I1316" s="338" t="s">
        <v>8694</v>
      </c>
      <c r="J1316" s="338" t="s">
        <v>8695</v>
      </c>
      <c r="K1316" s="338" t="s">
        <v>7784</v>
      </c>
      <c r="L1316" s="338"/>
      <c r="M1316" s="338" t="s">
        <v>7791</v>
      </c>
      <c r="N1316" s="338" t="s">
        <v>7792</v>
      </c>
      <c r="O1316" s="337">
        <v>1</v>
      </c>
      <c r="P1316" s="337">
        <v>1</v>
      </c>
      <c r="Q1316" s="338"/>
      <c r="R1316" s="338"/>
      <c r="S1316" s="338"/>
      <c r="T1316" s="338" t="s">
        <v>6967</v>
      </c>
      <c r="U1316" s="338" t="s">
        <v>7795</v>
      </c>
      <c r="V1316" s="337">
        <v>1</v>
      </c>
      <c r="W1316" s="337">
        <v>1</v>
      </c>
      <c r="X1316" s="338"/>
      <c r="Y1316" s="338" t="s">
        <v>7370</v>
      </c>
      <c r="Z1316" s="338" t="s">
        <v>7796</v>
      </c>
      <c r="AA1316" s="338" t="s">
        <v>6079</v>
      </c>
      <c r="AB1316" s="338"/>
      <c r="AC1316" s="338"/>
      <c r="AD1316" s="338"/>
      <c r="AF1316" s="502" t="str">
        <f>Table15[[#This Row],[code2]]</f>
        <v>CBCC</v>
      </c>
      <c r="AG1316" s="502" t="str">
        <f>Table15[[#This Row],[code5]]</f>
        <v>BOFD</v>
      </c>
    </row>
    <row r="1317" spans="1:33">
      <c r="A1317" s="338" t="s">
        <v>6072</v>
      </c>
      <c r="B1317" s="338" t="s">
        <v>6073</v>
      </c>
      <c r="C1317" s="337">
        <v>1</v>
      </c>
      <c r="D1317" s="338" t="s">
        <v>7782</v>
      </c>
      <c r="E1317" s="338" t="s">
        <v>7783</v>
      </c>
      <c r="F1317" s="337">
        <v>1</v>
      </c>
      <c r="G1317" s="337">
        <v>1</v>
      </c>
      <c r="H1317" s="338"/>
      <c r="I1317" s="338" t="s">
        <v>8694</v>
      </c>
      <c r="J1317" s="338" t="s">
        <v>8695</v>
      </c>
      <c r="K1317" s="338" t="s">
        <v>7784</v>
      </c>
      <c r="L1317" s="338"/>
      <c r="M1317" s="338" t="s">
        <v>7785</v>
      </c>
      <c r="N1317" s="338" t="s">
        <v>7786</v>
      </c>
      <c r="O1317" s="337">
        <v>1</v>
      </c>
      <c r="P1317" s="337">
        <v>1</v>
      </c>
      <c r="Q1317" s="338"/>
      <c r="R1317" s="338"/>
      <c r="S1317" s="338"/>
      <c r="T1317" s="338" t="s">
        <v>6967</v>
      </c>
      <c r="U1317" s="338" t="s">
        <v>7787</v>
      </c>
      <c r="V1317" s="337">
        <v>1</v>
      </c>
      <c r="W1317" s="337">
        <v>1</v>
      </c>
      <c r="X1317" s="338"/>
      <c r="Y1317" s="338" t="s">
        <v>7365</v>
      </c>
      <c r="Z1317" s="338" t="s">
        <v>7788</v>
      </c>
      <c r="AA1317" s="338" t="s">
        <v>6079</v>
      </c>
      <c r="AB1317" s="338"/>
      <c r="AC1317" s="338"/>
      <c r="AD1317" s="338"/>
      <c r="AF1317" s="502" t="str">
        <f>Table15[[#This Row],[code2]]</f>
        <v>CBCC</v>
      </c>
      <c r="AG1317" s="502" t="str">
        <f>Table15[[#This Row],[code5]]</f>
        <v>BOLR</v>
      </c>
    </row>
    <row r="1318" spans="1:33">
      <c r="A1318" s="338" t="s">
        <v>6072</v>
      </c>
      <c r="B1318" s="338" t="s">
        <v>6073</v>
      </c>
      <c r="C1318" s="337">
        <v>1</v>
      </c>
      <c r="D1318" s="338" t="s">
        <v>7782</v>
      </c>
      <c r="E1318" s="338" t="s">
        <v>7783</v>
      </c>
      <c r="F1318" s="337">
        <v>1</v>
      </c>
      <c r="G1318" s="337">
        <v>1</v>
      </c>
      <c r="H1318" s="338"/>
      <c r="I1318" s="338" t="s">
        <v>8694</v>
      </c>
      <c r="J1318" s="338" t="s">
        <v>8695</v>
      </c>
      <c r="K1318" s="338" t="s">
        <v>7784</v>
      </c>
      <c r="L1318" s="338"/>
      <c r="M1318" s="338" t="s">
        <v>7785</v>
      </c>
      <c r="N1318" s="338" t="s">
        <v>7786</v>
      </c>
      <c r="O1318" s="337">
        <v>1</v>
      </c>
      <c r="P1318" s="337">
        <v>1</v>
      </c>
      <c r="Q1318" s="338"/>
      <c r="R1318" s="338"/>
      <c r="S1318" s="338"/>
      <c r="T1318" s="338" t="s">
        <v>6967</v>
      </c>
      <c r="U1318" s="338" t="s">
        <v>7789</v>
      </c>
      <c r="V1318" s="337">
        <v>1</v>
      </c>
      <c r="W1318" s="337">
        <v>1</v>
      </c>
      <c r="X1318" s="338"/>
      <c r="Y1318" s="338" t="s">
        <v>7370</v>
      </c>
      <c r="Z1318" s="338" t="s">
        <v>7790</v>
      </c>
      <c r="AA1318" s="338" t="s">
        <v>6079</v>
      </c>
      <c r="AB1318" s="338"/>
      <c r="AC1318" s="338"/>
      <c r="AD1318" s="338"/>
      <c r="AF1318" s="502" t="str">
        <f>Table15[[#This Row],[code2]]</f>
        <v>CBCC</v>
      </c>
      <c r="AG1318" s="502" t="str">
        <f>Table15[[#This Row],[code5]]</f>
        <v>BOLR</v>
      </c>
    </row>
    <row r="1319" spans="1:33">
      <c r="A1319" s="338" t="s">
        <v>6072</v>
      </c>
      <c r="B1319" s="338" t="s">
        <v>6073</v>
      </c>
      <c r="C1319" s="337">
        <v>1</v>
      </c>
      <c r="D1319" s="338" t="s">
        <v>7782</v>
      </c>
      <c r="E1319" s="338" t="s">
        <v>7783</v>
      </c>
      <c r="F1319" s="337">
        <v>1</v>
      </c>
      <c r="G1319" s="337">
        <v>1</v>
      </c>
      <c r="H1319" s="338"/>
      <c r="I1319" s="338" t="s">
        <v>8694</v>
      </c>
      <c r="J1319" s="338" t="s">
        <v>8695</v>
      </c>
      <c r="K1319" s="338" t="s">
        <v>7784</v>
      </c>
      <c r="L1319" s="338"/>
      <c r="M1319" s="338" t="s">
        <v>7460</v>
      </c>
      <c r="N1319" s="338" t="s">
        <v>7812</v>
      </c>
      <c r="O1319" s="337">
        <v>1</v>
      </c>
      <c r="P1319" s="337">
        <v>1</v>
      </c>
      <c r="Q1319" s="338"/>
      <c r="R1319" s="338"/>
      <c r="S1319" s="338"/>
      <c r="T1319" s="338" t="s">
        <v>7813</v>
      </c>
      <c r="U1319" s="338" t="s">
        <v>7814</v>
      </c>
      <c r="V1319" s="337">
        <v>1</v>
      </c>
      <c r="W1319" s="337">
        <v>1</v>
      </c>
      <c r="X1319" s="338"/>
      <c r="Y1319" s="338" t="s">
        <v>7370</v>
      </c>
      <c r="Z1319" s="338" t="s">
        <v>7815</v>
      </c>
      <c r="AA1319" s="338" t="s">
        <v>6079</v>
      </c>
      <c r="AB1319" s="338" t="s">
        <v>7816</v>
      </c>
      <c r="AC1319" s="338"/>
      <c r="AD1319" s="338"/>
      <c r="AF1319" s="502" t="str">
        <f>Table15[[#This Row],[code2]]</f>
        <v>CBCC</v>
      </c>
      <c r="AG1319" s="502" t="str">
        <f>Table15[[#This Row],[code5]]</f>
        <v>AVPC</v>
      </c>
    </row>
    <row r="1320" spans="1:33">
      <c r="A1320" s="338" t="s">
        <v>6072</v>
      </c>
      <c r="B1320" s="338" t="s">
        <v>6073</v>
      </c>
      <c r="C1320" s="337">
        <v>1</v>
      </c>
      <c r="D1320" s="338" t="s">
        <v>7782</v>
      </c>
      <c r="E1320" s="338" t="s">
        <v>7783</v>
      </c>
      <c r="F1320" s="337">
        <v>1</v>
      </c>
      <c r="G1320" s="337">
        <v>1</v>
      </c>
      <c r="H1320" s="338"/>
      <c r="I1320" s="338" t="s">
        <v>8694</v>
      </c>
      <c r="J1320" s="338" t="s">
        <v>8695</v>
      </c>
      <c r="K1320" s="338" t="s">
        <v>7784</v>
      </c>
      <c r="L1320" s="338"/>
      <c r="M1320" s="338" t="s">
        <v>7460</v>
      </c>
      <c r="N1320" s="338" t="s">
        <v>7812</v>
      </c>
      <c r="O1320" s="337">
        <v>1</v>
      </c>
      <c r="P1320" s="337">
        <v>1</v>
      </c>
      <c r="Q1320" s="338"/>
      <c r="R1320" s="338"/>
      <c r="S1320" s="338"/>
      <c r="T1320" s="338" t="s">
        <v>7813</v>
      </c>
      <c r="U1320" s="338" t="s">
        <v>7817</v>
      </c>
      <c r="V1320" s="337">
        <v>1</v>
      </c>
      <c r="W1320" s="337">
        <v>1</v>
      </c>
      <c r="X1320" s="338"/>
      <c r="Y1320" s="338" t="s">
        <v>7818</v>
      </c>
      <c r="Z1320" s="338" t="s">
        <v>7819</v>
      </c>
      <c r="AA1320" s="338" t="s">
        <v>7820</v>
      </c>
      <c r="AB1320" s="338" t="s">
        <v>7821</v>
      </c>
      <c r="AC1320" s="338"/>
      <c r="AD1320" s="338"/>
      <c r="AF1320" s="502" t="str">
        <f>Table15[[#This Row],[code2]]</f>
        <v>CBCC</v>
      </c>
      <c r="AG1320" s="502" t="str">
        <f>Table15[[#This Row],[code5]]</f>
        <v>AVPC</v>
      </c>
    </row>
    <row r="1321" spans="1:33">
      <c r="A1321" s="338" t="s">
        <v>6072</v>
      </c>
      <c r="B1321" s="338" t="s">
        <v>6073</v>
      </c>
      <c r="C1321" s="337">
        <v>1</v>
      </c>
      <c r="D1321" s="338" t="s">
        <v>7782</v>
      </c>
      <c r="E1321" s="338" t="s">
        <v>7783</v>
      </c>
      <c r="F1321" s="337">
        <v>1</v>
      </c>
      <c r="G1321" s="337">
        <v>1</v>
      </c>
      <c r="H1321" s="338"/>
      <c r="I1321" s="338" t="s">
        <v>8694</v>
      </c>
      <c r="J1321" s="338" t="s">
        <v>8695</v>
      </c>
      <c r="K1321" s="338" t="s">
        <v>7784</v>
      </c>
      <c r="L1321" s="338"/>
      <c r="M1321" s="338" t="s">
        <v>7805</v>
      </c>
      <c r="N1321" s="338" t="s">
        <v>7806</v>
      </c>
      <c r="O1321" s="337">
        <v>1</v>
      </c>
      <c r="P1321" s="337">
        <v>0</v>
      </c>
      <c r="Q1321" s="338"/>
      <c r="R1321" s="338"/>
      <c r="S1321" s="338"/>
      <c r="T1321" s="338" t="s">
        <v>7807</v>
      </c>
      <c r="U1321" s="338" t="s">
        <v>7808</v>
      </c>
      <c r="V1321" s="337">
        <v>1</v>
      </c>
      <c r="W1321" s="337">
        <v>0</v>
      </c>
      <c r="X1321" s="338"/>
      <c r="Y1321" s="338" t="s">
        <v>7365</v>
      </c>
      <c r="Z1321" s="338" t="s">
        <v>7809</v>
      </c>
      <c r="AA1321" s="338" t="s">
        <v>6079</v>
      </c>
      <c r="AB1321" s="338"/>
      <c r="AC1321" s="338"/>
      <c r="AD1321" s="338"/>
      <c r="AF1321" s="502" t="str">
        <f>Table15[[#This Row],[code2]]</f>
        <v>CBCC</v>
      </c>
      <c r="AG1321" s="502" t="str">
        <f>Table15[[#This Row],[code5]]</f>
        <v>BOCR</v>
      </c>
    </row>
    <row r="1322" spans="1:33">
      <c r="A1322" s="338" t="s">
        <v>6072</v>
      </c>
      <c r="B1322" s="338" t="s">
        <v>6073</v>
      </c>
      <c r="C1322" s="337">
        <v>1</v>
      </c>
      <c r="D1322" s="338" t="s">
        <v>7782</v>
      </c>
      <c r="E1322" s="338" t="s">
        <v>7783</v>
      </c>
      <c r="F1322" s="337">
        <v>1</v>
      </c>
      <c r="G1322" s="337">
        <v>1</v>
      </c>
      <c r="H1322" s="338"/>
      <c r="I1322" s="338" t="s">
        <v>8694</v>
      </c>
      <c r="J1322" s="338" t="s">
        <v>8695</v>
      </c>
      <c r="K1322" s="338" t="s">
        <v>7784</v>
      </c>
      <c r="L1322" s="338"/>
      <c r="M1322" s="338" t="s">
        <v>7805</v>
      </c>
      <c r="N1322" s="338" t="s">
        <v>7806</v>
      </c>
      <c r="O1322" s="337">
        <v>1</v>
      </c>
      <c r="P1322" s="337">
        <v>0</v>
      </c>
      <c r="Q1322" s="338"/>
      <c r="R1322" s="338"/>
      <c r="S1322" s="338"/>
      <c r="T1322" s="338" t="s">
        <v>7807</v>
      </c>
      <c r="U1322" s="338" t="s">
        <v>7810</v>
      </c>
      <c r="V1322" s="337">
        <v>1</v>
      </c>
      <c r="W1322" s="337">
        <v>0</v>
      </c>
      <c r="X1322" s="338"/>
      <c r="Y1322" s="338" t="s">
        <v>7370</v>
      </c>
      <c r="Z1322" s="338" t="s">
        <v>7811</v>
      </c>
      <c r="AA1322" s="338" t="s">
        <v>6079</v>
      </c>
      <c r="AB1322" s="338"/>
      <c r="AC1322" s="338"/>
      <c r="AD1322" s="338"/>
      <c r="AF1322" s="502" t="str">
        <f>Table15[[#This Row],[code2]]</f>
        <v>CBCC</v>
      </c>
      <c r="AG1322" s="502" t="str">
        <f>Table15[[#This Row],[code5]]</f>
        <v>BOCR</v>
      </c>
    </row>
    <row r="1323" spans="1:33">
      <c r="A1323" s="338" t="s">
        <v>6072</v>
      </c>
      <c r="B1323" s="338" t="s">
        <v>6073</v>
      </c>
      <c r="C1323" s="337">
        <v>1</v>
      </c>
      <c r="D1323" s="338" t="s">
        <v>7822</v>
      </c>
      <c r="E1323" s="338" t="s">
        <v>7823</v>
      </c>
      <c r="F1323" s="337">
        <v>1</v>
      </c>
      <c r="G1323" s="337">
        <v>1</v>
      </c>
      <c r="H1323" s="338"/>
      <c r="I1323" s="338" t="s">
        <v>9549</v>
      </c>
      <c r="J1323" s="338" t="s">
        <v>9552</v>
      </c>
      <c r="K1323" s="338" t="s">
        <v>7488</v>
      </c>
      <c r="L1323" s="338"/>
      <c r="M1323" s="338" t="s">
        <v>7824</v>
      </c>
      <c r="N1323" s="338" t="s">
        <v>7825</v>
      </c>
      <c r="O1323" s="337">
        <v>1</v>
      </c>
      <c r="P1323" s="337">
        <v>1</v>
      </c>
      <c r="Q1323" s="338"/>
      <c r="R1323" s="338"/>
      <c r="S1323" s="338"/>
      <c r="T1323" s="338" t="s">
        <v>7826</v>
      </c>
      <c r="U1323" s="338" t="s">
        <v>7827</v>
      </c>
      <c r="V1323" s="337">
        <v>1</v>
      </c>
      <c r="W1323" s="337">
        <v>1</v>
      </c>
      <c r="X1323" s="338" t="s">
        <v>7500</v>
      </c>
      <c r="Y1323" s="338" t="s">
        <v>6318</v>
      </c>
      <c r="Z1323" s="338" t="s">
        <v>8521</v>
      </c>
      <c r="AA1323" s="338" t="s">
        <v>6079</v>
      </c>
      <c r="AB1323" s="338"/>
      <c r="AC1323" s="338"/>
      <c r="AD1323" s="338"/>
      <c r="AF1323" s="502" t="str">
        <f>Table15[[#This Row],[code2]]</f>
        <v>COB</v>
      </c>
      <c r="AG1323" s="502" t="str">
        <f>Table15[[#This Row],[code5]]</f>
        <v>APR</v>
      </c>
    </row>
    <row r="1324" spans="1:33">
      <c r="A1324" s="338" t="s">
        <v>6072</v>
      </c>
      <c r="B1324" s="338" t="s">
        <v>6073</v>
      </c>
      <c r="C1324" s="337">
        <v>1</v>
      </c>
      <c r="D1324" s="338" t="s">
        <v>7822</v>
      </c>
      <c r="E1324" s="338" t="s">
        <v>7823</v>
      </c>
      <c r="F1324" s="337">
        <v>1</v>
      </c>
      <c r="G1324" s="337">
        <v>1</v>
      </c>
      <c r="H1324" s="338"/>
      <c r="I1324" s="338" t="s">
        <v>9549</v>
      </c>
      <c r="J1324" s="338" t="s">
        <v>9552</v>
      </c>
      <c r="K1324" s="338" t="s">
        <v>7488</v>
      </c>
      <c r="L1324" s="338"/>
      <c r="M1324" s="338" t="s">
        <v>7824</v>
      </c>
      <c r="N1324" s="338" t="s">
        <v>7825</v>
      </c>
      <c r="O1324" s="337">
        <v>1</v>
      </c>
      <c r="P1324" s="337">
        <v>1</v>
      </c>
      <c r="Q1324" s="338"/>
      <c r="R1324" s="338"/>
      <c r="S1324" s="338"/>
      <c r="T1324" s="338" t="s">
        <v>7826</v>
      </c>
      <c r="U1324" s="338" t="s">
        <v>7828</v>
      </c>
      <c r="V1324" s="337">
        <v>1</v>
      </c>
      <c r="W1324" s="337">
        <v>1</v>
      </c>
      <c r="X1324" s="338" t="s">
        <v>7528</v>
      </c>
      <c r="Y1324" s="338" t="s">
        <v>6318</v>
      </c>
      <c r="Z1324" s="338" t="s">
        <v>9119</v>
      </c>
      <c r="AA1324" s="338" t="s">
        <v>6079</v>
      </c>
      <c r="AB1324" s="338"/>
      <c r="AC1324" s="338"/>
      <c r="AD1324" s="338"/>
      <c r="AF1324" s="502" t="str">
        <f>Table15[[#This Row],[code2]]</f>
        <v>COB</v>
      </c>
      <c r="AG1324" s="502" t="str">
        <f>Table15[[#This Row],[code5]]</f>
        <v>APR</v>
      </c>
    </row>
    <row r="1325" spans="1:33">
      <c r="A1325" s="338" t="s">
        <v>6072</v>
      </c>
      <c r="B1325" s="338" t="s">
        <v>6073</v>
      </c>
      <c r="C1325" s="337">
        <v>1</v>
      </c>
      <c r="D1325" s="338" t="s">
        <v>7822</v>
      </c>
      <c r="E1325" s="338" t="s">
        <v>7823</v>
      </c>
      <c r="F1325" s="337">
        <v>1</v>
      </c>
      <c r="G1325" s="337">
        <v>1</v>
      </c>
      <c r="H1325" s="338"/>
      <c r="I1325" s="338" t="s">
        <v>9549</v>
      </c>
      <c r="J1325" s="338" t="s">
        <v>9552</v>
      </c>
      <c r="K1325" s="338" t="s">
        <v>7488</v>
      </c>
      <c r="L1325" s="338"/>
      <c r="M1325" s="338" t="s">
        <v>7824</v>
      </c>
      <c r="N1325" s="338" t="s">
        <v>7825</v>
      </c>
      <c r="O1325" s="337">
        <v>1</v>
      </c>
      <c r="P1325" s="337">
        <v>1</v>
      </c>
      <c r="Q1325" s="338"/>
      <c r="R1325" s="338"/>
      <c r="S1325" s="338"/>
      <c r="T1325" s="338" t="s">
        <v>7826</v>
      </c>
      <c r="U1325" s="338" t="s">
        <v>7829</v>
      </c>
      <c r="V1325" s="337">
        <v>1</v>
      </c>
      <c r="W1325" s="337">
        <v>1</v>
      </c>
      <c r="X1325" s="338" t="s">
        <v>7505</v>
      </c>
      <c r="Y1325" s="338" t="s">
        <v>6318</v>
      </c>
      <c r="Z1325" s="338" t="s">
        <v>9120</v>
      </c>
      <c r="AA1325" s="338" t="s">
        <v>6079</v>
      </c>
      <c r="AB1325" s="338"/>
      <c r="AC1325" s="338"/>
      <c r="AD1325" s="338"/>
      <c r="AF1325" s="502" t="str">
        <f>Table15[[#This Row],[code2]]</f>
        <v>COB</v>
      </c>
      <c r="AG1325" s="502" t="str">
        <f>Table15[[#This Row],[code5]]</f>
        <v>APR</v>
      </c>
    </row>
    <row r="1326" spans="1:33">
      <c r="A1326" s="338" t="s">
        <v>6072</v>
      </c>
      <c r="B1326" s="338" t="s">
        <v>6073</v>
      </c>
      <c r="C1326" s="337">
        <v>1</v>
      </c>
      <c r="D1326" s="338" t="s">
        <v>7822</v>
      </c>
      <c r="E1326" s="338" t="s">
        <v>7823</v>
      </c>
      <c r="F1326" s="337">
        <v>1</v>
      </c>
      <c r="G1326" s="337">
        <v>1</v>
      </c>
      <c r="H1326" s="338"/>
      <c r="I1326" s="338" t="s">
        <v>9549</v>
      </c>
      <c r="J1326" s="338" t="s">
        <v>9552</v>
      </c>
      <c r="K1326" s="338" t="s">
        <v>7488</v>
      </c>
      <c r="L1326" s="338"/>
      <c r="M1326" s="338" t="s">
        <v>7824</v>
      </c>
      <c r="N1326" s="338" t="s">
        <v>7825</v>
      </c>
      <c r="O1326" s="337">
        <v>1</v>
      </c>
      <c r="P1326" s="337">
        <v>1</v>
      </c>
      <c r="Q1326" s="338"/>
      <c r="R1326" s="338"/>
      <c r="S1326" s="338"/>
      <c r="T1326" s="338" t="s">
        <v>7826</v>
      </c>
      <c r="U1326" s="338" t="s">
        <v>7831</v>
      </c>
      <c r="V1326" s="337">
        <v>1</v>
      </c>
      <c r="W1326" s="337">
        <v>1</v>
      </c>
      <c r="X1326" s="338" t="s">
        <v>7501</v>
      </c>
      <c r="Y1326" s="338" t="s">
        <v>6318</v>
      </c>
      <c r="Z1326" s="338" t="s">
        <v>9182</v>
      </c>
      <c r="AA1326" s="338" t="s">
        <v>6079</v>
      </c>
      <c r="AB1326" s="338"/>
      <c r="AC1326" s="338"/>
      <c r="AD1326" s="338"/>
      <c r="AF1326" s="502" t="str">
        <f>Table15[[#This Row],[code2]]</f>
        <v>COB</v>
      </c>
      <c r="AG1326" s="502" t="str">
        <f>Table15[[#This Row],[code5]]</f>
        <v>APR</v>
      </c>
    </row>
    <row r="1327" spans="1:33">
      <c r="A1327" s="338" t="s">
        <v>6072</v>
      </c>
      <c r="B1327" s="338" t="s">
        <v>6073</v>
      </c>
      <c r="C1327" s="337">
        <v>1</v>
      </c>
      <c r="D1327" s="338" t="s">
        <v>7822</v>
      </c>
      <c r="E1327" s="338" t="s">
        <v>7823</v>
      </c>
      <c r="F1327" s="337">
        <v>1</v>
      </c>
      <c r="G1327" s="337">
        <v>1</v>
      </c>
      <c r="H1327" s="338"/>
      <c r="I1327" s="338" t="s">
        <v>9549</v>
      </c>
      <c r="J1327" s="338" t="s">
        <v>9552</v>
      </c>
      <c r="K1327" s="338" t="s">
        <v>7488</v>
      </c>
      <c r="L1327" s="338"/>
      <c r="M1327" s="338" t="s">
        <v>7824</v>
      </c>
      <c r="N1327" s="338" t="s">
        <v>7825</v>
      </c>
      <c r="O1327" s="337">
        <v>1</v>
      </c>
      <c r="P1327" s="337">
        <v>1</v>
      </c>
      <c r="Q1327" s="338"/>
      <c r="R1327" s="338"/>
      <c r="S1327" s="338"/>
      <c r="T1327" s="338" t="s">
        <v>7826</v>
      </c>
      <c r="U1327" s="338" t="s">
        <v>7832</v>
      </c>
      <c r="V1327" s="337">
        <v>1</v>
      </c>
      <c r="W1327" s="337">
        <v>1</v>
      </c>
      <c r="X1327" s="338" t="s">
        <v>7532</v>
      </c>
      <c r="Y1327" s="338" t="s">
        <v>6318</v>
      </c>
      <c r="Z1327" s="338" t="s">
        <v>8734</v>
      </c>
      <c r="AA1327" s="338" t="s">
        <v>6079</v>
      </c>
      <c r="AB1327" s="338"/>
      <c r="AC1327" s="338"/>
      <c r="AD1327" s="338"/>
      <c r="AF1327" s="502" t="str">
        <f>Table15[[#This Row],[code2]]</f>
        <v>COB</v>
      </c>
      <c r="AG1327" s="502" t="str">
        <f>Table15[[#This Row],[code5]]</f>
        <v>APR</v>
      </c>
    </row>
    <row r="1328" spans="1:33">
      <c r="A1328" s="338" t="s">
        <v>6072</v>
      </c>
      <c r="B1328" s="338" t="s">
        <v>6073</v>
      </c>
      <c r="C1328" s="337">
        <v>1</v>
      </c>
      <c r="D1328" s="338" t="s">
        <v>7822</v>
      </c>
      <c r="E1328" s="338" t="s">
        <v>7823</v>
      </c>
      <c r="F1328" s="337">
        <v>1</v>
      </c>
      <c r="G1328" s="337">
        <v>1</v>
      </c>
      <c r="H1328" s="338"/>
      <c r="I1328" s="338" t="s">
        <v>9549</v>
      </c>
      <c r="J1328" s="338" t="s">
        <v>9552</v>
      </c>
      <c r="K1328" s="338" t="s">
        <v>7488</v>
      </c>
      <c r="L1328" s="338"/>
      <c r="M1328" s="338" t="s">
        <v>7824</v>
      </c>
      <c r="N1328" s="338" t="s">
        <v>7825</v>
      </c>
      <c r="O1328" s="337">
        <v>1</v>
      </c>
      <c r="P1328" s="337">
        <v>1</v>
      </c>
      <c r="Q1328" s="338"/>
      <c r="R1328" s="338"/>
      <c r="S1328" s="338"/>
      <c r="T1328" s="338" t="s">
        <v>7826</v>
      </c>
      <c r="U1328" s="338" t="s">
        <v>7833</v>
      </c>
      <c r="V1328" s="337">
        <v>1</v>
      </c>
      <c r="W1328" s="337">
        <v>1</v>
      </c>
      <c r="X1328" s="338" t="s">
        <v>7506</v>
      </c>
      <c r="Y1328" s="338" t="s">
        <v>6318</v>
      </c>
      <c r="Z1328" s="338" t="s">
        <v>8745</v>
      </c>
      <c r="AA1328" s="338" t="s">
        <v>6079</v>
      </c>
      <c r="AB1328" s="338"/>
      <c r="AC1328" s="338"/>
      <c r="AD1328" s="338"/>
      <c r="AF1328" s="502" t="str">
        <f>Table15[[#This Row],[code2]]</f>
        <v>COB</v>
      </c>
      <c r="AG1328" s="502" t="str">
        <f>Table15[[#This Row],[code5]]</f>
        <v>APR</v>
      </c>
    </row>
    <row r="1329" spans="1:33">
      <c r="A1329" s="338" t="s">
        <v>6072</v>
      </c>
      <c r="B1329" s="338" t="s">
        <v>6073</v>
      </c>
      <c r="C1329" s="337">
        <v>1</v>
      </c>
      <c r="D1329" s="338" t="s">
        <v>7822</v>
      </c>
      <c r="E1329" s="338" t="s">
        <v>7823</v>
      </c>
      <c r="F1329" s="337">
        <v>1</v>
      </c>
      <c r="G1329" s="337">
        <v>1</v>
      </c>
      <c r="H1329" s="338"/>
      <c r="I1329" s="338" t="s">
        <v>9549</v>
      </c>
      <c r="J1329" s="338" t="s">
        <v>9552</v>
      </c>
      <c r="K1329" s="338" t="s">
        <v>7488</v>
      </c>
      <c r="L1329" s="338"/>
      <c r="M1329" s="338" t="s">
        <v>7824</v>
      </c>
      <c r="N1329" s="338" t="s">
        <v>7825</v>
      </c>
      <c r="O1329" s="337">
        <v>1</v>
      </c>
      <c r="P1329" s="337">
        <v>1</v>
      </c>
      <c r="Q1329" s="338"/>
      <c r="R1329" s="338"/>
      <c r="S1329" s="338"/>
      <c r="T1329" s="338" t="s">
        <v>7826</v>
      </c>
      <c r="U1329" s="338" t="s">
        <v>7834</v>
      </c>
      <c r="V1329" s="337">
        <v>1</v>
      </c>
      <c r="W1329" s="337">
        <v>1</v>
      </c>
      <c r="X1329" s="338" t="s">
        <v>7534</v>
      </c>
      <c r="Y1329" s="338" t="s">
        <v>6318</v>
      </c>
      <c r="Z1329" s="338" t="s">
        <v>8676</v>
      </c>
      <c r="AA1329" s="338" t="s">
        <v>6079</v>
      </c>
      <c r="AB1329" s="338"/>
      <c r="AC1329" s="338"/>
      <c r="AD1329" s="338"/>
      <c r="AF1329" s="502" t="str">
        <f>Table15[[#This Row],[code2]]</f>
        <v>COB</v>
      </c>
      <c r="AG1329" s="502" t="str">
        <f>Table15[[#This Row],[code5]]</f>
        <v>APR</v>
      </c>
    </row>
    <row r="1330" spans="1:33">
      <c r="A1330" s="338" t="s">
        <v>6072</v>
      </c>
      <c r="B1330" s="338" t="s">
        <v>6073</v>
      </c>
      <c r="C1330" s="337">
        <v>1</v>
      </c>
      <c r="D1330" s="338" t="s">
        <v>7822</v>
      </c>
      <c r="E1330" s="338" t="s">
        <v>7823</v>
      </c>
      <c r="F1330" s="337">
        <v>1</v>
      </c>
      <c r="G1330" s="337">
        <v>1</v>
      </c>
      <c r="H1330" s="338"/>
      <c r="I1330" s="338" t="s">
        <v>9549</v>
      </c>
      <c r="J1330" s="338" t="s">
        <v>9552</v>
      </c>
      <c r="K1330" s="338" t="s">
        <v>7488</v>
      </c>
      <c r="L1330" s="338"/>
      <c r="M1330" s="338" t="s">
        <v>7824</v>
      </c>
      <c r="N1330" s="338" t="s">
        <v>7825</v>
      </c>
      <c r="O1330" s="337">
        <v>1</v>
      </c>
      <c r="P1330" s="337">
        <v>1</v>
      </c>
      <c r="Q1330" s="338"/>
      <c r="R1330" s="338"/>
      <c r="S1330" s="338"/>
      <c r="T1330" s="338" t="s">
        <v>7826</v>
      </c>
      <c r="U1330" s="338" t="s">
        <v>7835</v>
      </c>
      <c r="V1330" s="337">
        <v>1</v>
      </c>
      <c r="W1330" s="337">
        <v>1</v>
      </c>
      <c r="X1330" s="338" t="s">
        <v>7523</v>
      </c>
      <c r="Y1330" s="338" t="s">
        <v>6318</v>
      </c>
      <c r="Z1330" s="338" t="s">
        <v>9183</v>
      </c>
      <c r="AA1330" s="338" t="s">
        <v>6079</v>
      </c>
      <c r="AB1330" s="338"/>
      <c r="AC1330" s="338"/>
      <c r="AD1330" s="338"/>
    </row>
    <row r="1331" spans="1:33">
      <c r="A1331" s="338" t="s">
        <v>6072</v>
      </c>
      <c r="B1331" s="338" t="s">
        <v>6073</v>
      </c>
      <c r="C1331" s="337">
        <v>1</v>
      </c>
      <c r="D1331" s="338" t="s">
        <v>7822</v>
      </c>
      <c r="E1331" s="338" t="s">
        <v>7823</v>
      </c>
      <c r="F1331" s="337">
        <v>1</v>
      </c>
      <c r="G1331" s="337">
        <v>1</v>
      </c>
      <c r="H1331" s="338"/>
      <c r="I1331" s="338" t="s">
        <v>9549</v>
      </c>
      <c r="J1331" s="338" t="s">
        <v>9552</v>
      </c>
      <c r="K1331" s="338" t="s">
        <v>7488</v>
      </c>
      <c r="L1331" s="338"/>
      <c r="M1331" s="338" t="s">
        <v>7824</v>
      </c>
      <c r="N1331" s="338" t="s">
        <v>7825</v>
      </c>
      <c r="O1331" s="337">
        <v>1</v>
      </c>
      <c r="P1331" s="337">
        <v>1</v>
      </c>
      <c r="Q1331" s="338"/>
      <c r="R1331" s="338"/>
      <c r="S1331" s="338"/>
      <c r="T1331" s="338" t="s">
        <v>7826</v>
      </c>
      <c r="U1331" s="338" t="s">
        <v>7836</v>
      </c>
      <c r="V1331" s="337">
        <v>1</v>
      </c>
      <c r="W1331" s="337">
        <v>1</v>
      </c>
      <c r="X1331" s="338" t="s">
        <v>7504</v>
      </c>
      <c r="Y1331" s="338" t="s">
        <v>6318</v>
      </c>
      <c r="Z1331" s="338" t="s">
        <v>8521</v>
      </c>
      <c r="AA1331" s="338" t="s">
        <v>6079</v>
      </c>
      <c r="AB1331" s="338"/>
      <c r="AC1331" s="338"/>
      <c r="AD1331" s="338"/>
    </row>
    <row r="1332" spans="1:33">
      <c r="A1332" s="338" t="s">
        <v>6072</v>
      </c>
      <c r="B1332" s="338" t="s">
        <v>6073</v>
      </c>
      <c r="C1332" s="337">
        <v>1</v>
      </c>
      <c r="D1332" s="338" t="s">
        <v>7837</v>
      </c>
      <c r="E1332" s="338" t="s">
        <v>7838</v>
      </c>
      <c r="F1332" s="337">
        <v>1</v>
      </c>
      <c r="G1332" s="337">
        <v>0</v>
      </c>
      <c r="H1332" s="338"/>
      <c r="I1332" s="338" t="s">
        <v>7839</v>
      </c>
      <c r="J1332" s="338" t="s">
        <v>7840</v>
      </c>
      <c r="K1332" s="338" t="s">
        <v>7841</v>
      </c>
      <c r="L1332" s="338"/>
      <c r="M1332" s="338" t="s">
        <v>7842</v>
      </c>
      <c r="N1332" s="338" t="s">
        <v>7843</v>
      </c>
      <c r="O1332" s="337">
        <v>1</v>
      </c>
      <c r="P1332" s="337">
        <v>1</v>
      </c>
      <c r="Q1332" s="338"/>
      <c r="R1332" s="338"/>
      <c r="S1332" s="338"/>
      <c r="T1332" s="338"/>
      <c r="U1332" s="338" t="s">
        <v>7844</v>
      </c>
      <c r="V1332" s="337">
        <v>1</v>
      </c>
      <c r="W1332" s="337">
        <v>0</v>
      </c>
      <c r="X1332" s="338" t="s">
        <v>6078</v>
      </c>
      <c r="Y1332" s="338" t="s">
        <v>6318</v>
      </c>
      <c r="Z1332" s="338" t="s">
        <v>7845</v>
      </c>
      <c r="AA1332" s="338" t="s">
        <v>6079</v>
      </c>
      <c r="AB1332" s="338"/>
      <c r="AC1332" s="338"/>
      <c r="AD1332" s="338"/>
    </row>
    <row r="1333" spans="1:33">
      <c r="A1333" s="338" t="s">
        <v>6072</v>
      </c>
      <c r="B1333" s="338" t="s">
        <v>6073</v>
      </c>
      <c r="C1333" s="337">
        <v>1</v>
      </c>
      <c r="D1333" s="338" t="s">
        <v>7837</v>
      </c>
      <c r="E1333" s="338" t="s">
        <v>7838</v>
      </c>
      <c r="F1333" s="337">
        <v>1</v>
      </c>
      <c r="G1333" s="337">
        <v>0</v>
      </c>
      <c r="H1333" s="338"/>
      <c r="I1333" s="338" t="s">
        <v>7839</v>
      </c>
      <c r="J1333" s="338" t="s">
        <v>7840</v>
      </c>
      <c r="K1333" s="338" t="s">
        <v>7841</v>
      </c>
      <c r="L1333" s="338"/>
      <c r="M1333" s="338" t="s">
        <v>7842</v>
      </c>
      <c r="N1333" s="338" t="s">
        <v>7843</v>
      </c>
      <c r="O1333" s="337">
        <v>1</v>
      </c>
      <c r="P1333" s="337">
        <v>1</v>
      </c>
      <c r="Q1333" s="338"/>
      <c r="R1333" s="338"/>
      <c r="S1333" s="338"/>
      <c r="T1333" s="338"/>
      <c r="U1333" s="338" t="s">
        <v>7846</v>
      </c>
      <c r="V1333" s="337">
        <v>1</v>
      </c>
      <c r="W1333" s="337">
        <v>1</v>
      </c>
      <c r="X1333" s="338" t="s">
        <v>6078</v>
      </c>
      <c r="Y1333" s="338" t="s">
        <v>6320</v>
      </c>
      <c r="Z1333" s="338" t="s">
        <v>7845</v>
      </c>
      <c r="AA1333" s="338" t="s">
        <v>6079</v>
      </c>
      <c r="AB1333" s="338"/>
      <c r="AC1333" s="338"/>
      <c r="AD1333" s="338"/>
    </row>
    <row r="1334" spans="1:33">
      <c r="A1334" s="338" t="s">
        <v>6072</v>
      </c>
      <c r="B1334" s="338" t="s">
        <v>6073</v>
      </c>
      <c r="C1334" s="337">
        <v>1</v>
      </c>
      <c r="D1334" s="338" t="s">
        <v>7929</v>
      </c>
      <c r="E1334" s="338" t="s">
        <v>7930</v>
      </c>
      <c r="F1334" s="337">
        <v>0</v>
      </c>
      <c r="G1334" s="337">
        <v>0</v>
      </c>
      <c r="H1334" s="338"/>
      <c r="I1334" s="338" t="s">
        <v>8651</v>
      </c>
      <c r="J1334" s="338" t="s">
        <v>8652</v>
      </c>
      <c r="K1334" s="338"/>
      <c r="L1334" s="338"/>
      <c r="M1334" s="338" t="s">
        <v>7931</v>
      </c>
      <c r="N1334" s="338" t="s">
        <v>8653</v>
      </c>
      <c r="O1334" s="337">
        <v>0</v>
      </c>
      <c r="P1334" s="337">
        <v>0</v>
      </c>
      <c r="Q1334" s="338"/>
      <c r="R1334" s="338" t="s">
        <v>92</v>
      </c>
      <c r="S1334" s="338"/>
      <c r="T1334" s="338"/>
      <c r="U1334" s="338" t="s">
        <v>7932</v>
      </c>
      <c r="V1334" s="337">
        <v>0</v>
      </c>
      <c r="W1334" s="337">
        <v>0</v>
      </c>
      <c r="X1334" s="338"/>
      <c r="Y1334" s="338" t="s">
        <v>497</v>
      </c>
      <c r="Z1334" s="338" t="s">
        <v>6496</v>
      </c>
      <c r="AA1334" s="338" t="s">
        <v>6079</v>
      </c>
      <c r="AB1334" s="338"/>
      <c r="AC1334" s="338" t="s">
        <v>7940</v>
      </c>
      <c r="AD1334" s="338"/>
    </row>
    <row r="1335" spans="1:33">
      <c r="A1335" s="338" t="s">
        <v>6072</v>
      </c>
      <c r="B1335" s="338" t="s">
        <v>6073</v>
      </c>
      <c r="C1335" s="337">
        <v>1</v>
      </c>
      <c r="D1335" s="338" t="s">
        <v>7929</v>
      </c>
      <c r="E1335" s="338" t="s">
        <v>7930</v>
      </c>
      <c r="F1335" s="337">
        <v>0</v>
      </c>
      <c r="G1335" s="337">
        <v>0</v>
      </c>
      <c r="H1335" s="338"/>
      <c r="I1335" s="338" t="s">
        <v>8651</v>
      </c>
      <c r="J1335" s="338" t="s">
        <v>8652</v>
      </c>
      <c r="K1335" s="338"/>
      <c r="L1335" s="338"/>
      <c r="M1335" s="338" t="s">
        <v>7931</v>
      </c>
      <c r="N1335" s="338" t="s">
        <v>8653</v>
      </c>
      <c r="O1335" s="337">
        <v>0</v>
      </c>
      <c r="P1335" s="337">
        <v>0</v>
      </c>
      <c r="Q1335" s="338"/>
      <c r="R1335" s="338" t="s">
        <v>92</v>
      </c>
      <c r="S1335" s="338"/>
      <c r="T1335" s="338"/>
      <c r="U1335" s="338" t="s">
        <v>7933</v>
      </c>
      <c r="V1335" s="337">
        <v>0</v>
      </c>
      <c r="W1335" s="337">
        <v>0</v>
      </c>
      <c r="X1335" s="338"/>
      <c r="Y1335" s="338" t="s">
        <v>497</v>
      </c>
      <c r="Z1335" s="338" t="s">
        <v>7956</v>
      </c>
      <c r="AA1335" s="338" t="s">
        <v>6079</v>
      </c>
      <c r="AB1335" s="338"/>
      <c r="AC1335" s="338" t="s">
        <v>7941</v>
      </c>
      <c r="AD1335" s="338"/>
    </row>
    <row r="1336" spans="1:33">
      <c r="A1336" s="338" t="s">
        <v>6072</v>
      </c>
      <c r="B1336" s="338" t="s">
        <v>6073</v>
      </c>
      <c r="C1336" s="337">
        <v>1</v>
      </c>
      <c r="D1336" s="338" t="s">
        <v>7929</v>
      </c>
      <c r="E1336" s="338" t="s">
        <v>7930</v>
      </c>
      <c r="F1336" s="337">
        <v>0</v>
      </c>
      <c r="G1336" s="337">
        <v>0</v>
      </c>
      <c r="H1336" s="338"/>
      <c r="I1336" s="338" t="s">
        <v>8651</v>
      </c>
      <c r="J1336" s="338" t="s">
        <v>8652</v>
      </c>
      <c r="K1336" s="338"/>
      <c r="L1336" s="338"/>
      <c r="M1336" s="338" t="s">
        <v>7931</v>
      </c>
      <c r="N1336" s="338" t="s">
        <v>8653</v>
      </c>
      <c r="O1336" s="337">
        <v>0</v>
      </c>
      <c r="P1336" s="337">
        <v>0</v>
      </c>
      <c r="Q1336" s="338"/>
      <c r="R1336" s="338" t="s">
        <v>92</v>
      </c>
      <c r="S1336" s="338"/>
      <c r="T1336" s="338"/>
      <c r="U1336" s="338" t="s">
        <v>7934</v>
      </c>
      <c r="V1336" s="337">
        <v>0</v>
      </c>
      <c r="W1336" s="337">
        <v>0</v>
      </c>
      <c r="X1336" s="338"/>
      <c r="Y1336" s="338" t="s">
        <v>497</v>
      </c>
      <c r="Z1336" s="338" t="s">
        <v>7957</v>
      </c>
      <c r="AA1336" s="338" t="s">
        <v>6079</v>
      </c>
      <c r="AB1336" s="338"/>
      <c r="AC1336" s="338" t="s">
        <v>7942</v>
      </c>
      <c r="AD1336" s="338"/>
    </row>
    <row r="1337" spans="1:33">
      <c r="A1337" s="338" t="s">
        <v>6072</v>
      </c>
      <c r="B1337" s="338" t="s">
        <v>6073</v>
      </c>
      <c r="C1337" s="337">
        <v>1</v>
      </c>
      <c r="D1337" s="338" t="s">
        <v>7929</v>
      </c>
      <c r="E1337" s="338" t="s">
        <v>7930</v>
      </c>
      <c r="F1337" s="337">
        <v>0</v>
      </c>
      <c r="G1337" s="337">
        <v>0</v>
      </c>
      <c r="H1337" s="338"/>
      <c r="I1337" s="338" t="s">
        <v>8651</v>
      </c>
      <c r="J1337" s="338" t="s">
        <v>8652</v>
      </c>
      <c r="K1337" s="338"/>
      <c r="L1337" s="338"/>
      <c r="M1337" s="338" t="s">
        <v>7931</v>
      </c>
      <c r="N1337" s="338" t="s">
        <v>8653</v>
      </c>
      <c r="O1337" s="337">
        <v>0</v>
      </c>
      <c r="P1337" s="337">
        <v>0</v>
      </c>
      <c r="Q1337" s="338"/>
      <c r="R1337" s="338" t="s">
        <v>92</v>
      </c>
      <c r="S1337" s="338"/>
      <c r="T1337" s="338"/>
      <c r="U1337" s="338" t="s">
        <v>7935</v>
      </c>
      <c r="V1337" s="337">
        <v>0</v>
      </c>
      <c r="W1337" s="337">
        <v>0</v>
      </c>
      <c r="X1337" s="338"/>
      <c r="Y1337" s="338" t="s">
        <v>497</v>
      </c>
      <c r="Z1337" s="338" t="s">
        <v>7958</v>
      </c>
      <c r="AA1337" s="338" t="s">
        <v>6079</v>
      </c>
      <c r="AB1337" s="338"/>
      <c r="AC1337" s="338" t="s">
        <v>7943</v>
      </c>
      <c r="AD1337" s="338"/>
    </row>
    <row r="1338" spans="1:33">
      <c r="A1338" s="338" t="s">
        <v>6072</v>
      </c>
      <c r="B1338" s="338" t="s">
        <v>6073</v>
      </c>
      <c r="C1338" s="337">
        <v>1</v>
      </c>
      <c r="D1338" s="338" t="s">
        <v>7929</v>
      </c>
      <c r="E1338" s="338" t="s">
        <v>7930</v>
      </c>
      <c r="F1338" s="337">
        <v>0</v>
      </c>
      <c r="G1338" s="337">
        <v>0</v>
      </c>
      <c r="H1338" s="338"/>
      <c r="I1338" s="338" t="s">
        <v>8651</v>
      </c>
      <c r="J1338" s="338" t="s">
        <v>8652</v>
      </c>
      <c r="K1338" s="338"/>
      <c r="L1338" s="338"/>
      <c r="M1338" s="338" t="s">
        <v>7931</v>
      </c>
      <c r="N1338" s="338" t="s">
        <v>8653</v>
      </c>
      <c r="O1338" s="337">
        <v>0</v>
      </c>
      <c r="P1338" s="337">
        <v>0</v>
      </c>
      <c r="Q1338" s="338"/>
      <c r="R1338" s="338" t="s">
        <v>92</v>
      </c>
      <c r="S1338" s="338"/>
      <c r="T1338" s="338"/>
      <c r="U1338" s="338" t="s">
        <v>7936</v>
      </c>
      <c r="V1338" s="337">
        <v>0</v>
      </c>
      <c r="W1338" s="337">
        <v>0</v>
      </c>
      <c r="X1338" s="338"/>
      <c r="Y1338" s="338" t="s">
        <v>497</v>
      </c>
      <c r="Z1338" s="338" t="s">
        <v>7959</v>
      </c>
      <c r="AA1338" s="338" t="s">
        <v>6079</v>
      </c>
      <c r="AB1338" s="338"/>
      <c r="AC1338" s="338" t="s">
        <v>7944</v>
      </c>
      <c r="AD1338" s="338"/>
    </row>
    <row r="1339" spans="1:33">
      <c r="A1339" s="338" t="s">
        <v>6072</v>
      </c>
      <c r="B1339" s="338" t="s">
        <v>6073</v>
      </c>
      <c r="C1339" s="337">
        <v>1</v>
      </c>
      <c r="D1339" s="338" t="s">
        <v>8715</v>
      </c>
      <c r="E1339" s="338" t="s">
        <v>8716</v>
      </c>
      <c r="F1339" s="337">
        <v>0</v>
      </c>
      <c r="G1339" s="337">
        <v>0</v>
      </c>
      <c r="H1339" s="338" t="s">
        <v>8716</v>
      </c>
      <c r="I1339" s="338" t="s">
        <v>9127</v>
      </c>
      <c r="J1339" s="338" t="s">
        <v>9133</v>
      </c>
      <c r="K1339" s="338"/>
      <c r="L1339" s="338" t="s">
        <v>8716</v>
      </c>
      <c r="M1339" s="338" t="s">
        <v>8717</v>
      </c>
      <c r="N1339" s="338" t="s">
        <v>8721</v>
      </c>
      <c r="O1339" s="337">
        <v>0</v>
      </c>
      <c r="P1339" s="337">
        <v>0</v>
      </c>
      <c r="Q1339" s="338" t="s">
        <v>8721</v>
      </c>
      <c r="R1339" s="338"/>
      <c r="S1339" s="338"/>
      <c r="T1339" s="338"/>
      <c r="U1339" s="338" t="s">
        <v>8725</v>
      </c>
      <c r="V1339" s="337">
        <v>0</v>
      </c>
      <c r="W1339" s="337">
        <v>0</v>
      </c>
      <c r="X1339" s="338" t="s">
        <v>8729</v>
      </c>
      <c r="Y1339" s="338" t="s">
        <v>8731</v>
      </c>
      <c r="Z1339" s="338" t="s">
        <v>9184</v>
      </c>
      <c r="AA1339" s="338" t="s">
        <v>6079</v>
      </c>
      <c r="AB1339" s="338"/>
      <c r="AC1339" s="338"/>
      <c r="AD1339" s="338"/>
    </row>
    <row r="1340" spans="1:33">
      <c r="A1340" s="338" t="s">
        <v>6072</v>
      </c>
      <c r="B1340" s="338" t="s">
        <v>6073</v>
      </c>
      <c r="C1340" s="337">
        <v>1</v>
      </c>
      <c r="D1340" s="338" t="s">
        <v>8715</v>
      </c>
      <c r="E1340" s="338" t="s">
        <v>8716</v>
      </c>
      <c r="F1340" s="337">
        <v>0</v>
      </c>
      <c r="G1340" s="337">
        <v>0</v>
      </c>
      <c r="H1340" s="338" t="s">
        <v>8716</v>
      </c>
      <c r="I1340" s="338" t="s">
        <v>9127</v>
      </c>
      <c r="J1340" s="338" t="s">
        <v>9133</v>
      </c>
      <c r="K1340" s="338"/>
      <c r="L1340" s="338" t="s">
        <v>8716</v>
      </c>
      <c r="M1340" s="338" t="s">
        <v>8718</v>
      </c>
      <c r="N1340" s="338" t="s">
        <v>8722</v>
      </c>
      <c r="O1340" s="337">
        <v>0</v>
      </c>
      <c r="P1340" s="337">
        <v>0</v>
      </c>
      <c r="Q1340" s="338" t="s">
        <v>8722</v>
      </c>
      <c r="R1340" s="338"/>
      <c r="S1340" s="338"/>
      <c r="T1340" s="338"/>
      <c r="U1340" s="338" t="s">
        <v>8726</v>
      </c>
      <c r="V1340" s="337">
        <v>0</v>
      </c>
      <c r="W1340" s="337">
        <v>0</v>
      </c>
      <c r="X1340" s="338" t="s">
        <v>8730</v>
      </c>
      <c r="Y1340" s="338" t="s">
        <v>7552</v>
      </c>
      <c r="Z1340" s="338" t="s">
        <v>8746</v>
      </c>
      <c r="AA1340" s="338" t="s">
        <v>6079</v>
      </c>
      <c r="AB1340" s="338"/>
      <c r="AC1340" s="338"/>
      <c r="AD1340" s="338"/>
    </row>
    <row r="1341" spans="1:33">
      <c r="A1341" s="338" t="s">
        <v>6072</v>
      </c>
      <c r="B1341" s="338" t="s">
        <v>6073</v>
      </c>
      <c r="C1341" s="337">
        <v>1</v>
      </c>
      <c r="D1341" s="338" t="s">
        <v>8715</v>
      </c>
      <c r="E1341" s="338" t="s">
        <v>8716</v>
      </c>
      <c r="F1341" s="337">
        <v>0</v>
      </c>
      <c r="G1341" s="337">
        <v>0</v>
      </c>
      <c r="H1341" s="338" t="s">
        <v>8716</v>
      </c>
      <c r="I1341" s="338" t="s">
        <v>9127</v>
      </c>
      <c r="J1341" s="338" t="s">
        <v>9133</v>
      </c>
      <c r="K1341" s="338"/>
      <c r="L1341" s="338" t="s">
        <v>8716</v>
      </c>
      <c r="M1341" s="338" t="s">
        <v>8719</v>
      </c>
      <c r="N1341" s="338" t="s">
        <v>8723</v>
      </c>
      <c r="O1341" s="337">
        <v>0</v>
      </c>
      <c r="P1341" s="337">
        <v>0</v>
      </c>
      <c r="Q1341" s="338"/>
      <c r="R1341" s="338" t="s">
        <v>8724</v>
      </c>
      <c r="S1341" s="338"/>
      <c r="T1341" s="338" t="s">
        <v>8723</v>
      </c>
      <c r="U1341" s="338" t="s">
        <v>8727</v>
      </c>
      <c r="V1341" s="337">
        <v>0</v>
      </c>
      <c r="W1341" s="337">
        <v>0</v>
      </c>
      <c r="X1341" s="338"/>
      <c r="Y1341" s="338" t="s">
        <v>6318</v>
      </c>
      <c r="Z1341" s="338" t="s">
        <v>8747</v>
      </c>
      <c r="AA1341" s="338" t="s">
        <v>6079</v>
      </c>
      <c r="AB1341" s="338"/>
      <c r="AC1341" s="338" t="s">
        <v>8753</v>
      </c>
      <c r="AD1341" s="338"/>
    </row>
    <row r="1342" spans="1:33">
      <c r="A1342" s="338" t="s">
        <v>6072</v>
      </c>
      <c r="B1342" s="338" t="s">
        <v>6073</v>
      </c>
      <c r="C1342" s="337">
        <v>1</v>
      </c>
      <c r="D1342" s="338" t="s">
        <v>8715</v>
      </c>
      <c r="E1342" s="338" t="s">
        <v>8716</v>
      </c>
      <c r="F1342" s="337">
        <v>0</v>
      </c>
      <c r="G1342" s="337">
        <v>0</v>
      </c>
      <c r="H1342" s="338" t="s">
        <v>8716</v>
      </c>
      <c r="I1342" s="338" t="s">
        <v>9127</v>
      </c>
      <c r="J1342" s="338" t="s">
        <v>9133</v>
      </c>
      <c r="K1342" s="338"/>
      <c r="L1342" s="338" t="s">
        <v>8716</v>
      </c>
      <c r="M1342" s="338" t="s">
        <v>8719</v>
      </c>
      <c r="N1342" s="338" t="s">
        <v>8723</v>
      </c>
      <c r="O1342" s="337">
        <v>0</v>
      </c>
      <c r="P1342" s="337">
        <v>0</v>
      </c>
      <c r="Q1342" s="338"/>
      <c r="R1342" s="338" t="s">
        <v>8724</v>
      </c>
      <c r="S1342" s="338"/>
      <c r="T1342" s="338" t="s">
        <v>8723</v>
      </c>
      <c r="U1342" s="338" t="s">
        <v>8728</v>
      </c>
      <c r="V1342" s="337">
        <v>0</v>
      </c>
      <c r="W1342" s="337">
        <v>0</v>
      </c>
      <c r="X1342" s="338"/>
      <c r="Y1342" s="338" t="s">
        <v>6318</v>
      </c>
      <c r="Z1342" s="338" t="s">
        <v>8746</v>
      </c>
      <c r="AA1342" s="338" t="s">
        <v>6079</v>
      </c>
      <c r="AB1342" s="338"/>
      <c r="AC1342" s="338" t="s">
        <v>8754</v>
      </c>
      <c r="AD1342" s="338"/>
    </row>
    <row r="1343" spans="1:33">
      <c r="A1343" s="338" t="s">
        <v>6072</v>
      </c>
      <c r="B1343" s="338" t="s">
        <v>6073</v>
      </c>
      <c r="C1343" s="337">
        <v>1</v>
      </c>
      <c r="D1343" s="338" t="s">
        <v>8715</v>
      </c>
      <c r="E1343" s="338" t="s">
        <v>8716</v>
      </c>
      <c r="F1343" s="337">
        <v>0</v>
      </c>
      <c r="G1343" s="337">
        <v>0</v>
      </c>
      <c r="H1343" s="338" t="s">
        <v>8716</v>
      </c>
      <c r="I1343" s="338" t="s">
        <v>9127</v>
      </c>
      <c r="J1343" s="338" t="s">
        <v>9133</v>
      </c>
      <c r="K1343" s="338"/>
      <c r="L1343" s="338" t="s">
        <v>8716</v>
      </c>
      <c r="M1343" s="338" t="s">
        <v>8864</v>
      </c>
      <c r="N1343" s="338" t="s">
        <v>8866</v>
      </c>
      <c r="O1343" s="337">
        <v>0</v>
      </c>
      <c r="P1343" s="337">
        <v>0</v>
      </c>
      <c r="Q1343" s="338" t="s">
        <v>8866</v>
      </c>
      <c r="R1343" s="338" t="s">
        <v>8868</v>
      </c>
      <c r="S1343" s="338"/>
      <c r="T1343" s="338"/>
      <c r="U1343" s="338" t="s">
        <v>8870</v>
      </c>
      <c r="V1343" s="337">
        <v>0</v>
      </c>
      <c r="W1343" s="337">
        <v>0</v>
      </c>
      <c r="X1343" s="338"/>
      <c r="Y1343" s="338" t="s">
        <v>8875</v>
      </c>
      <c r="Z1343" s="338" t="s">
        <v>8880</v>
      </c>
      <c r="AA1343" s="338" t="s">
        <v>6079</v>
      </c>
      <c r="AB1343" s="338"/>
      <c r="AC1343" s="338" t="s">
        <v>8882</v>
      </c>
      <c r="AD1343" s="338"/>
    </row>
    <row r="1344" spans="1:33">
      <c r="A1344" s="338" t="s">
        <v>6072</v>
      </c>
      <c r="B1344" s="338" t="s">
        <v>6073</v>
      </c>
      <c r="C1344" s="337">
        <v>1</v>
      </c>
      <c r="D1344" s="338" t="s">
        <v>8715</v>
      </c>
      <c r="E1344" s="338" t="s">
        <v>8716</v>
      </c>
      <c r="F1344" s="337">
        <v>0</v>
      </c>
      <c r="G1344" s="337">
        <v>0</v>
      </c>
      <c r="H1344" s="338" t="s">
        <v>8716</v>
      </c>
      <c r="I1344" s="338" t="s">
        <v>9127</v>
      </c>
      <c r="J1344" s="338" t="s">
        <v>9133</v>
      </c>
      <c r="K1344" s="338"/>
      <c r="L1344" s="338" t="s">
        <v>8716</v>
      </c>
      <c r="M1344" s="338" t="s">
        <v>8864</v>
      </c>
      <c r="N1344" s="338" t="s">
        <v>8866</v>
      </c>
      <c r="O1344" s="337">
        <v>0</v>
      </c>
      <c r="P1344" s="337">
        <v>0</v>
      </c>
      <c r="Q1344" s="338" t="s">
        <v>8866</v>
      </c>
      <c r="R1344" s="338" t="s">
        <v>8868</v>
      </c>
      <c r="S1344" s="338"/>
      <c r="T1344" s="338"/>
      <c r="U1344" s="338" t="s">
        <v>8871</v>
      </c>
      <c r="V1344" s="337">
        <v>0</v>
      </c>
      <c r="W1344" s="337">
        <v>0</v>
      </c>
      <c r="X1344" s="338"/>
      <c r="Y1344" s="338" t="s">
        <v>8875</v>
      </c>
      <c r="Z1344" s="338" t="s">
        <v>8881</v>
      </c>
      <c r="AA1344" s="338" t="s">
        <v>6079</v>
      </c>
      <c r="AB1344" s="338"/>
      <c r="AC1344" s="338" t="s">
        <v>8883</v>
      </c>
      <c r="AD1344" s="338"/>
    </row>
    <row r="1345" spans="1:30">
      <c r="A1345" s="338" t="s">
        <v>6072</v>
      </c>
      <c r="B1345" s="338" t="s">
        <v>6073</v>
      </c>
      <c r="C1345" s="337">
        <v>1</v>
      </c>
      <c r="D1345" s="338" t="s">
        <v>8715</v>
      </c>
      <c r="E1345" s="338" t="s">
        <v>8716</v>
      </c>
      <c r="F1345" s="337">
        <v>0</v>
      </c>
      <c r="G1345" s="337">
        <v>0</v>
      </c>
      <c r="H1345" s="338" t="s">
        <v>8716</v>
      </c>
      <c r="I1345" s="338" t="s">
        <v>9127</v>
      </c>
      <c r="J1345" s="338" t="s">
        <v>9133</v>
      </c>
      <c r="K1345" s="338"/>
      <c r="L1345" s="338" t="s">
        <v>8716</v>
      </c>
      <c r="M1345" s="338" t="s">
        <v>8865</v>
      </c>
      <c r="N1345" s="338" t="s">
        <v>8867</v>
      </c>
      <c r="O1345" s="337">
        <v>0</v>
      </c>
      <c r="P1345" s="337">
        <v>0</v>
      </c>
      <c r="Q1345" s="338" t="s">
        <v>8867</v>
      </c>
      <c r="R1345" s="338" t="s">
        <v>8869</v>
      </c>
      <c r="S1345" s="338"/>
      <c r="T1345" s="338"/>
      <c r="U1345" s="338" t="s">
        <v>8872</v>
      </c>
      <c r="V1345" s="337">
        <v>0</v>
      </c>
      <c r="W1345" s="337">
        <v>0</v>
      </c>
      <c r="X1345" s="338"/>
      <c r="Y1345" s="338" t="s">
        <v>6318</v>
      </c>
      <c r="Z1345" s="338" t="s">
        <v>8286</v>
      </c>
      <c r="AA1345" s="338" t="s">
        <v>6079</v>
      </c>
      <c r="AB1345" s="338"/>
      <c r="AC1345" s="338" t="s">
        <v>8882</v>
      </c>
      <c r="AD1345" s="338"/>
    </row>
    <row r="1346" spans="1:30">
      <c r="A1346" s="338" t="s">
        <v>6072</v>
      </c>
      <c r="B1346" s="338" t="s">
        <v>6073</v>
      </c>
      <c r="C1346" s="337">
        <v>1</v>
      </c>
      <c r="D1346" s="338" t="s">
        <v>8715</v>
      </c>
      <c r="E1346" s="338" t="s">
        <v>8716</v>
      </c>
      <c r="F1346" s="337">
        <v>0</v>
      </c>
      <c r="G1346" s="337">
        <v>0</v>
      </c>
      <c r="H1346" s="338" t="s">
        <v>8716</v>
      </c>
      <c r="I1346" s="338" t="s">
        <v>9127</v>
      </c>
      <c r="J1346" s="338" t="s">
        <v>9133</v>
      </c>
      <c r="K1346" s="338"/>
      <c r="L1346" s="338" t="s">
        <v>8716</v>
      </c>
      <c r="M1346" s="338" t="s">
        <v>8865</v>
      </c>
      <c r="N1346" s="338" t="s">
        <v>8867</v>
      </c>
      <c r="O1346" s="337">
        <v>0</v>
      </c>
      <c r="P1346" s="337">
        <v>0</v>
      </c>
      <c r="Q1346" s="338" t="s">
        <v>8867</v>
      </c>
      <c r="R1346" s="338" t="s">
        <v>8869</v>
      </c>
      <c r="S1346" s="338"/>
      <c r="T1346" s="338"/>
      <c r="U1346" s="338" t="s">
        <v>8873</v>
      </c>
      <c r="V1346" s="337">
        <v>0</v>
      </c>
      <c r="W1346" s="337">
        <v>0</v>
      </c>
      <c r="X1346" s="338"/>
      <c r="Y1346" s="338" t="s">
        <v>6318</v>
      </c>
      <c r="Z1346" s="338" t="s">
        <v>8861</v>
      </c>
      <c r="AA1346" s="338" t="s">
        <v>6079</v>
      </c>
      <c r="AB1346" s="338"/>
      <c r="AC1346" s="338" t="s">
        <v>8883</v>
      </c>
      <c r="AD1346" s="338"/>
    </row>
    <row r="1347" spans="1:30">
      <c r="A1347"/>
      <c r="B1347"/>
      <c r="C1347"/>
      <c r="D1347"/>
      <c r="E1347"/>
      <c r="F1347"/>
      <c r="G1347"/>
      <c r="H1347"/>
      <c r="I1347"/>
      <c r="J1347"/>
      <c r="K1347"/>
      <c r="L1347"/>
      <c r="M1347"/>
      <c r="N1347"/>
      <c r="O1347"/>
      <c r="P1347"/>
      <c r="Q1347"/>
      <c r="R1347"/>
      <c r="S1347"/>
      <c r="T1347"/>
      <c r="U1347"/>
      <c r="V1347"/>
      <c r="W1347"/>
      <c r="X1347"/>
      <c r="Y1347"/>
      <c r="Z1347"/>
      <c r="AA1347"/>
      <c r="AB1347"/>
      <c r="AC1347"/>
      <c r="AD1347"/>
    </row>
    <row r="1348" spans="1:30">
      <c r="A1348"/>
      <c r="B1348"/>
      <c r="C1348"/>
      <c r="D1348"/>
      <c r="E1348"/>
      <c r="F1348"/>
      <c r="G1348"/>
      <c r="H1348"/>
      <c r="I1348"/>
      <c r="J1348"/>
      <c r="K1348"/>
      <c r="L1348"/>
      <c r="M1348"/>
      <c r="N1348"/>
      <c r="O1348"/>
      <c r="P1348"/>
      <c r="Q1348"/>
      <c r="R1348"/>
      <c r="S1348"/>
      <c r="T1348"/>
      <c r="U1348"/>
      <c r="V1348"/>
      <c r="W1348"/>
      <c r="X1348"/>
      <c r="Y1348"/>
      <c r="Z1348"/>
      <c r="AA1348"/>
      <c r="AB1348"/>
      <c r="AC1348"/>
      <c r="AD1348"/>
    </row>
    <row r="1349" spans="1:30">
      <c r="A1349"/>
      <c r="B1349"/>
      <c r="C1349"/>
      <c r="D1349"/>
      <c r="E1349"/>
      <c r="F1349"/>
      <c r="G1349"/>
      <c r="H1349"/>
      <c r="I1349"/>
      <c r="J1349"/>
      <c r="K1349"/>
      <c r="L1349"/>
      <c r="M1349"/>
      <c r="N1349"/>
      <c r="O1349"/>
      <c r="P1349"/>
      <c r="Q1349"/>
      <c r="R1349"/>
      <c r="S1349"/>
      <c r="T1349"/>
      <c r="U1349"/>
      <c r="V1349"/>
      <c r="W1349"/>
      <c r="X1349"/>
      <c r="Y1349"/>
      <c r="Z1349"/>
      <c r="AA1349"/>
      <c r="AB1349"/>
      <c r="AC1349"/>
      <c r="AD1349"/>
    </row>
    <row r="1350" spans="1:30">
      <c r="A1350"/>
      <c r="B1350"/>
      <c r="C1350"/>
      <c r="D1350"/>
      <c r="E1350"/>
      <c r="F1350"/>
      <c r="G1350"/>
      <c r="H1350"/>
      <c r="I1350"/>
      <c r="J1350"/>
      <c r="K1350"/>
      <c r="L1350"/>
      <c r="M1350"/>
      <c r="N1350"/>
      <c r="O1350"/>
      <c r="P1350"/>
      <c r="Q1350"/>
      <c r="R1350"/>
      <c r="S1350"/>
      <c r="T1350"/>
      <c r="U1350"/>
      <c r="V1350"/>
      <c r="W1350"/>
      <c r="X1350"/>
      <c r="Y1350"/>
      <c r="Z1350"/>
      <c r="AA1350"/>
      <c r="AB1350"/>
      <c r="AC1350"/>
      <c r="AD1350"/>
    </row>
    <row r="1351" spans="1:30">
      <c r="A1351"/>
      <c r="B1351"/>
      <c r="C1351"/>
      <c r="D1351"/>
      <c r="E1351"/>
      <c r="F1351"/>
      <c r="G1351"/>
      <c r="H1351"/>
      <c r="I1351"/>
      <c r="J1351"/>
      <c r="K1351"/>
      <c r="L1351"/>
      <c r="M1351"/>
      <c r="N1351"/>
      <c r="O1351"/>
      <c r="P1351"/>
      <c r="Q1351"/>
      <c r="R1351"/>
      <c r="S1351"/>
      <c r="T1351"/>
      <c r="U1351"/>
      <c r="V1351"/>
      <c r="W1351"/>
      <c r="X1351"/>
      <c r="Y1351"/>
      <c r="Z1351"/>
      <c r="AA1351"/>
      <c r="AB1351"/>
      <c r="AC1351"/>
      <c r="AD1351"/>
    </row>
    <row r="1353" spans="1:30">
      <c r="A1353" s="338"/>
      <c r="B1353" s="338"/>
      <c r="D1353" s="338"/>
      <c r="E1353" s="338"/>
      <c r="H1353" s="338"/>
      <c r="I1353" s="338"/>
      <c r="J1353" s="338"/>
      <c r="K1353" s="338"/>
      <c r="L1353" s="338"/>
      <c r="M1353" s="338"/>
      <c r="N1353" s="338"/>
      <c r="Q1353" s="338"/>
      <c r="R1353" s="338"/>
      <c r="S1353" s="338"/>
      <c r="T1353" s="338"/>
      <c r="U1353" s="338"/>
      <c r="X1353" s="338"/>
      <c r="Y1353" s="338"/>
      <c r="Z1353" s="338"/>
      <c r="AA1353" s="338"/>
      <c r="AB1353" s="338"/>
      <c r="AC1353" s="338"/>
      <c r="AD1353" s="338"/>
    </row>
    <row r="1354" spans="1:30">
      <c r="A1354" s="338"/>
      <c r="B1354" s="338"/>
      <c r="D1354" s="338"/>
      <c r="E1354" s="338"/>
      <c r="H1354" s="338"/>
      <c r="I1354" s="338"/>
      <c r="J1354" s="338"/>
      <c r="K1354" s="338"/>
      <c r="L1354" s="338"/>
      <c r="M1354" s="338"/>
      <c r="N1354" s="338"/>
      <c r="Q1354" s="338"/>
      <c r="R1354" s="338"/>
      <c r="S1354" s="338"/>
      <c r="T1354" s="338"/>
      <c r="U1354" s="338"/>
      <c r="X1354" s="338"/>
      <c r="Y1354" s="338"/>
      <c r="Z1354" s="338"/>
      <c r="AA1354" s="338"/>
      <c r="AB1354" s="338"/>
      <c r="AC1354" s="338"/>
      <c r="AD1354" s="338"/>
    </row>
    <row r="1355" spans="1:30">
      <c r="A1355" s="338"/>
      <c r="B1355" s="338"/>
      <c r="D1355" s="338"/>
      <c r="E1355" s="338"/>
      <c r="H1355" s="338"/>
      <c r="I1355" s="338"/>
      <c r="J1355" s="338"/>
      <c r="K1355" s="338"/>
      <c r="L1355" s="338"/>
      <c r="M1355" s="338"/>
      <c r="N1355" s="338"/>
      <c r="Q1355" s="338"/>
      <c r="R1355" s="338"/>
      <c r="S1355" s="338"/>
      <c r="T1355" s="338"/>
      <c r="U1355" s="338"/>
      <c r="X1355" s="338"/>
      <c r="Y1355" s="338"/>
      <c r="Z1355" s="338"/>
      <c r="AA1355" s="338"/>
      <c r="AB1355" s="338"/>
      <c r="AC1355" s="338"/>
      <c r="AD1355" s="338"/>
    </row>
    <row r="1356" spans="1:30">
      <c r="A1356" s="338"/>
      <c r="B1356" s="338"/>
      <c r="D1356" s="338"/>
      <c r="E1356" s="338"/>
      <c r="H1356" s="338"/>
      <c r="I1356" s="338"/>
      <c r="J1356" s="338"/>
      <c r="K1356" s="338"/>
      <c r="L1356" s="338"/>
      <c r="M1356" s="338"/>
      <c r="N1356" s="338"/>
      <c r="Q1356" s="338"/>
      <c r="R1356" s="338"/>
      <c r="S1356" s="338"/>
      <c r="T1356" s="338"/>
      <c r="U1356" s="338"/>
      <c r="X1356" s="338"/>
      <c r="Y1356" s="338"/>
      <c r="Z1356" s="338"/>
      <c r="AA1356" s="338"/>
      <c r="AB1356" s="338"/>
      <c r="AC1356" s="338"/>
      <c r="AD1356" s="338"/>
    </row>
    <row r="1357" spans="1:30">
      <c r="A1357" s="338"/>
      <c r="B1357" s="338"/>
      <c r="D1357" s="338"/>
      <c r="E1357" s="338"/>
      <c r="H1357" s="338"/>
      <c r="I1357" s="338"/>
      <c r="J1357" s="338"/>
      <c r="K1357" s="338"/>
      <c r="L1357" s="338"/>
      <c r="M1357" s="338"/>
      <c r="N1357" s="338"/>
      <c r="Q1357" s="338"/>
      <c r="R1357" s="338"/>
      <c r="S1357" s="338"/>
      <c r="T1357" s="338"/>
      <c r="U1357" s="338"/>
      <c r="X1357" s="338"/>
      <c r="Y1357" s="338"/>
      <c r="Z1357" s="338"/>
      <c r="AA1357" s="338"/>
      <c r="AB1357" s="338"/>
      <c r="AC1357" s="338"/>
      <c r="AD1357" s="338"/>
    </row>
    <row r="1358" spans="1:30">
      <c r="A1358" s="338"/>
      <c r="B1358" s="338"/>
      <c r="D1358" s="338"/>
      <c r="E1358" s="338"/>
      <c r="H1358" s="338"/>
      <c r="I1358" s="338"/>
      <c r="J1358" s="338"/>
      <c r="K1358" s="338"/>
      <c r="L1358" s="338"/>
      <c r="M1358" s="338"/>
      <c r="N1358" s="338"/>
      <c r="Q1358" s="338"/>
      <c r="R1358" s="338"/>
      <c r="S1358" s="338"/>
      <c r="T1358" s="338"/>
      <c r="U1358" s="338"/>
      <c r="X1358" s="338"/>
      <c r="Y1358" s="338"/>
      <c r="Z1358" s="338"/>
      <c r="AA1358" s="338"/>
      <c r="AB1358" s="338"/>
      <c r="AC1358" s="338"/>
      <c r="AD1358" s="338"/>
    </row>
    <row r="1359" spans="1:30">
      <c r="A1359" s="338"/>
      <c r="B1359" s="338"/>
      <c r="D1359" s="338"/>
      <c r="E1359" s="338"/>
      <c r="H1359" s="338"/>
      <c r="I1359" s="338"/>
      <c r="J1359" s="338"/>
      <c r="K1359" s="338"/>
      <c r="L1359" s="338"/>
      <c r="M1359" s="338"/>
      <c r="N1359" s="338"/>
      <c r="Q1359" s="338"/>
      <c r="R1359" s="338"/>
      <c r="S1359" s="338"/>
      <c r="T1359" s="338"/>
      <c r="U1359" s="338"/>
      <c r="X1359" s="338"/>
      <c r="Y1359" s="338"/>
      <c r="Z1359" s="338"/>
      <c r="AA1359" s="338"/>
      <c r="AB1359" s="338"/>
      <c r="AC1359" s="338"/>
      <c r="AD1359" s="338"/>
    </row>
    <row r="1360" spans="1:30">
      <c r="A1360" s="338"/>
      <c r="B1360" s="338"/>
      <c r="D1360" s="338"/>
      <c r="E1360" s="338"/>
      <c r="H1360" s="338"/>
      <c r="I1360" s="338"/>
      <c r="J1360" s="338"/>
      <c r="K1360" s="338"/>
      <c r="L1360" s="338"/>
      <c r="M1360" s="338"/>
      <c r="N1360" s="338"/>
      <c r="Q1360" s="338"/>
      <c r="R1360" s="338"/>
      <c r="S1360" s="338"/>
      <c r="T1360" s="338"/>
      <c r="U1360" s="338"/>
      <c r="X1360" s="338"/>
      <c r="Y1360" s="338"/>
      <c r="Z1360" s="338"/>
      <c r="AA1360" s="338"/>
      <c r="AB1360" s="338"/>
      <c r="AC1360" s="338"/>
      <c r="AD1360" s="338"/>
    </row>
    <row r="1361" spans="1:30">
      <c r="A1361" s="338"/>
      <c r="B1361" s="338"/>
      <c r="D1361" s="338"/>
      <c r="E1361" s="338"/>
      <c r="H1361" s="338"/>
      <c r="I1361" s="338"/>
      <c r="J1361" s="338"/>
      <c r="K1361" s="338"/>
      <c r="L1361" s="338"/>
      <c r="M1361" s="338"/>
      <c r="N1361" s="338"/>
      <c r="Q1361" s="338"/>
      <c r="R1361" s="338"/>
      <c r="S1361" s="338"/>
      <c r="T1361" s="338"/>
      <c r="U1361" s="338"/>
      <c r="X1361" s="338"/>
      <c r="Y1361" s="338"/>
      <c r="Z1361" s="338"/>
      <c r="AA1361" s="338"/>
      <c r="AB1361" s="338"/>
      <c r="AC1361" s="338"/>
      <c r="AD1361" s="338"/>
    </row>
    <row r="1362" spans="1:30">
      <c r="A1362" s="338"/>
      <c r="B1362" s="338"/>
      <c r="D1362" s="338"/>
      <c r="E1362" s="338"/>
      <c r="H1362" s="338"/>
      <c r="I1362" s="338"/>
      <c r="J1362" s="338"/>
      <c r="K1362" s="338"/>
      <c r="L1362" s="338"/>
      <c r="M1362" s="338"/>
      <c r="N1362" s="338"/>
      <c r="Q1362" s="338"/>
      <c r="R1362" s="338"/>
      <c r="S1362" s="338"/>
      <c r="T1362" s="338"/>
      <c r="U1362" s="338"/>
      <c r="X1362" s="338"/>
      <c r="Y1362" s="338"/>
      <c r="Z1362" s="338"/>
      <c r="AA1362" s="338"/>
      <c r="AB1362" s="338"/>
      <c r="AC1362" s="338"/>
      <c r="AD1362" s="338"/>
    </row>
    <row r="1363" spans="1:30">
      <c r="A1363" s="338"/>
      <c r="B1363" s="338"/>
      <c r="D1363" s="338"/>
      <c r="E1363" s="338"/>
      <c r="H1363" s="338"/>
      <c r="I1363" s="338"/>
      <c r="J1363" s="338"/>
      <c r="K1363" s="338"/>
      <c r="L1363" s="338"/>
      <c r="M1363" s="338"/>
      <c r="N1363" s="338"/>
      <c r="Q1363" s="338"/>
      <c r="R1363" s="338"/>
      <c r="S1363" s="338"/>
      <c r="T1363" s="338"/>
      <c r="U1363" s="338"/>
      <c r="X1363" s="338"/>
      <c r="Y1363" s="338"/>
      <c r="Z1363" s="338"/>
      <c r="AA1363" s="338"/>
      <c r="AB1363" s="338"/>
      <c r="AC1363" s="338"/>
      <c r="AD1363" s="338"/>
    </row>
    <row r="1364" spans="1:30">
      <c r="A1364" s="338"/>
      <c r="B1364" s="338"/>
      <c r="D1364" s="338"/>
      <c r="E1364" s="338"/>
      <c r="H1364" s="338"/>
      <c r="I1364" s="338"/>
      <c r="J1364" s="338"/>
      <c r="K1364" s="338"/>
      <c r="L1364" s="338"/>
      <c r="M1364" s="338"/>
      <c r="N1364" s="338"/>
      <c r="Q1364" s="338"/>
      <c r="R1364" s="338"/>
      <c r="S1364" s="338"/>
      <c r="T1364" s="338"/>
      <c r="U1364" s="338"/>
      <c r="X1364" s="338"/>
      <c r="Y1364" s="338"/>
      <c r="Z1364" s="338"/>
      <c r="AA1364" s="338"/>
      <c r="AB1364" s="338"/>
      <c r="AC1364" s="338"/>
      <c r="AD1364" s="338"/>
    </row>
    <row r="1365" spans="1:30">
      <c r="A1365" s="338"/>
      <c r="B1365" s="338"/>
      <c r="D1365" s="338"/>
      <c r="E1365" s="338"/>
      <c r="H1365" s="338"/>
      <c r="I1365" s="338"/>
      <c r="J1365" s="338"/>
      <c r="K1365" s="338"/>
      <c r="L1365" s="338"/>
      <c r="M1365" s="338"/>
      <c r="N1365" s="338"/>
      <c r="Q1365" s="338"/>
      <c r="R1365" s="338"/>
      <c r="S1365" s="338"/>
      <c r="T1365" s="338"/>
      <c r="U1365" s="338"/>
      <c r="X1365" s="338"/>
      <c r="Y1365" s="338"/>
      <c r="Z1365" s="338"/>
      <c r="AA1365" s="338"/>
      <c r="AB1365" s="338"/>
      <c r="AC1365" s="338"/>
      <c r="AD1365" s="338"/>
    </row>
    <row r="1366" spans="1:30">
      <c r="A1366" s="338"/>
      <c r="B1366" s="338"/>
      <c r="D1366" s="338"/>
      <c r="E1366" s="338"/>
      <c r="H1366" s="338"/>
      <c r="I1366" s="338"/>
      <c r="J1366" s="338"/>
      <c r="K1366" s="338"/>
      <c r="L1366" s="338"/>
      <c r="M1366" s="338"/>
      <c r="N1366" s="338"/>
      <c r="Q1366" s="338"/>
      <c r="R1366" s="338"/>
      <c r="S1366" s="338"/>
      <c r="T1366" s="338"/>
      <c r="U1366" s="338"/>
      <c r="X1366" s="338"/>
      <c r="Y1366" s="338"/>
      <c r="Z1366" s="338"/>
      <c r="AA1366" s="338"/>
      <c r="AB1366" s="338"/>
      <c r="AC1366" s="338"/>
      <c r="AD1366" s="338"/>
    </row>
    <row r="1367" spans="1:30">
      <c r="A1367" s="338"/>
      <c r="B1367" s="338"/>
      <c r="D1367" s="338"/>
      <c r="E1367" s="338"/>
      <c r="H1367" s="338"/>
      <c r="I1367" s="338"/>
      <c r="J1367" s="338"/>
      <c r="K1367" s="338"/>
      <c r="L1367" s="338"/>
      <c r="M1367" s="338"/>
      <c r="N1367" s="338"/>
      <c r="Q1367" s="338"/>
      <c r="R1367" s="338"/>
      <c r="S1367" s="338"/>
      <c r="T1367" s="338"/>
      <c r="U1367" s="338"/>
      <c r="X1367" s="338"/>
      <c r="Y1367" s="338"/>
      <c r="Z1367" s="338"/>
      <c r="AA1367" s="338"/>
      <c r="AB1367" s="338"/>
      <c r="AC1367" s="338"/>
      <c r="AD1367" s="338"/>
    </row>
    <row r="1368" spans="1:30">
      <c r="A1368" s="338"/>
      <c r="B1368" s="338"/>
      <c r="D1368" s="338"/>
      <c r="E1368" s="338"/>
      <c r="H1368" s="338"/>
      <c r="I1368" s="338"/>
      <c r="J1368" s="338"/>
      <c r="K1368" s="338"/>
      <c r="L1368" s="338"/>
      <c r="M1368" s="338"/>
      <c r="N1368" s="338"/>
      <c r="Q1368" s="338"/>
      <c r="R1368" s="338"/>
      <c r="S1368" s="338"/>
      <c r="T1368" s="338"/>
      <c r="U1368" s="338"/>
      <c r="X1368" s="338"/>
      <c r="Y1368" s="338"/>
      <c r="Z1368" s="338"/>
      <c r="AA1368" s="338"/>
      <c r="AB1368" s="338"/>
      <c r="AC1368" s="338"/>
      <c r="AD1368" s="338"/>
    </row>
    <row r="1369" spans="1:30">
      <c r="A1369" s="338"/>
      <c r="B1369" s="338"/>
      <c r="D1369" s="338"/>
      <c r="E1369" s="338"/>
      <c r="H1369" s="338"/>
      <c r="I1369" s="338"/>
      <c r="J1369" s="338"/>
      <c r="K1369" s="338"/>
      <c r="L1369" s="338"/>
      <c r="M1369" s="338"/>
      <c r="N1369" s="338"/>
      <c r="Q1369" s="338"/>
      <c r="R1369" s="338"/>
      <c r="S1369" s="338"/>
      <c r="T1369" s="338"/>
      <c r="U1369" s="338"/>
      <c r="X1369" s="338"/>
      <c r="Y1369" s="338"/>
      <c r="Z1369" s="338"/>
      <c r="AA1369" s="338"/>
      <c r="AB1369" s="338"/>
      <c r="AC1369" s="338"/>
      <c r="AD1369" s="338"/>
    </row>
    <row r="1370" spans="1:30">
      <c r="A1370" s="338"/>
      <c r="B1370" s="338"/>
      <c r="D1370" s="338"/>
      <c r="E1370" s="338"/>
      <c r="H1370" s="338"/>
      <c r="I1370" s="338"/>
      <c r="J1370" s="338"/>
      <c r="K1370" s="338"/>
      <c r="L1370" s="338"/>
      <c r="M1370" s="338"/>
      <c r="N1370" s="338"/>
      <c r="Q1370" s="338"/>
      <c r="R1370" s="338"/>
      <c r="S1370" s="338"/>
      <c r="T1370" s="338"/>
      <c r="U1370" s="338"/>
      <c r="X1370" s="338"/>
      <c r="Y1370" s="338"/>
      <c r="Z1370" s="338"/>
      <c r="AA1370" s="338"/>
      <c r="AB1370" s="338"/>
      <c r="AC1370" s="338"/>
      <c r="AD1370" s="338"/>
    </row>
    <row r="1371" spans="1:30">
      <c r="A1371" s="338"/>
      <c r="B1371" s="338"/>
      <c r="D1371" s="338"/>
      <c r="E1371" s="338"/>
      <c r="H1371" s="338"/>
      <c r="I1371" s="338"/>
      <c r="J1371" s="338"/>
      <c r="K1371" s="338"/>
      <c r="L1371" s="338"/>
      <c r="M1371" s="338"/>
      <c r="N1371" s="338"/>
      <c r="Q1371" s="338"/>
      <c r="R1371" s="338"/>
      <c r="S1371" s="338"/>
      <c r="T1371" s="338"/>
      <c r="U1371" s="338"/>
      <c r="X1371" s="338"/>
      <c r="Y1371" s="338"/>
      <c r="Z1371" s="338"/>
      <c r="AA1371" s="338"/>
      <c r="AB1371" s="338"/>
      <c r="AC1371" s="338"/>
      <c r="AD1371" s="338"/>
    </row>
    <row r="1372" spans="1:30">
      <c r="A1372" s="338"/>
      <c r="B1372" s="338"/>
      <c r="D1372" s="338"/>
      <c r="E1372" s="338"/>
      <c r="H1372" s="338"/>
      <c r="I1372" s="338"/>
      <c r="J1372" s="338"/>
      <c r="K1372" s="338"/>
      <c r="L1372" s="338"/>
      <c r="M1372" s="338"/>
      <c r="N1372" s="338"/>
      <c r="Q1372" s="338"/>
      <c r="R1372" s="338"/>
      <c r="S1372" s="338"/>
      <c r="T1372" s="338"/>
      <c r="U1372" s="338"/>
      <c r="X1372" s="338"/>
      <c r="Y1372" s="338"/>
      <c r="Z1372" s="338"/>
      <c r="AA1372" s="338"/>
      <c r="AB1372" s="338"/>
      <c r="AC1372" s="338"/>
      <c r="AD1372" s="338"/>
    </row>
    <row r="1373" spans="1:30">
      <c r="A1373" s="338"/>
      <c r="B1373" s="338"/>
      <c r="D1373" s="338"/>
      <c r="E1373" s="338"/>
      <c r="H1373" s="338"/>
      <c r="I1373" s="338"/>
      <c r="J1373" s="338"/>
      <c r="K1373" s="338"/>
      <c r="L1373" s="338"/>
      <c r="M1373" s="338"/>
      <c r="N1373" s="338"/>
      <c r="Q1373" s="338"/>
      <c r="R1373" s="338"/>
      <c r="S1373" s="338"/>
      <c r="T1373" s="338"/>
      <c r="U1373" s="338"/>
      <c r="X1373" s="338"/>
      <c r="Y1373" s="338"/>
      <c r="Z1373" s="338"/>
      <c r="AA1373" s="338"/>
      <c r="AB1373" s="338"/>
      <c r="AC1373" s="338"/>
      <c r="AD1373" s="338"/>
    </row>
    <row r="1374" spans="1:30">
      <c r="A1374" s="338"/>
      <c r="B1374" s="338"/>
      <c r="D1374" s="338"/>
      <c r="E1374" s="338"/>
      <c r="H1374" s="338"/>
      <c r="I1374" s="338"/>
      <c r="J1374" s="338"/>
      <c r="K1374" s="338"/>
      <c r="L1374" s="338"/>
      <c r="M1374" s="338"/>
      <c r="N1374" s="338"/>
      <c r="Q1374" s="338"/>
      <c r="R1374" s="338"/>
      <c r="S1374" s="338"/>
      <c r="T1374" s="338"/>
      <c r="U1374" s="338"/>
      <c r="X1374" s="338"/>
      <c r="Y1374" s="338"/>
      <c r="Z1374" s="338"/>
      <c r="AA1374" s="338"/>
      <c r="AB1374" s="338"/>
      <c r="AC1374" s="338"/>
      <c r="AD1374" s="338"/>
    </row>
    <row r="1375" spans="1:30">
      <c r="A1375" s="338"/>
      <c r="B1375" s="338"/>
      <c r="D1375" s="338"/>
      <c r="E1375" s="338"/>
      <c r="H1375" s="338"/>
      <c r="I1375" s="338"/>
      <c r="J1375" s="338"/>
      <c r="K1375" s="338"/>
      <c r="L1375" s="338"/>
      <c r="M1375" s="338"/>
      <c r="N1375" s="338"/>
      <c r="Q1375" s="338"/>
      <c r="R1375" s="338"/>
      <c r="S1375" s="338"/>
      <c r="T1375" s="338"/>
      <c r="U1375" s="338"/>
      <c r="X1375" s="338"/>
      <c r="Y1375" s="338"/>
      <c r="Z1375" s="338"/>
      <c r="AA1375" s="338"/>
      <c r="AB1375" s="338"/>
      <c r="AC1375" s="338"/>
      <c r="AD1375" s="338"/>
    </row>
    <row r="1376" spans="1:30">
      <c r="A1376" s="338"/>
      <c r="B1376" s="338"/>
      <c r="D1376" s="338"/>
      <c r="E1376" s="338"/>
      <c r="H1376" s="338"/>
      <c r="I1376" s="338"/>
      <c r="J1376" s="338"/>
      <c r="K1376" s="338"/>
      <c r="L1376" s="338"/>
      <c r="M1376" s="338"/>
      <c r="N1376" s="338"/>
      <c r="Q1376" s="338"/>
      <c r="R1376" s="338"/>
      <c r="S1376" s="338"/>
      <c r="T1376" s="338"/>
      <c r="U1376" s="338"/>
      <c r="X1376" s="338"/>
      <c r="Y1376" s="338"/>
      <c r="Z1376" s="338"/>
      <c r="AA1376" s="338"/>
      <c r="AB1376" s="338"/>
      <c r="AC1376" s="338"/>
      <c r="AD1376" s="338"/>
    </row>
    <row r="1377" spans="1:30">
      <c r="A1377" s="338"/>
      <c r="B1377" s="338"/>
      <c r="D1377" s="338"/>
      <c r="E1377" s="338"/>
      <c r="H1377" s="338"/>
      <c r="I1377" s="338"/>
      <c r="J1377" s="338"/>
      <c r="K1377" s="338"/>
      <c r="L1377" s="338"/>
      <c r="M1377" s="338"/>
      <c r="N1377" s="338"/>
      <c r="Q1377" s="338"/>
      <c r="R1377" s="338"/>
      <c r="S1377" s="338"/>
      <c r="T1377" s="338"/>
      <c r="U1377" s="338"/>
      <c r="X1377" s="338"/>
      <c r="Y1377" s="338"/>
      <c r="Z1377" s="338"/>
      <c r="AA1377" s="338"/>
      <c r="AB1377" s="338"/>
      <c r="AC1377" s="338"/>
      <c r="AD1377" s="338"/>
    </row>
    <row r="1378" spans="1:30">
      <c r="A1378" s="338"/>
      <c r="B1378" s="338"/>
      <c r="D1378" s="338"/>
      <c r="E1378" s="338"/>
      <c r="H1378" s="338"/>
      <c r="I1378" s="338"/>
      <c r="J1378" s="338"/>
      <c r="K1378" s="338"/>
      <c r="L1378" s="338"/>
      <c r="M1378" s="338"/>
      <c r="N1378" s="338"/>
      <c r="Q1378" s="338"/>
      <c r="R1378" s="338"/>
      <c r="S1378" s="338"/>
      <c r="T1378" s="338"/>
      <c r="U1378" s="338"/>
      <c r="X1378" s="338"/>
      <c r="Y1378" s="338"/>
      <c r="Z1378" s="338"/>
      <c r="AA1378" s="338"/>
      <c r="AB1378" s="338"/>
      <c r="AC1378" s="338"/>
      <c r="AD1378" s="338"/>
    </row>
    <row r="1379" spans="1:30">
      <c r="A1379" s="338"/>
      <c r="B1379" s="338"/>
      <c r="D1379" s="338"/>
      <c r="E1379" s="338"/>
      <c r="H1379" s="338"/>
      <c r="I1379" s="338"/>
      <c r="J1379" s="338"/>
      <c r="K1379" s="338"/>
      <c r="L1379" s="338"/>
      <c r="M1379" s="338"/>
      <c r="N1379" s="338"/>
      <c r="Q1379" s="338"/>
      <c r="R1379" s="338"/>
      <c r="S1379" s="338"/>
      <c r="T1379" s="338"/>
      <c r="U1379" s="338"/>
      <c r="X1379" s="338"/>
      <c r="Y1379" s="338"/>
      <c r="Z1379" s="338"/>
      <c r="AA1379" s="338"/>
      <c r="AB1379" s="338"/>
      <c r="AC1379" s="338"/>
      <c r="AD1379" s="338"/>
    </row>
    <row r="1380" spans="1:30">
      <c r="A1380" s="338"/>
      <c r="B1380" s="338"/>
      <c r="D1380" s="338"/>
      <c r="E1380" s="338"/>
      <c r="H1380" s="338"/>
      <c r="I1380" s="338"/>
      <c r="J1380" s="338"/>
      <c r="K1380" s="338"/>
      <c r="L1380" s="338"/>
      <c r="M1380" s="338"/>
      <c r="N1380" s="338"/>
      <c r="Q1380" s="338"/>
      <c r="R1380" s="338"/>
      <c r="S1380" s="338"/>
      <c r="T1380" s="338"/>
      <c r="U1380" s="338"/>
      <c r="X1380" s="338"/>
      <c r="Y1380" s="338"/>
      <c r="Z1380" s="338"/>
      <c r="AA1380" s="338"/>
      <c r="AB1380" s="338"/>
      <c r="AC1380" s="338"/>
      <c r="AD1380" s="338"/>
    </row>
    <row r="1381" spans="1:30">
      <c r="A1381" s="338"/>
      <c r="B1381" s="338"/>
      <c r="D1381" s="338"/>
      <c r="E1381" s="338"/>
      <c r="H1381" s="338"/>
      <c r="I1381" s="338"/>
      <c r="J1381" s="338"/>
      <c r="K1381" s="338"/>
      <c r="L1381" s="338"/>
      <c r="M1381" s="338"/>
      <c r="N1381" s="338"/>
      <c r="Q1381" s="338"/>
      <c r="R1381" s="338"/>
      <c r="S1381" s="338"/>
      <c r="T1381" s="338"/>
      <c r="U1381" s="338"/>
      <c r="X1381" s="338"/>
      <c r="Y1381" s="338"/>
      <c r="Z1381" s="338"/>
      <c r="AA1381" s="338"/>
      <c r="AB1381" s="338"/>
      <c r="AC1381" s="338"/>
      <c r="AD1381" s="338"/>
    </row>
    <row r="1382" spans="1:30">
      <c r="A1382" s="338"/>
      <c r="B1382" s="338"/>
      <c r="D1382" s="338"/>
      <c r="E1382" s="338"/>
      <c r="H1382" s="338"/>
      <c r="I1382" s="338"/>
      <c r="J1382" s="338"/>
      <c r="K1382" s="338"/>
      <c r="L1382" s="338"/>
      <c r="M1382" s="338"/>
      <c r="N1382" s="338"/>
      <c r="Q1382" s="338"/>
      <c r="R1382" s="338"/>
      <c r="S1382" s="338"/>
      <c r="T1382" s="338"/>
      <c r="U1382" s="338"/>
      <c r="X1382" s="338"/>
      <c r="Y1382" s="338"/>
      <c r="Z1382" s="338"/>
      <c r="AA1382" s="338"/>
      <c r="AB1382" s="338"/>
      <c r="AC1382" s="338"/>
      <c r="AD1382" s="338"/>
    </row>
    <row r="1383" spans="1:30">
      <c r="A1383" s="338"/>
      <c r="B1383" s="338"/>
      <c r="D1383" s="338"/>
      <c r="E1383" s="338"/>
      <c r="H1383" s="338"/>
      <c r="I1383" s="338"/>
      <c r="J1383" s="338"/>
      <c r="K1383" s="338"/>
      <c r="L1383" s="338"/>
      <c r="M1383" s="338"/>
      <c r="N1383" s="338"/>
      <c r="Q1383" s="338"/>
      <c r="R1383" s="338"/>
      <c r="S1383" s="338"/>
      <c r="T1383" s="338"/>
      <c r="U1383" s="338"/>
      <c r="X1383" s="338"/>
      <c r="Y1383" s="338"/>
      <c r="Z1383" s="338"/>
      <c r="AA1383" s="338"/>
      <c r="AB1383" s="338"/>
      <c r="AC1383" s="338"/>
      <c r="AD1383" s="338"/>
    </row>
    <row r="1384" spans="1:30">
      <c r="A1384" s="338"/>
      <c r="B1384" s="338"/>
      <c r="D1384" s="338"/>
      <c r="E1384" s="338"/>
      <c r="H1384" s="338"/>
      <c r="I1384" s="338"/>
      <c r="J1384" s="338"/>
      <c r="K1384" s="338"/>
      <c r="L1384" s="338"/>
      <c r="M1384" s="338"/>
      <c r="N1384" s="338"/>
      <c r="Q1384" s="338"/>
      <c r="R1384" s="338"/>
      <c r="S1384" s="338"/>
      <c r="T1384" s="338"/>
      <c r="U1384" s="338"/>
      <c r="X1384" s="338"/>
      <c r="Y1384" s="338"/>
      <c r="Z1384" s="338"/>
      <c r="AA1384" s="338"/>
      <c r="AB1384" s="338"/>
      <c r="AC1384" s="338"/>
      <c r="AD1384" s="338"/>
    </row>
    <row r="1385" spans="1:30">
      <c r="A1385" s="338"/>
      <c r="B1385" s="338"/>
      <c r="D1385" s="338"/>
      <c r="E1385" s="338"/>
      <c r="H1385" s="338"/>
      <c r="I1385" s="338"/>
      <c r="J1385" s="338"/>
      <c r="K1385" s="338"/>
      <c r="L1385" s="338"/>
      <c r="M1385" s="338"/>
      <c r="N1385" s="338"/>
      <c r="Q1385" s="338"/>
      <c r="R1385" s="338"/>
      <c r="S1385" s="338"/>
      <c r="T1385" s="338"/>
      <c r="U1385" s="338"/>
      <c r="X1385" s="338"/>
      <c r="Y1385" s="338"/>
      <c r="Z1385" s="338"/>
      <c r="AA1385" s="338"/>
      <c r="AB1385" s="338"/>
      <c r="AC1385" s="338"/>
      <c r="AD1385" s="338"/>
    </row>
    <row r="1386" spans="1:30">
      <c r="A1386" s="338"/>
      <c r="B1386" s="338"/>
      <c r="D1386" s="338"/>
      <c r="E1386" s="338"/>
      <c r="H1386" s="338"/>
      <c r="I1386" s="338"/>
      <c r="J1386" s="338"/>
      <c r="K1386" s="338"/>
      <c r="L1386" s="338"/>
      <c r="M1386" s="338"/>
      <c r="N1386" s="338"/>
      <c r="Q1386" s="338"/>
      <c r="R1386" s="338"/>
      <c r="S1386" s="338"/>
      <c r="T1386" s="338"/>
      <c r="U1386" s="338"/>
      <c r="X1386" s="338"/>
      <c r="Y1386" s="338"/>
      <c r="Z1386" s="338"/>
      <c r="AA1386" s="338"/>
      <c r="AB1386" s="338"/>
      <c r="AC1386" s="338"/>
      <c r="AD1386" s="338"/>
    </row>
    <row r="1387" spans="1:30">
      <c r="A1387" s="338"/>
      <c r="B1387" s="338"/>
      <c r="D1387" s="338"/>
      <c r="E1387" s="338"/>
      <c r="H1387" s="338"/>
      <c r="I1387" s="338"/>
      <c r="J1387" s="338"/>
      <c r="K1387" s="338"/>
      <c r="L1387" s="338"/>
      <c r="M1387" s="338"/>
      <c r="N1387" s="338"/>
      <c r="Q1387" s="338"/>
      <c r="R1387" s="338"/>
      <c r="S1387" s="338"/>
      <c r="T1387" s="338"/>
      <c r="U1387" s="338"/>
      <c r="X1387" s="338"/>
      <c r="Y1387" s="338"/>
      <c r="Z1387" s="338"/>
      <c r="AA1387" s="338"/>
      <c r="AB1387" s="338"/>
      <c r="AC1387" s="338"/>
      <c r="AD1387" s="338"/>
    </row>
    <row r="1388" spans="1:30">
      <c r="A1388" s="338"/>
      <c r="B1388" s="338"/>
      <c r="D1388" s="338"/>
      <c r="E1388" s="338"/>
      <c r="H1388" s="338"/>
      <c r="I1388" s="338"/>
      <c r="J1388" s="338"/>
      <c r="K1388" s="338"/>
      <c r="L1388" s="338"/>
      <c r="M1388" s="338"/>
      <c r="N1388" s="338"/>
      <c r="Q1388" s="338"/>
      <c r="R1388" s="338"/>
      <c r="S1388" s="338"/>
      <c r="T1388" s="338"/>
      <c r="U1388" s="338"/>
      <c r="X1388" s="338"/>
      <c r="Y1388" s="338"/>
      <c r="Z1388" s="338"/>
      <c r="AA1388" s="338"/>
      <c r="AB1388" s="338"/>
      <c r="AC1388" s="338"/>
      <c r="AD1388" s="338"/>
    </row>
    <row r="1389" spans="1:30">
      <c r="A1389" s="338"/>
      <c r="B1389" s="338"/>
      <c r="D1389" s="338"/>
      <c r="E1389" s="338"/>
      <c r="H1389" s="338"/>
      <c r="I1389" s="338"/>
      <c r="J1389" s="338"/>
      <c r="K1389" s="338"/>
      <c r="L1389" s="338"/>
      <c r="M1389" s="338"/>
      <c r="N1389" s="338"/>
      <c r="Q1389" s="338"/>
      <c r="R1389" s="338"/>
      <c r="S1389" s="338"/>
      <c r="T1389" s="338"/>
      <c r="U1389" s="338"/>
      <c r="X1389" s="338"/>
      <c r="Y1389" s="338"/>
      <c r="Z1389" s="338"/>
      <c r="AA1389" s="338"/>
      <c r="AB1389" s="338"/>
      <c r="AC1389" s="338"/>
      <c r="AD1389" s="338"/>
    </row>
    <row r="1390" spans="1:30">
      <c r="A1390" s="338"/>
      <c r="B1390" s="338"/>
      <c r="D1390" s="338"/>
      <c r="E1390" s="338"/>
      <c r="H1390" s="338"/>
      <c r="I1390" s="338"/>
      <c r="J1390" s="338"/>
      <c r="K1390" s="338"/>
      <c r="L1390" s="338"/>
      <c r="M1390" s="338"/>
      <c r="N1390" s="338"/>
      <c r="Q1390" s="338"/>
      <c r="R1390" s="338"/>
      <c r="S1390" s="338"/>
      <c r="T1390" s="338"/>
      <c r="U1390" s="338"/>
      <c r="X1390" s="338"/>
      <c r="Y1390" s="338"/>
      <c r="Z1390" s="338"/>
      <c r="AA1390" s="338"/>
      <c r="AB1390" s="338"/>
      <c r="AC1390" s="338"/>
      <c r="AD1390" s="338"/>
    </row>
    <row r="1391" spans="1:30">
      <c r="A1391" s="338"/>
      <c r="B1391" s="338"/>
      <c r="D1391" s="338"/>
      <c r="E1391" s="338"/>
      <c r="H1391" s="338"/>
      <c r="I1391" s="338"/>
      <c r="J1391" s="338"/>
      <c r="K1391" s="338"/>
      <c r="L1391" s="338"/>
      <c r="M1391" s="338"/>
      <c r="N1391" s="338"/>
      <c r="Q1391" s="338"/>
      <c r="R1391" s="338"/>
      <c r="S1391" s="338"/>
      <c r="T1391" s="338"/>
      <c r="U1391" s="338"/>
      <c r="X1391" s="338"/>
      <c r="Y1391" s="338"/>
      <c r="Z1391" s="338"/>
      <c r="AA1391" s="338"/>
      <c r="AB1391" s="338"/>
      <c r="AC1391" s="338"/>
      <c r="AD1391" s="338"/>
    </row>
    <row r="1392" spans="1:30">
      <c r="A1392" s="338"/>
      <c r="B1392" s="338"/>
      <c r="D1392" s="338"/>
      <c r="E1392" s="338"/>
      <c r="H1392" s="338"/>
      <c r="I1392" s="338"/>
      <c r="J1392" s="338"/>
      <c r="K1392" s="338"/>
      <c r="L1392" s="338"/>
      <c r="M1392" s="338"/>
      <c r="N1392" s="338"/>
      <c r="Q1392" s="338"/>
      <c r="R1392" s="338"/>
      <c r="S1392" s="338"/>
      <c r="T1392" s="338"/>
      <c r="U1392" s="338"/>
      <c r="X1392" s="338"/>
      <c r="Y1392" s="338"/>
      <c r="Z1392" s="338"/>
      <c r="AA1392" s="338"/>
      <c r="AB1392" s="338"/>
      <c r="AC1392" s="338"/>
      <c r="AD1392" s="338"/>
    </row>
    <row r="1393" spans="1:30">
      <c r="A1393" s="338"/>
      <c r="B1393" s="338"/>
      <c r="D1393" s="338"/>
      <c r="E1393" s="338"/>
      <c r="H1393" s="338"/>
      <c r="I1393" s="338"/>
      <c r="J1393" s="338"/>
      <c r="K1393" s="338"/>
      <c r="L1393" s="338"/>
      <c r="M1393" s="338"/>
      <c r="N1393" s="338"/>
      <c r="Q1393" s="338"/>
      <c r="R1393" s="338"/>
      <c r="S1393" s="338"/>
      <c r="T1393" s="338"/>
      <c r="U1393" s="338"/>
      <c r="X1393" s="338"/>
      <c r="Y1393" s="338"/>
      <c r="Z1393" s="338"/>
      <c r="AA1393" s="338"/>
      <c r="AB1393" s="338"/>
      <c r="AC1393" s="338"/>
      <c r="AD1393" s="338"/>
    </row>
    <row r="1394" spans="1:30">
      <c r="A1394" s="338"/>
      <c r="B1394" s="338"/>
      <c r="D1394" s="338"/>
      <c r="E1394" s="338"/>
      <c r="H1394" s="338"/>
      <c r="I1394" s="338"/>
      <c r="J1394" s="338"/>
      <c r="K1394" s="338"/>
      <c r="L1394" s="338"/>
      <c r="M1394" s="338"/>
      <c r="N1394" s="338"/>
      <c r="Q1394" s="338"/>
      <c r="R1394" s="338"/>
      <c r="S1394" s="338"/>
      <c r="T1394" s="338"/>
      <c r="U1394" s="338"/>
      <c r="X1394" s="338"/>
      <c r="Y1394" s="338"/>
      <c r="Z1394" s="338"/>
      <c r="AA1394" s="338"/>
      <c r="AB1394" s="338"/>
      <c r="AC1394" s="338"/>
      <c r="AD1394" s="338"/>
    </row>
    <row r="1395" spans="1:30">
      <c r="A1395" s="338"/>
      <c r="B1395" s="338"/>
      <c r="D1395" s="338"/>
      <c r="E1395" s="338"/>
      <c r="H1395" s="338"/>
      <c r="I1395" s="338"/>
      <c r="J1395" s="338"/>
      <c r="K1395" s="338"/>
      <c r="L1395" s="338"/>
      <c r="M1395" s="338"/>
      <c r="N1395" s="338"/>
      <c r="Q1395" s="338"/>
      <c r="R1395" s="338"/>
      <c r="S1395" s="338"/>
      <c r="T1395" s="338"/>
      <c r="U1395" s="338"/>
      <c r="X1395" s="338"/>
      <c r="Y1395" s="338"/>
      <c r="Z1395" s="338"/>
      <c r="AA1395" s="338"/>
      <c r="AB1395" s="338"/>
      <c r="AC1395" s="338"/>
      <c r="AD1395" s="338"/>
    </row>
    <row r="1396" spans="1:30">
      <c r="A1396" s="338"/>
      <c r="B1396" s="338"/>
      <c r="D1396" s="338"/>
      <c r="E1396" s="338"/>
      <c r="H1396" s="338"/>
      <c r="I1396" s="338"/>
      <c r="J1396" s="338"/>
      <c r="K1396" s="338"/>
      <c r="L1396" s="338"/>
      <c r="M1396" s="338"/>
      <c r="N1396" s="338"/>
      <c r="Q1396" s="338"/>
      <c r="R1396" s="338"/>
      <c r="S1396" s="338"/>
      <c r="T1396" s="338"/>
      <c r="U1396" s="338"/>
      <c r="X1396" s="338"/>
      <c r="Y1396" s="338"/>
      <c r="Z1396" s="338"/>
      <c r="AA1396" s="338"/>
      <c r="AB1396" s="338"/>
      <c r="AC1396" s="338"/>
      <c r="AD1396" s="338"/>
    </row>
    <row r="1397" spans="1:30">
      <c r="A1397" s="338"/>
      <c r="B1397" s="338"/>
      <c r="D1397" s="338"/>
      <c r="E1397" s="338"/>
      <c r="H1397" s="338"/>
      <c r="I1397" s="338"/>
      <c r="J1397" s="338"/>
      <c r="K1397" s="338"/>
      <c r="L1397" s="338"/>
      <c r="M1397" s="338"/>
      <c r="N1397" s="338"/>
      <c r="Q1397" s="338"/>
      <c r="R1397" s="338"/>
      <c r="S1397" s="338"/>
      <c r="T1397" s="338"/>
      <c r="U1397" s="338"/>
      <c r="X1397" s="338"/>
      <c r="Y1397" s="338"/>
      <c r="Z1397" s="338"/>
      <c r="AA1397" s="338"/>
      <c r="AB1397" s="338"/>
      <c r="AC1397" s="338"/>
      <c r="AD1397" s="338"/>
    </row>
    <row r="1398" spans="1:30">
      <c r="A1398" s="338"/>
      <c r="B1398" s="338"/>
      <c r="D1398" s="338"/>
      <c r="E1398" s="338"/>
      <c r="H1398" s="338"/>
      <c r="I1398" s="338"/>
      <c r="J1398" s="338"/>
      <c r="K1398" s="338"/>
      <c r="L1398" s="338"/>
      <c r="M1398" s="338"/>
      <c r="N1398" s="338"/>
      <c r="Q1398" s="338"/>
      <c r="R1398" s="338"/>
      <c r="S1398" s="338"/>
      <c r="T1398" s="338"/>
      <c r="U1398" s="338"/>
      <c r="X1398" s="338"/>
      <c r="Y1398" s="338"/>
      <c r="Z1398" s="338"/>
      <c r="AA1398" s="338"/>
      <c r="AB1398" s="338"/>
      <c r="AC1398" s="338"/>
      <c r="AD1398" s="338"/>
    </row>
    <row r="1399" spans="1:30">
      <c r="A1399" s="338"/>
      <c r="B1399" s="338"/>
      <c r="D1399" s="338"/>
      <c r="E1399" s="338"/>
      <c r="H1399" s="338"/>
      <c r="I1399" s="338"/>
      <c r="J1399" s="338"/>
      <c r="K1399" s="338"/>
      <c r="L1399" s="338"/>
      <c r="M1399" s="338"/>
      <c r="N1399" s="338"/>
      <c r="Q1399" s="338"/>
      <c r="R1399" s="338"/>
      <c r="S1399" s="338"/>
      <c r="T1399" s="338"/>
      <c r="U1399" s="338"/>
      <c r="X1399" s="338"/>
      <c r="Y1399" s="338"/>
      <c r="Z1399" s="338"/>
      <c r="AA1399" s="338"/>
      <c r="AB1399" s="338"/>
      <c r="AC1399" s="338"/>
      <c r="AD1399" s="338"/>
    </row>
    <row r="1400" spans="1:30">
      <c r="A1400" s="338"/>
      <c r="B1400" s="338"/>
      <c r="D1400" s="338"/>
      <c r="E1400" s="338"/>
      <c r="H1400" s="338"/>
      <c r="I1400" s="338"/>
      <c r="J1400" s="338"/>
      <c r="K1400" s="338"/>
      <c r="L1400" s="338"/>
      <c r="M1400" s="338"/>
      <c r="N1400" s="338"/>
      <c r="Q1400" s="338"/>
      <c r="R1400" s="338"/>
      <c r="S1400" s="338"/>
      <c r="T1400" s="338"/>
      <c r="U1400" s="338"/>
      <c r="X1400" s="338"/>
      <c r="Y1400" s="338"/>
      <c r="Z1400" s="338"/>
      <c r="AA1400" s="338"/>
      <c r="AB1400" s="338"/>
      <c r="AC1400" s="338"/>
      <c r="AD1400" s="338"/>
    </row>
    <row r="1401" spans="1:30">
      <c r="A1401" s="338"/>
      <c r="B1401" s="338"/>
      <c r="D1401" s="338"/>
      <c r="E1401" s="338"/>
      <c r="H1401" s="338"/>
      <c r="I1401" s="338"/>
      <c r="J1401" s="338"/>
      <c r="K1401" s="338"/>
      <c r="L1401" s="338"/>
      <c r="M1401" s="338"/>
      <c r="N1401" s="338"/>
      <c r="Q1401" s="338"/>
      <c r="R1401" s="338"/>
      <c r="S1401" s="338"/>
      <c r="T1401" s="338"/>
      <c r="U1401" s="338"/>
      <c r="X1401" s="338"/>
      <c r="Y1401" s="338"/>
      <c r="Z1401" s="338"/>
      <c r="AA1401" s="338"/>
      <c r="AB1401" s="338"/>
      <c r="AC1401" s="338"/>
      <c r="AD1401" s="338"/>
    </row>
    <row r="1402" spans="1:30">
      <c r="A1402" s="338"/>
      <c r="B1402" s="338"/>
      <c r="D1402" s="338"/>
      <c r="E1402" s="338"/>
      <c r="H1402" s="338"/>
      <c r="I1402" s="338"/>
      <c r="J1402" s="338"/>
      <c r="K1402" s="338"/>
      <c r="L1402" s="338"/>
      <c r="M1402" s="338"/>
      <c r="N1402" s="338"/>
      <c r="Q1402" s="338"/>
      <c r="R1402" s="338"/>
      <c r="S1402" s="338"/>
      <c r="T1402" s="338"/>
      <c r="U1402" s="338"/>
      <c r="X1402" s="338"/>
      <c r="Y1402" s="338"/>
      <c r="Z1402" s="338"/>
      <c r="AA1402" s="338"/>
      <c r="AB1402" s="338"/>
      <c r="AC1402" s="338"/>
      <c r="AD1402" s="338"/>
    </row>
    <row r="1403" spans="1:30">
      <c r="A1403" s="338"/>
      <c r="B1403" s="338"/>
      <c r="D1403" s="338"/>
      <c r="E1403" s="338"/>
      <c r="H1403" s="338"/>
      <c r="I1403" s="338"/>
      <c r="J1403" s="338"/>
      <c r="K1403" s="338"/>
      <c r="L1403" s="338"/>
      <c r="M1403" s="338"/>
      <c r="N1403" s="338"/>
      <c r="Q1403" s="338"/>
      <c r="R1403" s="338"/>
      <c r="S1403" s="338"/>
      <c r="T1403" s="338"/>
      <c r="U1403" s="338"/>
      <c r="X1403" s="338"/>
      <c r="Y1403" s="338"/>
      <c r="Z1403" s="338"/>
      <c r="AA1403" s="338"/>
      <c r="AB1403" s="338"/>
      <c r="AC1403" s="338"/>
      <c r="AD1403" s="338"/>
    </row>
    <row r="1404" spans="1:30">
      <c r="A1404" s="338"/>
      <c r="B1404" s="338"/>
      <c r="D1404" s="338"/>
      <c r="E1404" s="338"/>
      <c r="H1404" s="338"/>
      <c r="I1404" s="338"/>
      <c r="J1404" s="338"/>
      <c r="K1404" s="338"/>
      <c r="L1404" s="338"/>
      <c r="M1404" s="338"/>
      <c r="N1404" s="338"/>
      <c r="Q1404" s="338"/>
      <c r="R1404" s="338"/>
      <c r="S1404" s="338"/>
      <c r="T1404" s="338"/>
      <c r="U1404" s="338"/>
      <c r="X1404" s="338"/>
      <c r="Y1404" s="338"/>
      <c r="Z1404" s="338"/>
      <c r="AA1404" s="338"/>
      <c r="AB1404" s="338"/>
      <c r="AC1404" s="338"/>
      <c r="AD1404" s="338"/>
    </row>
    <row r="1405" spans="1:30">
      <c r="A1405" s="338"/>
      <c r="B1405" s="338"/>
      <c r="D1405" s="338"/>
      <c r="E1405" s="338"/>
      <c r="H1405" s="338"/>
      <c r="I1405" s="338"/>
      <c r="J1405" s="338"/>
      <c r="K1405" s="338"/>
      <c r="L1405" s="338"/>
      <c r="M1405" s="338"/>
      <c r="N1405" s="338"/>
      <c r="Q1405" s="338"/>
      <c r="R1405" s="338"/>
      <c r="S1405" s="338"/>
      <c r="T1405" s="338"/>
      <c r="U1405" s="338"/>
      <c r="X1405" s="338"/>
      <c r="Y1405" s="338"/>
      <c r="Z1405" s="338"/>
      <c r="AA1405" s="338"/>
      <c r="AB1405" s="338"/>
      <c r="AC1405" s="338"/>
      <c r="AD1405" s="338"/>
    </row>
    <row r="1406" spans="1:30">
      <c r="A1406" s="338"/>
      <c r="B1406" s="338"/>
      <c r="D1406" s="338"/>
      <c r="E1406" s="338"/>
      <c r="H1406" s="338"/>
      <c r="I1406" s="338"/>
      <c r="J1406" s="338"/>
      <c r="K1406" s="338"/>
      <c r="L1406" s="338"/>
      <c r="M1406" s="338"/>
      <c r="N1406" s="338"/>
      <c r="Q1406" s="338"/>
      <c r="R1406" s="338"/>
      <c r="S1406" s="338"/>
      <c r="T1406" s="338"/>
      <c r="U1406" s="338"/>
      <c r="X1406" s="338"/>
      <c r="Y1406" s="338"/>
      <c r="Z1406" s="338"/>
      <c r="AA1406" s="338"/>
      <c r="AB1406" s="338"/>
      <c r="AC1406" s="338"/>
      <c r="AD1406" s="338"/>
    </row>
    <row r="1407" spans="1:30">
      <c r="A1407" s="338"/>
      <c r="B1407" s="338"/>
      <c r="D1407" s="338"/>
      <c r="E1407" s="338"/>
      <c r="H1407" s="338"/>
      <c r="I1407" s="338"/>
      <c r="J1407" s="338"/>
      <c r="K1407" s="338"/>
      <c r="L1407" s="338"/>
      <c r="M1407" s="338"/>
      <c r="N1407" s="338"/>
      <c r="Q1407" s="338"/>
      <c r="R1407" s="338"/>
      <c r="S1407" s="338"/>
      <c r="T1407" s="338"/>
      <c r="U1407" s="338"/>
      <c r="X1407" s="338"/>
      <c r="Y1407" s="338"/>
      <c r="Z1407" s="338"/>
      <c r="AA1407" s="338"/>
      <c r="AB1407" s="338"/>
      <c r="AC1407" s="338"/>
      <c r="AD1407" s="338"/>
    </row>
    <row r="1408" spans="1:30">
      <c r="A1408" s="338"/>
      <c r="B1408" s="338"/>
      <c r="D1408" s="338"/>
      <c r="E1408" s="338"/>
      <c r="H1408" s="338"/>
      <c r="I1408" s="338"/>
      <c r="J1408" s="338"/>
      <c r="K1408" s="338"/>
      <c r="L1408" s="338"/>
      <c r="M1408" s="338"/>
      <c r="N1408" s="338"/>
      <c r="Q1408" s="338"/>
      <c r="R1408" s="338"/>
      <c r="S1408" s="338"/>
      <c r="T1408" s="338"/>
      <c r="U1408" s="338"/>
      <c r="X1408" s="338"/>
      <c r="Y1408" s="338"/>
      <c r="Z1408" s="338"/>
      <c r="AA1408" s="338"/>
      <c r="AB1408" s="338"/>
      <c r="AC1408" s="338"/>
      <c r="AD1408" s="338"/>
    </row>
    <row r="1409" spans="1:30">
      <c r="A1409" s="338"/>
      <c r="B1409" s="338"/>
      <c r="D1409" s="338"/>
      <c r="E1409" s="338"/>
      <c r="H1409" s="338"/>
      <c r="I1409" s="338"/>
      <c r="J1409" s="338"/>
      <c r="K1409" s="338"/>
      <c r="L1409" s="338"/>
      <c r="M1409" s="338"/>
      <c r="N1409" s="338"/>
      <c r="Q1409" s="338"/>
      <c r="R1409" s="338"/>
      <c r="S1409" s="338"/>
      <c r="T1409" s="338"/>
      <c r="U1409" s="338"/>
      <c r="X1409" s="338"/>
      <c r="Y1409" s="338"/>
      <c r="Z1409" s="338"/>
      <c r="AA1409" s="338"/>
      <c r="AB1409" s="338"/>
      <c r="AC1409" s="338"/>
      <c r="AD1409" s="338"/>
    </row>
    <row r="1410" spans="1:30">
      <c r="A1410" s="338"/>
      <c r="B1410" s="338"/>
      <c r="D1410" s="338"/>
      <c r="E1410" s="338"/>
      <c r="H1410" s="338"/>
      <c r="I1410" s="338"/>
      <c r="J1410" s="338"/>
      <c r="K1410" s="338"/>
      <c r="L1410" s="338"/>
      <c r="M1410" s="338"/>
      <c r="N1410" s="338"/>
      <c r="Q1410" s="338"/>
      <c r="R1410" s="338"/>
      <c r="S1410" s="338"/>
      <c r="T1410" s="338"/>
      <c r="U1410" s="338"/>
      <c r="X1410" s="338"/>
      <c r="Y1410" s="338"/>
      <c r="Z1410" s="338"/>
      <c r="AA1410" s="338"/>
      <c r="AB1410" s="338"/>
      <c r="AC1410" s="338"/>
      <c r="AD1410" s="338"/>
    </row>
    <row r="1411" spans="1:30">
      <c r="A1411" s="338"/>
      <c r="B1411" s="338"/>
      <c r="D1411" s="338"/>
      <c r="E1411" s="338"/>
      <c r="H1411" s="338"/>
      <c r="I1411" s="338"/>
      <c r="J1411" s="338"/>
      <c r="K1411" s="338"/>
      <c r="L1411" s="338"/>
      <c r="M1411" s="338"/>
      <c r="N1411" s="338"/>
      <c r="Q1411" s="338"/>
      <c r="R1411" s="338"/>
      <c r="S1411" s="338"/>
      <c r="T1411" s="338"/>
      <c r="U1411" s="338"/>
      <c r="X1411" s="338"/>
      <c r="Y1411" s="338"/>
      <c r="Z1411" s="338"/>
      <c r="AA1411" s="338"/>
      <c r="AB1411" s="338"/>
      <c r="AC1411" s="338"/>
      <c r="AD1411" s="338"/>
    </row>
    <row r="1412" spans="1:30">
      <c r="A1412" s="338"/>
      <c r="B1412" s="338"/>
      <c r="D1412" s="338"/>
      <c r="E1412" s="338"/>
      <c r="H1412" s="338"/>
      <c r="I1412" s="338"/>
      <c r="J1412" s="338"/>
      <c r="K1412" s="338"/>
      <c r="L1412" s="338"/>
      <c r="M1412" s="338"/>
      <c r="N1412" s="338"/>
      <c r="Q1412" s="338"/>
      <c r="R1412" s="338"/>
      <c r="S1412" s="338"/>
      <c r="T1412" s="338"/>
      <c r="U1412" s="338"/>
      <c r="X1412" s="338"/>
      <c r="Y1412" s="338"/>
      <c r="Z1412" s="338"/>
      <c r="AA1412" s="338"/>
      <c r="AB1412" s="338"/>
      <c r="AC1412" s="338"/>
      <c r="AD1412" s="338"/>
    </row>
    <row r="1413" spans="1:30">
      <c r="A1413" s="338"/>
      <c r="B1413" s="338"/>
      <c r="D1413" s="338"/>
      <c r="E1413" s="338"/>
      <c r="H1413" s="338"/>
      <c r="I1413" s="338"/>
      <c r="J1413" s="338"/>
      <c r="K1413" s="338"/>
      <c r="L1413" s="338"/>
      <c r="M1413" s="338"/>
      <c r="N1413" s="338"/>
      <c r="Q1413" s="338"/>
      <c r="R1413" s="338"/>
      <c r="S1413" s="338"/>
      <c r="T1413" s="338"/>
      <c r="U1413" s="338"/>
      <c r="X1413" s="338"/>
      <c r="Y1413" s="338"/>
      <c r="Z1413" s="338"/>
      <c r="AA1413" s="338"/>
      <c r="AB1413" s="338"/>
      <c r="AC1413" s="338"/>
      <c r="AD1413" s="338"/>
    </row>
    <row r="1414" spans="1:30">
      <c r="A1414" s="338"/>
      <c r="B1414" s="338"/>
      <c r="D1414" s="338"/>
      <c r="E1414" s="338"/>
      <c r="H1414" s="338"/>
      <c r="I1414" s="338"/>
      <c r="J1414" s="338"/>
      <c r="K1414" s="338"/>
      <c r="L1414" s="338"/>
      <c r="M1414" s="338"/>
      <c r="N1414" s="338"/>
      <c r="Q1414" s="338"/>
      <c r="R1414" s="338"/>
      <c r="S1414" s="338"/>
      <c r="T1414" s="338"/>
      <c r="U1414" s="338"/>
      <c r="X1414" s="338"/>
      <c r="Y1414" s="338"/>
      <c r="Z1414" s="338"/>
      <c r="AA1414" s="338"/>
      <c r="AB1414" s="338"/>
      <c r="AC1414" s="338"/>
      <c r="AD1414" s="338"/>
    </row>
    <row r="1415" spans="1:30">
      <c r="A1415" s="338"/>
      <c r="B1415" s="338"/>
      <c r="D1415" s="338"/>
      <c r="E1415" s="338"/>
      <c r="H1415" s="338"/>
      <c r="I1415" s="338"/>
      <c r="J1415" s="338"/>
      <c r="K1415" s="338"/>
      <c r="L1415" s="338"/>
      <c r="M1415" s="338"/>
      <c r="N1415" s="338"/>
      <c r="Q1415" s="338"/>
      <c r="R1415" s="338"/>
      <c r="S1415" s="338"/>
      <c r="T1415" s="338"/>
      <c r="U1415" s="338"/>
      <c r="X1415" s="338"/>
      <c r="Y1415" s="338"/>
      <c r="Z1415" s="338"/>
      <c r="AA1415" s="338"/>
      <c r="AB1415" s="338"/>
      <c r="AC1415" s="338"/>
      <c r="AD1415" s="338"/>
    </row>
    <row r="1416" spans="1:30">
      <c r="A1416" s="338"/>
      <c r="B1416" s="338"/>
      <c r="D1416" s="338"/>
      <c r="E1416" s="338"/>
      <c r="H1416" s="338"/>
      <c r="I1416" s="338"/>
      <c r="J1416" s="338"/>
      <c r="K1416" s="338"/>
      <c r="L1416" s="338"/>
      <c r="M1416" s="338"/>
      <c r="N1416" s="338"/>
      <c r="Q1416" s="338"/>
      <c r="R1416" s="338"/>
      <c r="S1416" s="338"/>
      <c r="T1416" s="338"/>
      <c r="U1416" s="338"/>
      <c r="X1416" s="338"/>
      <c r="Y1416" s="338"/>
      <c r="Z1416" s="338"/>
      <c r="AA1416" s="338"/>
      <c r="AB1416" s="338"/>
      <c r="AC1416" s="338"/>
      <c r="AD1416" s="338"/>
    </row>
    <row r="1417" spans="1:30">
      <c r="A1417" s="338"/>
      <c r="B1417" s="338"/>
      <c r="D1417" s="338"/>
      <c r="E1417" s="338"/>
      <c r="H1417" s="338"/>
      <c r="I1417" s="338"/>
      <c r="J1417" s="338"/>
      <c r="K1417" s="338"/>
      <c r="L1417" s="338"/>
      <c r="M1417" s="338"/>
      <c r="N1417" s="338"/>
      <c r="Q1417" s="338"/>
      <c r="R1417" s="338"/>
      <c r="S1417" s="338"/>
      <c r="T1417" s="338"/>
      <c r="U1417" s="338"/>
      <c r="X1417" s="338"/>
      <c r="Y1417" s="338"/>
      <c r="Z1417" s="338"/>
      <c r="AA1417" s="338"/>
      <c r="AB1417" s="338"/>
      <c r="AC1417" s="338"/>
      <c r="AD1417" s="338"/>
    </row>
    <row r="1418" spans="1:30">
      <c r="A1418" s="338"/>
      <c r="B1418" s="338"/>
      <c r="D1418" s="338"/>
      <c r="E1418" s="338"/>
      <c r="H1418" s="338"/>
      <c r="I1418" s="338"/>
      <c r="J1418" s="338"/>
      <c r="K1418" s="338"/>
      <c r="L1418" s="338"/>
      <c r="M1418" s="338"/>
      <c r="N1418" s="338"/>
      <c r="Q1418" s="338"/>
      <c r="R1418" s="338"/>
      <c r="S1418" s="338"/>
      <c r="T1418" s="338"/>
      <c r="U1418" s="338"/>
      <c r="X1418" s="338"/>
      <c r="Y1418" s="338"/>
      <c r="Z1418" s="338"/>
      <c r="AA1418" s="338"/>
      <c r="AB1418" s="338"/>
      <c r="AC1418" s="338"/>
      <c r="AD1418" s="338"/>
    </row>
    <row r="1419" spans="1:30">
      <c r="A1419" s="338"/>
      <c r="B1419" s="338"/>
      <c r="D1419" s="338"/>
      <c r="E1419" s="338"/>
      <c r="H1419" s="338"/>
      <c r="I1419" s="338"/>
      <c r="J1419" s="338"/>
      <c r="K1419" s="338"/>
      <c r="L1419" s="338"/>
      <c r="M1419" s="338"/>
      <c r="N1419" s="338"/>
      <c r="Q1419" s="338"/>
      <c r="R1419" s="338"/>
      <c r="S1419" s="338"/>
      <c r="T1419" s="338"/>
      <c r="U1419" s="338"/>
      <c r="X1419" s="338"/>
      <c r="Y1419" s="338"/>
      <c r="Z1419" s="338"/>
      <c r="AA1419" s="338"/>
      <c r="AB1419" s="338"/>
      <c r="AC1419" s="338"/>
      <c r="AD1419" s="338"/>
    </row>
    <row r="1420" spans="1:30">
      <c r="A1420" s="338"/>
      <c r="B1420" s="338"/>
      <c r="D1420" s="338"/>
      <c r="E1420" s="338"/>
      <c r="H1420" s="338"/>
      <c r="I1420" s="338"/>
      <c r="J1420" s="338"/>
      <c r="K1420" s="338"/>
      <c r="L1420" s="338"/>
      <c r="M1420" s="338"/>
      <c r="N1420" s="338"/>
      <c r="Q1420" s="338"/>
      <c r="R1420" s="338"/>
      <c r="S1420" s="338"/>
      <c r="T1420" s="338"/>
      <c r="U1420" s="338"/>
      <c r="X1420" s="338"/>
      <c r="Y1420" s="338"/>
      <c r="Z1420" s="338"/>
      <c r="AA1420" s="338"/>
      <c r="AB1420" s="338"/>
      <c r="AC1420" s="338"/>
      <c r="AD1420" s="338"/>
    </row>
    <row r="1421" spans="1:30">
      <c r="A1421" s="338"/>
      <c r="B1421" s="338"/>
      <c r="D1421" s="338"/>
      <c r="E1421" s="338"/>
      <c r="H1421" s="338"/>
      <c r="I1421" s="338"/>
      <c r="J1421" s="338"/>
      <c r="K1421" s="338"/>
      <c r="L1421" s="338"/>
      <c r="M1421" s="338"/>
      <c r="N1421" s="338"/>
      <c r="Q1421" s="338"/>
      <c r="R1421" s="338"/>
      <c r="S1421" s="338"/>
      <c r="T1421" s="338"/>
      <c r="U1421" s="338"/>
      <c r="X1421" s="338"/>
      <c r="Y1421" s="338"/>
      <c r="Z1421" s="338"/>
      <c r="AA1421" s="338"/>
      <c r="AB1421" s="338"/>
      <c r="AC1421" s="338"/>
      <c r="AD1421" s="338"/>
    </row>
    <row r="1422" spans="1:30">
      <c r="A1422" s="338"/>
      <c r="B1422" s="338"/>
      <c r="D1422" s="338"/>
      <c r="E1422" s="338"/>
      <c r="H1422" s="338"/>
      <c r="I1422" s="338"/>
      <c r="J1422" s="338"/>
      <c r="K1422" s="338"/>
      <c r="L1422" s="338"/>
      <c r="M1422" s="338"/>
      <c r="N1422" s="338"/>
      <c r="Q1422" s="338"/>
      <c r="R1422" s="338"/>
      <c r="S1422" s="338"/>
      <c r="T1422" s="338"/>
      <c r="U1422" s="338"/>
      <c r="X1422" s="338"/>
      <c r="Y1422" s="338"/>
      <c r="Z1422" s="338"/>
      <c r="AA1422" s="338"/>
      <c r="AB1422" s="338"/>
      <c r="AC1422" s="338"/>
      <c r="AD1422" s="338"/>
    </row>
    <row r="1423" spans="1:30">
      <c r="A1423" s="338"/>
      <c r="B1423" s="338"/>
      <c r="D1423" s="338"/>
      <c r="E1423" s="338"/>
      <c r="H1423" s="338"/>
      <c r="I1423" s="338"/>
      <c r="J1423" s="338"/>
      <c r="K1423" s="338"/>
      <c r="L1423" s="338"/>
      <c r="M1423" s="338"/>
      <c r="N1423" s="338"/>
      <c r="Q1423" s="338"/>
      <c r="R1423" s="338"/>
      <c r="S1423" s="338"/>
      <c r="T1423" s="338"/>
      <c r="U1423" s="338"/>
      <c r="X1423" s="338"/>
      <c r="Y1423" s="338"/>
      <c r="Z1423" s="338"/>
      <c r="AA1423" s="338"/>
      <c r="AB1423" s="338"/>
      <c r="AC1423" s="338"/>
      <c r="AD1423" s="338"/>
    </row>
    <row r="1424" spans="1:30">
      <c r="A1424" s="338"/>
      <c r="B1424" s="338"/>
      <c r="D1424" s="338"/>
      <c r="E1424" s="338"/>
      <c r="H1424" s="338"/>
      <c r="I1424" s="338"/>
      <c r="J1424" s="338"/>
      <c r="K1424" s="338"/>
      <c r="L1424" s="338"/>
      <c r="M1424" s="338"/>
      <c r="N1424" s="338"/>
      <c r="Q1424" s="338"/>
      <c r="R1424" s="338"/>
      <c r="S1424" s="338"/>
      <c r="T1424" s="338"/>
      <c r="U1424" s="338"/>
      <c r="X1424" s="338"/>
      <c r="Y1424" s="338"/>
      <c r="Z1424" s="338"/>
      <c r="AA1424" s="338"/>
      <c r="AB1424" s="338"/>
      <c r="AC1424" s="338"/>
      <c r="AD1424" s="338"/>
    </row>
    <row r="1425" spans="1:30">
      <c r="A1425" s="338"/>
      <c r="B1425" s="338"/>
      <c r="D1425" s="338"/>
      <c r="E1425" s="338"/>
      <c r="H1425" s="338"/>
      <c r="I1425" s="338"/>
      <c r="J1425" s="338"/>
      <c r="K1425" s="338"/>
      <c r="L1425" s="338"/>
      <c r="M1425" s="338"/>
      <c r="N1425" s="338"/>
      <c r="Q1425" s="338"/>
      <c r="R1425" s="338"/>
      <c r="S1425" s="338"/>
      <c r="T1425" s="338"/>
      <c r="U1425" s="338"/>
      <c r="X1425" s="338"/>
      <c r="Y1425" s="338"/>
      <c r="Z1425" s="338"/>
      <c r="AA1425" s="338"/>
      <c r="AB1425" s="338"/>
      <c r="AC1425" s="338"/>
      <c r="AD1425" s="338"/>
    </row>
    <row r="1426" spans="1:30">
      <c r="A1426" s="338"/>
      <c r="B1426" s="338"/>
      <c r="D1426" s="338"/>
      <c r="E1426" s="338"/>
      <c r="H1426" s="338"/>
      <c r="I1426" s="338"/>
      <c r="J1426" s="338"/>
      <c r="K1426" s="338"/>
      <c r="L1426" s="338"/>
      <c r="M1426" s="338"/>
      <c r="N1426" s="338"/>
      <c r="Q1426" s="338"/>
      <c r="R1426" s="338"/>
      <c r="S1426" s="338"/>
      <c r="T1426" s="338"/>
      <c r="U1426" s="338"/>
      <c r="X1426" s="338"/>
      <c r="Y1426" s="338"/>
      <c r="Z1426" s="338"/>
      <c r="AA1426" s="338"/>
      <c r="AB1426" s="338"/>
      <c r="AC1426" s="338"/>
      <c r="AD1426" s="338"/>
    </row>
    <row r="1427" spans="1:30">
      <c r="A1427" s="338"/>
      <c r="B1427" s="338"/>
      <c r="D1427" s="338"/>
      <c r="E1427" s="338"/>
      <c r="H1427" s="338"/>
      <c r="I1427" s="338"/>
      <c r="J1427" s="338"/>
      <c r="K1427" s="338"/>
      <c r="L1427" s="338"/>
      <c r="M1427" s="338"/>
      <c r="N1427" s="338"/>
      <c r="Q1427" s="338"/>
      <c r="R1427" s="338"/>
      <c r="S1427" s="338"/>
      <c r="T1427" s="338"/>
      <c r="U1427" s="338"/>
      <c r="X1427" s="338"/>
      <c r="Y1427" s="338"/>
      <c r="Z1427" s="338"/>
      <c r="AA1427" s="338"/>
      <c r="AB1427" s="338"/>
      <c r="AC1427" s="338"/>
      <c r="AD1427" s="338"/>
    </row>
    <row r="1428" spans="1:30">
      <c r="A1428" s="338"/>
      <c r="B1428" s="338"/>
      <c r="D1428" s="338"/>
      <c r="E1428" s="338"/>
      <c r="H1428" s="338"/>
      <c r="I1428" s="338"/>
      <c r="J1428" s="338"/>
      <c r="K1428" s="338"/>
      <c r="L1428" s="338"/>
      <c r="M1428" s="338"/>
      <c r="N1428" s="338"/>
      <c r="Q1428" s="338"/>
      <c r="R1428" s="338"/>
      <c r="S1428" s="338"/>
      <c r="T1428" s="338"/>
      <c r="U1428" s="338"/>
      <c r="X1428" s="338"/>
      <c r="Y1428" s="338"/>
      <c r="Z1428" s="338"/>
      <c r="AA1428" s="338"/>
      <c r="AB1428" s="338"/>
      <c r="AC1428" s="338"/>
      <c r="AD1428" s="338"/>
    </row>
    <row r="1429" spans="1:30">
      <c r="A1429" s="338"/>
      <c r="B1429" s="338"/>
      <c r="D1429" s="338"/>
      <c r="E1429" s="338"/>
      <c r="H1429" s="338"/>
      <c r="I1429" s="338"/>
      <c r="J1429" s="338"/>
      <c r="K1429" s="338"/>
      <c r="L1429" s="338"/>
      <c r="M1429" s="338"/>
      <c r="N1429" s="338"/>
      <c r="Q1429" s="338"/>
      <c r="R1429" s="338"/>
      <c r="S1429" s="338"/>
      <c r="T1429" s="338"/>
      <c r="U1429" s="338"/>
      <c r="X1429" s="338"/>
      <c r="Y1429" s="338"/>
      <c r="Z1429" s="338"/>
      <c r="AA1429" s="338"/>
      <c r="AB1429" s="338"/>
      <c r="AC1429" s="338"/>
      <c r="AD1429" s="338"/>
    </row>
    <row r="1430" spans="1:30">
      <c r="A1430" s="338"/>
      <c r="B1430" s="338"/>
      <c r="D1430" s="338"/>
      <c r="E1430" s="338"/>
      <c r="H1430" s="338"/>
      <c r="I1430" s="338"/>
      <c r="J1430" s="338"/>
      <c r="K1430" s="338"/>
      <c r="L1430" s="338"/>
      <c r="M1430" s="338"/>
      <c r="N1430" s="338"/>
      <c r="Q1430" s="338"/>
      <c r="R1430" s="338"/>
      <c r="S1430" s="338"/>
      <c r="T1430" s="338"/>
      <c r="U1430" s="338"/>
      <c r="X1430" s="338"/>
      <c r="Y1430" s="338"/>
      <c r="Z1430" s="338"/>
      <c r="AA1430" s="338"/>
      <c r="AB1430" s="338"/>
      <c r="AC1430" s="338"/>
      <c r="AD1430" s="338"/>
    </row>
    <row r="1431" spans="1:30">
      <c r="A1431" s="338"/>
      <c r="B1431" s="338"/>
      <c r="D1431" s="338"/>
      <c r="E1431" s="338"/>
      <c r="H1431" s="338"/>
      <c r="I1431" s="338"/>
      <c r="J1431" s="338"/>
      <c r="K1431" s="338"/>
      <c r="L1431" s="338"/>
      <c r="M1431" s="338"/>
      <c r="N1431" s="338"/>
      <c r="Q1431" s="338"/>
      <c r="R1431" s="338"/>
      <c r="S1431" s="338"/>
      <c r="T1431" s="338"/>
      <c r="U1431" s="338"/>
      <c r="X1431" s="338"/>
      <c r="Y1431" s="338"/>
      <c r="Z1431" s="338"/>
      <c r="AA1431" s="338"/>
      <c r="AB1431" s="338"/>
      <c r="AC1431" s="338"/>
      <c r="AD1431" s="338"/>
    </row>
    <row r="1432" spans="1:30">
      <c r="A1432" s="338"/>
      <c r="B1432" s="338"/>
      <c r="D1432" s="338"/>
      <c r="E1432" s="338"/>
      <c r="H1432" s="338"/>
      <c r="I1432" s="338"/>
      <c r="J1432" s="338"/>
      <c r="K1432" s="338"/>
      <c r="L1432" s="338"/>
      <c r="M1432" s="338"/>
      <c r="N1432" s="338"/>
      <c r="Q1432" s="338"/>
      <c r="R1432" s="338"/>
      <c r="S1432" s="338"/>
      <c r="T1432" s="338"/>
      <c r="U1432" s="338"/>
      <c r="X1432" s="338"/>
      <c r="Y1432" s="338"/>
      <c r="Z1432" s="338"/>
      <c r="AA1432" s="338"/>
      <c r="AB1432" s="338"/>
      <c r="AC1432" s="338"/>
      <c r="AD1432" s="338"/>
    </row>
    <row r="1433" spans="1:30">
      <c r="A1433" s="338"/>
      <c r="B1433" s="338"/>
      <c r="D1433" s="338"/>
      <c r="E1433" s="338"/>
      <c r="H1433" s="338"/>
      <c r="I1433" s="338"/>
      <c r="J1433" s="338"/>
      <c r="K1433" s="338"/>
      <c r="L1433" s="338"/>
      <c r="M1433" s="338"/>
      <c r="N1433" s="338"/>
      <c r="Q1433" s="338"/>
      <c r="R1433" s="338"/>
      <c r="S1433" s="338"/>
      <c r="T1433" s="338"/>
      <c r="U1433" s="338"/>
      <c r="X1433" s="338"/>
      <c r="Y1433" s="338"/>
      <c r="Z1433" s="338"/>
      <c r="AA1433" s="338"/>
      <c r="AB1433" s="338"/>
      <c r="AC1433" s="338"/>
      <c r="AD1433" s="338"/>
    </row>
    <row r="1434" spans="1:30">
      <c r="A1434" s="338"/>
      <c r="B1434" s="338"/>
      <c r="D1434" s="338"/>
      <c r="E1434" s="338"/>
      <c r="H1434" s="338"/>
      <c r="I1434" s="338"/>
      <c r="J1434" s="338"/>
      <c r="K1434" s="338"/>
      <c r="L1434" s="338"/>
      <c r="M1434" s="338"/>
      <c r="N1434" s="338"/>
      <c r="Q1434" s="338"/>
      <c r="R1434" s="338"/>
      <c r="S1434" s="338"/>
      <c r="T1434" s="338"/>
      <c r="U1434" s="338"/>
      <c r="X1434" s="338"/>
      <c r="Y1434" s="338"/>
      <c r="Z1434" s="338"/>
      <c r="AA1434" s="338"/>
      <c r="AB1434" s="338"/>
      <c r="AC1434" s="338"/>
      <c r="AD1434" s="338"/>
    </row>
    <row r="1435" spans="1:30">
      <c r="A1435" s="338"/>
      <c r="B1435" s="338"/>
      <c r="D1435" s="338"/>
      <c r="E1435" s="338"/>
      <c r="H1435" s="338"/>
      <c r="I1435" s="338"/>
      <c r="J1435" s="338"/>
      <c r="K1435" s="338"/>
      <c r="L1435" s="338"/>
      <c r="M1435" s="338"/>
      <c r="N1435" s="338"/>
      <c r="Q1435" s="338"/>
      <c r="R1435" s="338"/>
      <c r="S1435" s="338"/>
      <c r="T1435" s="338"/>
      <c r="U1435" s="338"/>
      <c r="X1435" s="338"/>
      <c r="Y1435" s="338"/>
      <c r="Z1435" s="338"/>
      <c r="AA1435" s="338"/>
      <c r="AB1435" s="338"/>
      <c r="AC1435" s="338"/>
      <c r="AD1435" s="338"/>
    </row>
    <row r="1436" spans="1:30">
      <c r="A1436" s="338"/>
      <c r="B1436" s="338"/>
      <c r="D1436" s="338"/>
      <c r="E1436" s="338"/>
      <c r="H1436" s="338"/>
      <c r="I1436" s="338"/>
      <c r="J1436" s="338"/>
      <c r="K1436" s="338"/>
      <c r="L1436" s="338"/>
      <c r="M1436" s="338"/>
      <c r="N1436" s="338"/>
      <c r="Q1436" s="338"/>
      <c r="R1436" s="338"/>
      <c r="S1436" s="338"/>
      <c r="T1436" s="338"/>
      <c r="U1436" s="338"/>
      <c r="X1436" s="338"/>
      <c r="Y1436" s="338"/>
      <c r="Z1436" s="338"/>
      <c r="AA1436" s="338"/>
      <c r="AB1436" s="338"/>
      <c r="AC1436" s="338"/>
      <c r="AD1436" s="338"/>
    </row>
    <row r="1437" spans="1:30">
      <c r="A1437" s="338"/>
      <c r="B1437" s="338"/>
      <c r="D1437" s="338"/>
      <c r="E1437" s="338"/>
      <c r="H1437" s="338"/>
      <c r="I1437" s="338"/>
      <c r="J1437" s="338"/>
      <c r="K1437" s="338"/>
      <c r="L1437" s="338"/>
      <c r="M1437" s="338"/>
      <c r="N1437" s="338"/>
      <c r="Q1437" s="338"/>
      <c r="R1437" s="338"/>
      <c r="S1437" s="338"/>
      <c r="T1437" s="338"/>
      <c r="U1437" s="338"/>
      <c r="X1437" s="338"/>
      <c r="Y1437" s="338"/>
      <c r="Z1437" s="338"/>
      <c r="AA1437" s="338"/>
      <c r="AB1437" s="338"/>
      <c r="AC1437" s="338"/>
      <c r="AD1437" s="338"/>
    </row>
    <row r="1438" spans="1:30">
      <c r="A1438" s="338"/>
      <c r="B1438" s="338"/>
      <c r="D1438" s="338"/>
      <c r="E1438" s="338"/>
      <c r="H1438" s="338"/>
      <c r="I1438" s="338"/>
      <c r="J1438" s="338"/>
      <c r="K1438" s="338"/>
      <c r="L1438" s="338"/>
      <c r="M1438" s="338"/>
      <c r="N1438" s="338"/>
      <c r="Q1438" s="338"/>
      <c r="R1438" s="338"/>
      <c r="S1438" s="338"/>
      <c r="T1438" s="338"/>
      <c r="U1438" s="338"/>
      <c r="X1438" s="338"/>
      <c r="Y1438" s="338"/>
      <c r="Z1438" s="338"/>
      <c r="AA1438" s="338"/>
      <c r="AB1438" s="338"/>
      <c r="AC1438" s="338"/>
      <c r="AD1438" s="338"/>
    </row>
    <row r="1439" spans="1:30">
      <c r="A1439" s="338"/>
      <c r="B1439" s="338"/>
      <c r="D1439" s="338"/>
      <c r="E1439" s="338"/>
      <c r="H1439" s="338"/>
      <c r="I1439" s="338"/>
      <c r="J1439" s="338"/>
      <c r="K1439" s="338"/>
      <c r="L1439" s="338"/>
      <c r="M1439" s="338"/>
      <c r="N1439" s="338"/>
      <c r="Q1439" s="338"/>
      <c r="R1439" s="338"/>
      <c r="S1439" s="338"/>
      <c r="T1439" s="338"/>
      <c r="U1439" s="338"/>
      <c r="X1439" s="338"/>
      <c r="Y1439" s="338"/>
      <c r="Z1439" s="338"/>
      <c r="AA1439" s="338"/>
      <c r="AB1439" s="338"/>
      <c r="AC1439" s="338"/>
      <c r="AD1439" s="338"/>
    </row>
    <row r="1440" spans="1:30">
      <c r="A1440" s="338"/>
      <c r="B1440" s="338"/>
      <c r="D1440" s="338"/>
      <c r="E1440" s="338"/>
      <c r="H1440" s="338"/>
      <c r="I1440" s="338"/>
      <c r="J1440" s="338"/>
      <c r="K1440" s="338"/>
      <c r="L1440" s="338"/>
      <c r="M1440" s="338"/>
      <c r="N1440" s="338"/>
      <c r="Q1440" s="338"/>
      <c r="R1440" s="338"/>
      <c r="S1440" s="338"/>
      <c r="T1440" s="338"/>
      <c r="U1440" s="338"/>
      <c r="X1440" s="338"/>
      <c r="Y1440" s="338"/>
      <c r="Z1440" s="338"/>
      <c r="AA1440" s="338"/>
      <c r="AB1440" s="338"/>
      <c r="AC1440" s="338"/>
      <c r="AD1440" s="338"/>
    </row>
    <row r="1441" spans="1:30">
      <c r="A1441" s="338"/>
      <c r="B1441" s="338"/>
      <c r="D1441" s="338"/>
      <c r="E1441" s="338"/>
      <c r="H1441" s="338"/>
      <c r="I1441" s="338"/>
      <c r="J1441" s="338"/>
      <c r="K1441" s="338"/>
      <c r="L1441" s="338"/>
      <c r="M1441" s="338"/>
      <c r="N1441" s="338"/>
      <c r="Q1441" s="338"/>
      <c r="R1441" s="338"/>
      <c r="S1441" s="338"/>
      <c r="T1441" s="338"/>
      <c r="U1441" s="338"/>
      <c r="X1441" s="338"/>
      <c r="Y1441" s="338"/>
      <c r="Z1441" s="338"/>
      <c r="AA1441" s="338"/>
      <c r="AB1441" s="338"/>
      <c r="AC1441" s="338"/>
      <c r="AD1441" s="338"/>
    </row>
    <row r="1442" spans="1:30">
      <c r="A1442" s="338"/>
      <c r="B1442" s="338"/>
      <c r="D1442" s="338"/>
      <c r="E1442" s="338"/>
      <c r="H1442" s="338"/>
      <c r="I1442" s="338"/>
      <c r="J1442" s="338"/>
      <c r="K1442" s="338"/>
      <c r="L1442" s="338"/>
      <c r="M1442" s="338"/>
      <c r="N1442" s="338"/>
      <c r="Q1442" s="338"/>
      <c r="R1442" s="338"/>
      <c r="S1442" s="338"/>
      <c r="T1442" s="338"/>
      <c r="U1442" s="338"/>
      <c r="X1442" s="338"/>
      <c r="Y1442" s="338"/>
      <c r="Z1442" s="338"/>
      <c r="AA1442" s="338"/>
      <c r="AB1442" s="338"/>
      <c r="AC1442" s="338"/>
      <c r="AD1442" s="338"/>
    </row>
    <row r="1443" spans="1:30">
      <c r="A1443" s="338"/>
      <c r="B1443" s="338"/>
      <c r="D1443" s="338"/>
      <c r="E1443" s="338"/>
      <c r="H1443" s="338"/>
      <c r="I1443" s="338"/>
      <c r="J1443" s="338"/>
      <c r="K1443" s="338"/>
      <c r="L1443" s="338"/>
      <c r="M1443" s="338"/>
      <c r="N1443" s="338"/>
      <c r="Q1443" s="338"/>
      <c r="R1443" s="338"/>
      <c r="S1443" s="338"/>
      <c r="T1443" s="338"/>
      <c r="U1443" s="338"/>
      <c r="X1443" s="338"/>
      <c r="Y1443" s="338"/>
      <c r="Z1443" s="338"/>
      <c r="AA1443" s="338"/>
      <c r="AB1443" s="338"/>
      <c r="AC1443" s="338"/>
      <c r="AD1443" s="338"/>
    </row>
    <row r="1444" spans="1:30">
      <c r="A1444" s="338"/>
      <c r="B1444" s="338"/>
      <c r="D1444" s="338"/>
      <c r="E1444" s="338"/>
      <c r="H1444" s="338"/>
      <c r="I1444" s="338"/>
      <c r="J1444" s="338"/>
      <c r="K1444" s="338"/>
      <c r="L1444" s="338"/>
      <c r="M1444" s="338"/>
      <c r="N1444" s="338"/>
      <c r="Q1444" s="338"/>
      <c r="R1444" s="338"/>
      <c r="S1444" s="338"/>
      <c r="T1444" s="338"/>
      <c r="U1444" s="338"/>
      <c r="X1444" s="338"/>
      <c r="Y1444" s="338"/>
      <c r="Z1444" s="338"/>
      <c r="AA1444" s="338"/>
      <c r="AB1444" s="338"/>
      <c r="AC1444" s="338"/>
      <c r="AD1444" s="338"/>
    </row>
    <row r="1445" spans="1:30">
      <c r="A1445" s="338"/>
      <c r="B1445" s="338"/>
      <c r="D1445" s="338"/>
      <c r="E1445" s="338"/>
      <c r="H1445" s="338"/>
      <c r="I1445" s="338"/>
      <c r="J1445" s="338"/>
      <c r="K1445" s="338"/>
      <c r="L1445" s="338"/>
      <c r="M1445" s="338"/>
      <c r="N1445" s="338"/>
      <c r="Q1445" s="338"/>
      <c r="R1445" s="338"/>
      <c r="S1445" s="338"/>
      <c r="T1445" s="338"/>
      <c r="U1445" s="338"/>
      <c r="X1445" s="338"/>
      <c r="Y1445" s="338"/>
      <c r="Z1445" s="338"/>
      <c r="AA1445" s="338"/>
      <c r="AB1445" s="338"/>
      <c r="AC1445" s="338"/>
      <c r="AD1445" s="338"/>
    </row>
    <row r="1446" spans="1:30">
      <c r="A1446" s="338"/>
      <c r="B1446" s="338"/>
      <c r="D1446" s="338"/>
      <c r="E1446" s="338"/>
      <c r="H1446" s="338"/>
      <c r="I1446" s="338"/>
      <c r="J1446" s="338"/>
      <c r="K1446" s="338"/>
      <c r="L1446" s="338"/>
      <c r="M1446" s="338"/>
      <c r="N1446" s="338"/>
      <c r="Q1446" s="338"/>
      <c r="R1446" s="338"/>
      <c r="S1446" s="338"/>
      <c r="T1446" s="338"/>
      <c r="U1446" s="338"/>
      <c r="X1446" s="338"/>
      <c r="Y1446" s="338"/>
      <c r="Z1446" s="338"/>
      <c r="AA1446" s="338"/>
      <c r="AB1446" s="338"/>
      <c r="AC1446" s="338"/>
      <c r="AD1446" s="338"/>
    </row>
    <row r="1447" spans="1:30">
      <c r="A1447" s="338"/>
      <c r="B1447" s="338"/>
      <c r="D1447" s="338"/>
      <c r="E1447" s="338"/>
      <c r="H1447" s="338"/>
      <c r="I1447" s="338"/>
      <c r="J1447" s="338"/>
      <c r="K1447" s="338"/>
      <c r="L1447" s="338"/>
      <c r="M1447" s="338"/>
      <c r="N1447" s="338"/>
      <c r="Q1447" s="338"/>
      <c r="R1447" s="338"/>
      <c r="S1447" s="338"/>
      <c r="T1447" s="338"/>
      <c r="U1447" s="338"/>
      <c r="X1447" s="338"/>
      <c r="Y1447" s="338"/>
      <c r="Z1447" s="338"/>
      <c r="AA1447" s="338"/>
      <c r="AB1447" s="338"/>
      <c r="AC1447" s="338"/>
      <c r="AD1447" s="338"/>
    </row>
    <row r="1448" spans="1:30">
      <c r="A1448" s="338"/>
      <c r="B1448" s="338"/>
      <c r="D1448" s="338"/>
      <c r="E1448" s="338"/>
      <c r="H1448" s="338"/>
      <c r="I1448" s="338"/>
      <c r="J1448" s="338"/>
      <c r="K1448" s="338"/>
      <c r="L1448" s="338"/>
      <c r="M1448" s="338"/>
      <c r="N1448" s="338"/>
      <c r="Q1448" s="338"/>
      <c r="R1448" s="338"/>
      <c r="S1448" s="338"/>
      <c r="T1448" s="338"/>
      <c r="U1448" s="338"/>
      <c r="X1448" s="338"/>
      <c r="Y1448" s="338"/>
      <c r="Z1448" s="338"/>
      <c r="AA1448" s="338"/>
      <c r="AB1448" s="338"/>
      <c r="AC1448" s="338"/>
      <c r="AD1448" s="338"/>
    </row>
    <row r="1449" spans="1:30">
      <c r="A1449" s="338"/>
      <c r="B1449" s="338"/>
      <c r="D1449" s="338"/>
      <c r="E1449" s="338"/>
      <c r="H1449" s="338"/>
      <c r="I1449" s="338"/>
      <c r="J1449" s="338"/>
      <c r="K1449" s="338"/>
      <c r="L1449" s="338"/>
      <c r="M1449" s="338"/>
      <c r="N1449" s="338"/>
      <c r="Q1449" s="338"/>
      <c r="R1449" s="338"/>
      <c r="S1449" s="338"/>
      <c r="T1449" s="338"/>
      <c r="U1449" s="338"/>
      <c r="X1449" s="338"/>
      <c r="Y1449" s="338"/>
      <c r="Z1449" s="338"/>
      <c r="AA1449" s="338"/>
      <c r="AB1449" s="338"/>
      <c r="AC1449" s="338"/>
      <c r="AD1449" s="338"/>
    </row>
    <row r="1450" spans="1:30">
      <c r="A1450" s="338"/>
      <c r="B1450" s="338"/>
      <c r="D1450" s="338"/>
      <c r="E1450" s="338"/>
      <c r="H1450" s="338"/>
      <c r="I1450" s="338"/>
      <c r="J1450" s="338"/>
      <c r="K1450" s="338"/>
      <c r="L1450" s="338"/>
      <c r="M1450" s="338"/>
      <c r="N1450" s="338"/>
      <c r="Q1450" s="338"/>
      <c r="R1450" s="338"/>
      <c r="S1450" s="338"/>
      <c r="T1450" s="338"/>
      <c r="U1450" s="338"/>
      <c r="X1450" s="338"/>
      <c r="Y1450" s="338"/>
      <c r="Z1450" s="338"/>
      <c r="AA1450" s="338"/>
      <c r="AB1450" s="338"/>
      <c r="AC1450" s="338"/>
      <c r="AD1450" s="338"/>
    </row>
    <row r="1451" spans="1:30">
      <c r="A1451" s="338"/>
      <c r="B1451" s="338"/>
      <c r="D1451" s="338"/>
      <c r="E1451" s="338"/>
      <c r="H1451" s="338"/>
      <c r="I1451" s="338"/>
      <c r="J1451" s="338"/>
      <c r="K1451" s="338"/>
      <c r="L1451" s="338"/>
      <c r="M1451" s="338"/>
      <c r="N1451" s="338"/>
      <c r="Q1451" s="338"/>
      <c r="R1451" s="338"/>
      <c r="S1451" s="338"/>
      <c r="T1451" s="338"/>
      <c r="U1451" s="338"/>
      <c r="X1451" s="338"/>
      <c r="Y1451" s="338"/>
      <c r="Z1451" s="338"/>
      <c r="AA1451" s="338"/>
      <c r="AB1451" s="338"/>
      <c r="AC1451" s="338"/>
      <c r="AD1451" s="338"/>
    </row>
    <row r="1452" spans="1:30">
      <c r="A1452" s="338"/>
      <c r="B1452" s="338"/>
      <c r="D1452" s="338"/>
      <c r="E1452" s="338"/>
      <c r="H1452" s="338"/>
      <c r="I1452" s="338"/>
      <c r="J1452" s="338"/>
      <c r="K1452" s="338"/>
      <c r="L1452" s="338"/>
      <c r="M1452" s="338"/>
      <c r="N1452" s="338"/>
      <c r="Q1452" s="338"/>
      <c r="R1452" s="338"/>
      <c r="S1452" s="338"/>
      <c r="T1452" s="338"/>
      <c r="U1452" s="338"/>
      <c r="X1452" s="338"/>
      <c r="Y1452" s="338"/>
      <c r="Z1452" s="338"/>
      <c r="AA1452" s="338"/>
      <c r="AB1452" s="338"/>
      <c r="AC1452" s="338"/>
      <c r="AD1452" s="338"/>
    </row>
    <row r="1453" spans="1:30">
      <c r="A1453" s="338"/>
      <c r="B1453" s="338"/>
      <c r="D1453" s="338"/>
      <c r="E1453" s="338"/>
      <c r="H1453" s="338"/>
      <c r="I1453" s="338"/>
      <c r="J1453" s="338"/>
      <c r="K1453" s="338"/>
      <c r="L1453" s="338"/>
      <c r="M1453" s="338"/>
      <c r="N1453" s="338"/>
      <c r="Q1453" s="338"/>
      <c r="R1453" s="338"/>
      <c r="S1453" s="338"/>
      <c r="T1453" s="338"/>
      <c r="U1453" s="338"/>
      <c r="X1453" s="338"/>
      <c r="Y1453" s="338"/>
      <c r="Z1453" s="338"/>
      <c r="AA1453" s="338"/>
      <c r="AB1453" s="338"/>
      <c r="AC1453" s="338"/>
      <c r="AD1453" s="338"/>
    </row>
    <row r="1454" spans="1:30">
      <c r="A1454" s="338"/>
      <c r="B1454" s="338"/>
      <c r="D1454" s="338"/>
      <c r="E1454" s="338"/>
      <c r="H1454" s="338"/>
      <c r="I1454" s="338"/>
      <c r="J1454" s="338"/>
      <c r="K1454" s="338"/>
      <c r="L1454" s="338"/>
      <c r="M1454" s="338"/>
      <c r="N1454" s="338"/>
      <c r="Q1454" s="338"/>
      <c r="R1454" s="338"/>
      <c r="S1454" s="338"/>
      <c r="T1454" s="338"/>
      <c r="U1454" s="338"/>
      <c r="X1454" s="338"/>
      <c r="Y1454" s="338"/>
      <c r="Z1454" s="338"/>
      <c r="AA1454" s="338"/>
      <c r="AB1454" s="338"/>
      <c r="AC1454" s="338"/>
      <c r="AD1454" s="338"/>
    </row>
    <row r="1455" spans="1:30">
      <c r="A1455" s="338"/>
      <c r="B1455" s="338"/>
      <c r="D1455" s="338"/>
      <c r="E1455" s="338"/>
      <c r="H1455" s="338"/>
      <c r="I1455" s="338"/>
      <c r="J1455" s="338"/>
      <c r="K1455" s="338"/>
      <c r="L1455" s="338"/>
      <c r="M1455" s="338"/>
      <c r="N1455" s="338"/>
      <c r="Q1455" s="338"/>
      <c r="R1455" s="338"/>
      <c r="S1455" s="338"/>
      <c r="T1455" s="338"/>
      <c r="U1455" s="338"/>
      <c r="X1455" s="338"/>
      <c r="Y1455" s="338"/>
      <c r="Z1455" s="338"/>
      <c r="AA1455" s="338"/>
      <c r="AB1455" s="338"/>
      <c r="AC1455" s="338"/>
      <c r="AD1455" s="338"/>
    </row>
    <row r="1456" spans="1:30">
      <c r="A1456" s="338"/>
      <c r="B1456" s="338"/>
      <c r="D1456" s="338"/>
      <c r="E1456" s="338"/>
      <c r="H1456" s="338"/>
      <c r="I1456" s="338"/>
      <c r="J1456" s="338"/>
      <c r="K1456" s="338"/>
      <c r="L1456" s="338"/>
      <c r="M1456" s="338"/>
      <c r="N1456" s="338"/>
      <c r="Q1456" s="338"/>
      <c r="R1456" s="338"/>
      <c r="S1456" s="338"/>
      <c r="T1456" s="338"/>
      <c r="U1456" s="338"/>
      <c r="X1456" s="338"/>
      <c r="Y1456" s="338"/>
      <c r="Z1456" s="338"/>
      <c r="AA1456" s="338"/>
      <c r="AB1456" s="338"/>
      <c r="AC1456" s="338"/>
      <c r="AD1456" s="338"/>
    </row>
    <row r="1457" spans="1:30">
      <c r="A1457" s="338"/>
      <c r="B1457" s="338"/>
      <c r="D1457" s="338"/>
      <c r="E1457" s="338"/>
      <c r="H1457" s="338"/>
      <c r="I1457" s="338"/>
      <c r="J1457" s="338"/>
      <c r="K1457" s="338"/>
      <c r="L1457" s="338"/>
      <c r="M1457" s="338"/>
      <c r="N1457" s="338"/>
      <c r="Q1457" s="338"/>
      <c r="R1457" s="338"/>
      <c r="S1457" s="338"/>
      <c r="T1457" s="338"/>
      <c r="U1457" s="338"/>
      <c r="X1457" s="338"/>
      <c r="Y1457" s="338"/>
      <c r="Z1457" s="338"/>
      <c r="AA1457" s="338"/>
      <c r="AB1457" s="338"/>
      <c r="AC1457" s="338"/>
      <c r="AD1457" s="338"/>
    </row>
    <row r="1458" spans="1:30">
      <c r="A1458" s="338"/>
      <c r="B1458" s="338"/>
      <c r="D1458" s="338"/>
      <c r="E1458" s="338"/>
      <c r="H1458" s="338"/>
      <c r="I1458" s="338"/>
      <c r="J1458" s="338"/>
      <c r="K1458" s="338"/>
      <c r="L1458" s="338"/>
      <c r="M1458" s="338"/>
      <c r="N1458" s="338"/>
      <c r="Q1458" s="338"/>
      <c r="R1458" s="338"/>
      <c r="S1458" s="338"/>
      <c r="T1458" s="338"/>
      <c r="U1458" s="338"/>
      <c r="X1458" s="338"/>
      <c r="Y1458" s="338"/>
      <c r="Z1458" s="338"/>
      <c r="AA1458" s="338"/>
      <c r="AB1458" s="338"/>
      <c r="AC1458" s="338"/>
      <c r="AD1458" s="338"/>
    </row>
    <row r="1459" spans="1:30">
      <c r="A1459" s="338"/>
      <c r="B1459" s="338"/>
      <c r="D1459" s="338"/>
      <c r="E1459" s="338"/>
      <c r="H1459" s="338"/>
      <c r="I1459" s="338"/>
      <c r="J1459" s="338"/>
      <c r="K1459" s="338"/>
      <c r="L1459" s="338"/>
      <c r="M1459" s="338"/>
      <c r="N1459" s="338"/>
      <c r="Q1459" s="338"/>
      <c r="R1459" s="338"/>
      <c r="S1459" s="338"/>
      <c r="T1459" s="338"/>
      <c r="U1459" s="338"/>
      <c r="X1459" s="338"/>
      <c r="Y1459" s="338"/>
      <c r="Z1459" s="338"/>
      <c r="AA1459" s="338"/>
      <c r="AB1459" s="338"/>
      <c r="AC1459" s="338"/>
      <c r="AD1459" s="338"/>
    </row>
    <row r="1460" spans="1:30">
      <c r="A1460" s="338"/>
      <c r="B1460" s="338"/>
      <c r="D1460" s="338"/>
      <c r="E1460" s="338"/>
      <c r="H1460" s="338"/>
      <c r="I1460" s="338"/>
      <c r="J1460" s="338"/>
      <c r="K1460" s="338"/>
      <c r="L1460" s="338"/>
      <c r="M1460" s="338"/>
      <c r="N1460" s="338"/>
      <c r="Q1460" s="338"/>
      <c r="R1460" s="338"/>
      <c r="S1460" s="338"/>
      <c r="T1460" s="338"/>
      <c r="U1460" s="338"/>
      <c r="X1460" s="338"/>
      <c r="Y1460" s="338"/>
      <c r="Z1460" s="338"/>
      <c r="AA1460" s="338"/>
      <c r="AB1460" s="338"/>
      <c r="AC1460" s="338"/>
      <c r="AD1460" s="338"/>
    </row>
    <row r="1461" spans="1:30">
      <c r="A1461" s="338"/>
      <c r="B1461" s="338"/>
      <c r="D1461" s="338"/>
      <c r="E1461" s="338"/>
      <c r="H1461" s="338"/>
      <c r="I1461" s="338"/>
      <c r="J1461" s="338"/>
      <c r="K1461" s="338"/>
      <c r="L1461" s="338"/>
      <c r="M1461" s="338"/>
      <c r="N1461" s="338"/>
      <c r="Q1461" s="338"/>
      <c r="R1461" s="338"/>
      <c r="S1461" s="338"/>
      <c r="T1461" s="338"/>
      <c r="U1461" s="338"/>
      <c r="X1461" s="338"/>
      <c r="Y1461" s="338"/>
      <c r="Z1461" s="338"/>
      <c r="AA1461" s="338"/>
      <c r="AB1461" s="338"/>
      <c r="AC1461" s="338"/>
      <c r="AD1461" s="338"/>
    </row>
    <row r="1462" spans="1:30">
      <c r="A1462" s="338"/>
      <c r="B1462" s="338"/>
      <c r="D1462" s="338"/>
      <c r="E1462" s="338"/>
      <c r="H1462" s="338"/>
      <c r="I1462" s="338"/>
      <c r="J1462" s="338"/>
      <c r="K1462" s="338"/>
      <c r="L1462" s="338"/>
      <c r="M1462" s="338"/>
      <c r="N1462" s="338"/>
      <c r="Q1462" s="338"/>
      <c r="R1462" s="338"/>
      <c r="S1462" s="338"/>
      <c r="T1462" s="338"/>
      <c r="U1462" s="338"/>
      <c r="X1462" s="338"/>
      <c r="Y1462" s="338"/>
      <c r="Z1462" s="338"/>
      <c r="AA1462" s="338"/>
      <c r="AB1462" s="338"/>
      <c r="AC1462" s="338"/>
      <c r="AD1462" s="338"/>
    </row>
    <row r="1463" spans="1:30">
      <c r="A1463" s="338"/>
      <c r="B1463" s="338"/>
      <c r="D1463" s="338"/>
      <c r="E1463" s="338"/>
      <c r="H1463" s="338"/>
      <c r="I1463" s="338"/>
      <c r="J1463" s="338"/>
      <c r="K1463" s="338"/>
      <c r="L1463" s="338"/>
      <c r="M1463" s="338"/>
      <c r="N1463" s="338"/>
      <c r="Q1463" s="338"/>
      <c r="R1463" s="338"/>
      <c r="S1463" s="338"/>
      <c r="T1463" s="338"/>
      <c r="U1463" s="338"/>
      <c r="X1463" s="338"/>
      <c r="Y1463" s="338"/>
      <c r="Z1463" s="338"/>
      <c r="AA1463" s="338"/>
      <c r="AB1463" s="338"/>
      <c r="AC1463" s="338"/>
      <c r="AD1463" s="338"/>
    </row>
    <row r="1464" spans="1:30">
      <c r="A1464" s="338"/>
      <c r="B1464" s="338"/>
      <c r="D1464" s="338"/>
      <c r="E1464" s="338"/>
      <c r="H1464" s="338"/>
      <c r="I1464" s="338"/>
      <c r="J1464" s="338"/>
      <c r="K1464" s="338"/>
      <c r="L1464" s="338"/>
      <c r="M1464" s="338"/>
      <c r="N1464" s="338"/>
      <c r="Q1464" s="338"/>
      <c r="R1464" s="338"/>
      <c r="S1464" s="338"/>
      <c r="T1464" s="338"/>
      <c r="U1464" s="338"/>
      <c r="X1464" s="338"/>
      <c r="Y1464" s="338"/>
      <c r="Z1464" s="338"/>
      <c r="AA1464" s="338"/>
      <c r="AB1464" s="338"/>
      <c r="AC1464" s="338"/>
      <c r="AD1464" s="338"/>
    </row>
    <row r="1465" spans="1:30">
      <c r="A1465" s="338"/>
      <c r="B1465" s="338"/>
      <c r="D1465" s="338"/>
      <c r="E1465" s="338"/>
      <c r="H1465" s="338"/>
      <c r="I1465" s="338"/>
      <c r="J1465" s="338"/>
      <c r="K1465" s="338"/>
      <c r="L1465" s="338"/>
      <c r="M1465" s="338"/>
      <c r="N1465" s="338"/>
      <c r="Q1465" s="338"/>
      <c r="R1465" s="338"/>
      <c r="S1465" s="338"/>
      <c r="T1465" s="338"/>
      <c r="U1465" s="338"/>
      <c r="X1465" s="338"/>
      <c r="Y1465" s="338"/>
      <c r="Z1465" s="338"/>
      <c r="AA1465" s="338"/>
      <c r="AB1465" s="338"/>
      <c r="AC1465" s="338"/>
      <c r="AD1465" s="338"/>
    </row>
    <row r="1466" spans="1:30">
      <c r="A1466" s="338"/>
      <c r="B1466" s="338"/>
      <c r="D1466" s="338"/>
      <c r="E1466" s="338"/>
      <c r="H1466" s="338"/>
      <c r="I1466" s="338"/>
      <c r="J1466" s="338"/>
      <c r="K1466" s="338"/>
      <c r="L1466" s="338"/>
      <c r="M1466" s="338"/>
      <c r="N1466" s="338"/>
      <c r="Q1466" s="338"/>
      <c r="R1466" s="338"/>
      <c r="S1466" s="338"/>
      <c r="T1466" s="338"/>
      <c r="U1466" s="338"/>
      <c r="X1466" s="338"/>
      <c r="Y1466" s="338"/>
      <c r="Z1466" s="338"/>
      <c r="AA1466" s="338"/>
      <c r="AB1466" s="338"/>
      <c r="AC1466" s="338"/>
      <c r="AD1466" s="338"/>
    </row>
    <row r="1467" spans="1:30">
      <c r="A1467" s="338"/>
      <c r="B1467" s="338"/>
      <c r="D1467" s="338"/>
      <c r="E1467" s="338"/>
      <c r="H1467" s="338"/>
      <c r="I1467" s="338"/>
      <c r="J1467" s="338"/>
      <c r="K1467" s="338"/>
      <c r="L1467" s="338"/>
      <c r="M1467" s="338"/>
      <c r="N1467" s="338"/>
      <c r="Q1467" s="338"/>
      <c r="R1467" s="338"/>
      <c r="S1467" s="338"/>
      <c r="T1467" s="338"/>
      <c r="U1467" s="338"/>
      <c r="X1467" s="338"/>
      <c r="Y1467" s="338"/>
      <c r="Z1467" s="338"/>
      <c r="AA1467" s="338"/>
      <c r="AB1467" s="338"/>
      <c r="AC1467" s="338"/>
      <c r="AD1467" s="338"/>
    </row>
    <row r="1468" spans="1:30">
      <c r="A1468" s="338"/>
      <c r="B1468" s="338"/>
      <c r="D1468" s="338"/>
      <c r="E1468" s="338"/>
      <c r="H1468" s="338"/>
      <c r="I1468" s="338"/>
      <c r="J1468" s="338"/>
      <c r="K1468" s="338"/>
      <c r="L1468" s="338"/>
      <c r="M1468" s="338"/>
      <c r="N1468" s="338"/>
      <c r="Q1468" s="338"/>
      <c r="R1468" s="338"/>
      <c r="S1468" s="338"/>
      <c r="T1468" s="338"/>
      <c r="U1468" s="338"/>
      <c r="X1468" s="338"/>
      <c r="Y1468" s="338"/>
      <c r="Z1468" s="338"/>
      <c r="AA1468" s="338"/>
      <c r="AB1468" s="338"/>
      <c r="AC1468" s="338"/>
      <c r="AD1468" s="338"/>
    </row>
    <row r="1469" spans="1:30">
      <c r="A1469" s="338"/>
      <c r="B1469" s="338"/>
      <c r="D1469" s="338"/>
      <c r="E1469" s="338"/>
      <c r="H1469" s="338"/>
      <c r="I1469" s="338"/>
      <c r="J1469" s="338"/>
      <c r="K1469" s="338"/>
      <c r="L1469" s="338"/>
      <c r="M1469" s="338"/>
      <c r="N1469" s="338"/>
      <c r="Q1469" s="338"/>
      <c r="R1469" s="338"/>
      <c r="S1469" s="338"/>
      <c r="T1469" s="338"/>
      <c r="U1469" s="338"/>
      <c r="X1469" s="338"/>
      <c r="Y1469" s="338"/>
      <c r="Z1469" s="338"/>
      <c r="AA1469" s="338"/>
      <c r="AB1469" s="338"/>
      <c r="AC1469" s="338"/>
      <c r="AD1469" s="338"/>
    </row>
    <row r="1470" spans="1:30">
      <c r="A1470" s="338"/>
      <c r="B1470" s="338"/>
      <c r="D1470" s="338"/>
      <c r="E1470" s="338"/>
      <c r="H1470" s="338"/>
      <c r="I1470" s="338"/>
      <c r="J1470" s="338"/>
      <c r="K1470" s="338"/>
      <c r="L1470" s="338"/>
      <c r="M1470" s="338"/>
      <c r="N1470" s="338"/>
      <c r="Q1470" s="338"/>
      <c r="R1470" s="338"/>
      <c r="S1470" s="338"/>
      <c r="T1470" s="338"/>
      <c r="U1470" s="338"/>
      <c r="X1470" s="338"/>
      <c r="Y1470" s="338"/>
      <c r="Z1470" s="338"/>
      <c r="AA1470" s="338"/>
      <c r="AB1470" s="338"/>
      <c r="AC1470" s="338"/>
      <c r="AD1470" s="338"/>
    </row>
    <row r="1471" spans="1:30">
      <c r="A1471" s="338"/>
      <c r="B1471" s="338"/>
      <c r="D1471" s="338"/>
      <c r="E1471" s="338"/>
      <c r="H1471" s="338"/>
      <c r="I1471" s="338"/>
      <c r="J1471" s="338"/>
      <c r="K1471" s="338"/>
      <c r="L1471" s="338"/>
      <c r="M1471" s="338"/>
      <c r="N1471" s="338"/>
      <c r="Q1471" s="338"/>
      <c r="R1471" s="338"/>
      <c r="S1471" s="338"/>
      <c r="T1471" s="338"/>
      <c r="U1471" s="338"/>
      <c r="X1471" s="338"/>
      <c r="Y1471" s="338"/>
      <c r="Z1471" s="338"/>
      <c r="AA1471" s="338"/>
      <c r="AB1471" s="338"/>
      <c r="AC1471" s="338"/>
      <c r="AD1471" s="338"/>
    </row>
    <row r="1472" spans="1:30">
      <c r="A1472" s="338"/>
      <c r="B1472" s="338"/>
      <c r="D1472" s="338"/>
      <c r="E1472" s="338"/>
      <c r="H1472" s="338"/>
      <c r="I1472" s="338"/>
      <c r="J1472" s="338"/>
      <c r="K1472" s="338"/>
      <c r="L1472" s="338"/>
      <c r="M1472" s="338"/>
      <c r="N1472" s="338"/>
      <c r="Q1472" s="338"/>
      <c r="R1472" s="338"/>
      <c r="S1472" s="338"/>
      <c r="T1472" s="338"/>
      <c r="U1472" s="338"/>
      <c r="X1472" s="338"/>
      <c r="Y1472" s="338"/>
      <c r="Z1472" s="338"/>
      <c r="AA1472" s="338"/>
      <c r="AB1472" s="338"/>
      <c r="AC1472" s="338"/>
      <c r="AD1472" s="338"/>
    </row>
    <row r="1473" spans="1:30">
      <c r="A1473" s="338"/>
      <c r="B1473" s="338"/>
      <c r="D1473" s="338"/>
      <c r="E1473" s="338"/>
      <c r="H1473" s="338"/>
      <c r="I1473" s="338"/>
      <c r="J1473" s="338"/>
      <c r="K1473" s="338"/>
      <c r="L1473" s="338"/>
      <c r="M1473" s="338"/>
      <c r="N1473" s="338"/>
      <c r="Q1473" s="338"/>
      <c r="R1473" s="338"/>
      <c r="S1473" s="338"/>
      <c r="T1473" s="338"/>
      <c r="U1473" s="338"/>
      <c r="X1473" s="338"/>
      <c r="Y1473" s="338"/>
      <c r="Z1473" s="338"/>
      <c r="AA1473" s="338"/>
      <c r="AB1473" s="338"/>
      <c r="AC1473" s="338"/>
      <c r="AD1473" s="338"/>
    </row>
    <row r="1474" spans="1:30">
      <c r="A1474" s="338"/>
      <c r="B1474" s="338"/>
      <c r="D1474" s="338"/>
      <c r="E1474" s="338"/>
      <c r="H1474" s="338"/>
      <c r="I1474" s="338"/>
      <c r="J1474" s="338"/>
      <c r="K1474" s="338"/>
      <c r="L1474" s="338"/>
      <c r="M1474" s="338"/>
      <c r="N1474" s="338"/>
      <c r="Q1474" s="338"/>
      <c r="R1474" s="338"/>
      <c r="S1474" s="338"/>
      <c r="T1474" s="338"/>
      <c r="U1474" s="338"/>
      <c r="X1474" s="338"/>
      <c r="Y1474" s="338"/>
      <c r="Z1474" s="338"/>
      <c r="AA1474" s="338"/>
      <c r="AB1474" s="338"/>
      <c r="AC1474" s="338"/>
      <c r="AD1474" s="338"/>
    </row>
    <row r="1475" spans="1:30">
      <c r="A1475" s="338"/>
      <c r="B1475" s="338"/>
      <c r="D1475" s="338"/>
      <c r="E1475" s="338"/>
      <c r="H1475" s="338"/>
      <c r="I1475" s="338"/>
      <c r="J1475" s="338"/>
      <c r="K1475" s="338"/>
      <c r="L1475" s="338"/>
      <c r="M1475" s="338"/>
      <c r="N1475" s="338"/>
      <c r="Q1475" s="338"/>
      <c r="R1475" s="338"/>
      <c r="S1475" s="338"/>
      <c r="T1475" s="338"/>
      <c r="U1475" s="338"/>
      <c r="X1475" s="338"/>
      <c r="Y1475" s="338"/>
      <c r="Z1475" s="338"/>
      <c r="AA1475" s="338"/>
      <c r="AB1475" s="338"/>
      <c r="AC1475" s="338"/>
      <c r="AD1475" s="338"/>
    </row>
    <row r="1476" spans="1:30">
      <c r="A1476" s="338"/>
      <c r="B1476" s="338"/>
      <c r="D1476" s="338"/>
      <c r="E1476" s="338"/>
      <c r="H1476" s="338"/>
      <c r="I1476" s="338"/>
      <c r="J1476" s="338"/>
      <c r="K1476" s="338"/>
      <c r="L1476" s="338"/>
      <c r="M1476" s="338"/>
      <c r="N1476" s="338"/>
      <c r="Q1476" s="338"/>
      <c r="R1476" s="338"/>
      <c r="S1476" s="338"/>
      <c r="T1476" s="338"/>
      <c r="U1476" s="338"/>
      <c r="X1476" s="338"/>
      <c r="Y1476" s="338"/>
      <c r="Z1476" s="338"/>
      <c r="AA1476" s="338"/>
      <c r="AB1476" s="338"/>
      <c r="AC1476" s="338"/>
      <c r="AD1476" s="338"/>
    </row>
    <row r="1477" spans="1:30">
      <c r="A1477" s="338"/>
      <c r="B1477" s="338"/>
      <c r="D1477" s="338"/>
      <c r="E1477" s="338"/>
      <c r="H1477" s="338"/>
      <c r="I1477" s="338"/>
      <c r="J1477" s="338"/>
      <c r="K1477" s="338"/>
      <c r="L1477" s="338"/>
      <c r="M1477" s="338"/>
      <c r="N1477" s="338"/>
      <c r="Q1477" s="338"/>
      <c r="R1477" s="338"/>
      <c r="S1477" s="338"/>
      <c r="T1477" s="338"/>
      <c r="U1477" s="338"/>
      <c r="X1477" s="338"/>
      <c r="Y1477" s="338"/>
      <c r="Z1477" s="338"/>
      <c r="AA1477" s="338"/>
      <c r="AB1477" s="338"/>
      <c r="AC1477" s="338"/>
      <c r="AD1477" s="338"/>
    </row>
    <row r="1478" spans="1:30">
      <c r="A1478" s="338"/>
      <c r="B1478" s="338"/>
      <c r="D1478" s="338"/>
      <c r="E1478" s="338"/>
      <c r="H1478" s="338"/>
      <c r="I1478" s="338"/>
      <c r="J1478" s="338"/>
      <c r="K1478" s="338"/>
      <c r="L1478" s="338"/>
      <c r="M1478" s="338"/>
      <c r="N1478" s="338"/>
      <c r="Q1478" s="338"/>
      <c r="R1478" s="338"/>
      <c r="S1478" s="338"/>
      <c r="T1478" s="338"/>
      <c r="U1478" s="338"/>
      <c r="X1478" s="338"/>
      <c r="Y1478" s="338"/>
      <c r="Z1478" s="338"/>
      <c r="AA1478" s="338"/>
      <c r="AB1478" s="338"/>
      <c r="AC1478" s="338"/>
      <c r="AD1478" s="338"/>
    </row>
    <row r="1479" spans="1:30">
      <c r="A1479" s="338"/>
      <c r="B1479" s="338"/>
      <c r="D1479" s="338"/>
      <c r="E1479" s="338"/>
      <c r="H1479" s="338"/>
      <c r="I1479" s="338"/>
      <c r="J1479" s="338"/>
      <c r="K1479" s="338"/>
      <c r="L1479" s="338"/>
      <c r="M1479" s="338"/>
      <c r="N1479" s="338"/>
      <c r="Q1479" s="338"/>
      <c r="R1479" s="338"/>
      <c r="S1479" s="338"/>
      <c r="T1479" s="338"/>
      <c r="U1479" s="338"/>
      <c r="X1479" s="338"/>
      <c r="Y1479" s="338"/>
      <c r="Z1479" s="338"/>
      <c r="AA1479" s="338"/>
      <c r="AB1479" s="338"/>
      <c r="AC1479" s="338"/>
      <c r="AD1479" s="338"/>
    </row>
    <row r="1480" spans="1:30">
      <c r="A1480" s="338"/>
      <c r="B1480" s="338"/>
      <c r="D1480" s="338"/>
      <c r="E1480" s="338"/>
      <c r="H1480" s="338"/>
      <c r="I1480" s="338"/>
      <c r="J1480" s="338"/>
      <c r="K1480" s="338"/>
      <c r="L1480" s="338"/>
      <c r="M1480" s="338"/>
      <c r="N1480" s="338"/>
      <c r="Q1480" s="338"/>
      <c r="R1480" s="338"/>
      <c r="S1480" s="338"/>
      <c r="T1480" s="338"/>
      <c r="U1480" s="338"/>
      <c r="X1480" s="338"/>
      <c r="Y1480" s="338"/>
      <c r="Z1480" s="338"/>
      <c r="AA1480" s="338"/>
      <c r="AB1480" s="338"/>
      <c r="AC1480" s="338"/>
      <c r="AD1480" s="338"/>
    </row>
    <row r="1481" spans="1:30">
      <c r="A1481" s="338"/>
      <c r="B1481" s="338"/>
      <c r="D1481" s="338"/>
      <c r="E1481" s="338"/>
      <c r="H1481" s="338"/>
      <c r="I1481" s="338"/>
      <c r="J1481" s="338"/>
      <c r="K1481" s="338"/>
      <c r="L1481" s="338"/>
      <c r="M1481" s="338"/>
      <c r="N1481" s="338"/>
      <c r="Q1481" s="338"/>
      <c r="R1481" s="338"/>
      <c r="S1481" s="338"/>
      <c r="T1481" s="338"/>
      <c r="U1481" s="338"/>
      <c r="X1481" s="338"/>
      <c r="Y1481" s="338"/>
      <c r="Z1481" s="338"/>
      <c r="AA1481" s="338"/>
      <c r="AB1481" s="338"/>
      <c r="AC1481" s="338"/>
      <c r="AD1481" s="338"/>
    </row>
    <row r="1482" spans="1:30">
      <c r="A1482" s="338"/>
      <c r="B1482" s="338"/>
      <c r="D1482" s="338"/>
      <c r="E1482" s="338"/>
      <c r="H1482" s="338"/>
      <c r="I1482" s="338"/>
      <c r="J1482" s="338"/>
      <c r="K1482" s="338"/>
      <c r="L1482" s="338"/>
      <c r="M1482" s="338"/>
      <c r="N1482" s="338"/>
      <c r="Q1482" s="338"/>
      <c r="R1482" s="338"/>
      <c r="S1482" s="338"/>
      <c r="T1482" s="338"/>
      <c r="U1482" s="338"/>
      <c r="X1482" s="338"/>
      <c r="Y1482" s="338"/>
      <c r="Z1482" s="338"/>
      <c r="AA1482" s="338"/>
      <c r="AB1482" s="338"/>
      <c r="AC1482" s="338"/>
      <c r="AD1482" s="338"/>
    </row>
    <row r="1483" spans="1:30">
      <c r="A1483" s="338"/>
      <c r="B1483" s="338"/>
      <c r="D1483" s="338"/>
      <c r="E1483" s="338"/>
      <c r="H1483" s="338"/>
      <c r="I1483" s="338"/>
      <c r="J1483" s="338"/>
      <c r="K1483" s="338"/>
      <c r="L1483" s="338"/>
      <c r="M1483" s="338"/>
      <c r="N1483" s="338"/>
      <c r="Q1483" s="338"/>
      <c r="R1483" s="338"/>
      <c r="S1483" s="338"/>
      <c r="T1483" s="338"/>
      <c r="U1483" s="338"/>
      <c r="X1483" s="338"/>
      <c r="Y1483" s="338"/>
      <c r="Z1483" s="338"/>
      <c r="AA1483" s="338"/>
      <c r="AB1483" s="338"/>
      <c r="AC1483" s="338"/>
      <c r="AD1483" s="338"/>
    </row>
    <row r="1484" spans="1:30">
      <c r="A1484" s="338"/>
      <c r="B1484" s="338"/>
      <c r="D1484" s="338"/>
      <c r="E1484" s="338"/>
      <c r="H1484" s="338"/>
      <c r="I1484" s="338"/>
      <c r="J1484" s="338"/>
      <c r="K1484" s="338"/>
      <c r="L1484" s="338"/>
      <c r="M1484" s="338"/>
      <c r="N1484" s="338"/>
      <c r="Q1484" s="338"/>
      <c r="R1484" s="338"/>
      <c r="S1484" s="338"/>
      <c r="T1484" s="338"/>
      <c r="U1484" s="338"/>
      <c r="X1484" s="338"/>
      <c r="Y1484" s="338"/>
      <c r="Z1484" s="338"/>
      <c r="AA1484" s="338"/>
      <c r="AB1484" s="338"/>
      <c r="AC1484" s="338"/>
      <c r="AD1484" s="338"/>
    </row>
    <row r="1485" spans="1:30">
      <c r="A1485" s="338"/>
      <c r="B1485" s="338"/>
      <c r="D1485" s="338"/>
      <c r="E1485" s="338"/>
      <c r="H1485" s="338"/>
      <c r="I1485" s="338"/>
      <c r="J1485" s="338"/>
      <c r="K1485" s="338"/>
      <c r="L1485" s="338"/>
      <c r="M1485" s="338"/>
      <c r="N1485" s="338"/>
      <c r="Q1485" s="338"/>
      <c r="R1485" s="338"/>
      <c r="S1485" s="338"/>
      <c r="T1485" s="338"/>
      <c r="U1485" s="338"/>
      <c r="X1485" s="338"/>
      <c r="Y1485" s="338"/>
      <c r="Z1485" s="338"/>
      <c r="AA1485" s="338"/>
      <c r="AB1485" s="338"/>
      <c r="AC1485" s="338"/>
      <c r="AD1485" s="338"/>
    </row>
    <row r="1486" spans="1:30">
      <c r="A1486" s="338"/>
      <c r="B1486" s="338"/>
      <c r="D1486" s="338"/>
      <c r="E1486" s="338"/>
      <c r="H1486" s="338"/>
      <c r="I1486" s="338"/>
      <c r="J1486" s="338"/>
      <c r="K1486" s="338"/>
      <c r="L1486" s="338"/>
      <c r="M1486" s="338"/>
      <c r="N1486" s="338"/>
      <c r="Q1486" s="338"/>
      <c r="R1486" s="338"/>
      <c r="S1486" s="338"/>
      <c r="T1486" s="338"/>
      <c r="U1486" s="338"/>
      <c r="X1486" s="338"/>
      <c r="Y1486" s="338"/>
      <c r="Z1486" s="338"/>
      <c r="AA1486" s="338"/>
      <c r="AB1486" s="338"/>
      <c r="AC1486" s="338"/>
      <c r="AD1486" s="338"/>
    </row>
    <row r="1487" spans="1:30">
      <c r="A1487" s="338"/>
      <c r="B1487" s="338"/>
      <c r="D1487" s="338"/>
      <c r="E1487" s="338"/>
      <c r="H1487" s="338"/>
      <c r="I1487" s="338"/>
      <c r="J1487" s="338"/>
      <c r="K1487" s="338"/>
      <c r="L1487" s="338"/>
      <c r="M1487" s="338"/>
      <c r="N1487" s="338"/>
      <c r="Q1487" s="338"/>
      <c r="R1487" s="338"/>
      <c r="S1487" s="338"/>
      <c r="T1487" s="338"/>
      <c r="U1487" s="338"/>
      <c r="X1487" s="338"/>
      <c r="Y1487" s="338"/>
      <c r="Z1487" s="338"/>
      <c r="AA1487" s="338"/>
      <c r="AB1487" s="338"/>
      <c r="AC1487" s="338"/>
      <c r="AD1487" s="338"/>
    </row>
    <row r="1488" spans="1:30">
      <c r="A1488" s="338"/>
      <c r="B1488" s="338"/>
      <c r="D1488" s="338"/>
      <c r="E1488" s="338"/>
      <c r="H1488" s="338"/>
      <c r="I1488" s="338"/>
      <c r="J1488" s="338"/>
      <c r="K1488" s="338"/>
      <c r="L1488" s="338"/>
      <c r="M1488" s="338"/>
      <c r="N1488" s="338"/>
      <c r="Q1488" s="338"/>
      <c r="R1488" s="338"/>
      <c r="S1488" s="338"/>
      <c r="T1488" s="338"/>
      <c r="U1488" s="338"/>
      <c r="X1488" s="338"/>
      <c r="Y1488" s="338"/>
      <c r="Z1488" s="338"/>
      <c r="AA1488" s="338"/>
      <c r="AB1488" s="338"/>
      <c r="AC1488" s="338"/>
      <c r="AD1488" s="338"/>
    </row>
    <row r="1489" spans="1:30">
      <c r="A1489" s="338"/>
      <c r="B1489" s="338"/>
      <c r="D1489" s="338"/>
      <c r="E1489" s="338"/>
      <c r="H1489" s="338"/>
      <c r="I1489" s="338"/>
      <c r="J1489" s="338"/>
      <c r="K1489" s="338"/>
      <c r="L1489" s="338"/>
      <c r="M1489" s="338"/>
      <c r="N1489" s="338"/>
      <c r="Q1489" s="338"/>
      <c r="R1489" s="338"/>
      <c r="S1489" s="338"/>
      <c r="T1489" s="338"/>
      <c r="U1489" s="338"/>
      <c r="X1489" s="338"/>
      <c r="Y1489" s="338"/>
      <c r="Z1489" s="338"/>
      <c r="AA1489" s="338"/>
      <c r="AB1489" s="338"/>
      <c r="AC1489" s="338"/>
      <c r="AD1489" s="338"/>
    </row>
    <row r="1490" spans="1:30">
      <c r="A1490" s="338"/>
      <c r="B1490" s="338"/>
      <c r="D1490" s="338"/>
      <c r="E1490" s="338"/>
      <c r="H1490" s="338"/>
      <c r="I1490" s="338"/>
      <c r="J1490" s="338"/>
      <c r="K1490" s="338"/>
      <c r="L1490" s="338"/>
      <c r="M1490" s="338"/>
      <c r="N1490" s="338"/>
      <c r="Q1490" s="338"/>
      <c r="R1490" s="338"/>
      <c r="S1490" s="338"/>
      <c r="T1490" s="338"/>
      <c r="U1490" s="338"/>
      <c r="X1490" s="338"/>
      <c r="Y1490" s="338"/>
      <c r="Z1490" s="338"/>
      <c r="AA1490" s="338"/>
      <c r="AB1490" s="338"/>
      <c r="AC1490" s="338"/>
      <c r="AD1490" s="338"/>
    </row>
    <row r="1491" spans="1:30">
      <c r="A1491" s="338"/>
      <c r="B1491" s="338"/>
      <c r="D1491" s="338"/>
      <c r="E1491" s="338"/>
      <c r="H1491" s="338"/>
      <c r="I1491" s="338"/>
      <c r="J1491" s="338"/>
      <c r="K1491" s="338"/>
      <c r="L1491" s="338"/>
      <c r="M1491" s="338"/>
      <c r="N1491" s="338"/>
      <c r="Q1491" s="338"/>
      <c r="R1491" s="338"/>
      <c r="S1491" s="338"/>
      <c r="T1491" s="338"/>
      <c r="U1491" s="338"/>
      <c r="X1491" s="338"/>
      <c r="Y1491" s="338"/>
      <c r="Z1491" s="338"/>
      <c r="AA1491" s="338"/>
      <c r="AB1491" s="338"/>
      <c r="AC1491" s="338"/>
      <c r="AD1491" s="338"/>
    </row>
    <row r="1492" spans="1:30">
      <c r="A1492" s="338"/>
      <c r="B1492" s="338"/>
      <c r="D1492" s="338"/>
      <c r="E1492" s="338"/>
      <c r="H1492" s="338"/>
      <c r="I1492" s="338"/>
      <c r="J1492" s="338"/>
      <c r="K1492" s="338"/>
      <c r="L1492" s="338"/>
      <c r="M1492" s="338"/>
      <c r="N1492" s="338"/>
      <c r="Q1492" s="338"/>
      <c r="R1492" s="338"/>
      <c r="S1492" s="338"/>
      <c r="T1492" s="338"/>
      <c r="U1492" s="338"/>
      <c r="X1492" s="338"/>
      <c r="Y1492" s="338"/>
      <c r="Z1492" s="338"/>
      <c r="AA1492" s="338"/>
      <c r="AB1492" s="338"/>
      <c r="AC1492" s="338"/>
      <c r="AD1492" s="338"/>
    </row>
    <row r="1493" spans="1:30">
      <c r="A1493" s="338"/>
      <c r="B1493" s="338"/>
      <c r="D1493" s="338"/>
      <c r="E1493" s="338"/>
      <c r="H1493" s="338"/>
      <c r="I1493" s="338"/>
      <c r="J1493" s="338"/>
      <c r="K1493" s="338"/>
      <c r="L1493" s="338"/>
      <c r="M1493" s="338"/>
      <c r="N1493" s="338"/>
      <c r="Q1493" s="338"/>
      <c r="R1493" s="338"/>
      <c r="S1493" s="338"/>
      <c r="T1493" s="338"/>
      <c r="U1493" s="338"/>
      <c r="X1493" s="338"/>
      <c r="Y1493" s="338"/>
      <c r="Z1493" s="338"/>
      <c r="AA1493" s="338"/>
      <c r="AB1493" s="338"/>
      <c r="AC1493" s="338"/>
      <c r="AD1493" s="338"/>
    </row>
    <row r="1494" spans="1:30">
      <c r="A1494" s="338"/>
      <c r="B1494" s="338"/>
      <c r="D1494" s="338"/>
      <c r="E1494" s="338"/>
      <c r="H1494" s="338"/>
      <c r="I1494" s="338"/>
      <c r="J1494" s="338"/>
      <c r="K1494" s="338"/>
      <c r="L1494" s="338"/>
      <c r="M1494" s="338"/>
      <c r="N1494" s="338"/>
      <c r="Q1494" s="338"/>
      <c r="R1494" s="338"/>
      <c r="S1494" s="338"/>
      <c r="T1494" s="338"/>
      <c r="U1494" s="338"/>
      <c r="X1494" s="338"/>
      <c r="Y1494" s="338"/>
      <c r="Z1494" s="338"/>
      <c r="AA1494" s="338"/>
      <c r="AB1494" s="338"/>
      <c r="AC1494" s="338"/>
      <c r="AD1494" s="338"/>
    </row>
    <row r="1495" spans="1:30">
      <c r="A1495" s="338"/>
      <c r="B1495" s="338"/>
      <c r="D1495" s="338"/>
      <c r="E1495" s="338"/>
      <c r="H1495" s="338"/>
      <c r="I1495" s="338"/>
      <c r="J1495" s="338"/>
      <c r="K1495" s="338"/>
      <c r="L1495" s="338"/>
      <c r="M1495" s="338"/>
      <c r="N1495" s="338"/>
      <c r="Q1495" s="338"/>
      <c r="R1495" s="338"/>
      <c r="S1495" s="338"/>
      <c r="T1495" s="338"/>
      <c r="U1495" s="338"/>
      <c r="X1495" s="338"/>
      <c r="Y1495" s="338"/>
      <c r="Z1495" s="338"/>
      <c r="AA1495" s="338"/>
      <c r="AB1495" s="338"/>
      <c r="AC1495" s="338"/>
      <c r="AD1495" s="338"/>
    </row>
    <row r="1496" spans="1:30">
      <c r="A1496" s="338"/>
      <c r="B1496" s="338"/>
      <c r="D1496" s="338"/>
      <c r="E1496" s="338"/>
      <c r="H1496" s="338"/>
      <c r="I1496" s="338"/>
      <c r="J1496" s="338"/>
      <c r="K1496" s="338"/>
      <c r="L1496" s="338"/>
      <c r="M1496" s="338"/>
      <c r="N1496" s="338"/>
      <c r="Q1496" s="338"/>
      <c r="R1496" s="338"/>
      <c r="S1496" s="338"/>
      <c r="T1496" s="338"/>
      <c r="U1496" s="338"/>
      <c r="X1496" s="338"/>
      <c r="Y1496" s="338"/>
      <c r="Z1496" s="338"/>
      <c r="AA1496" s="338"/>
      <c r="AB1496" s="338"/>
      <c r="AC1496" s="338"/>
      <c r="AD1496" s="338"/>
    </row>
    <row r="1497" spans="1:30">
      <c r="A1497" s="338"/>
      <c r="B1497" s="338"/>
      <c r="D1497" s="338"/>
      <c r="E1497" s="338"/>
      <c r="H1497" s="338"/>
      <c r="I1497" s="338"/>
      <c r="J1497" s="338"/>
      <c r="K1497" s="338"/>
      <c r="L1497" s="338"/>
      <c r="M1497" s="338"/>
      <c r="N1497" s="338"/>
      <c r="Q1497" s="338"/>
      <c r="R1497" s="338"/>
      <c r="S1497" s="338"/>
      <c r="T1497" s="338"/>
      <c r="U1497" s="338"/>
      <c r="X1497" s="338"/>
      <c r="Y1497" s="338"/>
      <c r="Z1497" s="338"/>
      <c r="AA1497" s="338"/>
      <c r="AB1497" s="338"/>
      <c r="AC1497" s="338"/>
      <c r="AD1497" s="338"/>
    </row>
    <row r="1498" spans="1:30">
      <c r="A1498" s="338"/>
      <c r="B1498" s="338"/>
      <c r="D1498" s="338"/>
      <c r="E1498" s="338"/>
      <c r="H1498" s="338"/>
      <c r="I1498" s="338"/>
      <c r="J1498" s="338"/>
      <c r="K1498" s="338"/>
      <c r="L1498" s="338"/>
      <c r="M1498" s="338"/>
      <c r="N1498" s="338"/>
      <c r="Q1498" s="338"/>
      <c r="R1498" s="338"/>
      <c r="S1498" s="338"/>
      <c r="T1498" s="338"/>
      <c r="U1498" s="338"/>
      <c r="X1498" s="338"/>
      <c r="Y1498" s="338"/>
      <c r="Z1498" s="338"/>
      <c r="AA1498" s="338"/>
      <c r="AB1498" s="338"/>
      <c r="AC1498" s="338"/>
      <c r="AD1498" s="338"/>
    </row>
    <row r="1499" spans="1:30">
      <c r="A1499" s="338"/>
      <c r="B1499" s="338"/>
      <c r="D1499" s="338"/>
      <c r="E1499" s="338"/>
      <c r="H1499" s="338"/>
      <c r="I1499" s="338"/>
      <c r="J1499" s="338"/>
      <c r="K1499" s="338"/>
      <c r="L1499" s="338"/>
      <c r="M1499" s="338"/>
      <c r="N1499" s="338"/>
      <c r="Q1499" s="338"/>
      <c r="R1499" s="338"/>
      <c r="S1499" s="338"/>
      <c r="T1499" s="338"/>
      <c r="U1499" s="338"/>
      <c r="X1499" s="338"/>
      <c r="Y1499" s="338"/>
      <c r="Z1499" s="338"/>
      <c r="AA1499" s="338"/>
      <c r="AB1499" s="338"/>
      <c r="AC1499" s="338"/>
      <c r="AD1499" s="338"/>
    </row>
    <row r="1500" spans="1:30">
      <c r="A1500" s="338"/>
      <c r="B1500" s="338"/>
      <c r="D1500" s="338"/>
      <c r="E1500" s="338"/>
      <c r="H1500" s="338"/>
      <c r="I1500" s="338"/>
      <c r="J1500" s="338"/>
      <c r="K1500" s="338"/>
      <c r="L1500" s="338"/>
      <c r="M1500" s="338"/>
      <c r="N1500" s="338"/>
      <c r="Q1500" s="338"/>
      <c r="R1500" s="338"/>
      <c r="S1500" s="338"/>
      <c r="T1500" s="338"/>
      <c r="U1500" s="338"/>
      <c r="X1500" s="338"/>
      <c r="Y1500" s="338"/>
      <c r="Z1500" s="338"/>
      <c r="AA1500" s="338"/>
      <c r="AB1500" s="338"/>
      <c r="AC1500" s="338"/>
      <c r="AD1500" s="338"/>
    </row>
    <row r="1501" spans="1:30">
      <c r="A1501" s="338"/>
      <c r="B1501" s="338"/>
      <c r="D1501" s="338"/>
      <c r="E1501" s="338"/>
      <c r="H1501" s="338"/>
      <c r="I1501" s="338"/>
      <c r="J1501" s="338"/>
      <c r="K1501" s="338"/>
      <c r="L1501" s="338"/>
      <c r="M1501" s="338"/>
      <c r="N1501" s="338"/>
      <c r="Q1501" s="338"/>
      <c r="R1501" s="338"/>
      <c r="S1501" s="338"/>
      <c r="T1501" s="338"/>
      <c r="U1501" s="338"/>
      <c r="X1501" s="338"/>
      <c r="Y1501" s="338"/>
      <c r="Z1501" s="338"/>
      <c r="AA1501" s="338"/>
      <c r="AB1501" s="338"/>
      <c r="AC1501" s="338"/>
      <c r="AD1501" s="338"/>
    </row>
    <row r="1502" spans="1:30">
      <c r="A1502" s="338"/>
      <c r="B1502" s="338"/>
      <c r="D1502" s="338"/>
      <c r="E1502" s="338"/>
      <c r="H1502" s="338"/>
      <c r="I1502" s="338"/>
      <c r="J1502" s="338"/>
      <c r="K1502" s="338"/>
      <c r="L1502" s="338"/>
      <c r="M1502" s="338"/>
      <c r="N1502" s="338"/>
      <c r="Q1502" s="338"/>
      <c r="R1502" s="338"/>
      <c r="S1502" s="338"/>
      <c r="T1502" s="338"/>
      <c r="U1502" s="338"/>
      <c r="X1502" s="338"/>
      <c r="Y1502" s="338"/>
      <c r="Z1502" s="338"/>
      <c r="AA1502" s="338"/>
      <c r="AB1502" s="338"/>
      <c r="AC1502" s="338"/>
      <c r="AD1502" s="338"/>
    </row>
    <row r="1503" spans="1:30">
      <c r="A1503" s="338"/>
      <c r="B1503" s="338"/>
      <c r="D1503" s="338"/>
      <c r="E1503" s="338"/>
      <c r="H1503" s="338"/>
      <c r="I1503" s="338"/>
      <c r="J1503" s="338"/>
      <c r="K1503" s="338"/>
      <c r="L1503" s="338"/>
      <c r="M1503" s="338"/>
      <c r="N1503" s="338"/>
      <c r="Q1503" s="338"/>
      <c r="R1503" s="338"/>
      <c r="S1503" s="338"/>
      <c r="T1503" s="338"/>
      <c r="U1503" s="338"/>
      <c r="X1503" s="338"/>
      <c r="Y1503" s="338"/>
      <c r="Z1503" s="338"/>
      <c r="AA1503" s="338"/>
      <c r="AB1503" s="338"/>
      <c r="AC1503" s="338"/>
      <c r="AD1503" s="338"/>
    </row>
    <row r="1504" spans="1:30">
      <c r="A1504" s="338"/>
      <c r="B1504" s="338"/>
      <c r="D1504" s="338"/>
      <c r="E1504" s="338"/>
      <c r="H1504" s="338"/>
      <c r="I1504" s="338"/>
      <c r="J1504" s="338"/>
      <c r="K1504" s="338"/>
      <c r="L1504" s="338"/>
      <c r="M1504" s="338"/>
      <c r="N1504" s="338"/>
      <c r="Q1504" s="338"/>
      <c r="R1504" s="338"/>
      <c r="S1504" s="338"/>
      <c r="T1504" s="338"/>
      <c r="U1504" s="338"/>
      <c r="X1504" s="338"/>
      <c r="Y1504" s="338"/>
      <c r="Z1504" s="338"/>
      <c r="AA1504" s="338"/>
      <c r="AB1504" s="338"/>
      <c r="AC1504" s="338"/>
      <c r="AD1504" s="338"/>
    </row>
    <row r="1505" spans="1:30">
      <c r="A1505" s="338"/>
      <c r="B1505" s="338"/>
      <c r="D1505" s="338"/>
      <c r="E1505" s="338"/>
      <c r="H1505" s="338"/>
      <c r="I1505" s="338"/>
      <c r="J1505" s="338"/>
      <c r="K1505" s="338"/>
      <c r="L1505" s="338"/>
      <c r="M1505" s="338"/>
      <c r="N1505" s="338"/>
      <c r="Q1505" s="338"/>
      <c r="R1505" s="338"/>
      <c r="S1505" s="338"/>
      <c r="T1505" s="338"/>
      <c r="U1505" s="338"/>
      <c r="X1505" s="338"/>
      <c r="Y1505" s="338"/>
      <c r="Z1505" s="338"/>
      <c r="AA1505" s="338"/>
      <c r="AB1505" s="338"/>
      <c r="AC1505" s="338"/>
      <c r="AD1505" s="338"/>
    </row>
    <row r="1506" spans="1:30">
      <c r="A1506" s="338"/>
      <c r="B1506" s="338"/>
      <c r="D1506" s="338"/>
      <c r="E1506" s="338"/>
      <c r="H1506" s="338"/>
      <c r="I1506" s="338"/>
      <c r="J1506" s="338"/>
      <c r="K1506" s="338"/>
      <c r="L1506" s="338"/>
      <c r="M1506" s="338"/>
      <c r="N1506" s="338"/>
      <c r="Q1506" s="338"/>
      <c r="R1506" s="338"/>
      <c r="S1506" s="338"/>
      <c r="T1506" s="338"/>
      <c r="U1506" s="338"/>
      <c r="X1506" s="338"/>
      <c r="Y1506" s="338"/>
      <c r="Z1506" s="338"/>
      <c r="AA1506" s="338"/>
      <c r="AB1506" s="338"/>
      <c r="AC1506" s="338"/>
      <c r="AD1506" s="338"/>
    </row>
    <row r="1507" spans="1:30">
      <c r="A1507" s="338"/>
      <c r="B1507" s="338"/>
      <c r="D1507" s="338"/>
      <c r="E1507" s="338"/>
      <c r="H1507" s="338"/>
      <c r="I1507" s="338"/>
      <c r="J1507" s="338"/>
      <c r="K1507" s="338"/>
      <c r="L1507" s="338"/>
      <c r="M1507" s="338"/>
      <c r="N1507" s="338"/>
      <c r="Q1507" s="338"/>
      <c r="R1507" s="338"/>
      <c r="S1507" s="338"/>
      <c r="T1507" s="338"/>
      <c r="U1507" s="338"/>
      <c r="X1507" s="338"/>
      <c r="Y1507" s="338"/>
      <c r="Z1507" s="338"/>
      <c r="AA1507" s="338"/>
      <c r="AB1507" s="338"/>
      <c r="AC1507" s="338"/>
      <c r="AD1507" s="338"/>
    </row>
    <row r="1508" spans="1:30">
      <c r="A1508" s="338"/>
      <c r="B1508" s="338"/>
      <c r="D1508" s="338"/>
      <c r="E1508" s="338"/>
      <c r="H1508" s="338"/>
      <c r="I1508" s="338"/>
      <c r="J1508" s="338"/>
      <c r="K1508" s="338"/>
      <c r="L1508" s="338"/>
      <c r="M1508" s="338"/>
      <c r="N1508" s="338"/>
      <c r="Q1508" s="338"/>
      <c r="R1508" s="338"/>
      <c r="S1508" s="338"/>
      <c r="T1508" s="338"/>
      <c r="U1508" s="338"/>
      <c r="X1508" s="338"/>
      <c r="Y1508" s="338"/>
      <c r="Z1508" s="338"/>
      <c r="AA1508" s="338"/>
      <c r="AB1508" s="338"/>
      <c r="AC1508" s="338"/>
      <c r="AD1508" s="338"/>
    </row>
    <row r="1509" spans="1:30">
      <c r="A1509" s="338"/>
      <c r="B1509" s="338"/>
      <c r="D1509" s="338"/>
      <c r="E1509" s="338"/>
      <c r="H1509" s="338"/>
      <c r="I1509" s="338"/>
      <c r="J1509" s="338"/>
      <c r="K1509" s="338"/>
      <c r="L1509" s="338"/>
      <c r="M1509" s="338"/>
      <c r="N1509" s="338"/>
      <c r="Q1509" s="338"/>
      <c r="R1509" s="338"/>
      <c r="S1509" s="338"/>
      <c r="T1509" s="338"/>
      <c r="U1509" s="338"/>
      <c r="X1509" s="338"/>
      <c r="Y1509" s="338"/>
      <c r="Z1509" s="338"/>
      <c r="AA1509" s="338"/>
      <c r="AB1509" s="338"/>
      <c r="AC1509" s="338"/>
      <c r="AD1509" s="338"/>
    </row>
    <row r="1510" spans="1:30">
      <c r="A1510" s="338"/>
      <c r="B1510" s="338"/>
      <c r="D1510" s="338"/>
      <c r="E1510" s="338"/>
      <c r="H1510" s="338"/>
      <c r="I1510" s="338"/>
      <c r="J1510" s="338"/>
      <c r="K1510" s="338"/>
      <c r="L1510" s="338"/>
      <c r="M1510" s="338"/>
      <c r="N1510" s="338"/>
      <c r="Q1510" s="338"/>
      <c r="R1510" s="338"/>
      <c r="S1510" s="338"/>
      <c r="T1510" s="338"/>
      <c r="U1510" s="338"/>
      <c r="X1510" s="338"/>
      <c r="Y1510" s="338"/>
      <c r="Z1510" s="338"/>
      <c r="AA1510" s="338"/>
      <c r="AB1510" s="338"/>
      <c r="AC1510" s="338"/>
      <c r="AD1510" s="338"/>
    </row>
    <row r="1511" spans="1:30">
      <c r="A1511" s="338"/>
      <c r="B1511" s="338"/>
      <c r="D1511" s="338"/>
      <c r="E1511" s="338"/>
      <c r="H1511" s="338"/>
      <c r="I1511" s="338"/>
      <c r="J1511" s="338"/>
      <c r="K1511" s="338"/>
      <c r="L1511" s="338"/>
      <c r="M1511" s="338"/>
      <c r="N1511" s="338"/>
      <c r="Q1511" s="338"/>
      <c r="R1511" s="338"/>
      <c r="S1511" s="338"/>
      <c r="T1511" s="338"/>
      <c r="U1511" s="338"/>
      <c r="X1511" s="338"/>
      <c r="Y1511" s="338"/>
      <c r="Z1511" s="338"/>
      <c r="AA1511" s="338"/>
      <c r="AB1511" s="338"/>
      <c r="AC1511" s="338"/>
      <c r="AD1511" s="338"/>
    </row>
    <row r="1512" spans="1:30">
      <c r="A1512" s="338"/>
      <c r="B1512" s="338"/>
      <c r="D1512" s="338"/>
      <c r="E1512" s="338"/>
      <c r="H1512" s="338"/>
      <c r="I1512" s="338"/>
      <c r="J1512" s="338"/>
      <c r="K1512" s="338"/>
      <c r="L1512" s="338"/>
      <c r="M1512" s="338"/>
      <c r="N1512" s="338"/>
      <c r="Q1512" s="338"/>
      <c r="R1512" s="338"/>
      <c r="S1512" s="338"/>
      <c r="T1512" s="338"/>
      <c r="U1512" s="338"/>
      <c r="X1512" s="338"/>
      <c r="Y1512" s="338"/>
      <c r="Z1512" s="338"/>
      <c r="AA1512" s="338"/>
      <c r="AB1512" s="338"/>
      <c r="AC1512" s="338"/>
      <c r="AD1512" s="338"/>
    </row>
    <row r="1513" spans="1:30">
      <c r="A1513" s="338"/>
      <c r="B1513" s="338"/>
      <c r="D1513" s="338"/>
      <c r="E1513" s="338"/>
      <c r="H1513" s="338"/>
      <c r="I1513" s="338"/>
      <c r="J1513" s="338"/>
      <c r="K1513" s="338"/>
      <c r="L1513" s="338"/>
      <c r="M1513" s="338"/>
      <c r="N1513" s="338"/>
      <c r="Q1513" s="338"/>
      <c r="R1513" s="338"/>
      <c r="S1513" s="338"/>
      <c r="T1513" s="338"/>
      <c r="U1513" s="338"/>
      <c r="X1513" s="338"/>
      <c r="Y1513" s="338"/>
      <c r="Z1513" s="338"/>
      <c r="AA1513" s="338"/>
      <c r="AB1513" s="338"/>
      <c r="AC1513" s="338"/>
      <c r="AD1513" s="338"/>
    </row>
    <row r="1514" spans="1:30">
      <c r="A1514" s="338"/>
      <c r="B1514" s="338"/>
      <c r="D1514" s="338"/>
      <c r="E1514" s="338"/>
      <c r="H1514" s="338"/>
      <c r="I1514" s="338"/>
      <c r="J1514" s="338"/>
      <c r="K1514" s="338"/>
      <c r="L1514" s="338"/>
      <c r="M1514" s="338"/>
      <c r="N1514" s="338"/>
      <c r="Q1514" s="338"/>
      <c r="R1514" s="338"/>
      <c r="S1514" s="338"/>
      <c r="T1514" s="338"/>
      <c r="U1514" s="338"/>
      <c r="X1514" s="338"/>
      <c r="Y1514" s="338"/>
      <c r="Z1514" s="338"/>
      <c r="AA1514" s="338"/>
      <c r="AB1514" s="338"/>
      <c r="AC1514" s="338"/>
      <c r="AD1514" s="338"/>
    </row>
    <row r="1515" spans="1:30">
      <c r="A1515" s="338"/>
      <c r="B1515" s="338"/>
      <c r="D1515" s="338"/>
      <c r="E1515" s="338"/>
      <c r="H1515" s="338"/>
      <c r="I1515" s="338"/>
      <c r="J1515" s="338"/>
      <c r="K1515" s="338"/>
      <c r="L1515" s="338"/>
      <c r="M1515" s="338"/>
      <c r="N1515" s="338"/>
      <c r="Q1515" s="338"/>
      <c r="R1515" s="338"/>
      <c r="S1515" s="338"/>
      <c r="T1515" s="338"/>
      <c r="U1515" s="338"/>
      <c r="X1515" s="338"/>
      <c r="Y1515" s="338"/>
      <c r="Z1515" s="338"/>
      <c r="AA1515" s="338"/>
      <c r="AB1515" s="338"/>
      <c r="AC1515" s="338"/>
      <c r="AD1515" s="338"/>
    </row>
    <row r="1516" spans="1:30">
      <c r="A1516" s="338"/>
      <c r="B1516" s="338"/>
      <c r="D1516" s="338"/>
      <c r="E1516" s="338"/>
      <c r="H1516" s="338"/>
      <c r="I1516" s="338"/>
      <c r="J1516" s="338"/>
      <c r="K1516" s="338"/>
      <c r="L1516" s="338"/>
      <c r="M1516" s="338"/>
      <c r="N1516" s="338"/>
      <c r="Q1516" s="338"/>
      <c r="R1516" s="338"/>
      <c r="S1516" s="338"/>
      <c r="T1516" s="338"/>
      <c r="U1516" s="338"/>
      <c r="X1516" s="338"/>
      <c r="Y1516" s="338"/>
      <c r="Z1516" s="338"/>
      <c r="AA1516" s="338"/>
      <c r="AB1516" s="338"/>
      <c r="AC1516" s="338"/>
      <c r="AD1516" s="338"/>
    </row>
    <row r="1517" spans="1:30">
      <c r="A1517" s="338"/>
      <c r="B1517" s="338"/>
      <c r="D1517" s="338"/>
      <c r="E1517" s="338"/>
      <c r="H1517" s="338"/>
      <c r="I1517" s="338"/>
      <c r="J1517" s="338"/>
      <c r="K1517" s="338"/>
      <c r="L1517" s="338"/>
      <c r="M1517" s="338"/>
      <c r="N1517" s="338"/>
      <c r="Q1517" s="338"/>
      <c r="R1517" s="338"/>
      <c r="S1517" s="338"/>
      <c r="T1517" s="338"/>
      <c r="U1517" s="338"/>
      <c r="X1517" s="338"/>
      <c r="Y1517" s="338"/>
      <c r="Z1517" s="338"/>
      <c r="AA1517" s="338"/>
      <c r="AB1517" s="338"/>
      <c r="AC1517" s="338"/>
      <c r="AD1517" s="338"/>
    </row>
    <row r="1518" spans="1:30">
      <c r="A1518" s="338"/>
      <c r="B1518" s="338"/>
      <c r="D1518" s="338"/>
      <c r="E1518" s="338"/>
      <c r="H1518" s="338"/>
      <c r="I1518" s="338"/>
      <c r="J1518" s="338"/>
      <c r="K1518" s="338"/>
      <c r="L1518" s="338"/>
      <c r="M1518" s="338"/>
      <c r="N1518" s="338"/>
      <c r="Q1518" s="338"/>
      <c r="R1518" s="338"/>
      <c r="S1518" s="338"/>
      <c r="T1518" s="338"/>
      <c r="U1518" s="338"/>
      <c r="X1518" s="338"/>
      <c r="Y1518" s="338"/>
      <c r="Z1518" s="338"/>
      <c r="AA1518" s="338"/>
      <c r="AB1518" s="338"/>
      <c r="AC1518" s="338"/>
      <c r="AD1518" s="338"/>
    </row>
    <row r="1519" spans="1:30">
      <c r="A1519" s="338"/>
      <c r="B1519" s="338"/>
      <c r="D1519" s="338"/>
      <c r="E1519" s="338"/>
      <c r="H1519" s="338"/>
      <c r="I1519" s="338"/>
      <c r="J1519" s="338"/>
      <c r="K1519" s="338"/>
      <c r="L1519" s="338"/>
      <c r="M1519" s="338"/>
      <c r="N1519" s="338"/>
      <c r="Q1519" s="338"/>
      <c r="R1519" s="338"/>
      <c r="S1519" s="338"/>
      <c r="T1519" s="338"/>
      <c r="U1519" s="338"/>
      <c r="X1519" s="338"/>
      <c r="Y1519" s="338"/>
      <c r="Z1519" s="338"/>
      <c r="AA1519" s="338"/>
      <c r="AB1519" s="338"/>
      <c r="AC1519" s="338"/>
      <c r="AD1519" s="338"/>
    </row>
    <row r="1520" spans="1:30">
      <c r="A1520" s="338"/>
      <c r="B1520" s="338"/>
      <c r="D1520" s="338"/>
      <c r="E1520" s="338"/>
      <c r="H1520" s="338"/>
      <c r="I1520" s="338"/>
      <c r="J1520" s="338"/>
      <c r="K1520" s="338"/>
      <c r="L1520" s="338"/>
      <c r="M1520" s="338"/>
      <c r="N1520" s="338"/>
      <c r="Q1520" s="338"/>
      <c r="R1520" s="338"/>
      <c r="S1520" s="338"/>
      <c r="T1520" s="338"/>
      <c r="U1520" s="338"/>
      <c r="X1520" s="338"/>
      <c r="Y1520" s="338"/>
      <c r="Z1520" s="338"/>
      <c r="AA1520" s="338"/>
      <c r="AB1520" s="338"/>
      <c r="AC1520" s="338"/>
      <c r="AD1520" s="338"/>
    </row>
    <row r="1521" spans="1:30">
      <c r="A1521" s="338"/>
      <c r="B1521" s="338"/>
      <c r="D1521" s="338"/>
      <c r="E1521" s="338"/>
      <c r="H1521" s="338"/>
      <c r="I1521" s="338"/>
      <c r="J1521" s="338"/>
      <c r="K1521" s="338"/>
      <c r="L1521" s="338"/>
      <c r="M1521" s="338"/>
      <c r="N1521" s="338"/>
      <c r="Q1521" s="338"/>
      <c r="R1521" s="338"/>
      <c r="S1521" s="338"/>
      <c r="T1521" s="338"/>
      <c r="U1521" s="338"/>
      <c r="X1521" s="338"/>
      <c r="Y1521" s="338"/>
      <c r="Z1521" s="338"/>
      <c r="AA1521" s="338"/>
      <c r="AB1521" s="338"/>
      <c r="AC1521" s="338"/>
      <c r="AD1521" s="338"/>
    </row>
    <row r="1522" spans="1:30">
      <c r="A1522" s="338"/>
      <c r="B1522" s="338"/>
      <c r="D1522" s="338"/>
      <c r="E1522" s="338"/>
      <c r="H1522" s="338"/>
      <c r="I1522" s="338"/>
      <c r="J1522" s="338"/>
      <c r="K1522" s="338"/>
      <c r="L1522" s="338"/>
      <c r="M1522" s="338"/>
      <c r="N1522" s="338"/>
      <c r="Q1522" s="338"/>
      <c r="R1522" s="338"/>
      <c r="S1522" s="338"/>
      <c r="T1522" s="338"/>
      <c r="U1522" s="338"/>
      <c r="X1522" s="338"/>
      <c r="Y1522" s="338"/>
      <c r="Z1522" s="338"/>
      <c r="AA1522" s="338"/>
      <c r="AB1522" s="338"/>
      <c r="AC1522" s="338"/>
      <c r="AD1522" s="338"/>
    </row>
    <row r="1523" spans="1:30">
      <c r="A1523" s="338"/>
      <c r="B1523" s="338"/>
      <c r="D1523" s="338"/>
      <c r="E1523" s="338"/>
      <c r="H1523" s="338"/>
      <c r="I1523" s="338"/>
      <c r="J1523" s="338"/>
      <c r="K1523" s="338"/>
      <c r="L1523" s="338"/>
      <c r="M1523" s="338"/>
      <c r="N1523" s="338"/>
      <c r="Q1523" s="338"/>
      <c r="R1523" s="338"/>
      <c r="S1523" s="338"/>
      <c r="T1523" s="338"/>
      <c r="U1523" s="338"/>
      <c r="X1523" s="338"/>
      <c r="Y1523" s="338"/>
      <c r="Z1523" s="338"/>
      <c r="AA1523" s="338"/>
      <c r="AB1523" s="338"/>
      <c r="AC1523" s="338"/>
      <c r="AD1523" s="338"/>
    </row>
    <row r="1524" spans="1:30">
      <c r="A1524" s="338"/>
      <c r="B1524" s="338"/>
      <c r="D1524" s="338"/>
      <c r="E1524" s="338"/>
      <c r="H1524" s="338"/>
      <c r="I1524" s="338"/>
      <c r="J1524" s="338"/>
      <c r="K1524" s="338"/>
      <c r="L1524" s="338"/>
      <c r="M1524" s="338"/>
      <c r="N1524" s="338"/>
      <c r="Q1524" s="338"/>
      <c r="R1524" s="338"/>
      <c r="S1524" s="338"/>
      <c r="T1524" s="338"/>
      <c r="U1524" s="338"/>
      <c r="X1524" s="338"/>
      <c r="Y1524" s="338"/>
      <c r="Z1524" s="338"/>
      <c r="AA1524" s="338"/>
      <c r="AB1524" s="338"/>
      <c r="AC1524" s="338"/>
      <c r="AD1524" s="338"/>
    </row>
    <row r="1525" spans="1:30">
      <c r="A1525" s="338"/>
      <c r="B1525" s="338"/>
      <c r="D1525" s="338"/>
      <c r="E1525" s="338"/>
      <c r="H1525" s="338"/>
      <c r="I1525" s="338"/>
      <c r="J1525" s="338"/>
      <c r="K1525" s="338"/>
      <c r="L1525" s="338"/>
      <c r="M1525" s="338"/>
      <c r="N1525" s="338"/>
      <c r="Q1525" s="338"/>
      <c r="R1525" s="338"/>
      <c r="S1525" s="338"/>
      <c r="T1525" s="338"/>
      <c r="U1525" s="338"/>
      <c r="X1525" s="338"/>
      <c r="Y1525" s="338"/>
      <c r="Z1525" s="338"/>
      <c r="AA1525" s="338"/>
      <c r="AB1525" s="338"/>
      <c r="AC1525" s="338"/>
      <c r="AD1525" s="338"/>
    </row>
    <row r="1526" spans="1:30">
      <c r="A1526" s="338"/>
      <c r="B1526" s="338"/>
      <c r="D1526" s="338"/>
      <c r="E1526" s="338"/>
      <c r="H1526" s="338"/>
      <c r="I1526" s="338"/>
      <c r="J1526" s="338"/>
      <c r="K1526" s="338"/>
      <c r="L1526" s="338"/>
      <c r="M1526" s="338"/>
      <c r="N1526" s="338"/>
      <c r="Q1526" s="338"/>
      <c r="R1526" s="338"/>
      <c r="S1526" s="338"/>
      <c r="T1526" s="338"/>
      <c r="U1526" s="338"/>
      <c r="X1526" s="338"/>
      <c r="Y1526" s="338"/>
      <c r="Z1526" s="338"/>
      <c r="AA1526" s="338"/>
      <c r="AB1526" s="338"/>
      <c r="AC1526" s="338"/>
      <c r="AD1526" s="338"/>
    </row>
    <row r="1527" spans="1:30">
      <c r="A1527" s="338"/>
      <c r="B1527" s="338"/>
      <c r="D1527" s="338"/>
      <c r="E1527" s="338"/>
      <c r="H1527" s="338"/>
      <c r="I1527" s="338"/>
      <c r="J1527" s="338"/>
      <c r="K1527" s="338"/>
      <c r="L1527" s="338"/>
      <c r="M1527" s="338"/>
      <c r="N1527" s="338"/>
      <c r="Q1527" s="338"/>
      <c r="R1527" s="338"/>
      <c r="S1527" s="338"/>
      <c r="T1527" s="338"/>
      <c r="U1527" s="338"/>
      <c r="X1527" s="338"/>
      <c r="Y1527" s="338"/>
      <c r="Z1527" s="338"/>
      <c r="AA1527" s="338"/>
      <c r="AB1527" s="338"/>
      <c r="AC1527" s="338"/>
      <c r="AD1527" s="338"/>
    </row>
    <row r="1528" spans="1:30">
      <c r="A1528" s="338"/>
      <c r="B1528" s="338"/>
      <c r="D1528" s="338"/>
      <c r="E1528" s="338"/>
      <c r="H1528" s="338"/>
      <c r="I1528" s="338"/>
      <c r="J1528" s="338"/>
      <c r="K1528" s="338"/>
      <c r="L1528" s="338"/>
      <c r="M1528" s="338"/>
      <c r="N1528" s="338"/>
      <c r="Q1528" s="338"/>
      <c r="R1528" s="338"/>
      <c r="S1528" s="338"/>
      <c r="T1528" s="338"/>
      <c r="U1528" s="338"/>
      <c r="X1528" s="338"/>
      <c r="Y1528" s="338"/>
      <c r="Z1528" s="338"/>
      <c r="AA1528" s="338"/>
      <c r="AB1528" s="338"/>
      <c r="AC1528" s="338"/>
      <c r="AD1528" s="338"/>
    </row>
    <row r="1529" spans="1:30">
      <c r="A1529" s="338"/>
      <c r="B1529" s="338"/>
      <c r="D1529" s="338"/>
      <c r="E1529" s="338"/>
      <c r="H1529" s="338"/>
      <c r="I1529" s="338"/>
      <c r="J1529" s="338"/>
      <c r="K1529" s="338"/>
      <c r="L1529" s="338"/>
      <c r="M1529" s="338"/>
      <c r="N1529" s="338"/>
      <c r="Q1529" s="338"/>
      <c r="R1529" s="338"/>
      <c r="S1529" s="338"/>
      <c r="T1529" s="338"/>
      <c r="U1529" s="338"/>
      <c r="X1529" s="338"/>
      <c r="Y1529" s="338"/>
      <c r="Z1529" s="338"/>
      <c r="AA1529" s="338"/>
      <c r="AB1529" s="338"/>
      <c r="AC1529" s="338"/>
      <c r="AD1529" s="338"/>
    </row>
    <row r="1530" spans="1:30">
      <c r="A1530" s="338"/>
      <c r="B1530" s="338"/>
      <c r="D1530" s="338"/>
      <c r="E1530" s="338"/>
      <c r="H1530" s="338"/>
      <c r="I1530" s="338"/>
      <c r="J1530" s="338"/>
      <c r="K1530" s="338"/>
      <c r="L1530" s="338"/>
      <c r="M1530" s="338"/>
      <c r="N1530" s="338"/>
      <c r="Q1530" s="338"/>
      <c r="R1530" s="338"/>
      <c r="S1530" s="338"/>
      <c r="T1530" s="338"/>
      <c r="U1530" s="338"/>
      <c r="X1530" s="338"/>
      <c r="Y1530" s="338"/>
      <c r="Z1530" s="338"/>
      <c r="AA1530" s="338"/>
      <c r="AB1530" s="338"/>
      <c r="AC1530" s="338"/>
      <c r="AD1530" s="338"/>
    </row>
    <row r="1531" spans="1:30">
      <c r="A1531" s="338"/>
      <c r="B1531" s="338"/>
      <c r="D1531" s="338"/>
      <c r="E1531" s="338"/>
      <c r="H1531" s="338"/>
      <c r="I1531" s="338"/>
      <c r="J1531" s="338"/>
      <c r="K1531" s="338"/>
      <c r="L1531" s="338"/>
      <c r="M1531" s="338"/>
      <c r="N1531" s="338"/>
      <c r="Q1531" s="338"/>
      <c r="R1531" s="338"/>
      <c r="S1531" s="338"/>
      <c r="T1531" s="338"/>
      <c r="U1531" s="338"/>
      <c r="X1531" s="338"/>
      <c r="Y1531" s="338"/>
      <c r="Z1531" s="338"/>
      <c r="AA1531" s="338"/>
      <c r="AB1531" s="338"/>
      <c r="AC1531" s="338"/>
      <c r="AD1531" s="338"/>
    </row>
    <row r="1532" spans="1:30">
      <c r="A1532" s="338"/>
      <c r="B1532" s="338"/>
      <c r="D1532" s="338"/>
      <c r="E1532" s="338"/>
      <c r="H1532" s="338"/>
      <c r="I1532" s="338"/>
      <c r="J1532" s="338"/>
      <c r="K1532" s="338"/>
      <c r="L1532" s="338"/>
      <c r="M1532" s="338"/>
      <c r="N1532" s="338"/>
      <c r="Q1532" s="338"/>
      <c r="R1532" s="338"/>
      <c r="S1532" s="338"/>
      <c r="T1532" s="338"/>
      <c r="U1532" s="338"/>
      <c r="X1532" s="338"/>
      <c r="Y1532" s="338"/>
      <c r="Z1532" s="338"/>
      <c r="AA1532" s="338"/>
      <c r="AB1532" s="338"/>
      <c r="AC1532" s="338"/>
      <c r="AD1532" s="338"/>
    </row>
    <row r="1533" spans="1:30">
      <c r="A1533" s="338"/>
      <c r="B1533" s="338"/>
      <c r="D1533" s="338"/>
      <c r="E1533" s="338"/>
      <c r="H1533" s="338"/>
      <c r="I1533" s="338"/>
      <c r="J1533" s="338"/>
      <c r="K1533" s="338"/>
      <c r="L1533" s="338"/>
      <c r="M1533" s="338"/>
      <c r="N1533" s="338"/>
      <c r="Q1533" s="338"/>
      <c r="R1533" s="338"/>
      <c r="S1533" s="338"/>
      <c r="T1533" s="338"/>
      <c r="U1533" s="338"/>
      <c r="X1533" s="338"/>
      <c r="Y1533" s="338"/>
      <c r="Z1533" s="338"/>
      <c r="AA1533" s="338"/>
      <c r="AB1533" s="338"/>
      <c r="AC1533" s="338"/>
      <c r="AD1533" s="338"/>
    </row>
    <row r="1534" spans="1:30">
      <c r="A1534" s="338"/>
      <c r="B1534" s="338"/>
      <c r="D1534" s="338"/>
      <c r="E1534" s="338"/>
      <c r="H1534" s="338"/>
      <c r="I1534" s="338"/>
      <c r="J1534" s="338"/>
      <c r="K1534" s="338"/>
      <c r="L1534" s="338"/>
      <c r="M1534" s="338"/>
      <c r="N1534" s="338"/>
      <c r="Q1534" s="338"/>
      <c r="R1534" s="338"/>
      <c r="S1534" s="338"/>
      <c r="T1534" s="338"/>
      <c r="U1534" s="338"/>
      <c r="X1534" s="338"/>
      <c r="Y1534" s="338"/>
      <c r="Z1534" s="338"/>
      <c r="AA1534" s="338"/>
      <c r="AB1534" s="338"/>
      <c r="AC1534" s="338"/>
      <c r="AD1534" s="338"/>
    </row>
    <row r="1535" spans="1:30">
      <c r="A1535" s="338"/>
      <c r="B1535" s="338"/>
      <c r="D1535" s="338"/>
      <c r="E1535" s="338"/>
      <c r="H1535" s="338"/>
      <c r="I1535" s="338"/>
      <c r="J1535" s="338"/>
      <c r="K1535" s="338"/>
      <c r="L1535" s="338"/>
      <c r="M1535" s="338"/>
      <c r="N1535" s="338"/>
      <c r="Q1535" s="338"/>
      <c r="R1535" s="338"/>
      <c r="S1535" s="338"/>
      <c r="T1535" s="338"/>
      <c r="U1535" s="338"/>
      <c r="X1535" s="338"/>
      <c r="Y1535" s="338"/>
      <c r="Z1535" s="338"/>
      <c r="AA1535" s="338"/>
      <c r="AB1535" s="338"/>
      <c r="AC1535" s="338"/>
      <c r="AD1535" s="338"/>
    </row>
    <row r="1536" spans="1:30">
      <c r="A1536" s="338"/>
      <c r="B1536" s="338"/>
      <c r="D1536" s="338"/>
      <c r="E1536" s="338"/>
      <c r="H1536" s="338"/>
      <c r="I1536" s="338"/>
      <c r="J1536" s="338"/>
      <c r="K1536" s="338"/>
      <c r="L1536" s="338"/>
      <c r="M1536" s="338"/>
      <c r="N1536" s="338"/>
      <c r="Q1536" s="338"/>
      <c r="R1536" s="338"/>
      <c r="S1536" s="338"/>
      <c r="T1536" s="338"/>
      <c r="U1536" s="338"/>
      <c r="X1536" s="338"/>
      <c r="Y1536" s="338"/>
      <c r="Z1536" s="338"/>
      <c r="AA1536" s="338"/>
      <c r="AB1536" s="338"/>
      <c r="AC1536" s="338"/>
      <c r="AD1536" s="338"/>
    </row>
    <row r="1537" spans="1:30">
      <c r="A1537" s="338"/>
      <c r="B1537" s="338"/>
      <c r="D1537" s="338"/>
      <c r="E1537" s="338"/>
      <c r="H1537" s="338"/>
      <c r="I1537" s="338"/>
      <c r="J1537" s="338"/>
      <c r="K1537" s="338"/>
      <c r="L1537" s="338"/>
      <c r="M1537" s="338"/>
      <c r="N1537" s="338"/>
      <c r="Q1537" s="338"/>
      <c r="R1537" s="338"/>
      <c r="S1537" s="338"/>
      <c r="T1537" s="338"/>
      <c r="U1537" s="338"/>
      <c r="X1537" s="338"/>
      <c r="Y1537" s="338"/>
      <c r="Z1537" s="338"/>
      <c r="AA1537" s="338"/>
      <c r="AB1537" s="338"/>
      <c r="AC1537" s="338"/>
      <c r="AD1537" s="338"/>
    </row>
    <row r="1538" spans="1:30">
      <c r="A1538" s="338"/>
      <c r="B1538" s="338"/>
      <c r="D1538" s="338"/>
      <c r="E1538" s="338"/>
      <c r="H1538" s="338"/>
      <c r="I1538" s="338"/>
      <c r="J1538" s="338"/>
      <c r="K1538" s="338"/>
      <c r="L1538" s="338"/>
      <c r="M1538" s="338"/>
      <c r="N1538" s="338"/>
      <c r="Q1538" s="338"/>
      <c r="R1538" s="338"/>
      <c r="S1538" s="338"/>
      <c r="T1538" s="338"/>
      <c r="U1538" s="338"/>
      <c r="X1538" s="338"/>
      <c r="Y1538" s="338"/>
      <c r="Z1538" s="338"/>
      <c r="AA1538" s="338"/>
      <c r="AB1538" s="338"/>
      <c r="AC1538" s="338"/>
      <c r="AD1538" s="338"/>
    </row>
    <row r="1539" spans="1:30">
      <c r="A1539" s="338"/>
      <c r="B1539" s="338"/>
      <c r="D1539" s="338"/>
      <c r="E1539" s="338"/>
      <c r="H1539" s="338"/>
      <c r="I1539" s="338"/>
      <c r="J1539" s="338"/>
      <c r="K1539" s="338"/>
      <c r="L1539" s="338"/>
      <c r="M1539" s="338"/>
      <c r="N1539" s="338"/>
      <c r="Q1539" s="338"/>
      <c r="R1539" s="338"/>
      <c r="S1539" s="338"/>
      <c r="T1539" s="338"/>
      <c r="U1539" s="338"/>
      <c r="X1539" s="338"/>
      <c r="Y1539" s="338"/>
      <c r="Z1539" s="338"/>
      <c r="AA1539" s="338"/>
      <c r="AB1539" s="338"/>
      <c r="AC1539" s="338"/>
      <c r="AD1539" s="338"/>
    </row>
    <row r="1540" spans="1:30">
      <c r="A1540" s="338"/>
      <c r="B1540" s="338"/>
      <c r="D1540" s="338"/>
      <c r="E1540" s="338"/>
      <c r="H1540" s="338"/>
      <c r="I1540" s="338"/>
      <c r="J1540" s="338"/>
      <c r="K1540" s="338"/>
      <c r="L1540" s="338"/>
      <c r="M1540" s="338"/>
      <c r="N1540" s="338"/>
      <c r="Q1540" s="338"/>
      <c r="R1540" s="338"/>
      <c r="S1540" s="338"/>
      <c r="T1540" s="338"/>
      <c r="U1540" s="338"/>
      <c r="X1540" s="338"/>
      <c r="Y1540" s="338"/>
      <c r="Z1540" s="338"/>
      <c r="AA1540" s="338"/>
      <c r="AB1540" s="338"/>
      <c r="AC1540" s="338"/>
      <c r="AD1540" s="338"/>
    </row>
    <row r="1541" spans="1:30">
      <c r="A1541" s="338"/>
      <c r="B1541" s="338"/>
      <c r="D1541" s="338"/>
      <c r="E1541" s="338"/>
      <c r="H1541" s="338"/>
      <c r="I1541" s="338"/>
      <c r="J1541" s="338"/>
      <c r="K1541" s="338"/>
      <c r="L1541" s="338"/>
      <c r="M1541" s="338"/>
      <c r="N1541" s="338"/>
      <c r="Q1541" s="338"/>
      <c r="R1541" s="338"/>
      <c r="S1541" s="338"/>
      <c r="T1541" s="338"/>
      <c r="U1541" s="338"/>
      <c r="X1541" s="338"/>
      <c r="Y1541" s="338"/>
      <c r="Z1541" s="338"/>
      <c r="AA1541" s="338"/>
      <c r="AB1541" s="338"/>
      <c r="AC1541" s="338"/>
      <c r="AD1541" s="338"/>
    </row>
    <row r="1542" spans="1:30">
      <c r="A1542" s="338"/>
      <c r="B1542" s="338"/>
      <c r="D1542" s="338"/>
      <c r="E1542" s="338"/>
      <c r="H1542" s="338"/>
      <c r="I1542" s="338"/>
      <c r="J1542" s="338"/>
      <c r="K1542" s="338"/>
      <c r="L1542" s="338"/>
      <c r="M1542" s="338"/>
      <c r="N1542" s="338"/>
      <c r="Q1542" s="338"/>
      <c r="R1542" s="338"/>
      <c r="S1542" s="338"/>
      <c r="T1542" s="338"/>
      <c r="U1542" s="338"/>
      <c r="X1542" s="338"/>
      <c r="Y1542" s="338"/>
      <c r="Z1542" s="338"/>
      <c r="AA1542" s="338"/>
      <c r="AB1542" s="338"/>
      <c r="AC1542" s="338"/>
      <c r="AD1542" s="338"/>
    </row>
    <row r="1543" spans="1:30">
      <c r="A1543" s="338"/>
      <c r="B1543" s="338"/>
      <c r="D1543" s="338"/>
      <c r="E1543" s="338"/>
      <c r="H1543" s="338"/>
      <c r="I1543" s="338"/>
      <c r="J1543" s="338"/>
      <c r="K1543" s="338"/>
      <c r="L1543" s="338"/>
      <c r="M1543" s="338"/>
      <c r="N1543" s="338"/>
      <c r="Q1543" s="338"/>
      <c r="R1543" s="338"/>
      <c r="S1543" s="338"/>
      <c r="T1543" s="338"/>
      <c r="U1543" s="338"/>
      <c r="X1543" s="338"/>
      <c r="Y1543" s="338"/>
      <c r="Z1543" s="338"/>
      <c r="AA1543" s="338"/>
      <c r="AB1543" s="338"/>
      <c r="AC1543" s="338"/>
      <c r="AD1543" s="338"/>
    </row>
    <row r="1544" spans="1:30">
      <c r="A1544" s="338"/>
      <c r="B1544" s="338"/>
      <c r="D1544" s="338"/>
      <c r="E1544" s="338"/>
      <c r="H1544" s="338"/>
      <c r="I1544" s="338"/>
      <c r="J1544" s="338"/>
      <c r="K1544" s="338"/>
      <c r="L1544" s="338"/>
      <c r="M1544" s="338"/>
      <c r="N1544" s="338"/>
      <c r="Q1544" s="338"/>
      <c r="R1544" s="338"/>
      <c r="S1544" s="338"/>
      <c r="T1544" s="338"/>
      <c r="U1544" s="338"/>
      <c r="X1544" s="338"/>
      <c r="Y1544" s="338"/>
      <c r="Z1544" s="338"/>
      <c r="AA1544" s="338"/>
      <c r="AB1544" s="338"/>
      <c r="AC1544" s="338"/>
      <c r="AD1544" s="338"/>
    </row>
    <row r="1545" spans="1:30">
      <c r="A1545" s="338"/>
      <c r="B1545" s="338"/>
      <c r="D1545" s="338"/>
      <c r="E1545" s="338"/>
      <c r="H1545" s="338"/>
      <c r="I1545" s="338"/>
      <c r="J1545" s="338"/>
      <c r="K1545" s="338"/>
      <c r="L1545" s="338"/>
      <c r="M1545" s="338"/>
      <c r="N1545" s="338"/>
      <c r="Q1545" s="338"/>
      <c r="R1545" s="338"/>
      <c r="S1545" s="338"/>
      <c r="T1545" s="338"/>
      <c r="U1545" s="338"/>
      <c r="X1545" s="338"/>
      <c r="Y1545" s="338"/>
      <c r="Z1545" s="338"/>
      <c r="AA1545" s="338"/>
      <c r="AB1545" s="338"/>
      <c r="AC1545" s="338"/>
      <c r="AD1545" s="338"/>
    </row>
    <row r="1546" spans="1:30">
      <c r="A1546" s="338"/>
      <c r="B1546" s="338"/>
      <c r="D1546" s="338"/>
      <c r="E1546" s="338"/>
      <c r="H1546" s="338"/>
      <c r="I1546" s="338"/>
      <c r="J1546" s="338"/>
      <c r="K1546" s="338"/>
      <c r="L1546" s="338"/>
      <c r="M1546" s="338"/>
      <c r="N1546" s="338"/>
      <c r="Q1546" s="338"/>
      <c r="R1546" s="338"/>
      <c r="S1546" s="338"/>
      <c r="T1546" s="338"/>
      <c r="U1546" s="338"/>
      <c r="X1546" s="338"/>
      <c r="Y1546" s="338"/>
      <c r="Z1546" s="338"/>
      <c r="AA1546" s="338"/>
      <c r="AB1546" s="338"/>
      <c r="AC1546" s="338"/>
      <c r="AD1546" s="338"/>
    </row>
    <row r="1547" spans="1:30">
      <c r="A1547" s="338"/>
      <c r="B1547" s="338"/>
      <c r="D1547" s="338"/>
      <c r="E1547" s="338"/>
      <c r="H1547" s="338"/>
      <c r="I1547" s="338"/>
      <c r="J1547" s="338"/>
      <c r="K1547" s="338"/>
      <c r="L1547" s="338"/>
      <c r="M1547" s="338"/>
      <c r="N1547" s="338"/>
      <c r="Q1547" s="338"/>
      <c r="R1547" s="338"/>
      <c r="S1547" s="338"/>
      <c r="T1547" s="338"/>
      <c r="U1547" s="338"/>
      <c r="X1547" s="338"/>
      <c r="Y1547" s="338"/>
      <c r="Z1547" s="338"/>
      <c r="AA1547" s="338"/>
      <c r="AB1547" s="338"/>
      <c r="AC1547" s="338"/>
      <c r="AD1547" s="338"/>
    </row>
    <row r="1548" spans="1:30">
      <c r="A1548" s="338"/>
      <c r="B1548" s="338"/>
      <c r="D1548" s="338"/>
      <c r="E1548" s="338"/>
      <c r="H1548" s="338"/>
      <c r="I1548" s="338"/>
      <c r="J1548" s="338"/>
      <c r="K1548" s="338"/>
      <c r="L1548" s="338"/>
      <c r="M1548" s="338"/>
      <c r="N1548" s="338"/>
      <c r="Q1548" s="338"/>
      <c r="R1548" s="338"/>
      <c r="S1548" s="338"/>
      <c r="T1548" s="338"/>
      <c r="U1548" s="338"/>
      <c r="X1548" s="338"/>
      <c r="Y1548" s="338"/>
      <c r="Z1548" s="338"/>
      <c r="AA1548" s="338"/>
      <c r="AB1548" s="338"/>
      <c r="AC1548" s="338"/>
      <c r="AD1548" s="338"/>
    </row>
    <row r="1549" spans="1:30">
      <c r="A1549" s="338"/>
      <c r="B1549" s="338"/>
      <c r="D1549" s="338"/>
      <c r="E1549" s="338"/>
      <c r="H1549" s="338"/>
      <c r="I1549" s="338"/>
      <c r="J1549" s="338"/>
      <c r="K1549" s="338"/>
      <c r="L1549" s="338"/>
      <c r="M1549" s="338"/>
      <c r="N1549" s="338"/>
      <c r="Q1549" s="338"/>
      <c r="R1549" s="338"/>
      <c r="S1549" s="338"/>
      <c r="T1549" s="338"/>
      <c r="U1549" s="338"/>
      <c r="X1549" s="338"/>
      <c r="Y1549" s="338"/>
      <c r="Z1549" s="338"/>
      <c r="AA1549" s="338"/>
      <c r="AB1549" s="338"/>
      <c r="AC1549" s="338"/>
      <c r="AD1549" s="338"/>
    </row>
    <row r="1550" spans="1:30">
      <c r="A1550" s="338"/>
      <c r="B1550" s="338"/>
      <c r="D1550" s="338"/>
      <c r="E1550" s="338"/>
      <c r="H1550" s="338"/>
      <c r="I1550" s="338"/>
      <c r="J1550" s="338"/>
      <c r="K1550" s="338"/>
      <c r="L1550" s="338"/>
      <c r="M1550" s="338"/>
      <c r="N1550" s="338"/>
      <c r="Q1550" s="338"/>
      <c r="R1550" s="338"/>
      <c r="S1550" s="338"/>
      <c r="T1550" s="338"/>
      <c r="U1550" s="338"/>
      <c r="X1550" s="338"/>
      <c r="Y1550" s="338"/>
      <c r="Z1550" s="338"/>
      <c r="AA1550" s="338"/>
      <c r="AB1550" s="338"/>
      <c r="AC1550" s="338"/>
      <c r="AD1550" s="338"/>
    </row>
    <row r="1551" spans="1:30">
      <c r="A1551" s="338"/>
      <c r="B1551" s="338"/>
      <c r="D1551" s="338"/>
      <c r="E1551" s="338"/>
      <c r="H1551" s="338"/>
      <c r="I1551" s="338"/>
      <c r="J1551" s="338"/>
      <c r="K1551" s="338"/>
      <c r="L1551" s="338"/>
      <c r="M1551" s="338"/>
      <c r="N1551" s="338"/>
      <c r="Q1551" s="338"/>
      <c r="R1551" s="338"/>
      <c r="S1551" s="338"/>
      <c r="T1551" s="338"/>
      <c r="U1551" s="338"/>
      <c r="X1551" s="338"/>
      <c r="Y1551" s="338"/>
      <c r="Z1551" s="338"/>
      <c r="AA1551" s="338"/>
      <c r="AB1551" s="338"/>
      <c r="AC1551" s="338"/>
      <c r="AD1551" s="338"/>
    </row>
    <row r="1552" spans="1:30">
      <c r="A1552" s="338"/>
      <c r="B1552" s="338"/>
      <c r="D1552" s="338"/>
      <c r="E1552" s="338"/>
      <c r="H1552" s="338"/>
      <c r="I1552" s="338"/>
      <c r="J1552" s="338"/>
      <c r="K1552" s="338"/>
      <c r="L1552" s="338"/>
      <c r="M1552" s="338"/>
      <c r="N1552" s="338"/>
      <c r="Q1552" s="338"/>
      <c r="R1552" s="338"/>
      <c r="S1552" s="338"/>
      <c r="T1552" s="338"/>
      <c r="U1552" s="338"/>
      <c r="X1552" s="338"/>
      <c r="Y1552" s="338"/>
      <c r="Z1552" s="338"/>
      <c r="AA1552" s="338"/>
      <c r="AB1552" s="338"/>
      <c r="AC1552" s="338"/>
      <c r="AD1552" s="338"/>
    </row>
    <row r="1553" spans="1:30">
      <c r="A1553" s="338"/>
      <c r="B1553" s="338"/>
      <c r="D1553" s="338"/>
      <c r="E1553" s="338"/>
      <c r="H1553" s="338"/>
      <c r="I1553" s="338"/>
      <c r="J1553" s="338"/>
      <c r="K1553" s="338"/>
      <c r="L1553" s="338"/>
      <c r="M1553" s="338"/>
      <c r="N1553" s="338"/>
      <c r="Q1553" s="338"/>
      <c r="R1553" s="338"/>
      <c r="S1553" s="338"/>
      <c r="T1553" s="338"/>
      <c r="U1553" s="338"/>
      <c r="X1553" s="338"/>
      <c r="Y1553" s="338"/>
      <c r="Z1553" s="338"/>
      <c r="AA1553" s="338"/>
      <c r="AB1553" s="338"/>
      <c r="AC1553" s="338"/>
      <c r="AD1553" s="338"/>
    </row>
    <row r="1554" spans="1:30">
      <c r="A1554" s="338"/>
      <c r="B1554" s="338"/>
      <c r="D1554" s="338"/>
      <c r="E1554" s="338"/>
      <c r="H1554" s="338"/>
      <c r="I1554" s="338"/>
      <c r="J1554" s="338"/>
      <c r="K1554" s="338"/>
      <c r="L1554" s="338"/>
      <c r="M1554" s="338"/>
      <c r="N1554" s="338"/>
      <c r="Q1554" s="338"/>
      <c r="R1554" s="338"/>
      <c r="S1554" s="338"/>
      <c r="T1554" s="338"/>
      <c r="U1554" s="338"/>
      <c r="X1554" s="338"/>
      <c r="Y1554" s="338"/>
      <c r="Z1554" s="338"/>
      <c r="AA1554" s="338"/>
      <c r="AB1554" s="338"/>
      <c r="AC1554" s="338"/>
      <c r="AD1554" s="338"/>
    </row>
    <row r="1555" spans="1:30">
      <c r="A1555" s="338"/>
      <c r="B1555" s="338"/>
      <c r="D1555" s="338"/>
      <c r="E1555" s="338"/>
      <c r="H1555" s="338"/>
      <c r="I1555" s="338"/>
      <c r="J1555" s="338"/>
      <c r="K1555" s="338"/>
      <c r="L1555" s="338"/>
      <c r="M1555" s="338"/>
      <c r="N1555" s="338"/>
      <c r="Q1555" s="338"/>
      <c r="R1555" s="338"/>
      <c r="S1555" s="338"/>
      <c r="T1555" s="338"/>
      <c r="U1555" s="338"/>
      <c r="X1555" s="338"/>
      <c r="Y1555" s="338"/>
      <c r="Z1555" s="338"/>
      <c r="AA1555" s="338"/>
      <c r="AB1555" s="338"/>
      <c r="AC1555" s="338"/>
      <c r="AD1555" s="338"/>
    </row>
    <row r="1556" spans="1:30">
      <c r="A1556" s="338"/>
      <c r="B1556" s="338"/>
      <c r="D1556" s="338"/>
      <c r="E1556" s="338"/>
      <c r="H1556" s="338"/>
      <c r="I1556" s="338"/>
      <c r="J1556" s="338"/>
      <c r="K1556" s="338"/>
      <c r="L1556" s="338"/>
      <c r="M1556" s="338"/>
      <c r="N1556" s="338"/>
      <c r="Q1556" s="338"/>
      <c r="R1556" s="338"/>
      <c r="S1556" s="338"/>
      <c r="T1556" s="338"/>
      <c r="U1556" s="338"/>
      <c r="X1556" s="338"/>
      <c r="Y1556" s="338"/>
      <c r="Z1556" s="338"/>
      <c r="AA1556" s="338"/>
      <c r="AB1556" s="338"/>
      <c r="AC1556" s="338"/>
      <c r="AD1556" s="338"/>
    </row>
    <row r="1557" spans="1:30">
      <c r="A1557" s="338"/>
      <c r="B1557" s="338"/>
      <c r="D1557" s="338"/>
      <c r="E1557" s="338"/>
      <c r="H1557" s="338"/>
      <c r="I1557" s="338"/>
      <c r="J1557" s="338"/>
      <c r="K1557" s="338"/>
      <c r="L1557" s="338"/>
      <c r="M1557" s="338"/>
      <c r="N1557" s="338"/>
      <c r="Q1557" s="338"/>
      <c r="R1557" s="338"/>
      <c r="S1557" s="338"/>
      <c r="T1557" s="338"/>
      <c r="U1557" s="338"/>
      <c r="X1557" s="338"/>
      <c r="Y1557" s="338"/>
      <c r="Z1557" s="338"/>
      <c r="AA1557" s="338"/>
      <c r="AB1557" s="338"/>
      <c r="AC1557" s="338"/>
      <c r="AD1557" s="338"/>
    </row>
    <row r="1558" spans="1:30">
      <c r="A1558" s="338"/>
      <c r="B1558" s="338"/>
      <c r="D1558" s="338"/>
      <c r="E1558" s="338"/>
      <c r="H1558" s="338"/>
      <c r="I1558" s="338"/>
      <c r="J1558" s="338"/>
      <c r="K1558" s="338"/>
      <c r="L1558" s="338"/>
      <c r="M1558" s="338"/>
      <c r="N1558" s="338"/>
      <c r="Q1558" s="338"/>
      <c r="R1558" s="338"/>
      <c r="S1558" s="338"/>
      <c r="T1558" s="338"/>
      <c r="U1558" s="338"/>
      <c r="X1558" s="338"/>
      <c r="Y1558" s="338"/>
      <c r="Z1558" s="338"/>
      <c r="AA1558" s="338"/>
      <c r="AB1558" s="338"/>
      <c r="AC1558" s="338"/>
      <c r="AD1558" s="338"/>
    </row>
    <row r="1559" spans="1:30">
      <c r="A1559" s="338"/>
      <c r="B1559" s="338"/>
      <c r="D1559" s="338"/>
      <c r="E1559" s="338"/>
      <c r="H1559" s="338"/>
      <c r="I1559" s="338"/>
      <c r="J1559" s="338"/>
      <c r="K1559" s="338"/>
      <c r="L1559" s="338"/>
      <c r="M1559" s="338"/>
      <c r="N1559" s="338"/>
      <c r="Q1559" s="338"/>
      <c r="R1559" s="338"/>
      <c r="S1559" s="338"/>
      <c r="T1559" s="338"/>
      <c r="U1559" s="338"/>
      <c r="X1559" s="338"/>
      <c r="Y1559" s="338"/>
      <c r="Z1559" s="338"/>
      <c r="AA1559" s="338"/>
      <c r="AB1559" s="338"/>
      <c r="AC1559" s="338"/>
      <c r="AD1559" s="338"/>
    </row>
    <row r="1560" spans="1:30">
      <c r="A1560" s="338"/>
      <c r="B1560" s="338"/>
      <c r="D1560" s="338"/>
      <c r="E1560" s="338"/>
      <c r="H1560" s="338"/>
      <c r="I1560" s="338"/>
      <c r="J1560" s="338"/>
      <c r="K1560" s="338"/>
      <c r="L1560" s="338"/>
      <c r="M1560" s="338"/>
      <c r="N1560" s="338"/>
      <c r="Q1560" s="338"/>
      <c r="R1560" s="338"/>
      <c r="S1560" s="338"/>
      <c r="T1560" s="338"/>
      <c r="U1560" s="338"/>
      <c r="X1560" s="338"/>
      <c r="Y1560" s="338"/>
      <c r="Z1560" s="338"/>
      <c r="AA1560" s="338"/>
      <c r="AB1560" s="338"/>
      <c r="AC1560" s="338"/>
      <c r="AD1560" s="338"/>
    </row>
    <row r="1561" spans="1:30">
      <c r="A1561" s="338"/>
      <c r="B1561" s="338"/>
      <c r="D1561" s="338"/>
      <c r="E1561" s="338"/>
      <c r="H1561" s="338"/>
      <c r="I1561" s="338"/>
      <c r="J1561" s="338"/>
      <c r="K1561" s="338"/>
      <c r="L1561" s="338"/>
      <c r="M1561" s="338"/>
      <c r="N1561" s="338"/>
      <c r="Q1561" s="338"/>
      <c r="R1561" s="338"/>
      <c r="S1561" s="338"/>
      <c r="T1561" s="338"/>
      <c r="U1561" s="338"/>
      <c r="X1561" s="338"/>
      <c r="Y1561" s="338"/>
      <c r="Z1561" s="338"/>
      <c r="AA1561" s="338"/>
      <c r="AB1561" s="338"/>
      <c r="AC1561" s="338"/>
      <c r="AD1561" s="338"/>
    </row>
    <row r="1562" spans="1:30">
      <c r="A1562" s="338"/>
      <c r="B1562" s="338"/>
      <c r="D1562" s="338"/>
      <c r="E1562" s="338"/>
      <c r="H1562" s="338"/>
      <c r="I1562" s="338"/>
      <c r="J1562" s="338"/>
      <c r="K1562" s="338"/>
      <c r="L1562" s="338"/>
      <c r="M1562" s="338"/>
      <c r="N1562" s="338"/>
      <c r="Q1562" s="338"/>
      <c r="R1562" s="338"/>
      <c r="S1562" s="338"/>
      <c r="T1562" s="338"/>
      <c r="U1562" s="338"/>
      <c r="X1562" s="338"/>
      <c r="Y1562" s="338"/>
      <c r="Z1562" s="338"/>
      <c r="AA1562" s="338"/>
      <c r="AB1562" s="338"/>
      <c r="AC1562" s="338"/>
      <c r="AD1562" s="338"/>
    </row>
    <row r="1563" spans="1:30">
      <c r="A1563" s="338"/>
      <c r="B1563" s="338"/>
      <c r="D1563" s="338"/>
      <c r="E1563" s="338"/>
      <c r="H1563" s="338"/>
      <c r="I1563" s="338"/>
      <c r="J1563" s="338"/>
      <c r="K1563" s="338"/>
      <c r="L1563" s="338"/>
      <c r="M1563" s="338"/>
      <c r="N1563" s="338"/>
      <c r="Q1563" s="338"/>
      <c r="R1563" s="338"/>
      <c r="S1563" s="338"/>
      <c r="T1563" s="338"/>
      <c r="U1563" s="338"/>
      <c r="X1563" s="338"/>
      <c r="Y1563" s="338"/>
      <c r="Z1563" s="338"/>
      <c r="AA1563" s="338"/>
      <c r="AB1563" s="338"/>
      <c r="AC1563" s="338"/>
      <c r="AD1563" s="338"/>
    </row>
    <row r="1564" spans="1:30">
      <c r="A1564" s="338"/>
      <c r="B1564" s="338"/>
      <c r="D1564" s="338"/>
      <c r="E1564" s="338"/>
      <c r="H1564" s="338"/>
      <c r="I1564" s="338"/>
      <c r="J1564" s="338"/>
      <c r="K1564" s="338"/>
      <c r="L1564" s="338"/>
      <c r="M1564" s="338"/>
      <c r="N1564" s="338"/>
      <c r="Q1564" s="338"/>
      <c r="R1564" s="338"/>
      <c r="S1564" s="338"/>
      <c r="T1564" s="338"/>
      <c r="U1564" s="338"/>
      <c r="X1564" s="338"/>
      <c r="Y1564" s="338"/>
      <c r="Z1564" s="338"/>
      <c r="AA1564" s="338"/>
      <c r="AB1564" s="338"/>
      <c r="AC1564" s="338"/>
      <c r="AD1564" s="338"/>
    </row>
    <row r="1565" spans="1:30">
      <c r="A1565" s="338"/>
      <c r="B1565" s="338"/>
      <c r="D1565" s="338"/>
      <c r="E1565" s="338"/>
      <c r="H1565" s="338"/>
      <c r="I1565" s="338"/>
      <c r="J1565" s="338"/>
      <c r="K1565" s="338"/>
      <c r="L1565" s="338"/>
      <c r="M1565" s="338"/>
      <c r="N1565" s="338"/>
      <c r="Q1565" s="338"/>
      <c r="R1565" s="338"/>
      <c r="S1565" s="338"/>
      <c r="T1565" s="338"/>
      <c r="U1565" s="338"/>
      <c r="X1565" s="338"/>
      <c r="Y1565" s="338"/>
      <c r="Z1565" s="338"/>
      <c r="AA1565" s="338"/>
      <c r="AB1565" s="338"/>
      <c r="AC1565" s="338"/>
      <c r="AD1565" s="338"/>
    </row>
    <row r="1566" spans="1:30">
      <c r="A1566" s="338"/>
      <c r="B1566" s="338"/>
      <c r="D1566" s="338"/>
      <c r="E1566" s="338"/>
      <c r="H1566" s="338"/>
      <c r="I1566" s="338"/>
      <c r="J1566" s="338"/>
      <c r="K1566" s="338"/>
      <c r="L1566" s="338"/>
      <c r="M1566" s="338"/>
      <c r="N1566" s="338"/>
      <c r="Q1566" s="338"/>
      <c r="R1566" s="338"/>
      <c r="S1566" s="338"/>
      <c r="T1566" s="338"/>
      <c r="U1566" s="338"/>
      <c r="X1566" s="338"/>
      <c r="Y1566" s="338"/>
      <c r="Z1566" s="338"/>
      <c r="AA1566" s="338"/>
      <c r="AB1566" s="338"/>
      <c r="AC1566" s="338"/>
      <c r="AD1566" s="338"/>
    </row>
    <row r="1567" spans="1:30">
      <c r="A1567" s="338"/>
      <c r="B1567" s="338"/>
      <c r="D1567" s="338"/>
      <c r="E1567" s="338"/>
      <c r="H1567" s="338"/>
      <c r="I1567" s="338"/>
      <c r="J1567" s="338"/>
      <c r="K1567" s="338"/>
      <c r="L1567" s="338"/>
      <c r="M1567" s="338"/>
      <c r="N1567" s="338"/>
      <c r="Q1567" s="338"/>
      <c r="R1567" s="338"/>
      <c r="S1567" s="338"/>
      <c r="T1567" s="338"/>
      <c r="U1567" s="338"/>
      <c r="X1567" s="338"/>
      <c r="Y1567" s="338"/>
      <c r="Z1567" s="338"/>
      <c r="AA1567" s="338"/>
      <c r="AB1567" s="338"/>
      <c r="AC1567" s="338"/>
      <c r="AD1567" s="338"/>
    </row>
    <row r="1568" spans="1:30">
      <c r="A1568" s="338"/>
      <c r="B1568" s="338"/>
      <c r="D1568" s="338"/>
      <c r="E1568" s="338"/>
      <c r="H1568" s="338"/>
      <c r="I1568" s="338"/>
      <c r="J1568" s="338"/>
      <c r="K1568" s="338"/>
      <c r="L1568" s="338"/>
      <c r="M1568" s="338"/>
      <c r="N1568" s="338"/>
      <c r="Q1568" s="338"/>
      <c r="R1568" s="338"/>
      <c r="S1568" s="338"/>
      <c r="T1568" s="338"/>
      <c r="U1568" s="338"/>
      <c r="X1568" s="338"/>
      <c r="Y1568" s="338"/>
      <c r="Z1568" s="338"/>
      <c r="AA1568" s="338"/>
      <c r="AB1568" s="338"/>
      <c r="AC1568" s="338"/>
      <c r="AD1568" s="338"/>
    </row>
    <row r="1569" spans="1:30">
      <c r="A1569" s="338"/>
      <c r="B1569" s="338"/>
      <c r="D1569" s="338"/>
      <c r="E1569" s="338"/>
      <c r="H1569" s="338"/>
      <c r="I1569" s="338"/>
      <c r="J1569" s="338"/>
      <c r="K1569" s="338"/>
      <c r="L1569" s="338"/>
      <c r="M1569" s="338"/>
      <c r="N1569" s="338"/>
      <c r="Q1569" s="338"/>
      <c r="R1569" s="338"/>
      <c r="S1569" s="338"/>
      <c r="T1569" s="338"/>
      <c r="U1569" s="338"/>
      <c r="X1569" s="338"/>
      <c r="Y1569" s="338"/>
      <c r="Z1569" s="338"/>
      <c r="AA1569" s="338"/>
      <c r="AB1569" s="338"/>
      <c r="AC1569" s="338"/>
      <c r="AD1569" s="338"/>
    </row>
    <row r="1570" spans="1:30">
      <c r="A1570" s="338"/>
      <c r="B1570" s="338"/>
      <c r="D1570" s="338"/>
      <c r="E1570" s="338"/>
      <c r="H1570" s="338"/>
      <c r="I1570" s="338"/>
      <c r="J1570" s="338"/>
      <c r="K1570" s="338"/>
      <c r="L1570" s="338"/>
      <c r="M1570" s="338"/>
      <c r="N1570" s="338"/>
      <c r="Q1570" s="338"/>
      <c r="R1570" s="338"/>
      <c r="S1570" s="338"/>
      <c r="T1570" s="338"/>
      <c r="U1570" s="338"/>
      <c r="X1570" s="338"/>
      <c r="Y1570" s="338"/>
      <c r="Z1570" s="338"/>
      <c r="AA1570" s="338"/>
      <c r="AB1570" s="338"/>
      <c r="AC1570" s="338"/>
      <c r="AD1570" s="338"/>
    </row>
    <row r="1571" spans="1:30">
      <c r="A1571" s="338"/>
      <c r="B1571" s="338"/>
      <c r="D1571" s="338"/>
      <c r="E1571" s="338"/>
      <c r="H1571" s="338"/>
      <c r="I1571" s="338"/>
      <c r="J1571" s="338"/>
      <c r="K1571" s="338"/>
      <c r="L1571" s="338"/>
      <c r="M1571" s="338"/>
      <c r="N1571" s="338"/>
      <c r="Q1571" s="338"/>
      <c r="R1571" s="338"/>
      <c r="S1571" s="338"/>
      <c r="T1571" s="338"/>
      <c r="U1571" s="338"/>
      <c r="X1571" s="338"/>
      <c r="Y1571" s="338"/>
      <c r="Z1571" s="338"/>
      <c r="AA1571" s="338"/>
      <c r="AB1571" s="338"/>
      <c r="AC1571" s="338"/>
      <c r="AD1571" s="338"/>
    </row>
    <row r="1572" spans="1:30">
      <c r="A1572" s="338"/>
      <c r="B1572" s="338"/>
      <c r="D1572" s="338"/>
      <c r="E1572" s="338"/>
      <c r="H1572" s="338"/>
      <c r="I1572" s="338"/>
      <c r="J1572" s="338"/>
      <c r="K1572" s="338"/>
      <c r="L1572" s="338"/>
      <c r="M1572" s="338"/>
      <c r="N1572" s="338"/>
      <c r="Q1572" s="338"/>
      <c r="R1572" s="338"/>
      <c r="S1572" s="338"/>
      <c r="T1572" s="338"/>
      <c r="U1572" s="338"/>
      <c r="X1572" s="338"/>
      <c r="Y1572" s="338"/>
      <c r="Z1572" s="338"/>
      <c r="AA1572" s="338"/>
      <c r="AB1572" s="338"/>
      <c r="AC1572" s="338"/>
      <c r="AD1572" s="338"/>
    </row>
    <row r="1573" spans="1:30">
      <c r="A1573" s="338"/>
      <c r="B1573" s="338"/>
      <c r="D1573" s="338"/>
      <c r="E1573" s="338"/>
      <c r="H1573" s="338"/>
      <c r="I1573" s="338"/>
      <c r="J1573" s="338"/>
      <c r="K1573" s="338"/>
      <c r="L1573" s="338"/>
      <c r="M1573" s="338"/>
      <c r="N1573" s="338"/>
      <c r="Q1573" s="338"/>
      <c r="R1573" s="338"/>
      <c r="S1573" s="338"/>
      <c r="T1573" s="338"/>
      <c r="U1573" s="338"/>
      <c r="X1573" s="338"/>
      <c r="Y1573" s="338"/>
      <c r="Z1573" s="338"/>
      <c r="AA1573" s="338"/>
      <c r="AB1573" s="338"/>
      <c r="AC1573" s="338"/>
      <c r="AD1573" s="338"/>
    </row>
    <row r="1574" spans="1:30">
      <c r="A1574" s="338"/>
      <c r="B1574" s="338"/>
      <c r="D1574" s="338"/>
      <c r="E1574" s="338"/>
      <c r="H1574" s="338"/>
      <c r="I1574" s="338"/>
      <c r="J1574" s="338"/>
      <c r="K1574" s="338"/>
      <c r="L1574" s="338"/>
      <c r="M1574" s="338"/>
      <c r="N1574" s="338"/>
      <c r="Q1574" s="338"/>
      <c r="R1574" s="338"/>
      <c r="S1574" s="338"/>
      <c r="T1574" s="338"/>
      <c r="U1574" s="338"/>
      <c r="X1574" s="338"/>
      <c r="Y1574" s="338"/>
      <c r="Z1574" s="338"/>
      <c r="AA1574" s="338"/>
      <c r="AB1574" s="338"/>
      <c r="AC1574" s="338"/>
      <c r="AD1574" s="338"/>
    </row>
    <row r="1575" spans="1:30">
      <c r="A1575" s="338"/>
      <c r="B1575" s="338"/>
      <c r="D1575" s="338"/>
      <c r="E1575" s="338"/>
      <c r="H1575" s="338"/>
      <c r="I1575" s="338"/>
      <c r="J1575" s="338"/>
      <c r="K1575" s="338"/>
      <c r="L1575" s="338"/>
      <c r="M1575" s="338"/>
      <c r="N1575" s="338"/>
      <c r="Q1575" s="338"/>
      <c r="R1575" s="338"/>
      <c r="S1575" s="338"/>
      <c r="T1575" s="338"/>
      <c r="U1575" s="338"/>
      <c r="X1575" s="338"/>
      <c r="Y1575" s="338"/>
      <c r="Z1575" s="338"/>
      <c r="AA1575" s="338"/>
      <c r="AB1575" s="338"/>
      <c r="AC1575" s="338"/>
      <c r="AD1575" s="338"/>
    </row>
    <row r="1576" spans="1:30">
      <c r="A1576" s="338"/>
      <c r="B1576" s="338"/>
      <c r="D1576" s="338"/>
      <c r="E1576" s="338"/>
      <c r="H1576" s="338"/>
      <c r="I1576" s="338"/>
      <c r="J1576" s="338"/>
      <c r="K1576" s="338"/>
      <c r="L1576" s="338"/>
      <c r="M1576" s="338"/>
      <c r="N1576" s="338"/>
      <c r="Q1576" s="338"/>
      <c r="R1576" s="338"/>
      <c r="S1576" s="338"/>
      <c r="T1576" s="338"/>
      <c r="U1576" s="338"/>
      <c r="X1576" s="338"/>
      <c r="Y1576" s="338"/>
      <c r="Z1576" s="338"/>
      <c r="AA1576" s="338"/>
      <c r="AB1576" s="338"/>
      <c r="AC1576" s="338"/>
      <c r="AD1576" s="338"/>
    </row>
    <row r="1577" spans="1:30">
      <c r="A1577" s="338"/>
      <c r="B1577" s="338"/>
      <c r="D1577" s="338"/>
      <c r="E1577" s="338"/>
      <c r="H1577" s="338"/>
      <c r="I1577" s="338"/>
      <c r="J1577" s="338"/>
      <c r="K1577" s="338"/>
      <c r="L1577" s="338"/>
      <c r="M1577" s="338"/>
      <c r="N1577" s="338"/>
      <c r="Q1577" s="338"/>
      <c r="R1577" s="338"/>
      <c r="S1577" s="338"/>
      <c r="T1577" s="338"/>
      <c r="U1577" s="338"/>
      <c r="X1577" s="338"/>
      <c r="Y1577" s="338"/>
      <c r="Z1577" s="338"/>
      <c r="AA1577" s="338"/>
      <c r="AB1577" s="338"/>
      <c r="AC1577" s="338"/>
      <c r="AD1577" s="338"/>
    </row>
    <row r="1578" spans="1:30">
      <c r="A1578" s="338"/>
      <c r="B1578" s="338"/>
      <c r="D1578" s="338"/>
      <c r="E1578" s="338"/>
      <c r="H1578" s="338"/>
      <c r="I1578" s="338"/>
      <c r="J1578" s="338"/>
      <c r="K1578" s="338"/>
      <c r="L1578" s="338"/>
      <c r="M1578" s="338"/>
      <c r="N1578" s="338"/>
      <c r="Q1578" s="338"/>
      <c r="R1578" s="338"/>
      <c r="S1578" s="338"/>
      <c r="T1578" s="338"/>
      <c r="U1578" s="338"/>
      <c r="X1578" s="338"/>
      <c r="Y1578" s="338"/>
      <c r="Z1578" s="338"/>
      <c r="AA1578" s="338"/>
      <c r="AB1578" s="338"/>
      <c r="AC1578" s="338"/>
      <c r="AD1578" s="338"/>
    </row>
    <row r="1579" spans="1:30">
      <c r="A1579" s="338"/>
      <c r="B1579" s="338"/>
      <c r="D1579" s="338"/>
      <c r="E1579" s="338"/>
      <c r="H1579" s="338"/>
      <c r="I1579" s="338"/>
      <c r="J1579" s="338"/>
      <c r="K1579" s="338"/>
      <c r="L1579" s="338"/>
      <c r="M1579" s="338"/>
      <c r="N1579" s="338"/>
      <c r="Q1579" s="338"/>
      <c r="R1579" s="338"/>
      <c r="S1579" s="338"/>
      <c r="T1579" s="338"/>
      <c r="U1579" s="338"/>
      <c r="X1579" s="338"/>
      <c r="Y1579" s="338"/>
      <c r="Z1579" s="338"/>
      <c r="AA1579" s="338"/>
      <c r="AB1579" s="338"/>
      <c r="AC1579" s="338"/>
      <c r="AD1579" s="338"/>
    </row>
    <row r="1580" spans="1:30">
      <c r="A1580" s="338"/>
      <c r="B1580" s="338"/>
      <c r="D1580" s="338"/>
      <c r="E1580" s="338"/>
      <c r="H1580" s="338"/>
      <c r="I1580" s="338"/>
      <c r="J1580" s="338"/>
      <c r="K1580" s="338"/>
      <c r="L1580" s="338"/>
      <c r="M1580" s="338"/>
      <c r="N1580" s="338"/>
      <c r="Q1580" s="338"/>
      <c r="R1580" s="338"/>
      <c r="S1580" s="338"/>
      <c r="T1580" s="338"/>
      <c r="U1580" s="338"/>
      <c r="X1580" s="338"/>
      <c r="Y1580" s="338"/>
      <c r="Z1580" s="338"/>
      <c r="AA1580" s="338"/>
      <c r="AB1580" s="338"/>
      <c r="AC1580" s="338"/>
      <c r="AD1580" s="338"/>
    </row>
    <row r="1581" spans="1:30">
      <c r="A1581" s="338"/>
      <c r="B1581" s="338"/>
      <c r="D1581" s="338"/>
      <c r="E1581" s="338"/>
      <c r="H1581" s="338"/>
      <c r="I1581" s="338"/>
      <c r="J1581" s="338"/>
      <c r="K1581" s="338"/>
      <c r="L1581" s="338"/>
      <c r="M1581" s="338"/>
      <c r="N1581" s="338"/>
      <c r="Q1581" s="338"/>
      <c r="R1581" s="338"/>
      <c r="S1581" s="338"/>
      <c r="T1581" s="338"/>
      <c r="U1581" s="338"/>
      <c r="X1581" s="338"/>
      <c r="Y1581" s="338"/>
      <c r="Z1581" s="338"/>
      <c r="AA1581" s="338"/>
      <c r="AB1581" s="338"/>
      <c r="AC1581" s="338"/>
      <c r="AD1581" s="338"/>
    </row>
    <row r="1582" spans="1:30">
      <c r="A1582" s="338"/>
      <c r="B1582" s="338"/>
      <c r="D1582" s="338"/>
      <c r="E1582" s="338"/>
      <c r="H1582" s="338"/>
      <c r="I1582" s="338"/>
      <c r="J1582" s="338"/>
      <c r="K1582" s="338"/>
      <c r="L1582" s="338"/>
      <c r="M1582" s="338"/>
      <c r="N1582" s="338"/>
      <c r="Q1582" s="338"/>
      <c r="R1582" s="338"/>
      <c r="S1582" s="338"/>
      <c r="T1582" s="338"/>
      <c r="U1582" s="338"/>
      <c r="X1582" s="338"/>
      <c r="Y1582" s="338"/>
      <c r="Z1582" s="338"/>
      <c r="AA1582" s="338"/>
      <c r="AB1582" s="338"/>
      <c r="AC1582" s="338"/>
      <c r="AD1582" s="338"/>
    </row>
    <row r="1583" spans="1:30">
      <c r="A1583" s="338"/>
      <c r="B1583" s="338"/>
      <c r="D1583" s="338"/>
      <c r="E1583" s="338"/>
      <c r="H1583" s="338"/>
      <c r="I1583" s="338"/>
      <c r="J1583" s="338"/>
      <c r="K1583" s="338"/>
      <c r="L1583" s="338"/>
      <c r="M1583" s="338"/>
      <c r="N1583" s="338"/>
      <c r="Q1583" s="338"/>
      <c r="R1583" s="338"/>
      <c r="S1583" s="338"/>
      <c r="T1583" s="338"/>
      <c r="U1583" s="338"/>
      <c r="X1583" s="338"/>
      <c r="Y1583" s="338"/>
      <c r="Z1583" s="338"/>
      <c r="AA1583" s="338"/>
      <c r="AB1583" s="338"/>
      <c r="AC1583" s="338"/>
      <c r="AD1583" s="338"/>
    </row>
    <row r="1584" spans="1:30">
      <c r="A1584" s="338"/>
      <c r="B1584" s="338"/>
      <c r="D1584" s="338"/>
      <c r="E1584" s="338"/>
      <c r="H1584" s="338"/>
      <c r="I1584" s="338"/>
      <c r="J1584" s="338"/>
      <c r="K1584" s="338"/>
      <c r="L1584" s="338"/>
      <c r="M1584" s="338"/>
      <c r="N1584" s="338"/>
      <c r="Q1584" s="338"/>
      <c r="R1584" s="338"/>
      <c r="S1584" s="338"/>
      <c r="T1584" s="338"/>
      <c r="U1584" s="338"/>
      <c r="X1584" s="338"/>
      <c r="Y1584" s="338"/>
      <c r="Z1584" s="338"/>
      <c r="AA1584" s="338"/>
      <c r="AB1584" s="338"/>
      <c r="AC1584" s="338"/>
      <c r="AD1584" s="338"/>
    </row>
    <row r="1585" spans="1:30">
      <c r="A1585" s="338"/>
      <c r="B1585" s="338"/>
      <c r="D1585" s="338"/>
      <c r="E1585" s="338"/>
      <c r="H1585" s="338"/>
      <c r="I1585" s="338"/>
      <c r="J1585" s="338"/>
      <c r="K1585" s="338"/>
      <c r="L1585" s="338"/>
      <c r="M1585" s="338"/>
      <c r="N1585" s="338"/>
      <c r="Q1585" s="338"/>
      <c r="R1585" s="338"/>
      <c r="S1585" s="338"/>
      <c r="T1585" s="338"/>
      <c r="U1585" s="338"/>
      <c r="X1585" s="338"/>
      <c r="Y1585" s="338"/>
      <c r="Z1585" s="338"/>
      <c r="AA1585" s="338"/>
      <c r="AB1585" s="338"/>
      <c r="AC1585" s="338"/>
      <c r="AD1585" s="338"/>
    </row>
    <row r="1586" spans="1:30">
      <c r="A1586" s="338"/>
      <c r="B1586" s="338"/>
      <c r="D1586" s="338"/>
      <c r="E1586" s="338"/>
      <c r="H1586" s="338"/>
      <c r="I1586" s="338"/>
      <c r="J1586" s="338"/>
      <c r="K1586" s="338"/>
      <c r="L1586" s="338"/>
      <c r="M1586" s="338"/>
      <c r="N1586" s="338"/>
      <c r="Q1586" s="338"/>
      <c r="R1586" s="338"/>
      <c r="S1586" s="338"/>
      <c r="T1586" s="338"/>
      <c r="U1586" s="338"/>
      <c r="X1586" s="338"/>
      <c r="Y1586" s="338"/>
      <c r="Z1586" s="338"/>
      <c r="AA1586" s="338"/>
      <c r="AB1586" s="338"/>
      <c r="AC1586" s="338"/>
      <c r="AD1586" s="338"/>
    </row>
    <row r="1587" spans="1:30">
      <c r="A1587" s="338"/>
      <c r="B1587" s="338"/>
      <c r="D1587" s="338"/>
      <c r="E1587" s="338"/>
      <c r="H1587" s="338"/>
      <c r="I1587" s="338"/>
      <c r="J1587" s="338"/>
      <c r="K1587" s="338"/>
      <c r="L1587" s="338"/>
      <c r="M1587" s="338"/>
      <c r="N1587" s="338"/>
      <c r="Q1587" s="338"/>
      <c r="R1587" s="338"/>
      <c r="S1587" s="338"/>
      <c r="T1587" s="338"/>
      <c r="U1587" s="338"/>
      <c r="X1587" s="338"/>
      <c r="Y1587" s="338"/>
      <c r="Z1587" s="338"/>
      <c r="AA1587" s="338"/>
      <c r="AB1587" s="338"/>
      <c r="AC1587" s="338"/>
      <c r="AD1587" s="338"/>
    </row>
    <row r="1588" spans="1:30">
      <c r="A1588" s="338"/>
      <c r="B1588" s="338"/>
      <c r="D1588" s="338"/>
      <c r="E1588" s="338"/>
      <c r="H1588" s="338"/>
      <c r="I1588" s="338"/>
      <c r="J1588" s="338"/>
      <c r="K1588" s="338"/>
      <c r="L1588" s="338"/>
      <c r="M1588" s="338"/>
      <c r="N1588" s="338"/>
      <c r="Q1588" s="338"/>
      <c r="R1588" s="338"/>
      <c r="S1588" s="338"/>
      <c r="T1588" s="338"/>
      <c r="U1588" s="338"/>
      <c r="X1588" s="338"/>
      <c r="Y1588" s="338"/>
      <c r="Z1588" s="338"/>
      <c r="AA1588" s="338"/>
      <c r="AB1588" s="338"/>
      <c r="AC1588" s="338"/>
      <c r="AD1588" s="338"/>
    </row>
    <row r="1589" spans="1:30">
      <c r="A1589" s="338"/>
      <c r="B1589" s="338"/>
      <c r="D1589" s="338"/>
      <c r="E1589" s="338"/>
      <c r="H1589" s="338"/>
      <c r="I1589" s="338"/>
      <c r="J1589" s="338"/>
      <c r="K1589" s="338"/>
      <c r="L1589" s="338"/>
      <c r="M1589" s="338"/>
      <c r="N1589" s="338"/>
      <c r="Q1589" s="338"/>
      <c r="R1589" s="338"/>
      <c r="S1589" s="338"/>
      <c r="T1589" s="338"/>
      <c r="U1589" s="338"/>
      <c r="X1589" s="338"/>
      <c r="Y1589" s="338"/>
      <c r="Z1589" s="338"/>
      <c r="AA1589" s="338"/>
      <c r="AB1589" s="338"/>
      <c r="AC1589" s="338"/>
      <c r="AD1589" s="338"/>
    </row>
    <row r="1590" spans="1:30">
      <c r="A1590" s="338"/>
      <c r="B1590" s="338"/>
      <c r="D1590" s="338"/>
      <c r="E1590" s="338"/>
      <c r="H1590" s="338"/>
      <c r="I1590" s="338"/>
      <c r="J1590" s="338"/>
      <c r="K1590" s="338"/>
      <c r="L1590" s="338"/>
      <c r="M1590" s="338"/>
      <c r="N1590" s="338"/>
      <c r="Q1590" s="338"/>
      <c r="R1590" s="338"/>
      <c r="S1590" s="338"/>
      <c r="T1590" s="338"/>
      <c r="U1590" s="338"/>
      <c r="X1590" s="338"/>
      <c r="Y1590" s="338"/>
      <c r="Z1590" s="338"/>
      <c r="AA1590" s="338"/>
      <c r="AB1590" s="338"/>
      <c r="AC1590" s="338"/>
      <c r="AD1590" s="338"/>
    </row>
    <row r="1591" spans="1:30">
      <c r="A1591" s="338"/>
      <c r="B1591" s="338"/>
      <c r="D1591" s="338"/>
      <c r="E1591" s="338"/>
      <c r="H1591" s="338"/>
      <c r="I1591" s="338"/>
      <c r="J1591" s="338"/>
      <c r="K1591" s="338"/>
      <c r="L1591" s="338"/>
      <c r="M1591" s="338"/>
      <c r="N1591" s="338"/>
      <c r="Q1591" s="338"/>
      <c r="R1591" s="338"/>
      <c r="S1591" s="338"/>
      <c r="T1591" s="338"/>
      <c r="U1591" s="338"/>
      <c r="X1591" s="338"/>
      <c r="Y1591" s="338"/>
      <c r="Z1591" s="338"/>
      <c r="AA1591" s="338"/>
      <c r="AB1591" s="338"/>
      <c r="AC1591" s="338"/>
      <c r="AD1591" s="338"/>
    </row>
    <row r="1592" spans="1:30">
      <c r="A1592" s="338"/>
      <c r="B1592" s="338"/>
      <c r="D1592" s="338"/>
      <c r="E1592" s="338"/>
      <c r="H1592" s="338"/>
      <c r="I1592" s="338"/>
      <c r="J1592" s="338"/>
      <c r="K1592" s="338"/>
      <c r="L1592" s="338"/>
      <c r="M1592" s="338"/>
      <c r="N1592" s="338"/>
      <c r="Q1592" s="338"/>
      <c r="R1592" s="338"/>
      <c r="S1592" s="338"/>
      <c r="T1592" s="338"/>
      <c r="U1592" s="338"/>
      <c r="X1592" s="338"/>
      <c r="Y1592" s="338"/>
      <c r="Z1592" s="338"/>
      <c r="AA1592" s="338"/>
      <c r="AB1592" s="338"/>
      <c r="AC1592" s="338"/>
      <c r="AD1592" s="338"/>
    </row>
    <row r="1593" spans="1:30">
      <c r="A1593" s="338"/>
      <c r="B1593" s="338"/>
      <c r="D1593" s="338"/>
      <c r="E1593" s="338"/>
      <c r="H1593" s="338"/>
      <c r="I1593" s="338"/>
      <c r="J1593" s="338"/>
      <c r="K1593" s="338"/>
      <c r="L1593" s="338"/>
      <c r="M1593" s="338"/>
      <c r="N1593" s="338"/>
      <c r="Q1593" s="338"/>
      <c r="R1593" s="338"/>
      <c r="S1593" s="338"/>
      <c r="T1593" s="338"/>
      <c r="U1593" s="338"/>
      <c r="X1593" s="338"/>
      <c r="Y1593" s="338"/>
      <c r="Z1593" s="338"/>
      <c r="AA1593" s="338"/>
      <c r="AB1593" s="338"/>
      <c r="AC1593" s="338"/>
      <c r="AD1593" s="338"/>
    </row>
    <row r="1594" spans="1:30">
      <c r="A1594" s="338"/>
      <c r="B1594" s="338"/>
      <c r="D1594" s="338"/>
      <c r="E1594" s="338"/>
      <c r="H1594" s="338"/>
      <c r="I1594" s="338"/>
      <c r="J1594" s="338"/>
      <c r="K1594" s="338"/>
      <c r="L1594" s="338"/>
      <c r="M1594" s="338"/>
      <c r="N1594" s="338"/>
      <c r="Q1594" s="338"/>
      <c r="R1594" s="338"/>
      <c r="S1594" s="338"/>
      <c r="T1594" s="338"/>
      <c r="U1594" s="338"/>
      <c r="X1594" s="338"/>
      <c r="Y1594" s="338"/>
      <c r="Z1594" s="338"/>
      <c r="AA1594" s="338"/>
      <c r="AB1594" s="338"/>
      <c r="AC1594" s="338"/>
      <c r="AD1594" s="338"/>
    </row>
    <row r="1595" spans="1:30">
      <c r="A1595" s="338"/>
      <c r="B1595" s="338"/>
      <c r="D1595" s="338"/>
      <c r="E1595" s="338"/>
      <c r="H1595" s="338"/>
      <c r="I1595" s="338"/>
      <c r="J1595" s="338"/>
      <c r="K1595" s="338"/>
      <c r="L1595" s="338"/>
      <c r="M1595" s="338"/>
      <c r="N1595" s="338"/>
      <c r="Q1595" s="338"/>
      <c r="R1595" s="338"/>
      <c r="S1595" s="338"/>
      <c r="T1595" s="338"/>
      <c r="U1595" s="338"/>
      <c r="X1595" s="338"/>
      <c r="Y1595" s="338"/>
      <c r="Z1595" s="338"/>
      <c r="AA1595" s="338"/>
      <c r="AB1595" s="338"/>
      <c r="AC1595" s="338"/>
      <c r="AD1595" s="338"/>
    </row>
    <row r="1596" spans="1:30">
      <c r="A1596" s="338"/>
      <c r="B1596" s="338"/>
      <c r="D1596" s="338"/>
      <c r="E1596" s="338"/>
      <c r="H1596" s="338"/>
      <c r="I1596" s="338"/>
      <c r="J1596" s="338"/>
      <c r="K1596" s="338"/>
      <c r="L1596" s="338"/>
      <c r="M1596" s="338"/>
      <c r="N1596" s="338"/>
      <c r="Q1596" s="338"/>
      <c r="R1596" s="338"/>
      <c r="S1596" s="338"/>
      <c r="T1596" s="338"/>
      <c r="U1596" s="338"/>
      <c r="X1596" s="338"/>
      <c r="Y1596" s="338"/>
      <c r="Z1596" s="338"/>
      <c r="AA1596" s="338"/>
      <c r="AB1596" s="338"/>
      <c r="AC1596" s="338"/>
      <c r="AD1596" s="338"/>
    </row>
    <row r="1597" spans="1:30">
      <c r="A1597" s="338"/>
      <c r="B1597" s="338"/>
      <c r="D1597" s="338"/>
      <c r="E1597" s="338"/>
      <c r="H1597" s="338"/>
      <c r="I1597" s="338"/>
      <c r="J1597" s="338"/>
      <c r="K1597" s="338"/>
      <c r="L1597" s="338"/>
      <c r="M1597" s="338"/>
      <c r="N1597" s="338"/>
      <c r="Q1597" s="338"/>
      <c r="R1597" s="338"/>
      <c r="S1597" s="338"/>
      <c r="T1597" s="338"/>
      <c r="U1597" s="338"/>
      <c r="X1597" s="338"/>
      <c r="Y1597" s="338"/>
      <c r="Z1597" s="338"/>
      <c r="AA1597" s="338"/>
      <c r="AB1597" s="338"/>
      <c r="AC1597" s="338"/>
      <c r="AD1597" s="338"/>
    </row>
    <row r="1598" spans="1:30">
      <c r="A1598" s="338"/>
      <c r="B1598" s="338"/>
      <c r="D1598" s="338"/>
      <c r="E1598" s="338"/>
      <c r="H1598" s="338"/>
      <c r="I1598" s="338"/>
      <c r="J1598" s="338"/>
      <c r="K1598" s="338"/>
      <c r="L1598" s="338"/>
      <c r="M1598" s="338"/>
      <c r="N1598" s="338"/>
      <c r="Q1598" s="338"/>
      <c r="R1598" s="338"/>
      <c r="S1598" s="338"/>
      <c r="T1598" s="338"/>
      <c r="U1598" s="338"/>
      <c r="X1598" s="338"/>
      <c r="Y1598" s="338"/>
      <c r="Z1598" s="338"/>
      <c r="AA1598" s="338"/>
      <c r="AB1598" s="338"/>
      <c r="AC1598" s="338"/>
      <c r="AD1598" s="338"/>
    </row>
    <row r="1599" spans="1:30">
      <c r="A1599" s="338"/>
      <c r="B1599" s="338"/>
      <c r="D1599" s="338"/>
      <c r="E1599" s="338"/>
      <c r="H1599" s="338"/>
      <c r="I1599" s="338"/>
      <c r="J1599" s="338"/>
      <c r="K1599" s="338"/>
      <c r="L1599" s="338"/>
      <c r="M1599" s="338"/>
      <c r="N1599" s="338"/>
      <c r="Q1599" s="338"/>
      <c r="R1599" s="338"/>
      <c r="S1599" s="338"/>
      <c r="T1599" s="338"/>
      <c r="U1599" s="338"/>
      <c r="X1599" s="338"/>
      <c r="Y1599" s="338"/>
      <c r="Z1599" s="338"/>
      <c r="AA1599" s="338"/>
      <c r="AB1599" s="338"/>
      <c r="AC1599" s="338"/>
      <c r="AD1599" s="338"/>
    </row>
    <row r="1600" spans="1:30">
      <c r="A1600" s="338"/>
      <c r="B1600" s="338"/>
      <c r="D1600" s="338"/>
      <c r="E1600" s="338"/>
      <c r="H1600" s="338"/>
      <c r="I1600" s="338"/>
      <c r="J1600" s="338"/>
      <c r="K1600" s="338"/>
      <c r="L1600" s="338"/>
      <c r="M1600" s="338"/>
      <c r="N1600" s="338"/>
      <c r="Q1600" s="338"/>
      <c r="R1600" s="338"/>
      <c r="S1600" s="338"/>
      <c r="T1600" s="338"/>
      <c r="U1600" s="338"/>
      <c r="X1600" s="338"/>
      <c r="Y1600" s="338"/>
      <c r="Z1600" s="338"/>
      <c r="AA1600" s="338"/>
      <c r="AB1600" s="338"/>
      <c r="AC1600" s="338"/>
      <c r="AD1600" s="338"/>
    </row>
    <row r="1601" spans="1:30">
      <c r="A1601" s="338"/>
      <c r="B1601" s="338"/>
      <c r="D1601" s="338"/>
      <c r="E1601" s="338"/>
      <c r="H1601" s="338"/>
      <c r="I1601" s="338"/>
      <c r="J1601" s="338"/>
      <c r="K1601" s="338"/>
      <c r="L1601" s="338"/>
      <c r="M1601" s="338"/>
      <c r="N1601" s="338"/>
      <c r="Q1601" s="338"/>
      <c r="R1601" s="338"/>
      <c r="S1601" s="338"/>
      <c r="T1601" s="338"/>
      <c r="U1601" s="338"/>
      <c r="X1601" s="338"/>
      <c r="Y1601" s="338"/>
      <c r="Z1601" s="338"/>
      <c r="AA1601" s="338"/>
      <c r="AB1601" s="338"/>
      <c r="AC1601" s="338"/>
      <c r="AD1601" s="338"/>
    </row>
    <row r="1602" spans="1:30">
      <c r="A1602" s="338"/>
      <c r="B1602" s="338"/>
      <c r="D1602" s="338"/>
      <c r="E1602" s="338"/>
      <c r="H1602" s="338"/>
      <c r="I1602" s="338"/>
      <c r="J1602" s="338"/>
      <c r="K1602" s="338"/>
      <c r="L1602" s="338"/>
      <c r="M1602" s="338"/>
      <c r="N1602" s="338"/>
      <c r="Q1602" s="338"/>
      <c r="R1602" s="338"/>
      <c r="S1602" s="338"/>
      <c r="T1602" s="338"/>
      <c r="U1602" s="338"/>
      <c r="X1602" s="338"/>
      <c r="Y1602" s="338"/>
      <c r="Z1602" s="338"/>
      <c r="AA1602" s="338"/>
      <c r="AB1602" s="338"/>
      <c r="AC1602" s="338"/>
      <c r="AD1602" s="338"/>
    </row>
    <row r="1603" spans="1:30">
      <c r="A1603" s="338"/>
      <c r="B1603" s="338"/>
      <c r="D1603" s="338"/>
      <c r="E1603" s="338"/>
      <c r="H1603" s="338"/>
      <c r="I1603" s="338"/>
      <c r="J1603" s="338"/>
      <c r="K1603" s="338"/>
      <c r="L1603" s="338"/>
      <c r="M1603" s="338"/>
      <c r="N1603" s="338"/>
      <c r="Q1603" s="338"/>
      <c r="R1603" s="338"/>
      <c r="S1603" s="338"/>
      <c r="T1603" s="338"/>
      <c r="U1603" s="338"/>
      <c r="X1603" s="338"/>
      <c r="Y1603" s="338"/>
      <c r="Z1603" s="338"/>
      <c r="AA1603" s="338"/>
      <c r="AB1603" s="338"/>
      <c r="AC1603" s="338"/>
      <c r="AD1603" s="338"/>
    </row>
    <row r="1604" spans="1:30">
      <c r="A1604" s="338"/>
      <c r="B1604" s="338"/>
      <c r="D1604" s="338"/>
      <c r="E1604" s="338"/>
      <c r="H1604" s="338"/>
      <c r="I1604" s="338"/>
      <c r="J1604" s="338"/>
      <c r="K1604" s="338"/>
      <c r="L1604" s="338"/>
      <c r="M1604" s="338"/>
      <c r="N1604" s="338"/>
      <c r="Q1604" s="338"/>
      <c r="R1604" s="338"/>
      <c r="S1604" s="338"/>
      <c r="T1604" s="338"/>
      <c r="U1604" s="338"/>
      <c r="X1604" s="338"/>
      <c r="Y1604" s="338"/>
      <c r="Z1604" s="338"/>
      <c r="AA1604" s="338"/>
      <c r="AB1604" s="338"/>
      <c r="AC1604" s="338"/>
      <c r="AD1604" s="338"/>
    </row>
    <row r="1605" spans="1:30">
      <c r="A1605" s="338"/>
      <c r="B1605" s="338"/>
      <c r="D1605" s="338"/>
      <c r="E1605" s="338"/>
      <c r="H1605" s="338"/>
      <c r="I1605" s="338"/>
      <c r="J1605" s="338"/>
      <c r="K1605" s="338"/>
      <c r="L1605" s="338"/>
      <c r="M1605" s="338"/>
      <c r="N1605" s="338"/>
      <c r="Q1605" s="338"/>
      <c r="R1605" s="338"/>
      <c r="S1605" s="338"/>
      <c r="T1605" s="338"/>
      <c r="U1605" s="338"/>
      <c r="X1605" s="338"/>
      <c r="Y1605" s="338"/>
      <c r="Z1605" s="338"/>
      <c r="AA1605" s="338"/>
      <c r="AB1605" s="338"/>
      <c r="AC1605" s="338"/>
      <c r="AD1605" s="338"/>
    </row>
    <row r="1606" spans="1:30">
      <c r="A1606" s="338"/>
      <c r="B1606" s="338"/>
      <c r="D1606" s="338"/>
      <c r="E1606" s="338"/>
      <c r="H1606" s="338"/>
      <c r="I1606" s="338"/>
      <c r="J1606" s="338"/>
      <c r="K1606" s="338"/>
      <c r="L1606" s="338"/>
      <c r="M1606" s="338"/>
      <c r="N1606" s="338"/>
      <c r="Q1606" s="338"/>
      <c r="R1606" s="338"/>
      <c r="S1606" s="338"/>
      <c r="T1606" s="338"/>
      <c r="U1606" s="338"/>
      <c r="X1606" s="338"/>
      <c r="Y1606" s="338"/>
      <c r="Z1606" s="338"/>
      <c r="AA1606" s="338"/>
      <c r="AB1606" s="338"/>
      <c r="AC1606" s="338"/>
      <c r="AD1606" s="338"/>
    </row>
    <row r="1607" spans="1:30">
      <c r="A1607" s="338"/>
      <c r="B1607" s="338"/>
      <c r="D1607" s="338"/>
      <c r="E1607" s="338"/>
      <c r="H1607" s="338"/>
      <c r="I1607" s="338"/>
      <c r="J1607" s="338"/>
      <c r="K1607" s="338"/>
      <c r="L1607" s="338"/>
      <c r="M1607" s="338"/>
      <c r="N1607" s="338"/>
      <c r="Q1607" s="338"/>
      <c r="R1607" s="338"/>
      <c r="S1607" s="338"/>
      <c r="T1607" s="338"/>
      <c r="U1607" s="338"/>
      <c r="X1607" s="338"/>
      <c r="Y1607" s="338"/>
      <c r="Z1607" s="338"/>
      <c r="AA1607" s="338"/>
      <c r="AB1607" s="338"/>
      <c r="AC1607" s="338"/>
      <c r="AD1607" s="338"/>
    </row>
    <row r="1608" spans="1:30">
      <c r="A1608" s="338"/>
      <c r="B1608" s="338"/>
      <c r="D1608" s="338"/>
      <c r="E1608" s="338"/>
      <c r="H1608" s="338"/>
      <c r="I1608" s="338"/>
      <c r="J1608" s="338"/>
      <c r="K1608" s="338"/>
      <c r="L1608" s="338"/>
      <c r="M1608" s="338"/>
      <c r="N1608" s="338"/>
      <c r="Q1608" s="338"/>
      <c r="R1608" s="338"/>
      <c r="S1608" s="338"/>
      <c r="T1608" s="338"/>
      <c r="U1608" s="338"/>
      <c r="X1608" s="338"/>
      <c r="Y1608" s="338"/>
      <c r="Z1608" s="338"/>
      <c r="AA1608" s="338"/>
      <c r="AB1608" s="338"/>
      <c r="AC1608" s="338"/>
      <c r="AD1608" s="338"/>
    </row>
    <row r="1609" spans="1:30">
      <c r="A1609" s="338"/>
      <c r="B1609" s="338"/>
      <c r="D1609" s="338"/>
      <c r="E1609" s="338"/>
      <c r="H1609" s="338"/>
      <c r="I1609" s="338"/>
      <c r="J1609" s="338"/>
      <c r="K1609" s="338"/>
      <c r="L1609" s="338"/>
      <c r="M1609" s="338"/>
      <c r="N1609" s="338"/>
      <c r="Q1609" s="338"/>
      <c r="R1609" s="338"/>
      <c r="S1609" s="338"/>
      <c r="T1609" s="338"/>
      <c r="U1609" s="338"/>
      <c r="X1609" s="338"/>
      <c r="Y1609" s="338"/>
      <c r="Z1609" s="338"/>
      <c r="AA1609" s="338"/>
      <c r="AB1609" s="338"/>
      <c r="AC1609" s="338"/>
      <c r="AD1609" s="338"/>
    </row>
    <row r="1610" spans="1:30">
      <c r="A1610" s="338"/>
      <c r="B1610" s="338"/>
      <c r="D1610" s="338"/>
      <c r="E1610" s="338"/>
      <c r="H1610" s="338"/>
      <c r="I1610" s="338"/>
      <c r="J1610" s="338"/>
      <c r="K1610" s="338"/>
      <c r="L1610" s="338"/>
      <c r="M1610" s="338"/>
      <c r="N1610" s="338"/>
      <c r="Q1610" s="338"/>
      <c r="R1610" s="338"/>
      <c r="S1610" s="338"/>
      <c r="T1610" s="338"/>
      <c r="U1610" s="338"/>
      <c r="X1610" s="338"/>
      <c r="Y1610" s="338"/>
      <c r="Z1610" s="338"/>
      <c r="AA1610" s="338"/>
      <c r="AB1610" s="338"/>
      <c r="AC1610" s="338"/>
      <c r="AD1610" s="338"/>
    </row>
    <row r="1611" spans="1:30">
      <c r="A1611" s="338"/>
      <c r="B1611" s="338"/>
      <c r="D1611" s="338"/>
      <c r="E1611" s="338"/>
      <c r="H1611" s="338"/>
      <c r="I1611" s="338"/>
      <c r="J1611" s="338"/>
      <c r="K1611" s="338"/>
      <c r="L1611" s="338"/>
      <c r="M1611" s="338"/>
      <c r="N1611" s="338"/>
      <c r="Q1611" s="338"/>
      <c r="R1611" s="338"/>
      <c r="S1611" s="338"/>
      <c r="T1611" s="338"/>
      <c r="U1611" s="338"/>
      <c r="X1611" s="338"/>
      <c r="Y1611" s="338"/>
      <c r="Z1611" s="338"/>
      <c r="AA1611" s="338"/>
      <c r="AB1611" s="338"/>
      <c r="AC1611" s="338"/>
      <c r="AD1611" s="338"/>
    </row>
    <row r="1612" spans="1:30">
      <c r="A1612" s="338"/>
      <c r="B1612" s="338"/>
      <c r="D1612" s="338"/>
      <c r="E1612" s="338"/>
      <c r="H1612" s="338"/>
      <c r="I1612" s="338"/>
      <c r="J1612" s="338"/>
      <c r="K1612" s="338"/>
      <c r="L1612" s="338"/>
      <c r="M1612" s="338"/>
      <c r="N1612" s="338"/>
      <c r="Q1612" s="338"/>
      <c r="R1612" s="338"/>
      <c r="S1612" s="338"/>
      <c r="T1612" s="338"/>
      <c r="U1612" s="338"/>
      <c r="X1612" s="338"/>
      <c r="Y1612" s="338"/>
      <c r="Z1612" s="338"/>
      <c r="AA1612" s="338"/>
      <c r="AB1612" s="338"/>
      <c r="AC1612" s="338"/>
      <c r="AD1612" s="338"/>
    </row>
    <row r="1613" spans="1:30">
      <c r="A1613" s="338"/>
      <c r="B1613" s="338"/>
      <c r="D1613" s="338"/>
      <c r="E1613" s="338"/>
      <c r="H1613" s="338"/>
      <c r="I1613" s="338"/>
      <c r="J1613" s="338"/>
      <c r="K1613" s="338"/>
      <c r="L1613" s="338"/>
      <c r="M1613" s="338"/>
      <c r="N1613" s="338"/>
      <c r="Q1613" s="338"/>
      <c r="R1613" s="338"/>
      <c r="S1613" s="338"/>
      <c r="T1613" s="338"/>
      <c r="U1613" s="338"/>
      <c r="X1613" s="338"/>
      <c r="Y1613" s="338"/>
      <c r="Z1613" s="338"/>
      <c r="AA1613" s="338"/>
      <c r="AB1613" s="338"/>
      <c r="AC1613" s="338"/>
      <c r="AD1613" s="338"/>
    </row>
    <row r="1614" spans="1:30">
      <c r="A1614" s="338"/>
      <c r="B1614" s="338"/>
      <c r="D1614" s="338"/>
      <c r="E1614" s="338"/>
      <c r="H1614" s="338"/>
      <c r="I1614" s="338"/>
      <c r="J1614" s="338"/>
      <c r="K1614" s="338"/>
      <c r="L1614" s="338"/>
      <c r="M1614" s="338"/>
      <c r="N1614" s="338"/>
      <c r="Q1614" s="338"/>
      <c r="R1614" s="338"/>
      <c r="S1614" s="338"/>
      <c r="T1614" s="338"/>
      <c r="U1614" s="338"/>
      <c r="X1614" s="338"/>
      <c r="Y1614" s="338"/>
      <c r="Z1614" s="338"/>
      <c r="AA1614" s="338"/>
      <c r="AB1614" s="338"/>
      <c r="AC1614" s="338"/>
      <c r="AD1614" s="338"/>
    </row>
    <row r="1615" spans="1:30">
      <c r="A1615" s="338"/>
      <c r="B1615" s="338"/>
      <c r="D1615" s="338"/>
      <c r="E1615" s="338"/>
      <c r="H1615" s="338"/>
      <c r="I1615" s="338"/>
      <c r="J1615" s="338"/>
      <c r="K1615" s="338"/>
      <c r="L1615" s="338"/>
      <c r="M1615" s="338"/>
      <c r="N1615" s="338"/>
      <c r="Q1615" s="338"/>
      <c r="R1615" s="338"/>
      <c r="S1615" s="338"/>
      <c r="T1615" s="338"/>
      <c r="U1615" s="338"/>
      <c r="X1615" s="338"/>
      <c r="Y1615" s="338"/>
      <c r="Z1615" s="338"/>
      <c r="AA1615" s="338"/>
      <c r="AB1615" s="338"/>
      <c r="AC1615" s="338"/>
      <c r="AD1615" s="338"/>
    </row>
    <row r="1616" spans="1:30">
      <c r="A1616" s="338"/>
      <c r="B1616" s="338"/>
      <c r="D1616" s="338"/>
      <c r="E1616" s="338"/>
      <c r="H1616" s="338"/>
      <c r="I1616" s="338"/>
      <c r="J1616" s="338"/>
      <c r="K1616" s="338"/>
      <c r="L1616" s="338"/>
      <c r="M1616" s="338"/>
      <c r="N1616" s="338"/>
      <c r="Q1616" s="338"/>
      <c r="R1616" s="338"/>
      <c r="S1616" s="338"/>
      <c r="T1616" s="338"/>
      <c r="U1616" s="338"/>
      <c r="X1616" s="338"/>
      <c r="Y1616" s="338"/>
      <c r="Z1616" s="338"/>
      <c r="AA1616" s="338"/>
      <c r="AB1616" s="338"/>
      <c r="AC1616" s="338"/>
      <c r="AD1616" s="338"/>
    </row>
    <row r="1617" spans="1:30">
      <c r="A1617" s="338"/>
      <c r="B1617" s="338"/>
      <c r="D1617" s="338"/>
      <c r="E1617" s="338"/>
      <c r="H1617" s="338"/>
      <c r="I1617" s="338"/>
      <c r="J1617" s="338"/>
      <c r="K1617" s="338"/>
      <c r="L1617" s="338"/>
      <c r="M1617" s="338"/>
      <c r="N1617" s="338"/>
      <c r="Q1617" s="338"/>
      <c r="R1617" s="338"/>
      <c r="S1617" s="338"/>
      <c r="T1617" s="338"/>
      <c r="U1617" s="338"/>
      <c r="X1617" s="338"/>
      <c r="Y1617" s="338"/>
      <c r="Z1617" s="338"/>
      <c r="AA1617" s="338"/>
      <c r="AB1617" s="338"/>
      <c r="AC1617" s="338"/>
      <c r="AD1617" s="338"/>
    </row>
    <row r="1618" spans="1:30">
      <c r="A1618" s="338"/>
      <c r="B1618" s="338"/>
      <c r="D1618" s="338"/>
      <c r="E1618" s="338"/>
      <c r="H1618" s="338"/>
      <c r="I1618" s="338"/>
      <c r="J1618" s="338"/>
      <c r="K1618" s="338"/>
      <c r="L1618" s="338"/>
      <c r="M1618" s="338"/>
      <c r="N1618" s="338"/>
      <c r="Q1618" s="338"/>
      <c r="R1618" s="338"/>
      <c r="S1618" s="338"/>
      <c r="T1618" s="338"/>
      <c r="U1618" s="338"/>
      <c r="X1618" s="338"/>
      <c r="Y1618" s="338"/>
      <c r="Z1618" s="338"/>
      <c r="AA1618" s="338"/>
      <c r="AB1618" s="338"/>
      <c r="AC1618" s="338"/>
      <c r="AD1618" s="338"/>
    </row>
    <row r="1619" spans="1:30">
      <c r="A1619" s="338"/>
      <c r="B1619" s="338"/>
      <c r="D1619" s="338"/>
      <c r="E1619" s="338"/>
      <c r="H1619" s="338"/>
      <c r="I1619" s="338"/>
      <c r="J1619" s="338"/>
      <c r="K1619" s="338"/>
      <c r="L1619" s="338"/>
      <c r="M1619" s="338"/>
      <c r="N1619" s="338"/>
      <c r="Q1619" s="338"/>
      <c r="R1619" s="338"/>
      <c r="S1619" s="338"/>
      <c r="T1619" s="338"/>
      <c r="U1619" s="338"/>
      <c r="X1619" s="338"/>
      <c r="Y1619" s="338"/>
      <c r="Z1619" s="338"/>
      <c r="AA1619" s="338"/>
      <c r="AB1619" s="338"/>
      <c r="AC1619" s="338"/>
      <c r="AD1619" s="338"/>
    </row>
    <row r="1620" spans="1:30">
      <c r="A1620" s="338"/>
      <c r="B1620" s="338"/>
      <c r="D1620" s="338"/>
      <c r="E1620" s="338"/>
      <c r="H1620" s="338"/>
      <c r="I1620" s="338"/>
      <c r="J1620" s="338"/>
      <c r="K1620" s="338"/>
      <c r="L1620" s="338"/>
      <c r="M1620" s="338"/>
      <c r="N1620" s="338"/>
      <c r="Q1620" s="338"/>
      <c r="R1620" s="338"/>
      <c r="S1620" s="338"/>
      <c r="T1620" s="338"/>
      <c r="U1620" s="338"/>
      <c r="X1620" s="338"/>
      <c r="Y1620" s="338"/>
      <c r="Z1620" s="338"/>
      <c r="AA1620" s="338"/>
      <c r="AB1620" s="338"/>
      <c r="AC1620" s="338"/>
      <c r="AD1620" s="338"/>
    </row>
    <row r="1621" spans="1:30">
      <c r="A1621" s="338"/>
      <c r="B1621" s="338"/>
      <c r="D1621" s="338"/>
      <c r="E1621" s="338"/>
      <c r="H1621" s="338"/>
      <c r="I1621" s="338"/>
      <c r="J1621" s="338"/>
      <c r="K1621" s="338"/>
      <c r="L1621" s="338"/>
      <c r="M1621" s="338"/>
      <c r="N1621" s="338"/>
      <c r="Q1621" s="338"/>
      <c r="R1621" s="338"/>
      <c r="S1621" s="338"/>
      <c r="T1621" s="338"/>
      <c r="U1621" s="338"/>
      <c r="X1621" s="338"/>
      <c r="Y1621" s="338"/>
      <c r="Z1621" s="338"/>
      <c r="AA1621" s="338"/>
      <c r="AB1621" s="338"/>
      <c r="AC1621" s="338"/>
      <c r="AD1621" s="338"/>
    </row>
    <row r="1622" spans="1:30">
      <c r="A1622" s="338"/>
      <c r="B1622" s="338"/>
      <c r="D1622" s="338"/>
      <c r="E1622" s="338"/>
      <c r="H1622" s="338"/>
      <c r="I1622" s="338"/>
      <c r="J1622" s="338"/>
      <c r="K1622" s="338"/>
      <c r="L1622" s="338"/>
      <c r="M1622" s="338"/>
      <c r="N1622" s="338"/>
      <c r="Q1622" s="338"/>
      <c r="R1622" s="338"/>
      <c r="S1622" s="338"/>
      <c r="T1622" s="338"/>
      <c r="U1622" s="338"/>
      <c r="X1622" s="338"/>
      <c r="Y1622" s="338"/>
      <c r="Z1622" s="338"/>
      <c r="AA1622" s="338"/>
      <c r="AB1622" s="338"/>
      <c r="AC1622" s="338"/>
      <c r="AD1622" s="338"/>
    </row>
    <row r="1623" spans="1:30">
      <c r="A1623" s="338"/>
      <c r="B1623" s="338"/>
      <c r="D1623" s="338"/>
      <c r="E1623" s="338"/>
      <c r="H1623" s="338"/>
      <c r="I1623" s="338"/>
      <c r="J1623" s="338"/>
      <c r="K1623" s="338"/>
      <c r="L1623" s="338"/>
      <c r="M1623" s="338"/>
      <c r="N1623" s="338"/>
      <c r="Q1623" s="338"/>
      <c r="R1623" s="338"/>
      <c r="S1623" s="338"/>
      <c r="T1623" s="338"/>
      <c r="U1623" s="338"/>
      <c r="X1623" s="338"/>
      <c r="Y1623" s="338"/>
      <c r="Z1623" s="338"/>
      <c r="AA1623" s="338"/>
      <c r="AB1623" s="338"/>
      <c r="AC1623" s="338"/>
      <c r="AD1623" s="338"/>
    </row>
    <row r="1624" spans="1:30">
      <c r="A1624" s="338"/>
      <c r="B1624" s="338"/>
      <c r="D1624" s="338"/>
      <c r="E1624" s="338"/>
      <c r="H1624" s="338"/>
      <c r="I1624" s="338"/>
      <c r="J1624" s="338"/>
      <c r="K1624" s="338"/>
      <c r="L1624" s="338"/>
      <c r="M1624" s="338"/>
      <c r="N1624" s="338"/>
      <c r="Q1624" s="338"/>
      <c r="R1624" s="338"/>
      <c r="S1624" s="338"/>
      <c r="T1624" s="338"/>
      <c r="U1624" s="338"/>
      <c r="X1624" s="338"/>
      <c r="Y1624" s="338"/>
      <c r="Z1624" s="338"/>
      <c r="AA1624" s="338"/>
      <c r="AB1624" s="338"/>
      <c r="AC1624" s="338"/>
      <c r="AD1624" s="338"/>
    </row>
    <row r="1625" spans="1:30">
      <c r="A1625" s="338"/>
      <c r="B1625" s="338"/>
      <c r="D1625" s="338"/>
      <c r="E1625" s="338"/>
      <c r="H1625" s="338"/>
      <c r="I1625" s="338"/>
      <c r="J1625" s="338"/>
      <c r="K1625" s="338"/>
      <c r="L1625" s="338"/>
      <c r="M1625" s="338"/>
      <c r="N1625" s="338"/>
      <c r="Q1625" s="338"/>
      <c r="R1625" s="338"/>
      <c r="S1625" s="338"/>
      <c r="T1625" s="338"/>
      <c r="U1625" s="338"/>
      <c r="X1625" s="338"/>
      <c r="Y1625" s="338"/>
      <c r="Z1625" s="338"/>
      <c r="AA1625" s="338"/>
      <c r="AB1625" s="338"/>
      <c r="AC1625" s="338"/>
      <c r="AD1625" s="338"/>
    </row>
    <row r="1626" spans="1:30">
      <c r="A1626" s="338"/>
      <c r="B1626" s="338"/>
      <c r="D1626" s="338"/>
      <c r="E1626" s="338"/>
      <c r="H1626" s="338"/>
      <c r="I1626" s="338"/>
      <c r="J1626" s="338"/>
      <c r="K1626" s="338"/>
      <c r="L1626" s="338"/>
      <c r="M1626" s="338"/>
      <c r="N1626" s="338"/>
      <c r="Q1626" s="338"/>
      <c r="R1626" s="338"/>
      <c r="S1626" s="338"/>
      <c r="T1626" s="338"/>
      <c r="U1626" s="338"/>
      <c r="X1626" s="338"/>
      <c r="Y1626" s="338"/>
      <c r="Z1626" s="338"/>
      <c r="AA1626" s="338"/>
      <c r="AB1626" s="338"/>
      <c r="AC1626" s="338"/>
      <c r="AD1626" s="338"/>
    </row>
    <row r="1627" spans="1:30">
      <c r="A1627" s="338"/>
      <c r="B1627" s="338"/>
      <c r="D1627" s="338"/>
      <c r="E1627" s="338"/>
      <c r="H1627" s="338"/>
      <c r="I1627" s="338"/>
      <c r="J1627" s="338"/>
      <c r="K1627" s="338"/>
      <c r="L1627" s="338"/>
      <c r="M1627" s="338"/>
      <c r="N1627" s="338"/>
      <c r="Q1627" s="338"/>
      <c r="R1627" s="338"/>
      <c r="S1627" s="338"/>
      <c r="T1627" s="338"/>
      <c r="U1627" s="338"/>
      <c r="X1627" s="338"/>
      <c r="Y1627" s="338"/>
      <c r="Z1627" s="338"/>
      <c r="AA1627" s="338"/>
      <c r="AB1627" s="338"/>
      <c r="AC1627" s="338"/>
      <c r="AD1627" s="338"/>
    </row>
    <row r="1628" spans="1:30">
      <c r="A1628" s="338"/>
      <c r="B1628" s="338"/>
      <c r="D1628" s="338"/>
      <c r="E1628" s="338"/>
      <c r="H1628" s="338"/>
      <c r="I1628" s="338"/>
      <c r="J1628" s="338"/>
      <c r="K1628" s="338"/>
      <c r="L1628" s="338"/>
      <c r="M1628" s="338"/>
      <c r="N1628" s="338"/>
      <c r="Q1628" s="338"/>
      <c r="R1628" s="338"/>
      <c r="S1628" s="338"/>
      <c r="T1628" s="338"/>
      <c r="U1628" s="338"/>
      <c r="X1628" s="338"/>
      <c r="Y1628" s="338"/>
      <c r="Z1628" s="338"/>
      <c r="AA1628" s="338"/>
      <c r="AB1628" s="338"/>
      <c r="AC1628" s="338"/>
      <c r="AD1628" s="338"/>
    </row>
    <row r="1629" spans="1:30">
      <c r="A1629" s="338"/>
      <c r="B1629" s="338"/>
      <c r="D1629" s="338"/>
      <c r="E1629" s="338"/>
      <c r="H1629" s="338"/>
      <c r="I1629" s="338"/>
      <c r="J1629" s="338"/>
      <c r="K1629" s="338"/>
      <c r="L1629" s="338"/>
      <c r="M1629" s="338"/>
      <c r="N1629" s="338"/>
      <c r="Q1629" s="338"/>
      <c r="R1629" s="338"/>
      <c r="S1629" s="338"/>
      <c r="T1629" s="338"/>
      <c r="U1629" s="338"/>
      <c r="X1629" s="338"/>
      <c r="Y1629" s="338"/>
      <c r="Z1629" s="338"/>
      <c r="AA1629" s="338"/>
      <c r="AB1629" s="338"/>
      <c r="AC1629" s="338"/>
      <c r="AD1629" s="338"/>
    </row>
    <row r="1630" spans="1:30">
      <c r="A1630" s="338"/>
      <c r="B1630" s="338"/>
      <c r="D1630" s="338"/>
      <c r="E1630" s="338"/>
      <c r="H1630" s="338"/>
      <c r="I1630" s="338"/>
      <c r="J1630" s="338"/>
      <c r="K1630" s="338"/>
      <c r="L1630" s="338"/>
      <c r="M1630" s="338"/>
      <c r="N1630" s="338"/>
      <c r="Q1630" s="338"/>
      <c r="R1630" s="338"/>
      <c r="S1630" s="338"/>
      <c r="T1630" s="338"/>
      <c r="U1630" s="338"/>
      <c r="X1630" s="338"/>
      <c r="Y1630" s="338"/>
      <c r="Z1630" s="338"/>
      <c r="AA1630" s="338"/>
      <c r="AB1630" s="338"/>
      <c r="AC1630" s="338"/>
      <c r="AD1630" s="338"/>
    </row>
    <row r="1631" spans="1:30">
      <c r="A1631" s="338"/>
      <c r="B1631" s="338"/>
      <c r="D1631" s="338"/>
      <c r="E1631" s="338"/>
      <c r="H1631" s="338"/>
      <c r="I1631" s="338"/>
      <c r="J1631" s="338"/>
      <c r="K1631" s="338"/>
      <c r="L1631" s="338"/>
      <c r="M1631" s="338"/>
      <c r="N1631" s="338"/>
      <c r="Q1631" s="338"/>
      <c r="R1631" s="338"/>
      <c r="S1631" s="338"/>
      <c r="T1631" s="338"/>
      <c r="U1631" s="338"/>
      <c r="X1631" s="338"/>
      <c r="Y1631" s="338"/>
      <c r="Z1631" s="338"/>
      <c r="AA1631" s="338"/>
      <c r="AB1631" s="338"/>
      <c r="AC1631" s="338"/>
      <c r="AD1631" s="338"/>
    </row>
    <row r="1632" spans="1:30">
      <c r="A1632" s="338"/>
      <c r="B1632" s="338"/>
      <c r="D1632" s="338"/>
      <c r="E1632" s="338"/>
      <c r="H1632" s="338"/>
      <c r="I1632" s="338"/>
      <c r="J1632" s="338"/>
      <c r="K1632" s="338"/>
      <c r="L1632" s="338"/>
      <c r="M1632" s="338"/>
      <c r="N1632" s="338"/>
      <c r="Q1632" s="338"/>
      <c r="R1632" s="338"/>
      <c r="S1632" s="338"/>
      <c r="T1632" s="338"/>
      <c r="U1632" s="338"/>
      <c r="X1632" s="338"/>
      <c r="Y1632" s="338"/>
      <c r="Z1632" s="338"/>
      <c r="AA1632" s="338"/>
      <c r="AB1632" s="338"/>
      <c r="AC1632" s="338"/>
      <c r="AD1632" s="338"/>
    </row>
    <row r="1633" spans="1:30">
      <c r="A1633" s="338"/>
      <c r="B1633" s="338"/>
      <c r="D1633" s="338"/>
      <c r="E1633" s="338"/>
      <c r="H1633" s="338"/>
      <c r="I1633" s="338"/>
      <c r="J1633" s="338"/>
      <c r="K1633" s="338"/>
      <c r="L1633" s="338"/>
      <c r="M1633" s="338"/>
      <c r="N1633" s="338"/>
      <c r="Q1633" s="338"/>
      <c r="R1633" s="338"/>
      <c r="S1633" s="338"/>
      <c r="T1633" s="338"/>
      <c r="U1633" s="338"/>
      <c r="X1633" s="338"/>
      <c r="Y1633" s="338"/>
      <c r="Z1633" s="338"/>
      <c r="AA1633" s="338"/>
      <c r="AB1633" s="338"/>
      <c r="AC1633" s="338"/>
      <c r="AD1633" s="338"/>
    </row>
    <row r="1634" spans="1:30">
      <c r="A1634" s="338"/>
      <c r="B1634" s="338"/>
      <c r="D1634" s="338"/>
      <c r="E1634" s="338"/>
      <c r="H1634" s="338"/>
      <c r="I1634" s="338"/>
      <c r="J1634" s="338"/>
      <c r="K1634" s="338"/>
      <c r="L1634" s="338"/>
      <c r="M1634" s="338"/>
      <c r="N1634" s="338"/>
      <c r="Q1634" s="338"/>
      <c r="R1634" s="338"/>
      <c r="S1634" s="338"/>
      <c r="T1634" s="338"/>
      <c r="U1634" s="338"/>
      <c r="X1634" s="338"/>
      <c r="Y1634" s="338"/>
      <c r="Z1634" s="338"/>
      <c r="AA1634" s="338"/>
      <c r="AB1634" s="338"/>
      <c r="AC1634" s="338"/>
      <c r="AD1634" s="338"/>
    </row>
    <row r="1635" spans="1:30">
      <c r="A1635" s="338"/>
      <c r="B1635" s="338"/>
      <c r="D1635" s="338"/>
      <c r="E1635" s="338"/>
      <c r="H1635" s="338"/>
      <c r="I1635" s="338"/>
      <c r="J1635" s="338"/>
      <c r="K1635" s="338"/>
      <c r="L1635" s="338"/>
      <c r="M1635" s="338"/>
      <c r="N1635" s="338"/>
      <c r="Q1635" s="338"/>
      <c r="R1635" s="338"/>
      <c r="S1635" s="338"/>
      <c r="T1635" s="338"/>
      <c r="U1635" s="338"/>
      <c r="X1635" s="338"/>
      <c r="Y1635" s="338"/>
      <c r="Z1635" s="338"/>
      <c r="AA1635" s="338"/>
      <c r="AB1635" s="338"/>
      <c r="AC1635" s="338"/>
      <c r="AD1635" s="338"/>
    </row>
    <row r="1636" spans="1:30">
      <c r="A1636" s="338"/>
      <c r="B1636" s="338"/>
      <c r="D1636" s="338"/>
      <c r="E1636" s="338"/>
      <c r="H1636" s="338"/>
      <c r="I1636" s="338"/>
      <c r="J1636" s="338"/>
      <c r="K1636" s="338"/>
      <c r="L1636" s="338"/>
      <c r="M1636" s="338"/>
      <c r="N1636" s="338"/>
      <c r="Q1636" s="338"/>
      <c r="R1636" s="338"/>
      <c r="S1636" s="338"/>
      <c r="T1636" s="338"/>
      <c r="U1636" s="338"/>
      <c r="X1636" s="338"/>
      <c r="Y1636" s="338"/>
      <c r="Z1636" s="338"/>
      <c r="AA1636" s="338"/>
      <c r="AB1636" s="338"/>
      <c r="AC1636" s="338"/>
      <c r="AD1636" s="338"/>
    </row>
    <row r="1637" spans="1:30">
      <c r="A1637" s="338"/>
      <c r="B1637" s="338"/>
      <c r="D1637" s="338"/>
      <c r="E1637" s="338"/>
      <c r="H1637" s="338"/>
      <c r="I1637" s="338"/>
      <c r="J1637" s="338"/>
      <c r="K1637" s="338"/>
      <c r="L1637" s="338"/>
      <c r="M1637" s="338"/>
      <c r="N1637" s="338"/>
      <c r="Q1637" s="338"/>
      <c r="R1637" s="338"/>
      <c r="S1637" s="338"/>
      <c r="T1637" s="338"/>
      <c r="U1637" s="338"/>
      <c r="X1637" s="338"/>
      <c r="Y1637" s="338"/>
      <c r="Z1637" s="338"/>
      <c r="AA1637" s="338"/>
      <c r="AB1637" s="338"/>
      <c r="AC1637" s="338"/>
      <c r="AD1637" s="338"/>
    </row>
    <row r="1638" spans="1:30">
      <c r="A1638" s="338"/>
      <c r="B1638" s="338"/>
      <c r="D1638" s="338"/>
      <c r="E1638" s="338"/>
      <c r="H1638" s="338"/>
      <c r="I1638" s="338"/>
      <c r="J1638" s="338"/>
      <c r="K1638" s="338"/>
      <c r="L1638" s="338"/>
      <c r="M1638" s="338"/>
      <c r="N1638" s="338"/>
      <c r="Q1638" s="338"/>
      <c r="R1638" s="338"/>
      <c r="S1638" s="338"/>
      <c r="T1638" s="338"/>
      <c r="U1638" s="338"/>
      <c r="X1638" s="338"/>
      <c r="Y1638" s="338"/>
      <c r="Z1638" s="338"/>
      <c r="AA1638" s="338"/>
      <c r="AB1638" s="338"/>
      <c r="AC1638" s="338"/>
      <c r="AD1638" s="338"/>
    </row>
    <row r="1639" spans="1:30">
      <c r="A1639" s="338"/>
      <c r="B1639" s="338"/>
      <c r="D1639" s="338"/>
      <c r="E1639" s="338"/>
      <c r="H1639" s="338"/>
      <c r="I1639" s="338"/>
      <c r="J1639" s="338"/>
      <c r="K1639" s="338"/>
      <c r="L1639" s="338"/>
      <c r="M1639" s="338"/>
      <c r="N1639" s="338"/>
      <c r="Q1639" s="338"/>
      <c r="R1639" s="338"/>
      <c r="S1639" s="338"/>
      <c r="T1639" s="338"/>
      <c r="U1639" s="338"/>
      <c r="X1639" s="338"/>
      <c r="Y1639" s="338"/>
      <c r="Z1639" s="338"/>
      <c r="AA1639" s="338"/>
      <c r="AB1639" s="338"/>
      <c r="AC1639" s="338"/>
      <c r="AD1639" s="338"/>
    </row>
    <row r="1640" spans="1:30">
      <c r="A1640" s="338"/>
      <c r="B1640" s="338"/>
      <c r="D1640" s="338"/>
      <c r="E1640" s="338"/>
      <c r="H1640" s="338"/>
      <c r="I1640" s="338"/>
      <c r="J1640" s="338"/>
      <c r="K1640" s="338"/>
      <c r="L1640" s="338"/>
      <c r="M1640" s="338"/>
      <c r="N1640" s="338"/>
      <c r="Q1640" s="338"/>
      <c r="R1640" s="338"/>
      <c r="S1640" s="338"/>
      <c r="T1640" s="338"/>
      <c r="U1640" s="338"/>
      <c r="X1640" s="338"/>
      <c r="Y1640" s="338"/>
      <c r="Z1640" s="338"/>
      <c r="AA1640" s="338"/>
      <c r="AB1640" s="338"/>
      <c r="AC1640" s="338"/>
      <c r="AD1640" s="338"/>
    </row>
    <row r="1641" spans="1:30">
      <c r="A1641" s="338"/>
      <c r="B1641" s="338"/>
      <c r="D1641" s="338"/>
      <c r="E1641" s="338"/>
      <c r="H1641" s="338"/>
      <c r="I1641" s="338"/>
      <c r="J1641" s="338"/>
      <c r="K1641" s="338"/>
      <c r="L1641" s="338"/>
      <c r="M1641" s="338"/>
      <c r="N1641" s="338"/>
      <c r="Q1641" s="338"/>
      <c r="R1641" s="338"/>
      <c r="S1641" s="338"/>
      <c r="T1641" s="338"/>
      <c r="U1641" s="338"/>
      <c r="X1641" s="338"/>
      <c r="Y1641" s="338"/>
      <c r="Z1641" s="338"/>
      <c r="AA1641" s="338"/>
      <c r="AB1641" s="338"/>
      <c r="AC1641" s="338"/>
      <c r="AD1641" s="338"/>
    </row>
    <row r="1642" spans="1:30">
      <c r="A1642" s="338"/>
      <c r="B1642" s="338"/>
      <c r="D1642" s="338"/>
      <c r="E1642" s="338"/>
      <c r="H1642" s="338"/>
      <c r="I1642" s="338"/>
      <c r="J1642" s="338"/>
      <c r="K1642" s="338"/>
      <c r="L1642" s="338"/>
      <c r="M1642" s="338"/>
      <c r="N1642" s="338"/>
      <c r="Q1642" s="338"/>
      <c r="R1642" s="338"/>
      <c r="S1642" s="338"/>
      <c r="T1642" s="338"/>
      <c r="U1642" s="338"/>
      <c r="X1642" s="338"/>
      <c r="Y1642" s="338"/>
      <c r="Z1642" s="338"/>
      <c r="AA1642" s="338"/>
      <c r="AB1642" s="338"/>
      <c r="AC1642" s="338"/>
      <c r="AD1642" s="338"/>
    </row>
    <row r="1643" spans="1:30">
      <c r="A1643" s="338"/>
      <c r="B1643" s="338"/>
      <c r="D1643" s="338"/>
      <c r="E1643" s="338"/>
      <c r="H1643" s="338"/>
      <c r="I1643" s="338"/>
      <c r="J1643" s="338"/>
      <c r="K1643" s="338"/>
      <c r="L1643" s="338"/>
      <c r="M1643" s="338"/>
      <c r="N1643" s="338"/>
      <c r="Q1643" s="338"/>
      <c r="R1643" s="338"/>
      <c r="S1643" s="338"/>
      <c r="T1643" s="338"/>
      <c r="U1643" s="338"/>
      <c r="X1643" s="338"/>
      <c r="Y1643" s="338"/>
      <c r="Z1643" s="338"/>
      <c r="AA1643" s="338"/>
      <c r="AB1643" s="338"/>
      <c r="AC1643" s="338"/>
      <c r="AD1643" s="338"/>
    </row>
    <row r="1644" spans="1:30">
      <c r="A1644" s="338"/>
      <c r="B1644" s="338"/>
      <c r="D1644" s="338"/>
      <c r="E1644" s="338"/>
      <c r="H1644" s="338"/>
      <c r="I1644" s="338"/>
      <c r="J1644" s="338"/>
      <c r="K1644" s="338"/>
      <c r="L1644" s="338"/>
      <c r="M1644" s="338"/>
      <c r="N1644" s="338"/>
      <c r="Q1644" s="338"/>
      <c r="R1644" s="338"/>
      <c r="S1644" s="338"/>
      <c r="T1644" s="338"/>
      <c r="U1644" s="338"/>
      <c r="X1644" s="338"/>
      <c r="Y1644" s="338"/>
      <c r="Z1644" s="338"/>
      <c r="AA1644" s="338"/>
      <c r="AB1644" s="338"/>
      <c r="AC1644" s="338"/>
      <c r="AD1644" s="338"/>
    </row>
    <row r="1645" spans="1:30">
      <c r="A1645" s="338"/>
      <c r="B1645" s="338"/>
      <c r="D1645" s="338"/>
      <c r="E1645" s="338"/>
      <c r="H1645" s="338"/>
      <c r="I1645" s="338"/>
      <c r="J1645" s="338"/>
      <c r="K1645" s="338"/>
      <c r="L1645" s="338"/>
      <c r="M1645" s="338"/>
      <c r="N1645" s="338"/>
      <c r="Q1645" s="338"/>
      <c r="R1645" s="338"/>
      <c r="S1645" s="338"/>
      <c r="T1645" s="338"/>
      <c r="U1645" s="338"/>
      <c r="X1645" s="338"/>
      <c r="Y1645" s="338"/>
      <c r="Z1645" s="338"/>
      <c r="AA1645" s="338"/>
      <c r="AB1645" s="338"/>
      <c r="AC1645" s="338"/>
      <c r="AD1645" s="338"/>
    </row>
    <row r="1646" spans="1:30">
      <c r="A1646" s="338"/>
      <c r="B1646" s="338"/>
      <c r="D1646" s="338"/>
      <c r="E1646" s="338"/>
      <c r="H1646" s="338"/>
      <c r="I1646" s="338"/>
      <c r="J1646" s="338"/>
      <c r="K1646" s="338"/>
      <c r="L1646" s="338"/>
      <c r="M1646" s="338"/>
      <c r="N1646" s="338"/>
      <c r="Q1646" s="338"/>
      <c r="R1646" s="338"/>
      <c r="S1646" s="338"/>
      <c r="T1646" s="338"/>
      <c r="U1646" s="338"/>
      <c r="X1646" s="338"/>
      <c r="Y1646" s="338"/>
      <c r="Z1646" s="338"/>
      <c r="AA1646" s="338"/>
      <c r="AB1646" s="338"/>
      <c r="AC1646" s="338"/>
      <c r="AD1646" s="338"/>
    </row>
    <row r="1647" spans="1:30">
      <c r="A1647" s="338"/>
      <c r="B1647" s="338"/>
      <c r="D1647" s="338"/>
      <c r="E1647" s="338"/>
      <c r="H1647" s="338"/>
      <c r="I1647" s="338"/>
      <c r="J1647" s="338"/>
      <c r="K1647" s="338"/>
      <c r="L1647" s="338"/>
      <c r="M1647" s="338"/>
      <c r="N1647" s="338"/>
      <c r="Q1647" s="338"/>
      <c r="R1647" s="338"/>
      <c r="S1647" s="338"/>
      <c r="T1647" s="338"/>
      <c r="U1647" s="338"/>
      <c r="X1647" s="338"/>
      <c r="Y1647" s="338"/>
      <c r="Z1647" s="338"/>
      <c r="AA1647" s="338"/>
      <c r="AB1647" s="338"/>
      <c r="AC1647" s="338"/>
      <c r="AD1647" s="338"/>
    </row>
    <row r="1648" spans="1:30">
      <c r="A1648" s="338"/>
      <c r="B1648" s="338"/>
      <c r="D1648" s="338"/>
      <c r="E1648" s="338"/>
      <c r="H1648" s="338"/>
      <c r="I1648" s="338"/>
      <c r="J1648" s="338"/>
      <c r="K1648" s="338"/>
      <c r="L1648" s="338"/>
      <c r="M1648" s="338"/>
      <c r="N1648" s="338"/>
      <c r="Q1648" s="338"/>
      <c r="R1648" s="338"/>
      <c r="S1648" s="338"/>
      <c r="T1648" s="338"/>
      <c r="U1648" s="338"/>
      <c r="X1648" s="338"/>
      <c r="Y1648" s="338"/>
      <c r="Z1648" s="338"/>
      <c r="AA1648" s="338"/>
      <c r="AB1648" s="338"/>
      <c r="AC1648" s="338"/>
      <c r="AD1648" s="338"/>
    </row>
    <row r="1649" spans="1:30">
      <c r="A1649" s="338"/>
      <c r="B1649" s="338"/>
      <c r="D1649" s="338"/>
      <c r="E1649" s="338"/>
      <c r="H1649" s="338"/>
      <c r="I1649" s="338"/>
      <c r="J1649" s="338"/>
      <c r="K1649" s="338"/>
      <c r="L1649" s="338"/>
      <c r="M1649" s="338"/>
      <c r="N1649" s="338"/>
      <c r="Q1649" s="338"/>
      <c r="R1649" s="338"/>
      <c r="S1649" s="338"/>
      <c r="T1649" s="338"/>
      <c r="U1649" s="338"/>
      <c r="X1649" s="338"/>
      <c r="Y1649" s="338"/>
      <c r="Z1649" s="338"/>
      <c r="AA1649" s="338"/>
      <c r="AB1649" s="338"/>
      <c r="AC1649" s="338"/>
      <c r="AD1649" s="338"/>
    </row>
    <row r="1650" spans="1:30">
      <c r="A1650" s="338"/>
      <c r="B1650" s="338"/>
      <c r="D1650" s="338"/>
      <c r="E1650" s="338"/>
      <c r="H1650" s="338"/>
      <c r="I1650" s="338"/>
      <c r="J1650" s="338"/>
      <c r="K1650" s="338"/>
      <c r="L1650" s="338"/>
      <c r="M1650" s="338"/>
      <c r="N1650" s="338"/>
      <c r="Q1650" s="338"/>
      <c r="R1650" s="338"/>
      <c r="S1650" s="338"/>
      <c r="T1650" s="338"/>
      <c r="U1650" s="338"/>
      <c r="X1650" s="338"/>
      <c r="Y1650" s="338"/>
      <c r="Z1650" s="338"/>
      <c r="AA1650" s="338"/>
      <c r="AB1650" s="338"/>
      <c r="AC1650" s="338"/>
      <c r="AD1650" s="338"/>
    </row>
    <row r="1651" spans="1:30">
      <c r="A1651" s="338"/>
      <c r="B1651" s="338"/>
      <c r="D1651" s="338"/>
      <c r="E1651" s="338"/>
      <c r="H1651" s="338"/>
      <c r="I1651" s="338"/>
      <c r="J1651" s="338"/>
      <c r="K1651" s="338"/>
      <c r="L1651" s="338"/>
      <c r="M1651" s="338"/>
      <c r="N1651" s="338"/>
      <c r="Q1651" s="338"/>
      <c r="R1651" s="338"/>
      <c r="S1651" s="338"/>
      <c r="T1651" s="338"/>
      <c r="U1651" s="338"/>
      <c r="X1651" s="338"/>
      <c r="Y1651" s="338"/>
      <c r="Z1651" s="338"/>
      <c r="AA1651" s="338"/>
      <c r="AB1651" s="338"/>
      <c r="AC1651" s="338"/>
      <c r="AD1651" s="338"/>
    </row>
    <row r="1652" spans="1:30">
      <c r="A1652" s="338"/>
      <c r="B1652" s="338"/>
      <c r="D1652" s="338"/>
      <c r="E1652" s="338"/>
      <c r="H1652" s="338"/>
      <c r="I1652" s="338"/>
      <c r="J1652" s="338"/>
      <c r="K1652" s="338"/>
      <c r="L1652" s="338"/>
      <c r="M1652" s="338"/>
      <c r="N1652" s="338"/>
      <c r="Q1652" s="338"/>
      <c r="R1652" s="338"/>
      <c r="S1652" s="338"/>
      <c r="T1652" s="338"/>
      <c r="U1652" s="338"/>
      <c r="X1652" s="338"/>
      <c r="Y1652" s="338"/>
      <c r="Z1652" s="338"/>
      <c r="AA1652" s="338"/>
      <c r="AB1652" s="338"/>
      <c r="AC1652" s="338"/>
      <c r="AD1652" s="338"/>
    </row>
    <row r="1653" spans="1:30">
      <c r="A1653" s="338"/>
      <c r="B1653" s="338"/>
      <c r="D1653" s="338"/>
      <c r="E1653" s="338"/>
      <c r="H1653" s="338"/>
      <c r="I1653" s="338"/>
      <c r="J1653" s="338"/>
      <c r="K1653" s="338"/>
      <c r="L1653" s="338"/>
      <c r="M1653" s="338"/>
      <c r="N1653" s="338"/>
      <c r="Q1653" s="338"/>
      <c r="R1653" s="338"/>
      <c r="S1653" s="338"/>
      <c r="T1653" s="338"/>
      <c r="U1653" s="338"/>
      <c r="X1653" s="338"/>
      <c r="Y1653" s="338"/>
      <c r="Z1653" s="338"/>
      <c r="AA1653" s="338"/>
      <c r="AB1653" s="338"/>
      <c r="AC1653" s="338"/>
      <c r="AD1653" s="338"/>
    </row>
    <row r="1654" spans="1:30">
      <c r="A1654" s="338"/>
      <c r="B1654" s="338"/>
      <c r="D1654" s="338"/>
      <c r="E1654" s="338"/>
      <c r="H1654" s="338"/>
      <c r="I1654" s="338"/>
      <c r="J1654" s="338"/>
      <c r="K1654" s="338"/>
      <c r="L1654" s="338"/>
      <c r="M1654" s="338"/>
      <c r="N1654" s="338"/>
      <c r="Q1654" s="338"/>
      <c r="R1654" s="338"/>
      <c r="S1654" s="338"/>
      <c r="T1654" s="338"/>
      <c r="U1654" s="338"/>
      <c r="X1654" s="338"/>
      <c r="Y1654" s="338"/>
      <c r="Z1654" s="338"/>
      <c r="AA1654" s="338"/>
      <c r="AB1654" s="338"/>
      <c r="AC1654" s="338"/>
      <c r="AD1654" s="338"/>
    </row>
    <row r="1655" spans="1:30">
      <c r="A1655" s="338"/>
      <c r="B1655" s="338"/>
      <c r="D1655" s="338"/>
      <c r="E1655" s="338"/>
      <c r="H1655" s="338"/>
      <c r="I1655" s="338"/>
      <c r="J1655" s="338"/>
      <c r="K1655" s="338"/>
      <c r="L1655" s="338"/>
      <c r="M1655" s="338"/>
      <c r="N1655" s="338"/>
      <c r="Q1655" s="338"/>
      <c r="R1655" s="338"/>
      <c r="S1655" s="338"/>
      <c r="T1655" s="338"/>
      <c r="U1655" s="338"/>
      <c r="X1655" s="338"/>
      <c r="Y1655" s="338"/>
      <c r="Z1655" s="338"/>
      <c r="AA1655" s="338"/>
      <c r="AB1655" s="338"/>
      <c r="AC1655" s="338"/>
      <c r="AD1655" s="338"/>
    </row>
    <row r="1656" spans="1:30">
      <c r="A1656" s="338"/>
      <c r="B1656" s="338"/>
      <c r="D1656" s="338"/>
      <c r="E1656" s="338"/>
      <c r="H1656" s="338"/>
      <c r="I1656" s="338"/>
      <c r="J1656" s="338"/>
      <c r="K1656" s="338"/>
      <c r="L1656" s="338"/>
      <c r="M1656" s="338"/>
      <c r="N1656" s="338"/>
      <c r="Q1656" s="338"/>
      <c r="R1656" s="338"/>
      <c r="S1656" s="338"/>
      <c r="T1656" s="338"/>
      <c r="U1656" s="338"/>
      <c r="X1656" s="338"/>
      <c r="Y1656" s="338"/>
      <c r="Z1656" s="338"/>
      <c r="AA1656" s="338"/>
      <c r="AB1656" s="338"/>
      <c r="AC1656" s="338"/>
      <c r="AD1656" s="338"/>
    </row>
    <row r="1657" spans="1:30">
      <c r="A1657" s="338"/>
      <c r="B1657" s="338"/>
      <c r="D1657" s="338"/>
      <c r="E1657" s="338"/>
      <c r="H1657" s="338"/>
      <c r="I1657" s="338"/>
      <c r="J1657" s="338"/>
      <c r="K1657" s="338"/>
      <c r="L1657" s="338"/>
      <c r="M1657" s="338"/>
      <c r="N1657" s="338"/>
      <c r="Q1657" s="338"/>
      <c r="R1657" s="338"/>
      <c r="S1657" s="338"/>
      <c r="T1657" s="338"/>
      <c r="U1657" s="338"/>
      <c r="X1657" s="338"/>
      <c r="Y1657" s="338"/>
      <c r="Z1657" s="338"/>
      <c r="AA1657" s="338"/>
      <c r="AB1657" s="338"/>
      <c r="AC1657" s="338"/>
      <c r="AD1657" s="338"/>
    </row>
    <row r="1658" spans="1:30">
      <c r="A1658" s="338"/>
      <c r="B1658" s="338"/>
      <c r="D1658" s="338"/>
      <c r="E1658" s="338"/>
      <c r="H1658" s="338"/>
      <c r="I1658" s="338"/>
      <c r="J1658" s="338"/>
      <c r="K1658" s="338"/>
      <c r="L1658" s="338"/>
      <c r="M1658" s="338"/>
      <c r="N1658" s="338"/>
      <c r="Q1658" s="338"/>
      <c r="R1658" s="338"/>
      <c r="S1658" s="338"/>
      <c r="T1658" s="338"/>
      <c r="U1658" s="338"/>
      <c r="X1658" s="338"/>
      <c r="Y1658" s="338"/>
      <c r="Z1658" s="338"/>
      <c r="AA1658" s="338"/>
      <c r="AB1658" s="338"/>
      <c r="AC1658" s="338"/>
      <c r="AD1658" s="338"/>
    </row>
    <row r="1659" spans="1:30">
      <c r="A1659" s="338"/>
      <c r="B1659" s="338"/>
      <c r="D1659" s="338"/>
      <c r="E1659" s="338"/>
      <c r="H1659" s="338"/>
      <c r="I1659" s="338"/>
      <c r="J1659" s="338"/>
      <c r="K1659" s="338"/>
      <c r="L1659" s="338"/>
      <c r="M1659" s="338"/>
      <c r="N1659" s="338"/>
      <c r="Q1659" s="338"/>
      <c r="R1659" s="338"/>
      <c r="S1659" s="338"/>
      <c r="T1659" s="338"/>
      <c r="U1659" s="338"/>
      <c r="X1659" s="338"/>
      <c r="Y1659" s="338"/>
      <c r="Z1659" s="338"/>
      <c r="AA1659" s="338"/>
      <c r="AB1659" s="338"/>
      <c r="AC1659" s="338"/>
      <c r="AD1659" s="338"/>
    </row>
    <row r="1660" spans="1:30">
      <c r="A1660" s="338"/>
      <c r="B1660" s="338"/>
      <c r="D1660" s="338"/>
      <c r="E1660" s="338"/>
      <c r="H1660" s="338"/>
      <c r="I1660" s="338"/>
      <c r="J1660" s="338"/>
      <c r="K1660" s="338"/>
      <c r="L1660" s="338"/>
      <c r="M1660" s="338"/>
      <c r="N1660" s="338"/>
      <c r="Q1660" s="338"/>
      <c r="R1660" s="338"/>
      <c r="S1660" s="338"/>
      <c r="T1660" s="338"/>
      <c r="U1660" s="338"/>
      <c r="X1660" s="338"/>
      <c r="Y1660" s="338"/>
      <c r="Z1660" s="338"/>
      <c r="AA1660" s="338"/>
      <c r="AB1660" s="338"/>
      <c r="AC1660" s="338"/>
      <c r="AD1660" s="338"/>
    </row>
    <row r="1661" spans="1:30">
      <c r="A1661" s="338"/>
      <c r="B1661" s="338"/>
      <c r="D1661" s="338"/>
      <c r="E1661" s="338"/>
      <c r="H1661" s="338"/>
      <c r="I1661" s="338"/>
      <c r="J1661" s="338"/>
      <c r="K1661" s="338"/>
      <c r="L1661" s="338"/>
      <c r="M1661" s="338"/>
      <c r="N1661" s="338"/>
      <c r="Q1661" s="338"/>
      <c r="R1661" s="338"/>
      <c r="S1661" s="338"/>
      <c r="T1661" s="338"/>
      <c r="U1661" s="338"/>
      <c r="X1661" s="338"/>
      <c r="Y1661" s="338"/>
      <c r="Z1661" s="338"/>
      <c r="AA1661" s="338"/>
      <c r="AB1661" s="338"/>
      <c r="AC1661" s="338"/>
      <c r="AD1661" s="338"/>
    </row>
    <row r="1662" spans="1:30">
      <c r="A1662" s="338"/>
      <c r="B1662" s="338"/>
      <c r="D1662" s="338"/>
      <c r="E1662" s="338"/>
      <c r="H1662" s="338"/>
      <c r="I1662" s="338"/>
      <c r="J1662" s="338"/>
      <c r="K1662" s="338"/>
      <c r="L1662" s="338"/>
      <c r="M1662" s="338"/>
      <c r="N1662" s="338"/>
      <c r="Q1662" s="338"/>
      <c r="R1662" s="338"/>
      <c r="S1662" s="338"/>
      <c r="T1662" s="338"/>
      <c r="U1662" s="338"/>
      <c r="X1662" s="338"/>
      <c r="Y1662" s="338"/>
      <c r="Z1662" s="338"/>
      <c r="AA1662" s="338"/>
      <c r="AB1662" s="338"/>
      <c r="AC1662" s="338"/>
      <c r="AD1662" s="338"/>
    </row>
    <row r="1663" spans="1:30">
      <c r="A1663" s="338"/>
      <c r="B1663" s="338"/>
      <c r="D1663" s="338"/>
      <c r="E1663" s="338"/>
      <c r="H1663" s="338"/>
      <c r="I1663" s="338"/>
      <c r="J1663" s="338"/>
      <c r="K1663" s="338"/>
      <c r="L1663" s="338"/>
      <c r="M1663" s="338"/>
      <c r="N1663" s="338"/>
      <c r="Q1663" s="338"/>
      <c r="R1663" s="338"/>
      <c r="S1663" s="338"/>
      <c r="T1663" s="338"/>
      <c r="U1663" s="338"/>
      <c r="X1663" s="338"/>
      <c r="Y1663" s="338"/>
      <c r="Z1663" s="338"/>
      <c r="AA1663" s="338"/>
      <c r="AB1663" s="338"/>
      <c r="AC1663" s="338"/>
      <c r="AD1663" s="338"/>
    </row>
    <row r="1664" spans="1:30">
      <c r="A1664" s="338"/>
      <c r="B1664" s="338"/>
      <c r="D1664" s="338"/>
      <c r="E1664" s="338"/>
      <c r="H1664" s="338"/>
      <c r="I1664" s="338"/>
      <c r="J1664" s="338"/>
      <c r="K1664" s="338"/>
      <c r="L1664" s="338"/>
      <c r="M1664" s="338"/>
      <c r="N1664" s="338"/>
      <c r="Q1664" s="338"/>
      <c r="R1664" s="338"/>
      <c r="S1664" s="338"/>
      <c r="T1664" s="338"/>
      <c r="U1664" s="338"/>
      <c r="X1664" s="338"/>
      <c r="Y1664" s="338"/>
      <c r="Z1664" s="338"/>
      <c r="AA1664" s="338"/>
      <c r="AB1664" s="338"/>
      <c r="AC1664" s="338"/>
      <c r="AD1664" s="338"/>
    </row>
    <row r="1665" spans="1:30">
      <c r="A1665" s="338"/>
      <c r="B1665" s="338"/>
      <c r="D1665" s="338"/>
      <c r="E1665" s="338"/>
      <c r="H1665" s="338"/>
      <c r="I1665" s="338"/>
      <c r="J1665" s="338"/>
      <c r="K1665" s="338"/>
      <c r="L1665" s="338"/>
      <c r="M1665" s="338"/>
      <c r="N1665" s="338"/>
      <c r="Q1665" s="338"/>
      <c r="R1665" s="338"/>
      <c r="S1665" s="338"/>
      <c r="T1665" s="338"/>
      <c r="U1665" s="338"/>
      <c r="X1665" s="338"/>
      <c r="Y1665" s="338"/>
      <c r="Z1665" s="338"/>
      <c r="AA1665" s="338"/>
      <c r="AB1665" s="338"/>
      <c r="AC1665" s="338"/>
      <c r="AD1665" s="338"/>
    </row>
    <row r="1666" spans="1:30">
      <c r="A1666" s="338"/>
      <c r="B1666" s="338"/>
      <c r="D1666" s="338"/>
      <c r="E1666" s="338"/>
      <c r="H1666" s="338"/>
      <c r="I1666" s="338"/>
      <c r="J1666" s="338"/>
      <c r="K1666" s="338"/>
      <c r="L1666" s="338"/>
      <c r="M1666" s="338"/>
      <c r="N1666" s="338"/>
      <c r="Q1666" s="338"/>
      <c r="R1666" s="338"/>
      <c r="S1666" s="338"/>
      <c r="T1666" s="338"/>
      <c r="U1666" s="338"/>
      <c r="X1666" s="338"/>
      <c r="Y1666" s="338"/>
      <c r="Z1666" s="338"/>
      <c r="AA1666" s="338"/>
      <c r="AB1666" s="338"/>
      <c r="AC1666" s="338"/>
      <c r="AD1666" s="338"/>
    </row>
    <row r="1667" spans="1:30">
      <c r="A1667" s="338"/>
      <c r="B1667" s="338"/>
      <c r="D1667" s="338"/>
      <c r="E1667" s="338"/>
      <c r="H1667" s="338"/>
      <c r="I1667" s="338"/>
      <c r="J1667" s="338"/>
      <c r="K1667" s="338"/>
      <c r="L1667" s="338"/>
      <c r="M1667" s="338"/>
      <c r="N1667" s="338"/>
      <c r="Q1667" s="338"/>
      <c r="R1667" s="338"/>
      <c r="S1667" s="338"/>
      <c r="T1667" s="338"/>
      <c r="U1667" s="338"/>
      <c r="X1667" s="338"/>
      <c r="Y1667" s="338"/>
      <c r="Z1667" s="338"/>
      <c r="AA1667" s="338"/>
      <c r="AB1667" s="338"/>
      <c r="AC1667" s="338"/>
      <c r="AD1667" s="338"/>
    </row>
    <row r="1668" spans="1:30">
      <c r="A1668" s="338"/>
      <c r="B1668" s="338"/>
      <c r="D1668" s="338"/>
      <c r="E1668" s="338"/>
      <c r="H1668" s="338"/>
      <c r="I1668" s="338"/>
      <c r="J1668" s="338"/>
      <c r="K1668" s="338"/>
      <c r="L1668" s="338"/>
      <c r="M1668" s="338"/>
      <c r="N1668" s="338"/>
      <c r="Q1668" s="338"/>
      <c r="R1668" s="338"/>
      <c r="S1668" s="338"/>
      <c r="T1668" s="338"/>
      <c r="U1668" s="338"/>
      <c r="X1668" s="338"/>
      <c r="Y1668" s="338"/>
      <c r="Z1668" s="338"/>
      <c r="AA1668" s="338"/>
      <c r="AB1668" s="338"/>
      <c r="AC1668" s="338"/>
      <c r="AD1668" s="338"/>
    </row>
    <row r="1669" spans="1:30">
      <c r="A1669" s="338"/>
      <c r="B1669" s="338"/>
      <c r="D1669" s="338"/>
      <c r="E1669" s="338"/>
      <c r="H1669" s="338"/>
      <c r="I1669" s="338"/>
      <c r="J1669" s="338"/>
      <c r="K1669" s="338"/>
      <c r="L1669" s="338"/>
      <c r="M1669" s="338"/>
      <c r="N1669" s="338"/>
      <c r="Q1669" s="338"/>
      <c r="R1669" s="338"/>
      <c r="S1669" s="338"/>
      <c r="T1669" s="338"/>
      <c r="U1669" s="338"/>
      <c r="X1669" s="338"/>
      <c r="Y1669" s="338"/>
      <c r="Z1669" s="338"/>
      <c r="AA1669" s="338"/>
      <c r="AB1669" s="338"/>
      <c r="AC1669" s="338"/>
      <c r="AD1669" s="338"/>
    </row>
    <row r="1670" spans="1:30">
      <c r="A1670" s="338"/>
      <c r="B1670" s="338"/>
      <c r="D1670" s="338"/>
      <c r="E1670" s="338"/>
      <c r="H1670" s="338"/>
      <c r="I1670" s="338"/>
      <c r="J1670" s="338"/>
      <c r="K1670" s="338"/>
      <c r="L1670" s="338"/>
      <c r="M1670" s="338"/>
      <c r="N1670" s="338"/>
      <c r="Q1670" s="338"/>
      <c r="R1670" s="338"/>
      <c r="S1670" s="338"/>
      <c r="T1670" s="338"/>
      <c r="U1670" s="338"/>
      <c r="X1670" s="338"/>
      <c r="Y1670" s="338"/>
      <c r="Z1670" s="338"/>
      <c r="AA1670" s="338"/>
      <c r="AB1670" s="338"/>
      <c r="AC1670" s="338"/>
      <c r="AD1670" s="338"/>
    </row>
    <row r="1671" spans="1:30">
      <c r="A1671" s="338"/>
      <c r="B1671" s="338"/>
      <c r="D1671" s="338"/>
      <c r="E1671" s="338"/>
      <c r="H1671" s="338"/>
      <c r="I1671" s="338"/>
      <c r="J1671" s="338"/>
      <c r="K1671" s="338"/>
      <c r="L1671" s="338"/>
      <c r="M1671" s="338"/>
      <c r="N1671" s="338"/>
      <c r="Q1671" s="338"/>
      <c r="R1671" s="338"/>
      <c r="S1671" s="338"/>
      <c r="T1671" s="338"/>
      <c r="U1671" s="338"/>
      <c r="X1671" s="338"/>
      <c r="Y1671" s="338"/>
      <c r="Z1671" s="338"/>
      <c r="AA1671" s="338"/>
      <c r="AB1671" s="338"/>
      <c r="AC1671" s="338"/>
      <c r="AD1671" s="338"/>
    </row>
    <row r="1672" spans="1:30">
      <c r="A1672" s="338"/>
      <c r="B1672" s="338"/>
      <c r="D1672" s="338"/>
      <c r="E1672" s="338"/>
      <c r="H1672" s="338"/>
      <c r="I1672" s="338"/>
      <c r="J1672" s="338"/>
      <c r="K1672" s="338"/>
      <c r="L1672" s="338"/>
      <c r="M1672" s="338"/>
      <c r="N1672" s="338"/>
      <c r="Q1672" s="338"/>
      <c r="R1672" s="338"/>
      <c r="S1672" s="338"/>
      <c r="T1672" s="338"/>
      <c r="U1672" s="338"/>
      <c r="X1672" s="338"/>
      <c r="Y1672" s="338"/>
      <c r="Z1672" s="338"/>
      <c r="AA1672" s="338"/>
      <c r="AB1672" s="338"/>
      <c r="AC1672" s="338"/>
      <c r="AD1672" s="338"/>
    </row>
    <row r="1673" spans="1:30">
      <c r="A1673" s="338"/>
      <c r="B1673" s="338"/>
      <c r="D1673" s="338"/>
      <c r="E1673" s="338"/>
      <c r="H1673" s="338"/>
      <c r="I1673" s="338"/>
      <c r="J1673" s="338"/>
      <c r="K1673" s="338"/>
      <c r="L1673" s="338"/>
      <c r="M1673" s="338"/>
      <c r="N1673" s="338"/>
      <c r="Q1673" s="338"/>
      <c r="R1673" s="338"/>
      <c r="S1673" s="338"/>
      <c r="T1673" s="338"/>
      <c r="U1673" s="338"/>
      <c r="X1673" s="338"/>
      <c r="Y1673" s="338"/>
      <c r="Z1673" s="338"/>
      <c r="AA1673" s="338"/>
      <c r="AB1673" s="338"/>
      <c r="AC1673" s="338"/>
      <c r="AD1673" s="338"/>
    </row>
    <row r="1674" spans="1:30">
      <c r="A1674" s="338"/>
      <c r="B1674" s="338"/>
      <c r="D1674" s="338"/>
      <c r="E1674" s="338"/>
      <c r="H1674" s="338"/>
      <c r="I1674" s="338"/>
      <c r="J1674" s="338"/>
      <c r="K1674" s="338"/>
      <c r="L1674" s="338"/>
      <c r="M1674" s="338"/>
      <c r="N1674" s="338"/>
      <c r="Q1674" s="338"/>
      <c r="R1674" s="338"/>
      <c r="S1674" s="338"/>
      <c r="T1674" s="338"/>
      <c r="U1674" s="338"/>
      <c r="X1674" s="338"/>
      <c r="Y1674" s="338"/>
      <c r="Z1674" s="338"/>
      <c r="AA1674" s="338"/>
      <c r="AB1674" s="338"/>
      <c r="AC1674" s="338"/>
      <c r="AD1674" s="338"/>
    </row>
    <row r="1675" spans="1:30">
      <c r="A1675" s="338"/>
      <c r="B1675" s="338"/>
      <c r="D1675" s="338"/>
      <c r="E1675" s="338"/>
      <c r="H1675" s="338"/>
      <c r="I1675" s="338"/>
      <c r="J1675" s="338"/>
      <c r="K1675" s="338"/>
      <c r="L1675" s="338"/>
      <c r="M1675" s="338"/>
      <c r="N1675" s="338"/>
      <c r="Q1675" s="338"/>
      <c r="R1675" s="338"/>
      <c r="S1675" s="338"/>
      <c r="T1675" s="338"/>
      <c r="U1675" s="338"/>
      <c r="X1675" s="338"/>
      <c r="Y1675" s="338"/>
      <c r="Z1675" s="338"/>
      <c r="AA1675" s="338"/>
      <c r="AB1675" s="338"/>
      <c r="AC1675" s="338"/>
      <c r="AD1675" s="338"/>
    </row>
    <row r="1676" spans="1:30">
      <c r="A1676" s="338"/>
      <c r="B1676" s="338"/>
      <c r="D1676" s="338"/>
      <c r="E1676" s="338"/>
      <c r="H1676" s="338"/>
      <c r="I1676" s="338"/>
      <c r="J1676" s="338"/>
      <c r="K1676" s="338"/>
      <c r="L1676" s="338"/>
      <c r="M1676" s="338"/>
      <c r="N1676" s="338"/>
      <c r="Q1676" s="338"/>
      <c r="R1676" s="338"/>
      <c r="S1676" s="338"/>
      <c r="T1676" s="338"/>
      <c r="U1676" s="338"/>
      <c r="X1676" s="338"/>
      <c r="Y1676" s="338"/>
      <c r="Z1676" s="338"/>
      <c r="AA1676" s="338"/>
      <c r="AB1676" s="338"/>
      <c r="AC1676" s="338"/>
      <c r="AD1676" s="338"/>
    </row>
    <row r="1677" spans="1:30">
      <c r="A1677" s="338"/>
      <c r="B1677" s="338"/>
      <c r="D1677" s="338"/>
      <c r="E1677" s="338"/>
      <c r="H1677" s="338"/>
      <c r="I1677" s="338"/>
      <c r="J1677" s="338"/>
      <c r="K1677" s="338"/>
      <c r="L1677" s="338"/>
      <c r="M1677" s="338"/>
      <c r="N1677" s="338"/>
      <c r="Q1677" s="338"/>
      <c r="R1677" s="338"/>
      <c r="S1677" s="338"/>
      <c r="T1677" s="338"/>
      <c r="U1677" s="338"/>
      <c r="X1677" s="338"/>
      <c r="Y1677" s="338"/>
      <c r="Z1677" s="338"/>
      <c r="AA1677" s="338"/>
      <c r="AB1677" s="338"/>
      <c r="AC1677" s="338"/>
      <c r="AD1677" s="338"/>
    </row>
    <row r="1678" spans="1:30">
      <c r="A1678" s="338"/>
      <c r="B1678" s="338"/>
      <c r="D1678" s="338"/>
      <c r="E1678" s="338"/>
      <c r="H1678" s="338"/>
      <c r="I1678" s="338"/>
      <c r="J1678" s="338"/>
      <c r="K1678" s="338"/>
      <c r="L1678" s="338"/>
      <c r="M1678" s="338"/>
      <c r="N1678" s="338"/>
      <c r="Q1678" s="338"/>
      <c r="R1678" s="338"/>
      <c r="S1678" s="338"/>
      <c r="T1678" s="338"/>
      <c r="U1678" s="338"/>
      <c r="X1678" s="338"/>
      <c r="Y1678" s="338"/>
      <c r="Z1678" s="338"/>
      <c r="AA1678" s="338"/>
      <c r="AB1678" s="338"/>
      <c r="AC1678" s="338"/>
      <c r="AD1678" s="338"/>
    </row>
    <row r="1679" spans="1:30">
      <c r="A1679" s="338"/>
      <c r="B1679" s="338"/>
      <c r="D1679" s="338"/>
      <c r="E1679" s="338"/>
      <c r="H1679" s="338"/>
      <c r="I1679" s="338"/>
      <c r="J1679" s="338"/>
      <c r="K1679" s="338"/>
      <c r="L1679" s="338"/>
      <c r="M1679" s="338"/>
      <c r="N1679" s="338"/>
      <c r="Q1679" s="338"/>
      <c r="R1679" s="338"/>
      <c r="S1679" s="338"/>
      <c r="T1679" s="338"/>
      <c r="U1679" s="338"/>
      <c r="X1679" s="338"/>
      <c r="Y1679" s="338"/>
      <c r="Z1679" s="338"/>
      <c r="AA1679" s="338"/>
      <c r="AB1679" s="338"/>
      <c r="AC1679" s="338"/>
      <c r="AD1679" s="338"/>
    </row>
    <row r="1680" spans="1:30">
      <c r="A1680" s="338"/>
      <c r="B1680" s="338"/>
      <c r="D1680" s="338"/>
      <c r="E1680" s="338"/>
      <c r="H1680" s="338"/>
      <c r="I1680" s="338"/>
      <c r="J1680" s="338"/>
      <c r="K1680" s="338"/>
      <c r="L1680" s="338"/>
      <c r="M1680" s="338"/>
      <c r="N1680" s="338"/>
      <c r="Q1680" s="338"/>
      <c r="R1680" s="338"/>
      <c r="S1680" s="338"/>
      <c r="T1680" s="338"/>
      <c r="U1680" s="338"/>
      <c r="X1680" s="338"/>
      <c r="Y1680" s="338"/>
      <c r="Z1680" s="338"/>
      <c r="AA1680" s="338"/>
      <c r="AB1680" s="338"/>
      <c r="AC1680" s="338"/>
      <c r="AD1680" s="338"/>
    </row>
    <row r="1681" spans="1:30">
      <c r="A1681" s="338"/>
      <c r="B1681" s="338"/>
      <c r="D1681" s="338"/>
      <c r="E1681" s="338"/>
      <c r="H1681" s="338"/>
      <c r="I1681" s="338"/>
      <c r="J1681" s="338"/>
      <c r="K1681" s="338"/>
      <c r="L1681" s="338"/>
      <c r="M1681" s="338"/>
      <c r="N1681" s="338"/>
      <c r="Q1681" s="338"/>
      <c r="R1681" s="338"/>
      <c r="S1681" s="338"/>
      <c r="T1681" s="338"/>
      <c r="U1681" s="338"/>
      <c r="X1681" s="338"/>
      <c r="Y1681" s="338"/>
      <c r="Z1681" s="338"/>
      <c r="AA1681" s="338"/>
      <c r="AB1681" s="338"/>
      <c r="AC1681" s="338"/>
      <c r="AD1681" s="338"/>
    </row>
    <row r="1682" spans="1:30">
      <c r="A1682" s="338"/>
      <c r="B1682" s="338"/>
      <c r="D1682" s="338"/>
      <c r="E1682" s="338"/>
      <c r="H1682" s="338"/>
      <c r="I1682" s="338"/>
      <c r="J1682" s="338"/>
      <c r="K1682" s="338"/>
      <c r="L1682" s="338"/>
      <c r="M1682" s="338"/>
      <c r="N1682" s="338"/>
      <c r="Q1682" s="338"/>
      <c r="R1682" s="338"/>
      <c r="S1682" s="338"/>
      <c r="T1682" s="338"/>
      <c r="U1682" s="338"/>
      <c r="X1682" s="338"/>
      <c r="Y1682" s="338"/>
      <c r="Z1682" s="338"/>
      <c r="AA1682" s="338"/>
      <c r="AB1682" s="338"/>
      <c r="AC1682" s="338"/>
      <c r="AD1682" s="338"/>
    </row>
    <row r="1683" spans="1:30">
      <c r="A1683" s="338"/>
      <c r="B1683" s="338"/>
      <c r="D1683" s="338"/>
      <c r="E1683" s="338"/>
      <c r="H1683" s="338"/>
      <c r="I1683" s="338"/>
      <c r="J1683" s="338"/>
      <c r="K1683" s="338"/>
      <c r="L1683" s="338"/>
      <c r="M1683" s="338"/>
      <c r="N1683" s="338"/>
      <c r="Q1683" s="338"/>
      <c r="R1683" s="338"/>
      <c r="S1683" s="338"/>
      <c r="T1683" s="338"/>
      <c r="U1683" s="338"/>
      <c r="X1683" s="338"/>
      <c r="Y1683" s="338"/>
      <c r="Z1683" s="338"/>
      <c r="AA1683" s="338"/>
      <c r="AB1683" s="338"/>
      <c r="AC1683" s="338"/>
      <c r="AD1683" s="338"/>
    </row>
    <row r="1684" spans="1:30">
      <c r="A1684" s="338"/>
      <c r="B1684" s="338"/>
      <c r="D1684" s="338"/>
      <c r="E1684" s="338"/>
      <c r="H1684" s="338"/>
      <c r="I1684" s="338"/>
      <c r="J1684" s="338"/>
      <c r="K1684" s="338"/>
      <c r="L1684" s="338"/>
      <c r="M1684" s="338"/>
      <c r="N1684" s="338"/>
      <c r="Q1684" s="338"/>
      <c r="R1684" s="338"/>
      <c r="S1684" s="338"/>
      <c r="T1684" s="338"/>
      <c r="U1684" s="338"/>
      <c r="X1684" s="338"/>
      <c r="Y1684" s="338"/>
      <c r="Z1684" s="338"/>
      <c r="AA1684" s="338"/>
      <c r="AB1684" s="338"/>
      <c r="AC1684" s="338"/>
      <c r="AD1684" s="338"/>
    </row>
    <row r="1685" spans="1:30">
      <c r="A1685" s="338"/>
      <c r="B1685" s="338"/>
      <c r="D1685" s="338"/>
      <c r="E1685" s="338"/>
      <c r="H1685" s="338"/>
      <c r="I1685" s="338"/>
      <c r="J1685" s="338"/>
      <c r="K1685" s="338"/>
      <c r="L1685" s="338"/>
      <c r="M1685" s="338"/>
      <c r="N1685" s="338"/>
      <c r="Q1685" s="338"/>
      <c r="R1685" s="338"/>
      <c r="S1685" s="338"/>
      <c r="T1685" s="338"/>
      <c r="U1685" s="338"/>
      <c r="X1685" s="338"/>
      <c r="Y1685" s="338"/>
      <c r="Z1685" s="338"/>
      <c r="AA1685" s="338"/>
      <c r="AB1685" s="338"/>
      <c r="AC1685" s="338"/>
      <c r="AD1685" s="338"/>
    </row>
    <row r="1686" spans="1:30">
      <c r="A1686" s="338"/>
      <c r="B1686" s="338"/>
      <c r="D1686" s="338"/>
      <c r="E1686" s="338"/>
      <c r="H1686" s="338"/>
      <c r="I1686" s="338"/>
      <c r="J1686" s="338"/>
      <c r="K1686" s="338"/>
      <c r="L1686" s="338"/>
      <c r="M1686" s="338"/>
      <c r="N1686" s="338"/>
      <c r="Q1686" s="338"/>
      <c r="R1686" s="338"/>
      <c r="S1686" s="338"/>
      <c r="T1686" s="338"/>
      <c r="U1686" s="338"/>
      <c r="X1686" s="338"/>
      <c r="Y1686" s="338"/>
      <c r="Z1686" s="338"/>
      <c r="AA1686" s="338"/>
      <c r="AB1686" s="338"/>
      <c r="AC1686" s="338"/>
      <c r="AD1686" s="338"/>
    </row>
    <row r="1687" spans="1:30">
      <c r="A1687" s="338"/>
      <c r="B1687" s="338"/>
      <c r="D1687" s="338"/>
      <c r="E1687" s="338"/>
      <c r="H1687" s="338"/>
      <c r="I1687" s="338"/>
      <c r="J1687" s="338"/>
      <c r="K1687" s="338"/>
      <c r="L1687" s="338"/>
      <c r="M1687" s="338"/>
      <c r="N1687" s="338"/>
      <c r="Q1687" s="338"/>
      <c r="R1687" s="338"/>
      <c r="S1687" s="338"/>
      <c r="T1687" s="338"/>
      <c r="U1687" s="338"/>
      <c r="X1687" s="338"/>
      <c r="Y1687" s="338"/>
      <c r="Z1687" s="338"/>
      <c r="AA1687" s="338"/>
      <c r="AB1687" s="338"/>
      <c r="AC1687" s="338"/>
      <c r="AD1687" s="338"/>
    </row>
    <row r="1688" spans="1:30">
      <c r="A1688" s="338"/>
      <c r="B1688" s="338"/>
      <c r="D1688" s="338"/>
      <c r="E1688" s="338"/>
      <c r="H1688" s="338"/>
      <c r="I1688" s="338"/>
      <c r="J1688" s="338"/>
      <c r="K1688" s="338"/>
      <c r="L1688" s="338"/>
      <c r="M1688" s="338"/>
      <c r="N1688" s="338"/>
      <c r="Q1688" s="338"/>
      <c r="R1688" s="338"/>
      <c r="S1688" s="338"/>
      <c r="T1688" s="338"/>
      <c r="U1688" s="338"/>
      <c r="X1688" s="338"/>
      <c r="Y1688" s="338"/>
      <c r="Z1688" s="338"/>
      <c r="AA1688" s="338"/>
      <c r="AB1688" s="338"/>
      <c r="AC1688" s="338"/>
      <c r="AD1688" s="338"/>
    </row>
    <row r="1689" spans="1:30">
      <c r="A1689" s="338"/>
      <c r="B1689" s="338"/>
      <c r="D1689" s="338"/>
      <c r="E1689" s="338"/>
      <c r="H1689" s="338"/>
      <c r="I1689" s="338"/>
      <c r="J1689" s="338"/>
      <c r="K1689" s="338"/>
      <c r="L1689" s="338"/>
      <c r="M1689" s="338"/>
      <c r="N1689" s="338"/>
      <c r="Q1689" s="338"/>
      <c r="R1689" s="338"/>
      <c r="S1689" s="338"/>
      <c r="T1689" s="338"/>
      <c r="U1689" s="338"/>
      <c r="X1689" s="338"/>
      <c r="Y1689" s="338"/>
      <c r="Z1689" s="338"/>
      <c r="AA1689" s="338"/>
      <c r="AB1689" s="338"/>
      <c r="AC1689" s="338"/>
      <c r="AD1689" s="338"/>
    </row>
    <row r="1690" spans="1:30">
      <c r="A1690" s="338"/>
      <c r="B1690" s="338"/>
      <c r="D1690" s="338"/>
      <c r="E1690" s="338"/>
      <c r="H1690" s="338"/>
      <c r="I1690" s="338"/>
      <c r="J1690" s="338"/>
      <c r="K1690" s="338"/>
      <c r="L1690" s="338"/>
      <c r="M1690" s="338"/>
      <c r="N1690" s="338"/>
      <c r="Q1690" s="338"/>
      <c r="R1690" s="338"/>
      <c r="S1690" s="338"/>
      <c r="T1690" s="338"/>
      <c r="U1690" s="338"/>
      <c r="X1690" s="338"/>
      <c r="Y1690" s="338"/>
      <c r="Z1690" s="338"/>
      <c r="AA1690" s="338"/>
      <c r="AB1690" s="338"/>
      <c r="AC1690" s="338"/>
      <c r="AD1690" s="338"/>
    </row>
    <row r="1691" spans="1:30">
      <c r="A1691" s="338"/>
      <c r="B1691" s="338"/>
      <c r="D1691" s="338"/>
      <c r="E1691" s="338"/>
      <c r="H1691" s="338"/>
      <c r="I1691" s="338"/>
      <c r="J1691" s="338"/>
      <c r="K1691" s="338"/>
      <c r="L1691" s="338"/>
      <c r="M1691" s="338"/>
      <c r="N1691" s="338"/>
      <c r="Q1691" s="338"/>
      <c r="R1691" s="338"/>
      <c r="S1691" s="338"/>
      <c r="T1691" s="338"/>
      <c r="U1691" s="338"/>
      <c r="X1691" s="338"/>
      <c r="Y1691" s="338"/>
      <c r="Z1691" s="338"/>
      <c r="AA1691" s="338"/>
      <c r="AB1691" s="338"/>
      <c r="AC1691" s="338"/>
      <c r="AD1691" s="338"/>
    </row>
    <row r="1692" spans="1:30">
      <c r="A1692" s="338"/>
      <c r="B1692" s="338"/>
      <c r="D1692" s="338"/>
      <c r="E1692" s="338"/>
      <c r="H1692" s="338"/>
      <c r="I1692" s="338"/>
      <c r="J1692" s="338"/>
      <c r="K1692" s="338"/>
      <c r="L1692" s="338"/>
      <c r="M1692" s="338"/>
      <c r="N1692" s="338"/>
      <c r="Q1692" s="338"/>
      <c r="R1692" s="338"/>
      <c r="S1692" s="338"/>
      <c r="T1692" s="338"/>
      <c r="U1692" s="338"/>
      <c r="X1692" s="338"/>
      <c r="Y1692" s="338"/>
      <c r="Z1692" s="338"/>
      <c r="AA1692" s="338"/>
      <c r="AB1692" s="338"/>
      <c r="AC1692" s="338"/>
      <c r="AD1692" s="338"/>
    </row>
    <row r="1693" spans="1:30">
      <c r="A1693" s="338"/>
      <c r="B1693" s="338"/>
      <c r="D1693" s="338"/>
      <c r="E1693" s="338"/>
      <c r="H1693" s="338"/>
      <c r="I1693" s="338"/>
      <c r="J1693" s="338"/>
      <c r="K1693" s="338"/>
      <c r="L1693" s="338"/>
      <c r="M1693" s="338"/>
      <c r="N1693" s="338"/>
      <c r="Q1693" s="338"/>
      <c r="R1693" s="338"/>
      <c r="S1693" s="338"/>
      <c r="T1693" s="338"/>
      <c r="U1693" s="338"/>
      <c r="X1693" s="338"/>
      <c r="Y1693" s="338"/>
      <c r="Z1693" s="338"/>
      <c r="AA1693" s="338"/>
      <c r="AB1693" s="338"/>
      <c r="AC1693" s="338"/>
      <c r="AD1693" s="338"/>
    </row>
    <row r="1694" spans="1:30">
      <c r="A1694" s="338"/>
      <c r="B1694" s="338"/>
      <c r="D1694" s="338"/>
      <c r="E1694" s="338"/>
      <c r="H1694" s="338"/>
      <c r="I1694" s="338"/>
      <c r="J1694" s="338"/>
      <c r="K1694" s="338"/>
      <c r="L1694" s="338"/>
      <c r="M1694" s="338"/>
      <c r="N1694" s="338"/>
      <c r="Q1694" s="338"/>
      <c r="R1694" s="338"/>
      <c r="S1694" s="338"/>
      <c r="T1694" s="338"/>
      <c r="U1694" s="338"/>
      <c r="X1694" s="338"/>
      <c r="Y1694" s="338"/>
      <c r="Z1694" s="338"/>
      <c r="AA1694" s="338"/>
      <c r="AB1694" s="338"/>
      <c r="AC1694" s="338"/>
      <c r="AD1694" s="338"/>
    </row>
    <row r="1695" spans="1:30">
      <c r="A1695" s="338"/>
      <c r="B1695" s="338"/>
      <c r="D1695" s="338"/>
      <c r="E1695" s="338"/>
      <c r="H1695" s="338"/>
      <c r="I1695" s="338"/>
      <c r="J1695" s="338"/>
      <c r="K1695" s="338"/>
      <c r="L1695" s="338"/>
      <c r="M1695" s="338"/>
      <c r="N1695" s="338"/>
      <c r="Q1695" s="338"/>
      <c r="R1695" s="338"/>
      <c r="S1695" s="338"/>
      <c r="T1695" s="338"/>
      <c r="U1695" s="338"/>
      <c r="X1695" s="338"/>
      <c r="Y1695" s="338"/>
      <c r="Z1695" s="338"/>
      <c r="AA1695" s="338"/>
      <c r="AB1695" s="338"/>
      <c r="AC1695" s="338"/>
      <c r="AD1695" s="338"/>
    </row>
    <row r="1696" spans="1:30">
      <c r="A1696" s="338"/>
      <c r="B1696" s="338"/>
      <c r="D1696" s="338"/>
      <c r="E1696" s="338"/>
      <c r="H1696" s="338"/>
      <c r="I1696" s="338"/>
      <c r="J1696" s="338"/>
      <c r="K1696" s="338"/>
      <c r="L1696" s="338"/>
      <c r="M1696" s="338"/>
      <c r="N1696" s="338"/>
      <c r="Q1696" s="338"/>
      <c r="R1696" s="338"/>
      <c r="S1696" s="338"/>
      <c r="T1696" s="338"/>
      <c r="U1696" s="338"/>
      <c r="X1696" s="338"/>
      <c r="Y1696" s="338"/>
      <c r="Z1696" s="338"/>
      <c r="AA1696" s="338"/>
      <c r="AB1696" s="338"/>
      <c r="AC1696" s="338"/>
      <c r="AD1696" s="338"/>
    </row>
    <row r="1697" spans="1:30">
      <c r="A1697" s="338"/>
      <c r="B1697" s="338"/>
      <c r="D1697" s="338"/>
      <c r="E1697" s="338"/>
      <c r="H1697" s="338"/>
      <c r="I1697" s="338"/>
      <c r="J1697" s="338"/>
      <c r="K1697" s="338"/>
      <c r="L1697" s="338"/>
      <c r="M1697" s="338"/>
      <c r="N1697" s="338"/>
      <c r="Q1697" s="338"/>
      <c r="R1697" s="338"/>
      <c r="S1697" s="338"/>
      <c r="T1697" s="338"/>
      <c r="U1697" s="338"/>
      <c r="X1697" s="338"/>
      <c r="Y1697" s="338"/>
      <c r="Z1697" s="338"/>
      <c r="AA1697" s="338"/>
      <c r="AB1697" s="338"/>
      <c r="AC1697" s="338"/>
      <c r="AD1697" s="338"/>
    </row>
    <row r="1698" spans="1:30">
      <c r="A1698" s="338"/>
      <c r="B1698" s="338"/>
      <c r="D1698" s="338"/>
      <c r="E1698" s="338"/>
      <c r="H1698" s="338"/>
      <c r="I1698" s="338"/>
      <c r="J1698" s="338"/>
      <c r="K1698" s="338"/>
      <c r="L1698" s="338"/>
      <c r="M1698" s="338"/>
      <c r="N1698" s="338"/>
      <c r="Q1698" s="338"/>
      <c r="R1698" s="338"/>
      <c r="S1698" s="338"/>
      <c r="T1698" s="338"/>
      <c r="U1698" s="338"/>
      <c r="X1698" s="338"/>
      <c r="Y1698" s="338"/>
      <c r="Z1698" s="338"/>
      <c r="AA1698" s="338"/>
      <c r="AB1698" s="338"/>
      <c r="AC1698" s="338"/>
      <c r="AD1698" s="338"/>
    </row>
    <row r="1699" spans="1:30">
      <c r="A1699" s="338"/>
      <c r="B1699" s="338"/>
      <c r="D1699" s="338"/>
      <c r="E1699" s="338"/>
      <c r="H1699" s="338"/>
      <c r="I1699" s="338"/>
      <c r="J1699" s="338"/>
      <c r="K1699" s="338"/>
      <c r="L1699" s="338"/>
      <c r="M1699" s="338"/>
      <c r="N1699" s="338"/>
      <c r="Q1699" s="338"/>
      <c r="R1699" s="338"/>
      <c r="S1699" s="338"/>
      <c r="T1699" s="338"/>
      <c r="U1699" s="338"/>
      <c r="X1699" s="338"/>
      <c r="Y1699" s="338"/>
      <c r="Z1699" s="338"/>
      <c r="AA1699" s="338"/>
      <c r="AB1699" s="338"/>
      <c r="AC1699" s="338"/>
      <c r="AD1699" s="338"/>
    </row>
    <row r="1700" spans="1:30">
      <c r="A1700" s="338"/>
      <c r="B1700" s="338"/>
      <c r="D1700" s="338"/>
      <c r="E1700" s="338"/>
      <c r="H1700" s="338"/>
      <c r="I1700" s="338"/>
      <c r="J1700" s="338"/>
      <c r="K1700" s="338"/>
      <c r="L1700" s="338"/>
      <c r="M1700" s="338"/>
      <c r="N1700" s="338"/>
      <c r="Q1700" s="338"/>
      <c r="R1700" s="338"/>
      <c r="S1700" s="338"/>
      <c r="T1700" s="338"/>
      <c r="U1700" s="338"/>
      <c r="X1700" s="338"/>
      <c r="Y1700" s="338"/>
      <c r="Z1700" s="338"/>
      <c r="AA1700" s="338"/>
      <c r="AB1700" s="338"/>
      <c r="AC1700" s="338"/>
      <c r="AD1700" s="338"/>
    </row>
    <row r="1701" spans="1:30">
      <c r="A1701" s="338"/>
      <c r="B1701" s="338"/>
      <c r="D1701" s="338"/>
      <c r="E1701" s="338"/>
      <c r="H1701" s="338"/>
      <c r="I1701" s="338"/>
      <c r="J1701" s="338"/>
      <c r="K1701" s="338"/>
      <c r="L1701" s="338"/>
      <c r="M1701" s="338"/>
      <c r="N1701" s="338"/>
      <c r="Q1701" s="338"/>
      <c r="R1701" s="338"/>
      <c r="S1701" s="338"/>
      <c r="T1701" s="338"/>
      <c r="U1701" s="338"/>
      <c r="X1701" s="338"/>
      <c r="Y1701" s="338"/>
      <c r="Z1701" s="338"/>
      <c r="AA1701" s="338"/>
      <c r="AB1701" s="338"/>
      <c r="AC1701" s="338"/>
      <c r="AD1701" s="338"/>
    </row>
    <row r="1702" spans="1:30">
      <c r="A1702" s="338"/>
      <c r="B1702" s="338"/>
      <c r="D1702" s="338"/>
      <c r="E1702" s="338"/>
      <c r="H1702" s="338"/>
      <c r="I1702" s="338"/>
      <c r="J1702" s="338"/>
      <c r="K1702" s="338"/>
      <c r="L1702" s="338"/>
      <c r="M1702" s="338"/>
      <c r="N1702" s="338"/>
      <c r="Q1702" s="338"/>
      <c r="R1702" s="338"/>
      <c r="S1702" s="338"/>
      <c r="T1702" s="338"/>
      <c r="U1702" s="338"/>
      <c r="X1702" s="338"/>
      <c r="Y1702" s="338"/>
      <c r="Z1702" s="338"/>
      <c r="AA1702" s="338"/>
      <c r="AB1702" s="338"/>
      <c r="AC1702" s="338"/>
      <c r="AD1702" s="338"/>
    </row>
    <row r="1703" spans="1:30">
      <c r="A1703" s="338"/>
      <c r="B1703" s="338"/>
      <c r="D1703" s="338"/>
      <c r="E1703" s="338"/>
      <c r="H1703" s="338"/>
      <c r="I1703" s="338"/>
      <c r="J1703" s="338"/>
      <c r="K1703" s="338"/>
      <c r="L1703" s="338"/>
      <c r="M1703" s="338"/>
      <c r="N1703" s="338"/>
      <c r="Q1703" s="338"/>
      <c r="R1703" s="338"/>
      <c r="S1703" s="338"/>
      <c r="T1703" s="338"/>
      <c r="U1703" s="338"/>
      <c r="X1703" s="338"/>
      <c r="Y1703" s="338"/>
      <c r="Z1703" s="338"/>
      <c r="AA1703" s="338"/>
      <c r="AB1703" s="338"/>
      <c r="AC1703" s="338"/>
      <c r="AD1703" s="338"/>
    </row>
    <row r="1704" spans="1:30">
      <c r="A1704" s="338"/>
      <c r="B1704" s="338"/>
      <c r="D1704" s="338"/>
      <c r="E1704" s="338"/>
      <c r="H1704" s="338"/>
      <c r="I1704" s="338"/>
      <c r="J1704" s="338"/>
      <c r="K1704" s="338"/>
      <c r="L1704" s="338"/>
      <c r="M1704" s="338"/>
      <c r="N1704" s="338"/>
      <c r="Q1704" s="338"/>
      <c r="R1704" s="338"/>
      <c r="S1704" s="338"/>
      <c r="T1704" s="338"/>
      <c r="U1704" s="338"/>
      <c r="X1704" s="338"/>
      <c r="Y1704" s="338"/>
      <c r="Z1704" s="338"/>
      <c r="AA1704" s="338"/>
      <c r="AB1704" s="338"/>
      <c r="AC1704" s="338"/>
      <c r="AD1704" s="338"/>
    </row>
    <row r="1705" spans="1:30">
      <c r="A1705" s="338"/>
      <c r="B1705" s="338"/>
      <c r="D1705" s="338"/>
      <c r="E1705" s="338"/>
      <c r="H1705" s="338"/>
      <c r="I1705" s="338"/>
      <c r="J1705" s="338"/>
      <c r="K1705" s="338"/>
      <c r="L1705" s="338"/>
      <c r="M1705" s="338"/>
      <c r="N1705" s="338"/>
      <c r="Q1705" s="338"/>
      <c r="R1705" s="338"/>
      <c r="S1705" s="338"/>
      <c r="T1705" s="338"/>
      <c r="U1705" s="338"/>
      <c r="X1705" s="338"/>
      <c r="Y1705" s="338"/>
      <c r="Z1705" s="338"/>
      <c r="AA1705" s="338"/>
      <c r="AB1705" s="338"/>
      <c r="AC1705" s="338"/>
      <c r="AD1705" s="338"/>
    </row>
    <row r="1706" spans="1:30">
      <c r="A1706" s="338"/>
      <c r="B1706" s="338"/>
      <c r="D1706" s="338"/>
      <c r="E1706" s="338"/>
      <c r="H1706" s="338"/>
      <c r="I1706" s="338"/>
      <c r="J1706" s="338"/>
      <c r="K1706" s="338"/>
      <c r="L1706" s="338"/>
      <c r="M1706" s="338"/>
      <c r="N1706" s="338"/>
      <c r="Q1706" s="338"/>
      <c r="R1706" s="338"/>
      <c r="S1706" s="338"/>
      <c r="T1706" s="338"/>
      <c r="U1706" s="338"/>
      <c r="X1706" s="338"/>
      <c r="Y1706" s="338"/>
      <c r="Z1706" s="338"/>
      <c r="AA1706" s="338"/>
      <c r="AB1706" s="338"/>
      <c r="AC1706" s="338"/>
      <c r="AD1706" s="338"/>
    </row>
    <row r="1707" spans="1:30">
      <c r="A1707" s="338"/>
      <c r="B1707" s="338"/>
      <c r="D1707" s="338"/>
      <c r="E1707" s="338"/>
      <c r="H1707" s="338"/>
      <c r="I1707" s="338"/>
      <c r="J1707" s="338"/>
      <c r="K1707" s="338"/>
      <c r="L1707" s="338"/>
      <c r="M1707" s="338"/>
      <c r="N1707" s="338"/>
      <c r="Q1707" s="338"/>
      <c r="R1707" s="338"/>
      <c r="S1707" s="338"/>
      <c r="T1707" s="338"/>
      <c r="U1707" s="338"/>
      <c r="X1707" s="338"/>
      <c r="Y1707" s="338"/>
      <c r="Z1707" s="338"/>
      <c r="AA1707" s="338"/>
      <c r="AB1707" s="338"/>
      <c r="AC1707" s="338"/>
      <c r="AD1707" s="338"/>
    </row>
    <row r="1708" spans="1:30">
      <c r="A1708" s="338"/>
      <c r="B1708" s="338"/>
      <c r="D1708" s="338"/>
      <c r="E1708" s="338"/>
      <c r="H1708" s="338"/>
      <c r="I1708" s="338"/>
      <c r="J1708" s="338"/>
      <c r="K1708" s="338"/>
      <c r="L1708" s="338"/>
      <c r="M1708" s="338"/>
      <c r="N1708" s="338"/>
      <c r="Q1708" s="338"/>
      <c r="R1708" s="338"/>
      <c r="S1708" s="338"/>
      <c r="T1708" s="338"/>
      <c r="U1708" s="338"/>
      <c r="X1708" s="338"/>
      <c r="Y1708" s="338"/>
      <c r="Z1708" s="338"/>
      <c r="AA1708" s="338"/>
      <c r="AB1708" s="338"/>
      <c r="AC1708" s="338"/>
      <c r="AD1708" s="338"/>
    </row>
    <row r="1709" spans="1:30">
      <c r="A1709" s="338"/>
      <c r="B1709" s="338"/>
      <c r="D1709" s="338"/>
      <c r="E1709" s="338"/>
      <c r="H1709" s="338"/>
      <c r="I1709" s="338"/>
      <c r="J1709" s="338"/>
      <c r="K1709" s="338"/>
      <c r="L1709" s="338"/>
      <c r="M1709" s="338"/>
      <c r="N1709" s="338"/>
      <c r="Q1709" s="338"/>
      <c r="R1709" s="338"/>
      <c r="S1709" s="338"/>
      <c r="T1709" s="338"/>
      <c r="U1709" s="338"/>
      <c r="X1709" s="338"/>
      <c r="Y1709" s="338"/>
      <c r="Z1709" s="338"/>
      <c r="AA1709" s="338"/>
      <c r="AB1709" s="338"/>
      <c r="AC1709" s="338"/>
      <c r="AD1709" s="338"/>
    </row>
    <row r="1710" spans="1:30">
      <c r="A1710" s="338"/>
      <c r="B1710" s="338"/>
      <c r="D1710" s="338"/>
      <c r="E1710" s="338"/>
      <c r="H1710" s="338"/>
      <c r="I1710" s="338"/>
      <c r="J1710" s="338"/>
      <c r="K1710" s="338"/>
      <c r="L1710" s="338"/>
      <c r="M1710" s="338"/>
      <c r="N1710" s="338"/>
      <c r="Q1710" s="338"/>
      <c r="R1710" s="338"/>
      <c r="S1710" s="338"/>
      <c r="T1710" s="338"/>
      <c r="U1710" s="338"/>
      <c r="X1710" s="338"/>
      <c r="Y1710" s="338"/>
      <c r="Z1710" s="338"/>
      <c r="AA1710" s="338"/>
      <c r="AB1710" s="338"/>
      <c r="AC1710" s="338"/>
      <c r="AD1710" s="338"/>
    </row>
    <row r="1711" spans="1:30">
      <c r="A1711" s="338"/>
      <c r="B1711" s="338"/>
      <c r="D1711" s="338"/>
      <c r="E1711" s="338"/>
      <c r="H1711" s="338"/>
      <c r="I1711" s="338"/>
      <c r="J1711" s="338"/>
      <c r="K1711" s="338"/>
      <c r="L1711" s="338"/>
      <c r="M1711" s="338"/>
      <c r="N1711" s="338"/>
      <c r="Q1711" s="338"/>
      <c r="R1711" s="338"/>
      <c r="S1711" s="338"/>
      <c r="T1711" s="338"/>
      <c r="U1711" s="338"/>
      <c r="X1711" s="338"/>
      <c r="Y1711" s="338"/>
      <c r="Z1711" s="338"/>
      <c r="AA1711" s="338"/>
      <c r="AB1711" s="338"/>
      <c r="AC1711" s="338"/>
      <c r="AD1711" s="338"/>
    </row>
    <row r="1712" spans="1:30">
      <c r="A1712" s="338"/>
      <c r="B1712" s="338"/>
      <c r="D1712" s="338"/>
      <c r="E1712" s="338"/>
      <c r="H1712" s="338"/>
      <c r="I1712" s="338"/>
      <c r="J1712" s="338"/>
      <c r="K1712" s="338"/>
      <c r="L1712" s="338"/>
      <c r="M1712" s="338"/>
      <c r="N1712" s="338"/>
      <c r="Q1712" s="338"/>
      <c r="R1712" s="338"/>
      <c r="S1712" s="338"/>
      <c r="T1712" s="338"/>
      <c r="U1712" s="338"/>
      <c r="X1712" s="338"/>
      <c r="Y1712" s="338"/>
      <c r="Z1712" s="338"/>
      <c r="AA1712" s="338"/>
      <c r="AB1712" s="338"/>
      <c r="AC1712" s="338"/>
      <c r="AD1712" s="338"/>
    </row>
    <row r="1713" spans="1:30">
      <c r="A1713" s="338"/>
      <c r="B1713" s="338"/>
      <c r="D1713" s="338"/>
      <c r="E1713" s="338"/>
      <c r="H1713" s="338"/>
      <c r="I1713" s="338"/>
      <c r="J1713" s="338"/>
      <c r="K1713" s="338"/>
      <c r="L1713" s="338"/>
      <c r="M1713" s="338"/>
      <c r="N1713" s="338"/>
      <c r="Q1713" s="338"/>
      <c r="R1713" s="338"/>
      <c r="S1713" s="338"/>
      <c r="T1713" s="338"/>
      <c r="U1713" s="338"/>
      <c r="X1713" s="338"/>
      <c r="Y1713" s="338"/>
      <c r="Z1713" s="338"/>
      <c r="AA1713" s="338"/>
      <c r="AB1713" s="338"/>
      <c r="AC1713" s="338"/>
      <c r="AD1713" s="338"/>
    </row>
    <row r="1714" spans="1:30">
      <c r="A1714" s="338"/>
      <c r="B1714" s="338"/>
      <c r="D1714" s="338"/>
      <c r="E1714" s="338"/>
      <c r="H1714" s="338"/>
      <c r="I1714" s="338"/>
      <c r="J1714" s="338"/>
      <c r="K1714" s="338"/>
      <c r="L1714" s="338"/>
      <c r="M1714" s="338"/>
      <c r="N1714" s="338"/>
      <c r="Q1714" s="338"/>
      <c r="R1714" s="338"/>
      <c r="S1714" s="338"/>
      <c r="T1714" s="338"/>
      <c r="U1714" s="338"/>
      <c r="X1714" s="338"/>
      <c r="Y1714" s="338"/>
      <c r="Z1714" s="338"/>
      <c r="AA1714" s="338"/>
      <c r="AB1714" s="338"/>
      <c r="AC1714" s="338"/>
      <c r="AD1714" s="338"/>
    </row>
    <row r="1715" spans="1:30">
      <c r="A1715" s="338"/>
      <c r="B1715" s="338"/>
      <c r="D1715" s="338"/>
      <c r="E1715" s="338"/>
      <c r="H1715" s="338"/>
      <c r="I1715" s="338"/>
      <c r="J1715" s="338"/>
      <c r="K1715" s="338"/>
      <c r="L1715" s="338"/>
      <c r="M1715" s="338"/>
      <c r="N1715" s="338"/>
      <c r="Q1715" s="338"/>
      <c r="R1715" s="338"/>
      <c r="S1715" s="338"/>
      <c r="T1715" s="338"/>
      <c r="U1715" s="338"/>
      <c r="X1715" s="338"/>
      <c r="Y1715" s="338"/>
      <c r="Z1715" s="338"/>
      <c r="AA1715" s="338"/>
      <c r="AB1715" s="338"/>
      <c r="AC1715" s="338"/>
      <c r="AD1715" s="338"/>
    </row>
    <row r="1716" spans="1:30">
      <c r="A1716" s="338"/>
      <c r="B1716" s="338"/>
      <c r="D1716" s="338"/>
      <c r="E1716" s="338"/>
      <c r="H1716" s="338"/>
      <c r="I1716" s="338"/>
      <c r="J1716" s="338"/>
      <c r="K1716" s="338"/>
      <c r="L1716" s="338"/>
      <c r="M1716" s="338"/>
      <c r="N1716" s="338"/>
      <c r="Q1716" s="338"/>
      <c r="R1716" s="338"/>
      <c r="S1716" s="338"/>
      <c r="T1716" s="338"/>
      <c r="U1716" s="338"/>
      <c r="X1716" s="338"/>
      <c r="Y1716" s="338"/>
      <c r="Z1716" s="338"/>
      <c r="AA1716" s="338"/>
      <c r="AB1716" s="338"/>
      <c r="AC1716" s="338"/>
      <c r="AD1716" s="338"/>
    </row>
    <row r="1717" spans="1:30">
      <c r="A1717" s="338"/>
      <c r="B1717" s="338"/>
      <c r="D1717" s="338"/>
      <c r="E1717" s="338"/>
      <c r="H1717" s="338"/>
      <c r="I1717" s="338"/>
      <c r="J1717" s="338"/>
      <c r="K1717" s="338"/>
      <c r="L1717" s="338"/>
      <c r="M1717" s="338"/>
      <c r="N1717" s="338"/>
      <c r="Q1717" s="338"/>
      <c r="R1717" s="338"/>
      <c r="S1717" s="338"/>
      <c r="T1717" s="338"/>
      <c r="U1717" s="338"/>
      <c r="X1717" s="338"/>
      <c r="Y1717" s="338"/>
      <c r="Z1717" s="338"/>
      <c r="AA1717" s="338"/>
      <c r="AB1717" s="338"/>
      <c r="AC1717" s="338"/>
      <c r="AD1717" s="338"/>
    </row>
    <row r="1718" spans="1:30">
      <c r="A1718" s="338"/>
      <c r="B1718" s="338"/>
      <c r="D1718" s="338"/>
      <c r="E1718" s="338"/>
      <c r="H1718" s="338"/>
      <c r="I1718" s="338"/>
      <c r="J1718" s="338"/>
      <c r="K1718" s="338"/>
      <c r="L1718" s="338"/>
      <c r="M1718" s="338"/>
      <c r="N1718" s="338"/>
      <c r="Q1718" s="338"/>
      <c r="R1718" s="338"/>
      <c r="S1718" s="338"/>
      <c r="T1718" s="338"/>
      <c r="U1718" s="338"/>
      <c r="X1718" s="338"/>
      <c r="Y1718" s="338"/>
      <c r="Z1718" s="338"/>
      <c r="AA1718" s="338"/>
      <c r="AB1718" s="338"/>
      <c r="AC1718" s="338"/>
      <c r="AD1718" s="338"/>
    </row>
    <row r="1719" spans="1:30">
      <c r="A1719" s="338"/>
      <c r="B1719" s="338"/>
      <c r="D1719" s="338"/>
      <c r="E1719" s="338"/>
      <c r="H1719" s="338"/>
      <c r="I1719" s="338"/>
      <c r="J1719" s="338"/>
      <c r="K1719" s="338"/>
      <c r="L1719" s="338"/>
      <c r="M1719" s="338"/>
      <c r="N1719" s="338"/>
      <c r="Q1719" s="338"/>
      <c r="R1719" s="338"/>
      <c r="S1719" s="338"/>
      <c r="T1719" s="338"/>
      <c r="U1719" s="338"/>
      <c r="X1719" s="338"/>
      <c r="Y1719" s="338"/>
      <c r="Z1719" s="338"/>
      <c r="AA1719" s="338"/>
      <c r="AB1719" s="338"/>
      <c r="AC1719" s="338"/>
      <c r="AD1719" s="338"/>
    </row>
    <row r="1720" spans="1:30">
      <c r="A1720" s="338"/>
      <c r="B1720" s="338"/>
      <c r="D1720" s="338"/>
      <c r="E1720" s="338"/>
      <c r="H1720" s="338"/>
      <c r="I1720" s="338"/>
      <c r="J1720" s="338"/>
      <c r="K1720" s="338"/>
      <c r="L1720" s="338"/>
      <c r="M1720" s="338"/>
      <c r="N1720" s="338"/>
      <c r="Q1720" s="338"/>
      <c r="R1720" s="338"/>
      <c r="S1720" s="338"/>
      <c r="T1720" s="338"/>
      <c r="U1720" s="338"/>
      <c r="X1720" s="338"/>
      <c r="Y1720" s="338"/>
      <c r="Z1720" s="338"/>
      <c r="AA1720" s="338"/>
      <c r="AB1720" s="338"/>
      <c r="AC1720" s="338"/>
      <c r="AD1720" s="338"/>
    </row>
    <row r="1721" spans="1:30">
      <c r="A1721" s="338"/>
      <c r="B1721" s="338"/>
      <c r="D1721" s="338"/>
      <c r="E1721" s="338"/>
      <c r="H1721" s="338"/>
      <c r="I1721" s="338"/>
      <c r="J1721" s="338"/>
      <c r="K1721" s="338"/>
      <c r="L1721" s="338"/>
      <c r="M1721" s="338"/>
      <c r="N1721" s="338"/>
      <c r="Q1721" s="338"/>
      <c r="R1721" s="338"/>
      <c r="S1721" s="338"/>
      <c r="T1721" s="338"/>
      <c r="U1721" s="338"/>
      <c r="X1721" s="338"/>
      <c r="Y1721" s="338"/>
      <c r="Z1721" s="338"/>
      <c r="AA1721" s="338"/>
      <c r="AB1721" s="338"/>
      <c r="AC1721" s="338"/>
      <c r="AD1721" s="338"/>
    </row>
    <row r="1722" spans="1:30">
      <c r="A1722" s="338"/>
      <c r="B1722" s="338"/>
      <c r="D1722" s="338"/>
      <c r="E1722" s="338"/>
      <c r="H1722" s="338"/>
      <c r="I1722" s="338"/>
      <c r="J1722" s="338"/>
      <c r="K1722" s="338"/>
      <c r="L1722" s="338"/>
      <c r="M1722" s="338"/>
      <c r="N1722" s="338"/>
      <c r="Q1722" s="338"/>
      <c r="R1722" s="338"/>
      <c r="S1722" s="338"/>
      <c r="T1722" s="338"/>
      <c r="U1722" s="338"/>
      <c r="X1722" s="338"/>
      <c r="Y1722" s="338"/>
      <c r="Z1722" s="338"/>
      <c r="AA1722" s="338"/>
      <c r="AB1722" s="338"/>
      <c r="AC1722" s="338"/>
      <c r="AD1722" s="338"/>
    </row>
    <row r="1723" spans="1:30">
      <c r="A1723" s="338"/>
      <c r="B1723" s="338"/>
      <c r="D1723" s="338"/>
      <c r="E1723" s="338"/>
      <c r="H1723" s="338"/>
      <c r="I1723" s="338"/>
      <c r="J1723" s="338"/>
      <c r="K1723" s="338"/>
      <c r="L1723" s="338"/>
      <c r="M1723" s="338"/>
      <c r="N1723" s="338"/>
      <c r="Q1723" s="338"/>
      <c r="R1723" s="338"/>
      <c r="S1723" s="338"/>
      <c r="T1723" s="338"/>
      <c r="U1723" s="338"/>
      <c r="X1723" s="338"/>
      <c r="Y1723" s="338"/>
      <c r="Z1723" s="338"/>
      <c r="AA1723" s="338"/>
      <c r="AB1723" s="338"/>
      <c r="AC1723" s="338"/>
      <c r="AD1723" s="338"/>
    </row>
    <row r="1724" spans="1:30">
      <c r="A1724" s="338"/>
      <c r="B1724" s="338"/>
      <c r="D1724" s="338"/>
      <c r="E1724" s="338"/>
      <c r="H1724" s="338"/>
      <c r="I1724" s="338"/>
      <c r="J1724" s="338"/>
      <c r="K1724" s="338"/>
      <c r="L1724" s="338"/>
      <c r="M1724" s="338"/>
      <c r="N1724" s="338"/>
      <c r="Q1724" s="338"/>
      <c r="R1724" s="338"/>
      <c r="S1724" s="338"/>
      <c r="T1724" s="338"/>
      <c r="U1724" s="338"/>
      <c r="X1724" s="338"/>
      <c r="Y1724" s="338"/>
      <c r="Z1724" s="338"/>
      <c r="AA1724" s="338"/>
      <c r="AB1724" s="338"/>
      <c r="AC1724" s="338"/>
      <c r="AD1724" s="338"/>
    </row>
    <row r="1725" spans="1:30">
      <c r="A1725" s="338"/>
      <c r="B1725" s="338"/>
      <c r="D1725" s="338"/>
      <c r="E1725" s="338"/>
      <c r="H1725" s="338"/>
      <c r="I1725" s="338"/>
      <c r="J1725" s="338"/>
      <c r="K1725" s="338"/>
      <c r="L1725" s="338"/>
      <c r="M1725" s="338"/>
      <c r="N1725" s="338"/>
      <c r="Q1725" s="338"/>
      <c r="R1725" s="338"/>
      <c r="S1725" s="338"/>
      <c r="T1725" s="338"/>
      <c r="U1725" s="338"/>
      <c r="X1725" s="338"/>
      <c r="Y1725" s="338"/>
      <c r="Z1725" s="338"/>
      <c r="AA1725" s="338"/>
      <c r="AB1725" s="338"/>
      <c r="AC1725" s="338"/>
      <c r="AD1725" s="338"/>
    </row>
    <row r="1726" spans="1:30">
      <c r="A1726" s="338"/>
      <c r="B1726" s="338"/>
      <c r="D1726" s="338"/>
      <c r="E1726" s="338"/>
      <c r="H1726" s="338"/>
      <c r="I1726" s="338"/>
      <c r="J1726" s="338"/>
      <c r="K1726" s="338"/>
      <c r="L1726" s="338"/>
      <c r="M1726" s="338"/>
      <c r="N1726" s="338"/>
      <c r="Q1726" s="338"/>
      <c r="R1726" s="338"/>
      <c r="S1726" s="338"/>
      <c r="T1726" s="338"/>
      <c r="U1726" s="338"/>
      <c r="X1726" s="338"/>
      <c r="Y1726" s="338"/>
      <c r="Z1726" s="338"/>
      <c r="AA1726" s="338"/>
      <c r="AB1726" s="338"/>
      <c r="AC1726" s="338"/>
      <c r="AD1726" s="338"/>
    </row>
    <row r="1727" spans="1:30">
      <c r="A1727" s="338"/>
      <c r="B1727" s="338"/>
      <c r="D1727" s="338"/>
      <c r="E1727" s="338"/>
      <c r="H1727" s="338"/>
      <c r="I1727" s="338"/>
      <c r="J1727" s="338"/>
      <c r="K1727" s="338"/>
      <c r="L1727" s="338"/>
      <c r="M1727" s="338"/>
      <c r="N1727" s="338"/>
      <c r="Q1727" s="338"/>
      <c r="R1727" s="338"/>
      <c r="S1727" s="338"/>
      <c r="T1727" s="338"/>
      <c r="U1727" s="338"/>
      <c r="X1727" s="338"/>
      <c r="Y1727" s="338"/>
      <c r="Z1727" s="338"/>
      <c r="AA1727" s="338"/>
      <c r="AB1727" s="338"/>
      <c r="AC1727" s="338"/>
      <c r="AD1727" s="338"/>
    </row>
    <row r="1728" spans="1:30">
      <c r="A1728" s="338"/>
      <c r="B1728" s="338"/>
      <c r="D1728" s="338"/>
      <c r="E1728" s="338"/>
      <c r="H1728" s="338"/>
      <c r="I1728" s="338"/>
      <c r="J1728" s="338"/>
      <c r="K1728" s="338"/>
      <c r="L1728" s="338"/>
      <c r="M1728" s="338"/>
      <c r="N1728" s="338"/>
      <c r="Q1728" s="338"/>
      <c r="R1728" s="338"/>
      <c r="S1728" s="338"/>
      <c r="T1728" s="338"/>
      <c r="U1728" s="338"/>
      <c r="X1728" s="338"/>
      <c r="Y1728" s="338"/>
      <c r="Z1728" s="338"/>
      <c r="AA1728" s="338"/>
      <c r="AB1728" s="338"/>
      <c r="AC1728" s="338"/>
      <c r="AD1728" s="338"/>
    </row>
    <row r="1729" spans="1:30">
      <c r="A1729" s="338"/>
      <c r="B1729" s="338"/>
      <c r="D1729" s="338"/>
      <c r="E1729" s="338"/>
      <c r="H1729" s="338"/>
      <c r="I1729" s="338"/>
      <c r="J1729" s="338"/>
      <c r="K1729" s="338"/>
      <c r="L1729" s="338"/>
      <c r="M1729" s="338"/>
      <c r="N1729" s="338"/>
      <c r="Q1729" s="338"/>
      <c r="R1729" s="338"/>
      <c r="S1729" s="338"/>
      <c r="T1729" s="338"/>
      <c r="U1729" s="338"/>
      <c r="X1729" s="338"/>
      <c r="Y1729" s="338"/>
      <c r="Z1729" s="338"/>
      <c r="AA1729" s="338"/>
      <c r="AB1729" s="338"/>
      <c r="AC1729" s="338"/>
      <c r="AD1729" s="338"/>
    </row>
    <row r="1730" spans="1:30">
      <c r="A1730" s="338"/>
      <c r="B1730" s="338"/>
      <c r="D1730" s="338"/>
      <c r="E1730" s="338"/>
      <c r="H1730" s="338"/>
      <c r="I1730" s="338"/>
      <c r="J1730" s="338"/>
      <c r="K1730" s="338"/>
      <c r="L1730" s="338"/>
      <c r="M1730" s="338"/>
      <c r="N1730" s="338"/>
      <c r="Q1730" s="338"/>
      <c r="R1730" s="338"/>
      <c r="S1730" s="338"/>
      <c r="T1730" s="338"/>
      <c r="U1730" s="338"/>
      <c r="X1730" s="338"/>
      <c r="Y1730" s="338"/>
      <c r="Z1730" s="338"/>
      <c r="AA1730" s="338"/>
      <c r="AB1730" s="338"/>
      <c r="AC1730" s="338"/>
      <c r="AD1730" s="338"/>
    </row>
    <row r="1731" spans="1:30">
      <c r="A1731" s="338"/>
      <c r="B1731" s="338"/>
      <c r="D1731" s="338"/>
      <c r="E1731" s="338"/>
      <c r="H1731" s="338"/>
      <c r="I1731" s="338"/>
      <c r="J1731" s="338"/>
      <c r="K1731" s="338"/>
      <c r="L1731" s="338"/>
      <c r="M1731" s="338"/>
      <c r="N1731" s="338"/>
      <c r="Q1731" s="338"/>
      <c r="R1731" s="338"/>
      <c r="S1731" s="338"/>
      <c r="T1731" s="338"/>
      <c r="U1731" s="338"/>
      <c r="X1731" s="338"/>
      <c r="Y1731" s="338"/>
      <c r="Z1731" s="338"/>
      <c r="AA1731" s="338"/>
      <c r="AB1731" s="338"/>
      <c r="AC1731" s="338"/>
      <c r="AD1731" s="338"/>
    </row>
    <row r="1732" spans="1:30">
      <c r="A1732" s="338"/>
      <c r="B1732" s="338"/>
      <c r="D1732" s="338"/>
      <c r="E1732" s="338"/>
      <c r="H1732" s="338"/>
      <c r="I1732" s="338"/>
      <c r="J1732" s="338"/>
      <c r="K1732" s="338"/>
      <c r="L1732" s="338"/>
      <c r="M1732" s="338"/>
      <c r="N1732" s="338"/>
      <c r="Q1732" s="338"/>
      <c r="R1732" s="338"/>
      <c r="S1732" s="338"/>
      <c r="T1732" s="338"/>
      <c r="U1732" s="338"/>
      <c r="X1732" s="338"/>
      <c r="Y1732" s="338"/>
      <c r="Z1732" s="338"/>
      <c r="AA1732" s="338"/>
      <c r="AB1732" s="338"/>
      <c r="AC1732" s="338"/>
      <c r="AD1732" s="338"/>
    </row>
    <row r="1733" spans="1:30">
      <c r="A1733" s="338"/>
      <c r="B1733" s="338"/>
      <c r="D1733" s="338"/>
      <c r="E1733" s="338"/>
      <c r="H1733" s="338"/>
      <c r="I1733" s="338"/>
      <c r="J1733" s="338"/>
      <c r="K1733" s="338"/>
      <c r="L1733" s="338"/>
      <c r="M1733" s="338"/>
      <c r="N1733" s="338"/>
      <c r="Q1733" s="338"/>
      <c r="R1733" s="338"/>
      <c r="S1733" s="338"/>
      <c r="T1733" s="338"/>
      <c r="U1733" s="338"/>
      <c r="X1733" s="338"/>
      <c r="Y1733" s="338"/>
      <c r="Z1733" s="338"/>
      <c r="AA1733" s="338"/>
      <c r="AB1733" s="338"/>
      <c r="AC1733" s="338"/>
      <c r="AD1733" s="338"/>
    </row>
    <row r="1734" spans="1:30">
      <c r="A1734" s="338"/>
      <c r="B1734" s="338"/>
      <c r="D1734" s="338"/>
      <c r="E1734" s="338"/>
      <c r="H1734" s="338"/>
      <c r="I1734" s="338"/>
      <c r="J1734" s="338"/>
      <c r="K1734" s="338"/>
      <c r="L1734" s="338"/>
      <c r="M1734" s="338"/>
      <c r="N1734" s="338"/>
      <c r="Q1734" s="338"/>
      <c r="R1734" s="338"/>
      <c r="S1734" s="338"/>
      <c r="T1734" s="338"/>
      <c r="U1734" s="338"/>
      <c r="X1734" s="338"/>
      <c r="Y1734" s="338"/>
      <c r="Z1734" s="338"/>
      <c r="AA1734" s="338"/>
      <c r="AB1734" s="338"/>
      <c r="AC1734" s="338"/>
      <c r="AD1734" s="338"/>
    </row>
    <row r="1735" spans="1:30">
      <c r="A1735" s="338"/>
      <c r="B1735" s="338"/>
      <c r="D1735" s="338"/>
      <c r="E1735" s="338"/>
      <c r="H1735" s="338"/>
      <c r="I1735" s="338"/>
      <c r="J1735" s="338"/>
      <c r="K1735" s="338"/>
      <c r="L1735" s="338"/>
      <c r="M1735" s="338"/>
      <c r="N1735" s="338"/>
      <c r="Q1735" s="338"/>
      <c r="R1735" s="338"/>
      <c r="S1735" s="338"/>
      <c r="T1735" s="338"/>
      <c r="U1735" s="338"/>
      <c r="X1735" s="338"/>
      <c r="Y1735" s="338"/>
      <c r="Z1735" s="338"/>
      <c r="AA1735" s="338"/>
      <c r="AB1735" s="338"/>
      <c r="AC1735" s="338"/>
      <c r="AD1735" s="338"/>
    </row>
    <row r="1736" spans="1:30">
      <c r="A1736" s="338"/>
      <c r="B1736" s="338"/>
      <c r="D1736" s="338"/>
      <c r="E1736" s="338"/>
      <c r="H1736" s="338"/>
      <c r="I1736" s="338"/>
      <c r="J1736" s="338"/>
      <c r="K1736" s="338"/>
      <c r="L1736" s="338"/>
      <c r="M1736" s="338"/>
      <c r="N1736" s="338"/>
      <c r="Q1736" s="338"/>
      <c r="R1736" s="338"/>
      <c r="S1736" s="338"/>
      <c r="T1736" s="338"/>
      <c r="U1736" s="338"/>
      <c r="X1736" s="338"/>
      <c r="Y1736" s="338"/>
      <c r="Z1736" s="338"/>
      <c r="AA1736" s="338"/>
      <c r="AB1736" s="338"/>
      <c r="AC1736" s="338"/>
      <c r="AD1736" s="338"/>
    </row>
    <row r="1737" spans="1:30">
      <c r="A1737" s="338"/>
      <c r="B1737" s="338"/>
      <c r="D1737" s="338"/>
      <c r="E1737" s="338"/>
      <c r="H1737" s="338"/>
      <c r="I1737" s="338"/>
      <c r="J1737" s="338"/>
      <c r="K1737" s="338"/>
      <c r="L1737" s="338"/>
      <c r="M1737" s="338"/>
      <c r="N1737" s="338"/>
      <c r="Q1737" s="338"/>
      <c r="R1737" s="338"/>
      <c r="S1737" s="338"/>
      <c r="T1737" s="338"/>
      <c r="U1737" s="338"/>
      <c r="X1737" s="338"/>
      <c r="Y1737" s="338"/>
      <c r="Z1737" s="338"/>
      <c r="AA1737" s="338"/>
      <c r="AB1737" s="338"/>
      <c r="AC1737" s="338"/>
      <c r="AD1737" s="338"/>
    </row>
    <row r="1738" spans="1:30">
      <c r="A1738" s="338"/>
      <c r="B1738" s="338"/>
      <c r="D1738" s="338"/>
      <c r="E1738" s="338"/>
      <c r="H1738" s="338"/>
      <c r="I1738" s="338"/>
      <c r="J1738" s="338"/>
      <c r="K1738" s="338"/>
      <c r="L1738" s="338"/>
      <c r="M1738" s="338"/>
      <c r="N1738" s="338"/>
      <c r="Q1738" s="338"/>
      <c r="R1738" s="338"/>
      <c r="S1738" s="338"/>
      <c r="T1738" s="338"/>
      <c r="U1738" s="338"/>
      <c r="X1738" s="338"/>
      <c r="Y1738" s="338"/>
      <c r="Z1738" s="338"/>
      <c r="AA1738" s="338"/>
      <c r="AB1738" s="338"/>
      <c r="AC1738" s="338"/>
      <c r="AD1738" s="338"/>
    </row>
    <row r="1739" spans="1:30">
      <c r="A1739" s="338"/>
      <c r="B1739" s="338"/>
      <c r="D1739" s="338"/>
      <c r="E1739" s="338"/>
      <c r="H1739" s="338"/>
      <c r="I1739" s="338"/>
      <c r="J1739" s="338"/>
      <c r="K1739" s="338"/>
      <c r="L1739" s="338"/>
      <c r="M1739" s="338"/>
      <c r="N1739" s="338"/>
      <c r="Q1739" s="338"/>
      <c r="R1739" s="338"/>
      <c r="S1739" s="338"/>
      <c r="T1739" s="338"/>
      <c r="U1739" s="338"/>
      <c r="X1739" s="338"/>
      <c r="Y1739" s="338"/>
      <c r="Z1739" s="338"/>
      <c r="AA1739" s="338"/>
      <c r="AB1739" s="338"/>
      <c r="AC1739" s="338"/>
      <c r="AD1739" s="338"/>
    </row>
    <row r="1740" spans="1:30">
      <c r="A1740" s="338"/>
      <c r="B1740" s="338"/>
      <c r="D1740" s="338"/>
      <c r="E1740" s="338"/>
      <c r="H1740" s="338"/>
      <c r="I1740" s="338"/>
      <c r="J1740" s="338"/>
      <c r="K1740" s="338"/>
      <c r="L1740" s="338"/>
      <c r="M1740" s="338"/>
      <c r="N1740" s="338"/>
      <c r="Q1740" s="338"/>
      <c r="R1740" s="338"/>
      <c r="S1740" s="338"/>
      <c r="T1740" s="338"/>
      <c r="U1740" s="338"/>
      <c r="X1740" s="338"/>
      <c r="Y1740" s="338"/>
      <c r="Z1740" s="338"/>
      <c r="AA1740" s="338"/>
      <c r="AB1740" s="338"/>
      <c r="AC1740" s="338"/>
      <c r="AD1740" s="338"/>
    </row>
    <row r="1741" spans="1:30">
      <c r="A1741" s="338"/>
      <c r="B1741" s="338"/>
      <c r="D1741" s="338"/>
      <c r="E1741" s="338"/>
      <c r="H1741" s="338"/>
      <c r="I1741" s="338"/>
      <c r="J1741" s="338"/>
      <c r="K1741" s="338"/>
      <c r="L1741" s="338"/>
      <c r="M1741" s="338"/>
      <c r="N1741" s="338"/>
      <c r="Q1741" s="338"/>
      <c r="R1741" s="338"/>
      <c r="S1741" s="338"/>
      <c r="T1741" s="338"/>
      <c r="U1741" s="338"/>
      <c r="X1741" s="338"/>
      <c r="Y1741" s="338"/>
      <c r="Z1741" s="338"/>
      <c r="AA1741" s="338"/>
      <c r="AB1741" s="338"/>
      <c r="AC1741" s="338"/>
      <c r="AD1741" s="338"/>
    </row>
    <row r="1742" spans="1:30">
      <c r="A1742" s="338"/>
      <c r="B1742" s="338"/>
      <c r="D1742" s="338"/>
      <c r="E1742" s="338"/>
      <c r="H1742" s="338"/>
      <c r="I1742" s="338"/>
      <c r="J1742" s="338"/>
      <c r="K1742" s="338"/>
      <c r="L1742" s="338"/>
      <c r="M1742" s="338"/>
      <c r="N1742" s="338"/>
      <c r="Q1742" s="338"/>
      <c r="R1742" s="338"/>
      <c r="S1742" s="338"/>
      <c r="T1742" s="338"/>
      <c r="U1742" s="338"/>
      <c r="X1742" s="338"/>
      <c r="Y1742" s="338"/>
      <c r="Z1742" s="338"/>
      <c r="AA1742" s="338"/>
      <c r="AB1742" s="338"/>
      <c r="AC1742" s="338"/>
      <c r="AD1742" s="338"/>
    </row>
    <row r="1743" spans="1:30">
      <c r="A1743" s="338"/>
      <c r="B1743" s="338"/>
      <c r="D1743" s="338"/>
      <c r="E1743" s="338"/>
      <c r="H1743" s="338"/>
      <c r="I1743" s="338"/>
      <c r="J1743" s="338"/>
      <c r="K1743" s="338"/>
      <c r="L1743" s="338"/>
      <c r="M1743" s="338"/>
      <c r="N1743" s="338"/>
      <c r="Q1743" s="338"/>
      <c r="R1743" s="338"/>
      <c r="S1743" s="338"/>
      <c r="T1743" s="338"/>
      <c r="U1743" s="338"/>
      <c r="X1743" s="338"/>
      <c r="Y1743" s="338"/>
      <c r="Z1743" s="338"/>
      <c r="AA1743" s="338"/>
      <c r="AB1743" s="338"/>
      <c r="AC1743" s="338"/>
      <c r="AD1743" s="338"/>
    </row>
    <row r="1744" spans="1:30">
      <c r="A1744" s="338"/>
      <c r="B1744" s="338"/>
      <c r="D1744" s="338"/>
      <c r="E1744" s="338"/>
      <c r="H1744" s="338"/>
      <c r="I1744" s="338"/>
      <c r="J1744" s="338"/>
      <c r="K1744" s="338"/>
      <c r="L1744" s="338"/>
      <c r="M1744" s="338"/>
      <c r="N1744" s="338"/>
      <c r="Q1744" s="338"/>
      <c r="R1744" s="338"/>
      <c r="S1744" s="338"/>
      <c r="T1744" s="338"/>
      <c r="U1744" s="338"/>
      <c r="X1744" s="338"/>
      <c r="Y1744" s="338"/>
      <c r="Z1744" s="338"/>
      <c r="AA1744" s="338"/>
      <c r="AB1744" s="338"/>
      <c r="AC1744" s="338"/>
      <c r="AD1744" s="338"/>
    </row>
    <row r="1745" spans="1:30">
      <c r="A1745" s="338"/>
      <c r="B1745" s="338"/>
      <c r="D1745" s="338"/>
      <c r="E1745" s="338"/>
      <c r="H1745" s="338"/>
      <c r="I1745" s="338"/>
      <c r="J1745" s="338"/>
      <c r="K1745" s="338"/>
      <c r="L1745" s="338"/>
      <c r="M1745" s="338"/>
      <c r="N1745" s="338"/>
      <c r="Q1745" s="338"/>
      <c r="R1745" s="338"/>
      <c r="S1745" s="338"/>
      <c r="T1745" s="338"/>
      <c r="U1745" s="338"/>
      <c r="X1745" s="338"/>
      <c r="Y1745" s="338"/>
      <c r="Z1745" s="338"/>
      <c r="AA1745" s="338"/>
      <c r="AB1745" s="338"/>
      <c r="AC1745" s="338"/>
      <c r="AD1745" s="338"/>
    </row>
    <row r="1746" spans="1:30">
      <c r="A1746" s="338"/>
      <c r="B1746" s="338"/>
      <c r="D1746" s="338"/>
      <c r="E1746" s="338"/>
      <c r="H1746" s="338"/>
      <c r="I1746" s="338"/>
      <c r="J1746" s="338"/>
      <c r="K1746" s="338"/>
      <c r="L1746" s="338"/>
      <c r="M1746" s="338"/>
      <c r="N1746" s="338"/>
      <c r="Q1746" s="338"/>
      <c r="R1746" s="338"/>
      <c r="S1746" s="338"/>
      <c r="T1746" s="338"/>
      <c r="U1746" s="338"/>
      <c r="X1746" s="338"/>
      <c r="Y1746" s="338"/>
      <c r="Z1746" s="338"/>
      <c r="AA1746" s="338"/>
      <c r="AB1746" s="338"/>
      <c r="AC1746" s="338"/>
      <c r="AD1746" s="338"/>
    </row>
    <row r="1747" spans="1:30">
      <c r="A1747" s="338"/>
      <c r="B1747" s="338"/>
      <c r="D1747" s="338"/>
      <c r="E1747" s="338"/>
      <c r="H1747" s="338"/>
      <c r="I1747" s="338"/>
      <c r="J1747" s="338"/>
      <c r="K1747" s="338"/>
      <c r="L1747" s="338"/>
      <c r="M1747" s="338"/>
      <c r="N1747" s="338"/>
      <c r="Q1747" s="338"/>
      <c r="R1747" s="338"/>
      <c r="S1747" s="338"/>
      <c r="T1747" s="338"/>
      <c r="U1747" s="338"/>
      <c r="X1747" s="338"/>
      <c r="Y1747" s="338"/>
      <c r="Z1747" s="338"/>
      <c r="AA1747" s="338"/>
      <c r="AB1747" s="338"/>
      <c r="AC1747" s="338"/>
      <c r="AD1747" s="338"/>
    </row>
    <row r="1748" spans="1:30">
      <c r="A1748" s="338"/>
      <c r="B1748" s="338"/>
      <c r="D1748" s="338"/>
      <c r="E1748" s="338"/>
      <c r="H1748" s="338"/>
      <c r="I1748" s="338"/>
      <c r="J1748" s="338"/>
      <c r="K1748" s="338"/>
      <c r="L1748" s="338"/>
      <c r="M1748" s="338"/>
      <c r="N1748" s="338"/>
      <c r="Q1748" s="338"/>
      <c r="R1748" s="338"/>
      <c r="S1748" s="338"/>
      <c r="T1748" s="338"/>
      <c r="U1748" s="338"/>
      <c r="X1748" s="338"/>
      <c r="Y1748" s="338"/>
      <c r="Z1748" s="338"/>
      <c r="AA1748" s="338"/>
      <c r="AB1748" s="338"/>
      <c r="AC1748" s="338"/>
      <c r="AD1748" s="338"/>
    </row>
    <row r="1749" spans="1:30">
      <c r="A1749" s="338"/>
      <c r="B1749" s="338"/>
      <c r="D1749" s="338"/>
      <c r="E1749" s="338"/>
      <c r="H1749" s="338"/>
      <c r="I1749" s="338"/>
      <c r="J1749" s="338"/>
      <c r="K1749" s="338"/>
      <c r="L1749" s="338"/>
      <c r="M1749" s="338"/>
      <c r="N1749" s="338"/>
      <c r="Q1749" s="338"/>
      <c r="R1749" s="338"/>
      <c r="S1749" s="338"/>
      <c r="T1749" s="338"/>
      <c r="U1749" s="338"/>
      <c r="X1749" s="338"/>
      <c r="Y1749" s="338"/>
      <c r="Z1749" s="338"/>
      <c r="AA1749" s="338"/>
      <c r="AB1749" s="338"/>
      <c r="AC1749" s="338"/>
      <c r="AD1749" s="338"/>
    </row>
    <row r="1750" spans="1:30">
      <c r="A1750" s="338"/>
      <c r="B1750" s="338"/>
      <c r="D1750" s="338"/>
      <c r="E1750" s="338"/>
      <c r="H1750" s="338"/>
      <c r="I1750" s="338"/>
      <c r="J1750" s="338"/>
      <c r="K1750" s="338"/>
      <c r="L1750" s="338"/>
      <c r="M1750" s="338"/>
      <c r="N1750" s="338"/>
      <c r="Q1750" s="338"/>
      <c r="R1750" s="338"/>
      <c r="S1750" s="338"/>
      <c r="T1750" s="338"/>
      <c r="U1750" s="338"/>
      <c r="X1750" s="338"/>
      <c r="Y1750" s="338"/>
      <c r="Z1750" s="338"/>
      <c r="AA1750" s="338"/>
      <c r="AB1750" s="338"/>
      <c r="AC1750" s="338"/>
      <c r="AD1750" s="338"/>
    </row>
    <row r="1751" spans="1:30">
      <c r="A1751" s="338"/>
      <c r="B1751" s="338"/>
      <c r="D1751" s="338"/>
      <c r="E1751" s="338"/>
      <c r="H1751" s="338"/>
      <c r="I1751" s="338"/>
      <c r="J1751" s="338"/>
      <c r="K1751" s="338"/>
      <c r="L1751" s="338"/>
      <c r="M1751" s="338"/>
      <c r="N1751" s="338"/>
      <c r="Q1751" s="338"/>
      <c r="R1751" s="338"/>
      <c r="S1751" s="338"/>
      <c r="T1751" s="338"/>
      <c r="U1751" s="338"/>
      <c r="X1751" s="338"/>
      <c r="Y1751" s="338"/>
      <c r="Z1751" s="338"/>
      <c r="AA1751" s="338"/>
      <c r="AB1751" s="338"/>
      <c r="AC1751" s="338"/>
      <c r="AD1751" s="338"/>
    </row>
    <row r="1752" spans="1:30">
      <c r="A1752" s="338"/>
      <c r="B1752" s="338"/>
      <c r="D1752" s="338"/>
      <c r="E1752" s="338"/>
      <c r="H1752" s="338"/>
      <c r="I1752" s="338"/>
      <c r="J1752" s="338"/>
      <c r="K1752" s="338"/>
      <c r="L1752" s="338"/>
      <c r="M1752" s="338"/>
      <c r="N1752" s="338"/>
      <c r="Q1752" s="338"/>
      <c r="R1752" s="338"/>
      <c r="S1752" s="338"/>
      <c r="T1752" s="338"/>
      <c r="U1752" s="338"/>
      <c r="X1752" s="338"/>
      <c r="Y1752" s="338"/>
      <c r="Z1752" s="338"/>
      <c r="AA1752" s="338"/>
      <c r="AB1752" s="338"/>
      <c r="AC1752" s="338"/>
      <c r="AD1752" s="338"/>
    </row>
    <row r="1753" spans="1:30">
      <c r="A1753" s="338"/>
      <c r="B1753" s="338"/>
      <c r="D1753" s="338"/>
      <c r="E1753" s="338"/>
      <c r="H1753" s="338"/>
      <c r="I1753" s="338"/>
      <c r="J1753" s="338"/>
      <c r="K1753" s="338"/>
      <c r="L1753" s="338"/>
      <c r="M1753" s="338"/>
      <c r="N1753" s="338"/>
      <c r="Q1753" s="338"/>
      <c r="R1753" s="338"/>
      <c r="S1753" s="338"/>
      <c r="T1753" s="338"/>
      <c r="U1753" s="338"/>
      <c r="X1753" s="338"/>
      <c r="Y1753" s="338"/>
      <c r="Z1753" s="338"/>
      <c r="AA1753" s="338"/>
      <c r="AB1753" s="338"/>
      <c r="AC1753" s="338"/>
      <c r="AD1753" s="338"/>
    </row>
    <row r="1754" spans="1:30">
      <c r="A1754" s="338"/>
      <c r="B1754" s="338"/>
      <c r="D1754" s="338"/>
      <c r="E1754" s="338"/>
      <c r="H1754" s="338"/>
      <c r="I1754" s="338"/>
      <c r="J1754" s="338"/>
      <c r="K1754" s="338"/>
      <c r="L1754" s="338"/>
      <c r="M1754" s="338"/>
      <c r="N1754" s="338"/>
      <c r="Q1754" s="338"/>
      <c r="R1754" s="338"/>
      <c r="S1754" s="338"/>
      <c r="T1754" s="338"/>
      <c r="U1754" s="338"/>
      <c r="X1754" s="338"/>
      <c r="Y1754" s="338"/>
      <c r="Z1754" s="338"/>
      <c r="AA1754" s="338"/>
      <c r="AB1754" s="338"/>
      <c r="AC1754" s="338"/>
      <c r="AD1754" s="338"/>
    </row>
    <row r="1755" spans="1:30">
      <c r="A1755" s="338"/>
      <c r="B1755" s="338"/>
      <c r="D1755" s="338"/>
      <c r="E1755" s="338"/>
      <c r="H1755" s="338"/>
      <c r="I1755" s="338"/>
      <c r="J1755" s="338"/>
      <c r="K1755" s="338"/>
      <c r="L1755" s="338"/>
      <c r="M1755" s="338"/>
      <c r="N1755" s="338"/>
      <c r="Q1755" s="338"/>
      <c r="R1755" s="338"/>
      <c r="S1755" s="338"/>
      <c r="T1755" s="338"/>
      <c r="U1755" s="338"/>
      <c r="X1755" s="338"/>
      <c r="Y1755" s="338"/>
      <c r="Z1755" s="338"/>
      <c r="AA1755" s="338"/>
      <c r="AB1755" s="338"/>
      <c r="AC1755" s="338"/>
      <c r="AD1755" s="338"/>
    </row>
    <row r="1756" spans="1:30">
      <c r="A1756" s="338"/>
      <c r="B1756" s="338"/>
      <c r="D1756" s="338"/>
      <c r="E1756" s="338"/>
      <c r="H1756" s="338"/>
      <c r="I1756" s="338"/>
      <c r="J1756" s="338"/>
      <c r="K1756" s="338"/>
      <c r="L1756" s="338"/>
      <c r="M1756" s="338"/>
      <c r="N1756" s="338"/>
      <c r="Q1756" s="338"/>
      <c r="R1756" s="338"/>
      <c r="S1756" s="338"/>
      <c r="T1756" s="338"/>
      <c r="U1756" s="338"/>
      <c r="X1756" s="338"/>
      <c r="Y1756" s="338"/>
      <c r="Z1756" s="338"/>
      <c r="AA1756" s="338"/>
      <c r="AB1756" s="338"/>
      <c r="AC1756" s="338"/>
      <c r="AD1756" s="338"/>
    </row>
    <row r="1757" spans="1:30">
      <c r="A1757" s="338"/>
      <c r="B1757" s="338"/>
      <c r="D1757" s="338"/>
      <c r="E1757" s="338"/>
      <c r="H1757" s="338"/>
      <c r="I1757" s="338"/>
      <c r="J1757" s="338"/>
      <c r="K1757" s="338"/>
      <c r="L1757" s="338"/>
      <c r="M1757" s="338"/>
      <c r="N1757" s="338"/>
      <c r="Q1757" s="338"/>
      <c r="R1757" s="338"/>
      <c r="S1757" s="338"/>
      <c r="T1757" s="338"/>
      <c r="U1757" s="338"/>
      <c r="X1757" s="338"/>
      <c r="Y1757" s="338"/>
      <c r="Z1757" s="338"/>
      <c r="AA1757" s="338"/>
      <c r="AB1757" s="338"/>
      <c r="AC1757" s="338"/>
      <c r="AD1757" s="338"/>
    </row>
    <row r="1758" spans="1:30">
      <c r="A1758" s="338"/>
      <c r="B1758" s="338"/>
      <c r="D1758" s="338"/>
      <c r="E1758" s="338"/>
      <c r="H1758" s="338"/>
      <c r="I1758" s="338"/>
      <c r="J1758" s="338"/>
      <c r="K1758" s="338"/>
      <c r="L1758" s="338"/>
      <c r="M1758" s="338"/>
      <c r="N1758" s="338"/>
      <c r="Q1758" s="338"/>
      <c r="R1758" s="338"/>
      <c r="S1758" s="338"/>
      <c r="T1758" s="338"/>
      <c r="U1758" s="338"/>
      <c r="X1758" s="338"/>
      <c r="Y1758" s="338"/>
      <c r="Z1758" s="338"/>
      <c r="AA1758" s="338"/>
      <c r="AB1758" s="338"/>
      <c r="AC1758" s="338"/>
      <c r="AD1758" s="338"/>
    </row>
    <row r="1759" spans="1:30">
      <c r="A1759" s="338"/>
      <c r="B1759" s="338"/>
      <c r="D1759" s="338"/>
      <c r="E1759" s="338"/>
      <c r="H1759" s="338"/>
      <c r="I1759" s="338"/>
      <c r="J1759" s="338"/>
      <c r="K1759" s="338"/>
      <c r="L1759" s="338"/>
      <c r="M1759" s="338"/>
      <c r="N1759" s="338"/>
      <c r="Q1759" s="338"/>
      <c r="R1759" s="338"/>
      <c r="S1759" s="338"/>
      <c r="T1759" s="338"/>
      <c r="U1759" s="338"/>
      <c r="X1759" s="338"/>
      <c r="Y1759" s="338"/>
      <c r="Z1759" s="338"/>
      <c r="AA1759" s="338"/>
      <c r="AB1759" s="338"/>
      <c r="AC1759" s="338"/>
      <c r="AD1759" s="338"/>
    </row>
    <row r="1760" spans="1:30">
      <c r="A1760" s="338"/>
      <c r="B1760" s="338"/>
      <c r="D1760" s="338"/>
      <c r="E1760" s="338"/>
      <c r="H1760" s="338"/>
      <c r="I1760" s="338"/>
      <c r="J1760" s="338"/>
      <c r="K1760" s="338"/>
      <c r="L1760" s="338"/>
      <c r="M1760" s="338"/>
      <c r="N1760" s="338"/>
      <c r="Q1760" s="338"/>
      <c r="R1760" s="338"/>
      <c r="S1760" s="338"/>
      <c r="T1760" s="338"/>
      <c r="U1760" s="338"/>
      <c r="X1760" s="338"/>
      <c r="Y1760" s="338"/>
      <c r="Z1760" s="338"/>
      <c r="AA1760" s="338"/>
      <c r="AB1760" s="338"/>
      <c r="AC1760" s="338"/>
      <c r="AD1760" s="338"/>
    </row>
    <row r="1761" spans="1:30">
      <c r="A1761" s="338"/>
      <c r="B1761" s="338"/>
      <c r="D1761" s="338"/>
      <c r="E1761" s="338"/>
      <c r="H1761" s="338"/>
      <c r="I1761" s="338"/>
      <c r="J1761" s="338"/>
      <c r="K1761" s="338"/>
      <c r="L1761" s="338"/>
      <c r="M1761" s="338"/>
      <c r="N1761" s="338"/>
      <c r="Q1761" s="338"/>
      <c r="R1761" s="338"/>
      <c r="S1761" s="338"/>
      <c r="T1761" s="338"/>
      <c r="U1761" s="338"/>
      <c r="X1761" s="338"/>
      <c r="Y1761" s="338"/>
      <c r="Z1761" s="338"/>
      <c r="AA1761" s="338"/>
      <c r="AB1761" s="338"/>
      <c r="AC1761" s="338"/>
      <c r="AD1761" s="338"/>
    </row>
    <row r="1762" spans="1:30">
      <c r="A1762" s="338"/>
      <c r="B1762" s="338"/>
      <c r="D1762" s="338"/>
      <c r="E1762" s="338"/>
      <c r="H1762" s="338"/>
      <c r="I1762" s="338"/>
      <c r="J1762" s="338"/>
      <c r="K1762" s="338"/>
      <c r="L1762" s="338"/>
      <c r="M1762" s="338"/>
      <c r="N1762" s="338"/>
      <c r="Q1762" s="338"/>
      <c r="R1762" s="338"/>
      <c r="S1762" s="338"/>
      <c r="T1762" s="338"/>
      <c r="U1762" s="338"/>
      <c r="X1762" s="338"/>
      <c r="Y1762" s="338"/>
      <c r="Z1762" s="338"/>
      <c r="AA1762" s="338"/>
      <c r="AB1762" s="338"/>
      <c r="AC1762" s="338"/>
      <c r="AD1762" s="338"/>
    </row>
    <row r="1763" spans="1:30">
      <c r="A1763" s="338"/>
      <c r="B1763" s="338"/>
      <c r="D1763" s="338"/>
      <c r="E1763" s="338"/>
      <c r="H1763" s="338"/>
      <c r="I1763" s="338"/>
      <c r="J1763" s="338"/>
      <c r="K1763" s="338"/>
      <c r="L1763" s="338"/>
      <c r="M1763" s="338"/>
      <c r="N1763" s="338"/>
      <c r="Q1763" s="338"/>
      <c r="R1763" s="338"/>
      <c r="S1763" s="338"/>
      <c r="T1763" s="338"/>
      <c r="U1763" s="338"/>
      <c r="X1763" s="338"/>
      <c r="Y1763" s="338"/>
      <c r="Z1763" s="338"/>
      <c r="AA1763" s="338"/>
      <c r="AB1763" s="338"/>
      <c r="AC1763" s="338"/>
      <c r="AD1763" s="338"/>
    </row>
    <row r="1764" spans="1:30">
      <c r="A1764" s="338"/>
      <c r="B1764" s="338"/>
      <c r="D1764" s="338"/>
      <c r="E1764" s="338"/>
      <c r="H1764" s="338"/>
      <c r="I1764" s="338"/>
      <c r="J1764" s="338"/>
      <c r="K1764" s="338"/>
      <c r="L1764" s="338"/>
      <c r="M1764" s="338"/>
      <c r="N1764" s="338"/>
      <c r="Q1764" s="338"/>
      <c r="R1764" s="338"/>
      <c r="S1764" s="338"/>
      <c r="T1764" s="338"/>
      <c r="U1764" s="338"/>
      <c r="X1764" s="338"/>
      <c r="Y1764" s="338"/>
      <c r="Z1764" s="338"/>
      <c r="AA1764" s="338"/>
      <c r="AB1764" s="338"/>
      <c r="AC1764" s="338"/>
      <c r="AD1764" s="338"/>
    </row>
    <row r="1765" spans="1:30">
      <c r="A1765" s="338"/>
      <c r="B1765" s="338"/>
      <c r="D1765" s="338"/>
      <c r="E1765" s="338"/>
      <c r="H1765" s="338"/>
      <c r="I1765" s="338"/>
      <c r="J1765" s="338"/>
      <c r="K1765" s="338"/>
      <c r="L1765" s="338"/>
      <c r="M1765" s="338"/>
      <c r="N1765" s="338"/>
      <c r="Q1765" s="338"/>
      <c r="R1765" s="338"/>
      <c r="S1765" s="338"/>
      <c r="T1765" s="338"/>
      <c r="U1765" s="338"/>
      <c r="X1765" s="338"/>
      <c r="Y1765" s="338"/>
      <c r="Z1765" s="338"/>
      <c r="AA1765" s="338"/>
      <c r="AB1765" s="338"/>
      <c r="AC1765" s="338"/>
      <c r="AD1765" s="338"/>
    </row>
    <row r="1766" spans="1:30">
      <c r="A1766" s="338"/>
      <c r="B1766" s="338"/>
      <c r="D1766" s="338"/>
      <c r="E1766" s="338"/>
      <c r="H1766" s="338"/>
      <c r="I1766" s="338"/>
      <c r="J1766" s="338"/>
      <c r="K1766" s="338"/>
      <c r="L1766" s="338"/>
      <c r="M1766" s="338"/>
      <c r="N1766" s="338"/>
      <c r="Q1766" s="338"/>
      <c r="R1766" s="338"/>
      <c r="S1766" s="338"/>
      <c r="T1766" s="338"/>
      <c r="U1766" s="338"/>
      <c r="X1766" s="338"/>
      <c r="Y1766" s="338"/>
      <c r="Z1766" s="338"/>
      <c r="AA1766" s="338"/>
      <c r="AB1766" s="338"/>
      <c r="AC1766" s="338"/>
      <c r="AD1766" s="338"/>
    </row>
    <row r="1767" spans="1:30">
      <c r="A1767" s="338"/>
      <c r="B1767" s="338"/>
      <c r="D1767" s="338"/>
      <c r="E1767" s="338"/>
      <c r="H1767" s="338"/>
      <c r="I1767" s="338"/>
      <c r="J1767" s="338"/>
      <c r="K1767" s="338"/>
      <c r="L1767" s="338"/>
      <c r="M1767" s="338"/>
      <c r="N1767" s="338"/>
      <c r="Q1767" s="338"/>
      <c r="R1767" s="338"/>
      <c r="S1767" s="338"/>
      <c r="T1767" s="338"/>
      <c r="U1767" s="338"/>
      <c r="X1767" s="338"/>
      <c r="Y1767" s="338"/>
      <c r="Z1767" s="338"/>
      <c r="AA1767" s="338"/>
      <c r="AB1767" s="338"/>
      <c r="AC1767" s="338"/>
      <c r="AD1767" s="338"/>
    </row>
    <row r="1768" spans="1:30">
      <c r="A1768" s="338"/>
      <c r="B1768" s="338"/>
      <c r="D1768" s="338"/>
      <c r="E1768" s="338"/>
      <c r="H1768" s="338"/>
      <c r="I1768" s="338"/>
      <c r="J1768" s="338"/>
      <c r="K1768" s="338"/>
      <c r="L1768" s="338"/>
      <c r="M1768" s="338"/>
      <c r="N1768" s="338"/>
      <c r="Q1768" s="338"/>
      <c r="R1768" s="338"/>
      <c r="S1768" s="338"/>
      <c r="T1768" s="338"/>
      <c r="U1768" s="338"/>
      <c r="X1768" s="338"/>
      <c r="Y1768" s="338"/>
      <c r="Z1768" s="338"/>
      <c r="AA1768" s="338"/>
      <c r="AB1768" s="338"/>
      <c r="AC1768" s="338"/>
      <c r="AD1768" s="338"/>
    </row>
    <row r="1769" spans="1:30">
      <c r="A1769" s="338"/>
      <c r="B1769" s="338"/>
      <c r="D1769" s="338"/>
      <c r="E1769" s="338"/>
      <c r="H1769" s="338"/>
      <c r="I1769" s="338"/>
      <c r="J1769" s="338"/>
      <c r="K1769" s="338"/>
      <c r="L1769" s="338"/>
      <c r="M1769" s="338"/>
      <c r="N1769" s="338"/>
      <c r="Q1769" s="338"/>
      <c r="R1769" s="338"/>
      <c r="S1769" s="338"/>
      <c r="T1769" s="338"/>
      <c r="U1769" s="338"/>
      <c r="X1769" s="338"/>
      <c r="Y1769" s="338"/>
      <c r="Z1769" s="338"/>
      <c r="AA1769" s="338"/>
      <c r="AB1769" s="338"/>
      <c r="AC1769" s="338"/>
      <c r="AD1769" s="338"/>
    </row>
    <row r="1770" spans="1:30">
      <c r="A1770" s="338"/>
      <c r="B1770" s="338"/>
      <c r="D1770" s="338"/>
      <c r="E1770" s="338"/>
      <c r="H1770" s="338"/>
      <c r="I1770" s="338"/>
      <c r="J1770" s="338"/>
      <c r="K1770" s="338"/>
      <c r="L1770" s="338"/>
      <c r="M1770" s="338"/>
      <c r="N1770" s="338"/>
      <c r="Q1770" s="338"/>
      <c r="R1770" s="338"/>
      <c r="S1770" s="338"/>
      <c r="T1770" s="338"/>
      <c r="U1770" s="338"/>
      <c r="X1770" s="338"/>
      <c r="Y1770" s="338"/>
      <c r="Z1770" s="338"/>
      <c r="AA1770" s="338"/>
      <c r="AB1770" s="338"/>
      <c r="AC1770" s="338"/>
      <c r="AD1770" s="338"/>
    </row>
    <row r="1771" spans="1:30">
      <c r="A1771" s="338"/>
      <c r="B1771" s="338"/>
      <c r="D1771" s="338"/>
      <c r="E1771" s="338"/>
      <c r="H1771" s="338"/>
      <c r="I1771" s="338"/>
      <c r="J1771" s="338"/>
      <c r="K1771" s="338"/>
      <c r="L1771" s="338"/>
      <c r="M1771" s="338"/>
      <c r="N1771" s="338"/>
      <c r="Q1771" s="338"/>
      <c r="R1771" s="338"/>
      <c r="S1771" s="338"/>
      <c r="T1771" s="338"/>
      <c r="U1771" s="338"/>
      <c r="X1771" s="338"/>
      <c r="Y1771" s="338"/>
      <c r="Z1771" s="338"/>
      <c r="AA1771" s="338"/>
      <c r="AB1771" s="338"/>
      <c r="AC1771" s="338"/>
      <c r="AD1771" s="338"/>
    </row>
    <row r="1772" spans="1:30">
      <c r="A1772" s="338"/>
      <c r="B1772" s="338"/>
      <c r="D1772" s="338"/>
      <c r="E1772" s="338"/>
      <c r="H1772" s="338"/>
      <c r="I1772" s="338"/>
      <c r="J1772" s="338"/>
      <c r="K1772" s="338"/>
      <c r="L1772" s="338"/>
      <c r="M1772" s="338"/>
      <c r="N1772" s="338"/>
      <c r="Q1772" s="338"/>
      <c r="R1772" s="338"/>
      <c r="S1772" s="338"/>
      <c r="T1772" s="338"/>
      <c r="U1772" s="338"/>
      <c r="X1772" s="338"/>
      <c r="Y1772" s="338"/>
      <c r="Z1772" s="338"/>
      <c r="AA1772" s="338"/>
      <c r="AB1772" s="338"/>
      <c r="AC1772" s="338"/>
      <c r="AD1772" s="338"/>
    </row>
    <row r="1773" spans="1:30">
      <c r="A1773" s="338"/>
      <c r="B1773" s="338"/>
      <c r="D1773" s="338"/>
      <c r="E1773" s="338"/>
      <c r="H1773" s="338"/>
      <c r="I1773" s="338"/>
      <c r="J1773" s="338"/>
      <c r="K1773" s="338"/>
      <c r="L1773" s="338"/>
      <c r="M1773" s="338"/>
      <c r="N1773" s="338"/>
      <c r="Q1773" s="338"/>
      <c r="R1773" s="338"/>
      <c r="S1773" s="338"/>
      <c r="T1773" s="338"/>
      <c r="U1773" s="338"/>
      <c r="X1773" s="338"/>
      <c r="Y1773" s="338"/>
      <c r="Z1773" s="338"/>
      <c r="AA1773" s="338"/>
      <c r="AB1773" s="338"/>
      <c r="AC1773" s="338"/>
      <c r="AD1773" s="338"/>
    </row>
    <row r="1774" spans="1:30">
      <c r="A1774" s="338"/>
      <c r="B1774" s="338"/>
      <c r="D1774" s="338"/>
      <c r="E1774" s="338"/>
      <c r="H1774" s="338"/>
      <c r="I1774" s="338"/>
      <c r="J1774" s="338"/>
      <c r="K1774" s="338"/>
      <c r="L1774" s="338"/>
      <c r="M1774" s="338"/>
      <c r="N1774" s="338"/>
      <c r="Q1774" s="338"/>
      <c r="R1774" s="338"/>
      <c r="S1774" s="338"/>
      <c r="T1774" s="338"/>
      <c r="U1774" s="338"/>
      <c r="X1774" s="338"/>
      <c r="Y1774" s="338"/>
      <c r="Z1774" s="338"/>
      <c r="AA1774" s="338"/>
      <c r="AB1774" s="338"/>
      <c r="AC1774" s="338"/>
      <c r="AD1774" s="338"/>
    </row>
    <row r="1775" spans="1:30">
      <c r="A1775" s="338"/>
      <c r="B1775" s="338"/>
      <c r="D1775" s="338"/>
      <c r="E1775" s="338"/>
      <c r="H1775" s="338"/>
      <c r="I1775" s="338"/>
      <c r="J1775" s="338"/>
      <c r="K1775" s="338"/>
      <c r="L1775" s="338"/>
      <c r="M1775" s="338"/>
      <c r="N1775" s="338"/>
      <c r="Q1775" s="338"/>
      <c r="R1775" s="338"/>
      <c r="S1775" s="338"/>
      <c r="T1775" s="338"/>
      <c r="U1775" s="338"/>
      <c r="X1775" s="338"/>
      <c r="Y1775" s="338"/>
      <c r="Z1775" s="338"/>
      <c r="AA1775" s="338"/>
      <c r="AB1775" s="338"/>
      <c r="AC1775" s="338"/>
      <c r="AD1775" s="338"/>
    </row>
    <row r="1776" spans="1:30">
      <c r="A1776" s="338"/>
      <c r="B1776" s="338"/>
      <c r="D1776" s="338"/>
      <c r="E1776" s="338"/>
      <c r="H1776" s="338"/>
      <c r="I1776" s="338"/>
      <c r="J1776" s="338"/>
      <c r="K1776" s="338"/>
      <c r="L1776" s="338"/>
      <c r="M1776" s="338"/>
      <c r="N1776" s="338"/>
      <c r="Q1776" s="338"/>
      <c r="R1776" s="338"/>
      <c r="S1776" s="338"/>
      <c r="T1776" s="338"/>
      <c r="U1776" s="338"/>
      <c r="X1776" s="338"/>
      <c r="Y1776" s="338"/>
      <c r="Z1776" s="338"/>
      <c r="AA1776" s="338"/>
      <c r="AB1776" s="338"/>
      <c r="AC1776" s="338"/>
      <c r="AD1776" s="338"/>
    </row>
    <row r="1777" spans="1:30">
      <c r="A1777" s="338"/>
      <c r="B1777" s="338"/>
      <c r="D1777" s="338"/>
      <c r="E1777" s="338"/>
      <c r="H1777" s="338"/>
      <c r="I1777" s="338"/>
      <c r="J1777" s="338"/>
      <c r="K1777" s="338"/>
      <c r="L1777" s="338"/>
      <c r="M1777" s="338"/>
      <c r="N1777" s="338"/>
      <c r="Q1777" s="338"/>
      <c r="R1777" s="338"/>
      <c r="S1777" s="338"/>
      <c r="T1777" s="338"/>
      <c r="U1777" s="338"/>
      <c r="X1777" s="338"/>
      <c r="Y1777" s="338"/>
      <c r="Z1777" s="338"/>
      <c r="AA1777" s="338"/>
      <c r="AB1777" s="338"/>
      <c r="AC1777" s="338"/>
      <c r="AD1777" s="338"/>
    </row>
    <row r="1778" spans="1:30">
      <c r="A1778" s="338"/>
      <c r="B1778" s="338"/>
      <c r="D1778" s="338"/>
      <c r="E1778" s="338"/>
      <c r="H1778" s="338"/>
      <c r="I1778" s="338"/>
      <c r="J1778" s="338"/>
      <c r="K1778" s="338"/>
      <c r="L1778" s="338"/>
      <c r="M1778" s="338"/>
      <c r="N1778" s="338"/>
      <c r="Q1778" s="338"/>
      <c r="R1778" s="338"/>
      <c r="S1778" s="338"/>
      <c r="T1778" s="338"/>
      <c r="U1778" s="338"/>
      <c r="X1778" s="338"/>
      <c r="Y1778" s="338"/>
      <c r="Z1778" s="338"/>
      <c r="AA1778" s="338"/>
      <c r="AB1778" s="338"/>
      <c r="AC1778" s="338"/>
      <c r="AD1778" s="338"/>
    </row>
    <row r="1779" spans="1:30">
      <c r="A1779" s="338"/>
      <c r="B1779" s="338"/>
      <c r="D1779" s="338"/>
      <c r="E1779" s="338"/>
      <c r="H1779" s="338"/>
      <c r="I1779" s="338"/>
      <c r="J1779" s="338"/>
      <c r="K1779" s="338"/>
      <c r="L1779" s="338"/>
      <c r="M1779" s="338"/>
      <c r="N1779" s="338"/>
      <c r="Q1779" s="338"/>
      <c r="R1779" s="338"/>
      <c r="S1779" s="338"/>
      <c r="T1779" s="338"/>
      <c r="U1779" s="338"/>
      <c r="X1779" s="338"/>
      <c r="Y1779" s="338"/>
      <c r="Z1779" s="338"/>
      <c r="AA1779" s="338"/>
      <c r="AB1779" s="338"/>
      <c r="AC1779" s="338"/>
      <c r="AD1779" s="338"/>
    </row>
    <row r="1780" spans="1:30">
      <c r="A1780" s="338"/>
      <c r="B1780" s="338"/>
      <c r="D1780" s="338"/>
      <c r="E1780" s="338"/>
      <c r="H1780" s="338"/>
      <c r="I1780" s="338"/>
      <c r="J1780" s="338"/>
      <c r="K1780" s="338"/>
      <c r="L1780" s="338"/>
      <c r="M1780" s="338"/>
      <c r="N1780" s="338"/>
      <c r="Q1780" s="338"/>
      <c r="R1780" s="338"/>
      <c r="S1780" s="338"/>
      <c r="T1780" s="338"/>
      <c r="U1780" s="338"/>
      <c r="X1780" s="338"/>
      <c r="Y1780" s="338"/>
      <c r="Z1780" s="338"/>
      <c r="AA1780" s="338"/>
      <c r="AB1780" s="338"/>
      <c r="AC1780" s="338"/>
      <c r="AD1780" s="338"/>
    </row>
    <row r="1781" spans="1:30">
      <c r="A1781" s="338"/>
      <c r="B1781" s="338"/>
      <c r="D1781" s="338"/>
      <c r="E1781" s="338"/>
      <c r="H1781" s="338"/>
      <c r="I1781" s="338"/>
      <c r="J1781" s="338"/>
      <c r="K1781" s="338"/>
      <c r="L1781" s="338"/>
      <c r="M1781" s="338"/>
      <c r="N1781" s="338"/>
      <c r="Q1781" s="338"/>
      <c r="R1781" s="338"/>
      <c r="S1781" s="338"/>
      <c r="T1781" s="338"/>
      <c r="U1781" s="338"/>
      <c r="X1781" s="338"/>
      <c r="Y1781" s="338"/>
      <c r="Z1781" s="338"/>
      <c r="AA1781" s="338"/>
      <c r="AB1781" s="338"/>
      <c r="AC1781" s="338"/>
      <c r="AD1781" s="338"/>
    </row>
    <row r="1782" spans="1:30">
      <c r="A1782" s="338"/>
      <c r="B1782" s="338"/>
      <c r="D1782" s="338"/>
      <c r="E1782" s="338"/>
      <c r="H1782" s="338"/>
      <c r="I1782" s="338"/>
      <c r="J1782" s="338"/>
      <c r="K1782" s="338"/>
      <c r="L1782" s="338"/>
      <c r="M1782" s="338"/>
      <c r="N1782" s="338"/>
      <c r="Q1782" s="338"/>
      <c r="R1782" s="338"/>
      <c r="S1782" s="338"/>
      <c r="T1782" s="338"/>
      <c r="U1782" s="338"/>
      <c r="X1782" s="338"/>
      <c r="Y1782" s="338"/>
      <c r="Z1782" s="338"/>
      <c r="AA1782" s="338"/>
      <c r="AB1782" s="338"/>
      <c r="AC1782" s="338"/>
      <c r="AD1782" s="338"/>
    </row>
    <row r="1783" spans="1:30">
      <c r="A1783" s="338"/>
      <c r="B1783" s="338"/>
      <c r="D1783" s="338"/>
      <c r="E1783" s="338"/>
      <c r="H1783" s="338"/>
      <c r="I1783" s="338"/>
      <c r="J1783" s="338"/>
      <c r="K1783" s="338"/>
      <c r="L1783" s="338"/>
      <c r="M1783" s="338"/>
      <c r="N1783" s="338"/>
      <c r="Q1783" s="338"/>
      <c r="R1783" s="338"/>
      <c r="S1783" s="338"/>
      <c r="T1783" s="338"/>
      <c r="U1783" s="338"/>
      <c r="X1783" s="338"/>
      <c r="Y1783" s="338"/>
      <c r="Z1783" s="338"/>
      <c r="AA1783" s="338"/>
      <c r="AB1783" s="338"/>
      <c r="AC1783" s="338"/>
      <c r="AD1783" s="338"/>
    </row>
    <row r="1784" spans="1:30">
      <c r="A1784" s="338"/>
      <c r="B1784" s="338"/>
      <c r="D1784" s="338"/>
      <c r="E1784" s="338"/>
      <c r="H1784" s="338"/>
      <c r="I1784" s="338"/>
      <c r="J1784" s="338"/>
      <c r="K1784" s="338"/>
      <c r="L1784" s="338"/>
      <c r="M1784" s="338"/>
      <c r="N1784" s="338"/>
      <c r="Q1784" s="338"/>
      <c r="R1784" s="338"/>
      <c r="S1784" s="338"/>
      <c r="T1784" s="338"/>
      <c r="U1784" s="338"/>
      <c r="X1784" s="338"/>
      <c r="Y1784" s="338"/>
      <c r="Z1784" s="338"/>
      <c r="AA1784" s="338"/>
      <c r="AB1784" s="338"/>
      <c r="AC1784" s="338"/>
      <c r="AD1784" s="338"/>
    </row>
    <row r="1785" spans="1:30">
      <c r="A1785" s="338"/>
      <c r="B1785" s="338"/>
      <c r="D1785" s="338"/>
      <c r="E1785" s="338"/>
      <c r="H1785" s="338"/>
      <c r="I1785" s="338"/>
      <c r="J1785" s="338"/>
      <c r="K1785" s="338"/>
      <c r="L1785" s="338"/>
      <c r="M1785" s="338"/>
      <c r="N1785" s="338"/>
      <c r="Q1785" s="338"/>
      <c r="R1785" s="338"/>
      <c r="S1785" s="338"/>
      <c r="T1785" s="338"/>
      <c r="U1785" s="338"/>
      <c r="X1785" s="338"/>
      <c r="Y1785" s="338"/>
      <c r="Z1785" s="338"/>
      <c r="AA1785" s="338"/>
      <c r="AB1785" s="338"/>
      <c r="AC1785" s="338"/>
      <c r="AD1785" s="338"/>
    </row>
    <row r="1786" spans="1:30">
      <c r="A1786" s="338"/>
      <c r="B1786" s="338"/>
      <c r="D1786" s="338"/>
      <c r="E1786" s="338"/>
      <c r="H1786" s="338"/>
      <c r="I1786" s="338"/>
      <c r="J1786" s="338"/>
      <c r="K1786" s="338"/>
      <c r="L1786" s="338"/>
      <c r="M1786" s="338"/>
      <c r="N1786" s="338"/>
      <c r="Q1786" s="338"/>
      <c r="R1786" s="338"/>
      <c r="S1786" s="338"/>
      <c r="T1786" s="338"/>
      <c r="U1786" s="338"/>
      <c r="X1786" s="338"/>
      <c r="Y1786" s="338"/>
      <c r="Z1786" s="338"/>
      <c r="AA1786" s="338"/>
      <c r="AB1786" s="338"/>
      <c r="AC1786" s="338"/>
      <c r="AD1786" s="338"/>
    </row>
    <row r="1787" spans="1:30">
      <c r="A1787" s="338"/>
      <c r="B1787" s="338"/>
      <c r="D1787" s="338"/>
      <c r="E1787" s="338"/>
      <c r="H1787" s="338"/>
      <c r="I1787" s="338"/>
      <c r="J1787" s="338"/>
      <c r="K1787" s="338"/>
      <c r="L1787" s="338"/>
      <c r="M1787" s="338"/>
      <c r="N1787" s="338"/>
      <c r="Q1787" s="338"/>
      <c r="R1787" s="338"/>
      <c r="S1787" s="338"/>
      <c r="T1787" s="338"/>
      <c r="U1787" s="338"/>
      <c r="X1787" s="338"/>
      <c r="Y1787" s="338"/>
      <c r="Z1787" s="338"/>
      <c r="AA1787" s="338"/>
      <c r="AB1787" s="338"/>
      <c r="AC1787" s="338"/>
      <c r="AD1787" s="338"/>
    </row>
    <row r="1788" spans="1:30">
      <c r="A1788" s="338"/>
      <c r="B1788" s="338"/>
      <c r="D1788" s="338"/>
      <c r="E1788" s="338"/>
      <c r="H1788" s="338"/>
      <c r="I1788" s="338"/>
      <c r="J1788" s="338"/>
      <c r="K1788" s="338"/>
      <c r="L1788" s="338"/>
      <c r="M1788" s="338"/>
      <c r="N1788" s="338"/>
      <c r="Q1788" s="338"/>
      <c r="R1788" s="338"/>
      <c r="S1788" s="338"/>
      <c r="T1788" s="338"/>
      <c r="U1788" s="338"/>
      <c r="X1788" s="338"/>
      <c r="Y1788" s="338"/>
      <c r="Z1788" s="338"/>
      <c r="AA1788" s="338"/>
      <c r="AB1788" s="338"/>
      <c r="AC1788" s="338"/>
      <c r="AD1788" s="338"/>
    </row>
    <row r="1789" spans="1:30">
      <c r="A1789" s="338"/>
      <c r="B1789" s="338"/>
      <c r="D1789" s="338"/>
      <c r="E1789" s="338"/>
      <c r="H1789" s="338"/>
      <c r="I1789" s="338"/>
      <c r="J1789" s="338"/>
      <c r="K1789" s="338"/>
      <c r="L1789" s="338"/>
      <c r="M1789" s="338"/>
      <c r="N1789" s="338"/>
      <c r="Q1789" s="338"/>
      <c r="R1789" s="338"/>
      <c r="S1789" s="338"/>
      <c r="T1789" s="338"/>
      <c r="U1789" s="338"/>
      <c r="X1789" s="338"/>
      <c r="Y1789" s="338"/>
      <c r="Z1789" s="338"/>
      <c r="AA1789" s="338"/>
      <c r="AB1789" s="338"/>
      <c r="AC1789" s="338"/>
      <c r="AD1789" s="338"/>
    </row>
    <row r="1790" spans="1:30">
      <c r="A1790" s="338"/>
      <c r="B1790" s="338"/>
      <c r="D1790" s="338"/>
      <c r="E1790" s="338"/>
      <c r="H1790" s="338"/>
      <c r="I1790" s="338"/>
      <c r="J1790" s="338"/>
      <c r="K1790" s="338"/>
      <c r="L1790" s="338"/>
      <c r="M1790" s="338"/>
      <c r="N1790" s="338"/>
      <c r="Q1790" s="338"/>
      <c r="R1790" s="338"/>
      <c r="S1790" s="338"/>
      <c r="T1790" s="338"/>
      <c r="U1790" s="338"/>
      <c r="X1790" s="338"/>
      <c r="Y1790" s="338"/>
      <c r="Z1790" s="338"/>
      <c r="AA1790" s="338"/>
      <c r="AB1790" s="338"/>
      <c r="AC1790" s="338"/>
      <c r="AD1790" s="338"/>
    </row>
    <row r="1791" spans="1:30">
      <c r="A1791" s="338"/>
      <c r="B1791" s="338"/>
      <c r="D1791" s="338"/>
      <c r="E1791" s="338"/>
      <c r="H1791" s="338"/>
      <c r="I1791" s="338"/>
      <c r="J1791" s="338"/>
      <c r="K1791" s="338"/>
      <c r="L1791" s="338"/>
      <c r="M1791" s="338"/>
      <c r="N1791" s="338"/>
      <c r="Q1791" s="338"/>
      <c r="R1791" s="338"/>
      <c r="S1791" s="338"/>
      <c r="T1791" s="338"/>
      <c r="U1791" s="338"/>
      <c r="X1791" s="338"/>
      <c r="Y1791" s="338"/>
      <c r="Z1791" s="338"/>
      <c r="AA1791" s="338"/>
      <c r="AB1791" s="338"/>
      <c r="AC1791" s="338"/>
      <c r="AD1791" s="338"/>
    </row>
    <row r="1792" spans="1:30">
      <c r="A1792" s="338"/>
      <c r="B1792" s="338"/>
      <c r="D1792" s="338"/>
      <c r="E1792" s="338"/>
      <c r="H1792" s="338"/>
      <c r="I1792" s="338"/>
      <c r="J1792" s="338"/>
      <c r="K1792" s="338"/>
      <c r="L1792" s="338"/>
      <c r="M1792" s="338"/>
      <c r="N1792" s="338"/>
      <c r="Q1792" s="338"/>
      <c r="R1792" s="338"/>
      <c r="S1792" s="338"/>
      <c r="T1792" s="338"/>
      <c r="U1792" s="338"/>
      <c r="X1792" s="338"/>
      <c r="Y1792" s="338"/>
      <c r="Z1792" s="338"/>
      <c r="AA1792" s="338"/>
      <c r="AB1792" s="338"/>
      <c r="AC1792" s="338"/>
      <c r="AD1792" s="338"/>
    </row>
    <row r="1793" spans="1:30">
      <c r="A1793" s="338"/>
      <c r="B1793" s="338"/>
      <c r="D1793" s="338"/>
      <c r="E1793" s="338"/>
      <c r="H1793" s="338"/>
      <c r="I1793" s="338"/>
      <c r="J1793" s="338"/>
      <c r="K1793" s="338"/>
      <c r="L1793" s="338"/>
      <c r="M1793" s="338"/>
      <c r="N1793" s="338"/>
      <c r="Q1793" s="338"/>
      <c r="R1793" s="338"/>
      <c r="S1793" s="338"/>
      <c r="T1793" s="338"/>
      <c r="U1793" s="338"/>
      <c r="X1793" s="338"/>
      <c r="Y1793" s="338"/>
      <c r="Z1793" s="338"/>
      <c r="AA1793" s="338"/>
      <c r="AB1793" s="338"/>
      <c r="AC1793" s="338"/>
      <c r="AD1793" s="338"/>
    </row>
    <row r="1794" spans="1:30">
      <c r="A1794" s="338"/>
      <c r="B1794" s="338"/>
      <c r="D1794" s="338"/>
      <c r="E1794" s="338"/>
      <c r="H1794" s="338"/>
      <c r="I1794" s="338"/>
      <c r="J1794" s="338"/>
      <c r="K1794" s="338"/>
      <c r="L1794" s="338"/>
      <c r="M1794" s="338"/>
      <c r="N1794" s="338"/>
      <c r="Q1794" s="338"/>
      <c r="R1794" s="338"/>
      <c r="S1794" s="338"/>
      <c r="T1794" s="338"/>
      <c r="U1794" s="338"/>
      <c r="X1794" s="338"/>
      <c r="Y1794" s="338"/>
      <c r="Z1794" s="338"/>
      <c r="AA1794" s="338"/>
      <c r="AB1794" s="338"/>
      <c r="AC1794" s="338"/>
      <c r="AD1794" s="338"/>
    </row>
    <row r="1795" spans="1:30">
      <c r="A1795" s="338"/>
      <c r="B1795" s="338"/>
      <c r="D1795" s="338"/>
      <c r="E1795" s="338"/>
      <c r="H1795" s="338"/>
      <c r="I1795" s="338"/>
      <c r="J1795" s="338"/>
      <c r="K1795" s="338"/>
      <c r="L1795" s="338"/>
      <c r="M1795" s="338"/>
      <c r="N1795" s="338"/>
      <c r="Q1795" s="338"/>
      <c r="R1795" s="338"/>
      <c r="S1795" s="338"/>
      <c r="T1795" s="338"/>
      <c r="U1795" s="338"/>
      <c r="X1795" s="338"/>
      <c r="Y1795" s="338"/>
      <c r="Z1795" s="338"/>
      <c r="AA1795" s="338"/>
      <c r="AB1795" s="338"/>
      <c r="AC1795" s="338"/>
      <c r="AD1795" s="338"/>
    </row>
    <row r="1796" spans="1:30">
      <c r="A1796" s="338"/>
      <c r="B1796" s="338"/>
      <c r="D1796" s="338"/>
      <c r="E1796" s="338"/>
      <c r="H1796" s="338"/>
      <c r="I1796" s="338"/>
      <c r="J1796" s="338"/>
      <c r="K1796" s="338"/>
      <c r="L1796" s="338"/>
      <c r="M1796" s="338"/>
      <c r="N1796" s="338"/>
      <c r="Q1796" s="338"/>
      <c r="R1796" s="338"/>
      <c r="S1796" s="338"/>
      <c r="T1796" s="338"/>
      <c r="U1796" s="338"/>
      <c r="X1796" s="338"/>
      <c r="Y1796" s="338"/>
      <c r="Z1796" s="338"/>
      <c r="AA1796" s="338"/>
      <c r="AB1796" s="338"/>
      <c r="AC1796" s="338"/>
      <c r="AD1796" s="338"/>
    </row>
    <row r="1797" spans="1:30">
      <c r="A1797" s="338"/>
      <c r="B1797" s="338"/>
      <c r="D1797" s="338"/>
      <c r="E1797" s="338"/>
      <c r="H1797" s="338"/>
      <c r="I1797" s="338"/>
      <c r="J1797" s="338"/>
      <c r="K1797" s="338"/>
      <c r="L1797" s="338"/>
      <c r="M1797" s="338"/>
      <c r="N1797" s="338"/>
      <c r="Q1797" s="338"/>
      <c r="R1797" s="338"/>
      <c r="S1797" s="338"/>
      <c r="T1797" s="338"/>
      <c r="U1797" s="338"/>
      <c r="X1797" s="338"/>
      <c r="Y1797" s="338"/>
      <c r="Z1797" s="338"/>
      <c r="AA1797" s="338"/>
      <c r="AB1797" s="338"/>
      <c r="AC1797" s="338"/>
      <c r="AD1797" s="338"/>
    </row>
    <row r="1798" spans="1:30">
      <c r="A1798" s="338"/>
      <c r="B1798" s="338"/>
      <c r="D1798" s="338"/>
      <c r="E1798" s="338"/>
      <c r="H1798" s="338"/>
      <c r="I1798" s="338"/>
      <c r="J1798" s="338"/>
      <c r="K1798" s="338"/>
      <c r="L1798" s="338"/>
      <c r="M1798" s="338"/>
      <c r="N1798" s="338"/>
      <c r="Q1798" s="338"/>
      <c r="R1798" s="338"/>
      <c r="S1798" s="338"/>
      <c r="T1798" s="338"/>
      <c r="U1798" s="338"/>
      <c r="X1798" s="338"/>
      <c r="Y1798" s="338"/>
      <c r="Z1798" s="338"/>
      <c r="AA1798" s="338"/>
      <c r="AB1798" s="338"/>
      <c r="AC1798" s="338"/>
      <c r="AD1798" s="338"/>
    </row>
    <row r="1799" spans="1:30">
      <c r="A1799" s="338"/>
      <c r="B1799" s="338"/>
      <c r="D1799" s="338"/>
      <c r="E1799" s="338"/>
      <c r="H1799" s="338"/>
      <c r="I1799" s="338"/>
      <c r="J1799" s="338"/>
      <c r="K1799" s="338"/>
      <c r="L1799" s="338"/>
      <c r="M1799" s="338"/>
      <c r="N1799" s="338"/>
      <c r="Q1799" s="338"/>
      <c r="R1799" s="338"/>
      <c r="S1799" s="338"/>
      <c r="T1799" s="338"/>
      <c r="U1799" s="338"/>
      <c r="X1799" s="338"/>
      <c r="Y1799" s="338"/>
      <c r="Z1799" s="338"/>
      <c r="AA1799" s="338"/>
      <c r="AB1799" s="338"/>
      <c r="AC1799" s="338"/>
      <c r="AD1799" s="338"/>
    </row>
    <row r="1800" spans="1:30">
      <c r="A1800" s="338"/>
      <c r="B1800" s="338"/>
      <c r="D1800" s="338"/>
      <c r="E1800" s="338"/>
      <c r="H1800" s="338"/>
      <c r="I1800" s="338"/>
      <c r="J1800" s="338"/>
      <c r="K1800" s="338"/>
      <c r="L1800" s="338"/>
      <c r="M1800" s="338"/>
      <c r="N1800" s="338"/>
      <c r="Q1800" s="338"/>
      <c r="R1800" s="338"/>
      <c r="S1800" s="338"/>
      <c r="T1800" s="338"/>
      <c r="U1800" s="338"/>
      <c r="X1800" s="338"/>
      <c r="Y1800" s="338"/>
      <c r="Z1800" s="338"/>
      <c r="AA1800" s="338"/>
      <c r="AB1800" s="338"/>
      <c r="AC1800" s="338"/>
      <c r="AD1800" s="338"/>
    </row>
    <row r="1801" spans="1:30">
      <c r="A1801" s="338"/>
      <c r="B1801" s="338"/>
      <c r="D1801" s="338"/>
      <c r="E1801" s="338"/>
      <c r="H1801" s="338"/>
      <c r="I1801" s="338"/>
      <c r="J1801" s="338"/>
      <c r="K1801" s="338"/>
      <c r="L1801" s="338"/>
      <c r="M1801" s="338"/>
      <c r="N1801" s="338"/>
      <c r="Q1801" s="338"/>
      <c r="R1801" s="338"/>
      <c r="S1801" s="338"/>
      <c r="T1801" s="338"/>
      <c r="U1801" s="338"/>
      <c r="X1801" s="338"/>
      <c r="Y1801" s="338"/>
      <c r="Z1801" s="338"/>
      <c r="AA1801" s="338"/>
      <c r="AB1801" s="338"/>
      <c r="AC1801" s="338"/>
      <c r="AD1801" s="338"/>
    </row>
    <row r="1802" spans="1:30">
      <c r="A1802" s="338"/>
      <c r="B1802" s="338"/>
      <c r="D1802" s="338"/>
      <c r="E1802" s="338"/>
      <c r="H1802" s="338"/>
      <c r="I1802" s="338"/>
      <c r="J1802" s="338"/>
      <c r="K1802" s="338"/>
      <c r="L1802" s="338"/>
      <c r="M1802" s="338"/>
      <c r="N1802" s="338"/>
      <c r="Q1802" s="338"/>
      <c r="R1802" s="338"/>
      <c r="S1802" s="338"/>
      <c r="T1802" s="338"/>
      <c r="U1802" s="338"/>
      <c r="X1802" s="338"/>
      <c r="Y1802" s="338"/>
      <c r="Z1802" s="338"/>
      <c r="AA1802" s="338"/>
      <c r="AB1802" s="338"/>
      <c r="AC1802" s="338"/>
      <c r="AD1802" s="338"/>
    </row>
    <row r="1803" spans="1:30">
      <c r="A1803" s="338"/>
      <c r="B1803" s="338"/>
      <c r="D1803" s="338"/>
      <c r="E1803" s="338"/>
      <c r="H1803" s="338"/>
      <c r="I1803" s="338"/>
      <c r="J1803" s="338"/>
      <c r="K1803" s="338"/>
      <c r="L1803" s="338"/>
      <c r="M1803" s="338"/>
      <c r="N1803" s="338"/>
      <c r="Q1803" s="338"/>
      <c r="R1803" s="338"/>
      <c r="S1803" s="338"/>
      <c r="T1803" s="338"/>
      <c r="U1803" s="338"/>
      <c r="X1803" s="338"/>
      <c r="Y1803" s="338"/>
      <c r="Z1803" s="338"/>
      <c r="AA1803" s="338"/>
      <c r="AB1803" s="338"/>
      <c r="AC1803" s="338"/>
      <c r="AD1803" s="338"/>
    </row>
    <row r="1804" spans="1:30">
      <c r="A1804" s="338"/>
      <c r="B1804" s="338"/>
      <c r="D1804" s="338"/>
      <c r="E1804" s="338"/>
      <c r="H1804" s="338"/>
      <c r="I1804" s="338"/>
      <c r="J1804" s="338"/>
      <c r="K1804" s="338"/>
      <c r="L1804" s="338"/>
      <c r="M1804" s="338"/>
      <c r="N1804" s="338"/>
      <c r="Q1804" s="338"/>
      <c r="R1804" s="338"/>
      <c r="S1804" s="338"/>
      <c r="T1804" s="338"/>
      <c r="U1804" s="338"/>
      <c r="X1804" s="338"/>
      <c r="Y1804" s="338"/>
      <c r="Z1804" s="338"/>
      <c r="AA1804" s="338"/>
      <c r="AB1804" s="338"/>
      <c r="AC1804" s="338"/>
      <c r="AD1804" s="338"/>
    </row>
    <row r="1805" spans="1:30">
      <c r="A1805" s="338"/>
      <c r="B1805" s="338"/>
      <c r="D1805" s="338"/>
      <c r="E1805" s="338"/>
      <c r="H1805" s="338"/>
      <c r="I1805" s="338"/>
      <c r="J1805" s="338"/>
      <c r="K1805" s="338"/>
      <c r="L1805" s="338"/>
      <c r="M1805" s="338"/>
      <c r="N1805" s="338"/>
      <c r="Q1805" s="338"/>
      <c r="R1805" s="338"/>
      <c r="S1805" s="338"/>
      <c r="T1805" s="338"/>
      <c r="U1805" s="338"/>
      <c r="X1805" s="338"/>
      <c r="Y1805" s="338"/>
      <c r="Z1805" s="338"/>
      <c r="AA1805" s="338"/>
      <c r="AB1805" s="338"/>
      <c r="AC1805" s="338"/>
      <c r="AD1805" s="338"/>
    </row>
    <row r="1806" spans="1:30">
      <c r="A1806" s="338"/>
      <c r="B1806" s="338"/>
      <c r="D1806" s="338"/>
      <c r="E1806" s="338"/>
      <c r="H1806" s="338"/>
      <c r="I1806" s="338"/>
      <c r="J1806" s="338"/>
      <c r="K1806" s="338"/>
      <c r="L1806" s="338"/>
      <c r="M1806" s="338"/>
      <c r="N1806" s="338"/>
      <c r="Q1806" s="338"/>
      <c r="R1806" s="338"/>
      <c r="S1806" s="338"/>
      <c r="T1806" s="338"/>
      <c r="U1806" s="338"/>
      <c r="X1806" s="338"/>
      <c r="Y1806" s="338"/>
      <c r="Z1806" s="338"/>
      <c r="AA1806" s="338"/>
      <c r="AB1806" s="338"/>
      <c r="AC1806" s="338"/>
      <c r="AD1806" s="338"/>
    </row>
    <row r="1807" spans="1:30">
      <c r="A1807" s="338"/>
      <c r="B1807" s="338"/>
      <c r="D1807" s="338"/>
      <c r="E1807" s="338"/>
      <c r="H1807" s="338"/>
      <c r="I1807" s="338"/>
      <c r="J1807" s="338"/>
      <c r="K1807" s="338"/>
      <c r="L1807" s="338"/>
      <c r="M1807" s="338"/>
      <c r="N1807" s="338"/>
      <c r="Q1807" s="338"/>
      <c r="R1807" s="338"/>
      <c r="S1807" s="338"/>
      <c r="T1807" s="338"/>
      <c r="U1807" s="338"/>
      <c r="X1807" s="338"/>
      <c r="Y1807" s="338"/>
      <c r="Z1807" s="338"/>
      <c r="AA1807" s="338"/>
      <c r="AB1807" s="338"/>
      <c r="AC1807" s="338"/>
      <c r="AD1807" s="338"/>
    </row>
    <row r="1808" spans="1:30">
      <c r="A1808" s="338"/>
      <c r="B1808" s="338"/>
      <c r="D1808" s="338"/>
      <c r="E1808" s="338"/>
      <c r="H1808" s="338"/>
      <c r="I1808" s="338"/>
      <c r="J1808" s="338"/>
      <c r="K1808" s="338"/>
      <c r="L1808" s="338"/>
      <c r="M1808" s="338"/>
      <c r="N1808" s="338"/>
      <c r="Q1808" s="338"/>
      <c r="R1808" s="338"/>
      <c r="S1808" s="338"/>
      <c r="T1808" s="338"/>
      <c r="U1808" s="338"/>
      <c r="X1808" s="338"/>
      <c r="Y1808" s="338"/>
      <c r="Z1808" s="338"/>
      <c r="AA1808" s="338"/>
      <c r="AB1808" s="338"/>
      <c r="AC1808" s="338"/>
      <c r="AD1808" s="338"/>
    </row>
    <row r="1809" spans="1:30">
      <c r="A1809" s="338"/>
      <c r="B1809" s="338"/>
      <c r="D1809" s="338"/>
      <c r="E1809" s="338"/>
      <c r="H1809" s="338"/>
      <c r="I1809" s="338"/>
      <c r="J1809" s="338"/>
      <c r="K1809" s="338"/>
      <c r="L1809" s="338"/>
      <c r="M1809" s="338"/>
      <c r="N1809" s="338"/>
      <c r="Q1809" s="338"/>
      <c r="R1809" s="338"/>
      <c r="S1809" s="338"/>
      <c r="T1809" s="338"/>
      <c r="U1809" s="338"/>
      <c r="X1809" s="338"/>
      <c r="Y1809" s="338"/>
      <c r="Z1809" s="338"/>
      <c r="AA1809" s="338"/>
      <c r="AB1809" s="338"/>
      <c r="AC1809" s="338"/>
      <c r="AD1809" s="338"/>
    </row>
    <row r="1810" spans="1:30">
      <c r="A1810" s="338"/>
      <c r="B1810" s="338"/>
      <c r="D1810" s="338"/>
      <c r="E1810" s="338"/>
      <c r="H1810" s="338"/>
      <c r="I1810" s="338"/>
      <c r="J1810" s="338"/>
      <c r="K1810" s="338"/>
      <c r="L1810" s="338"/>
      <c r="M1810" s="338"/>
      <c r="N1810" s="338"/>
      <c r="Q1810" s="338"/>
      <c r="R1810" s="338"/>
      <c r="S1810" s="338"/>
      <c r="T1810" s="338"/>
      <c r="U1810" s="338"/>
      <c r="X1810" s="338"/>
      <c r="Y1810" s="338"/>
      <c r="Z1810" s="338"/>
      <c r="AA1810" s="338"/>
      <c r="AB1810" s="338"/>
      <c r="AC1810" s="338"/>
      <c r="AD1810" s="338"/>
    </row>
    <row r="1811" spans="1:30">
      <c r="A1811" s="338"/>
      <c r="B1811" s="338"/>
      <c r="D1811" s="338"/>
      <c r="E1811" s="338"/>
      <c r="H1811" s="338"/>
      <c r="I1811" s="338"/>
      <c r="J1811" s="338"/>
      <c r="K1811" s="338"/>
      <c r="L1811" s="338"/>
      <c r="M1811" s="338"/>
      <c r="N1811" s="338"/>
      <c r="Q1811" s="338"/>
      <c r="R1811" s="338"/>
      <c r="S1811" s="338"/>
      <c r="T1811" s="338"/>
      <c r="U1811" s="338"/>
      <c r="X1811" s="338"/>
      <c r="Y1811" s="338"/>
      <c r="Z1811" s="338"/>
      <c r="AA1811" s="338"/>
      <c r="AB1811" s="338"/>
      <c r="AC1811" s="338"/>
      <c r="AD1811" s="338"/>
    </row>
    <row r="1812" spans="1:30">
      <c r="A1812" s="338"/>
      <c r="B1812" s="338"/>
      <c r="D1812" s="338"/>
      <c r="E1812" s="338"/>
      <c r="H1812" s="338"/>
      <c r="I1812" s="338"/>
      <c r="J1812" s="338"/>
      <c r="K1812" s="338"/>
      <c r="L1812" s="338"/>
      <c r="M1812" s="338"/>
      <c r="N1812" s="338"/>
      <c r="Q1812" s="338"/>
      <c r="R1812" s="338"/>
      <c r="S1812" s="338"/>
      <c r="T1812" s="338"/>
      <c r="U1812" s="338"/>
      <c r="X1812" s="338"/>
      <c r="Y1812" s="338"/>
      <c r="Z1812" s="338"/>
      <c r="AA1812" s="338"/>
      <c r="AB1812" s="338"/>
      <c r="AC1812" s="338"/>
      <c r="AD1812" s="338"/>
    </row>
    <row r="1813" spans="1:30">
      <c r="A1813" s="338"/>
      <c r="B1813" s="338"/>
      <c r="D1813" s="338"/>
      <c r="E1813" s="338"/>
      <c r="H1813" s="338"/>
      <c r="I1813" s="338"/>
      <c r="J1813" s="338"/>
      <c r="K1813" s="338"/>
      <c r="L1813" s="338"/>
      <c r="M1813" s="338"/>
      <c r="N1813" s="338"/>
      <c r="Q1813" s="338"/>
      <c r="R1813" s="338"/>
      <c r="S1813" s="338"/>
      <c r="T1813" s="338"/>
      <c r="U1813" s="338"/>
      <c r="X1813" s="338"/>
      <c r="Y1813" s="338"/>
      <c r="Z1813" s="338"/>
      <c r="AA1813" s="338"/>
      <c r="AB1813" s="338"/>
      <c r="AC1813" s="338"/>
      <c r="AD1813" s="338"/>
    </row>
    <row r="1814" spans="1:30">
      <c r="A1814" s="338"/>
      <c r="B1814" s="338"/>
      <c r="D1814" s="338"/>
      <c r="E1814" s="338"/>
      <c r="H1814" s="338"/>
      <c r="I1814" s="338"/>
      <c r="J1814" s="338"/>
      <c r="K1814" s="338"/>
      <c r="L1814" s="338"/>
      <c r="M1814" s="338"/>
      <c r="N1814" s="338"/>
      <c r="Q1814" s="338"/>
      <c r="R1814" s="338"/>
      <c r="S1814" s="338"/>
      <c r="T1814" s="338"/>
      <c r="U1814" s="338"/>
      <c r="X1814" s="338"/>
      <c r="Y1814" s="338"/>
      <c r="Z1814" s="338"/>
      <c r="AA1814" s="338"/>
      <c r="AB1814" s="338"/>
      <c r="AC1814" s="338"/>
      <c r="AD1814" s="338"/>
    </row>
    <row r="1815" spans="1:30">
      <c r="A1815" s="338"/>
      <c r="B1815" s="338"/>
      <c r="D1815" s="338"/>
      <c r="E1815" s="338"/>
      <c r="H1815" s="338"/>
      <c r="I1815" s="338"/>
      <c r="J1815" s="338"/>
      <c r="K1815" s="338"/>
      <c r="L1815" s="338"/>
      <c r="M1815" s="338"/>
      <c r="N1815" s="338"/>
      <c r="Q1815" s="338"/>
      <c r="R1815" s="338"/>
      <c r="S1815" s="338"/>
      <c r="T1815" s="338"/>
      <c r="U1815" s="338"/>
      <c r="X1815" s="338"/>
      <c r="Y1815" s="338"/>
      <c r="Z1815" s="338"/>
      <c r="AA1815" s="338"/>
      <c r="AB1815" s="338"/>
      <c r="AC1815" s="338"/>
      <c r="AD1815" s="338"/>
    </row>
    <row r="1816" spans="1:30">
      <c r="A1816" s="338"/>
      <c r="B1816" s="338"/>
      <c r="D1816" s="338"/>
      <c r="E1816" s="338"/>
      <c r="H1816" s="338"/>
      <c r="I1816" s="338"/>
      <c r="J1816" s="338"/>
      <c r="K1816" s="338"/>
      <c r="L1816" s="338"/>
      <c r="M1816" s="338"/>
      <c r="N1816" s="338"/>
      <c r="Q1816" s="338"/>
      <c r="R1816" s="338"/>
      <c r="S1816" s="338"/>
      <c r="T1816" s="338"/>
      <c r="U1816" s="338"/>
      <c r="X1816" s="338"/>
      <c r="Y1816" s="338"/>
      <c r="Z1816" s="338"/>
      <c r="AA1816" s="338"/>
      <c r="AB1816" s="338"/>
      <c r="AC1816" s="338"/>
      <c r="AD1816" s="338"/>
    </row>
    <row r="1817" spans="1:30">
      <c r="A1817" s="338"/>
      <c r="B1817" s="338"/>
      <c r="D1817" s="338"/>
      <c r="E1817" s="338"/>
      <c r="H1817" s="338"/>
      <c r="I1817" s="338"/>
      <c r="J1817" s="338"/>
      <c r="K1817" s="338"/>
      <c r="L1817" s="338"/>
      <c r="M1817" s="338"/>
      <c r="N1817" s="338"/>
      <c r="Q1817" s="338"/>
      <c r="R1817" s="338"/>
      <c r="S1817" s="338"/>
      <c r="T1817" s="338"/>
      <c r="U1817" s="338"/>
      <c r="X1817" s="338"/>
      <c r="Y1817" s="338"/>
      <c r="Z1817" s="338"/>
      <c r="AA1817" s="338"/>
      <c r="AB1817" s="338"/>
      <c r="AC1817" s="338"/>
      <c r="AD1817" s="338"/>
    </row>
    <row r="1818" spans="1:30">
      <c r="A1818" s="338"/>
      <c r="B1818" s="338"/>
      <c r="D1818" s="338"/>
      <c r="E1818" s="338"/>
      <c r="H1818" s="338"/>
      <c r="I1818" s="338"/>
      <c r="J1818" s="338"/>
      <c r="K1818" s="338"/>
      <c r="L1818" s="338"/>
      <c r="M1818" s="338"/>
      <c r="N1818" s="338"/>
      <c r="Q1818" s="338"/>
      <c r="R1818" s="338"/>
      <c r="S1818" s="338"/>
      <c r="T1818" s="338"/>
      <c r="U1818" s="338"/>
      <c r="X1818" s="338"/>
      <c r="Y1818" s="338"/>
      <c r="Z1818" s="338"/>
      <c r="AA1818" s="338"/>
      <c r="AB1818" s="338"/>
      <c r="AC1818" s="338"/>
      <c r="AD1818" s="338"/>
    </row>
    <row r="1819" spans="1:30">
      <c r="A1819" s="338"/>
      <c r="B1819" s="338"/>
      <c r="D1819" s="338"/>
      <c r="E1819" s="338"/>
      <c r="H1819" s="338"/>
      <c r="I1819" s="338"/>
      <c r="J1819" s="338"/>
      <c r="K1819" s="338"/>
      <c r="L1819" s="338"/>
      <c r="M1819" s="338"/>
      <c r="N1819" s="338"/>
      <c r="Q1819" s="338"/>
      <c r="R1819" s="338"/>
      <c r="S1819" s="338"/>
      <c r="T1819" s="338"/>
      <c r="U1819" s="338"/>
      <c r="X1819" s="338"/>
      <c r="Y1819" s="338"/>
      <c r="Z1819" s="338"/>
      <c r="AA1819" s="338"/>
      <c r="AB1819" s="338"/>
      <c r="AC1819" s="338"/>
      <c r="AD1819" s="338"/>
    </row>
    <row r="1820" spans="1:30">
      <c r="A1820" s="338"/>
      <c r="B1820" s="338"/>
      <c r="D1820" s="338"/>
      <c r="E1820" s="338"/>
      <c r="H1820" s="338"/>
      <c r="I1820" s="338"/>
      <c r="J1820" s="338"/>
      <c r="K1820" s="338"/>
      <c r="L1820" s="338"/>
      <c r="M1820" s="338"/>
      <c r="N1820" s="338"/>
      <c r="Q1820" s="338"/>
      <c r="R1820" s="338"/>
      <c r="S1820" s="338"/>
      <c r="T1820" s="338"/>
      <c r="U1820" s="338"/>
      <c r="X1820" s="338"/>
      <c r="Y1820" s="338"/>
      <c r="Z1820" s="338"/>
      <c r="AA1820" s="338"/>
      <c r="AB1820" s="338"/>
      <c r="AC1820" s="338"/>
      <c r="AD1820" s="338"/>
    </row>
    <row r="1821" spans="1:30">
      <c r="A1821" s="338"/>
      <c r="B1821" s="338"/>
      <c r="D1821" s="338"/>
      <c r="E1821" s="338"/>
      <c r="H1821" s="338"/>
      <c r="I1821" s="338"/>
      <c r="J1821" s="338"/>
      <c r="K1821" s="338"/>
      <c r="L1821" s="338"/>
      <c r="M1821" s="338"/>
      <c r="N1821" s="338"/>
      <c r="Q1821" s="338"/>
      <c r="R1821" s="338"/>
      <c r="S1821" s="338"/>
      <c r="T1821" s="338"/>
      <c r="U1821" s="338"/>
      <c r="X1821" s="338"/>
      <c r="Y1821" s="338"/>
      <c r="Z1821" s="338"/>
      <c r="AA1821" s="338"/>
      <c r="AB1821" s="338"/>
      <c r="AC1821" s="338"/>
      <c r="AD1821" s="338"/>
    </row>
    <row r="1822" spans="1:30">
      <c r="A1822" s="338"/>
      <c r="B1822" s="338"/>
      <c r="D1822" s="338"/>
      <c r="E1822" s="338"/>
      <c r="H1822" s="338"/>
      <c r="I1822" s="338"/>
      <c r="J1822" s="338"/>
      <c r="K1822" s="338"/>
      <c r="L1822" s="338"/>
      <c r="M1822" s="338"/>
      <c r="N1822" s="338"/>
      <c r="Q1822" s="338"/>
      <c r="R1822" s="338"/>
      <c r="S1822" s="338"/>
      <c r="T1822" s="338"/>
      <c r="U1822" s="338"/>
      <c r="X1822" s="338"/>
      <c r="Y1822" s="338"/>
      <c r="Z1822" s="338"/>
      <c r="AA1822" s="338"/>
      <c r="AB1822" s="338"/>
      <c r="AC1822" s="338"/>
      <c r="AD1822" s="338"/>
    </row>
    <row r="1823" spans="1:30">
      <c r="A1823" s="338"/>
      <c r="B1823" s="338"/>
      <c r="D1823" s="338"/>
      <c r="E1823" s="338"/>
      <c r="H1823" s="338"/>
      <c r="I1823" s="338"/>
      <c r="J1823" s="338"/>
      <c r="K1823" s="338"/>
      <c r="L1823" s="338"/>
      <c r="M1823" s="338"/>
      <c r="N1823" s="338"/>
      <c r="Q1823" s="338"/>
      <c r="R1823" s="338"/>
      <c r="S1823" s="338"/>
      <c r="T1823" s="338"/>
      <c r="U1823" s="338"/>
      <c r="X1823" s="338"/>
      <c r="Y1823" s="338"/>
      <c r="Z1823" s="338"/>
      <c r="AA1823" s="338"/>
      <c r="AB1823" s="338"/>
      <c r="AC1823" s="338"/>
      <c r="AD1823" s="338"/>
    </row>
    <row r="1824" spans="1:30">
      <c r="A1824" s="338"/>
      <c r="B1824" s="338"/>
      <c r="D1824" s="338"/>
      <c r="E1824" s="338"/>
      <c r="H1824" s="338"/>
      <c r="I1824" s="338"/>
      <c r="J1824" s="338"/>
      <c r="K1824" s="338"/>
      <c r="L1824" s="338"/>
      <c r="M1824" s="338"/>
      <c r="N1824" s="338"/>
      <c r="Q1824" s="338"/>
      <c r="R1824" s="338"/>
      <c r="S1824" s="338"/>
      <c r="T1824" s="338"/>
      <c r="U1824" s="338"/>
      <c r="X1824" s="338"/>
      <c r="Y1824" s="338"/>
      <c r="Z1824" s="338"/>
      <c r="AA1824" s="338"/>
      <c r="AB1824" s="338"/>
      <c r="AC1824" s="338"/>
      <c r="AD1824" s="338"/>
    </row>
    <row r="1825" spans="1:30">
      <c r="A1825" s="338"/>
      <c r="B1825" s="338"/>
      <c r="D1825" s="338"/>
      <c r="E1825" s="338"/>
      <c r="H1825" s="338"/>
      <c r="I1825" s="338"/>
      <c r="J1825" s="338"/>
      <c r="K1825" s="338"/>
      <c r="L1825" s="338"/>
      <c r="M1825" s="338"/>
      <c r="N1825" s="338"/>
      <c r="Q1825" s="338"/>
      <c r="R1825" s="338"/>
      <c r="S1825" s="338"/>
      <c r="T1825" s="338"/>
      <c r="U1825" s="338"/>
      <c r="X1825" s="338"/>
      <c r="Y1825" s="338"/>
      <c r="Z1825" s="338"/>
      <c r="AA1825" s="338"/>
      <c r="AB1825" s="338"/>
      <c r="AC1825" s="338"/>
      <c r="AD1825" s="338"/>
    </row>
    <row r="1826" spans="1:30">
      <c r="A1826" s="338"/>
      <c r="B1826" s="338"/>
      <c r="D1826" s="338"/>
      <c r="E1826" s="338"/>
      <c r="H1826" s="338"/>
      <c r="I1826" s="338"/>
      <c r="J1826" s="338"/>
      <c r="K1826" s="338"/>
      <c r="L1826" s="338"/>
      <c r="M1826" s="338"/>
      <c r="N1826" s="338"/>
      <c r="Q1826" s="338"/>
      <c r="R1826" s="338"/>
      <c r="S1826" s="338"/>
      <c r="T1826" s="338"/>
      <c r="U1826" s="338"/>
      <c r="X1826" s="338"/>
      <c r="Y1826" s="338"/>
      <c r="Z1826" s="338"/>
      <c r="AA1826" s="338"/>
      <c r="AB1826" s="338"/>
      <c r="AC1826" s="338"/>
      <c r="AD1826" s="338"/>
    </row>
    <row r="1827" spans="1:30">
      <c r="A1827" s="338"/>
      <c r="B1827" s="338"/>
      <c r="D1827" s="338"/>
      <c r="E1827" s="338"/>
      <c r="H1827" s="338"/>
      <c r="I1827" s="338"/>
      <c r="J1827" s="338"/>
      <c r="K1827" s="338"/>
      <c r="L1827" s="338"/>
      <c r="M1827" s="338"/>
      <c r="N1827" s="338"/>
      <c r="Q1827" s="338"/>
      <c r="R1827" s="338"/>
      <c r="S1827" s="338"/>
      <c r="T1827" s="338"/>
      <c r="U1827" s="338"/>
      <c r="X1827" s="338"/>
      <c r="Y1827" s="338"/>
      <c r="Z1827" s="338"/>
      <c r="AA1827" s="338"/>
      <c r="AB1827" s="338"/>
      <c r="AC1827" s="338"/>
      <c r="AD1827" s="338"/>
    </row>
    <row r="1828" spans="1:30">
      <c r="A1828" s="338"/>
      <c r="B1828" s="338"/>
      <c r="D1828" s="338"/>
      <c r="E1828" s="338"/>
      <c r="H1828" s="338"/>
      <c r="I1828" s="338"/>
      <c r="J1828" s="338"/>
      <c r="K1828" s="338"/>
      <c r="L1828" s="338"/>
      <c r="M1828" s="338"/>
      <c r="N1828" s="338"/>
      <c r="Q1828" s="338"/>
      <c r="R1828" s="338"/>
      <c r="S1828" s="338"/>
      <c r="T1828" s="338"/>
      <c r="U1828" s="338"/>
      <c r="X1828" s="338"/>
      <c r="Y1828" s="338"/>
      <c r="Z1828" s="338"/>
      <c r="AA1828" s="338"/>
      <c r="AB1828" s="338"/>
      <c r="AC1828" s="338"/>
      <c r="AD1828" s="338"/>
    </row>
    <row r="1829" spans="1:30">
      <c r="A1829" s="338"/>
      <c r="B1829" s="338"/>
      <c r="D1829" s="338"/>
      <c r="E1829" s="338"/>
      <c r="H1829" s="338"/>
      <c r="I1829" s="338"/>
      <c r="J1829" s="338"/>
      <c r="K1829" s="338"/>
      <c r="L1829" s="338"/>
      <c r="M1829" s="338"/>
      <c r="N1829" s="338"/>
      <c r="Q1829" s="338"/>
      <c r="R1829" s="338"/>
      <c r="S1829" s="338"/>
      <c r="T1829" s="338"/>
      <c r="U1829" s="338"/>
      <c r="X1829" s="338"/>
      <c r="Y1829" s="338"/>
      <c r="Z1829" s="338"/>
      <c r="AA1829" s="338"/>
      <c r="AB1829" s="338"/>
      <c r="AC1829" s="338"/>
      <c r="AD1829" s="338"/>
    </row>
    <row r="1830" spans="1:30">
      <c r="A1830" s="338"/>
      <c r="B1830" s="338"/>
      <c r="D1830" s="338"/>
      <c r="E1830" s="338"/>
      <c r="H1830" s="338"/>
      <c r="I1830" s="338"/>
      <c r="J1830" s="338"/>
      <c r="K1830" s="338"/>
      <c r="L1830" s="338"/>
      <c r="M1830" s="338"/>
      <c r="N1830" s="338"/>
      <c r="Q1830" s="338"/>
      <c r="R1830" s="338"/>
      <c r="S1830" s="338"/>
      <c r="T1830" s="338"/>
      <c r="U1830" s="338"/>
      <c r="X1830" s="338"/>
      <c r="Y1830" s="338"/>
      <c r="Z1830" s="338"/>
      <c r="AA1830" s="338"/>
      <c r="AB1830" s="338"/>
      <c r="AC1830" s="338"/>
      <c r="AD1830" s="338"/>
    </row>
    <row r="1831" spans="1:30">
      <c r="A1831" s="338"/>
      <c r="B1831" s="338"/>
      <c r="D1831" s="338"/>
      <c r="E1831" s="338"/>
      <c r="H1831" s="338"/>
      <c r="I1831" s="338"/>
      <c r="J1831" s="338"/>
      <c r="K1831" s="338"/>
      <c r="L1831" s="338"/>
      <c r="M1831" s="338"/>
      <c r="N1831" s="338"/>
      <c r="Q1831" s="338"/>
      <c r="R1831" s="338"/>
      <c r="S1831" s="338"/>
      <c r="T1831" s="338"/>
      <c r="U1831" s="338"/>
      <c r="X1831" s="338"/>
      <c r="Y1831" s="338"/>
      <c r="Z1831" s="338"/>
      <c r="AA1831" s="338"/>
      <c r="AB1831" s="338"/>
      <c r="AC1831" s="338"/>
      <c r="AD1831" s="338"/>
    </row>
    <row r="1832" spans="1:30">
      <c r="A1832" s="338"/>
      <c r="B1832" s="338"/>
      <c r="D1832" s="338"/>
      <c r="E1832" s="338"/>
      <c r="H1832" s="338"/>
      <c r="I1832" s="338"/>
      <c r="J1832" s="338"/>
      <c r="K1832" s="338"/>
      <c r="L1832" s="338"/>
      <c r="M1832" s="338"/>
      <c r="N1832" s="338"/>
      <c r="Q1832" s="338"/>
      <c r="R1832" s="338"/>
      <c r="S1832" s="338"/>
      <c r="T1832" s="338"/>
      <c r="U1832" s="338"/>
      <c r="X1832" s="338"/>
      <c r="Y1832" s="338"/>
      <c r="Z1832" s="338"/>
      <c r="AA1832" s="338"/>
      <c r="AB1832" s="338"/>
      <c r="AC1832" s="338"/>
      <c r="AD1832" s="338"/>
    </row>
    <row r="1833" spans="1:30">
      <c r="A1833" s="338"/>
      <c r="B1833" s="338"/>
      <c r="D1833" s="338"/>
      <c r="E1833" s="338"/>
      <c r="H1833" s="338"/>
      <c r="I1833" s="338"/>
      <c r="J1833" s="338"/>
      <c r="K1833" s="338"/>
      <c r="L1833" s="338"/>
      <c r="M1833" s="338"/>
      <c r="N1833" s="338"/>
      <c r="Q1833" s="338"/>
      <c r="R1833" s="338"/>
      <c r="S1833" s="338"/>
      <c r="T1833" s="338"/>
      <c r="U1833" s="338"/>
      <c r="X1833" s="338"/>
      <c r="Y1833" s="338"/>
      <c r="Z1833" s="338"/>
      <c r="AA1833" s="338"/>
      <c r="AB1833" s="338"/>
      <c r="AC1833" s="338"/>
      <c r="AD1833" s="338"/>
    </row>
    <row r="1834" spans="1:30">
      <c r="A1834" s="338"/>
      <c r="B1834" s="338"/>
      <c r="D1834" s="338"/>
      <c r="E1834" s="338"/>
      <c r="H1834" s="338"/>
      <c r="I1834" s="338"/>
      <c r="J1834" s="338"/>
      <c r="K1834" s="338"/>
      <c r="L1834" s="338"/>
      <c r="M1834" s="338"/>
      <c r="N1834" s="338"/>
      <c r="Q1834" s="338"/>
      <c r="R1834" s="338"/>
      <c r="S1834" s="338"/>
      <c r="T1834" s="338"/>
      <c r="U1834" s="338"/>
      <c r="X1834" s="338"/>
      <c r="Y1834" s="338"/>
      <c r="Z1834" s="338"/>
      <c r="AA1834" s="338"/>
      <c r="AB1834" s="338"/>
      <c r="AC1834" s="338"/>
      <c r="AD1834" s="338"/>
    </row>
    <row r="1835" spans="1:30">
      <c r="A1835" s="338"/>
      <c r="B1835" s="338"/>
      <c r="D1835" s="338"/>
      <c r="E1835" s="338"/>
      <c r="H1835" s="338"/>
      <c r="I1835" s="338"/>
      <c r="J1835" s="338"/>
      <c r="K1835" s="338"/>
      <c r="L1835" s="338"/>
      <c r="M1835" s="338"/>
      <c r="N1835" s="338"/>
      <c r="Q1835" s="338"/>
      <c r="R1835" s="338"/>
      <c r="S1835" s="338"/>
      <c r="T1835" s="338"/>
      <c r="U1835" s="338"/>
      <c r="X1835" s="338"/>
      <c r="Y1835" s="338"/>
      <c r="Z1835" s="338"/>
      <c r="AA1835" s="338"/>
      <c r="AB1835" s="338"/>
      <c r="AC1835" s="338"/>
      <c r="AD1835" s="338"/>
    </row>
    <row r="1836" spans="1:30">
      <c r="A1836" s="338"/>
      <c r="B1836" s="338"/>
      <c r="D1836" s="338"/>
      <c r="E1836" s="338"/>
      <c r="H1836" s="338"/>
      <c r="I1836" s="338"/>
      <c r="J1836" s="338"/>
      <c r="K1836" s="338"/>
      <c r="L1836" s="338"/>
      <c r="M1836" s="338"/>
      <c r="N1836" s="338"/>
      <c r="Q1836" s="338"/>
      <c r="R1836" s="338"/>
      <c r="S1836" s="338"/>
      <c r="T1836" s="338"/>
      <c r="U1836" s="338"/>
      <c r="X1836" s="338"/>
      <c r="Y1836" s="338"/>
      <c r="Z1836" s="338"/>
      <c r="AA1836" s="338"/>
      <c r="AB1836" s="338"/>
      <c r="AC1836" s="338"/>
      <c r="AD1836" s="338"/>
    </row>
    <row r="1837" spans="1:30">
      <c r="A1837" s="338"/>
      <c r="B1837" s="338"/>
      <c r="D1837" s="338"/>
      <c r="E1837" s="338"/>
      <c r="H1837" s="338"/>
      <c r="I1837" s="338"/>
      <c r="J1837" s="338"/>
      <c r="K1837" s="338"/>
      <c r="L1837" s="338"/>
      <c r="M1837" s="338"/>
      <c r="N1837" s="338"/>
      <c r="Q1837" s="338"/>
      <c r="R1837" s="338"/>
      <c r="S1837" s="338"/>
      <c r="T1837" s="338"/>
      <c r="U1837" s="338"/>
      <c r="X1837" s="338"/>
      <c r="Y1837" s="338"/>
      <c r="Z1837" s="338"/>
      <c r="AA1837" s="338"/>
      <c r="AB1837" s="338"/>
      <c r="AC1837" s="338"/>
      <c r="AD1837" s="338"/>
    </row>
    <row r="1838" spans="1:30">
      <c r="A1838" s="338"/>
      <c r="B1838" s="338"/>
      <c r="D1838" s="338"/>
      <c r="E1838" s="338"/>
      <c r="H1838" s="338"/>
      <c r="I1838" s="338"/>
      <c r="J1838" s="338"/>
      <c r="K1838" s="338"/>
      <c r="L1838" s="338"/>
      <c r="M1838" s="338"/>
      <c r="N1838" s="338"/>
      <c r="Q1838" s="338"/>
      <c r="R1838" s="338"/>
      <c r="S1838" s="338"/>
      <c r="T1838" s="338"/>
      <c r="U1838" s="338"/>
      <c r="X1838" s="338"/>
      <c r="Y1838" s="338"/>
      <c r="Z1838" s="338"/>
      <c r="AA1838" s="338"/>
      <c r="AB1838" s="338"/>
      <c r="AC1838" s="338"/>
      <c r="AD1838" s="338"/>
    </row>
    <row r="1839" spans="1:30">
      <c r="A1839" s="338"/>
      <c r="B1839" s="338"/>
      <c r="D1839" s="338"/>
      <c r="E1839" s="338"/>
      <c r="H1839" s="338"/>
      <c r="I1839" s="338"/>
      <c r="J1839" s="338"/>
      <c r="K1839" s="338"/>
      <c r="L1839" s="338"/>
      <c r="M1839" s="338"/>
      <c r="N1839" s="338"/>
      <c r="Q1839" s="338"/>
      <c r="R1839" s="338"/>
      <c r="S1839" s="338"/>
      <c r="T1839" s="338"/>
      <c r="U1839" s="338"/>
      <c r="X1839" s="338"/>
      <c r="Y1839" s="338"/>
      <c r="Z1839" s="338"/>
      <c r="AA1839" s="338"/>
      <c r="AB1839" s="338"/>
      <c r="AC1839" s="338"/>
      <c r="AD1839" s="338"/>
    </row>
    <row r="1840" spans="1:30">
      <c r="A1840" s="338"/>
      <c r="B1840" s="338"/>
      <c r="D1840" s="338"/>
      <c r="E1840" s="338"/>
      <c r="H1840" s="338"/>
      <c r="I1840" s="338"/>
      <c r="J1840" s="338"/>
      <c r="K1840" s="338"/>
      <c r="L1840" s="338"/>
      <c r="M1840" s="338"/>
      <c r="N1840" s="338"/>
      <c r="Q1840" s="338"/>
      <c r="R1840" s="338"/>
      <c r="S1840" s="338"/>
      <c r="T1840" s="338"/>
      <c r="U1840" s="338"/>
      <c r="X1840" s="338"/>
      <c r="Y1840" s="338"/>
      <c r="Z1840" s="338"/>
      <c r="AA1840" s="338"/>
      <c r="AB1840" s="338"/>
      <c r="AC1840" s="338"/>
      <c r="AD1840" s="338"/>
    </row>
    <row r="1841" spans="1:30">
      <c r="A1841" s="338"/>
      <c r="B1841" s="338"/>
      <c r="D1841" s="338"/>
      <c r="E1841" s="338"/>
      <c r="H1841" s="338"/>
      <c r="I1841" s="338"/>
      <c r="J1841" s="338"/>
      <c r="K1841" s="338"/>
      <c r="L1841" s="338"/>
      <c r="M1841" s="338"/>
      <c r="N1841" s="338"/>
      <c r="Q1841" s="338"/>
      <c r="R1841" s="338"/>
      <c r="S1841" s="338"/>
      <c r="T1841" s="338"/>
      <c r="U1841" s="338"/>
      <c r="X1841" s="338"/>
      <c r="Y1841" s="338"/>
      <c r="Z1841" s="338"/>
      <c r="AA1841" s="338"/>
      <c r="AB1841" s="338"/>
      <c r="AC1841" s="338"/>
      <c r="AD1841" s="338"/>
    </row>
    <row r="1842" spans="1:30">
      <c r="A1842" s="338"/>
      <c r="B1842" s="338"/>
      <c r="D1842" s="338"/>
      <c r="E1842" s="338"/>
      <c r="H1842" s="338"/>
      <c r="I1842" s="338"/>
      <c r="J1842" s="338"/>
      <c r="K1842" s="338"/>
      <c r="L1842" s="338"/>
      <c r="M1842" s="338"/>
      <c r="N1842" s="338"/>
      <c r="Q1842" s="338"/>
      <c r="R1842" s="338"/>
      <c r="S1842" s="338"/>
      <c r="T1842" s="338"/>
      <c r="U1842" s="338"/>
      <c r="X1842" s="338"/>
      <c r="Y1842" s="338"/>
      <c r="Z1842" s="338"/>
      <c r="AA1842" s="338"/>
      <c r="AB1842" s="338"/>
      <c r="AC1842" s="338"/>
      <c r="AD1842" s="338"/>
    </row>
    <row r="1843" spans="1:30">
      <c r="A1843" s="338"/>
      <c r="B1843" s="338"/>
      <c r="D1843" s="338"/>
      <c r="E1843" s="338"/>
      <c r="H1843" s="338"/>
      <c r="I1843" s="338"/>
      <c r="J1843" s="338"/>
      <c r="K1843" s="338"/>
      <c r="L1843" s="338"/>
      <c r="M1843" s="338"/>
      <c r="N1843" s="338"/>
      <c r="Q1843" s="338"/>
      <c r="R1843" s="338"/>
      <c r="S1843" s="338"/>
      <c r="T1843" s="338"/>
      <c r="U1843" s="338"/>
      <c r="X1843" s="338"/>
      <c r="Y1843" s="338"/>
      <c r="Z1843" s="338"/>
      <c r="AA1843" s="338"/>
      <c r="AB1843" s="338"/>
      <c r="AC1843" s="338"/>
      <c r="AD1843" s="338"/>
    </row>
    <row r="1844" spans="1:30">
      <c r="A1844" s="338"/>
      <c r="B1844" s="338"/>
      <c r="D1844" s="338"/>
      <c r="E1844" s="338"/>
      <c r="H1844" s="338"/>
      <c r="I1844" s="338"/>
      <c r="J1844" s="338"/>
      <c r="K1844" s="338"/>
      <c r="L1844" s="338"/>
      <c r="M1844" s="338"/>
      <c r="N1844" s="338"/>
      <c r="Q1844" s="338"/>
      <c r="R1844" s="338"/>
      <c r="S1844" s="338"/>
      <c r="T1844" s="338"/>
      <c r="U1844" s="338"/>
      <c r="X1844" s="338"/>
      <c r="Y1844" s="338"/>
      <c r="Z1844" s="338"/>
      <c r="AA1844" s="338"/>
      <c r="AB1844" s="338"/>
      <c r="AC1844" s="338"/>
      <c r="AD1844" s="338"/>
    </row>
    <row r="1845" spans="1:30">
      <c r="A1845" s="338"/>
      <c r="B1845" s="338"/>
      <c r="D1845" s="338"/>
      <c r="E1845" s="338"/>
      <c r="H1845" s="338"/>
      <c r="I1845" s="338"/>
      <c r="J1845" s="338"/>
      <c r="K1845" s="338"/>
      <c r="L1845" s="338"/>
      <c r="M1845" s="338"/>
      <c r="N1845" s="338"/>
      <c r="Q1845" s="338"/>
      <c r="R1845" s="338"/>
      <c r="S1845" s="338"/>
      <c r="T1845" s="338"/>
      <c r="U1845" s="338"/>
      <c r="X1845" s="338"/>
      <c r="Y1845" s="338"/>
      <c r="Z1845" s="338"/>
      <c r="AA1845" s="338"/>
      <c r="AB1845" s="338"/>
      <c r="AC1845" s="338"/>
      <c r="AD1845" s="338"/>
    </row>
    <row r="1846" spans="1:30">
      <c r="A1846" s="338"/>
      <c r="B1846" s="338"/>
      <c r="D1846" s="338"/>
      <c r="E1846" s="338"/>
      <c r="H1846" s="338"/>
      <c r="I1846" s="338"/>
      <c r="J1846" s="338"/>
      <c r="K1846" s="338"/>
      <c r="L1846" s="338"/>
      <c r="M1846" s="338"/>
      <c r="N1846" s="338"/>
      <c r="Q1846" s="338"/>
      <c r="R1846" s="338"/>
      <c r="S1846" s="338"/>
      <c r="T1846" s="338"/>
      <c r="U1846" s="338"/>
      <c r="X1846" s="338"/>
      <c r="Y1846" s="338"/>
      <c r="Z1846" s="338"/>
      <c r="AA1846" s="338"/>
      <c r="AB1846" s="338"/>
      <c r="AC1846" s="338"/>
      <c r="AD1846" s="338"/>
    </row>
    <row r="1847" spans="1:30">
      <c r="A1847" s="338"/>
      <c r="B1847" s="338"/>
      <c r="D1847" s="338"/>
      <c r="E1847" s="338"/>
      <c r="H1847" s="338"/>
      <c r="I1847" s="338"/>
      <c r="J1847" s="338"/>
      <c r="K1847" s="338"/>
      <c r="L1847" s="338"/>
      <c r="M1847" s="338"/>
      <c r="N1847" s="338"/>
      <c r="Q1847" s="338"/>
      <c r="R1847" s="338"/>
      <c r="S1847" s="338"/>
      <c r="T1847" s="338"/>
      <c r="U1847" s="338"/>
      <c r="X1847" s="338"/>
      <c r="Y1847" s="338"/>
      <c r="Z1847" s="338"/>
      <c r="AA1847" s="338"/>
      <c r="AB1847" s="338"/>
      <c r="AC1847" s="338"/>
      <c r="AD1847" s="338"/>
    </row>
    <row r="1848" spans="1:30">
      <c r="A1848" s="338"/>
      <c r="B1848" s="338"/>
      <c r="D1848" s="338"/>
      <c r="E1848" s="338"/>
      <c r="H1848" s="338"/>
      <c r="I1848" s="338"/>
      <c r="J1848" s="338"/>
      <c r="K1848" s="338"/>
      <c r="L1848" s="338"/>
      <c r="M1848" s="338"/>
      <c r="N1848" s="338"/>
      <c r="Q1848" s="338"/>
      <c r="R1848" s="338"/>
      <c r="S1848" s="338"/>
      <c r="T1848" s="338"/>
      <c r="U1848" s="338"/>
      <c r="X1848" s="338"/>
      <c r="Y1848" s="338"/>
      <c r="Z1848" s="338"/>
      <c r="AA1848" s="338"/>
      <c r="AB1848" s="338"/>
      <c r="AC1848" s="338"/>
      <c r="AD1848" s="338"/>
    </row>
    <row r="1849" spans="1:30">
      <c r="A1849" s="338"/>
      <c r="B1849" s="338"/>
      <c r="D1849" s="338"/>
      <c r="E1849" s="338"/>
      <c r="H1849" s="338"/>
      <c r="I1849" s="338"/>
      <c r="J1849" s="338"/>
      <c r="K1849" s="338"/>
      <c r="L1849" s="338"/>
      <c r="M1849" s="338"/>
      <c r="N1849" s="338"/>
      <c r="Q1849" s="338"/>
      <c r="R1849" s="338"/>
      <c r="S1849" s="338"/>
      <c r="T1849" s="338"/>
      <c r="U1849" s="338"/>
      <c r="X1849" s="338"/>
      <c r="Y1849" s="338"/>
      <c r="Z1849" s="338"/>
      <c r="AA1849" s="338"/>
      <c r="AB1849" s="338"/>
      <c r="AC1849" s="338"/>
      <c r="AD1849" s="338"/>
    </row>
    <row r="1850" spans="1:30">
      <c r="A1850" s="338"/>
      <c r="B1850" s="338"/>
      <c r="D1850" s="338"/>
      <c r="E1850" s="338"/>
      <c r="H1850" s="338"/>
      <c r="I1850" s="338"/>
      <c r="J1850" s="338"/>
      <c r="K1850" s="338"/>
      <c r="L1850" s="338"/>
      <c r="M1850" s="338"/>
      <c r="N1850" s="338"/>
      <c r="Q1850" s="338"/>
      <c r="R1850" s="338"/>
      <c r="S1850" s="338"/>
      <c r="T1850" s="338"/>
      <c r="U1850" s="338"/>
      <c r="X1850" s="338"/>
      <c r="Y1850" s="338"/>
      <c r="Z1850" s="338"/>
      <c r="AA1850" s="338"/>
      <c r="AB1850" s="338"/>
      <c r="AC1850" s="338"/>
      <c r="AD1850" s="338"/>
    </row>
    <row r="1851" spans="1:30">
      <c r="A1851" s="338"/>
      <c r="B1851" s="338"/>
      <c r="D1851" s="338"/>
      <c r="E1851" s="338"/>
      <c r="H1851" s="338"/>
      <c r="I1851" s="338"/>
      <c r="J1851" s="338"/>
      <c r="K1851" s="338"/>
      <c r="L1851" s="338"/>
      <c r="M1851" s="338"/>
      <c r="N1851" s="338"/>
      <c r="Q1851" s="338"/>
      <c r="R1851" s="338"/>
      <c r="S1851" s="338"/>
      <c r="T1851" s="338"/>
      <c r="U1851" s="338"/>
      <c r="X1851" s="338"/>
      <c r="Y1851" s="338"/>
      <c r="Z1851" s="338"/>
      <c r="AA1851" s="338"/>
      <c r="AB1851" s="338"/>
      <c r="AC1851" s="338"/>
      <c r="AD1851" s="338"/>
    </row>
    <row r="1852" spans="1:30">
      <c r="A1852" s="338"/>
      <c r="B1852" s="338"/>
      <c r="D1852" s="338"/>
      <c r="E1852" s="338"/>
      <c r="H1852" s="338"/>
      <c r="I1852" s="338"/>
      <c r="J1852" s="338"/>
      <c r="K1852" s="338"/>
      <c r="L1852" s="338"/>
      <c r="M1852" s="338"/>
      <c r="N1852" s="338"/>
      <c r="Q1852" s="338"/>
      <c r="R1852" s="338"/>
      <c r="S1852" s="338"/>
      <c r="T1852" s="338"/>
      <c r="U1852" s="338"/>
      <c r="X1852" s="338"/>
      <c r="Y1852" s="338"/>
      <c r="Z1852" s="338"/>
      <c r="AA1852" s="338"/>
      <c r="AB1852" s="338"/>
      <c r="AC1852" s="338"/>
      <c r="AD1852" s="338"/>
    </row>
    <row r="1853" spans="1:30">
      <c r="A1853" s="338"/>
      <c r="B1853" s="338"/>
      <c r="D1853" s="338"/>
      <c r="E1853" s="338"/>
      <c r="H1853" s="338"/>
      <c r="I1853" s="338"/>
      <c r="J1853" s="338"/>
      <c r="K1853" s="338"/>
      <c r="L1853" s="338"/>
      <c r="M1853" s="338"/>
      <c r="N1853" s="338"/>
      <c r="Q1853" s="338"/>
      <c r="R1853" s="338"/>
      <c r="S1853" s="338"/>
      <c r="T1853" s="338"/>
      <c r="U1853" s="338"/>
      <c r="X1853" s="338"/>
      <c r="Y1853" s="338"/>
      <c r="Z1853" s="338"/>
      <c r="AA1853" s="338"/>
      <c r="AB1853" s="338"/>
      <c r="AC1853" s="338"/>
      <c r="AD1853" s="338"/>
    </row>
    <row r="1854" spans="1:30">
      <c r="A1854" s="338"/>
      <c r="B1854" s="338"/>
      <c r="D1854" s="338"/>
      <c r="E1854" s="338"/>
      <c r="H1854" s="338"/>
      <c r="I1854" s="338"/>
      <c r="J1854" s="338"/>
      <c r="K1854" s="338"/>
      <c r="L1854" s="338"/>
      <c r="M1854" s="338"/>
      <c r="N1854" s="338"/>
      <c r="Q1854" s="338"/>
      <c r="R1854" s="338"/>
      <c r="S1854" s="338"/>
      <c r="T1854" s="338"/>
      <c r="U1854" s="338"/>
      <c r="X1854" s="338"/>
      <c r="Y1854" s="338"/>
      <c r="Z1854" s="338"/>
      <c r="AA1854" s="338"/>
      <c r="AB1854" s="338"/>
      <c r="AC1854" s="338"/>
      <c r="AD1854" s="338"/>
    </row>
    <row r="1855" spans="1:30">
      <c r="A1855" s="338"/>
      <c r="B1855" s="338"/>
      <c r="D1855" s="338"/>
      <c r="E1855" s="338"/>
      <c r="H1855" s="338"/>
      <c r="I1855" s="338"/>
      <c r="J1855" s="338"/>
      <c r="K1855" s="338"/>
      <c r="L1855" s="338"/>
      <c r="M1855" s="338"/>
      <c r="N1855" s="338"/>
      <c r="Q1855" s="338"/>
      <c r="R1855" s="338"/>
      <c r="S1855" s="338"/>
      <c r="T1855" s="338"/>
      <c r="U1855" s="338"/>
      <c r="X1855" s="338"/>
      <c r="Y1855" s="338"/>
      <c r="Z1855" s="338"/>
      <c r="AA1855" s="338"/>
      <c r="AB1855" s="338"/>
      <c r="AC1855" s="338"/>
      <c r="AD1855" s="338"/>
    </row>
    <row r="1856" spans="1:30">
      <c r="A1856" s="338"/>
      <c r="B1856" s="338"/>
      <c r="D1856" s="338"/>
      <c r="E1856" s="338"/>
      <c r="H1856" s="338"/>
      <c r="I1856" s="338"/>
      <c r="J1856" s="338"/>
      <c r="K1856" s="338"/>
      <c r="L1856" s="338"/>
      <c r="M1856" s="338"/>
      <c r="N1856" s="338"/>
      <c r="Q1856" s="338"/>
      <c r="R1856" s="338"/>
      <c r="S1856" s="338"/>
      <c r="T1856" s="338"/>
      <c r="U1856" s="338"/>
      <c r="X1856" s="338"/>
      <c r="Y1856" s="338"/>
      <c r="Z1856" s="338"/>
      <c r="AA1856" s="338"/>
      <c r="AB1856" s="338"/>
      <c r="AC1856" s="338"/>
      <c r="AD1856" s="338"/>
    </row>
    <row r="1857" spans="1:30">
      <c r="A1857" s="338"/>
      <c r="B1857" s="338"/>
      <c r="D1857" s="338"/>
      <c r="E1857" s="338"/>
      <c r="H1857" s="338"/>
      <c r="I1857" s="338"/>
      <c r="J1857" s="338"/>
      <c r="K1857" s="338"/>
      <c r="L1857" s="338"/>
      <c r="M1857" s="338"/>
      <c r="N1857" s="338"/>
      <c r="Q1857" s="338"/>
      <c r="R1857" s="338"/>
      <c r="S1857" s="338"/>
      <c r="T1857" s="338"/>
      <c r="U1857" s="338"/>
      <c r="X1857" s="338"/>
      <c r="Y1857" s="338"/>
      <c r="Z1857" s="338"/>
      <c r="AA1857" s="338"/>
      <c r="AB1857" s="338"/>
      <c r="AC1857" s="338"/>
      <c r="AD1857" s="338"/>
    </row>
    <row r="1858" spans="1:30">
      <c r="A1858" s="338"/>
      <c r="B1858" s="338"/>
      <c r="D1858" s="338"/>
      <c r="E1858" s="338"/>
      <c r="H1858" s="338"/>
      <c r="I1858" s="338"/>
      <c r="J1858" s="338"/>
      <c r="K1858" s="338"/>
      <c r="L1858" s="338"/>
      <c r="M1858" s="338"/>
      <c r="N1858" s="338"/>
      <c r="Q1858" s="338"/>
      <c r="R1858" s="338"/>
      <c r="S1858" s="338"/>
      <c r="T1858" s="338"/>
      <c r="U1858" s="338"/>
      <c r="X1858" s="338"/>
      <c r="Y1858" s="338"/>
      <c r="Z1858" s="338"/>
      <c r="AA1858" s="338"/>
      <c r="AB1858" s="338"/>
      <c r="AC1858" s="338"/>
      <c r="AD1858" s="338"/>
    </row>
    <row r="1859" spans="1:30">
      <c r="A1859" s="338"/>
      <c r="B1859" s="338"/>
      <c r="D1859" s="338"/>
      <c r="E1859" s="338"/>
      <c r="H1859" s="338"/>
      <c r="I1859" s="338"/>
      <c r="J1859" s="338"/>
      <c r="K1859" s="338"/>
      <c r="L1859" s="338"/>
      <c r="M1859" s="338"/>
      <c r="N1859" s="338"/>
      <c r="Q1859" s="338"/>
      <c r="R1859" s="338"/>
      <c r="S1859" s="338"/>
      <c r="T1859" s="338"/>
      <c r="U1859" s="338"/>
      <c r="X1859" s="338"/>
      <c r="Y1859" s="338"/>
      <c r="Z1859" s="338"/>
      <c r="AA1859" s="338"/>
      <c r="AB1859" s="338"/>
      <c r="AC1859" s="338"/>
      <c r="AD1859" s="338"/>
    </row>
    <row r="1860" spans="1:30">
      <c r="A1860" s="338"/>
      <c r="B1860" s="338"/>
      <c r="D1860" s="338"/>
      <c r="E1860" s="338"/>
      <c r="H1860" s="338"/>
      <c r="I1860" s="338"/>
      <c r="J1860" s="338"/>
      <c r="K1860" s="338"/>
      <c r="L1860" s="338"/>
      <c r="M1860" s="338"/>
      <c r="N1860" s="338"/>
      <c r="Q1860" s="338"/>
      <c r="R1860" s="338"/>
      <c r="S1860" s="338"/>
      <c r="T1860" s="338"/>
      <c r="U1860" s="338"/>
      <c r="X1860" s="338"/>
      <c r="Y1860" s="338"/>
      <c r="Z1860" s="338"/>
      <c r="AA1860" s="338"/>
      <c r="AB1860" s="338"/>
      <c r="AC1860" s="338"/>
      <c r="AD1860" s="338"/>
    </row>
    <row r="1861" spans="1:30">
      <c r="A1861" s="338"/>
      <c r="B1861" s="338"/>
      <c r="D1861" s="338"/>
      <c r="E1861" s="338"/>
      <c r="H1861" s="338"/>
      <c r="I1861" s="338"/>
      <c r="J1861" s="338"/>
      <c r="K1861" s="338"/>
      <c r="L1861" s="338"/>
      <c r="M1861" s="338"/>
      <c r="N1861" s="338"/>
      <c r="Q1861" s="338"/>
      <c r="R1861" s="338"/>
      <c r="S1861" s="338"/>
      <c r="T1861" s="338"/>
      <c r="U1861" s="338"/>
      <c r="X1861" s="338"/>
      <c r="Y1861" s="338"/>
      <c r="Z1861" s="338"/>
      <c r="AA1861" s="338"/>
      <c r="AB1861" s="338"/>
      <c r="AC1861" s="338"/>
      <c r="AD1861" s="338"/>
    </row>
    <row r="1862" spans="1:30">
      <c r="A1862" s="338"/>
      <c r="B1862" s="338"/>
      <c r="D1862" s="338"/>
      <c r="E1862" s="338"/>
      <c r="H1862" s="338"/>
      <c r="I1862" s="338"/>
      <c r="J1862" s="338"/>
      <c r="K1862" s="338"/>
      <c r="L1862" s="338"/>
      <c r="M1862" s="338"/>
      <c r="N1862" s="338"/>
      <c r="Q1862" s="338"/>
      <c r="R1862" s="338"/>
      <c r="S1862" s="338"/>
      <c r="T1862" s="338"/>
      <c r="U1862" s="338"/>
      <c r="X1862" s="338"/>
      <c r="Y1862" s="338"/>
      <c r="Z1862" s="338"/>
      <c r="AA1862" s="338"/>
      <c r="AB1862" s="338"/>
      <c r="AC1862" s="338"/>
      <c r="AD1862" s="338"/>
    </row>
    <row r="1863" spans="1:30">
      <c r="A1863" s="338"/>
      <c r="B1863" s="338"/>
      <c r="D1863" s="338"/>
      <c r="E1863" s="338"/>
      <c r="H1863" s="338"/>
      <c r="I1863" s="338"/>
      <c r="J1863" s="338"/>
      <c r="K1863" s="338"/>
      <c r="L1863" s="338"/>
      <c r="M1863" s="338"/>
      <c r="N1863" s="338"/>
      <c r="Q1863" s="338"/>
      <c r="R1863" s="338"/>
      <c r="S1863" s="338"/>
      <c r="T1863" s="338"/>
      <c r="U1863" s="338"/>
      <c r="X1863" s="338"/>
      <c r="Y1863" s="338"/>
      <c r="Z1863" s="338"/>
      <c r="AA1863" s="338"/>
      <c r="AB1863" s="338"/>
      <c r="AC1863" s="338"/>
      <c r="AD1863" s="338"/>
    </row>
    <row r="1864" spans="1:30">
      <c r="A1864" s="338"/>
      <c r="B1864" s="338"/>
      <c r="D1864" s="338"/>
      <c r="E1864" s="338"/>
      <c r="H1864" s="338"/>
      <c r="I1864" s="338"/>
      <c r="J1864" s="338"/>
      <c r="K1864" s="338"/>
      <c r="L1864" s="338"/>
      <c r="M1864" s="338"/>
      <c r="N1864" s="338"/>
      <c r="Q1864" s="338"/>
      <c r="R1864" s="338"/>
      <c r="S1864" s="338"/>
      <c r="T1864" s="338"/>
      <c r="U1864" s="338"/>
      <c r="X1864" s="338"/>
      <c r="Y1864" s="338"/>
      <c r="Z1864" s="338"/>
      <c r="AA1864" s="338"/>
      <c r="AB1864" s="338"/>
      <c r="AC1864" s="338"/>
      <c r="AD1864" s="338"/>
    </row>
    <row r="1865" spans="1:30">
      <c r="A1865" s="338"/>
      <c r="B1865" s="338"/>
      <c r="D1865" s="338"/>
      <c r="E1865" s="338"/>
      <c r="H1865" s="338"/>
      <c r="I1865" s="338"/>
      <c r="J1865" s="338"/>
      <c r="K1865" s="338"/>
      <c r="L1865" s="338"/>
      <c r="M1865" s="338"/>
      <c r="N1865" s="338"/>
      <c r="Q1865" s="338"/>
      <c r="R1865" s="338"/>
      <c r="S1865" s="338"/>
      <c r="T1865" s="338"/>
      <c r="U1865" s="338"/>
      <c r="X1865" s="338"/>
      <c r="Y1865" s="338"/>
      <c r="Z1865" s="338"/>
      <c r="AA1865" s="338"/>
      <c r="AB1865" s="338"/>
      <c r="AC1865" s="338"/>
      <c r="AD1865" s="338"/>
    </row>
    <row r="1866" spans="1:30">
      <c r="A1866" s="338"/>
      <c r="B1866" s="338"/>
      <c r="D1866" s="338"/>
      <c r="E1866" s="338"/>
      <c r="H1866" s="338"/>
      <c r="I1866" s="338"/>
      <c r="J1866" s="338"/>
      <c r="K1866" s="338"/>
      <c r="L1866" s="338"/>
      <c r="M1866" s="338"/>
      <c r="N1866" s="338"/>
      <c r="Q1866" s="338"/>
      <c r="R1866" s="338"/>
      <c r="S1866" s="338"/>
      <c r="T1866" s="338"/>
      <c r="U1866" s="338"/>
      <c r="X1866" s="338"/>
      <c r="Y1866" s="338"/>
      <c r="Z1866" s="338"/>
      <c r="AA1866" s="338"/>
      <c r="AB1866" s="338"/>
      <c r="AC1866" s="338"/>
      <c r="AD1866" s="338"/>
    </row>
    <row r="1867" spans="1:30">
      <c r="A1867" s="338"/>
      <c r="B1867" s="338"/>
      <c r="D1867" s="338"/>
      <c r="E1867" s="338"/>
      <c r="H1867" s="338"/>
      <c r="I1867" s="338"/>
      <c r="J1867" s="338"/>
      <c r="K1867" s="338"/>
      <c r="L1867" s="338"/>
      <c r="M1867" s="338"/>
      <c r="N1867" s="338"/>
      <c r="Q1867" s="338"/>
      <c r="R1867" s="338"/>
      <c r="S1867" s="338"/>
      <c r="T1867" s="338"/>
      <c r="U1867" s="338"/>
      <c r="X1867" s="338"/>
      <c r="Y1867" s="338"/>
      <c r="Z1867" s="338"/>
      <c r="AA1867" s="338"/>
      <c r="AB1867" s="338"/>
      <c r="AC1867" s="338"/>
      <c r="AD1867" s="338"/>
    </row>
    <row r="1868" spans="1:30">
      <c r="A1868" s="338"/>
      <c r="B1868" s="338"/>
      <c r="D1868" s="338"/>
      <c r="E1868" s="338"/>
      <c r="H1868" s="338"/>
      <c r="I1868" s="338"/>
      <c r="J1868" s="338"/>
      <c r="K1868" s="338"/>
      <c r="L1868" s="338"/>
      <c r="M1868" s="338"/>
      <c r="N1868" s="338"/>
      <c r="Q1868" s="338"/>
      <c r="R1868" s="338"/>
      <c r="S1868" s="338"/>
      <c r="T1868" s="338"/>
      <c r="U1868" s="338"/>
      <c r="X1868" s="338"/>
      <c r="Y1868" s="338"/>
      <c r="Z1868" s="338"/>
      <c r="AA1868" s="338"/>
      <c r="AB1868" s="338"/>
      <c r="AC1868" s="338"/>
      <c r="AD1868" s="338"/>
    </row>
    <row r="1869" spans="1:30">
      <c r="A1869" s="338"/>
      <c r="B1869" s="338"/>
      <c r="D1869" s="338"/>
      <c r="E1869" s="338"/>
      <c r="H1869" s="338"/>
      <c r="I1869" s="338"/>
      <c r="J1869" s="338"/>
      <c r="K1869" s="338"/>
      <c r="L1869" s="338"/>
      <c r="M1869" s="338"/>
      <c r="N1869" s="338"/>
      <c r="Q1869" s="338"/>
      <c r="R1869" s="338"/>
      <c r="S1869" s="338"/>
      <c r="T1869" s="338"/>
      <c r="U1869" s="338"/>
      <c r="X1869" s="338"/>
      <c r="Y1869" s="338"/>
      <c r="Z1869" s="338"/>
      <c r="AA1869" s="338"/>
      <c r="AB1869" s="338"/>
      <c r="AC1869" s="338"/>
      <c r="AD1869" s="338"/>
    </row>
    <row r="1870" spans="1:30">
      <c r="A1870" s="338"/>
      <c r="B1870" s="338"/>
      <c r="D1870" s="338"/>
      <c r="E1870" s="338"/>
      <c r="H1870" s="338"/>
      <c r="I1870" s="338"/>
      <c r="J1870" s="338"/>
      <c r="K1870" s="338"/>
      <c r="L1870" s="338"/>
      <c r="M1870" s="338"/>
      <c r="N1870" s="338"/>
      <c r="Q1870" s="338"/>
      <c r="R1870" s="338"/>
      <c r="S1870" s="338"/>
      <c r="T1870" s="338"/>
      <c r="U1870" s="338"/>
      <c r="X1870" s="338"/>
      <c r="Y1870" s="338"/>
      <c r="Z1870" s="338"/>
      <c r="AA1870" s="338"/>
      <c r="AB1870" s="338"/>
      <c r="AC1870" s="338"/>
      <c r="AD1870" s="338"/>
    </row>
    <row r="1871" spans="1:30">
      <c r="A1871" s="338"/>
      <c r="B1871" s="338"/>
      <c r="D1871" s="338"/>
      <c r="E1871" s="338"/>
      <c r="H1871" s="338"/>
      <c r="I1871" s="338"/>
      <c r="J1871" s="338"/>
      <c r="K1871" s="338"/>
      <c r="L1871" s="338"/>
      <c r="M1871" s="338"/>
      <c r="N1871" s="338"/>
      <c r="Q1871" s="338"/>
      <c r="R1871" s="338"/>
      <c r="S1871" s="338"/>
      <c r="T1871" s="338"/>
      <c r="U1871" s="338"/>
      <c r="X1871" s="338"/>
      <c r="Y1871" s="338"/>
      <c r="Z1871" s="338"/>
      <c r="AA1871" s="338"/>
      <c r="AB1871" s="338"/>
      <c r="AC1871" s="338"/>
      <c r="AD1871" s="338"/>
    </row>
    <row r="1872" spans="1:30">
      <c r="A1872" s="338"/>
      <c r="B1872" s="338"/>
      <c r="D1872" s="338"/>
      <c r="E1872" s="338"/>
      <c r="H1872" s="338"/>
      <c r="I1872" s="338"/>
      <c r="J1872" s="338"/>
      <c r="K1872" s="338"/>
      <c r="L1872" s="338"/>
      <c r="M1872" s="338"/>
      <c r="N1872" s="338"/>
      <c r="Q1872" s="338"/>
      <c r="R1872" s="338"/>
      <c r="S1872" s="338"/>
      <c r="T1872" s="338"/>
      <c r="U1872" s="338"/>
      <c r="X1872" s="338"/>
      <c r="Y1872" s="338"/>
      <c r="Z1872" s="338"/>
      <c r="AA1872" s="338"/>
      <c r="AB1872" s="338"/>
      <c r="AC1872" s="338"/>
      <c r="AD1872" s="338"/>
    </row>
    <row r="1873" spans="1:30">
      <c r="A1873" s="338"/>
      <c r="B1873" s="338"/>
      <c r="D1873" s="338"/>
      <c r="E1873" s="338"/>
      <c r="H1873" s="338"/>
      <c r="I1873" s="338"/>
      <c r="J1873" s="338"/>
      <c r="K1873" s="338"/>
      <c r="L1873" s="338"/>
      <c r="M1873" s="338"/>
      <c r="N1873" s="338"/>
      <c r="Q1873" s="338"/>
      <c r="R1873" s="338"/>
      <c r="S1873" s="338"/>
      <c r="T1873" s="338"/>
      <c r="U1873" s="338"/>
      <c r="X1873" s="338"/>
      <c r="Y1873" s="338"/>
      <c r="Z1873" s="338"/>
      <c r="AA1873" s="338"/>
      <c r="AB1873" s="338"/>
      <c r="AC1873" s="338"/>
      <c r="AD1873" s="338"/>
    </row>
    <row r="1874" spans="1:30">
      <c r="A1874" s="338"/>
      <c r="B1874" s="338"/>
      <c r="D1874" s="338"/>
      <c r="E1874" s="338"/>
      <c r="H1874" s="338"/>
      <c r="I1874" s="338"/>
      <c r="J1874" s="338"/>
      <c r="K1874" s="338"/>
      <c r="L1874" s="338"/>
      <c r="M1874" s="338"/>
      <c r="N1874" s="338"/>
      <c r="Q1874" s="338"/>
      <c r="R1874" s="338"/>
      <c r="S1874" s="338"/>
      <c r="T1874" s="338"/>
      <c r="U1874" s="338"/>
      <c r="X1874" s="338"/>
      <c r="Y1874" s="338"/>
      <c r="Z1874" s="338"/>
      <c r="AA1874" s="338"/>
      <c r="AB1874" s="338"/>
      <c r="AC1874" s="338"/>
      <c r="AD1874" s="338"/>
    </row>
    <row r="1875" spans="1:30">
      <c r="A1875" s="338"/>
      <c r="B1875" s="338"/>
      <c r="D1875" s="338"/>
      <c r="E1875" s="338"/>
      <c r="H1875" s="338"/>
      <c r="I1875" s="338"/>
      <c r="J1875" s="338"/>
      <c r="K1875" s="338"/>
      <c r="L1875" s="338"/>
      <c r="M1875" s="338"/>
      <c r="N1875" s="338"/>
      <c r="Q1875" s="338"/>
      <c r="R1875" s="338"/>
      <c r="S1875" s="338"/>
      <c r="T1875" s="338"/>
      <c r="U1875" s="338"/>
      <c r="X1875" s="338"/>
      <c r="Y1875" s="338"/>
      <c r="Z1875" s="338"/>
      <c r="AA1875" s="338"/>
      <c r="AB1875" s="338"/>
      <c r="AC1875" s="338"/>
      <c r="AD1875" s="338"/>
    </row>
    <row r="1876" spans="1:30">
      <c r="A1876" s="338"/>
      <c r="B1876" s="338"/>
      <c r="D1876" s="338"/>
      <c r="E1876" s="338"/>
      <c r="H1876" s="338"/>
      <c r="I1876" s="338"/>
      <c r="J1876" s="338"/>
      <c r="K1876" s="338"/>
      <c r="L1876" s="338"/>
      <c r="M1876" s="338"/>
      <c r="N1876" s="338"/>
      <c r="Q1876" s="338"/>
      <c r="R1876" s="338"/>
      <c r="S1876" s="338"/>
      <c r="T1876" s="338"/>
      <c r="U1876" s="338"/>
      <c r="X1876" s="338"/>
      <c r="Y1876" s="338"/>
      <c r="Z1876" s="338"/>
      <c r="AA1876" s="338"/>
      <c r="AB1876" s="338"/>
      <c r="AC1876" s="338"/>
      <c r="AD1876" s="338"/>
    </row>
    <row r="1877" spans="1:30">
      <c r="A1877" s="338"/>
      <c r="B1877" s="338"/>
      <c r="D1877" s="338"/>
      <c r="E1877" s="338"/>
      <c r="H1877" s="338"/>
      <c r="I1877" s="338"/>
      <c r="J1877" s="338"/>
      <c r="K1877" s="338"/>
      <c r="L1877" s="338"/>
      <c r="M1877" s="338"/>
      <c r="N1877" s="338"/>
      <c r="Q1877" s="338"/>
      <c r="R1877" s="338"/>
      <c r="S1877" s="338"/>
      <c r="T1877" s="338"/>
      <c r="U1877" s="338"/>
      <c r="X1877" s="338"/>
      <c r="Y1877" s="338"/>
      <c r="Z1877" s="338"/>
      <c r="AA1877" s="338"/>
      <c r="AB1877" s="338"/>
      <c r="AC1877" s="338"/>
      <c r="AD1877" s="338"/>
    </row>
    <row r="1878" spans="1:30">
      <c r="A1878" s="338"/>
      <c r="B1878" s="338"/>
      <c r="D1878" s="338"/>
      <c r="E1878" s="338"/>
      <c r="H1878" s="338"/>
      <c r="I1878" s="338"/>
      <c r="J1878" s="338"/>
      <c r="K1878" s="338"/>
      <c r="L1878" s="338"/>
      <c r="M1878" s="338"/>
      <c r="N1878" s="338"/>
      <c r="Q1878" s="338"/>
      <c r="R1878" s="338"/>
      <c r="S1878" s="338"/>
      <c r="T1878" s="338"/>
      <c r="U1878" s="338"/>
      <c r="X1878" s="338"/>
      <c r="Y1878" s="338"/>
      <c r="Z1878" s="338"/>
      <c r="AA1878" s="338"/>
      <c r="AB1878" s="338"/>
      <c r="AC1878" s="338"/>
      <c r="AD1878" s="338"/>
    </row>
    <row r="1879" spans="1:30">
      <c r="A1879" s="338"/>
      <c r="B1879" s="338"/>
      <c r="D1879" s="338"/>
      <c r="E1879" s="338"/>
      <c r="H1879" s="338"/>
      <c r="I1879" s="338"/>
      <c r="J1879" s="338"/>
      <c r="K1879" s="338"/>
      <c r="L1879" s="338"/>
      <c r="M1879" s="338"/>
      <c r="N1879" s="338"/>
      <c r="Q1879" s="338"/>
      <c r="R1879" s="338"/>
      <c r="S1879" s="338"/>
      <c r="T1879" s="338"/>
      <c r="U1879" s="338"/>
      <c r="X1879" s="338"/>
      <c r="Y1879" s="338"/>
      <c r="Z1879" s="338"/>
      <c r="AA1879" s="338"/>
      <c r="AB1879" s="338"/>
      <c r="AC1879" s="338"/>
      <c r="AD1879" s="338"/>
    </row>
    <row r="1880" spans="1:30">
      <c r="A1880" s="338"/>
      <c r="B1880" s="338"/>
      <c r="D1880" s="338"/>
      <c r="E1880" s="338"/>
      <c r="H1880" s="338"/>
      <c r="I1880" s="338"/>
      <c r="J1880" s="338"/>
      <c r="K1880" s="338"/>
      <c r="L1880" s="338"/>
      <c r="M1880" s="338"/>
      <c r="N1880" s="338"/>
      <c r="Q1880" s="338"/>
      <c r="R1880" s="338"/>
      <c r="S1880" s="338"/>
      <c r="T1880" s="338"/>
      <c r="U1880" s="338"/>
      <c r="X1880" s="338"/>
      <c r="Y1880" s="338"/>
      <c r="Z1880" s="338"/>
      <c r="AA1880" s="338"/>
      <c r="AB1880" s="338"/>
      <c r="AC1880" s="338"/>
      <c r="AD1880" s="338"/>
    </row>
    <row r="1881" spans="1:30">
      <c r="A1881" s="338"/>
      <c r="B1881" s="338"/>
      <c r="D1881" s="338"/>
      <c r="E1881" s="338"/>
      <c r="H1881" s="338"/>
      <c r="I1881" s="338"/>
      <c r="J1881" s="338"/>
      <c r="K1881" s="338"/>
      <c r="L1881" s="338"/>
      <c r="M1881" s="338"/>
      <c r="N1881" s="338"/>
      <c r="Q1881" s="338"/>
      <c r="R1881" s="338"/>
      <c r="S1881" s="338"/>
      <c r="T1881" s="338"/>
      <c r="U1881" s="338"/>
      <c r="X1881" s="338"/>
      <c r="Y1881" s="338"/>
      <c r="Z1881" s="338"/>
      <c r="AA1881" s="338"/>
      <c r="AB1881" s="338"/>
      <c r="AC1881" s="338"/>
      <c r="AD1881" s="338"/>
    </row>
    <row r="1882" spans="1:30">
      <c r="A1882" s="338"/>
      <c r="B1882" s="338"/>
      <c r="D1882" s="338"/>
      <c r="E1882" s="338"/>
      <c r="H1882" s="338"/>
      <c r="I1882" s="338"/>
      <c r="J1882" s="338"/>
      <c r="K1882" s="338"/>
      <c r="L1882" s="338"/>
      <c r="M1882" s="338"/>
      <c r="N1882" s="338"/>
      <c r="Q1882" s="338"/>
      <c r="R1882" s="338"/>
      <c r="S1882" s="338"/>
      <c r="T1882" s="338"/>
      <c r="U1882" s="338"/>
      <c r="X1882" s="338"/>
      <c r="Y1882" s="338"/>
      <c r="Z1882" s="338"/>
      <c r="AA1882" s="338"/>
      <c r="AB1882" s="338"/>
      <c r="AC1882" s="338"/>
      <c r="AD1882" s="338"/>
    </row>
    <row r="1883" spans="1:30">
      <c r="A1883" s="338"/>
      <c r="B1883" s="338"/>
      <c r="D1883" s="338"/>
      <c r="E1883" s="338"/>
      <c r="H1883" s="338"/>
      <c r="I1883" s="338"/>
      <c r="J1883" s="338"/>
      <c r="K1883" s="338"/>
      <c r="L1883" s="338"/>
      <c r="M1883" s="338"/>
      <c r="N1883" s="338"/>
      <c r="Q1883" s="338"/>
      <c r="R1883" s="338"/>
      <c r="S1883" s="338"/>
      <c r="T1883" s="338"/>
      <c r="U1883" s="338"/>
      <c r="X1883" s="338"/>
      <c r="Y1883" s="338"/>
      <c r="Z1883" s="338"/>
      <c r="AA1883" s="338"/>
      <c r="AB1883" s="338"/>
      <c r="AC1883" s="338"/>
      <c r="AD1883" s="338"/>
    </row>
    <row r="1884" spans="1:30">
      <c r="A1884" s="338"/>
      <c r="B1884" s="338"/>
      <c r="D1884" s="338"/>
      <c r="E1884" s="338"/>
      <c r="H1884" s="338"/>
      <c r="I1884" s="338"/>
      <c r="J1884" s="338"/>
      <c r="K1884" s="338"/>
      <c r="L1884" s="338"/>
      <c r="M1884" s="338"/>
      <c r="N1884" s="338"/>
      <c r="Q1884" s="338"/>
      <c r="R1884" s="338"/>
      <c r="S1884" s="338"/>
      <c r="T1884" s="338"/>
      <c r="U1884" s="338"/>
      <c r="X1884" s="338"/>
      <c r="Y1884" s="338"/>
      <c r="Z1884" s="338"/>
      <c r="AA1884" s="338"/>
      <c r="AB1884" s="338"/>
      <c r="AC1884" s="338"/>
      <c r="AD1884" s="338"/>
    </row>
    <row r="1885" spans="1:30">
      <c r="A1885" s="338"/>
      <c r="B1885" s="338"/>
      <c r="D1885" s="338"/>
      <c r="E1885" s="338"/>
      <c r="H1885" s="338"/>
      <c r="I1885" s="338"/>
      <c r="J1885" s="338"/>
      <c r="K1885" s="338"/>
      <c r="L1885" s="338"/>
      <c r="M1885" s="338"/>
      <c r="N1885" s="338"/>
      <c r="Q1885" s="338"/>
      <c r="R1885" s="338"/>
      <c r="S1885" s="338"/>
      <c r="T1885" s="338"/>
      <c r="U1885" s="338"/>
      <c r="X1885" s="338"/>
      <c r="Y1885" s="338"/>
      <c r="Z1885" s="338"/>
      <c r="AA1885" s="338"/>
      <c r="AB1885" s="338"/>
      <c r="AC1885" s="338"/>
      <c r="AD1885" s="338"/>
    </row>
    <row r="1886" spans="1:30">
      <c r="A1886" s="338"/>
      <c r="B1886" s="338"/>
      <c r="D1886" s="338"/>
      <c r="E1886" s="338"/>
      <c r="H1886" s="338"/>
      <c r="I1886" s="338"/>
      <c r="J1886" s="338"/>
      <c r="K1886" s="338"/>
      <c r="L1886" s="338"/>
      <c r="M1886" s="338"/>
      <c r="N1886" s="338"/>
      <c r="Q1886" s="338"/>
      <c r="R1886" s="338"/>
      <c r="S1886" s="338"/>
      <c r="T1886" s="338"/>
      <c r="U1886" s="338"/>
      <c r="X1886" s="338"/>
      <c r="Y1886" s="338"/>
      <c r="Z1886" s="338"/>
      <c r="AA1886" s="338"/>
      <c r="AB1886" s="338"/>
      <c r="AC1886" s="338"/>
      <c r="AD1886" s="338"/>
    </row>
    <row r="1887" spans="1:30">
      <c r="A1887" s="338"/>
      <c r="B1887" s="338"/>
      <c r="D1887" s="338"/>
      <c r="E1887" s="338"/>
      <c r="H1887" s="338"/>
      <c r="I1887" s="338"/>
      <c r="J1887" s="338"/>
      <c r="K1887" s="338"/>
      <c r="L1887" s="338"/>
      <c r="M1887" s="338"/>
      <c r="N1887" s="338"/>
      <c r="Q1887" s="338"/>
      <c r="R1887" s="338"/>
      <c r="S1887" s="338"/>
      <c r="T1887" s="338"/>
      <c r="U1887" s="338"/>
      <c r="X1887" s="338"/>
      <c r="Y1887" s="338"/>
      <c r="Z1887" s="338"/>
      <c r="AA1887" s="338"/>
      <c r="AB1887" s="338"/>
      <c r="AC1887" s="338"/>
      <c r="AD1887" s="338"/>
    </row>
    <row r="1888" spans="1:30">
      <c r="A1888" s="338"/>
      <c r="B1888" s="338"/>
      <c r="D1888" s="338"/>
      <c r="E1888" s="338"/>
      <c r="H1888" s="338"/>
      <c r="I1888" s="338"/>
      <c r="J1888" s="338"/>
      <c r="K1888" s="338"/>
      <c r="L1888" s="338"/>
      <c r="M1888" s="338"/>
      <c r="N1888" s="338"/>
      <c r="Q1888" s="338"/>
      <c r="R1888" s="338"/>
      <c r="S1888" s="338"/>
      <c r="T1888" s="338"/>
      <c r="U1888" s="338"/>
      <c r="X1888" s="338"/>
      <c r="Y1888" s="338"/>
      <c r="Z1888" s="338"/>
      <c r="AA1888" s="338"/>
      <c r="AB1888" s="338"/>
      <c r="AC1888" s="338"/>
      <c r="AD1888" s="338"/>
    </row>
    <row r="1889" spans="1:30">
      <c r="A1889" s="338"/>
      <c r="B1889" s="338"/>
      <c r="D1889" s="338"/>
      <c r="E1889" s="338"/>
      <c r="H1889" s="338"/>
      <c r="I1889" s="338"/>
      <c r="J1889" s="338"/>
      <c r="K1889" s="338"/>
      <c r="L1889" s="338"/>
      <c r="M1889" s="338"/>
      <c r="N1889" s="338"/>
      <c r="Q1889" s="338"/>
      <c r="R1889" s="338"/>
      <c r="S1889" s="338"/>
      <c r="T1889" s="338"/>
      <c r="U1889" s="338"/>
      <c r="X1889" s="338"/>
      <c r="Y1889" s="338"/>
      <c r="Z1889" s="338"/>
      <c r="AA1889" s="338"/>
      <c r="AB1889" s="338"/>
      <c r="AC1889" s="338"/>
      <c r="AD1889" s="338"/>
    </row>
    <row r="1890" spans="1:30">
      <c r="A1890" s="338"/>
      <c r="B1890" s="338"/>
      <c r="D1890" s="338"/>
      <c r="E1890" s="338"/>
      <c r="H1890" s="338"/>
      <c r="I1890" s="338"/>
      <c r="J1890" s="338"/>
      <c r="K1890" s="338"/>
      <c r="L1890" s="338"/>
      <c r="M1890" s="338"/>
      <c r="N1890" s="338"/>
      <c r="Q1890" s="338"/>
      <c r="R1890" s="338"/>
      <c r="S1890" s="338"/>
      <c r="T1890" s="338"/>
      <c r="U1890" s="338"/>
      <c r="X1890" s="338"/>
      <c r="Y1890" s="338"/>
      <c r="Z1890" s="338"/>
      <c r="AA1890" s="338"/>
      <c r="AB1890" s="338"/>
      <c r="AC1890" s="338"/>
      <c r="AD1890" s="338"/>
    </row>
    <row r="1891" spans="1:30">
      <c r="A1891" s="338"/>
      <c r="B1891" s="338"/>
      <c r="D1891" s="338"/>
      <c r="E1891" s="338"/>
      <c r="H1891" s="338"/>
      <c r="I1891" s="338"/>
      <c r="J1891" s="338"/>
      <c r="K1891" s="338"/>
      <c r="L1891" s="338"/>
      <c r="M1891" s="338"/>
      <c r="N1891" s="338"/>
      <c r="Q1891" s="338"/>
      <c r="R1891" s="338"/>
      <c r="S1891" s="338"/>
      <c r="T1891" s="338"/>
      <c r="U1891" s="338"/>
      <c r="X1891" s="338"/>
      <c r="Y1891" s="338"/>
      <c r="Z1891" s="338"/>
      <c r="AA1891" s="338"/>
      <c r="AB1891" s="338"/>
      <c r="AC1891" s="338"/>
      <c r="AD1891" s="338"/>
    </row>
    <row r="1892" spans="1:30">
      <c r="A1892" s="338"/>
      <c r="B1892" s="338"/>
      <c r="D1892" s="338"/>
      <c r="E1892" s="338"/>
      <c r="H1892" s="338"/>
      <c r="I1892" s="338"/>
      <c r="J1892" s="338"/>
      <c r="K1892" s="338"/>
      <c r="L1892" s="338"/>
      <c r="M1892" s="338"/>
      <c r="N1892" s="338"/>
      <c r="Q1892" s="338"/>
      <c r="R1892" s="338"/>
      <c r="S1892" s="338"/>
      <c r="T1892" s="338"/>
      <c r="U1892" s="338"/>
      <c r="X1892" s="338"/>
      <c r="Y1892" s="338"/>
      <c r="Z1892" s="338"/>
      <c r="AA1892" s="338"/>
      <c r="AB1892" s="338"/>
      <c r="AC1892" s="338"/>
      <c r="AD1892" s="338"/>
    </row>
    <row r="1893" spans="1:30">
      <c r="A1893" s="338"/>
      <c r="B1893" s="338"/>
      <c r="D1893" s="338"/>
      <c r="E1893" s="338"/>
      <c r="H1893" s="338"/>
      <c r="I1893" s="338"/>
      <c r="J1893" s="338"/>
      <c r="K1893" s="338"/>
      <c r="L1893" s="338"/>
      <c r="M1893" s="338"/>
      <c r="N1893" s="338"/>
      <c r="Q1893" s="338"/>
      <c r="R1893" s="338"/>
      <c r="S1893" s="338"/>
      <c r="T1893" s="338"/>
      <c r="U1893" s="338"/>
      <c r="X1893" s="338"/>
      <c r="Y1893" s="338"/>
      <c r="Z1893" s="338"/>
      <c r="AA1893" s="338"/>
      <c r="AB1893" s="338"/>
      <c r="AC1893" s="338"/>
      <c r="AD1893" s="338"/>
    </row>
    <row r="1894" spans="1:30">
      <c r="A1894" s="338"/>
      <c r="B1894" s="338"/>
      <c r="D1894" s="338"/>
      <c r="E1894" s="338"/>
      <c r="H1894" s="338"/>
      <c r="I1894" s="338"/>
      <c r="J1894" s="338"/>
      <c r="K1894" s="338"/>
      <c r="L1894" s="338"/>
      <c r="M1894" s="338"/>
      <c r="N1894" s="338"/>
      <c r="Q1894" s="338"/>
      <c r="R1894" s="338"/>
      <c r="S1894" s="338"/>
      <c r="T1894" s="338"/>
      <c r="U1894" s="338"/>
      <c r="X1894" s="338"/>
      <c r="Y1894" s="338"/>
      <c r="Z1894" s="338"/>
      <c r="AA1894" s="338"/>
      <c r="AB1894" s="338"/>
      <c r="AC1894" s="338"/>
      <c r="AD1894" s="338"/>
    </row>
    <row r="1895" spans="1:30">
      <c r="A1895" s="338"/>
      <c r="B1895" s="338"/>
      <c r="D1895" s="338"/>
      <c r="E1895" s="338"/>
      <c r="H1895" s="338"/>
      <c r="I1895" s="338"/>
      <c r="J1895" s="338"/>
      <c r="K1895" s="338"/>
      <c r="L1895" s="338"/>
      <c r="M1895" s="338"/>
      <c r="N1895" s="338"/>
      <c r="Q1895" s="338"/>
      <c r="R1895" s="338"/>
      <c r="S1895" s="338"/>
      <c r="T1895" s="338"/>
      <c r="U1895" s="338"/>
      <c r="X1895" s="338"/>
      <c r="Y1895" s="338"/>
      <c r="Z1895" s="338"/>
      <c r="AA1895" s="338"/>
      <c r="AB1895" s="338"/>
      <c r="AC1895" s="338"/>
      <c r="AD1895" s="338"/>
    </row>
    <row r="1896" spans="1:30">
      <c r="A1896" s="338"/>
      <c r="B1896" s="338"/>
      <c r="D1896" s="338"/>
      <c r="E1896" s="338"/>
      <c r="H1896" s="338"/>
      <c r="I1896" s="338"/>
      <c r="J1896" s="338"/>
      <c r="K1896" s="338"/>
      <c r="L1896" s="338"/>
      <c r="M1896" s="338"/>
      <c r="N1896" s="338"/>
      <c r="Q1896" s="338"/>
      <c r="R1896" s="338"/>
      <c r="S1896" s="338"/>
      <c r="T1896" s="338"/>
      <c r="U1896" s="338"/>
      <c r="X1896" s="338"/>
      <c r="Y1896" s="338"/>
      <c r="Z1896" s="338"/>
      <c r="AA1896" s="338"/>
      <c r="AB1896" s="338"/>
      <c r="AC1896" s="338"/>
      <c r="AD1896" s="338"/>
    </row>
    <row r="1897" spans="1:30">
      <c r="A1897" s="338"/>
      <c r="B1897" s="338"/>
      <c r="D1897" s="338"/>
      <c r="E1897" s="338"/>
      <c r="H1897" s="338"/>
      <c r="I1897" s="338"/>
      <c r="J1897" s="338"/>
      <c r="K1897" s="338"/>
      <c r="L1897" s="338"/>
      <c r="M1897" s="338"/>
      <c r="N1897" s="338"/>
      <c r="Q1897" s="338"/>
      <c r="R1897" s="338"/>
      <c r="S1897" s="338"/>
      <c r="T1897" s="338"/>
      <c r="U1897" s="338"/>
      <c r="X1897" s="338"/>
      <c r="Y1897" s="338"/>
      <c r="Z1897" s="338"/>
      <c r="AA1897" s="338"/>
      <c r="AB1897" s="338"/>
      <c r="AC1897" s="338"/>
      <c r="AD1897" s="338"/>
    </row>
    <row r="1898" spans="1:30">
      <c r="A1898" s="338"/>
      <c r="B1898" s="338"/>
      <c r="D1898" s="338"/>
      <c r="E1898" s="338"/>
      <c r="H1898" s="338"/>
      <c r="I1898" s="338"/>
      <c r="J1898" s="338"/>
      <c r="K1898" s="338"/>
      <c r="L1898" s="338"/>
      <c r="M1898" s="338"/>
      <c r="N1898" s="338"/>
      <c r="Q1898" s="338"/>
      <c r="R1898" s="338"/>
      <c r="S1898" s="338"/>
      <c r="T1898" s="338"/>
      <c r="U1898" s="338"/>
      <c r="X1898" s="338"/>
      <c r="Y1898" s="338"/>
      <c r="Z1898" s="338"/>
      <c r="AA1898" s="338"/>
      <c r="AB1898" s="338"/>
      <c r="AC1898" s="338"/>
      <c r="AD1898" s="338"/>
    </row>
    <row r="1899" spans="1:30">
      <c r="A1899" s="338"/>
      <c r="B1899" s="338"/>
      <c r="D1899" s="338"/>
      <c r="E1899" s="338"/>
      <c r="H1899" s="338"/>
      <c r="I1899" s="338"/>
      <c r="J1899" s="338"/>
      <c r="K1899" s="338"/>
      <c r="L1899" s="338"/>
      <c r="M1899" s="338"/>
      <c r="N1899" s="338"/>
      <c r="Q1899" s="338"/>
      <c r="R1899" s="338"/>
      <c r="S1899" s="338"/>
      <c r="T1899" s="338"/>
      <c r="U1899" s="338"/>
      <c r="X1899" s="338"/>
      <c r="Y1899" s="338"/>
      <c r="Z1899" s="338"/>
      <c r="AA1899" s="338"/>
      <c r="AB1899" s="338"/>
      <c r="AC1899" s="338"/>
      <c r="AD1899" s="338"/>
    </row>
    <row r="1900" spans="1:30">
      <c r="A1900" s="338"/>
      <c r="B1900" s="338"/>
      <c r="D1900" s="338"/>
      <c r="E1900" s="338"/>
      <c r="H1900" s="338"/>
      <c r="I1900" s="338"/>
      <c r="J1900" s="338"/>
      <c r="K1900" s="338"/>
      <c r="L1900" s="338"/>
      <c r="M1900" s="338"/>
      <c r="N1900" s="338"/>
      <c r="Q1900" s="338"/>
      <c r="R1900" s="338"/>
      <c r="S1900" s="338"/>
      <c r="T1900" s="338"/>
      <c r="U1900" s="338"/>
      <c r="X1900" s="338"/>
      <c r="Y1900" s="338"/>
      <c r="Z1900" s="338"/>
      <c r="AA1900" s="338"/>
      <c r="AB1900" s="338"/>
      <c r="AC1900" s="338"/>
      <c r="AD1900" s="338"/>
    </row>
    <row r="1901" spans="1:30">
      <c r="A1901" s="338"/>
      <c r="B1901" s="338"/>
      <c r="D1901" s="338"/>
      <c r="E1901" s="338"/>
      <c r="H1901" s="338"/>
      <c r="I1901" s="338"/>
      <c r="J1901" s="338"/>
      <c r="K1901" s="338"/>
      <c r="L1901" s="338"/>
      <c r="M1901" s="338"/>
      <c r="N1901" s="338"/>
      <c r="Q1901" s="338"/>
      <c r="R1901" s="338"/>
      <c r="S1901" s="338"/>
      <c r="T1901" s="338"/>
      <c r="U1901" s="338"/>
      <c r="X1901" s="338"/>
      <c r="Y1901" s="338"/>
      <c r="Z1901" s="338"/>
      <c r="AA1901" s="338"/>
      <c r="AB1901" s="338"/>
      <c r="AC1901" s="338"/>
      <c r="AD1901" s="338"/>
    </row>
    <row r="1902" spans="1:30">
      <c r="A1902" s="338"/>
      <c r="B1902" s="338"/>
      <c r="D1902" s="338"/>
      <c r="E1902" s="338"/>
      <c r="H1902" s="338"/>
      <c r="I1902" s="338"/>
      <c r="J1902" s="338"/>
      <c r="K1902" s="338"/>
      <c r="L1902" s="338"/>
      <c r="M1902" s="338"/>
      <c r="N1902" s="338"/>
      <c r="Q1902" s="338"/>
      <c r="R1902" s="338"/>
      <c r="S1902" s="338"/>
      <c r="T1902" s="338"/>
      <c r="U1902" s="338"/>
      <c r="X1902" s="338"/>
      <c r="Y1902" s="338"/>
      <c r="Z1902" s="338"/>
      <c r="AA1902" s="338"/>
      <c r="AB1902" s="338"/>
      <c r="AC1902" s="338"/>
      <c r="AD1902" s="338"/>
    </row>
    <row r="1903" spans="1:30">
      <c r="A1903" s="338"/>
      <c r="B1903" s="338"/>
      <c r="D1903" s="338"/>
      <c r="E1903" s="338"/>
      <c r="H1903" s="338"/>
      <c r="I1903" s="338"/>
      <c r="J1903" s="338"/>
      <c r="K1903" s="338"/>
      <c r="L1903" s="338"/>
      <c r="M1903" s="338"/>
      <c r="N1903" s="338"/>
      <c r="Q1903" s="338"/>
      <c r="R1903" s="338"/>
      <c r="S1903" s="338"/>
      <c r="T1903" s="338"/>
      <c r="U1903" s="338"/>
      <c r="X1903" s="338"/>
      <c r="Y1903" s="338"/>
      <c r="Z1903" s="338"/>
      <c r="AA1903" s="338"/>
      <c r="AB1903" s="338"/>
      <c r="AC1903" s="338"/>
      <c r="AD1903" s="338"/>
    </row>
    <row r="1904" spans="1:30">
      <c r="A1904" s="338"/>
      <c r="B1904" s="338"/>
      <c r="D1904" s="338"/>
      <c r="E1904" s="338"/>
      <c r="H1904" s="338"/>
      <c r="I1904" s="338"/>
      <c r="J1904" s="338"/>
      <c r="K1904" s="338"/>
      <c r="L1904" s="338"/>
      <c r="M1904" s="338"/>
      <c r="N1904" s="338"/>
      <c r="Q1904" s="338"/>
      <c r="R1904" s="338"/>
      <c r="S1904" s="338"/>
      <c r="T1904" s="338"/>
      <c r="U1904" s="338"/>
      <c r="X1904" s="338"/>
      <c r="Y1904" s="338"/>
      <c r="Z1904" s="338"/>
      <c r="AA1904" s="338"/>
      <c r="AB1904" s="338"/>
      <c r="AC1904" s="338"/>
      <c r="AD1904" s="338"/>
    </row>
    <row r="1905" spans="1:30">
      <c r="A1905" s="338"/>
      <c r="B1905" s="338"/>
      <c r="D1905" s="338"/>
      <c r="E1905" s="338"/>
      <c r="H1905" s="338"/>
      <c r="I1905" s="338"/>
      <c r="J1905" s="338"/>
      <c r="K1905" s="338"/>
      <c r="L1905" s="338"/>
      <c r="M1905" s="338"/>
      <c r="N1905" s="338"/>
      <c r="Q1905" s="338"/>
      <c r="R1905" s="338"/>
      <c r="S1905" s="338"/>
      <c r="T1905" s="338"/>
      <c r="U1905" s="338"/>
      <c r="X1905" s="338"/>
      <c r="Y1905" s="338"/>
      <c r="Z1905" s="338"/>
      <c r="AA1905" s="338"/>
      <c r="AB1905" s="338"/>
      <c r="AC1905" s="338"/>
      <c r="AD1905" s="338"/>
    </row>
    <row r="1906" spans="1:30">
      <c r="A1906" s="338"/>
      <c r="B1906" s="338"/>
      <c r="D1906" s="338"/>
      <c r="E1906" s="338"/>
      <c r="H1906" s="338"/>
      <c r="I1906" s="338"/>
      <c r="J1906" s="338"/>
      <c r="K1906" s="338"/>
      <c r="L1906" s="338"/>
      <c r="M1906" s="338"/>
      <c r="N1906" s="338"/>
      <c r="Q1906" s="338"/>
      <c r="R1906" s="338"/>
      <c r="S1906" s="338"/>
      <c r="T1906" s="338"/>
      <c r="U1906" s="338"/>
      <c r="X1906" s="338"/>
      <c r="Y1906" s="338"/>
      <c r="Z1906" s="338"/>
      <c r="AA1906" s="338"/>
      <c r="AB1906" s="338"/>
      <c r="AC1906" s="338"/>
      <c r="AD1906" s="338"/>
    </row>
    <row r="1907" spans="1:30">
      <c r="A1907" s="338"/>
      <c r="B1907" s="338"/>
      <c r="D1907" s="338"/>
      <c r="E1907" s="338"/>
      <c r="H1907" s="338"/>
      <c r="I1907" s="338"/>
      <c r="J1907" s="338"/>
      <c r="K1907" s="338"/>
      <c r="L1907" s="338"/>
      <c r="M1907" s="338"/>
      <c r="N1907" s="338"/>
      <c r="Q1907" s="338"/>
      <c r="R1907" s="338"/>
      <c r="S1907" s="338"/>
      <c r="T1907" s="338"/>
      <c r="U1907" s="338"/>
      <c r="X1907" s="338"/>
      <c r="Y1907" s="338"/>
      <c r="Z1907" s="338"/>
      <c r="AA1907" s="338"/>
      <c r="AB1907" s="338"/>
      <c r="AC1907" s="338"/>
      <c r="AD1907" s="338"/>
    </row>
    <row r="1908" spans="1:30">
      <c r="A1908" s="338"/>
      <c r="B1908" s="338"/>
      <c r="D1908" s="338"/>
      <c r="E1908" s="338"/>
      <c r="H1908" s="338"/>
      <c r="I1908" s="338"/>
      <c r="J1908" s="338"/>
      <c r="K1908" s="338"/>
      <c r="L1908" s="338"/>
      <c r="M1908" s="338"/>
      <c r="N1908" s="338"/>
      <c r="Q1908" s="338"/>
      <c r="R1908" s="338"/>
      <c r="S1908" s="338"/>
      <c r="T1908" s="338"/>
      <c r="U1908" s="338"/>
      <c r="X1908" s="338"/>
      <c r="Y1908" s="338"/>
      <c r="Z1908" s="338"/>
      <c r="AA1908" s="338"/>
      <c r="AB1908" s="338"/>
      <c r="AC1908" s="338"/>
      <c r="AD1908" s="338"/>
    </row>
    <row r="1909" spans="1:30">
      <c r="A1909" s="338"/>
      <c r="B1909" s="338"/>
      <c r="D1909" s="338"/>
      <c r="E1909" s="338"/>
      <c r="H1909" s="338"/>
      <c r="I1909" s="338"/>
      <c r="J1909" s="338"/>
      <c r="K1909" s="338"/>
      <c r="L1909" s="338"/>
      <c r="M1909" s="338"/>
      <c r="N1909" s="338"/>
      <c r="Q1909" s="338"/>
      <c r="R1909" s="338"/>
      <c r="S1909" s="338"/>
      <c r="T1909" s="338"/>
      <c r="U1909" s="338"/>
      <c r="X1909" s="338"/>
      <c r="Y1909" s="338"/>
      <c r="Z1909" s="338"/>
      <c r="AA1909" s="338"/>
      <c r="AB1909" s="338"/>
      <c r="AC1909" s="338"/>
      <c r="AD1909" s="338"/>
    </row>
    <row r="1910" spans="1:30">
      <c r="A1910" s="338"/>
      <c r="B1910" s="338"/>
      <c r="D1910" s="338"/>
      <c r="E1910" s="338"/>
      <c r="H1910" s="338"/>
      <c r="I1910" s="338"/>
      <c r="J1910" s="338"/>
      <c r="K1910" s="338"/>
      <c r="L1910" s="338"/>
      <c r="M1910" s="338"/>
      <c r="N1910" s="338"/>
      <c r="Q1910" s="338"/>
      <c r="R1910" s="338"/>
      <c r="S1910" s="338"/>
      <c r="T1910" s="338"/>
      <c r="U1910" s="338"/>
      <c r="X1910" s="338"/>
      <c r="Y1910" s="338"/>
      <c r="Z1910" s="338"/>
      <c r="AA1910" s="338"/>
      <c r="AB1910" s="338"/>
      <c r="AC1910" s="338"/>
      <c r="AD1910" s="338"/>
    </row>
    <row r="1911" spans="1:30">
      <c r="A1911" s="338"/>
      <c r="B1911" s="338"/>
      <c r="D1911" s="338"/>
      <c r="E1911" s="338"/>
      <c r="H1911" s="338"/>
      <c r="I1911" s="338"/>
      <c r="J1911" s="338"/>
      <c r="K1911" s="338"/>
      <c r="L1911" s="338"/>
      <c r="M1911" s="338"/>
      <c r="N1911" s="338"/>
      <c r="Q1911" s="338"/>
      <c r="R1911" s="338"/>
      <c r="S1911" s="338"/>
      <c r="T1911" s="338"/>
      <c r="U1911" s="338"/>
      <c r="X1911" s="338"/>
      <c r="Y1911" s="338"/>
      <c r="Z1911" s="338"/>
      <c r="AA1911" s="338"/>
      <c r="AB1911" s="338"/>
      <c r="AC1911" s="338"/>
      <c r="AD1911" s="338"/>
    </row>
    <row r="1912" spans="1:30">
      <c r="A1912" s="338"/>
      <c r="B1912" s="338"/>
      <c r="D1912" s="338"/>
      <c r="E1912" s="338"/>
      <c r="H1912" s="338"/>
      <c r="I1912" s="338"/>
      <c r="J1912" s="338"/>
      <c r="K1912" s="338"/>
      <c r="L1912" s="338"/>
      <c r="M1912" s="338"/>
      <c r="N1912" s="338"/>
      <c r="Q1912" s="338"/>
      <c r="R1912" s="338"/>
      <c r="S1912" s="338"/>
      <c r="T1912" s="338"/>
      <c r="U1912" s="338"/>
      <c r="X1912" s="338"/>
      <c r="Y1912" s="338"/>
      <c r="Z1912" s="338"/>
      <c r="AA1912" s="338"/>
      <c r="AB1912" s="338"/>
      <c r="AC1912" s="338"/>
      <c r="AD1912" s="338"/>
    </row>
    <row r="1913" spans="1:30">
      <c r="A1913" s="338"/>
      <c r="B1913" s="338"/>
      <c r="D1913" s="338"/>
      <c r="E1913" s="338"/>
      <c r="H1913" s="338"/>
      <c r="I1913" s="338"/>
      <c r="J1913" s="338"/>
      <c r="K1913" s="338"/>
      <c r="L1913" s="338"/>
      <c r="M1913" s="338"/>
      <c r="N1913" s="338"/>
      <c r="Q1913" s="338"/>
      <c r="R1913" s="338"/>
      <c r="S1913" s="338"/>
      <c r="T1913" s="338"/>
      <c r="U1913" s="338"/>
      <c r="X1913" s="338"/>
      <c r="Y1913" s="338"/>
      <c r="Z1913" s="338"/>
      <c r="AA1913" s="338"/>
      <c r="AB1913" s="338"/>
      <c r="AC1913" s="338"/>
      <c r="AD1913" s="338"/>
    </row>
    <row r="1914" spans="1:30">
      <c r="A1914" s="338"/>
      <c r="B1914" s="338"/>
      <c r="D1914" s="338"/>
      <c r="E1914" s="338"/>
      <c r="H1914" s="338"/>
      <c r="I1914" s="338"/>
      <c r="J1914" s="338"/>
      <c r="K1914" s="338"/>
      <c r="L1914" s="338"/>
      <c r="M1914" s="338"/>
      <c r="N1914" s="338"/>
      <c r="Q1914" s="338"/>
      <c r="R1914" s="338"/>
      <c r="S1914" s="338"/>
      <c r="T1914" s="338"/>
      <c r="U1914" s="338"/>
      <c r="X1914" s="338"/>
      <c r="Y1914" s="338"/>
      <c r="Z1914" s="338"/>
      <c r="AA1914" s="338"/>
      <c r="AB1914" s="338"/>
      <c r="AC1914" s="338"/>
      <c r="AD1914" s="338"/>
    </row>
    <row r="1915" spans="1:30">
      <c r="A1915" s="338"/>
      <c r="B1915" s="338"/>
      <c r="D1915" s="338"/>
      <c r="E1915" s="338"/>
      <c r="H1915" s="338"/>
      <c r="I1915" s="338"/>
      <c r="J1915" s="338"/>
      <c r="K1915" s="338"/>
      <c r="L1915" s="338"/>
      <c r="M1915" s="338"/>
      <c r="N1915" s="338"/>
      <c r="Q1915" s="338"/>
      <c r="R1915" s="338"/>
      <c r="S1915" s="338"/>
      <c r="T1915" s="338"/>
      <c r="U1915" s="338"/>
      <c r="X1915" s="338"/>
      <c r="Y1915" s="338"/>
      <c r="Z1915" s="338"/>
      <c r="AA1915" s="338"/>
      <c r="AB1915" s="338"/>
      <c r="AC1915" s="338"/>
      <c r="AD1915" s="338"/>
    </row>
    <row r="1916" spans="1:30">
      <c r="A1916" s="338"/>
      <c r="B1916" s="338"/>
      <c r="D1916" s="338"/>
      <c r="E1916" s="338"/>
      <c r="H1916" s="338"/>
      <c r="I1916" s="338"/>
      <c r="J1916" s="338"/>
      <c r="K1916" s="338"/>
      <c r="L1916" s="338"/>
      <c r="M1916" s="338"/>
      <c r="N1916" s="338"/>
      <c r="Q1916" s="338"/>
      <c r="R1916" s="338"/>
      <c r="S1916" s="338"/>
      <c r="T1916" s="338"/>
      <c r="U1916" s="338"/>
      <c r="X1916" s="338"/>
      <c r="Y1916" s="338"/>
      <c r="Z1916" s="338"/>
      <c r="AA1916" s="338"/>
      <c r="AB1916" s="338"/>
      <c r="AC1916" s="338"/>
      <c r="AD1916" s="338"/>
    </row>
    <row r="1917" spans="1:30">
      <c r="A1917" s="338"/>
      <c r="B1917" s="338"/>
      <c r="D1917" s="338"/>
      <c r="E1917" s="338"/>
      <c r="H1917" s="338"/>
      <c r="I1917" s="338"/>
      <c r="J1917" s="338"/>
      <c r="K1917" s="338"/>
      <c r="L1917" s="338"/>
      <c r="M1917" s="338"/>
      <c r="N1917" s="338"/>
      <c r="Q1917" s="338"/>
      <c r="R1917" s="338"/>
      <c r="S1917" s="338"/>
      <c r="T1917" s="338"/>
      <c r="U1917" s="338"/>
      <c r="X1917" s="338"/>
      <c r="Y1917" s="338"/>
      <c r="Z1917" s="338"/>
      <c r="AA1917" s="338"/>
      <c r="AB1917" s="338"/>
      <c r="AC1917" s="338"/>
      <c r="AD1917" s="338"/>
    </row>
    <row r="1918" spans="1:30">
      <c r="A1918" s="338"/>
      <c r="B1918" s="338"/>
      <c r="D1918" s="338"/>
      <c r="E1918" s="338"/>
      <c r="H1918" s="338"/>
      <c r="I1918" s="338"/>
      <c r="J1918" s="338"/>
      <c r="K1918" s="338"/>
      <c r="L1918" s="338"/>
      <c r="M1918" s="338"/>
      <c r="N1918" s="338"/>
      <c r="Q1918" s="338"/>
      <c r="R1918" s="338"/>
      <c r="S1918" s="338"/>
      <c r="T1918" s="338"/>
      <c r="U1918" s="338"/>
      <c r="X1918" s="338"/>
      <c r="Y1918" s="338"/>
      <c r="Z1918" s="338"/>
      <c r="AA1918" s="338"/>
      <c r="AB1918" s="338"/>
      <c r="AC1918" s="338"/>
      <c r="AD1918" s="338"/>
    </row>
    <row r="1919" spans="1:30">
      <c r="A1919" s="338"/>
      <c r="B1919" s="338"/>
      <c r="D1919" s="338"/>
      <c r="E1919" s="338"/>
      <c r="H1919" s="338"/>
      <c r="I1919" s="338"/>
      <c r="J1919" s="338"/>
      <c r="K1919" s="338"/>
      <c r="L1919" s="338"/>
      <c r="M1919" s="338"/>
      <c r="N1919" s="338"/>
      <c r="Q1919" s="338"/>
      <c r="R1919" s="338"/>
      <c r="S1919" s="338"/>
      <c r="T1919" s="338"/>
      <c r="U1919" s="338"/>
      <c r="X1919" s="338"/>
      <c r="Y1919" s="338"/>
      <c r="Z1919" s="338"/>
      <c r="AA1919" s="338"/>
      <c r="AB1919" s="338"/>
      <c r="AC1919" s="338"/>
      <c r="AD1919" s="338"/>
    </row>
    <row r="1920" spans="1:30">
      <c r="A1920" s="338"/>
      <c r="B1920" s="338"/>
      <c r="D1920" s="338"/>
      <c r="E1920" s="338"/>
      <c r="H1920" s="338"/>
      <c r="I1920" s="338"/>
      <c r="J1920" s="338"/>
      <c r="K1920" s="338"/>
      <c r="L1920" s="338"/>
      <c r="M1920" s="338"/>
      <c r="N1920" s="338"/>
      <c r="Q1920" s="338"/>
      <c r="R1920" s="338"/>
      <c r="S1920" s="338"/>
      <c r="T1920" s="338"/>
      <c r="U1920" s="338"/>
      <c r="X1920" s="338"/>
      <c r="Y1920" s="338"/>
      <c r="Z1920" s="338"/>
      <c r="AA1920" s="338"/>
      <c r="AB1920" s="338"/>
      <c r="AC1920" s="338"/>
      <c r="AD1920" s="338"/>
    </row>
    <row r="1921" spans="1:30">
      <c r="A1921" s="338"/>
      <c r="B1921" s="338"/>
      <c r="D1921" s="338"/>
      <c r="E1921" s="338"/>
      <c r="H1921" s="338"/>
      <c r="I1921" s="338"/>
      <c r="J1921" s="338"/>
      <c r="K1921" s="338"/>
      <c r="L1921" s="338"/>
      <c r="M1921" s="338"/>
      <c r="N1921" s="338"/>
      <c r="Q1921" s="338"/>
      <c r="R1921" s="338"/>
      <c r="S1921" s="338"/>
      <c r="T1921" s="338"/>
      <c r="U1921" s="338"/>
      <c r="X1921" s="338"/>
      <c r="Y1921" s="338"/>
      <c r="Z1921" s="338"/>
      <c r="AA1921" s="338"/>
      <c r="AB1921" s="338"/>
      <c r="AC1921" s="338"/>
      <c r="AD1921" s="338"/>
    </row>
    <row r="1922" spans="1:30">
      <c r="A1922" s="338"/>
      <c r="B1922" s="338"/>
      <c r="D1922" s="338"/>
      <c r="E1922" s="338"/>
      <c r="H1922" s="338"/>
      <c r="I1922" s="338"/>
      <c r="J1922" s="338"/>
      <c r="K1922" s="338"/>
      <c r="L1922" s="338"/>
      <c r="M1922" s="338"/>
      <c r="N1922" s="338"/>
      <c r="Q1922" s="338"/>
      <c r="R1922" s="338"/>
      <c r="S1922" s="338"/>
      <c r="T1922" s="338"/>
      <c r="U1922" s="338"/>
      <c r="X1922" s="338"/>
      <c r="Y1922" s="338"/>
      <c r="Z1922" s="338"/>
      <c r="AA1922" s="338"/>
      <c r="AB1922" s="338"/>
      <c r="AC1922" s="338"/>
      <c r="AD1922" s="338"/>
    </row>
    <row r="1923" spans="1:30">
      <c r="A1923" s="338"/>
      <c r="B1923" s="338"/>
      <c r="D1923" s="338"/>
      <c r="E1923" s="338"/>
      <c r="H1923" s="338"/>
      <c r="I1923" s="338"/>
      <c r="J1923" s="338"/>
      <c r="K1923" s="338"/>
      <c r="L1923" s="338"/>
      <c r="M1923" s="338"/>
      <c r="N1923" s="338"/>
      <c r="Q1923" s="338"/>
      <c r="R1923" s="338"/>
      <c r="S1923" s="338"/>
      <c r="T1923" s="338"/>
      <c r="U1923" s="338"/>
      <c r="X1923" s="338"/>
      <c r="Y1923" s="338"/>
      <c r="Z1923" s="338"/>
      <c r="AA1923" s="338"/>
      <c r="AB1923" s="338"/>
      <c r="AC1923" s="338"/>
      <c r="AD1923" s="338"/>
    </row>
    <row r="1924" spans="1:30">
      <c r="A1924" s="338"/>
      <c r="B1924" s="338"/>
      <c r="D1924" s="338"/>
      <c r="E1924" s="338"/>
      <c r="H1924" s="338"/>
      <c r="I1924" s="338"/>
      <c r="J1924" s="338"/>
      <c r="K1924" s="338"/>
      <c r="L1924" s="338"/>
      <c r="M1924" s="338"/>
      <c r="N1924" s="338"/>
      <c r="Q1924" s="338"/>
      <c r="R1924" s="338"/>
      <c r="S1924" s="338"/>
      <c r="T1924" s="338"/>
      <c r="U1924" s="338"/>
      <c r="X1924" s="338"/>
      <c r="Y1924" s="338"/>
      <c r="Z1924" s="338"/>
      <c r="AA1924" s="338"/>
      <c r="AB1924" s="338"/>
      <c r="AC1924" s="338"/>
      <c r="AD1924" s="338"/>
    </row>
    <row r="1925" spans="1:30">
      <c r="A1925" s="338"/>
      <c r="B1925" s="338"/>
      <c r="D1925" s="338"/>
      <c r="E1925" s="338"/>
      <c r="H1925" s="338"/>
      <c r="I1925" s="338"/>
      <c r="J1925" s="338"/>
      <c r="K1925" s="338"/>
      <c r="L1925" s="338"/>
      <c r="M1925" s="338"/>
      <c r="N1925" s="338"/>
      <c r="Q1925" s="338"/>
      <c r="R1925" s="338"/>
      <c r="S1925" s="338"/>
      <c r="T1925" s="338"/>
      <c r="U1925" s="338"/>
      <c r="X1925" s="338"/>
      <c r="Y1925" s="338"/>
      <c r="Z1925" s="338"/>
      <c r="AA1925" s="338"/>
      <c r="AB1925" s="338"/>
      <c r="AC1925" s="338"/>
      <c r="AD1925" s="338"/>
    </row>
    <row r="1926" spans="1:30">
      <c r="A1926" s="338"/>
      <c r="B1926" s="338"/>
      <c r="D1926" s="338"/>
      <c r="E1926" s="338"/>
      <c r="H1926" s="338"/>
      <c r="I1926" s="338"/>
      <c r="J1926" s="338"/>
      <c r="K1926" s="338"/>
      <c r="L1926" s="338"/>
      <c r="M1926" s="338"/>
      <c r="N1926" s="338"/>
      <c r="Q1926" s="338"/>
      <c r="R1926" s="338"/>
      <c r="S1926" s="338"/>
      <c r="T1926" s="338"/>
      <c r="U1926" s="338"/>
      <c r="X1926" s="338"/>
      <c r="Y1926" s="338"/>
      <c r="Z1926" s="338"/>
      <c r="AA1926" s="338"/>
      <c r="AB1926" s="338"/>
      <c r="AC1926" s="338"/>
      <c r="AD1926" s="338"/>
    </row>
    <row r="1927" spans="1:30">
      <c r="A1927" s="338"/>
      <c r="B1927" s="338"/>
      <c r="D1927" s="338"/>
      <c r="E1927" s="338"/>
      <c r="H1927" s="338"/>
      <c r="I1927" s="338"/>
      <c r="J1927" s="338"/>
      <c r="K1927" s="338"/>
      <c r="L1927" s="338"/>
      <c r="M1927" s="338"/>
      <c r="N1927" s="338"/>
      <c r="Q1927" s="338"/>
      <c r="R1927" s="338"/>
      <c r="S1927" s="338"/>
      <c r="T1927" s="338"/>
      <c r="U1927" s="338"/>
      <c r="X1927" s="338"/>
      <c r="Y1927" s="338"/>
      <c r="Z1927" s="338"/>
      <c r="AA1927" s="338"/>
      <c r="AB1927" s="338"/>
      <c r="AC1927" s="338"/>
      <c r="AD1927" s="338"/>
    </row>
    <row r="1928" spans="1:30">
      <c r="A1928" s="338"/>
      <c r="B1928" s="338"/>
      <c r="D1928" s="338"/>
      <c r="E1928" s="338"/>
      <c r="H1928" s="338"/>
      <c r="I1928" s="338"/>
      <c r="J1928" s="338"/>
      <c r="K1928" s="338"/>
      <c r="L1928" s="338"/>
      <c r="M1928" s="338"/>
      <c r="N1928" s="338"/>
      <c r="Q1928" s="338"/>
      <c r="R1928" s="338"/>
      <c r="S1928" s="338"/>
      <c r="T1928" s="338"/>
      <c r="U1928" s="338"/>
      <c r="X1928" s="338"/>
      <c r="Y1928" s="338"/>
      <c r="Z1928" s="338"/>
      <c r="AA1928" s="338"/>
      <c r="AB1928" s="338"/>
      <c r="AC1928" s="338"/>
      <c r="AD1928" s="338"/>
    </row>
    <row r="1929" spans="1:30">
      <c r="A1929" s="338"/>
      <c r="B1929" s="338"/>
      <c r="D1929" s="338"/>
      <c r="E1929" s="338"/>
      <c r="H1929" s="338"/>
      <c r="I1929" s="338"/>
      <c r="J1929" s="338"/>
      <c r="K1929" s="338"/>
      <c r="L1929" s="338"/>
      <c r="M1929" s="338"/>
      <c r="N1929" s="338"/>
      <c r="Q1929" s="338"/>
      <c r="R1929" s="338"/>
      <c r="S1929" s="338"/>
      <c r="T1929" s="338"/>
      <c r="U1929" s="338"/>
      <c r="X1929" s="338"/>
      <c r="Y1929" s="338"/>
      <c r="Z1929" s="338"/>
      <c r="AA1929" s="338"/>
      <c r="AB1929" s="338"/>
      <c r="AC1929" s="338"/>
      <c r="AD1929" s="338"/>
    </row>
    <row r="1930" spans="1:30">
      <c r="A1930" s="338"/>
      <c r="B1930" s="338"/>
      <c r="D1930" s="338"/>
      <c r="E1930" s="338"/>
      <c r="H1930" s="338"/>
      <c r="I1930" s="338"/>
      <c r="J1930" s="338"/>
      <c r="K1930" s="338"/>
      <c r="L1930" s="338"/>
      <c r="M1930" s="338"/>
      <c r="N1930" s="338"/>
      <c r="Q1930" s="338"/>
      <c r="R1930" s="338"/>
      <c r="S1930" s="338"/>
      <c r="T1930" s="338"/>
      <c r="U1930" s="338"/>
      <c r="X1930" s="338"/>
      <c r="Y1930" s="338"/>
      <c r="Z1930" s="338"/>
      <c r="AA1930" s="338"/>
      <c r="AB1930" s="338"/>
      <c r="AC1930" s="338"/>
      <c r="AD1930" s="338"/>
    </row>
    <row r="1931" spans="1:30">
      <c r="A1931" s="338"/>
      <c r="B1931" s="338"/>
      <c r="D1931" s="338"/>
      <c r="E1931" s="338"/>
      <c r="H1931" s="338"/>
      <c r="I1931" s="338"/>
      <c r="J1931" s="338"/>
      <c r="K1931" s="338"/>
      <c r="L1931" s="338"/>
      <c r="M1931" s="338"/>
      <c r="N1931" s="338"/>
      <c r="Q1931" s="338"/>
      <c r="R1931" s="338"/>
      <c r="S1931" s="338"/>
      <c r="T1931" s="338"/>
      <c r="U1931" s="338"/>
      <c r="X1931" s="338"/>
      <c r="Y1931" s="338"/>
      <c r="Z1931" s="338"/>
      <c r="AA1931" s="338"/>
      <c r="AB1931" s="338"/>
      <c r="AC1931" s="338"/>
      <c r="AD1931" s="338"/>
    </row>
    <row r="1932" spans="1:30">
      <c r="A1932" s="338"/>
      <c r="B1932" s="338"/>
      <c r="D1932" s="338"/>
      <c r="E1932" s="338"/>
      <c r="H1932" s="338"/>
      <c r="I1932" s="338"/>
      <c r="J1932" s="338"/>
      <c r="K1932" s="338"/>
      <c r="L1932" s="338"/>
      <c r="M1932" s="338"/>
      <c r="N1932" s="338"/>
      <c r="Q1932" s="338"/>
      <c r="R1932" s="338"/>
      <c r="S1932" s="338"/>
      <c r="T1932" s="338"/>
      <c r="U1932" s="338"/>
      <c r="X1932" s="338"/>
      <c r="Y1932" s="338"/>
      <c r="Z1932" s="338"/>
      <c r="AA1932" s="338"/>
      <c r="AB1932" s="338"/>
      <c r="AC1932" s="338"/>
      <c r="AD1932" s="338"/>
    </row>
    <row r="1933" spans="1:30">
      <c r="A1933" s="338"/>
      <c r="B1933" s="338"/>
      <c r="D1933" s="338"/>
      <c r="E1933" s="338"/>
      <c r="H1933" s="338"/>
      <c r="I1933" s="338"/>
      <c r="J1933" s="338"/>
      <c r="K1933" s="338"/>
      <c r="L1933" s="338"/>
      <c r="M1933" s="338"/>
      <c r="N1933" s="338"/>
      <c r="Q1933" s="338"/>
      <c r="R1933" s="338"/>
      <c r="S1933" s="338"/>
      <c r="T1933" s="338"/>
      <c r="U1933" s="338"/>
      <c r="X1933" s="338"/>
      <c r="Y1933" s="338"/>
      <c r="Z1933" s="338"/>
      <c r="AA1933" s="338"/>
      <c r="AB1933" s="338"/>
      <c r="AC1933" s="338"/>
      <c r="AD1933" s="338"/>
    </row>
    <row r="1934" spans="1:30">
      <c r="A1934" s="338"/>
      <c r="B1934" s="338"/>
      <c r="D1934" s="338"/>
      <c r="E1934" s="338"/>
      <c r="H1934" s="338"/>
      <c r="I1934" s="338"/>
      <c r="J1934" s="338"/>
      <c r="K1934" s="338"/>
      <c r="L1934" s="338"/>
      <c r="M1934" s="338"/>
      <c r="N1934" s="338"/>
      <c r="Q1934" s="338"/>
      <c r="R1934" s="338"/>
      <c r="S1934" s="338"/>
      <c r="T1934" s="338"/>
      <c r="U1934" s="338"/>
      <c r="X1934" s="338"/>
      <c r="Y1934" s="338"/>
      <c r="Z1934" s="338"/>
      <c r="AA1934" s="338"/>
      <c r="AB1934" s="338"/>
      <c r="AC1934" s="338"/>
      <c r="AD1934" s="338"/>
    </row>
    <row r="1935" spans="1:30">
      <c r="A1935" s="338"/>
      <c r="B1935" s="338"/>
      <c r="D1935" s="338"/>
      <c r="E1935" s="338"/>
      <c r="H1935" s="338"/>
      <c r="I1935" s="338"/>
      <c r="J1935" s="338"/>
      <c r="K1935" s="338"/>
      <c r="L1935" s="338"/>
      <c r="M1935" s="338"/>
      <c r="N1935" s="338"/>
      <c r="Q1935" s="338"/>
      <c r="R1935" s="338"/>
      <c r="S1935" s="338"/>
      <c r="T1935" s="338"/>
      <c r="U1935" s="338"/>
      <c r="X1935" s="338"/>
      <c r="Y1935" s="338"/>
      <c r="Z1935" s="338"/>
      <c r="AA1935" s="338"/>
      <c r="AB1935" s="338"/>
      <c r="AC1935" s="338"/>
      <c r="AD1935" s="338"/>
    </row>
    <row r="1936" spans="1:30">
      <c r="A1936" s="338"/>
      <c r="B1936" s="338"/>
      <c r="D1936" s="338"/>
      <c r="E1936" s="338"/>
      <c r="H1936" s="338"/>
      <c r="I1936" s="338"/>
      <c r="J1936" s="338"/>
      <c r="K1936" s="338"/>
      <c r="L1936" s="338"/>
      <c r="M1936" s="338"/>
      <c r="N1936" s="338"/>
      <c r="Q1936" s="338"/>
      <c r="R1936" s="338"/>
      <c r="S1936" s="338"/>
      <c r="T1936" s="338"/>
      <c r="U1936" s="338"/>
      <c r="X1936" s="338"/>
      <c r="Y1936" s="338"/>
      <c r="Z1936" s="338"/>
      <c r="AA1936" s="338"/>
      <c r="AB1936" s="338"/>
      <c r="AC1936" s="338"/>
      <c r="AD1936" s="338"/>
    </row>
    <row r="1937" spans="1:30">
      <c r="A1937" s="338"/>
      <c r="B1937" s="338"/>
      <c r="D1937" s="338"/>
      <c r="E1937" s="338"/>
      <c r="H1937" s="338"/>
      <c r="I1937" s="338"/>
      <c r="J1937" s="338"/>
      <c r="K1937" s="338"/>
      <c r="L1937" s="338"/>
      <c r="M1937" s="338"/>
      <c r="N1937" s="338"/>
      <c r="Q1937" s="338"/>
      <c r="R1937" s="338"/>
      <c r="S1937" s="338"/>
      <c r="T1937" s="338"/>
      <c r="U1937" s="338"/>
      <c r="X1937" s="338"/>
      <c r="Y1937" s="338"/>
      <c r="Z1937" s="338"/>
      <c r="AA1937" s="338"/>
      <c r="AB1937" s="338"/>
      <c r="AC1937" s="338"/>
      <c r="AD1937" s="338"/>
    </row>
    <row r="1938" spans="1:30">
      <c r="A1938" s="338"/>
      <c r="B1938" s="338"/>
      <c r="D1938" s="338"/>
      <c r="E1938" s="338"/>
      <c r="H1938" s="338"/>
      <c r="I1938" s="338"/>
      <c r="J1938" s="338"/>
      <c r="K1938" s="338"/>
      <c r="L1938" s="338"/>
      <c r="M1938" s="338"/>
      <c r="N1938" s="338"/>
      <c r="Q1938" s="338"/>
      <c r="R1938" s="338"/>
      <c r="S1938" s="338"/>
      <c r="T1938" s="338"/>
      <c r="U1938" s="338"/>
      <c r="X1938" s="338"/>
      <c r="Y1938" s="338"/>
      <c r="Z1938" s="338"/>
      <c r="AA1938" s="338"/>
      <c r="AB1938" s="338"/>
      <c r="AC1938" s="338"/>
      <c r="AD1938" s="338"/>
    </row>
    <row r="1939" spans="1:30">
      <c r="A1939" s="338"/>
      <c r="B1939" s="338"/>
      <c r="D1939" s="338"/>
      <c r="E1939" s="338"/>
      <c r="H1939" s="338"/>
      <c r="I1939" s="338"/>
      <c r="J1939" s="338"/>
      <c r="K1939" s="338"/>
      <c r="L1939" s="338"/>
      <c r="M1939" s="338"/>
      <c r="N1939" s="338"/>
      <c r="Q1939" s="338"/>
      <c r="R1939" s="338"/>
      <c r="S1939" s="338"/>
      <c r="T1939" s="338"/>
      <c r="U1939" s="338"/>
      <c r="X1939" s="338"/>
      <c r="Y1939" s="338"/>
      <c r="Z1939" s="338"/>
      <c r="AA1939" s="338"/>
      <c r="AB1939" s="338"/>
      <c r="AC1939" s="338"/>
      <c r="AD1939" s="338"/>
    </row>
    <row r="1940" spans="1:30">
      <c r="A1940" s="338"/>
      <c r="B1940" s="338"/>
      <c r="D1940" s="338"/>
      <c r="E1940" s="338"/>
      <c r="H1940" s="338"/>
      <c r="I1940" s="338"/>
      <c r="J1940" s="338"/>
      <c r="K1940" s="338"/>
      <c r="L1940" s="338"/>
      <c r="M1940" s="338"/>
      <c r="N1940" s="338"/>
      <c r="Q1940" s="338"/>
      <c r="R1940" s="338"/>
      <c r="S1940" s="338"/>
      <c r="T1940" s="338"/>
      <c r="U1940" s="338"/>
      <c r="X1940" s="338"/>
      <c r="Y1940" s="338"/>
      <c r="Z1940" s="338"/>
      <c r="AA1940" s="338"/>
      <c r="AB1940" s="338"/>
      <c r="AC1940" s="338"/>
      <c r="AD1940" s="338"/>
    </row>
    <row r="1941" spans="1:30">
      <c r="A1941" s="338"/>
      <c r="B1941" s="338"/>
      <c r="D1941" s="338"/>
      <c r="E1941" s="338"/>
      <c r="H1941" s="338"/>
      <c r="I1941" s="338"/>
      <c r="J1941" s="338"/>
      <c r="K1941" s="338"/>
      <c r="L1941" s="338"/>
      <c r="M1941" s="338"/>
      <c r="N1941" s="338"/>
      <c r="Q1941" s="338"/>
      <c r="R1941" s="338"/>
      <c r="S1941" s="338"/>
      <c r="T1941" s="338"/>
      <c r="U1941" s="338"/>
      <c r="X1941" s="338"/>
      <c r="Y1941" s="338"/>
      <c r="Z1941" s="338"/>
      <c r="AA1941" s="338"/>
      <c r="AB1941" s="338"/>
      <c r="AC1941" s="338"/>
      <c r="AD1941" s="338"/>
    </row>
    <row r="1942" spans="1:30">
      <c r="A1942" s="338"/>
      <c r="B1942" s="338"/>
      <c r="D1942" s="338"/>
      <c r="E1942" s="338"/>
      <c r="H1942" s="338"/>
      <c r="I1942" s="338"/>
      <c r="J1942" s="338"/>
      <c r="K1942" s="338"/>
      <c r="L1942" s="338"/>
      <c r="M1942" s="338"/>
      <c r="N1942" s="338"/>
      <c r="Q1942" s="338"/>
      <c r="R1942" s="338"/>
      <c r="S1942" s="338"/>
      <c r="T1942" s="338"/>
      <c r="U1942" s="338"/>
      <c r="X1942" s="338"/>
      <c r="Y1942" s="338"/>
      <c r="Z1942" s="338"/>
      <c r="AA1942" s="338"/>
      <c r="AB1942" s="338"/>
      <c r="AC1942" s="338"/>
      <c r="AD1942" s="338"/>
    </row>
    <row r="1943" spans="1:30">
      <c r="A1943" s="338"/>
      <c r="B1943" s="338"/>
      <c r="D1943" s="338"/>
      <c r="E1943" s="338"/>
      <c r="H1943" s="338"/>
      <c r="I1943" s="338"/>
      <c r="J1943" s="338"/>
      <c r="K1943" s="338"/>
      <c r="L1943" s="338"/>
      <c r="M1943" s="338"/>
      <c r="N1943" s="338"/>
      <c r="Q1943" s="338"/>
      <c r="R1943" s="338"/>
      <c r="S1943" s="338"/>
      <c r="T1943" s="338"/>
      <c r="U1943" s="338"/>
      <c r="X1943" s="338"/>
      <c r="Y1943" s="338"/>
      <c r="Z1943" s="338"/>
      <c r="AA1943" s="338"/>
      <c r="AB1943" s="338"/>
      <c r="AC1943" s="338"/>
      <c r="AD1943" s="338"/>
    </row>
    <row r="1944" spans="1:30">
      <c r="A1944" s="338"/>
      <c r="B1944" s="338"/>
      <c r="D1944" s="338"/>
      <c r="E1944" s="338"/>
      <c r="H1944" s="338"/>
      <c r="I1944" s="338"/>
      <c r="J1944" s="338"/>
      <c r="K1944" s="338"/>
      <c r="L1944" s="338"/>
      <c r="M1944" s="338"/>
      <c r="N1944" s="338"/>
      <c r="Q1944" s="338"/>
      <c r="R1944" s="338"/>
      <c r="S1944" s="338"/>
      <c r="T1944" s="338"/>
      <c r="U1944" s="338"/>
      <c r="X1944" s="338"/>
      <c r="Y1944" s="338"/>
      <c r="Z1944" s="338"/>
      <c r="AA1944" s="338"/>
      <c r="AB1944" s="338"/>
      <c r="AC1944" s="338"/>
      <c r="AD1944" s="338"/>
    </row>
    <row r="1945" spans="1:30">
      <c r="A1945" s="338"/>
      <c r="B1945" s="338"/>
      <c r="D1945" s="338"/>
      <c r="E1945" s="338"/>
      <c r="H1945" s="338"/>
      <c r="I1945" s="338"/>
      <c r="J1945" s="338"/>
      <c r="K1945" s="338"/>
      <c r="L1945" s="338"/>
      <c r="M1945" s="338"/>
      <c r="N1945" s="338"/>
      <c r="Q1945" s="338"/>
      <c r="R1945" s="338"/>
      <c r="S1945" s="338"/>
      <c r="T1945" s="338"/>
      <c r="U1945" s="338"/>
      <c r="X1945" s="338"/>
      <c r="Y1945" s="338"/>
      <c r="Z1945" s="338"/>
      <c r="AA1945" s="338"/>
      <c r="AB1945" s="338"/>
      <c r="AC1945" s="338"/>
      <c r="AD1945" s="338"/>
    </row>
    <row r="1946" spans="1:30">
      <c r="A1946" s="338"/>
      <c r="B1946" s="338"/>
      <c r="D1946" s="338"/>
      <c r="E1946" s="338"/>
      <c r="H1946" s="338"/>
      <c r="I1946" s="338"/>
      <c r="J1946" s="338"/>
      <c r="K1946" s="338"/>
      <c r="L1946" s="338"/>
      <c r="M1946" s="338"/>
      <c r="N1946" s="338"/>
      <c r="Q1946" s="338"/>
      <c r="R1946" s="338"/>
      <c r="S1946" s="338"/>
      <c r="T1946" s="338"/>
      <c r="U1946" s="338"/>
      <c r="X1946" s="338"/>
      <c r="Y1946" s="338"/>
      <c r="Z1946" s="338"/>
      <c r="AA1946" s="338"/>
      <c r="AB1946" s="338"/>
      <c r="AC1946" s="338"/>
      <c r="AD1946" s="338"/>
    </row>
    <row r="1947" spans="1:30">
      <c r="A1947" s="338"/>
      <c r="B1947" s="338"/>
      <c r="D1947" s="338"/>
      <c r="E1947" s="338"/>
      <c r="H1947" s="338"/>
      <c r="I1947" s="338"/>
      <c r="J1947" s="338"/>
      <c r="K1947" s="338"/>
      <c r="L1947" s="338"/>
      <c r="M1947" s="338"/>
      <c r="N1947" s="338"/>
      <c r="Q1947" s="338"/>
      <c r="R1947" s="338"/>
      <c r="S1947" s="338"/>
      <c r="T1947" s="338"/>
      <c r="U1947" s="338"/>
      <c r="X1947" s="338"/>
      <c r="Y1947" s="338"/>
      <c r="Z1947" s="338"/>
      <c r="AA1947" s="338"/>
      <c r="AB1947" s="338"/>
      <c r="AC1947" s="338"/>
      <c r="AD1947" s="338"/>
    </row>
    <row r="1948" spans="1:30">
      <c r="A1948" s="338"/>
      <c r="B1948" s="338"/>
      <c r="D1948" s="338"/>
      <c r="E1948" s="338"/>
      <c r="H1948" s="338"/>
      <c r="I1948" s="338"/>
      <c r="J1948" s="338"/>
      <c r="K1948" s="338"/>
      <c r="L1948" s="338"/>
      <c r="M1948" s="338"/>
      <c r="N1948" s="338"/>
      <c r="Q1948" s="338"/>
      <c r="R1948" s="338"/>
      <c r="S1948" s="338"/>
      <c r="T1948" s="338"/>
      <c r="U1948" s="338"/>
      <c r="X1948" s="338"/>
      <c r="Y1948" s="338"/>
      <c r="Z1948" s="338"/>
      <c r="AA1948" s="338"/>
      <c r="AB1948" s="338"/>
      <c r="AC1948" s="338"/>
      <c r="AD1948" s="338"/>
    </row>
    <row r="1949" spans="1:30">
      <c r="A1949" s="338"/>
      <c r="B1949" s="338"/>
      <c r="D1949" s="338"/>
      <c r="E1949" s="338"/>
      <c r="H1949" s="338"/>
      <c r="I1949" s="338"/>
      <c r="J1949" s="338"/>
      <c r="K1949" s="338"/>
      <c r="L1949" s="338"/>
      <c r="M1949" s="338"/>
      <c r="N1949" s="338"/>
      <c r="Q1949" s="338"/>
      <c r="R1949" s="338"/>
      <c r="S1949" s="338"/>
      <c r="T1949" s="338"/>
      <c r="U1949" s="338"/>
      <c r="X1949" s="338"/>
      <c r="Y1949" s="338"/>
      <c r="Z1949" s="338"/>
      <c r="AA1949" s="338"/>
      <c r="AB1949" s="338"/>
      <c r="AC1949" s="338"/>
      <c r="AD1949" s="338"/>
    </row>
    <row r="1950" spans="1:30">
      <c r="A1950" s="338"/>
      <c r="B1950" s="338"/>
      <c r="D1950" s="338"/>
      <c r="E1950" s="338"/>
      <c r="H1950" s="338"/>
      <c r="I1950" s="338"/>
      <c r="J1950" s="338"/>
      <c r="K1950" s="338"/>
      <c r="L1950" s="338"/>
      <c r="M1950" s="338"/>
      <c r="N1950" s="338"/>
      <c r="Q1950" s="338"/>
      <c r="R1950" s="338"/>
      <c r="S1950" s="338"/>
      <c r="T1950" s="338"/>
      <c r="U1950" s="338"/>
      <c r="X1950" s="338"/>
      <c r="Y1950" s="338"/>
      <c r="Z1950" s="338"/>
      <c r="AA1950" s="338"/>
      <c r="AB1950" s="338"/>
      <c r="AC1950" s="338"/>
      <c r="AD1950" s="338"/>
    </row>
    <row r="1951" spans="1:30">
      <c r="A1951" s="338"/>
      <c r="B1951" s="338"/>
      <c r="D1951" s="338"/>
      <c r="E1951" s="338"/>
      <c r="H1951" s="338"/>
      <c r="I1951" s="338"/>
      <c r="J1951" s="338"/>
      <c r="K1951" s="338"/>
      <c r="L1951" s="338"/>
      <c r="M1951" s="338"/>
      <c r="N1951" s="338"/>
      <c r="Q1951" s="338"/>
      <c r="R1951" s="338"/>
      <c r="S1951" s="338"/>
      <c r="T1951" s="338"/>
      <c r="U1951" s="338"/>
      <c r="X1951" s="338"/>
      <c r="Y1951" s="338"/>
      <c r="Z1951" s="338"/>
      <c r="AA1951" s="338"/>
      <c r="AB1951" s="338"/>
      <c r="AC1951" s="338"/>
      <c r="AD1951" s="338"/>
    </row>
    <row r="1952" spans="1:30">
      <c r="A1952" s="338"/>
      <c r="B1952" s="338"/>
      <c r="D1952" s="338"/>
      <c r="E1952" s="338"/>
      <c r="H1952" s="338"/>
      <c r="I1952" s="338"/>
      <c r="J1952" s="338"/>
      <c r="K1952" s="338"/>
      <c r="L1952" s="338"/>
      <c r="M1952" s="338"/>
      <c r="N1952" s="338"/>
      <c r="Q1952" s="338"/>
      <c r="R1952" s="338"/>
      <c r="S1952" s="338"/>
      <c r="T1952" s="338"/>
      <c r="U1952" s="338"/>
      <c r="X1952" s="338"/>
      <c r="Y1952" s="338"/>
      <c r="Z1952" s="338"/>
      <c r="AA1952" s="338"/>
      <c r="AB1952" s="338"/>
      <c r="AC1952" s="338"/>
      <c r="AD1952" s="338"/>
    </row>
    <row r="1953" spans="1:30">
      <c r="A1953" s="338"/>
      <c r="B1953" s="338"/>
      <c r="D1953" s="338"/>
      <c r="E1953" s="338"/>
      <c r="H1953" s="338"/>
      <c r="I1953" s="338"/>
      <c r="J1953" s="338"/>
      <c r="K1953" s="338"/>
      <c r="L1953" s="338"/>
      <c r="M1953" s="338"/>
      <c r="N1953" s="338"/>
      <c r="Q1953" s="338"/>
      <c r="R1953" s="338"/>
      <c r="S1953" s="338"/>
      <c r="T1953" s="338"/>
      <c r="U1953" s="338"/>
      <c r="X1953" s="338"/>
      <c r="Y1953" s="338"/>
      <c r="Z1953" s="338"/>
      <c r="AA1953" s="338"/>
      <c r="AB1953" s="338"/>
      <c r="AC1953" s="338"/>
      <c r="AD1953" s="338"/>
    </row>
    <row r="1954" spans="1:30">
      <c r="A1954" s="338"/>
      <c r="B1954" s="338"/>
      <c r="D1954" s="338"/>
      <c r="E1954" s="338"/>
      <c r="H1954" s="338"/>
      <c r="I1954" s="338"/>
      <c r="J1954" s="338"/>
      <c r="K1954" s="338"/>
      <c r="L1954" s="338"/>
      <c r="M1954" s="338"/>
      <c r="N1954" s="338"/>
      <c r="Q1954" s="338"/>
      <c r="R1954" s="338"/>
      <c r="S1954" s="338"/>
      <c r="T1954" s="338"/>
      <c r="U1954" s="338"/>
      <c r="X1954" s="338"/>
      <c r="Y1954" s="338"/>
      <c r="Z1954" s="338"/>
      <c r="AA1954" s="338"/>
      <c r="AB1954" s="338"/>
      <c r="AC1954" s="338"/>
      <c r="AD1954" s="338"/>
    </row>
    <row r="1955" spans="1:30">
      <c r="A1955" s="338"/>
      <c r="B1955" s="338"/>
      <c r="D1955" s="338"/>
      <c r="E1955" s="338"/>
      <c r="H1955" s="338"/>
      <c r="I1955" s="338"/>
      <c r="J1955" s="338"/>
      <c r="K1955" s="338"/>
      <c r="L1955" s="338"/>
      <c r="M1955" s="338"/>
      <c r="N1955" s="338"/>
      <c r="Q1955" s="338"/>
      <c r="R1955" s="338"/>
      <c r="S1955" s="338"/>
      <c r="T1955" s="338"/>
      <c r="U1955" s="338"/>
      <c r="X1955" s="338"/>
      <c r="Y1955" s="338"/>
      <c r="Z1955" s="338"/>
      <c r="AA1955" s="338"/>
      <c r="AB1955" s="338"/>
      <c r="AC1955" s="338"/>
      <c r="AD1955" s="338"/>
    </row>
    <row r="1956" spans="1:30">
      <c r="A1956" s="338"/>
      <c r="B1956" s="338"/>
      <c r="D1956" s="338"/>
      <c r="E1956" s="338"/>
      <c r="H1956" s="338"/>
      <c r="I1956" s="338"/>
      <c r="J1956" s="338"/>
      <c r="K1956" s="338"/>
      <c r="L1956" s="338"/>
      <c r="M1956" s="338"/>
      <c r="N1956" s="338"/>
      <c r="Q1956" s="338"/>
      <c r="R1956" s="338"/>
      <c r="S1956" s="338"/>
      <c r="T1956" s="338"/>
      <c r="U1956" s="338"/>
      <c r="X1956" s="338"/>
      <c r="Y1956" s="338"/>
      <c r="Z1956" s="338"/>
      <c r="AA1956" s="338"/>
      <c r="AB1956" s="338"/>
      <c r="AC1956" s="338"/>
      <c r="AD1956" s="338"/>
    </row>
    <row r="1957" spans="1:30">
      <c r="A1957" s="338"/>
      <c r="B1957" s="338"/>
      <c r="D1957" s="338"/>
      <c r="E1957" s="338"/>
      <c r="H1957" s="338"/>
      <c r="I1957" s="338"/>
      <c r="J1957" s="338"/>
      <c r="K1957" s="338"/>
      <c r="L1957" s="338"/>
      <c r="M1957" s="338"/>
      <c r="N1957" s="338"/>
      <c r="Q1957" s="338"/>
      <c r="R1957" s="338"/>
      <c r="S1957" s="338"/>
      <c r="T1957" s="338"/>
      <c r="U1957" s="338"/>
      <c r="X1957" s="338"/>
      <c r="Y1957" s="338"/>
      <c r="Z1957" s="338"/>
      <c r="AA1957" s="338"/>
      <c r="AB1957" s="338"/>
      <c r="AC1957" s="338"/>
      <c r="AD1957" s="338"/>
    </row>
    <row r="1958" spans="1:30">
      <c r="A1958" s="338"/>
      <c r="B1958" s="338"/>
      <c r="D1958" s="338"/>
      <c r="E1958" s="338"/>
      <c r="H1958" s="338"/>
      <c r="I1958" s="338"/>
      <c r="J1958" s="338"/>
      <c r="K1958" s="338"/>
      <c r="L1958" s="338"/>
      <c r="M1958" s="338"/>
      <c r="N1958" s="338"/>
      <c r="Q1958" s="338"/>
      <c r="R1958" s="338"/>
      <c r="S1958" s="338"/>
      <c r="T1958" s="338"/>
      <c r="U1958" s="338"/>
      <c r="X1958" s="338"/>
      <c r="Y1958" s="338"/>
      <c r="Z1958" s="338"/>
      <c r="AA1958" s="338"/>
      <c r="AB1958" s="338"/>
      <c r="AC1958" s="338"/>
      <c r="AD1958" s="338"/>
    </row>
    <row r="1959" spans="1:30">
      <c r="A1959" s="338"/>
      <c r="B1959" s="338"/>
      <c r="D1959" s="338"/>
      <c r="E1959" s="338"/>
      <c r="H1959" s="338"/>
      <c r="I1959" s="338"/>
      <c r="J1959" s="338"/>
      <c r="K1959" s="338"/>
      <c r="L1959" s="338"/>
      <c r="M1959" s="338"/>
      <c r="N1959" s="338"/>
      <c r="Q1959" s="338"/>
      <c r="R1959" s="338"/>
      <c r="S1959" s="338"/>
      <c r="T1959" s="338"/>
      <c r="U1959" s="338"/>
      <c r="X1959" s="338"/>
      <c r="Y1959" s="338"/>
      <c r="Z1959" s="338"/>
      <c r="AA1959" s="338"/>
      <c r="AB1959" s="338"/>
      <c r="AC1959" s="338"/>
      <c r="AD1959" s="338"/>
    </row>
    <row r="1960" spans="1:30">
      <c r="A1960" s="338"/>
      <c r="B1960" s="338"/>
      <c r="D1960" s="338"/>
      <c r="E1960" s="338"/>
      <c r="H1960" s="338"/>
      <c r="I1960" s="338"/>
      <c r="J1960" s="338"/>
      <c r="K1960" s="338"/>
      <c r="L1960" s="338"/>
      <c r="M1960" s="338"/>
      <c r="N1960" s="338"/>
      <c r="Q1960" s="338"/>
      <c r="R1960" s="338"/>
      <c r="S1960" s="338"/>
      <c r="T1960" s="338"/>
      <c r="U1960" s="338"/>
      <c r="X1960" s="338"/>
      <c r="Y1960" s="338"/>
      <c r="Z1960" s="338"/>
      <c r="AA1960" s="338"/>
      <c r="AB1960" s="338"/>
      <c r="AC1960" s="338"/>
      <c r="AD1960" s="338"/>
    </row>
    <row r="1961" spans="1:30">
      <c r="A1961" s="338"/>
      <c r="B1961" s="338"/>
      <c r="D1961" s="338"/>
      <c r="E1961" s="338"/>
      <c r="H1961" s="338"/>
      <c r="I1961" s="338"/>
      <c r="J1961" s="338"/>
      <c r="K1961" s="338"/>
      <c r="L1961" s="338"/>
      <c r="M1961" s="338"/>
      <c r="N1961" s="338"/>
      <c r="Q1961" s="338"/>
      <c r="R1961" s="338"/>
      <c r="S1961" s="338"/>
      <c r="T1961" s="338"/>
      <c r="U1961" s="338"/>
      <c r="X1961" s="338"/>
      <c r="Y1961" s="338"/>
      <c r="Z1961" s="338"/>
      <c r="AA1961" s="338"/>
      <c r="AB1961" s="338"/>
      <c r="AC1961" s="338"/>
      <c r="AD1961" s="338"/>
    </row>
    <row r="1962" spans="1:30">
      <c r="A1962" s="338"/>
      <c r="B1962" s="338"/>
      <c r="D1962" s="338"/>
      <c r="E1962" s="338"/>
      <c r="H1962" s="338"/>
      <c r="I1962" s="338"/>
      <c r="J1962" s="338"/>
      <c r="K1962" s="338"/>
      <c r="L1962" s="338"/>
      <c r="M1962" s="338"/>
      <c r="N1962" s="338"/>
      <c r="Q1962" s="338"/>
      <c r="R1962" s="338"/>
      <c r="S1962" s="338"/>
      <c r="T1962" s="338"/>
      <c r="U1962" s="338"/>
      <c r="X1962" s="338"/>
      <c r="Y1962" s="338"/>
      <c r="Z1962" s="338"/>
      <c r="AA1962" s="338"/>
      <c r="AB1962" s="338"/>
      <c r="AC1962" s="338"/>
      <c r="AD1962" s="338"/>
    </row>
    <row r="1963" spans="1:30">
      <c r="A1963" s="338"/>
      <c r="B1963" s="338"/>
      <c r="D1963" s="338"/>
      <c r="E1963" s="338"/>
      <c r="H1963" s="338"/>
      <c r="I1963" s="338"/>
      <c r="J1963" s="338"/>
      <c r="K1963" s="338"/>
      <c r="L1963" s="338"/>
      <c r="M1963" s="338"/>
      <c r="N1963" s="338"/>
      <c r="Q1963" s="338"/>
      <c r="R1963" s="338"/>
      <c r="S1963" s="338"/>
      <c r="T1963" s="338"/>
      <c r="U1963" s="338"/>
      <c r="X1963" s="338"/>
      <c r="Y1963" s="338"/>
      <c r="Z1963" s="338"/>
      <c r="AA1963" s="338"/>
      <c r="AB1963" s="338"/>
      <c r="AC1963" s="338"/>
      <c r="AD1963" s="338"/>
    </row>
    <row r="1964" spans="1:30">
      <c r="A1964" s="338"/>
      <c r="B1964" s="338"/>
      <c r="D1964" s="338"/>
      <c r="E1964" s="338"/>
      <c r="H1964" s="338"/>
      <c r="I1964" s="338"/>
      <c r="J1964" s="338"/>
      <c r="K1964" s="338"/>
      <c r="L1964" s="338"/>
      <c r="M1964" s="338"/>
      <c r="N1964" s="338"/>
      <c r="Q1964" s="338"/>
      <c r="R1964" s="338"/>
      <c r="S1964" s="338"/>
      <c r="T1964" s="338"/>
      <c r="U1964" s="338"/>
      <c r="X1964" s="338"/>
      <c r="Y1964" s="338"/>
      <c r="Z1964" s="338"/>
      <c r="AA1964" s="338"/>
      <c r="AB1964" s="338"/>
      <c r="AC1964" s="338"/>
      <c r="AD1964" s="338"/>
    </row>
    <row r="1965" spans="1:30">
      <c r="A1965" s="338"/>
      <c r="B1965" s="338"/>
      <c r="D1965" s="338"/>
      <c r="E1965" s="338"/>
      <c r="H1965" s="338"/>
      <c r="I1965" s="338"/>
      <c r="J1965" s="338"/>
      <c r="K1965" s="338"/>
      <c r="L1965" s="338"/>
      <c r="M1965" s="338"/>
      <c r="N1965" s="338"/>
      <c r="Q1965" s="338"/>
      <c r="R1965" s="338"/>
      <c r="S1965" s="338"/>
      <c r="T1965" s="338"/>
      <c r="U1965" s="338"/>
      <c r="X1965" s="338"/>
      <c r="Y1965" s="338"/>
      <c r="Z1965" s="338"/>
      <c r="AA1965" s="338"/>
      <c r="AB1965" s="338"/>
      <c r="AC1965" s="338"/>
      <c r="AD1965" s="338"/>
    </row>
    <row r="1966" spans="1:30">
      <c r="A1966" s="338"/>
      <c r="B1966" s="338"/>
      <c r="D1966" s="338"/>
      <c r="E1966" s="338"/>
      <c r="H1966" s="338"/>
      <c r="I1966" s="338"/>
      <c r="J1966" s="338"/>
      <c r="K1966" s="338"/>
      <c r="L1966" s="338"/>
      <c r="M1966" s="338"/>
      <c r="N1966" s="338"/>
      <c r="Q1966" s="338"/>
      <c r="R1966" s="338"/>
      <c r="S1966" s="338"/>
      <c r="T1966" s="338"/>
      <c r="U1966" s="338"/>
      <c r="X1966" s="338"/>
      <c r="Y1966" s="338"/>
      <c r="Z1966" s="338"/>
      <c r="AA1966" s="338"/>
      <c r="AB1966" s="338"/>
      <c r="AC1966" s="338"/>
      <c r="AD1966" s="338"/>
    </row>
    <row r="1967" spans="1:30">
      <c r="A1967" s="338"/>
      <c r="B1967" s="338"/>
      <c r="D1967" s="338"/>
      <c r="E1967" s="338"/>
      <c r="H1967" s="338"/>
      <c r="I1967" s="338"/>
      <c r="J1967" s="338"/>
      <c r="K1967" s="338"/>
      <c r="L1967" s="338"/>
      <c r="M1967" s="338"/>
      <c r="N1967" s="338"/>
      <c r="Q1967" s="338"/>
      <c r="R1967" s="338"/>
      <c r="S1967" s="338"/>
      <c r="T1967" s="338"/>
      <c r="U1967" s="338"/>
      <c r="X1967" s="338"/>
      <c r="Y1967" s="338"/>
      <c r="Z1967" s="338"/>
      <c r="AA1967" s="338"/>
      <c r="AB1967" s="338"/>
      <c r="AC1967" s="338"/>
      <c r="AD1967" s="338"/>
    </row>
    <row r="1968" spans="1:30">
      <c r="A1968" s="338"/>
      <c r="B1968" s="338"/>
      <c r="D1968" s="338"/>
      <c r="E1968" s="338"/>
      <c r="H1968" s="338"/>
      <c r="I1968" s="338"/>
      <c r="J1968" s="338"/>
      <c r="K1968" s="338"/>
      <c r="L1968" s="338"/>
      <c r="M1968" s="338"/>
      <c r="N1968" s="338"/>
      <c r="Q1968" s="338"/>
      <c r="R1968" s="338"/>
      <c r="S1968" s="338"/>
      <c r="T1968" s="338"/>
      <c r="U1968" s="338"/>
      <c r="X1968" s="338"/>
      <c r="Y1968" s="338"/>
      <c r="Z1968" s="338"/>
      <c r="AA1968" s="338"/>
      <c r="AB1968" s="338"/>
      <c r="AC1968" s="338"/>
      <c r="AD1968" s="338"/>
    </row>
    <row r="1969" spans="1:30">
      <c r="A1969" s="338"/>
      <c r="B1969" s="338"/>
      <c r="D1969" s="338"/>
      <c r="E1969" s="338"/>
      <c r="H1969" s="338"/>
      <c r="I1969" s="338"/>
      <c r="J1969" s="338"/>
      <c r="K1969" s="338"/>
      <c r="L1969" s="338"/>
      <c r="M1969" s="338"/>
      <c r="N1969" s="338"/>
      <c r="Q1969" s="338"/>
      <c r="R1969" s="338"/>
      <c r="S1969" s="338"/>
      <c r="T1969" s="338"/>
      <c r="U1969" s="338"/>
      <c r="X1969" s="338"/>
      <c r="Y1969" s="338"/>
      <c r="Z1969" s="338"/>
      <c r="AA1969" s="338"/>
      <c r="AB1969" s="338"/>
      <c r="AC1969" s="338"/>
      <c r="AD1969" s="338"/>
    </row>
    <row r="1970" spans="1:30">
      <c r="A1970" s="338"/>
      <c r="B1970" s="338"/>
      <c r="D1970" s="338"/>
      <c r="E1970" s="338"/>
      <c r="H1970" s="338"/>
      <c r="I1970" s="338"/>
      <c r="J1970" s="338"/>
      <c r="K1970" s="338"/>
      <c r="L1970" s="338"/>
      <c r="M1970" s="338"/>
      <c r="N1970" s="338"/>
      <c r="Q1970" s="338"/>
      <c r="R1970" s="338"/>
      <c r="S1970" s="338"/>
      <c r="T1970" s="338"/>
      <c r="U1970" s="338"/>
      <c r="X1970" s="338"/>
      <c r="Y1970" s="338"/>
      <c r="Z1970" s="338"/>
      <c r="AA1970" s="338"/>
      <c r="AB1970" s="338"/>
      <c r="AC1970" s="338"/>
      <c r="AD1970" s="338"/>
    </row>
    <row r="1971" spans="1:30">
      <c r="A1971" s="338"/>
      <c r="B1971" s="338"/>
      <c r="D1971" s="338"/>
      <c r="E1971" s="338"/>
      <c r="H1971" s="338"/>
      <c r="I1971" s="338"/>
      <c r="J1971" s="338"/>
      <c r="K1971" s="338"/>
      <c r="L1971" s="338"/>
      <c r="M1971" s="338"/>
      <c r="N1971" s="338"/>
      <c r="Q1971" s="338"/>
      <c r="R1971" s="338"/>
      <c r="S1971" s="338"/>
      <c r="T1971" s="338"/>
      <c r="U1971" s="338"/>
      <c r="X1971" s="338"/>
      <c r="Y1971" s="338"/>
      <c r="Z1971" s="338"/>
      <c r="AA1971" s="338"/>
      <c r="AB1971" s="338"/>
      <c r="AC1971" s="338"/>
      <c r="AD1971" s="338"/>
    </row>
    <row r="1972" spans="1:30">
      <c r="A1972" s="338"/>
      <c r="B1972" s="338"/>
      <c r="D1972" s="338"/>
      <c r="E1972" s="338"/>
      <c r="H1972" s="338"/>
      <c r="I1972" s="338"/>
      <c r="J1972" s="338"/>
      <c r="K1972" s="338"/>
      <c r="L1972" s="338"/>
      <c r="M1972" s="338"/>
      <c r="N1972" s="338"/>
      <c r="Q1972" s="338"/>
      <c r="R1972" s="338"/>
      <c r="S1972" s="338"/>
      <c r="T1972" s="338"/>
      <c r="U1972" s="338"/>
      <c r="X1972" s="338"/>
      <c r="Y1972" s="338"/>
      <c r="Z1972" s="338"/>
      <c r="AA1972" s="338"/>
      <c r="AB1972" s="338"/>
      <c r="AC1972" s="338"/>
      <c r="AD1972" s="338"/>
    </row>
    <row r="1973" spans="1:30">
      <c r="A1973" s="338"/>
      <c r="B1973" s="338"/>
      <c r="D1973" s="338"/>
      <c r="E1973" s="338"/>
      <c r="H1973" s="338"/>
      <c r="I1973" s="338"/>
      <c r="J1973" s="338"/>
      <c r="K1973" s="338"/>
      <c r="L1973" s="338"/>
      <c r="M1973" s="338"/>
      <c r="N1973" s="338"/>
      <c r="Q1973" s="338"/>
      <c r="R1973" s="338"/>
      <c r="S1973" s="338"/>
      <c r="T1973" s="338"/>
      <c r="U1973" s="338"/>
      <c r="X1973" s="338"/>
      <c r="Y1973" s="338"/>
      <c r="Z1973" s="338"/>
      <c r="AA1973" s="338"/>
      <c r="AB1973" s="338"/>
      <c r="AC1973" s="338"/>
      <c r="AD1973" s="338"/>
    </row>
    <row r="1974" spans="1:30">
      <c r="A1974" s="338"/>
      <c r="B1974" s="338"/>
      <c r="D1974" s="338"/>
      <c r="E1974" s="338"/>
      <c r="H1974" s="338"/>
      <c r="I1974" s="338"/>
      <c r="J1974" s="338"/>
      <c r="K1974" s="338"/>
      <c r="L1974" s="338"/>
      <c r="M1974" s="338"/>
      <c r="N1974" s="338"/>
      <c r="Q1974" s="338"/>
      <c r="R1974" s="338"/>
      <c r="S1974" s="338"/>
      <c r="T1974" s="338"/>
      <c r="U1974" s="338"/>
      <c r="X1974" s="338"/>
      <c r="Y1974" s="338"/>
      <c r="Z1974" s="338"/>
      <c r="AA1974" s="338"/>
      <c r="AB1974" s="338"/>
      <c r="AC1974" s="338"/>
      <c r="AD1974" s="338"/>
    </row>
    <row r="1975" spans="1:30">
      <c r="A1975" s="338"/>
      <c r="B1975" s="338"/>
      <c r="D1975" s="338"/>
      <c r="E1975" s="338"/>
      <c r="H1975" s="338"/>
      <c r="I1975" s="338"/>
      <c r="J1975" s="338"/>
      <c r="K1975" s="338"/>
      <c r="L1975" s="338"/>
      <c r="M1975" s="338"/>
      <c r="N1975" s="338"/>
      <c r="Q1975" s="338"/>
      <c r="R1975" s="338"/>
      <c r="S1975" s="338"/>
      <c r="T1975" s="338"/>
      <c r="U1975" s="338"/>
      <c r="X1975" s="338"/>
      <c r="Y1975" s="338"/>
      <c r="Z1975" s="338"/>
      <c r="AA1975" s="338"/>
      <c r="AB1975" s="338"/>
      <c r="AC1975" s="338"/>
      <c r="AD1975" s="338"/>
    </row>
    <row r="1976" spans="1:30">
      <c r="A1976" s="338"/>
      <c r="B1976" s="338"/>
      <c r="D1976" s="338"/>
      <c r="E1976" s="338"/>
      <c r="H1976" s="338"/>
      <c r="I1976" s="338"/>
      <c r="J1976" s="338"/>
      <c r="K1976" s="338"/>
      <c r="L1976" s="338"/>
      <c r="M1976" s="338"/>
      <c r="N1976" s="338"/>
      <c r="Q1976" s="338"/>
      <c r="R1976" s="338"/>
      <c r="S1976" s="338"/>
      <c r="T1976" s="338"/>
      <c r="U1976" s="338"/>
      <c r="X1976" s="338"/>
      <c r="Y1976" s="338"/>
      <c r="Z1976" s="338"/>
      <c r="AA1976" s="338"/>
      <c r="AB1976" s="338"/>
      <c r="AC1976" s="338"/>
      <c r="AD1976" s="338"/>
    </row>
    <row r="1977" spans="1:30">
      <c r="A1977" s="338"/>
      <c r="B1977" s="338"/>
      <c r="D1977" s="338"/>
      <c r="E1977" s="338"/>
      <c r="H1977" s="338"/>
      <c r="I1977" s="338"/>
      <c r="J1977" s="338"/>
      <c r="K1977" s="338"/>
      <c r="L1977" s="338"/>
      <c r="M1977" s="338"/>
      <c r="N1977" s="338"/>
      <c r="Q1977" s="338"/>
      <c r="R1977" s="338"/>
      <c r="S1977" s="338"/>
      <c r="T1977" s="338"/>
      <c r="U1977" s="338"/>
      <c r="X1977" s="338"/>
      <c r="Y1977" s="338"/>
      <c r="Z1977" s="338"/>
      <c r="AA1977" s="338"/>
      <c r="AB1977" s="338"/>
      <c r="AC1977" s="338"/>
      <c r="AD1977" s="338"/>
    </row>
    <row r="1978" spans="1:30">
      <c r="A1978" s="338"/>
      <c r="B1978" s="338"/>
      <c r="D1978" s="338"/>
      <c r="E1978" s="338"/>
      <c r="H1978" s="338"/>
      <c r="I1978" s="338"/>
      <c r="J1978" s="338"/>
      <c r="K1978" s="338"/>
      <c r="L1978" s="338"/>
      <c r="M1978" s="338"/>
      <c r="N1978" s="338"/>
      <c r="Q1978" s="338"/>
      <c r="R1978" s="338"/>
      <c r="S1978" s="338"/>
      <c r="T1978" s="338"/>
      <c r="U1978" s="338"/>
      <c r="X1978" s="338"/>
      <c r="Y1978" s="338"/>
      <c r="Z1978" s="338"/>
      <c r="AA1978" s="338"/>
      <c r="AB1978" s="338"/>
      <c r="AC1978" s="338"/>
      <c r="AD1978" s="338"/>
    </row>
    <row r="1979" spans="1:30">
      <c r="A1979" s="338"/>
      <c r="B1979" s="338"/>
      <c r="D1979" s="338"/>
      <c r="E1979" s="338"/>
      <c r="H1979" s="338"/>
      <c r="I1979" s="338"/>
      <c r="J1979" s="338"/>
      <c r="K1979" s="338"/>
      <c r="L1979" s="338"/>
      <c r="M1979" s="338"/>
      <c r="N1979" s="338"/>
      <c r="Q1979" s="338"/>
      <c r="R1979" s="338"/>
      <c r="S1979" s="338"/>
      <c r="T1979" s="338"/>
      <c r="U1979" s="338"/>
      <c r="X1979" s="338"/>
      <c r="Y1979" s="338"/>
      <c r="Z1979" s="338"/>
      <c r="AA1979" s="338"/>
      <c r="AB1979" s="338"/>
      <c r="AC1979" s="338"/>
      <c r="AD1979" s="338"/>
    </row>
    <row r="1980" spans="1:30">
      <c r="A1980" s="338"/>
      <c r="B1980" s="338"/>
      <c r="D1980" s="338"/>
      <c r="E1980" s="338"/>
      <c r="H1980" s="338"/>
      <c r="I1980" s="338"/>
      <c r="J1980" s="338"/>
      <c r="K1980" s="338"/>
      <c r="L1980" s="338"/>
      <c r="M1980" s="338"/>
      <c r="N1980" s="338"/>
      <c r="Q1980" s="338"/>
      <c r="R1980" s="338"/>
      <c r="S1980" s="338"/>
      <c r="T1980" s="338"/>
      <c r="U1980" s="338"/>
      <c r="X1980" s="338"/>
      <c r="Y1980" s="338"/>
      <c r="Z1980" s="338"/>
      <c r="AA1980" s="338"/>
      <c r="AB1980" s="338"/>
      <c r="AC1980" s="338"/>
      <c r="AD1980" s="338"/>
    </row>
    <row r="1981" spans="1:30">
      <c r="A1981" s="338"/>
      <c r="B1981" s="338"/>
      <c r="D1981" s="338"/>
      <c r="E1981" s="338"/>
      <c r="H1981" s="338"/>
      <c r="I1981" s="338"/>
      <c r="J1981" s="338"/>
      <c r="K1981" s="338"/>
      <c r="L1981" s="338"/>
      <c r="M1981" s="338"/>
      <c r="N1981" s="338"/>
      <c r="Q1981" s="338"/>
      <c r="R1981" s="338"/>
      <c r="S1981" s="338"/>
      <c r="T1981" s="338"/>
      <c r="U1981" s="338"/>
      <c r="X1981" s="338"/>
      <c r="Y1981" s="338"/>
      <c r="Z1981" s="338"/>
      <c r="AA1981" s="338"/>
      <c r="AB1981" s="338"/>
      <c r="AC1981" s="338"/>
      <c r="AD1981" s="338"/>
    </row>
    <row r="1982" spans="1:30">
      <c r="A1982" s="338"/>
      <c r="B1982" s="338"/>
      <c r="D1982" s="338"/>
      <c r="E1982" s="338"/>
      <c r="H1982" s="338"/>
      <c r="I1982" s="338"/>
      <c r="J1982" s="338"/>
      <c r="K1982" s="338"/>
      <c r="L1982" s="338"/>
      <c r="M1982" s="338"/>
      <c r="N1982" s="338"/>
      <c r="Q1982" s="338"/>
      <c r="R1982" s="338"/>
      <c r="S1982" s="338"/>
      <c r="T1982" s="338"/>
      <c r="U1982" s="338"/>
      <c r="X1982" s="338"/>
      <c r="Y1982" s="338"/>
      <c r="Z1982" s="338"/>
      <c r="AA1982" s="338"/>
      <c r="AB1982" s="338"/>
      <c r="AC1982" s="338"/>
      <c r="AD1982" s="338"/>
    </row>
    <row r="1983" spans="1:30">
      <c r="A1983" s="338"/>
      <c r="B1983" s="338"/>
      <c r="D1983" s="338"/>
      <c r="E1983" s="338"/>
      <c r="H1983" s="338"/>
      <c r="I1983" s="338"/>
      <c r="J1983" s="338"/>
      <c r="K1983" s="338"/>
      <c r="L1983" s="338"/>
      <c r="M1983" s="338"/>
      <c r="N1983" s="338"/>
      <c r="Q1983" s="338"/>
      <c r="R1983" s="338"/>
      <c r="S1983" s="338"/>
      <c r="T1983" s="338"/>
      <c r="U1983" s="338"/>
      <c r="X1983" s="338"/>
      <c r="Y1983" s="338"/>
      <c r="Z1983" s="338"/>
      <c r="AA1983" s="338"/>
      <c r="AB1983" s="338"/>
      <c r="AC1983" s="338"/>
      <c r="AD1983" s="338"/>
    </row>
    <row r="1984" spans="1:30">
      <c r="A1984" s="338"/>
      <c r="B1984" s="338"/>
      <c r="D1984" s="338"/>
      <c r="E1984" s="338"/>
      <c r="H1984" s="338"/>
      <c r="I1984" s="338"/>
      <c r="J1984" s="338"/>
      <c r="K1984" s="338"/>
      <c r="L1984" s="338"/>
      <c r="M1984" s="338"/>
      <c r="N1984" s="338"/>
      <c r="Q1984" s="338"/>
      <c r="R1984" s="338"/>
      <c r="S1984" s="338"/>
      <c r="T1984" s="338"/>
      <c r="U1984" s="338"/>
      <c r="X1984" s="338"/>
      <c r="Y1984" s="338"/>
      <c r="Z1984" s="338"/>
      <c r="AA1984" s="338"/>
      <c r="AB1984" s="338"/>
      <c r="AC1984" s="338"/>
      <c r="AD1984" s="338"/>
    </row>
    <row r="1985" spans="1:30">
      <c r="A1985" s="338"/>
      <c r="B1985" s="338"/>
      <c r="D1985" s="338"/>
      <c r="E1985" s="338"/>
      <c r="H1985" s="338"/>
      <c r="I1985" s="338"/>
      <c r="J1985" s="338"/>
      <c r="K1985" s="338"/>
      <c r="L1985" s="338"/>
      <c r="M1985" s="338"/>
      <c r="N1985" s="338"/>
      <c r="Q1985" s="338"/>
      <c r="R1985" s="338"/>
      <c r="S1985" s="338"/>
      <c r="T1985" s="338"/>
      <c r="U1985" s="338"/>
      <c r="X1985" s="338"/>
      <c r="Y1985" s="338"/>
      <c r="Z1985" s="338"/>
      <c r="AA1985" s="338"/>
      <c r="AB1985" s="338"/>
      <c r="AC1985" s="338"/>
      <c r="AD1985" s="338"/>
    </row>
    <row r="1986" spans="1:30">
      <c r="A1986" s="338"/>
      <c r="B1986" s="338"/>
      <c r="D1986" s="338"/>
      <c r="E1986" s="338"/>
      <c r="H1986" s="338"/>
      <c r="I1986" s="338"/>
      <c r="J1986" s="338"/>
      <c r="K1986" s="338"/>
      <c r="L1986" s="338"/>
      <c r="M1986" s="338"/>
      <c r="N1986" s="338"/>
      <c r="Q1986" s="338"/>
      <c r="R1986" s="338"/>
      <c r="S1986" s="338"/>
      <c r="T1986" s="338"/>
      <c r="U1986" s="338"/>
      <c r="X1986" s="338"/>
      <c r="Y1986" s="338"/>
      <c r="Z1986" s="338"/>
      <c r="AA1986" s="338"/>
      <c r="AB1986" s="338"/>
      <c r="AC1986" s="338"/>
      <c r="AD1986" s="338"/>
    </row>
    <row r="1987" spans="1:30">
      <c r="A1987" s="338"/>
      <c r="B1987" s="338"/>
      <c r="D1987" s="338"/>
      <c r="E1987" s="338"/>
      <c r="H1987" s="338"/>
      <c r="I1987" s="338"/>
      <c r="J1987" s="338"/>
      <c r="K1987" s="338"/>
      <c r="L1987" s="338"/>
      <c r="M1987" s="338"/>
      <c r="N1987" s="338"/>
      <c r="Q1987" s="338"/>
      <c r="R1987" s="338"/>
      <c r="S1987" s="338"/>
      <c r="T1987" s="338"/>
      <c r="U1987" s="338"/>
      <c r="X1987" s="338"/>
      <c r="Y1987" s="338"/>
      <c r="Z1987" s="338"/>
      <c r="AA1987" s="338"/>
      <c r="AB1987" s="338"/>
      <c r="AC1987" s="338"/>
      <c r="AD1987" s="338"/>
    </row>
    <row r="1988" spans="1:30">
      <c r="A1988" s="338"/>
      <c r="B1988" s="338"/>
      <c r="D1988" s="338"/>
      <c r="E1988" s="338"/>
      <c r="H1988" s="338"/>
      <c r="I1988" s="338"/>
      <c r="J1988" s="338"/>
      <c r="K1988" s="338"/>
      <c r="L1988" s="338"/>
      <c r="M1988" s="338"/>
      <c r="N1988" s="338"/>
      <c r="Q1988" s="338"/>
      <c r="R1988" s="338"/>
      <c r="S1988" s="338"/>
      <c r="T1988" s="338"/>
      <c r="U1988" s="338"/>
      <c r="X1988" s="338"/>
      <c r="Y1988" s="338"/>
      <c r="Z1988" s="338"/>
      <c r="AA1988" s="338"/>
      <c r="AB1988" s="338"/>
      <c r="AC1988" s="338"/>
      <c r="AD1988" s="338"/>
    </row>
    <row r="1989" spans="1:30">
      <c r="A1989" s="338"/>
      <c r="B1989" s="338"/>
      <c r="D1989" s="338"/>
      <c r="E1989" s="338"/>
      <c r="H1989" s="338"/>
      <c r="I1989" s="338"/>
      <c r="J1989" s="338"/>
      <c r="K1989" s="338"/>
      <c r="L1989" s="338"/>
      <c r="M1989" s="338"/>
      <c r="N1989" s="338"/>
      <c r="Q1989" s="338"/>
      <c r="R1989" s="338"/>
      <c r="S1989" s="338"/>
      <c r="T1989" s="338"/>
      <c r="U1989" s="338"/>
      <c r="X1989" s="338"/>
      <c r="Y1989" s="338"/>
      <c r="Z1989" s="338"/>
      <c r="AA1989" s="338"/>
      <c r="AB1989" s="338"/>
      <c r="AC1989" s="338"/>
      <c r="AD1989" s="338"/>
    </row>
    <row r="1990" spans="1:30">
      <c r="A1990" s="338"/>
      <c r="B1990" s="338"/>
      <c r="D1990" s="338"/>
      <c r="E1990" s="338"/>
      <c r="H1990" s="338"/>
      <c r="I1990" s="338"/>
      <c r="J1990" s="338"/>
      <c r="K1990" s="338"/>
      <c r="L1990" s="338"/>
      <c r="M1990" s="338"/>
      <c r="N1990" s="338"/>
      <c r="Q1990" s="338"/>
      <c r="R1990" s="338"/>
      <c r="S1990" s="338"/>
      <c r="T1990" s="338"/>
      <c r="U1990" s="338"/>
      <c r="X1990" s="338"/>
      <c r="Y1990" s="338"/>
      <c r="Z1990" s="338"/>
      <c r="AA1990" s="338"/>
      <c r="AB1990" s="338"/>
      <c r="AC1990" s="338"/>
      <c r="AD1990" s="338"/>
    </row>
    <row r="1991" spans="1:30">
      <c r="A1991" s="338"/>
      <c r="B1991" s="338"/>
      <c r="D1991" s="338"/>
      <c r="E1991" s="338"/>
      <c r="H1991" s="338"/>
      <c r="I1991" s="338"/>
      <c r="J1991" s="338"/>
      <c r="K1991" s="338"/>
      <c r="L1991" s="338"/>
      <c r="M1991" s="338"/>
      <c r="N1991" s="338"/>
      <c r="Q1991" s="338"/>
      <c r="R1991" s="338"/>
      <c r="S1991" s="338"/>
      <c r="T1991" s="338"/>
      <c r="U1991" s="338"/>
      <c r="X1991" s="338"/>
      <c r="Y1991" s="338"/>
      <c r="Z1991" s="338"/>
      <c r="AA1991" s="338"/>
      <c r="AB1991" s="338"/>
      <c r="AC1991" s="338"/>
      <c r="AD1991" s="338"/>
    </row>
    <row r="1992" spans="1:30">
      <c r="A1992" s="338"/>
      <c r="B1992" s="338"/>
      <c r="D1992" s="338"/>
      <c r="E1992" s="338"/>
      <c r="H1992" s="338"/>
      <c r="I1992" s="338"/>
      <c r="J1992" s="338"/>
      <c r="K1992" s="338"/>
      <c r="L1992" s="338"/>
      <c r="M1992" s="338"/>
      <c r="N1992" s="338"/>
      <c r="Q1992" s="338"/>
      <c r="R1992" s="338"/>
      <c r="S1992" s="338"/>
      <c r="T1992" s="338"/>
      <c r="U1992" s="338"/>
      <c r="X1992" s="338"/>
      <c r="Y1992" s="338"/>
      <c r="Z1992" s="338"/>
      <c r="AA1992" s="338"/>
      <c r="AB1992" s="338"/>
      <c r="AC1992" s="338"/>
      <c r="AD1992" s="338"/>
    </row>
    <row r="1993" spans="1:30">
      <c r="A1993" s="338"/>
      <c r="B1993" s="338"/>
      <c r="D1993" s="338"/>
      <c r="E1993" s="338"/>
      <c r="H1993" s="338"/>
      <c r="I1993" s="338"/>
      <c r="J1993" s="338"/>
      <c r="K1993" s="338"/>
      <c r="L1993" s="338"/>
      <c r="M1993" s="338"/>
      <c r="N1993" s="338"/>
      <c r="Q1993" s="338"/>
      <c r="R1993" s="338"/>
      <c r="S1993" s="338"/>
      <c r="T1993" s="338"/>
      <c r="U1993" s="338"/>
      <c r="X1993" s="338"/>
      <c r="Y1993" s="338"/>
      <c r="Z1993" s="338"/>
      <c r="AA1993" s="338"/>
      <c r="AB1993" s="338"/>
      <c r="AC1993" s="338"/>
      <c r="AD1993" s="338"/>
    </row>
    <row r="1994" spans="1:30">
      <c r="A1994" s="338"/>
      <c r="B1994" s="338"/>
      <c r="D1994" s="338"/>
      <c r="E1994" s="338"/>
      <c r="H1994" s="338"/>
      <c r="I1994" s="338"/>
      <c r="J1994" s="338"/>
      <c r="K1994" s="338"/>
      <c r="L1994" s="338"/>
      <c r="M1994" s="338"/>
      <c r="N1994" s="338"/>
      <c r="Q1994" s="338"/>
      <c r="R1994" s="338"/>
      <c r="S1994" s="338"/>
      <c r="T1994" s="338"/>
      <c r="U1994" s="338"/>
      <c r="X1994" s="338"/>
      <c r="Y1994" s="338"/>
      <c r="Z1994" s="338"/>
      <c r="AA1994" s="338"/>
      <c r="AB1994" s="338"/>
      <c r="AC1994" s="338"/>
      <c r="AD1994" s="338"/>
    </row>
    <row r="1995" spans="1:30">
      <c r="A1995" s="338"/>
      <c r="B1995" s="338"/>
      <c r="D1995" s="338"/>
      <c r="E1995" s="338"/>
      <c r="H1995" s="338"/>
      <c r="I1995" s="338"/>
      <c r="J1995" s="338"/>
      <c r="K1995" s="338"/>
      <c r="L1995" s="338"/>
      <c r="M1995" s="338"/>
      <c r="N1995" s="338"/>
      <c r="Q1995" s="338"/>
      <c r="R1995" s="338"/>
      <c r="S1995" s="338"/>
      <c r="T1995" s="338"/>
      <c r="U1995" s="338"/>
      <c r="X1995" s="338"/>
      <c r="Y1995" s="338"/>
      <c r="Z1995" s="338"/>
      <c r="AA1995" s="338"/>
      <c r="AB1995" s="338"/>
      <c r="AC1995" s="338"/>
      <c r="AD1995" s="338"/>
    </row>
    <row r="1996" spans="1:30">
      <c r="A1996" s="338"/>
      <c r="B1996" s="338"/>
      <c r="D1996" s="338"/>
      <c r="E1996" s="338"/>
      <c r="H1996" s="338"/>
      <c r="I1996" s="338"/>
      <c r="J1996" s="338"/>
      <c r="K1996" s="338"/>
      <c r="L1996" s="338"/>
      <c r="M1996" s="338"/>
      <c r="N1996" s="338"/>
      <c r="Q1996" s="338"/>
      <c r="R1996" s="338"/>
      <c r="S1996" s="338"/>
      <c r="T1996" s="338"/>
      <c r="U1996" s="338"/>
      <c r="X1996" s="338"/>
      <c r="Y1996" s="338"/>
      <c r="Z1996" s="338"/>
      <c r="AA1996" s="338"/>
      <c r="AB1996" s="338"/>
      <c r="AC1996" s="338"/>
      <c r="AD1996" s="338"/>
    </row>
    <row r="1997" spans="1:30">
      <c r="A1997" s="338"/>
      <c r="B1997" s="338"/>
      <c r="D1997" s="338"/>
      <c r="E1997" s="338"/>
      <c r="H1997" s="338"/>
      <c r="I1997" s="338"/>
      <c r="J1997" s="338"/>
      <c r="K1997" s="338"/>
      <c r="L1997" s="338"/>
      <c r="M1997" s="338"/>
      <c r="N1997" s="338"/>
      <c r="Q1997" s="338"/>
      <c r="R1997" s="338"/>
      <c r="S1997" s="338"/>
      <c r="T1997" s="338"/>
      <c r="U1997" s="338"/>
      <c r="X1997" s="338"/>
      <c r="Y1997" s="338"/>
      <c r="Z1997" s="338"/>
      <c r="AA1997" s="338"/>
      <c r="AB1997" s="338"/>
      <c r="AC1997" s="338"/>
      <c r="AD1997" s="338"/>
    </row>
    <row r="1998" spans="1:30">
      <c r="A1998" s="338"/>
      <c r="B1998" s="338"/>
      <c r="D1998" s="338"/>
      <c r="E1998" s="338"/>
      <c r="H1998" s="338"/>
      <c r="I1998" s="338"/>
      <c r="J1998" s="338"/>
      <c r="K1998" s="338"/>
      <c r="L1998" s="338"/>
      <c r="M1998" s="338"/>
      <c r="N1998" s="338"/>
      <c r="Q1998" s="338"/>
      <c r="R1998" s="338"/>
      <c r="S1998" s="338"/>
      <c r="T1998" s="338"/>
      <c r="U1998" s="338"/>
      <c r="X1998" s="338"/>
      <c r="Y1998" s="338"/>
      <c r="Z1998" s="338"/>
      <c r="AA1998" s="338"/>
      <c r="AB1998" s="338"/>
      <c r="AC1998" s="338"/>
      <c r="AD1998" s="338"/>
    </row>
    <row r="1999" spans="1:30">
      <c r="A1999" s="338"/>
      <c r="B1999" s="338"/>
      <c r="D1999" s="338"/>
      <c r="E1999" s="338"/>
      <c r="H1999" s="338"/>
      <c r="I1999" s="338"/>
      <c r="J1999" s="338"/>
      <c r="K1999" s="338"/>
      <c r="L1999" s="338"/>
      <c r="M1999" s="338"/>
      <c r="N1999" s="338"/>
      <c r="Q1999" s="338"/>
      <c r="R1999" s="338"/>
      <c r="S1999" s="338"/>
      <c r="T1999" s="338"/>
      <c r="U1999" s="338"/>
      <c r="X1999" s="338"/>
      <c r="Y1999" s="338"/>
      <c r="Z1999" s="338"/>
      <c r="AA1999" s="338"/>
      <c r="AB1999" s="338"/>
      <c r="AC1999" s="338"/>
      <c r="AD1999" s="338"/>
    </row>
    <row r="2000" spans="1:30">
      <c r="A2000" s="338"/>
      <c r="B2000" s="338"/>
      <c r="D2000" s="338"/>
      <c r="E2000" s="338"/>
      <c r="H2000" s="338"/>
      <c r="I2000" s="338"/>
      <c r="J2000" s="338"/>
      <c r="K2000" s="338"/>
      <c r="L2000" s="338"/>
      <c r="M2000" s="338"/>
      <c r="N2000" s="338"/>
      <c r="Q2000" s="338"/>
      <c r="R2000" s="338"/>
      <c r="S2000" s="338"/>
      <c r="T2000" s="338"/>
      <c r="U2000" s="338"/>
      <c r="X2000" s="338"/>
      <c r="Y2000" s="338"/>
      <c r="Z2000" s="338"/>
      <c r="AA2000" s="338"/>
      <c r="AB2000" s="338"/>
      <c r="AC2000" s="338"/>
      <c r="AD2000" s="338"/>
    </row>
    <row r="2001" spans="1:30">
      <c r="A2001" s="338"/>
      <c r="B2001" s="338"/>
      <c r="D2001" s="338"/>
      <c r="E2001" s="338"/>
      <c r="H2001" s="338"/>
      <c r="I2001" s="338"/>
      <c r="J2001" s="338"/>
      <c r="K2001" s="338"/>
      <c r="L2001" s="338"/>
      <c r="M2001" s="338"/>
      <c r="N2001" s="338"/>
      <c r="Q2001" s="338"/>
      <c r="R2001" s="338"/>
      <c r="S2001" s="338"/>
      <c r="T2001" s="338"/>
      <c r="U2001" s="338"/>
      <c r="X2001" s="338"/>
      <c r="Y2001" s="338"/>
      <c r="Z2001" s="338"/>
      <c r="AA2001" s="338"/>
      <c r="AB2001" s="338"/>
      <c r="AC2001" s="338"/>
      <c r="AD2001" s="338"/>
    </row>
    <row r="2002" spans="1:30">
      <c r="A2002" s="338"/>
      <c r="B2002" s="338"/>
      <c r="D2002" s="338"/>
      <c r="E2002" s="338"/>
      <c r="H2002" s="338"/>
      <c r="I2002" s="338"/>
      <c r="J2002" s="338"/>
      <c r="K2002" s="338"/>
      <c r="L2002" s="338"/>
      <c r="M2002" s="338"/>
      <c r="N2002" s="338"/>
      <c r="Q2002" s="338"/>
      <c r="R2002" s="338"/>
      <c r="S2002" s="338"/>
      <c r="T2002" s="338"/>
      <c r="U2002" s="338"/>
      <c r="X2002" s="338"/>
      <c r="Y2002" s="338"/>
      <c r="Z2002" s="338"/>
      <c r="AA2002" s="338"/>
      <c r="AB2002" s="338"/>
      <c r="AC2002" s="338"/>
      <c r="AD2002" s="338"/>
    </row>
    <row r="2003" spans="1:30">
      <c r="A2003" s="338"/>
      <c r="B2003" s="338"/>
      <c r="D2003" s="338"/>
      <c r="E2003" s="338"/>
      <c r="H2003" s="338"/>
      <c r="I2003" s="338"/>
      <c r="J2003" s="338"/>
      <c r="K2003" s="338"/>
      <c r="L2003" s="338"/>
      <c r="M2003" s="338"/>
      <c r="N2003" s="338"/>
      <c r="Q2003" s="338"/>
      <c r="R2003" s="338"/>
      <c r="S2003" s="338"/>
      <c r="T2003" s="338"/>
      <c r="U2003" s="338"/>
      <c r="X2003" s="338"/>
      <c r="Y2003" s="338"/>
      <c r="Z2003" s="338"/>
      <c r="AA2003" s="338"/>
      <c r="AB2003" s="338"/>
      <c r="AC2003" s="338"/>
      <c r="AD2003" s="338"/>
    </row>
    <row r="2004" spans="1:30">
      <c r="A2004" s="338"/>
      <c r="B2004" s="338"/>
      <c r="D2004" s="338"/>
      <c r="E2004" s="338"/>
      <c r="H2004" s="338"/>
      <c r="I2004" s="338"/>
      <c r="J2004" s="338"/>
      <c r="K2004" s="338"/>
      <c r="L2004" s="338"/>
      <c r="M2004" s="338"/>
      <c r="N2004" s="338"/>
      <c r="Q2004" s="338"/>
      <c r="R2004" s="338"/>
      <c r="S2004" s="338"/>
      <c r="T2004" s="338"/>
      <c r="U2004" s="338"/>
      <c r="X2004" s="338"/>
      <c r="Y2004" s="338"/>
      <c r="Z2004" s="338"/>
      <c r="AA2004" s="338"/>
      <c r="AB2004" s="338"/>
      <c r="AC2004" s="338"/>
      <c r="AD2004" s="338"/>
    </row>
    <row r="2005" spans="1:30">
      <c r="A2005" s="338"/>
      <c r="B2005" s="338"/>
      <c r="D2005" s="338"/>
      <c r="E2005" s="338"/>
      <c r="H2005" s="338"/>
      <c r="I2005" s="338"/>
      <c r="J2005" s="338"/>
      <c r="K2005" s="338"/>
      <c r="L2005" s="338"/>
      <c r="M2005" s="338"/>
      <c r="N2005" s="338"/>
      <c r="Q2005" s="338"/>
      <c r="R2005" s="338"/>
      <c r="S2005" s="338"/>
      <c r="T2005" s="338"/>
      <c r="U2005" s="338"/>
      <c r="X2005" s="338"/>
      <c r="Y2005" s="338"/>
      <c r="Z2005" s="338"/>
      <c r="AA2005" s="338"/>
      <c r="AB2005" s="338"/>
      <c r="AC2005" s="338"/>
      <c r="AD2005" s="338"/>
    </row>
    <row r="2006" spans="1:30">
      <c r="A2006" s="338"/>
      <c r="B2006" s="338"/>
      <c r="D2006" s="338"/>
      <c r="E2006" s="338"/>
      <c r="H2006" s="338"/>
      <c r="I2006" s="338"/>
      <c r="J2006" s="338"/>
      <c r="K2006" s="338"/>
      <c r="L2006" s="338"/>
      <c r="M2006" s="338"/>
      <c r="N2006" s="338"/>
      <c r="Q2006" s="338"/>
      <c r="R2006" s="338"/>
      <c r="S2006" s="338"/>
      <c r="T2006" s="338"/>
      <c r="U2006" s="338"/>
      <c r="X2006" s="338"/>
      <c r="Y2006" s="338"/>
      <c r="Z2006" s="338"/>
      <c r="AA2006" s="338"/>
      <c r="AB2006" s="338"/>
      <c r="AC2006" s="338"/>
      <c r="AD2006" s="338"/>
    </row>
    <row r="2007" spans="1:30">
      <c r="A2007" s="338"/>
      <c r="B2007" s="338"/>
      <c r="D2007" s="338"/>
      <c r="E2007" s="338"/>
      <c r="H2007" s="338"/>
      <c r="I2007" s="338"/>
      <c r="J2007" s="338"/>
      <c r="K2007" s="338"/>
      <c r="L2007" s="338"/>
      <c r="M2007" s="338"/>
      <c r="N2007" s="338"/>
      <c r="Q2007" s="338"/>
      <c r="R2007" s="338"/>
      <c r="S2007" s="338"/>
      <c r="T2007" s="338"/>
      <c r="U2007" s="338"/>
      <c r="X2007" s="338"/>
      <c r="Y2007" s="338"/>
      <c r="Z2007" s="338"/>
      <c r="AA2007" s="338"/>
      <c r="AB2007" s="338"/>
      <c r="AC2007" s="338"/>
      <c r="AD2007" s="338"/>
    </row>
    <row r="2008" spans="1:30">
      <c r="A2008" s="338"/>
      <c r="B2008" s="338"/>
      <c r="D2008" s="338"/>
      <c r="E2008" s="338"/>
      <c r="H2008" s="338"/>
      <c r="I2008" s="338"/>
      <c r="J2008" s="338"/>
      <c r="K2008" s="338"/>
      <c r="L2008" s="338"/>
      <c r="M2008" s="338"/>
      <c r="N2008" s="338"/>
      <c r="Q2008" s="338"/>
      <c r="R2008" s="338"/>
      <c r="S2008" s="338"/>
      <c r="T2008" s="338"/>
      <c r="U2008" s="338"/>
      <c r="X2008" s="338"/>
      <c r="Y2008" s="338"/>
      <c r="Z2008" s="338"/>
      <c r="AA2008" s="338"/>
      <c r="AB2008" s="338"/>
      <c r="AC2008" s="338"/>
      <c r="AD2008" s="338"/>
    </row>
    <row r="2009" spans="1:30">
      <c r="A2009" s="338"/>
      <c r="B2009" s="338"/>
      <c r="D2009" s="338"/>
      <c r="E2009" s="338"/>
      <c r="H2009" s="338"/>
      <c r="I2009" s="338"/>
      <c r="J2009" s="338"/>
      <c r="K2009" s="338"/>
      <c r="L2009" s="338"/>
      <c r="M2009" s="338"/>
      <c r="N2009" s="338"/>
      <c r="Q2009" s="338"/>
      <c r="R2009" s="338"/>
      <c r="S2009" s="338"/>
      <c r="T2009" s="338"/>
      <c r="U2009" s="338"/>
      <c r="X2009" s="338"/>
      <c r="Y2009" s="338"/>
      <c r="Z2009" s="338"/>
      <c r="AA2009" s="338"/>
      <c r="AB2009" s="338"/>
      <c r="AC2009" s="338"/>
      <c r="AD2009" s="338"/>
    </row>
    <row r="2010" spans="1:30">
      <c r="A2010" s="338"/>
      <c r="B2010" s="338"/>
      <c r="D2010" s="338"/>
      <c r="E2010" s="338"/>
      <c r="H2010" s="338"/>
      <c r="I2010" s="338"/>
      <c r="J2010" s="338"/>
      <c r="K2010" s="338"/>
      <c r="L2010" s="338"/>
      <c r="M2010" s="338"/>
      <c r="N2010" s="338"/>
      <c r="Q2010" s="338"/>
      <c r="R2010" s="338"/>
      <c r="S2010" s="338"/>
      <c r="T2010" s="338"/>
      <c r="U2010" s="338"/>
      <c r="X2010" s="338"/>
      <c r="Y2010" s="338"/>
      <c r="Z2010" s="338"/>
      <c r="AA2010" s="338"/>
      <c r="AB2010" s="338"/>
      <c r="AC2010" s="338"/>
      <c r="AD2010" s="338"/>
    </row>
    <row r="2011" spans="1:30">
      <c r="A2011" s="338"/>
      <c r="B2011" s="338"/>
      <c r="D2011" s="338"/>
      <c r="E2011" s="338"/>
      <c r="H2011" s="338"/>
      <c r="I2011" s="338"/>
      <c r="J2011" s="338"/>
      <c r="K2011" s="338"/>
      <c r="L2011" s="338"/>
      <c r="M2011" s="338"/>
      <c r="N2011" s="338"/>
      <c r="Q2011" s="338"/>
      <c r="R2011" s="338"/>
      <c r="S2011" s="338"/>
      <c r="T2011" s="338"/>
      <c r="U2011" s="338"/>
      <c r="X2011" s="338"/>
      <c r="Y2011" s="338"/>
      <c r="Z2011" s="338"/>
      <c r="AA2011" s="338"/>
      <c r="AB2011" s="338"/>
      <c r="AC2011" s="338"/>
      <c r="AD2011" s="338"/>
    </row>
    <row r="2012" spans="1:30">
      <c r="A2012" s="338"/>
      <c r="B2012" s="338"/>
      <c r="D2012" s="338"/>
      <c r="E2012" s="338"/>
      <c r="H2012" s="338"/>
      <c r="I2012" s="338"/>
      <c r="J2012" s="338"/>
      <c r="K2012" s="338"/>
      <c r="L2012" s="338"/>
      <c r="M2012" s="338"/>
      <c r="N2012" s="338"/>
      <c r="Q2012" s="338"/>
      <c r="R2012" s="338"/>
      <c r="S2012" s="338"/>
      <c r="T2012" s="338"/>
      <c r="U2012" s="338"/>
      <c r="X2012" s="338"/>
      <c r="Y2012" s="338"/>
      <c r="Z2012" s="338"/>
      <c r="AA2012" s="338"/>
      <c r="AB2012" s="338"/>
      <c r="AC2012" s="338"/>
      <c r="AD2012" s="338"/>
    </row>
    <row r="2013" spans="1:30">
      <c r="A2013" s="338"/>
      <c r="B2013" s="338"/>
      <c r="D2013" s="338"/>
      <c r="E2013" s="338"/>
      <c r="H2013" s="338"/>
      <c r="I2013" s="338"/>
      <c r="J2013" s="338"/>
      <c r="K2013" s="338"/>
      <c r="L2013" s="338"/>
      <c r="M2013" s="338"/>
      <c r="N2013" s="338"/>
      <c r="Q2013" s="338"/>
      <c r="R2013" s="338"/>
      <c r="S2013" s="338"/>
      <c r="T2013" s="338"/>
      <c r="U2013" s="338"/>
      <c r="X2013" s="338"/>
      <c r="Y2013" s="338"/>
      <c r="Z2013" s="338"/>
      <c r="AA2013" s="338"/>
      <c r="AB2013" s="338"/>
      <c r="AC2013" s="338"/>
      <c r="AD2013" s="338"/>
    </row>
    <row r="2014" spans="1:30">
      <c r="A2014" s="338"/>
      <c r="B2014" s="338"/>
      <c r="D2014" s="338"/>
      <c r="E2014" s="338"/>
      <c r="H2014" s="338"/>
      <c r="I2014" s="338"/>
      <c r="J2014" s="338"/>
      <c r="K2014" s="338"/>
      <c r="L2014" s="338"/>
      <c r="M2014" s="338"/>
      <c r="N2014" s="338"/>
      <c r="Q2014" s="338"/>
      <c r="R2014" s="338"/>
      <c r="S2014" s="338"/>
      <c r="T2014" s="338"/>
      <c r="U2014" s="338"/>
      <c r="X2014" s="338"/>
      <c r="Y2014" s="338"/>
      <c r="Z2014" s="338"/>
      <c r="AA2014" s="338"/>
      <c r="AB2014" s="338"/>
      <c r="AC2014" s="338"/>
      <c r="AD2014" s="338"/>
    </row>
    <row r="2015" spans="1:30">
      <c r="A2015" s="338"/>
      <c r="B2015" s="338"/>
      <c r="D2015" s="338"/>
      <c r="E2015" s="338"/>
      <c r="H2015" s="338"/>
      <c r="I2015" s="338"/>
      <c r="J2015" s="338"/>
      <c r="K2015" s="338"/>
      <c r="L2015" s="338"/>
      <c r="M2015" s="338"/>
      <c r="N2015" s="338"/>
      <c r="Q2015" s="338"/>
      <c r="R2015" s="338"/>
      <c r="S2015" s="338"/>
      <c r="T2015" s="338"/>
      <c r="U2015" s="338"/>
      <c r="X2015" s="338"/>
      <c r="Y2015" s="338"/>
      <c r="Z2015" s="338"/>
      <c r="AA2015" s="338"/>
      <c r="AB2015" s="338"/>
      <c r="AC2015" s="338"/>
      <c r="AD2015" s="338"/>
    </row>
    <row r="2016" spans="1:30">
      <c r="A2016" s="338"/>
      <c r="B2016" s="338"/>
      <c r="D2016" s="338"/>
      <c r="E2016" s="338"/>
      <c r="H2016" s="338"/>
      <c r="I2016" s="338"/>
      <c r="J2016" s="338"/>
      <c r="K2016" s="338"/>
      <c r="L2016" s="338"/>
      <c r="M2016" s="338"/>
      <c r="N2016" s="338"/>
      <c r="Q2016" s="338"/>
      <c r="R2016" s="338"/>
      <c r="S2016" s="338"/>
      <c r="T2016" s="338"/>
      <c r="U2016" s="338"/>
      <c r="X2016" s="338"/>
      <c r="Y2016" s="338"/>
      <c r="Z2016" s="338"/>
      <c r="AA2016" s="338"/>
      <c r="AB2016" s="338"/>
      <c r="AC2016" s="338"/>
      <c r="AD2016" s="338"/>
    </row>
    <row r="2017" spans="1:30">
      <c r="A2017" s="338"/>
      <c r="B2017" s="338"/>
      <c r="D2017" s="338"/>
      <c r="E2017" s="338"/>
      <c r="H2017" s="338"/>
      <c r="I2017" s="338"/>
      <c r="J2017" s="338"/>
      <c r="K2017" s="338"/>
      <c r="L2017" s="338"/>
      <c r="M2017" s="338"/>
      <c r="N2017" s="338"/>
      <c r="Q2017" s="338"/>
      <c r="R2017" s="338"/>
      <c r="S2017" s="338"/>
      <c r="T2017" s="338"/>
      <c r="U2017" s="338"/>
      <c r="X2017" s="338"/>
      <c r="Y2017" s="338"/>
      <c r="Z2017" s="338"/>
      <c r="AA2017" s="338"/>
      <c r="AB2017" s="338"/>
      <c r="AC2017" s="338"/>
      <c r="AD2017" s="338"/>
    </row>
    <row r="2018" spans="1:30">
      <c r="A2018" s="338"/>
      <c r="B2018" s="338"/>
      <c r="D2018" s="338"/>
      <c r="E2018" s="338"/>
      <c r="H2018" s="338"/>
      <c r="I2018" s="338"/>
      <c r="J2018" s="338"/>
      <c r="K2018" s="338"/>
      <c r="L2018" s="338"/>
      <c r="M2018" s="338"/>
      <c r="N2018" s="338"/>
      <c r="Q2018" s="338"/>
      <c r="R2018" s="338"/>
      <c r="S2018" s="338"/>
      <c r="T2018" s="338"/>
      <c r="U2018" s="338"/>
      <c r="X2018" s="338"/>
      <c r="Y2018" s="338"/>
      <c r="Z2018" s="338"/>
      <c r="AA2018" s="338"/>
      <c r="AB2018" s="338"/>
      <c r="AC2018" s="338"/>
      <c r="AD2018" s="338"/>
    </row>
    <row r="2019" spans="1:30">
      <c r="A2019" s="338"/>
      <c r="B2019" s="338"/>
      <c r="D2019" s="338"/>
      <c r="E2019" s="338"/>
      <c r="H2019" s="338"/>
      <c r="I2019" s="338"/>
      <c r="J2019" s="338"/>
      <c r="K2019" s="338"/>
      <c r="L2019" s="338"/>
      <c r="M2019" s="338"/>
      <c r="N2019" s="338"/>
      <c r="Q2019" s="338"/>
      <c r="R2019" s="338"/>
      <c r="S2019" s="338"/>
      <c r="T2019" s="338"/>
      <c r="U2019" s="338"/>
      <c r="X2019" s="338"/>
      <c r="Y2019" s="338"/>
      <c r="Z2019" s="338"/>
      <c r="AA2019" s="338"/>
      <c r="AB2019" s="338"/>
      <c r="AC2019" s="338"/>
      <c r="AD2019" s="338"/>
    </row>
    <row r="2020" spans="1:30">
      <c r="A2020" s="338"/>
      <c r="B2020" s="338"/>
      <c r="D2020" s="338"/>
      <c r="E2020" s="338"/>
      <c r="H2020" s="338"/>
      <c r="I2020" s="338"/>
      <c r="J2020" s="338"/>
      <c r="K2020" s="338"/>
      <c r="L2020" s="338"/>
      <c r="M2020" s="338"/>
      <c r="N2020" s="338"/>
      <c r="Q2020" s="338"/>
      <c r="R2020" s="338"/>
      <c r="S2020" s="338"/>
      <c r="T2020" s="338"/>
      <c r="U2020" s="338"/>
      <c r="X2020" s="338"/>
      <c r="Y2020" s="338"/>
      <c r="Z2020" s="338"/>
      <c r="AA2020" s="338"/>
      <c r="AB2020" s="338"/>
      <c r="AC2020" s="338"/>
      <c r="AD2020" s="338"/>
    </row>
    <row r="2021" spans="1:30">
      <c r="A2021" s="338"/>
      <c r="B2021" s="338"/>
      <c r="D2021" s="338"/>
      <c r="E2021" s="338"/>
      <c r="H2021" s="338"/>
      <c r="I2021" s="338"/>
      <c r="J2021" s="338"/>
      <c r="K2021" s="338"/>
      <c r="L2021" s="338"/>
      <c r="M2021" s="338"/>
      <c r="N2021" s="338"/>
      <c r="Q2021" s="338"/>
      <c r="R2021" s="338"/>
      <c r="S2021" s="338"/>
      <c r="T2021" s="338"/>
      <c r="U2021" s="338"/>
      <c r="X2021" s="338"/>
      <c r="Y2021" s="338"/>
      <c r="Z2021" s="338"/>
      <c r="AA2021" s="338"/>
      <c r="AB2021" s="338"/>
      <c r="AC2021" s="338"/>
      <c r="AD2021" s="338"/>
    </row>
    <row r="2022" spans="1:30">
      <c r="A2022" s="338"/>
      <c r="B2022" s="338"/>
      <c r="D2022" s="338"/>
      <c r="E2022" s="338"/>
      <c r="H2022" s="338"/>
      <c r="I2022" s="338"/>
      <c r="J2022" s="338"/>
      <c r="K2022" s="338"/>
      <c r="L2022" s="338"/>
      <c r="M2022" s="338"/>
      <c r="N2022" s="338"/>
      <c r="Q2022" s="338"/>
      <c r="R2022" s="338"/>
      <c r="S2022" s="338"/>
      <c r="T2022" s="338"/>
      <c r="U2022" s="338"/>
      <c r="X2022" s="338"/>
      <c r="Y2022" s="338"/>
      <c r="Z2022" s="338"/>
      <c r="AA2022" s="338"/>
      <c r="AB2022" s="338"/>
      <c r="AC2022" s="338"/>
      <c r="AD2022" s="338"/>
    </row>
    <row r="2023" spans="1:30">
      <c r="A2023" s="338"/>
      <c r="B2023" s="338"/>
      <c r="D2023" s="338"/>
      <c r="E2023" s="338"/>
      <c r="H2023" s="338"/>
      <c r="I2023" s="338"/>
      <c r="J2023" s="338"/>
      <c r="K2023" s="338"/>
      <c r="L2023" s="338"/>
      <c r="M2023" s="338"/>
      <c r="N2023" s="338"/>
      <c r="Q2023" s="338"/>
      <c r="R2023" s="338"/>
      <c r="S2023" s="338"/>
      <c r="T2023" s="338"/>
      <c r="U2023" s="338"/>
      <c r="X2023" s="338"/>
      <c r="Y2023" s="338"/>
      <c r="Z2023" s="338"/>
      <c r="AA2023" s="338"/>
      <c r="AB2023" s="338"/>
      <c r="AC2023" s="338"/>
      <c r="AD2023" s="338"/>
    </row>
    <row r="2024" spans="1:30">
      <c r="A2024" s="338"/>
      <c r="B2024" s="338"/>
      <c r="D2024" s="338"/>
      <c r="E2024" s="338"/>
      <c r="H2024" s="338"/>
      <c r="I2024" s="338"/>
      <c r="J2024" s="338"/>
      <c r="K2024" s="338"/>
      <c r="L2024" s="338"/>
      <c r="M2024" s="338"/>
      <c r="N2024" s="338"/>
      <c r="Q2024" s="338"/>
      <c r="R2024" s="338"/>
      <c r="S2024" s="338"/>
      <c r="T2024" s="338"/>
      <c r="U2024" s="338"/>
      <c r="X2024" s="338"/>
      <c r="Y2024" s="338"/>
      <c r="Z2024" s="338"/>
      <c r="AA2024" s="338"/>
      <c r="AB2024" s="338"/>
      <c r="AC2024" s="338"/>
      <c r="AD2024" s="338"/>
    </row>
    <row r="2025" spans="1:30">
      <c r="A2025" s="338"/>
      <c r="B2025" s="338"/>
      <c r="D2025" s="338"/>
      <c r="E2025" s="338"/>
      <c r="H2025" s="338"/>
      <c r="I2025" s="338"/>
      <c r="J2025" s="338"/>
      <c r="K2025" s="338"/>
      <c r="L2025" s="338"/>
      <c r="M2025" s="338"/>
      <c r="N2025" s="338"/>
      <c r="Q2025" s="338"/>
      <c r="R2025" s="338"/>
      <c r="S2025" s="338"/>
      <c r="T2025" s="338"/>
      <c r="U2025" s="338"/>
      <c r="X2025" s="338"/>
      <c r="Y2025" s="338"/>
      <c r="Z2025" s="338"/>
      <c r="AA2025" s="338"/>
      <c r="AB2025" s="338"/>
      <c r="AC2025" s="338"/>
      <c r="AD2025" s="338"/>
    </row>
    <row r="2026" spans="1:30">
      <c r="A2026" s="338"/>
      <c r="B2026" s="338"/>
      <c r="D2026" s="338"/>
      <c r="E2026" s="338"/>
      <c r="H2026" s="338"/>
      <c r="I2026" s="338"/>
      <c r="J2026" s="338"/>
      <c r="K2026" s="338"/>
      <c r="L2026" s="338"/>
      <c r="M2026" s="338"/>
      <c r="N2026" s="338"/>
      <c r="Q2026" s="338"/>
      <c r="R2026" s="338"/>
      <c r="S2026" s="338"/>
      <c r="T2026" s="338"/>
      <c r="U2026" s="338"/>
      <c r="X2026" s="338"/>
      <c r="Y2026" s="338"/>
      <c r="Z2026" s="338"/>
      <c r="AA2026" s="338"/>
      <c r="AB2026" s="338"/>
      <c r="AC2026" s="338"/>
      <c r="AD2026" s="338"/>
    </row>
    <row r="2027" spans="1:30">
      <c r="A2027" s="338"/>
      <c r="B2027" s="338"/>
      <c r="D2027" s="338"/>
      <c r="E2027" s="338"/>
      <c r="H2027" s="338"/>
      <c r="I2027" s="338"/>
      <c r="J2027" s="338"/>
      <c r="K2027" s="338"/>
      <c r="L2027" s="338"/>
      <c r="M2027" s="338"/>
      <c r="N2027" s="338"/>
      <c r="Q2027" s="338"/>
      <c r="R2027" s="338"/>
      <c r="S2027" s="338"/>
      <c r="T2027" s="338"/>
      <c r="U2027" s="338"/>
      <c r="X2027" s="338"/>
      <c r="Y2027" s="338"/>
      <c r="Z2027" s="338"/>
      <c r="AA2027" s="338"/>
      <c r="AB2027" s="338"/>
      <c r="AC2027" s="338"/>
      <c r="AD2027" s="338"/>
    </row>
    <row r="2028" spans="1:30">
      <c r="A2028" s="338"/>
      <c r="B2028" s="338"/>
      <c r="D2028" s="338"/>
      <c r="E2028" s="338"/>
      <c r="H2028" s="338"/>
      <c r="I2028" s="338"/>
      <c r="J2028" s="338"/>
      <c r="K2028" s="338"/>
      <c r="L2028" s="338"/>
      <c r="M2028" s="338"/>
      <c r="N2028" s="338"/>
      <c r="Q2028" s="338"/>
      <c r="R2028" s="338"/>
      <c r="S2028" s="338"/>
      <c r="T2028" s="338"/>
      <c r="U2028" s="338"/>
      <c r="X2028" s="338"/>
      <c r="Y2028" s="338"/>
      <c r="Z2028" s="338"/>
      <c r="AA2028" s="338"/>
      <c r="AB2028" s="338"/>
      <c r="AC2028" s="338"/>
      <c r="AD2028" s="338"/>
    </row>
    <row r="2029" spans="1:30">
      <c r="A2029" s="338"/>
      <c r="B2029" s="338"/>
      <c r="D2029" s="338"/>
      <c r="E2029" s="338"/>
      <c r="H2029" s="338"/>
      <c r="I2029" s="338"/>
      <c r="J2029" s="338"/>
      <c r="K2029" s="338"/>
      <c r="L2029" s="338"/>
      <c r="M2029" s="338"/>
      <c r="N2029" s="338"/>
      <c r="Q2029" s="338"/>
      <c r="R2029" s="338"/>
      <c r="S2029" s="338"/>
      <c r="T2029" s="338"/>
      <c r="U2029" s="338"/>
      <c r="X2029" s="338"/>
      <c r="Y2029" s="338"/>
      <c r="Z2029" s="338"/>
      <c r="AA2029" s="338"/>
      <c r="AB2029" s="338"/>
      <c r="AC2029" s="338"/>
      <c r="AD2029" s="338"/>
    </row>
    <row r="2030" spans="1:30">
      <c r="A2030" s="338"/>
      <c r="B2030" s="338"/>
      <c r="D2030" s="338"/>
      <c r="E2030" s="338"/>
      <c r="H2030" s="338"/>
      <c r="I2030" s="338"/>
      <c r="J2030" s="338"/>
      <c r="K2030" s="338"/>
      <c r="L2030" s="338"/>
      <c r="M2030" s="338"/>
      <c r="N2030" s="338"/>
      <c r="Q2030" s="338"/>
      <c r="R2030" s="338"/>
      <c r="S2030" s="338"/>
      <c r="T2030" s="338"/>
      <c r="U2030" s="338"/>
      <c r="X2030" s="338"/>
      <c r="Y2030" s="338"/>
      <c r="Z2030" s="338"/>
      <c r="AA2030" s="338"/>
      <c r="AB2030" s="338"/>
      <c r="AC2030" s="338"/>
      <c r="AD2030" s="338"/>
    </row>
    <row r="2031" spans="1:30">
      <c r="A2031" s="338"/>
      <c r="B2031" s="338"/>
      <c r="D2031" s="338"/>
      <c r="E2031" s="338"/>
      <c r="H2031" s="338"/>
      <c r="I2031" s="338"/>
      <c r="J2031" s="338"/>
      <c r="K2031" s="338"/>
      <c r="L2031" s="338"/>
      <c r="M2031" s="338"/>
      <c r="N2031" s="338"/>
      <c r="Q2031" s="338"/>
      <c r="R2031" s="338"/>
      <c r="S2031" s="338"/>
      <c r="T2031" s="338"/>
      <c r="U2031" s="338"/>
      <c r="X2031" s="338"/>
      <c r="Y2031" s="338"/>
      <c r="Z2031" s="338"/>
      <c r="AA2031" s="338"/>
      <c r="AB2031" s="338"/>
      <c r="AC2031" s="338"/>
      <c r="AD2031" s="338"/>
    </row>
    <row r="2032" spans="1:30">
      <c r="A2032" s="338"/>
      <c r="B2032" s="338"/>
      <c r="D2032" s="338"/>
      <c r="E2032" s="338"/>
      <c r="H2032" s="338"/>
      <c r="I2032" s="338"/>
      <c r="J2032" s="338"/>
      <c r="K2032" s="338"/>
      <c r="L2032" s="338"/>
      <c r="M2032" s="338"/>
      <c r="N2032" s="338"/>
      <c r="Q2032" s="338"/>
      <c r="R2032" s="338"/>
      <c r="S2032" s="338"/>
      <c r="T2032" s="338"/>
      <c r="U2032" s="338"/>
      <c r="X2032" s="338"/>
      <c r="Y2032" s="338"/>
      <c r="Z2032" s="338"/>
      <c r="AA2032" s="338"/>
      <c r="AB2032" s="338"/>
      <c r="AC2032" s="338"/>
      <c r="AD2032" s="338"/>
    </row>
    <row r="2033" spans="1:30">
      <c r="A2033" s="338"/>
      <c r="B2033" s="338"/>
      <c r="D2033" s="338"/>
      <c r="E2033" s="338"/>
      <c r="H2033" s="338"/>
      <c r="I2033" s="338"/>
      <c r="J2033" s="338"/>
      <c r="K2033" s="338"/>
      <c r="L2033" s="338"/>
      <c r="M2033" s="338"/>
      <c r="N2033" s="338"/>
      <c r="Q2033" s="338"/>
      <c r="R2033" s="338"/>
      <c r="S2033" s="338"/>
      <c r="T2033" s="338"/>
      <c r="U2033" s="338"/>
      <c r="X2033" s="338"/>
      <c r="Y2033" s="338"/>
      <c r="Z2033" s="338"/>
      <c r="AA2033" s="338"/>
      <c r="AB2033" s="338"/>
      <c r="AC2033" s="338"/>
      <c r="AD2033" s="338"/>
    </row>
    <row r="2034" spans="1:30">
      <c r="A2034" s="338"/>
      <c r="B2034" s="338"/>
      <c r="D2034" s="338"/>
      <c r="E2034" s="338"/>
      <c r="H2034" s="338"/>
      <c r="I2034" s="338"/>
      <c r="J2034" s="338"/>
      <c r="K2034" s="338"/>
      <c r="L2034" s="338"/>
      <c r="M2034" s="338"/>
      <c r="N2034" s="338"/>
      <c r="Q2034" s="338"/>
      <c r="R2034" s="338"/>
      <c r="S2034" s="338"/>
      <c r="T2034" s="338"/>
      <c r="U2034" s="338"/>
      <c r="X2034" s="338"/>
      <c r="Y2034" s="338"/>
      <c r="Z2034" s="338"/>
      <c r="AA2034" s="338"/>
      <c r="AB2034" s="338"/>
      <c r="AC2034" s="338"/>
      <c r="AD2034" s="338"/>
    </row>
    <row r="2035" spans="1:30">
      <c r="A2035" s="338"/>
      <c r="B2035" s="338"/>
      <c r="D2035" s="338"/>
      <c r="E2035" s="338"/>
      <c r="H2035" s="338"/>
      <c r="I2035" s="338"/>
      <c r="J2035" s="338"/>
      <c r="K2035" s="338"/>
      <c r="L2035" s="338"/>
      <c r="M2035" s="338"/>
      <c r="N2035" s="338"/>
      <c r="Q2035" s="338"/>
      <c r="R2035" s="338"/>
      <c r="S2035" s="338"/>
      <c r="T2035" s="338"/>
      <c r="U2035" s="338"/>
      <c r="X2035" s="338"/>
      <c r="Y2035" s="338"/>
      <c r="Z2035" s="338"/>
      <c r="AA2035" s="338"/>
      <c r="AB2035" s="338"/>
      <c r="AC2035" s="338"/>
      <c r="AD2035" s="338"/>
    </row>
    <row r="2036" spans="1:30">
      <c r="A2036" s="338"/>
      <c r="B2036" s="338"/>
      <c r="D2036" s="338"/>
      <c r="E2036" s="338"/>
      <c r="H2036" s="338"/>
      <c r="I2036" s="338"/>
      <c r="J2036" s="338"/>
      <c r="K2036" s="338"/>
      <c r="L2036" s="338"/>
      <c r="M2036" s="338"/>
      <c r="N2036" s="338"/>
      <c r="Q2036" s="338"/>
      <c r="R2036" s="338"/>
      <c r="S2036" s="338"/>
      <c r="T2036" s="338"/>
      <c r="U2036" s="338"/>
      <c r="X2036" s="338"/>
      <c r="Y2036" s="338"/>
      <c r="Z2036" s="338"/>
      <c r="AA2036" s="338"/>
      <c r="AB2036" s="338"/>
      <c r="AC2036" s="338"/>
      <c r="AD2036" s="338"/>
    </row>
    <row r="2037" spans="1:30">
      <c r="A2037" s="338"/>
      <c r="B2037" s="338"/>
      <c r="D2037" s="338"/>
      <c r="E2037" s="338"/>
      <c r="H2037" s="338"/>
      <c r="I2037" s="338"/>
      <c r="J2037" s="338"/>
      <c r="K2037" s="338"/>
      <c r="L2037" s="338"/>
      <c r="M2037" s="338"/>
      <c r="N2037" s="338"/>
      <c r="Q2037" s="338"/>
      <c r="R2037" s="338"/>
      <c r="S2037" s="338"/>
      <c r="T2037" s="338"/>
      <c r="U2037" s="338"/>
      <c r="X2037" s="338"/>
      <c r="Y2037" s="338"/>
      <c r="Z2037" s="338"/>
      <c r="AA2037" s="338"/>
      <c r="AB2037" s="338"/>
      <c r="AC2037" s="338"/>
      <c r="AD2037" s="338"/>
    </row>
    <row r="2038" spans="1:30">
      <c r="A2038" s="338"/>
      <c r="B2038" s="338"/>
      <c r="D2038" s="338"/>
      <c r="E2038" s="338"/>
      <c r="H2038" s="338"/>
      <c r="I2038" s="338"/>
      <c r="J2038" s="338"/>
      <c r="K2038" s="338"/>
      <c r="L2038" s="338"/>
      <c r="M2038" s="338"/>
      <c r="N2038" s="338"/>
      <c r="Q2038" s="338"/>
      <c r="R2038" s="338"/>
      <c r="S2038" s="338"/>
      <c r="T2038" s="338"/>
      <c r="U2038" s="338"/>
      <c r="X2038" s="338"/>
      <c r="Y2038" s="338"/>
      <c r="Z2038" s="338"/>
      <c r="AA2038" s="338"/>
      <c r="AB2038" s="338"/>
      <c r="AC2038" s="338"/>
      <c r="AD2038" s="338"/>
    </row>
    <row r="2039" spans="1:30">
      <c r="A2039" s="338"/>
      <c r="B2039" s="338"/>
      <c r="D2039" s="338"/>
      <c r="E2039" s="338"/>
      <c r="H2039" s="338"/>
      <c r="I2039" s="338"/>
      <c r="J2039" s="338"/>
      <c r="K2039" s="338"/>
      <c r="L2039" s="338"/>
      <c r="M2039" s="338"/>
      <c r="N2039" s="338"/>
      <c r="Q2039" s="338"/>
      <c r="R2039" s="338"/>
      <c r="S2039" s="338"/>
      <c r="T2039" s="338"/>
      <c r="U2039" s="338"/>
      <c r="X2039" s="338"/>
      <c r="Y2039" s="338"/>
      <c r="Z2039" s="338"/>
      <c r="AA2039" s="338"/>
      <c r="AB2039" s="338"/>
      <c r="AC2039" s="338"/>
      <c r="AD2039" s="338"/>
    </row>
    <row r="2040" spans="1:30">
      <c r="A2040" s="338"/>
      <c r="B2040" s="338"/>
      <c r="D2040" s="338"/>
      <c r="E2040" s="338"/>
      <c r="H2040" s="338"/>
      <c r="I2040" s="338"/>
      <c r="J2040" s="338"/>
      <c r="K2040" s="338"/>
      <c r="L2040" s="338"/>
      <c r="M2040" s="338"/>
      <c r="N2040" s="338"/>
      <c r="Q2040" s="338"/>
      <c r="R2040" s="338"/>
      <c r="S2040" s="338"/>
      <c r="T2040" s="338"/>
      <c r="U2040" s="338"/>
      <c r="X2040" s="338"/>
      <c r="Y2040" s="338"/>
      <c r="Z2040" s="338"/>
      <c r="AA2040" s="338"/>
      <c r="AB2040" s="338"/>
      <c r="AC2040" s="338"/>
      <c r="AD2040" s="338"/>
    </row>
    <row r="2041" spans="1:30">
      <c r="A2041" s="338"/>
      <c r="B2041" s="338"/>
      <c r="D2041" s="338"/>
      <c r="E2041" s="338"/>
      <c r="H2041" s="338"/>
      <c r="I2041" s="338"/>
      <c r="J2041" s="338"/>
      <c r="K2041" s="338"/>
      <c r="L2041" s="338"/>
      <c r="M2041" s="338"/>
      <c r="N2041" s="338"/>
      <c r="Q2041" s="338"/>
      <c r="R2041" s="338"/>
      <c r="S2041" s="338"/>
      <c r="T2041" s="338"/>
      <c r="U2041" s="338"/>
      <c r="X2041" s="338"/>
      <c r="Y2041" s="338"/>
      <c r="Z2041" s="338"/>
      <c r="AA2041" s="338"/>
      <c r="AB2041" s="338"/>
      <c r="AC2041" s="338"/>
      <c r="AD2041" s="338"/>
    </row>
    <row r="2042" spans="1:30">
      <c r="A2042" s="338"/>
      <c r="B2042" s="338"/>
      <c r="D2042" s="338"/>
      <c r="E2042" s="338"/>
      <c r="H2042" s="338"/>
      <c r="I2042" s="338"/>
      <c r="J2042" s="338"/>
      <c r="K2042" s="338"/>
      <c r="L2042" s="338"/>
      <c r="M2042" s="338"/>
      <c r="N2042" s="338"/>
      <c r="Q2042" s="338"/>
      <c r="R2042" s="338"/>
      <c r="S2042" s="338"/>
      <c r="T2042" s="338"/>
      <c r="U2042" s="338"/>
      <c r="X2042" s="338"/>
      <c r="Y2042" s="338"/>
      <c r="Z2042" s="338"/>
      <c r="AA2042" s="338"/>
      <c r="AB2042" s="338"/>
      <c r="AC2042" s="338"/>
      <c r="AD2042" s="338"/>
    </row>
    <row r="2043" spans="1:30">
      <c r="A2043" s="338"/>
      <c r="B2043" s="338"/>
      <c r="D2043" s="338"/>
      <c r="E2043" s="338"/>
      <c r="H2043" s="338"/>
      <c r="I2043" s="338"/>
      <c r="J2043" s="338"/>
      <c r="K2043" s="338"/>
      <c r="L2043" s="338"/>
      <c r="M2043" s="338"/>
      <c r="N2043" s="338"/>
      <c r="Q2043" s="338"/>
      <c r="R2043" s="338"/>
      <c r="S2043" s="338"/>
      <c r="T2043" s="338"/>
      <c r="U2043" s="338"/>
      <c r="X2043" s="338"/>
      <c r="Y2043" s="338"/>
      <c r="Z2043" s="338"/>
      <c r="AA2043" s="338"/>
      <c r="AB2043" s="338"/>
      <c r="AC2043" s="338"/>
      <c r="AD2043" s="338"/>
    </row>
    <row r="2044" spans="1:30">
      <c r="A2044" s="338"/>
      <c r="B2044" s="338"/>
      <c r="D2044" s="338"/>
      <c r="E2044" s="338"/>
      <c r="H2044" s="338"/>
      <c r="I2044" s="338"/>
      <c r="J2044" s="338"/>
      <c r="K2044" s="338"/>
      <c r="L2044" s="338"/>
      <c r="M2044" s="338"/>
      <c r="N2044" s="338"/>
      <c r="Q2044" s="338"/>
      <c r="R2044" s="338"/>
      <c r="S2044" s="338"/>
      <c r="T2044" s="338"/>
      <c r="U2044" s="338"/>
      <c r="X2044" s="338"/>
      <c r="Y2044" s="338"/>
      <c r="Z2044" s="338"/>
      <c r="AA2044" s="338"/>
      <c r="AB2044" s="338"/>
      <c r="AC2044" s="338"/>
      <c r="AD2044" s="338"/>
    </row>
    <row r="2045" spans="1:30">
      <c r="A2045" s="338"/>
      <c r="B2045" s="338"/>
      <c r="D2045" s="338"/>
      <c r="E2045" s="338"/>
      <c r="H2045" s="338"/>
      <c r="I2045" s="338"/>
      <c r="J2045" s="338"/>
      <c r="K2045" s="338"/>
      <c r="L2045" s="338"/>
      <c r="M2045" s="338"/>
      <c r="N2045" s="338"/>
      <c r="Q2045" s="338"/>
      <c r="R2045" s="338"/>
      <c r="S2045" s="338"/>
      <c r="T2045" s="338"/>
      <c r="U2045" s="338"/>
      <c r="X2045" s="338"/>
      <c r="Y2045" s="338"/>
      <c r="Z2045" s="338"/>
      <c r="AA2045" s="338"/>
      <c r="AB2045" s="338"/>
      <c r="AC2045" s="338"/>
      <c r="AD2045" s="338"/>
    </row>
    <row r="2046" spans="1:30">
      <c r="A2046" s="338"/>
      <c r="B2046" s="338"/>
      <c r="D2046" s="338"/>
      <c r="E2046" s="338"/>
      <c r="H2046" s="338"/>
      <c r="I2046" s="338"/>
      <c r="J2046" s="338"/>
      <c r="K2046" s="338"/>
      <c r="L2046" s="338"/>
      <c r="M2046" s="338"/>
      <c r="N2046" s="338"/>
      <c r="Q2046" s="338"/>
      <c r="R2046" s="338"/>
      <c r="S2046" s="338"/>
      <c r="T2046" s="338"/>
      <c r="U2046" s="338"/>
      <c r="X2046" s="338"/>
      <c r="Y2046" s="338"/>
      <c r="Z2046" s="338"/>
      <c r="AA2046" s="338"/>
      <c r="AB2046" s="338"/>
      <c r="AC2046" s="338"/>
      <c r="AD2046" s="338"/>
    </row>
    <row r="2047" spans="1:30">
      <c r="A2047" s="338"/>
      <c r="B2047" s="338"/>
      <c r="D2047" s="338"/>
      <c r="E2047" s="338"/>
      <c r="H2047" s="338"/>
      <c r="I2047" s="338"/>
      <c r="J2047" s="338"/>
      <c r="K2047" s="338"/>
      <c r="L2047" s="338"/>
      <c r="M2047" s="338"/>
      <c r="N2047" s="338"/>
      <c r="Q2047" s="338"/>
      <c r="R2047" s="338"/>
      <c r="S2047" s="338"/>
      <c r="T2047" s="338"/>
      <c r="U2047" s="338"/>
      <c r="X2047" s="338"/>
      <c r="Y2047" s="338"/>
      <c r="Z2047" s="338"/>
      <c r="AA2047" s="338"/>
      <c r="AB2047" s="338"/>
      <c r="AC2047" s="338"/>
      <c r="AD2047" s="338"/>
    </row>
    <row r="2048" spans="1:30">
      <c r="A2048" s="338"/>
      <c r="B2048" s="338"/>
      <c r="D2048" s="338"/>
      <c r="E2048" s="338"/>
      <c r="H2048" s="338"/>
      <c r="I2048" s="338"/>
      <c r="J2048" s="338"/>
      <c r="K2048" s="338"/>
      <c r="L2048" s="338"/>
      <c r="M2048" s="338"/>
      <c r="N2048" s="338"/>
      <c r="Q2048" s="338"/>
      <c r="R2048" s="338"/>
      <c r="S2048" s="338"/>
      <c r="T2048" s="338"/>
      <c r="U2048" s="338"/>
      <c r="X2048" s="338"/>
      <c r="Y2048" s="338"/>
      <c r="Z2048" s="338"/>
      <c r="AA2048" s="338"/>
      <c r="AB2048" s="338"/>
      <c r="AC2048" s="338"/>
      <c r="AD2048" s="338"/>
    </row>
    <row r="2049" spans="1:30">
      <c r="A2049" s="338"/>
      <c r="B2049" s="338"/>
      <c r="D2049" s="338"/>
      <c r="E2049" s="338"/>
      <c r="H2049" s="338"/>
      <c r="I2049" s="338"/>
      <c r="J2049" s="338"/>
      <c r="K2049" s="338"/>
      <c r="L2049" s="338"/>
      <c r="M2049" s="338"/>
      <c r="N2049" s="338"/>
      <c r="Q2049" s="338"/>
      <c r="R2049" s="338"/>
      <c r="S2049" s="338"/>
      <c r="T2049" s="338"/>
      <c r="U2049" s="338"/>
      <c r="X2049" s="338"/>
      <c r="Y2049" s="338"/>
      <c r="Z2049" s="338"/>
      <c r="AA2049" s="338"/>
      <c r="AB2049" s="338"/>
      <c r="AC2049" s="338"/>
      <c r="AD2049" s="338"/>
    </row>
    <row r="2050" spans="1:30">
      <c r="A2050" s="338"/>
      <c r="B2050" s="338"/>
      <c r="D2050" s="338"/>
      <c r="E2050" s="338"/>
      <c r="H2050" s="338"/>
      <c r="I2050" s="338"/>
      <c r="J2050" s="338"/>
      <c r="K2050" s="338"/>
      <c r="L2050" s="338"/>
      <c r="M2050" s="338"/>
      <c r="N2050" s="338"/>
      <c r="Q2050" s="338"/>
      <c r="R2050" s="338"/>
      <c r="S2050" s="338"/>
      <c r="T2050" s="338"/>
      <c r="U2050" s="338"/>
      <c r="X2050" s="338"/>
      <c r="Y2050" s="338"/>
      <c r="Z2050" s="338"/>
      <c r="AA2050" s="338"/>
      <c r="AB2050" s="338"/>
      <c r="AC2050" s="338"/>
      <c r="AD2050" s="338"/>
    </row>
    <row r="2051" spans="1:30">
      <c r="A2051" s="338"/>
      <c r="B2051" s="338"/>
      <c r="D2051" s="338"/>
      <c r="E2051" s="338"/>
      <c r="H2051" s="338"/>
      <c r="I2051" s="338"/>
      <c r="J2051" s="338"/>
      <c r="K2051" s="338"/>
      <c r="L2051" s="338"/>
      <c r="M2051" s="338"/>
      <c r="N2051" s="338"/>
      <c r="Q2051" s="338"/>
      <c r="R2051" s="338"/>
      <c r="S2051" s="338"/>
      <c r="T2051" s="338"/>
      <c r="U2051" s="338"/>
      <c r="X2051" s="338"/>
      <c r="Y2051" s="338"/>
      <c r="Z2051" s="338"/>
      <c r="AA2051" s="338"/>
      <c r="AB2051" s="338"/>
      <c r="AC2051" s="338"/>
      <c r="AD2051" s="338"/>
    </row>
    <row r="2052" spans="1:30">
      <c r="A2052" s="338"/>
      <c r="B2052" s="338"/>
      <c r="D2052" s="338"/>
      <c r="E2052" s="338"/>
      <c r="H2052" s="338"/>
      <c r="I2052" s="338"/>
      <c r="J2052" s="338"/>
      <c r="K2052" s="338"/>
      <c r="L2052" s="338"/>
      <c r="M2052" s="338"/>
      <c r="N2052" s="338"/>
      <c r="Q2052" s="338"/>
      <c r="R2052" s="338"/>
      <c r="S2052" s="338"/>
      <c r="T2052" s="338"/>
      <c r="U2052" s="338"/>
      <c r="X2052" s="338"/>
      <c r="Y2052" s="338"/>
      <c r="Z2052" s="338"/>
      <c r="AA2052" s="338"/>
      <c r="AB2052" s="338"/>
      <c r="AC2052" s="338"/>
      <c r="AD2052" s="338"/>
    </row>
    <row r="2053" spans="1:30">
      <c r="A2053" s="338"/>
      <c r="B2053" s="338"/>
      <c r="D2053" s="338"/>
      <c r="E2053" s="338"/>
      <c r="H2053" s="338"/>
      <c r="I2053" s="338"/>
      <c r="J2053" s="338"/>
      <c r="K2053" s="338"/>
      <c r="L2053" s="338"/>
      <c r="M2053" s="338"/>
      <c r="N2053" s="338"/>
      <c r="Q2053" s="338"/>
      <c r="R2053" s="338"/>
      <c r="S2053" s="338"/>
      <c r="T2053" s="338"/>
      <c r="U2053" s="338"/>
      <c r="X2053" s="338"/>
      <c r="Y2053" s="338"/>
      <c r="Z2053" s="338"/>
      <c r="AA2053" s="338"/>
      <c r="AB2053" s="338"/>
      <c r="AC2053" s="338"/>
      <c r="AD2053" s="338"/>
    </row>
    <row r="2054" spans="1:30">
      <c r="A2054" s="338"/>
      <c r="B2054" s="338"/>
      <c r="D2054" s="338"/>
      <c r="E2054" s="338"/>
      <c r="H2054" s="338"/>
      <c r="I2054" s="338"/>
      <c r="J2054" s="338"/>
      <c r="K2054" s="338"/>
      <c r="L2054" s="338"/>
      <c r="M2054" s="338"/>
      <c r="N2054" s="338"/>
      <c r="Q2054" s="338"/>
      <c r="R2054" s="338"/>
      <c r="S2054" s="338"/>
      <c r="T2054" s="338"/>
      <c r="U2054" s="338"/>
      <c r="X2054" s="338"/>
      <c r="Y2054" s="338"/>
      <c r="Z2054" s="338"/>
      <c r="AA2054" s="338"/>
      <c r="AB2054" s="338"/>
      <c r="AC2054" s="338"/>
      <c r="AD2054" s="338"/>
    </row>
    <row r="2055" spans="1:30">
      <c r="A2055" s="338"/>
      <c r="B2055" s="338"/>
      <c r="D2055" s="338"/>
      <c r="E2055" s="338"/>
      <c r="H2055" s="338"/>
      <c r="I2055" s="338"/>
      <c r="J2055" s="338"/>
      <c r="K2055" s="338"/>
      <c r="L2055" s="338"/>
      <c r="M2055" s="338"/>
      <c r="N2055" s="338"/>
      <c r="Q2055" s="338"/>
      <c r="R2055" s="338"/>
      <c r="S2055" s="338"/>
      <c r="T2055" s="338"/>
      <c r="U2055" s="338"/>
      <c r="X2055" s="338"/>
      <c r="Y2055" s="338"/>
      <c r="Z2055" s="338"/>
      <c r="AA2055" s="338"/>
      <c r="AB2055" s="338"/>
      <c r="AC2055" s="338"/>
      <c r="AD2055" s="338"/>
    </row>
    <row r="2056" spans="1:30">
      <c r="A2056" s="338"/>
      <c r="B2056" s="338"/>
      <c r="D2056" s="338"/>
      <c r="E2056" s="338"/>
      <c r="H2056" s="338"/>
      <c r="I2056" s="338"/>
      <c r="J2056" s="338"/>
      <c r="K2056" s="338"/>
      <c r="L2056" s="338"/>
      <c r="M2056" s="338"/>
      <c r="N2056" s="338"/>
      <c r="Q2056" s="338"/>
      <c r="R2056" s="338"/>
      <c r="S2056" s="338"/>
      <c r="T2056" s="338"/>
      <c r="U2056" s="338"/>
      <c r="X2056" s="338"/>
      <c r="Y2056" s="338"/>
      <c r="Z2056" s="338"/>
      <c r="AA2056" s="338"/>
      <c r="AB2056" s="338"/>
      <c r="AC2056" s="338"/>
      <c r="AD2056" s="338"/>
    </row>
    <row r="2057" spans="1:30">
      <c r="A2057" s="338"/>
      <c r="B2057" s="338"/>
      <c r="D2057" s="338"/>
      <c r="E2057" s="338"/>
      <c r="H2057" s="338"/>
      <c r="I2057" s="338"/>
      <c r="J2057" s="338"/>
      <c r="K2057" s="338"/>
      <c r="L2057" s="338"/>
      <c r="M2057" s="338"/>
      <c r="N2057" s="338"/>
      <c r="Q2057" s="338"/>
      <c r="R2057" s="338"/>
      <c r="S2057" s="338"/>
      <c r="T2057" s="338"/>
      <c r="U2057" s="338"/>
      <c r="X2057" s="338"/>
      <c r="Y2057" s="338"/>
      <c r="Z2057" s="338"/>
      <c r="AA2057" s="338"/>
      <c r="AB2057" s="338"/>
      <c r="AC2057" s="338"/>
      <c r="AD2057" s="338"/>
    </row>
    <row r="2058" spans="1:30">
      <c r="A2058" s="338"/>
      <c r="B2058" s="338"/>
      <c r="D2058" s="338"/>
      <c r="E2058" s="338"/>
      <c r="H2058" s="338"/>
      <c r="I2058" s="338"/>
      <c r="J2058" s="338"/>
      <c r="K2058" s="338"/>
      <c r="L2058" s="338"/>
      <c r="M2058" s="338"/>
      <c r="N2058" s="338"/>
      <c r="Q2058" s="338"/>
      <c r="R2058" s="338"/>
      <c r="S2058" s="338"/>
      <c r="T2058" s="338"/>
      <c r="U2058" s="338"/>
      <c r="X2058" s="338"/>
      <c r="Y2058" s="338"/>
      <c r="Z2058" s="338"/>
      <c r="AA2058" s="338"/>
      <c r="AB2058" s="338"/>
      <c r="AC2058" s="338"/>
      <c r="AD2058" s="338"/>
    </row>
    <row r="2059" spans="1:30">
      <c r="A2059" s="338"/>
      <c r="B2059" s="338"/>
      <c r="D2059" s="338"/>
      <c r="E2059" s="338"/>
      <c r="H2059" s="338"/>
      <c r="I2059" s="338"/>
      <c r="J2059" s="338"/>
      <c r="K2059" s="338"/>
      <c r="L2059" s="338"/>
      <c r="M2059" s="338"/>
      <c r="N2059" s="338"/>
      <c r="Q2059" s="338"/>
      <c r="R2059" s="338"/>
      <c r="S2059" s="338"/>
      <c r="T2059" s="338"/>
      <c r="U2059" s="338"/>
      <c r="X2059" s="338"/>
      <c r="Y2059" s="338"/>
      <c r="Z2059" s="338"/>
      <c r="AA2059" s="338"/>
      <c r="AB2059" s="338"/>
      <c r="AC2059" s="338"/>
      <c r="AD2059" s="338"/>
    </row>
    <row r="2060" spans="1:30">
      <c r="A2060" s="338"/>
      <c r="B2060" s="338"/>
      <c r="D2060" s="338"/>
      <c r="E2060" s="338"/>
      <c r="H2060" s="338"/>
      <c r="I2060" s="338"/>
      <c r="J2060" s="338"/>
      <c r="K2060" s="338"/>
      <c r="L2060" s="338"/>
      <c r="M2060" s="338"/>
      <c r="N2060" s="338"/>
      <c r="Q2060" s="338"/>
      <c r="R2060" s="338"/>
      <c r="S2060" s="338"/>
      <c r="T2060" s="338"/>
      <c r="U2060" s="338"/>
      <c r="X2060" s="338"/>
      <c r="Y2060" s="338"/>
      <c r="Z2060" s="338"/>
      <c r="AA2060" s="338"/>
      <c r="AB2060" s="338"/>
      <c r="AC2060" s="338"/>
      <c r="AD2060" s="338"/>
    </row>
    <row r="2061" spans="1:30">
      <c r="A2061" s="338"/>
      <c r="B2061" s="338"/>
      <c r="D2061" s="338"/>
      <c r="E2061" s="338"/>
      <c r="H2061" s="338"/>
      <c r="I2061" s="338"/>
      <c r="J2061" s="338"/>
      <c r="K2061" s="338"/>
      <c r="L2061" s="338"/>
      <c r="M2061" s="338"/>
      <c r="N2061" s="338"/>
      <c r="Q2061" s="338"/>
      <c r="R2061" s="338"/>
      <c r="S2061" s="338"/>
      <c r="T2061" s="338"/>
      <c r="U2061" s="338"/>
      <c r="X2061" s="338"/>
      <c r="Y2061" s="338"/>
      <c r="Z2061" s="338"/>
      <c r="AA2061" s="338"/>
      <c r="AB2061" s="338"/>
      <c r="AC2061" s="338"/>
      <c r="AD2061" s="338"/>
    </row>
    <row r="2062" spans="1:30">
      <c r="A2062" s="338"/>
      <c r="B2062" s="338"/>
      <c r="D2062" s="338"/>
      <c r="E2062" s="338"/>
      <c r="H2062" s="338"/>
      <c r="I2062" s="338"/>
      <c r="J2062" s="338"/>
      <c r="K2062" s="338"/>
      <c r="L2062" s="338"/>
      <c r="M2062" s="338"/>
      <c r="N2062" s="338"/>
      <c r="Q2062" s="338"/>
      <c r="R2062" s="338"/>
      <c r="S2062" s="338"/>
      <c r="T2062" s="338"/>
      <c r="U2062" s="338"/>
      <c r="X2062" s="338"/>
      <c r="Y2062" s="338"/>
      <c r="Z2062" s="338"/>
      <c r="AA2062" s="338"/>
      <c r="AB2062" s="338"/>
      <c r="AC2062" s="338"/>
      <c r="AD2062" s="338"/>
    </row>
    <row r="2063" spans="1:30">
      <c r="A2063" s="338"/>
      <c r="B2063" s="338"/>
      <c r="D2063" s="338"/>
      <c r="E2063" s="338"/>
      <c r="H2063" s="338"/>
      <c r="I2063" s="338"/>
      <c r="J2063" s="338"/>
      <c r="K2063" s="338"/>
      <c r="L2063" s="338"/>
      <c r="M2063" s="338"/>
      <c r="N2063" s="338"/>
      <c r="Q2063" s="338"/>
      <c r="R2063" s="338"/>
      <c r="S2063" s="338"/>
      <c r="T2063" s="338"/>
      <c r="U2063" s="338"/>
      <c r="X2063" s="338"/>
      <c r="Y2063" s="338"/>
      <c r="Z2063" s="338"/>
      <c r="AA2063" s="338"/>
      <c r="AB2063" s="338"/>
      <c r="AC2063" s="338"/>
      <c r="AD2063" s="338"/>
    </row>
    <row r="2064" spans="1:30">
      <c r="A2064" s="338"/>
      <c r="B2064" s="338"/>
      <c r="D2064" s="338"/>
      <c r="E2064" s="338"/>
      <c r="H2064" s="338"/>
      <c r="I2064" s="338"/>
      <c r="J2064" s="338"/>
      <c r="K2064" s="338"/>
      <c r="L2064" s="338"/>
      <c r="M2064" s="338"/>
      <c r="N2064" s="338"/>
      <c r="Q2064" s="338"/>
      <c r="R2064" s="338"/>
      <c r="S2064" s="338"/>
      <c r="T2064" s="338"/>
      <c r="U2064" s="338"/>
      <c r="X2064" s="338"/>
      <c r="Y2064" s="338"/>
      <c r="Z2064" s="338"/>
      <c r="AA2064" s="338"/>
      <c r="AB2064" s="338"/>
      <c r="AC2064" s="338"/>
      <c r="AD2064" s="338"/>
    </row>
    <row r="2065" spans="1:30">
      <c r="A2065" s="338"/>
      <c r="B2065" s="338"/>
      <c r="D2065" s="338"/>
      <c r="E2065" s="338"/>
      <c r="H2065" s="338"/>
      <c r="I2065" s="338"/>
      <c r="J2065" s="338"/>
      <c r="K2065" s="338"/>
      <c r="L2065" s="338"/>
      <c r="M2065" s="338"/>
      <c r="N2065" s="338"/>
      <c r="Q2065" s="338"/>
      <c r="R2065" s="338"/>
      <c r="S2065" s="338"/>
      <c r="T2065" s="338"/>
      <c r="U2065" s="338"/>
      <c r="X2065" s="338"/>
      <c r="Y2065" s="338"/>
      <c r="Z2065" s="338"/>
      <c r="AA2065" s="338"/>
      <c r="AB2065" s="338"/>
      <c r="AC2065" s="338"/>
      <c r="AD2065" s="338"/>
    </row>
    <row r="2066" spans="1:30">
      <c r="A2066" s="338"/>
      <c r="B2066" s="338"/>
      <c r="D2066" s="338"/>
      <c r="E2066" s="338"/>
      <c r="H2066" s="338"/>
      <c r="I2066" s="338"/>
      <c r="J2066" s="338"/>
      <c r="K2066" s="338"/>
      <c r="L2066" s="338"/>
      <c r="M2066" s="338"/>
      <c r="N2066" s="338"/>
      <c r="Q2066" s="338"/>
      <c r="R2066" s="338"/>
      <c r="S2066" s="338"/>
      <c r="T2066" s="338"/>
      <c r="U2066" s="338"/>
      <c r="X2066" s="338"/>
      <c r="Y2066" s="338"/>
      <c r="Z2066" s="338"/>
      <c r="AA2066" s="338"/>
      <c r="AB2066" s="338"/>
      <c r="AC2066" s="338"/>
      <c r="AD2066" s="338"/>
    </row>
    <row r="2067" spans="1:30">
      <c r="A2067" s="338"/>
      <c r="B2067" s="338"/>
      <c r="D2067" s="338"/>
      <c r="E2067" s="338"/>
      <c r="H2067" s="338"/>
      <c r="I2067" s="338"/>
      <c r="J2067" s="338"/>
      <c r="K2067" s="338"/>
      <c r="L2067" s="338"/>
      <c r="M2067" s="338"/>
      <c r="N2067" s="338"/>
      <c r="Q2067" s="338"/>
      <c r="R2067" s="338"/>
      <c r="S2067" s="338"/>
      <c r="T2067" s="338"/>
      <c r="U2067" s="338"/>
      <c r="X2067" s="338"/>
      <c r="Y2067" s="338"/>
      <c r="Z2067" s="338"/>
      <c r="AA2067" s="338"/>
      <c r="AB2067" s="338"/>
      <c r="AC2067" s="338"/>
      <c r="AD2067" s="338"/>
    </row>
    <row r="2068" spans="1:30">
      <c r="A2068" s="338"/>
      <c r="B2068" s="338"/>
      <c r="D2068" s="338"/>
      <c r="E2068" s="338"/>
      <c r="H2068" s="338"/>
      <c r="I2068" s="338"/>
      <c r="J2068" s="338"/>
      <c r="K2068" s="338"/>
      <c r="L2068" s="338"/>
      <c r="M2068" s="338"/>
      <c r="N2068" s="338"/>
      <c r="Q2068" s="338"/>
      <c r="R2068" s="338"/>
      <c r="S2068" s="338"/>
      <c r="T2068" s="338"/>
      <c r="U2068" s="338"/>
      <c r="X2068" s="338"/>
      <c r="Y2068" s="338"/>
      <c r="Z2068" s="338"/>
      <c r="AA2068" s="338"/>
      <c r="AB2068" s="338"/>
      <c r="AC2068" s="338"/>
      <c r="AD2068" s="338"/>
    </row>
    <row r="2069" spans="1:30">
      <c r="A2069" s="338"/>
      <c r="B2069" s="338"/>
      <c r="D2069" s="338"/>
      <c r="E2069" s="338"/>
      <c r="H2069" s="338"/>
      <c r="I2069" s="338"/>
      <c r="J2069" s="338"/>
      <c r="K2069" s="338"/>
      <c r="L2069" s="338"/>
      <c r="M2069" s="338"/>
      <c r="N2069" s="338"/>
      <c r="Q2069" s="338"/>
      <c r="R2069" s="338"/>
      <c r="S2069" s="338"/>
      <c r="T2069" s="338"/>
      <c r="U2069" s="338"/>
      <c r="X2069" s="338"/>
      <c r="Y2069" s="338"/>
      <c r="Z2069" s="338"/>
      <c r="AA2069" s="338"/>
      <c r="AB2069" s="338"/>
      <c r="AC2069" s="338"/>
      <c r="AD2069" s="338"/>
    </row>
    <row r="2070" spans="1:30">
      <c r="A2070" s="338"/>
      <c r="B2070" s="338"/>
      <c r="D2070" s="338"/>
      <c r="E2070" s="338"/>
      <c r="H2070" s="338"/>
      <c r="I2070" s="338"/>
      <c r="J2070" s="338"/>
      <c r="K2070" s="338"/>
      <c r="L2070" s="338"/>
      <c r="M2070" s="338"/>
      <c r="N2070" s="338"/>
      <c r="Q2070" s="338"/>
      <c r="R2070" s="338"/>
      <c r="S2070" s="338"/>
      <c r="T2070" s="338"/>
      <c r="U2070" s="338"/>
      <c r="X2070" s="338"/>
      <c r="Y2070" s="338"/>
      <c r="Z2070" s="338"/>
      <c r="AA2070" s="338"/>
      <c r="AB2070" s="338"/>
      <c r="AC2070" s="338"/>
      <c r="AD2070" s="338"/>
    </row>
    <row r="2071" spans="1:30">
      <c r="A2071" s="338"/>
      <c r="B2071" s="338"/>
      <c r="D2071" s="338"/>
      <c r="E2071" s="338"/>
      <c r="H2071" s="338"/>
      <c r="I2071" s="338"/>
      <c r="J2071" s="338"/>
      <c r="K2071" s="338"/>
      <c r="L2071" s="338"/>
      <c r="M2071" s="338"/>
      <c r="N2071" s="338"/>
      <c r="Q2071" s="338"/>
      <c r="R2071" s="338"/>
      <c r="S2071" s="338"/>
      <c r="T2071" s="338"/>
      <c r="U2071" s="338"/>
      <c r="X2071" s="338"/>
      <c r="Y2071" s="338"/>
      <c r="Z2071" s="338"/>
      <c r="AA2071" s="338"/>
      <c r="AB2071" s="338"/>
      <c r="AC2071" s="338"/>
      <c r="AD2071" s="338"/>
    </row>
    <row r="2072" spans="1:30">
      <c r="A2072" s="338"/>
      <c r="B2072" s="338"/>
      <c r="D2072" s="338"/>
      <c r="E2072" s="338"/>
      <c r="H2072" s="338"/>
      <c r="I2072" s="338"/>
      <c r="J2072" s="338"/>
      <c r="K2072" s="338"/>
      <c r="L2072" s="338"/>
      <c r="M2072" s="338"/>
      <c r="N2072" s="338"/>
      <c r="Q2072" s="338"/>
      <c r="R2072" s="338"/>
      <c r="S2072" s="338"/>
      <c r="T2072" s="338"/>
      <c r="U2072" s="338"/>
      <c r="X2072" s="338"/>
      <c r="Y2072" s="338"/>
      <c r="Z2072" s="338"/>
      <c r="AA2072" s="338"/>
      <c r="AB2072" s="338"/>
      <c r="AC2072" s="338"/>
      <c r="AD2072" s="338"/>
    </row>
    <row r="2073" spans="1:30">
      <c r="A2073" s="338"/>
      <c r="B2073" s="338"/>
      <c r="D2073" s="338"/>
      <c r="E2073" s="338"/>
      <c r="H2073" s="338"/>
      <c r="I2073" s="338"/>
      <c r="J2073" s="338"/>
      <c r="K2073" s="338"/>
      <c r="L2073" s="338"/>
      <c r="M2073" s="338"/>
      <c r="N2073" s="338"/>
      <c r="Q2073" s="338"/>
      <c r="R2073" s="338"/>
      <c r="S2073" s="338"/>
      <c r="T2073" s="338"/>
      <c r="U2073" s="338"/>
      <c r="X2073" s="338"/>
      <c r="Y2073" s="338"/>
      <c r="Z2073" s="338"/>
      <c r="AA2073" s="338"/>
      <c r="AB2073" s="338"/>
      <c r="AC2073" s="338"/>
      <c r="AD2073" s="338"/>
    </row>
    <row r="2074" spans="1:30">
      <c r="A2074" s="338"/>
      <c r="B2074" s="338"/>
      <c r="D2074" s="338"/>
      <c r="E2074" s="338"/>
      <c r="H2074" s="338"/>
      <c r="I2074" s="338"/>
      <c r="J2074" s="338"/>
      <c r="K2074" s="338"/>
      <c r="L2074" s="338"/>
      <c r="M2074" s="338"/>
      <c r="N2074" s="338"/>
      <c r="Q2074" s="338"/>
      <c r="R2074" s="338"/>
      <c r="S2074" s="338"/>
      <c r="T2074" s="338"/>
      <c r="U2074" s="338"/>
      <c r="X2074" s="338"/>
      <c r="Y2074" s="338"/>
      <c r="Z2074" s="338"/>
      <c r="AA2074" s="338"/>
      <c r="AB2074" s="338"/>
      <c r="AC2074" s="338"/>
      <c r="AD2074" s="338"/>
    </row>
    <row r="2075" spans="1:30">
      <c r="A2075" s="338"/>
      <c r="B2075" s="338"/>
      <c r="D2075" s="338"/>
      <c r="E2075" s="338"/>
      <c r="H2075" s="338"/>
      <c r="I2075" s="338"/>
      <c r="J2075" s="338"/>
      <c r="K2075" s="338"/>
      <c r="L2075" s="338"/>
      <c r="M2075" s="338"/>
      <c r="N2075" s="338"/>
      <c r="Q2075" s="338"/>
      <c r="R2075" s="338"/>
      <c r="S2075" s="338"/>
      <c r="T2075" s="338"/>
      <c r="U2075" s="338"/>
      <c r="X2075" s="338"/>
      <c r="Y2075" s="338"/>
      <c r="Z2075" s="338"/>
      <c r="AA2075" s="338"/>
      <c r="AB2075" s="338"/>
      <c r="AC2075" s="338"/>
      <c r="AD2075" s="338"/>
    </row>
    <row r="2076" spans="1:30">
      <c r="A2076" s="338"/>
      <c r="B2076" s="338"/>
      <c r="D2076" s="338"/>
      <c r="E2076" s="338"/>
      <c r="H2076" s="338"/>
      <c r="I2076" s="338"/>
      <c r="J2076" s="338"/>
      <c r="K2076" s="338"/>
      <c r="L2076" s="338"/>
      <c r="M2076" s="338"/>
      <c r="N2076" s="338"/>
      <c r="Q2076" s="338"/>
      <c r="R2076" s="338"/>
      <c r="S2076" s="338"/>
      <c r="T2076" s="338"/>
      <c r="U2076" s="338"/>
      <c r="X2076" s="338"/>
      <c r="Y2076" s="338"/>
      <c r="Z2076" s="338"/>
      <c r="AA2076" s="338"/>
      <c r="AB2076" s="338"/>
      <c r="AC2076" s="338"/>
      <c r="AD2076" s="338"/>
    </row>
    <row r="2077" spans="1:30">
      <c r="A2077" s="338"/>
      <c r="B2077" s="338"/>
      <c r="D2077" s="338"/>
      <c r="E2077" s="338"/>
      <c r="H2077" s="338"/>
      <c r="I2077" s="338"/>
      <c r="J2077" s="338"/>
      <c r="K2077" s="338"/>
      <c r="L2077" s="338"/>
      <c r="M2077" s="338"/>
      <c r="N2077" s="338"/>
      <c r="Q2077" s="338"/>
      <c r="R2077" s="338"/>
      <c r="S2077" s="338"/>
      <c r="T2077" s="338"/>
      <c r="U2077" s="338"/>
      <c r="X2077" s="338"/>
      <c r="Y2077" s="338"/>
      <c r="Z2077" s="338"/>
      <c r="AA2077" s="338"/>
      <c r="AB2077" s="338"/>
      <c r="AC2077" s="338"/>
      <c r="AD2077" s="338"/>
    </row>
    <row r="2078" spans="1:30">
      <c r="A2078" s="338"/>
      <c r="B2078" s="338"/>
      <c r="D2078" s="338"/>
      <c r="E2078" s="338"/>
      <c r="H2078" s="338"/>
      <c r="I2078" s="338"/>
      <c r="J2078" s="338"/>
      <c r="K2078" s="338"/>
      <c r="L2078" s="338"/>
      <c r="M2078" s="338"/>
      <c r="N2078" s="338"/>
      <c r="Q2078" s="338"/>
      <c r="R2078" s="338"/>
      <c r="S2078" s="338"/>
      <c r="T2078" s="338"/>
      <c r="U2078" s="338"/>
      <c r="X2078" s="338"/>
      <c r="Y2078" s="338"/>
      <c r="Z2078" s="338"/>
      <c r="AA2078" s="338"/>
      <c r="AB2078" s="338"/>
      <c r="AC2078" s="338"/>
      <c r="AD2078" s="338"/>
    </row>
    <row r="2079" spans="1:30">
      <c r="A2079" s="338"/>
      <c r="B2079" s="338"/>
      <c r="D2079" s="338"/>
      <c r="E2079" s="338"/>
      <c r="H2079" s="338"/>
      <c r="I2079" s="338"/>
      <c r="J2079" s="338"/>
      <c r="K2079" s="338"/>
      <c r="L2079" s="338"/>
      <c r="M2079" s="338"/>
      <c r="N2079" s="338"/>
      <c r="Q2079" s="338"/>
      <c r="R2079" s="338"/>
      <c r="S2079" s="338"/>
      <c r="T2079" s="338"/>
      <c r="U2079" s="338"/>
      <c r="X2079" s="338"/>
      <c r="Y2079" s="338"/>
      <c r="Z2079" s="338"/>
      <c r="AA2079" s="338"/>
      <c r="AB2079" s="338"/>
      <c r="AC2079" s="338"/>
      <c r="AD2079" s="338"/>
    </row>
    <row r="2080" spans="1:30">
      <c r="A2080" s="338"/>
      <c r="B2080" s="338"/>
      <c r="D2080" s="338"/>
      <c r="E2080" s="338"/>
      <c r="H2080" s="338"/>
      <c r="I2080" s="338"/>
      <c r="J2080" s="338"/>
      <c r="K2080" s="338"/>
      <c r="L2080" s="338"/>
      <c r="M2080" s="338"/>
      <c r="N2080" s="338"/>
      <c r="Q2080" s="338"/>
      <c r="R2080" s="338"/>
      <c r="S2080" s="338"/>
      <c r="T2080" s="338"/>
      <c r="U2080" s="338"/>
      <c r="X2080" s="338"/>
      <c r="Y2080" s="338"/>
      <c r="Z2080" s="338"/>
      <c r="AA2080" s="338"/>
      <c r="AB2080" s="338"/>
      <c r="AC2080" s="338"/>
      <c r="AD2080" s="338"/>
    </row>
    <row r="2081" spans="1:30">
      <c r="A2081" s="338"/>
      <c r="B2081" s="338"/>
      <c r="D2081" s="338"/>
      <c r="E2081" s="338"/>
      <c r="H2081" s="338"/>
      <c r="I2081" s="338"/>
      <c r="J2081" s="338"/>
      <c r="K2081" s="338"/>
      <c r="L2081" s="338"/>
      <c r="M2081" s="338"/>
      <c r="N2081" s="338"/>
      <c r="Q2081" s="338"/>
      <c r="R2081" s="338"/>
      <c r="S2081" s="338"/>
      <c r="T2081" s="338"/>
      <c r="U2081" s="338"/>
      <c r="X2081" s="338"/>
      <c r="Y2081" s="338"/>
      <c r="Z2081" s="338"/>
      <c r="AA2081" s="338"/>
      <c r="AB2081" s="338"/>
      <c r="AC2081" s="338"/>
      <c r="AD2081" s="338"/>
    </row>
    <row r="2082" spans="1:30">
      <c r="A2082" s="338"/>
      <c r="B2082" s="338"/>
      <c r="D2082" s="338"/>
      <c r="E2082" s="338"/>
      <c r="H2082" s="338"/>
      <c r="I2082" s="338"/>
      <c r="J2082" s="338"/>
      <c r="K2082" s="338"/>
      <c r="L2082" s="338"/>
      <c r="M2082" s="338"/>
      <c r="N2082" s="338"/>
      <c r="Q2082" s="338"/>
      <c r="R2082" s="338"/>
      <c r="S2082" s="338"/>
      <c r="T2082" s="338"/>
      <c r="U2082" s="338"/>
      <c r="X2082" s="338"/>
      <c r="Y2082" s="338"/>
      <c r="Z2082" s="338"/>
      <c r="AA2082" s="338"/>
      <c r="AB2082" s="338"/>
      <c r="AC2082" s="338"/>
      <c r="AD2082" s="338"/>
    </row>
    <row r="2083" spans="1:30">
      <c r="A2083" s="338"/>
      <c r="B2083" s="338"/>
      <c r="D2083" s="338"/>
      <c r="E2083" s="338"/>
      <c r="H2083" s="338"/>
      <c r="I2083" s="338"/>
      <c r="J2083" s="338"/>
      <c r="K2083" s="338"/>
      <c r="L2083" s="338"/>
      <c r="M2083" s="338"/>
      <c r="N2083" s="338"/>
      <c r="Q2083" s="338"/>
      <c r="R2083" s="338"/>
      <c r="S2083" s="338"/>
      <c r="T2083" s="338"/>
      <c r="U2083" s="338"/>
      <c r="X2083" s="338"/>
      <c r="Y2083" s="338"/>
      <c r="Z2083" s="338"/>
      <c r="AA2083" s="338"/>
      <c r="AB2083" s="338"/>
      <c r="AC2083" s="338"/>
      <c r="AD2083" s="338"/>
    </row>
    <row r="2084" spans="1:30">
      <c r="A2084" s="338"/>
      <c r="B2084" s="338"/>
      <c r="D2084" s="338"/>
      <c r="E2084" s="338"/>
      <c r="H2084" s="338"/>
      <c r="I2084" s="338"/>
      <c r="J2084" s="338"/>
      <c r="K2084" s="338"/>
      <c r="L2084" s="338"/>
      <c r="M2084" s="338"/>
      <c r="N2084" s="338"/>
      <c r="Q2084" s="338"/>
      <c r="R2084" s="338"/>
      <c r="S2084" s="338"/>
      <c r="T2084" s="338"/>
      <c r="U2084" s="338"/>
      <c r="X2084" s="338"/>
      <c r="Y2084" s="338"/>
      <c r="Z2084" s="338"/>
      <c r="AA2084" s="338"/>
      <c r="AB2084" s="338"/>
      <c r="AC2084" s="338"/>
      <c r="AD2084" s="338"/>
    </row>
    <row r="2085" spans="1:30">
      <c r="A2085" s="338"/>
      <c r="B2085" s="338"/>
      <c r="D2085" s="338"/>
      <c r="E2085" s="338"/>
      <c r="H2085" s="338"/>
      <c r="I2085" s="338"/>
      <c r="J2085" s="338"/>
      <c r="K2085" s="338"/>
      <c r="L2085" s="338"/>
      <c r="M2085" s="338"/>
      <c r="N2085" s="338"/>
      <c r="Q2085" s="338"/>
      <c r="R2085" s="338"/>
      <c r="S2085" s="338"/>
      <c r="T2085" s="338"/>
      <c r="U2085" s="338"/>
      <c r="X2085" s="338"/>
      <c r="Y2085" s="338"/>
      <c r="Z2085" s="338"/>
      <c r="AA2085" s="338"/>
      <c r="AB2085" s="338"/>
      <c r="AC2085" s="338"/>
      <c r="AD2085" s="338"/>
    </row>
    <row r="2086" spans="1:30">
      <c r="A2086" s="338"/>
      <c r="B2086" s="338"/>
      <c r="D2086" s="338"/>
      <c r="E2086" s="338"/>
      <c r="H2086" s="338"/>
      <c r="I2086" s="338"/>
      <c r="J2086" s="338"/>
      <c r="K2086" s="338"/>
      <c r="L2086" s="338"/>
      <c r="M2086" s="338"/>
      <c r="N2086" s="338"/>
      <c r="Q2086" s="338"/>
      <c r="R2086" s="338"/>
      <c r="S2086" s="338"/>
      <c r="T2086" s="338"/>
      <c r="U2086" s="338"/>
      <c r="X2086" s="338"/>
      <c r="Y2086" s="338"/>
      <c r="Z2086" s="338"/>
      <c r="AA2086" s="338"/>
      <c r="AB2086" s="338"/>
      <c r="AC2086" s="338"/>
      <c r="AD2086" s="338"/>
    </row>
    <row r="2087" spans="1:30">
      <c r="A2087" s="338"/>
      <c r="B2087" s="338"/>
      <c r="D2087" s="338"/>
      <c r="E2087" s="338"/>
      <c r="H2087" s="338"/>
      <c r="I2087" s="338"/>
      <c r="J2087" s="338"/>
      <c r="K2087" s="338"/>
      <c r="L2087" s="338"/>
      <c r="M2087" s="338"/>
      <c r="N2087" s="338"/>
      <c r="Q2087" s="338"/>
      <c r="R2087" s="338"/>
      <c r="S2087" s="338"/>
      <c r="T2087" s="338"/>
      <c r="U2087" s="338"/>
      <c r="X2087" s="338"/>
      <c r="Y2087" s="338"/>
      <c r="Z2087" s="338"/>
      <c r="AA2087" s="338"/>
      <c r="AB2087" s="338"/>
      <c r="AC2087" s="338"/>
      <c r="AD2087" s="338"/>
    </row>
    <row r="2088" spans="1:30">
      <c r="A2088" s="338"/>
      <c r="B2088" s="338"/>
      <c r="D2088" s="338"/>
      <c r="E2088" s="338"/>
      <c r="H2088" s="338"/>
      <c r="I2088" s="338"/>
      <c r="J2088" s="338"/>
      <c r="K2088" s="338"/>
      <c r="L2088" s="338"/>
      <c r="M2088" s="338"/>
      <c r="N2088" s="338"/>
      <c r="Q2088" s="338"/>
      <c r="R2088" s="338"/>
      <c r="S2088" s="338"/>
      <c r="T2088" s="338"/>
      <c r="U2088" s="338"/>
      <c r="X2088" s="338"/>
      <c r="Y2088" s="338"/>
      <c r="Z2088" s="338"/>
      <c r="AA2088" s="338"/>
      <c r="AB2088" s="338"/>
      <c r="AC2088" s="338"/>
      <c r="AD2088" s="338"/>
    </row>
    <row r="2089" spans="1:30">
      <c r="A2089" s="338"/>
      <c r="B2089" s="338"/>
      <c r="D2089" s="338"/>
      <c r="E2089" s="338"/>
      <c r="H2089" s="338"/>
      <c r="I2089" s="338"/>
      <c r="J2089" s="338"/>
      <c r="K2089" s="338"/>
      <c r="L2089" s="338"/>
      <c r="M2089" s="338"/>
      <c r="N2089" s="338"/>
      <c r="Q2089" s="338"/>
      <c r="R2089" s="338"/>
      <c r="S2089" s="338"/>
      <c r="T2089" s="338"/>
      <c r="U2089" s="338"/>
      <c r="X2089" s="338"/>
      <c r="Y2089" s="338"/>
      <c r="Z2089" s="338"/>
      <c r="AA2089" s="338"/>
      <c r="AB2089" s="338"/>
      <c r="AC2089" s="338"/>
      <c r="AD2089" s="338"/>
    </row>
    <row r="2090" spans="1:30">
      <c r="A2090" s="338"/>
      <c r="B2090" s="338"/>
      <c r="D2090" s="338"/>
      <c r="E2090" s="338"/>
      <c r="H2090" s="338"/>
      <c r="I2090" s="338"/>
      <c r="J2090" s="338"/>
      <c r="K2090" s="338"/>
      <c r="L2090" s="338"/>
      <c r="M2090" s="338"/>
      <c r="N2090" s="338"/>
      <c r="Q2090" s="338"/>
      <c r="R2090" s="338"/>
      <c r="S2090" s="338"/>
      <c r="T2090" s="338"/>
      <c r="U2090" s="338"/>
      <c r="X2090" s="338"/>
      <c r="Y2090" s="338"/>
      <c r="Z2090" s="338"/>
      <c r="AA2090" s="338"/>
      <c r="AB2090" s="338"/>
      <c r="AC2090" s="338"/>
      <c r="AD2090" s="338"/>
    </row>
    <row r="2091" spans="1:30">
      <c r="A2091" s="338"/>
      <c r="B2091" s="338"/>
      <c r="D2091" s="338"/>
      <c r="E2091" s="338"/>
      <c r="H2091" s="338"/>
      <c r="I2091" s="338"/>
      <c r="J2091" s="338"/>
      <c r="K2091" s="338"/>
      <c r="L2091" s="338"/>
      <c r="M2091" s="338"/>
      <c r="N2091" s="338"/>
      <c r="Q2091" s="338"/>
      <c r="R2091" s="338"/>
      <c r="S2091" s="338"/>
      <c r="T2091" s="338"/>
      <c r="U2091" s="338"/>
      <c r="X2091" s="338"/>
      <c r="Y2091" s="338"/>
      <c r="Z2091" s="338"/>
      <c r="AA2091" s="338"/>
      <c r="AB2091" s="338"/>
      <c r="AC2091" s="338"/>
      <c r="AD2091" s="338"/>
    </row>
    <row r="2092" spans="1:30">
      <c r="A2092" s="338"/>
      <c r="B2092" s="338"/>
      <c r="D2092" s="338"/>
      <c r="E2092" s="338"/>
      <c r="H2092" s="338"/>
      <c r="I2092" s="338"/>
      <c r="J2092" s="338"/>
      <c r="K2092" s="338"/>
      <c r="L2092" s="338"/>
      <c r="M2092" s="338"/>
      <c r="N2092" s="338"/>
      <c r="Q2092" s="338"/>
      <c r="R2092" s="338"/>
      <c r="S2092" s="338"/>
      <c r="T2092" s="338"/>
      <c r="U2092" s="338"/>
      <c r="X2092" s="338"/>
      <c r="Y2092" s="338"/>
      <c r="Z2092" s="338"/>
      <c r="AA2092" s="338"/>
      <c r="AB2092" s="338"/>
      <c r="AC2092" s="338"/>
      <c r="AD2092" s="338"/>
    </row>
    <row r="2093" spans="1:30">
      <c r="A2093" s="338"/>
      <c r="B2093" s="338"/>
      <c r="D2093" s="338"/>
      <c r="E2093" s="338"/>
      <c r="H2093" s="338"/>
      <c r="I2093" s="338"/>
      <c r="J2093" s="338"/>
      <c r="K2093" s="338"/>
      <c r="L2093" s="338"/>
      <c r="M2093" s="338"/>
      <c r="N2093" s="338"/>
      <c r="Q2093" s="338"/>
      <c r="R2093" s="338"/>
      <c r="S2093" s="338"/>
      <c r="T2093" s="338"/>
      <c r="U2093" s="338"/>
      <c r="X2093" s="338"/>
      <c r="Y2093" s="338"/>
      <c r="Z2093" s="338"/>
      <c r="AA2093" s="338"/>
      <c r="AB2093" s="338"/>
      <c r="AC2093" s="338"/>
      <c r="AD2093" s="338"/>
    </row>
    <row r="2094" spans="1:30">
      <c r="A2094" s="338"/>
      <c r="B2094" s="338"/>
      <c r="D2094" s="338"/>
      <c r="E2094" s="338"/>
      <c r="H2094" s="338"/>
      <c r="I2094" s="338"/>
      <c r="J2094" s="338"/>
      <c r="K2094" s="338"/>
      <c r="L2094" s="338"/>
      <c r="M2094" s="338"/>
      <c r="N2094" s="338"/>
      <c r="Q2094" s="338"/>
      <c r="R2094" s="338"/>
      <c r="S2094" s="338"/>
      <c r="T2094" s="338"/>
      <c r="U2094" s="338"/>
      <c r="X2094" s="338"/>
      <c r="Y2094" s="338"/>
      <c r="Z2094" s="338"/>
      <c r="AA2094" s="338"/>
      <c r="AB2094" s="338"/>
      <c r="AC2094" s="338"/>
      <c r="AD2094" s="338"/>
    </row>
    <row r="2095" spans="1:30">
      <c r="A2095" s="338"/>
      <c r="B2095" s="338"/>
      <c r="D2095" s="338"/>
      <c r="E2095" s="338"/>
      <c r="H2095" s="338"/>
      <c r="I2095" s="338"/>
      <c r="J2095" s="338"/>
      <c r="K2095" s="338"/>
      <c r="L2095" s="338"/>
      <c r="M2095" s="338"/>
      <c r="N2095" s="338"/>
      <c r="Q2095" s="338"/>
      <c r="R2095" s="338"/>
      <c r="S2095" s="338"/>
      <c r="T2095" s="338"/>
      <c r="U2095" s="338"/>
      <c r="X2095" s="338"/>
      <c r="Y2095" s="338"/>
      <c r="Z2095" s="338"/>
      <c r="AA2095" s="338"/>
      <c r="AB2095" s="338"/>
      <c r="AC2095" s="338"/>
      <c r="AD2095" s="338"/>
    </row>
    <row r="2096" spans="1:30">
      <c r="A2096" s="338"/>
      <c r="B2096" s="338"/>
      <c r="D2096" s="338"/>
      <c r="E2096" s="338"/>
      <c r="H2096" s="338"/>
      <c r="I2096" s="338"/>
      <c r="J2096" s="338"/>
      <c r="K2096" s="338"/>
      <c r="L2096" s="338"/>
      <c r="M2096" s="338"/>
      <c r="N2096" s="338"/>
      <c r="Q2096" s="338"/>
      <c r="R2096" s="338"/>
      <c r="S2096" s="338"/>
      <c r="T2096" s="338"/>
      <c r="U2096" s="338"/>
      <c r="X2096" s="338"/>
      <c r="Y2096" s="338"/>
      <c r="Z2096" s="338"/>
      <c r="AA2096" s="338"/>
      <c r="AB2096" s="338"/>
      <c r="AC2096" s="338"/>
      <c r="AD2096" s="338"/>
    </row>
    <row r="2097" spans="1:30">
      <c r="A2097" s="338"/>
      <c r="B2097" s="338"/>
      <c r="D2097" s="338"/>
      <c r="E2097" s="338"/>
      <c r="H2097" s="338"/>
      <c r="I2097" s="338"/>
      <c r="J2097" s="338"/>
      <c r="K2097" s="338"/>
      <c r="L2097" s="338"/>
      <c r="M2097" s="338"/>
      <c r="N2097" s="338"/>
      <c r="Q2097" s="338"/>
      <c r="R2097" s="338"/>
      <c r="S2097" s="338"/>
      <c r="T2097" s="338"/>
      <c r="U2097" s="338"/>
      <c r="X2097" s="338"/>
      <c r="Y2097" s="338"/>
      <c r="Z2097" s="338"/>
      <c r="AA2097" s="338"/>
      <c r="AB2097" s="338"/>
      <c r="AC2097" s="338"/>
      <c r="AD2097" s="338"/>
    </row>
    <row r="2098" spans="1:30">
      <c r="A2098" s="338"/>
      <c r="B2098" s="338"/>
      <c r="D2098" s="338"/>
      <c r="E2098" s="338"/>
      <c r="H2098" s="338"/>
      <c r="I2098" s="338"/>
      <c r="J2098" s="338"/>
      <c r="K2098" s="338"/>
      <c r="L2098" s="338"/>
      <c r="M2098" s="338"/>
      <c r="N2098" s="338"/>
      <c r="Q2098" s="338"/>
      <c r="R2098" s="338"/>
      <c r="S2098" s="338"/>
      <c r="T2098" s="338"/>
      <c r="U2098" s="338"/>
      <c r="X2098" s="338"/>
      <c r="Y2098" s="338"/>
      <c r="Z2098" s="338"/>
      <c r="AA2098" s="338"/>
      <c r="AB2098" s="338"/>
      <c r="AC2098" s="338"/>
      <c r="AD2098" s="338"/>
    </row>
    <row r="2099" spans="1:30">
      <c r="A2099" s="338"/>
      <c r="B2099" s="338"/>
      <c r="D2099" s="338"/>
      <c r="E2099" s="338"/>
      <c r="H2099" s="338"/>
      <c r="I2099" s="338"/>
      <c r="J2099" s="338"/>
      <c r="K2099" s="338"/>
      <c r="L2099" s="338"/>
      <c r="M2099" s="338"/>
      <c r="N2099" s="338"/>
      <c r="Q2099" s="338"/>
      <c r="R2099" s="338"/>
      <c r="S2099" s="338"/>
      <c r="T2099" s="338"/>
      <c r="U2099" s="338"/>
      <c r="X2099" s="338"/>
      <c r="Y2099" s="338"/>
      <c r="Z2099" s="338"/>
      <c r="AA2099" s="338"/>
      <c r="AB2099" s="338"/>
      <c r="AC2099" s="338"/>
      <c r="AD2099" s="338"/>
    </row>
    <row r="2100" spans="1:30">
      <c r="A2100" s="338"/>
      <c r="B2100" s="338"/>
      <c r="D2100" s="338"/>
      <c r="E2100" s="338"/>
      <c r="H2100" s="338"/>
      <c r="I2100" s="338"/>
      <c r="J2100" s="338"/>
      <c r="K2100" s="338"/>
      <c r="L2100" s="338"/>
      <c r="M2100" s="338"/>
      <c r="N2100" s="338"/>
      <c r="Q2100" s="338"/>
      <c r="R2100" s="338"/>
      <c r="S2100" s="338"/>
      <c r="T2100" s="338"/>
      <c r="U2100" s="338"/>
      <c r="X2100" s="338"/>
      <c r="Y2100" s="338"/>
      <c r="Z2100" s="338"/>
      <c r="AA2100" s="338"/>
      <c r="AB2100" s="338"/>
      <c r="AC2100" s="338"/>
      <c r="AD2100" s="338"/>
    </row>
    <row r="2101" spans="1:30">
      <c r="A2101" s="338"/>
      <c r="B2101" s="338"/>
      <c r="D2101" s="338"/>
      <c r="E2101" s="338"/>
      <c r="H2101" s="338"/>
      <c r="I2101" s="338"/>
      <c r="J2101" s="338"/>
      <c r="K2101" s="338"/>
      <c r="L2101" s="338"/>
      <c r="M2101" s="338"/>
      <c r="N2101" s="338"/>
      <c r="Q2101" s="338"/>
      <c r="R2101" s="338"/>
      <c r="S2101" s="338"/>
      <c r="T2101" s="338"/>
      <c r="U2101" s="338"/>
      <c r="X2101" s="338"/>
      <c r="Y2101" s="338"/>
      <c r="Z2101" s="338"/>
      <c r="AA2101" s="338"/>
      <c r="AB2101" s="338"/>
      <c r="AC2101" s="338"/>
      <c r="AD2101" s="338"/>
    </row>
    <row r="2102" spans="1:30">
      <c r="A2102" s="338"/>
      <c r="B2102" s="338"/>
      <c r="D2102" s="338"/>
      <c r="E2102" s="338"/>
      <c r="H2102" s="338"/>
      <c r="I2102" s="338"/>
      <c r="J2102" s="338"/>
      <c r="K2102" s="338"/>
      <c r="L2102" s="338"/>
      <c r="M2102" s="338"/>
      <c r="N2102" s="338"/>
      <c r="Q2102" s="338"/>
      <c r="R2102" s="338"/>
      <c r="S2102" s="338"/>
      <c r="T2102" s="338"/>
      <c r="U2102" s="338"/>
      <c r="X2102" s="338"/>
      <c r="Y2102" s="338"/>
      <c r="Z2102" s="338"/>
      <c r="AA2102" s="338"/>
      <c r="AB2102" s="338"/>
      <c r="AC2102" s="338"/>
      <c r="AD2102" s="338"/>
    </row>
    <row r="2103" spans="1:30">
      <c r="A2103" s="338"/>
      <c r="B2103" s="338"/>
      <c r="D2103" s="338"/>
      <c r="E2103" s="338"/>
      <c r="H2103" s="338"/>
      <c r="I2103" s="338"/>
      <c r="J2103" s="338"/>
      <c r="K2103" s="338"/>
      <c r="L2103" s="338"/>
      <c r="M2103" s="338"/>
      <c r="N2103" s="338"/>
      <c r="Q2103" s="338"/>
      <c r="R2103" s="338"/>
      <c r="S2103" s="338"/>
      <c r="T2103" s="338"/>
      <c r="U2103" s="338"/>
      <c r="X2103" s="338"/>
      <c r="Y2103" s="338"/>
      <c r="Z2103" s="338"/>
      <c r="AA2103" s="338"/>
      <c r="AB2103" s="338"/>
      <c r="AC2103" s="338"/>
      <c r="AD2103" s="338"/>
    </row>
    <row r="2104" spans="1:30">
      <c r="A2104" s="338"/>
      <c r="B2104" s="338"/>
      <c r="D2104" s="338"/>
      <c r="E2104" s="338"/>
      <c r="H2104" s="338"/>
      <c r="I2104" s="338"/>
      <c r="J2104" s="338"/>
      <c r="K2104" s="338"/>
      <c r="L2104" s="338"/>
      <c r="M2104" s="338"/>
      <c r="N2104" s="338"/>
      <c r="Q2104" s="338"/>
      <c r="R2104" s="338"/>
      <c r="S2104" s="338"/>
      <c r="T2104" s="338"/>
      <c r="U2104" s="338"/>
      <c r="X2104" s="338"/>
      <c r="Y2104" s="338"/>
      <c r="Z2104" s="338"/>
      <c r="AA2104" s="338"/>
      <c r="AB2104" s="338"/>
      <c r="AC2104" s="338"/>
      <c r="AD2104" s="338"/>
    </row>
    <row r="2105" spans="1:30">
      <c r="A2105" s="338"/>
      <c r="B2105" s="338"/>
      <c r="D2105" s="338"/>
      <c r="E2105" s="338"/>
      <c r="H2105" s="338"/>
      <c r="I2105" s="338"/>
      <c r="J2105" s="338"/>
      <c r="K2105" s="338"/>
      <c r="L2105" s="338"/>
      <c r="M2105" s="338"/>
      <c r="N2105" s="338"/>
      <c r="Q2105" s="338"/>
      <c r="R2105" s="338"/>
      <c r="S2105" s="338"/>
      <c r="T2105" s="338"/>
      <c r="U2105" s="338"/>
      <c r="X2105" s="338"/>
      <c r="Y2105" s="338"/>
      <c r="Z2105" s="338"/>
      <c r="AA2105" s="338"/>
      <c r="AB2105" s="338"/>
      <c r="AC2105" s="338"/>
      <c r="AD2105" s="338"/>
    </row>
    <row r="2106" spans="1:30">
      <c r="A2106" s="338"/>
      <c r="B2106" s="338"/>
      <c r="D2106" s="338"/>
      <c r="E2106" s="338"/>
      <c r="H2106" s="338"/>
      <c r="I2106" s="338"/>
      <c r="J2106" s="338"/>
      <c r="K2106" s="338"/>
      <c r="L2106" s="338"/>
      <c r="M2106" s="338"/>
      <c r="N2106" s="338"/>
      <c r="Q2106" s="338"/>
      <c r="R2106" s="338"/>
      <c r="S2106" s="338"/>
      <c r="T2106" s="338"/>
      <c r="U2106" s="338"/>
      <c r="X2106" s="338"/>
      <c r="Y2106" s="338"/>
      <c r="Z2106" s="338"/>
      <c r="AA2106" s="338"/>
      <c r="AB2106" s="338"/>
      <c r="AC2106" s="338"/>
      <c r="AD2106" s="338"/>
    </row>
    <row r="2107" spans="1:30">
      <c r="A2107" s="338"/>
      <c r="B2107" s="338"/>
      <c r="D2107" s="338"/>
      <c r="E2107" s="338"/>
      <c r="H2107" s="338"/>
      <c r="I2107" s="338"/>
      <c r="J2107" s="338"/>
      <c r="K2107" s="338"/>
      <c r="L2107" s="338"/>
      <c r="M2107" s="338"/>
      <c r="N2107" s="338"/>
      <c r="Q2107" s="338"/>
      <c r="R2107" s="338"/>
      <c r="S2107" s="338"/>
      <c r="T2107" s="338"/>
      <c r="U2107" s="338"/>
      <c r="X2107" s="338"/>
      <c r="Y2107" s="338"/>
      <c r="Z2107" s="338"/>
      <c r="AA2107" s="338"/>
      <c r="AB2107" s="338"/>
      <c r="AC2107" s="338"/>
      <c r="AD2107" s="338"/>
    </row>
    <row r="2108" spans="1:30">
      <c r="A2108" s="338"/>
      <c r="B2108" s="338"/>
      <c r="D2108" s="338"/>
      <c r="E2108" s="338"/>
      <c r="H2108" s="338"/>
      <c r="I2108" s="338"/>
      <c r="J2108" s="338"/>
      <c r="K2108" s="338"/>
      <c r="L2108" s="338"/>
      <c r="M2108" s="338"/>
      <c r="N2108" s="338"/>
      <c r="Q2108" s="338"/>
      <c r="R2108" s="338"/>
      <c r="S2108" s="338"/>
      <c r="T2108" s="338"/>
      <c r="U2108" s="338"/>
      <c r="X2108" s="338"/>
      <c r="Y2108" s="338"/>
      <c r="Z2108" s="338"/>
      <c r="AA2108" s="338"/>
      <c r="AB2108" s="338"/>
      <c r="AC2108" s="338"/>
      <c r="AD2108" s="338"/>
    </row>
    <row r="2109" spans="1:30">
      <c r="A2109" s="338"/>
      <c r="B2109" s="338"/>
      <c r="D2109" s="338"/>
      <c r="E2109" s="338"/>
      <c r="H2109" s="338"/>
      <c r="I2109" s="338"/>
      <c r="J2109" s="338"/>
      <c r="K2109" s="338"/>
      <c r="L2109" s="338"/>
      <c r="M2109" s="338"/>
      <c r="N2109" s="338"/>
      <c r="Q2109" s="338"/>
      <c r="R2109" s="338"/>
      <c r="S2109" s="338"/>
      <c r="T2109" s="338"/>
      <c r="U2109" s="338"/>
      <c r="X2109" s="338"/>
      <c r="Y2109" s="338"/>
      <c r="Z2109" s="338"/>
      <c r="AA2109" s="338"/>
      <c r="AB2109" s="338"/>
      <c r="AC2109" s="338"/>
      <c r="AD2109" s="338"/>
    </row>
    <row r="2110" spans="1:30">
      <c r="A2110" s="338"/>
      <c r="B2110" s="338"/>
      <c r="D2110" s="338"/>
      <c r="E2110" s="338"/>
      <c r="H2110" s="338"/>
      <c r="I2110" s="338"/>
      <c r="J2110" s="338"/>
      <c r="K2110" s="338"/>
      <c r="L2110" s="338"/>
      <c r="M2110" s="338"/>
      <c r="N2110" s="338"/>
      <c r="Q2110" s="338"/>
      <c r="R2110" s="338"/>
      <c r="S2110" s="338"/>
      <c r="T2110" s="338"/>
      <c r="U2110" s="338"/>
      <c r="X2110" s="338"/>
      <c r="Y2110" s="338"/>
      <c r="Z2110" s="338"/>
      <c r="AA2110" s="338"/>
      <c r="AB2110" s="338"/>
      <c r="AC2110" s="338"/>
      <c r="AD2110" s="338"/>
    </row>
    <row r="2111" spans="1:30">
      <c r="A2111" s="338"/>
      <c r="B2111" s="338"/>
      <c r="D2111" s="338"/>
      <c r="E2111" s="338"/>
      <c r="H2111" s="338"/>
      <c r="I2111" s="338"/>
      <c r="J2111" s="338"/>
      <c r="K2111" s="338"/>
      <c r="L2111" s="338"/>
      <c r="M2111" s="338"/>
      <c r="N2111" s="338"/>
      <c r="Q2111" s="338"/>
      <c r="R2111" s="338"/>
      <c r="S2111" s="338"/>
      <c r="T2111" s="338"/>
      <c r="U2111" s="338"/>
      <c r="X2111" s="338"/>
      <c r="Y2111" s="338"/>
      <c r="Z2111" s="338"/>
      <c r="AA2111" s="338"/>
      <c r="AB2111" s="338"/>
      <c r="AC2111" s="338"/>
      <c r="AD2111" s="338"/>
    </row>
    <row r="2112" spans="1:30">
      <c r="A2112" s="338"/>
      <c r="B2112" s="338"/>
      <c r="D2112" s="338"/>
      <c r="E2112" s="338"/>
      <c r="H2112" s="338"/>
      <c r="I2112" s="338"/>
      <c r="J2112" s="338"/>
      <c r="K2112" s="338"/>
      <c r="L2112" s="338"/>
      <c r="M2112" s="338"/>
      <c r="N2112" s="338"/>
      <c r="Q2112" s="338"/>
      <c r="R2112" s="338"/>
      <c r="S2112" s="338"/>
      <c r="T2112" s="338"/>
      <c r="U2112" s="338"/>
      <c r="X2112" s="338"/>
      <c r="Y2112" s="338"/>
      <c r="Z2112" s="338"/>
      <c r="AA2112" s="338"/>
      <c r="AB2112" s="338"/>
      <c r="AC2112" s="338"/>
      <c r="AD2112" s="338"/>
    </row>
    <row r="2113" spans="1:30">
      <c r="A2113" s="338"/>
      <c r="B2113" s="338"/>
      <c r="D2113" s="338"/>
      <c r="E2113" s="338"/>
      <c r="H2113" s="338"/>
      <c r="I2113" s="338"/>
      <c r="J2113" s="338"/>
      <c r="K2113" s="338"/>
      <c r="L2113" s="338"/>
      <c r="M2113" s="338"/>
      <c r="N2113" s="338"/>
      <c r="Q2113" s="338"/>
      <c r="R2113" s="338"/>
      <c r="S2113" s="338"/>
      <c r="T2113" s="338"/>
      <c r="U2113" s="338"/>
      <c r="X2113" s="338"/>
      <c r="Y2113" s="338"/>
      <c r="Z2113" s="338"/>
      <c r="AA2113" s="338"/>
      <c r="AB2113" s="338"/>
      <c r="AC2113" s="338"/>
      <c r="AD2113" s="338"/>
    </row>
    <row r="2114" spans="1:30">
      <c r="A2114" s="338"/>
      <c r="B2114" s="338"/>
      <c r="D2114" s="338"/>
      <c r="E2114" s="338"/>
      <c r="H2114" s="338"/>
      <c r="I2114" s="338"/>
      <c r="J2114" s="338"/>
      <c r="K2114" s="338"/>
      <c r="L2114" s="338"/>
      <c r="M2114" s="338"/>
      <c r="N2114" s="338"/>
      <c r="Q2114" s="338"/>
      <c r="R2114" s="338"/>
      <c r="S2114" s="338"/>
      <c r="T2114" s="338"/>
      <c r="U2114" s="338"/>
      <c r="X2114" s="338"/>
      <c r="Y2114" s="338"/>
      <c r="Z2114" s="338"/>
      <c r="AA2114" s="338"/>
      <c r="AB2114" s="338"/>
      <c r="AC2114" s="338"/>
      <c r="AD2114" s="338"/>
    </row>
    <row r="2115" spans="1:30">
      <c r="A2115" s="338"/>
      <c r="B2115" s="338"/>
      <c r="D2115" s="338"/>
      <c r="E2115" s="338"/>
      <c r="H2115" s="338"/>
      <c r="I2115" s="338"/>
      <c r="J2115" s="338"/>
      <c r="K2115" s="338"/>
      <c r="L2115" s="338"/>
      <c r="M2115" s="338"/>
      <c r="N2115" s="338"/>
      <c r="Q2115" s="338"/>
      <c r="R2115" s="338"/>
      <c r="S2115" s="338"/>
      <c r="T2115" s="338"/>
      <c r="U2115" s="338"/>
      <c r="X2115" s="338"/>
      <c r="Y2115" s="338"/>
      <c r="Z2115" s="338"/>
      <c r="AA2115" s="338"/>
      <c r="AB2115" s="338"/>
      <c r="AC2115" s="338"/>
      <c r="AD2115" s="338"/>
    </row>
    <row r="2116" spans="1:30">
      <c r="A2116" s="338"/>
      <c r="B2116" s="338"/>
      <c r="D2116" s="338"/>
      <c r="E2116" s="338"/>
      <c r="H2116" s="338"/>
      <c r="I2116" s="338"/>
      <c r="J2116" s="338"/>
      <c r="K2116" s="338"/>
      <c r="L2116" s="338"/>
      <c r="M2116" s="338"/>
      <c r="N2116" s="338"/>
      <c r="Q2116" s="338"/>
      <c r="R2116" s="338"/>
      <c r="S2116" s="338"/>
      <c r="T2116" s="338"/>
      <c r="U2116" s="338"/>
      <c r="X2116" s="338"/>
      <c r="Y2116" s="338"/>
      <c r="Z2116" s="338"/>
      <c r="AA2116" s="338"/>
      <c r="AB2116" s="338"/>
      <c r="AC2116" s="338"/>
      <c r="AD2116" s="338"/>
    </row>
    <row r="2117" spans="1:30">
      <c r="A2117" s="338"/>
      <c r="B2117" s="338"/>
      <c r="D2117" s="338"/>
      <c r="E2117" s="338"/>
      <c r="H2117" s="338"/>
      <c r="I2117" s="338"/>
      <c r="J2117" s="338"/>
      <c r="K2117" s="338"/>
      <c r="L2117" s="338"/>
      <c r="M2117" s="338"/>
      <c r="N2117" s="338"/>
      <c r="Q2117" s="338"/>
      <c r="R2117" s="338"/>
      <c r="S2117" s="338"/>
      <c r="T2117" s="338"/>
      <c r="U2117" s="338"/>
      <c r="X2117" s="338"/>
      <c r="Y2117" s="338"/>
      <c r="Z2117" s="338"/>
      <c r="AA2117" s="338"/>
      <c r="AB2117" s="338"/>
      <c r="AC2117" s="338"/>
      <c r="AD2117" s="338"/>
    </row>
    <row r="2118" spans="1:30">
      <c r="A2118" s="338"/>
      <c r="B2118" s="338"/>
      <c r="D2118" s="338"/>
      <c r="E2118" s="338"/>
      <c r="H2118" s="338"/>
      <c r="I2118" s="338"/>
      <c r="J2118" s="338"/>
      <c r="K2118" s="338"/>
      <c r="L2118" s="338"/>
      <c r="M2118" s="338"/>
      <c r="N2118" s="338"/>
      <c r="Q2118" s="338"/>
      <c r="R2118" s="338"/>
      <c r="S2118" s="338"/>
      <c r="T2118" s="338"/>
      <c r="U2118" s="338"/>
      <c r="X2118" s="338"/>
      <c r="Y2118" s="338"/>
      <c r="Z2118" s="338"/>
      <c r="AA2118" s="338"/>
      <c r="AB2118" s="338"/>
      <c r="AC2118" s="338"/>
      <c r="AD2118" s="338"/>
    </row>
    <row r="2119" spans="1:30">
      <c r="A2119" s="338"/>
      <c r="B2119" s="338"/>
      <c r="D2119" s="338"/>
      <c r="E2119" s="338"/>
      <c r="H2119" s="338"/>
      <c r="I2119" s="338"/>
      <c r="J2119" s="338"/>
      <c r="K2119" s="338"/>
      <c r="L2119" s="338"/>
      <c r="M2119" s="338"/>
      <c r="N2119" s="338"/>
      <c r="Q2119" s="338"/>
      <c r="R2119" s="338"/>
      <c r="S2119" s="338"/>
      <c r="T2119" s="338"/>
      <c r="U2119" s="338"/>
      <c r="X2119" s="338"/>
      <c r="Y2119" s="338"/>
      <c r="Z2119" s="338"/>
      <c r="AA2119" s="338"/>
      <c r="AB2119" s="338"/>
      <c r="AC2119" s="338"/>
      <c r="AD2119" s="338"/>
    </row>
    <row r="2120" spans="1:30">
      <c r="A2120" s="338"/>
      <c r="B2120" s="338"/>
      <c r="D2120" s="338"/>
      <c r="E2120" s="338"/>
      <c r="H2120" s="338"/>
      <c r="I2120" s="338"/>
      <c r="J2120" s="338"/>
      <c r="K2120" s="338"/>
      <c r="L2120" s="338"/>
      <c r="M2120" s="338"/>
      <c r="N2120" s="338"/>
      <c r="Q2120" s="338"/>
      <c r="R2120" s="338"/>
      <c r="S2120" s="338"/>
      <c r="T2120" s="338"/>
      <c r="U2120" s="338"/>
      <c r="X2120" s="338"/>
      <c r="Y2120" s="338"/>
      <c r="Z2120" s="338"/>
      <c r="AA2120" s="338"/>
      <c r="AB2120" s="338"/>
      <c r="AC2120" s="338"/>
      <c r="AD2120" s="338"/>
    </row>
    <row r="2121" spans="1:30">
      <c r="A2121" s="338"/>
      <c r="B2121" s="338"/>
      <c r="D2121" s="338"/>
      <c r="E2121" s="338"/>
      <c r="H2121" s="338"/>
      <c r="I2121" s="338"/>
      <c r="J2121" s="338"/>
      <c r="K2121" s="338"/>
      <c r="L2121" s="338"/>
      <c r="M2121" s="338"/>
      <c r="N2121" s="338"/>
      <c r="Q2121" s="338"/>
      <c r="R2121" s="338"/>
      <c r="S2121" s="338"/>
      <c r="T2121" s="338"/>
      <c r="U2121" s="338"/>
      <c r="X2121" s="338"/>
      <c r="Y2121" s="338"/>
      <c r="Z2121" s="338"/>
      <c r="AA2121" s="338"/>
      <c r="AB2121" s="338"/>
      <c r="AC2121" s="338"/>
      <c r="AD2121" s="338"/>
    </row>
    <row r="2122" spans="1:30">
      <c r="A2122" s="338"/>
      <c r="B2122" s="338"/>
      <c r="D2122" s="338"/>
      <c r="E2122" s="338"/>
      <c r="H2122" s="338"/>
      <c r="I2122" s="338"/>
      <c r="J2122" s="338"/>
      <c r="K2122" s="338"/>
      <c r="L2122" s="338"/>
      <c r="M2122" s="338"/>
      <c r="N2122" s="338"/>
      <c r="Q2122" s="338"/>
      <c r="R2122" s="338"/>
      <c r="S2122" s="338"/>
      <c r="T2122" s="338"/>
      <c r="U2122" s="338"/>
      <c r="X2122" s="338"/>
      <c r="Y2122" s="338"/>
      <c r="Z2122" s="338"/>
      <c r="AA2122" s="338"/>
      <c r="AB2122" s="338"/>
      <c r="AC2122" s="338"/>
      <c r="AD2122" s="338"/>
    </row>
    <row r="2123" spans="1:30">
      <c r="A2123" s="338"/>
      <c r="B2123" s="338"/>
      <c r="D2123" s="338"/>
      <c r="E2123" s="338"/>
      <c r="H2123" s="338"/>
      <c r="I2123" s="338"/>
      <c r="J2123" s="338"/>
      <c r="K2123" s="338"/>
      <c r="L2123" s="338"/>
      <c r="M2123" s="338"/>
      <c r="N2123" s="338"/>
      <c r="Q2123" s="338"/>
      <c r="R2123" s="338"/>
      <c r="S2123" s="338"/>
      <c r="T2123" s="338"/>
      <c r="U2123" s="338"/>
      <c r="X2123" s="338"/>
      <c r="Y2123" s="338"/>
      <c r="Z2123" s="338"/>
      <c r="AA2123" s="338"/>
      <c r="AB2123" s="338"/>
      <c r="AC2123" s="338"/>
      <c r="AD2123" s="338"/>
    </row>
    <row r="2124" spans="1:30">
      <c r="A2124" s="338"/>
      <c r="B2124" s="338"/>
      <c r="D2124" s="338"/>
      <c r="E2124" s="338"/>
      <c r="H2124" s="338"/>
      <c r="I2124" s="338"/>
      <c r="J2124" s="338"/>
      <c r="K2124" s="338"/>
      <c r="L2124" s="338"/>
      <c r="M2124" s="338"/>
      <c r="N2124" s="338"/>
      <c r="Q2124" s="338"/>
      <c r="R2124" s="338"/>
      <c r="S2124" s="338"/>
      <c r="T2124" s="338"/>
      <c r="U2124" s="338"/>
      <c r="X2124" s="338"/>
      <c r="Y2124" s="338"/>
      <c r="Z2124" s="338"/>
      <c r="AA2124" s="338"/>
      <c r="AB2124" s="338"/>
      <c r="AC2124" s="338"/>
      <c r="AD2124" s="338"/>
    </row>
    <row r="2125" spans="1:30">
      <c r="A2125" s="338"/>
      <c r="B2125" s="338"/>
      <c r="D2125" s="338"/>
      <c r="E2125" s="338"/>
      <c r="H2125" s="338"/>
      <c r="I2125" s="338"/>
      <c r="J2125" s="338"/>
      <c r="K2125" s="338"/>
      <c r="L2125" s="338"/>
      <c r="M2125" s="338"/>
      <c r="N2125" s="338"/>
      <c r="Q2125" s="338"/>
      <c r="R2125" s="338"/>
      <c r="S2125" s="338"/>
      <c r="T2125" s="338"/>
      <c r="U2125" s="338"/>
      <c r="X2125" s="338"/>
      <c r="Y2125" s="338"/>
      <c r="Z2125" s="338"/>
      <c r="AA2125" s="338"/>
      <c r="AB2125" s="338"/>
      <c r="AC2125" s="338"/>
      <c r="AD2125" s="338"/>
    </row>
    <row r="2126" spans="1:30">
      <c r="A2126" s="338"/>
      <c r="B2126" s="338"/>
      <c r="D2126" s="338"/>
      <c r="E2126" s="338"/>
      <c r="H2126" s="338"/>
      <c r="I2126" s="338"/>
      <c r="J2126" s="338"/>
      <c r="K2126" s="338"/>
      <c r="L2126" s="338"/>
      <c r="M2126" s="338"/>
      <c r="N2126" s="338"/>
      <c r="Q2126" s="338"/>
      <c r="R2126" s="338"/>
      <c r="S2126" s="338"/>
      <c r="T2126" s="338"/>
      <c r="U2126" s="338"/>
      <c r="X2126" s="338"/>
      <c r="Y2126" s="338"/>
      <c r="Z2126" s="338"/>
      <c r="AA2126" s="338"/>
      <c r="AB2126" s="338"/>
      <c r="AC2126" s="338"/>
      <c r="AD2126" s="338"/>
    </row>
    <row r="2127" spans="1:30">
      <c r="A2127" s="338"/>
      <c r="B2127" s="338"/>
      <c r="D2127" s="338"/>
      <c r="E2127" s="338"/>
      <c r="H2127" s="338"/>
      <c r="I2127" s="338"/>
      <c r="J2127" s="338"/>
      <c r="K2127" s="338"/>
      <c r="L2127" s="338"/>
      <c r="M2127" s="338"/>
      <c r="N2127" s="338"/>
      <c r="Q2127" s="338"/>
      <c r="R2127" s="338"/>
      <c r="S2127" s="338"/>
      <c r="T2127" s="338"/>
      <c r="U2127" s="338"/>
      <c r="X2127" s="338"/>
      <c r="Y2127" s="338"/>
      <c r="Z2127" s="338"/>
      <c r="AA2127" s="338"/>
      <c r="AB2127" s="338"/>
      <c r="AC2127" s="338"/>
      <c r="AD2127" s="338"/>
    </row>
    <row r="2128" spans="1:30">
      <c r="A2128" s="338"/>
      <c r="B2128" s="338"/>
      <c r="D2128" s="338"/>
      <c r="E2128" s="338"/>
      <c r="H2128" s="338"/>
      <c r="I2128" s="338"/>
      <c r="J2128" s="338"/>
      <c r="K2128" s="338"/>
      <c r="L2128" s="338"/>
      <c r="M2128" s="338"/>
      <c r="N2128" s="338"/>
      <c r="Q2128" s="338"/>
      <c r="R2128" s="338"/>
      <c r="S2128" s="338"/>
      <c r="T2128" s="338"/>
      <c r="U2128" s="338"/>
      <c r="X2128" s="338"/>
      <c r="Y2128" s="338"/>
      <c r="Z2128" s="338"/>
      <c r="AA2128" s="338"/>
      <c r="AB2128" s="338"/>
      <c r="AC2128" s="338"/>
      <c r="AD2128" s="338"/>
    </row>
    <row r="2129" spans="1:30">
      <c r="A2129" s="338"/>
      <c r="B2129" s="338"/>
      <c r="D2129" s="338"/>
      <c r="E2129" s="338"/>
      <c r="H2129" s="338"/>
      <c r="I2129" s="338"/>
      <c r="J2129" s="338"/>
      <c r="K2129" s="338"/>
      <c r="L2129" s="338"/>
      <c r="M2129" s="338"/>
      <c r="N2129" s="338"/>
      <c r="Q2129" s="338"/>
      <c r="R2129" s="338"/>
      <c r="S2129" s="338"/>
      <c r="T2129" s="338"/>
      <c r="U2129" s="338"/>
      <c r="X2129" s="338"/>
      <c r="Y2129" s="338"/>
      <c r="Z2129" s="338"/>
      <c r="AA2129" s="338"/>
      <c r="AB2129" s="338"/>
      <c r="AC2129" s="338"/>
      <c r="AD2129" s="338"/>
    </row>
    <row r="2130" spans="1:30">
      <c r="A2130" s="338"/>
      <c r="B2130" s="338"/>
      <c r="D2130" s="338"/>
      <c r="E2130" s="338"/>
      <c r="H2130" s="338"/>
      <c r="I2130" s="338"/>
      <c r="J2130" s="338"/>
      <c r="K2130" s="338"/>
      <c r="L2130" s="338"/>
      <c r="M2130" s="338"/>
      <c r="N2130" s="338"/>
      <c r="Q2130" s="338"/>
      <c r="R2130" s="338"/>
      <c r="S2130" s="338"/>
      <c r="T2130" s="338"/>
      <c r="U2130" s="338"/>
      <c r="X2130" s="338"/>
      <c r="Y2130" s="338"/>
      <c r="Z2130" s="338"/>
      <c r="AA2130" s="338"/>
      <c r="AB2130" s="338"/>
      <c r="AC2130" s="338"/>
      <c r="AD2130" s="338"/>
    </row>
    <row r="2131" spans="1:30">
      <c r="A2131" s="338"/>
      <c r="B2131" s="338"/>
      <c r="D2131" s="338"/>
      <c r="E2131" s="338"/>
      <c r="H2131" s="338"/>
      <c r="I2131" s="338"/>
      <c r="J2131" s="338"/>
      <c r="K2131" s="338"/>
      <c r="L2131" s="338"/>
      <c r="M2131" s="338"/>
      <c r="N2131" s="338"/>
      <c r="Q2131" s="338"/>
      <c r="R2131" s="338"/>
      <c r="S2131" s="338"/>
      <c r="T2131" s="338"/>
      <c r="U2131" s="338"/>
      <c r="X2131" s="338"/>
      <c r="Y2131" s="338"/>
      <c r="Z2131" s="338"/>
      <c r="AA2131" s="338"/>
      <c r="AB2131" s="338"/>
      <c r="AC2131" s="338"/>
      <c r="AD2131" s="338"/>
    </row>
    <row r="2132" spans="1:30">
      <c r="A2132" s="338"/>
      <c r="B2132" s="338"/>
      <c r="D2132" s="338"/>
      <c r="E2132" s="338"/>
      <c r="H2132" s="338"/>
      <c r="I2132" s="338"/>
      <c r="J2132" s="338"/>
      <c r="K2132" s="338"/>
      <c r="L2132" s="338"/>
      <c r="M2132" s="338"/>
      <c r="N2132" s="338"/>
      <c r="Q2132" s="338"/>
      <c r="R2132" s="338"/>
      <c r="S2132" s="338"/>
      <c r="T2132" s="338"/>
      <c r="U2132" s="338"/>
      <c r="X2132" s="338"/>
      <c r="Y2132" s="338"/>
      <c r="Z2132" s="338"/>
      <c r="AA2132" s="338"/>
      <c r="AB2132" s="338"/>
      <c r="AC2132" s="338"/>
      <c r="AD2132" s="338"/>
    </row>
    <row r="2133" spans="1:30">
      <c r="A2133" s="338"/>
      <c r="B2133" s="338"/>
      <c r="D2133" s="338"/>
      <c r="E2133" s="338"/>
      <c r="H2133" s="338"/>
      <c r="I2133" s="338"/>
      <c r="J2133" s="338"/>
      <c r="K2133" s="338"/>
      <c r="L2133" s="338"/>
      <c r="M2133" s="338"/>
      <c r="N2133" s="338"/>
      <c r="Q2133" s="338"/>
      <c r="R2133" s="338"/>
      <c r="S2133" s="338"/>
      <c r="T2133" s="338"/>
      <c r="U2133" s="338"/>
      <c r="X2133" s="338"/>
      <c r="Y2133" s="338"/>
      <c r="Z2133" s="338"/>
      <c r="AA2133" s="338"/>
      <c r="AB2133" s="338"/>
      <c r="AC2133" s="338"/>
      <c r="AD2133" s="338"/>
    </row>
    <row r="2134" spans="1:30">
      <c r="A2134" s="338"/>
      <c r="B2134" s="338"/>
      <c r="D2134" s="338"/>
      <c r="E2134" s="338"/>
      <c r="H2134" s="338"/>
      <c r="I2134" s="338"/>
      <c r="J2134" s="338"/>
      <c r="K2134" s="338"/>
      <c r="L2134" s="338"/>
      <c r="M2134" s="338"/>
      <c r="N2134" s="338"/>
      <c r="Q2134" s="338"/>
      <c r="R2134" s="338"/>
      <c r="S2134" s="338"/>
      <c r="T2134" s="338"/>
      <c r="U2134" s="338"/>
      <c r="X2134" s="338"/>
      <c r="Y2134" s="338"/>
      <c r="Z2134" s="338"/>
      <c r="AA2134" s="338"/>
      <c r="AB2134" s="338"/>
      <c r="AC2134" s="338"/>
      <c r="AD2134" s="338"/>
    </row>
    <row r="2135" spans="1:30">
      <c r="A2135" s="338"/>
      <c r="B2135" s="338"/>
      <c r="D2135" s="338"/>
      <c r="E2135" s="338"/>
      <c r="H2135" s="338"/>
      <c r="I2135" s="338"/>
      <c r="J2135" s="338"/>
      <c r="K2135" s="338"/>
      <c r="L2135" s="338"/>
      <c r="M2135" s="338"/>
      <c r="N2135" s="338"/>
      <c r="Q2135" s="338"/>
      <c r="R2135" s="338"/>
      <c r="S2135" s="338"/>
      <c r="T2135" s="338"/>
      <c r="U2135" s="338"/>
      <c r="X2135" s="338"/>
      <c r="Y2135" s="338"/>
      <c r="Z2135" s="338"/>
      <c r="AA2135" s="338"/>
      <c r="AB2135" s="338"/>
      <c r="AC2135" s="338"/>
      <c r="AD2135" s="338"/>
    </row>
    <row r="2136" spans="1:30">
      <c r="A2136" s="338"/>
      <c r="B2136" s="338"/>
      <c r="D2136" s="338"/>
      <c r="E2136" s="338"/>
      <c r="H2136" s="338"/>
      <c r="I2136" s="338"/>
      <c r="J2136" s="338"/>
      <c r="K2136" s="338"/>
      <c r="L2136" s="338"/>
      <c r="M2136" s="338"/>
      <c r="N2136" s="338"/>
      <c r="Q2136" s="338"/>
      <c r="R2136" s="338"/>
      <c r="S2136" s="338"/>
      <c r="T2136" s="338"/>
      <c r="U2136" s="338"/>
      <c r="X2136" s="338"/>
      <c r="Y2136" s="338"/>
      <c r="Z2136" s="338"/>
      <c r="AA2136" s="338"/>
      <c r="AB2136" s="338"/>
      <c r="AC2136" s="338"/>
      <c r="AD2136" s="338"/>
    </row>
    <row r="2137" spans="1:30">
      <c r="A2137" s="338"/>
      <c r="B2137" s="338"/>
      <c r="D2137" s="338"/>
      <c r="E2137" s="338"/>
      <c r="H2137" s="338"/>
      <c r="I2137" s="338"/>
      <c r="J2137" s="338"/>
      <c r="K2137" s="338"/>
      <c r="L2137" s="338"/>
      <c r="M2137" s="338"/>
      <c r="N2137" s="338"/>
      <c r="Q2137" s="338"/>
      <c r="R2137" s="338"/>
      <c r="S2137" s="338"/>
      <c r="T2137" s="338"/>
      <c r="U2137" s="338"/>
      <c r="X2137" s="338"/>
      <c r="Y2137" s="338"/>
      <c r="Z2137" s="338"/>
      <c r="AA2137" s="338"/>
      <c r="AB2137" s="338"/>
      <c r="AC2137" s="338"/>
      <c r="AD2137" s="338"/>
    </row>
    <row r="2138" spans="1:30">
      <c r="A2138" s="338"/>
      <c r="B2138" s="338"/>
      <c r="D2138" s="338"/>
      <c r="E2138" s="338"/>
      <c r="H2138" s="338"/>
      <c r="I2138" s="338"/>
      <c r="J2138" s="338"/>
      <c r="K2138" s="338"/>
      <c r="L2138" s="338"/>
      <c r="M2138" s="338"/>
      <c r="N2138" s="338"/>
      <c r="Q2138" s="338"/>
      <c r="R2138" s="338"/>
      <c r="S2138" s="338"/>
      <c r="T2138" s="338"/>
      <c r="U2138" s="338"/>
      <c r="X2138" s="338"/>
      <c r="Y2138" s="338"/>
      <c r="Z2138" s="338"/>
      <c r="AA2138" s="338"/>
      <c r="AB2138" s="338"/>
      <c r="AC2138" s="338"/>
      <c r="AD2138" s="338"/>
    </row>
    <row r="2139" spans="1:30">
      <c r="A2139" s="338"/>
      <c r="B2139" s="338"/>
      <c r="D2139" s="338"/>
      <c r="E2139" s="338"/>
      <c r="H2139" s="338"/>
      <c r="I2139" s="338"/>
      <c r="J2139" s="338"/>
      <c r="K2139" s="338"/>
      <c r="L2139" s="338"/>
      <c r="M2139" s="338"/>
      <c r="N2139" s="338"/>
      <c r="Q2139" s="338"/>
      <c r="R2139" s="338"/>
      <c r="S2139" s="338"/>
      <c r="T2139" s="338"/>
      <c r="U2139" s="338"/>
      <c r="X2139" s="338"/>
      <c r="Y2139" s="338"/>
      <c r="Z2139" s="338"/>
      <c r="AA2139" s="338"/>
      <c r="AB2139" s="338"/>
      <c r="AC2139" s="338"/>
      <c r="AD2139" s="338"/>
    </row>
    <row r="2140" spans="1:30">
      <c r="A2140" s="338"/>
      <c r="B2140" s="338"/>
      <c r="D2140" s="338"/>
      <c r="E2140" s="338"/>
      <c r="H2140" s="338"/>
      <c r="I2140" s="338"/>
      <c r="J2140" s="338"/>
      <c r="K2140" s="338"/>
      <c r="L2140" s="338"/>
      <c r="M2140" s="338"/>
      <c r="N2140" s="338"/>
      <c r="Q2140" s="338"/>
      <c r="R2140" s="338"/>
      <c r="S2140" s="338"/>
      <c r="T2140" s="338"/>
      <c r="U2140" s="338"/>
      <c r="X2140" s="338"/>
      <c r="Y2140" s="338"/>
      <c r="Z2140" s="338"/>
      <c r="AA2140" s="338"/>
      <c r="AB2140" s="338"/>
      <c r="AC2140" s="338"/>
      <c r="AD2140" s="338"/>
    </row>
    <row r="2141" spans="1:30">
      <c r="A2141" s="338"/>
      <c r="B2141" s="338"/>
      <c r="D2141" s="338"/>
      <c r="E2141" s="338"/>
      <c r="H2141" s="338"/>
      <c r="I2141" s="338"/>
      <c r="J2141" s="338"/>
      <c r="K2141" s="338"/>
      <c r="L2141" s="338"/>
      <c r="M2141" s="338"/>
      <c r="N2141" s="338"/>
      <c r="Q2141" s="338"/>
      <c r="R2141" s="338"/>
      <c r="S2141" s="338"/>
      <c r="T2141" s="338"/>
      <c r="U2141" s="338"/>
      <c r="X2141" s="338"/>
      <c r="Y2141" s="338"/>
      <c r="Z2141" s="338"/>
      <c r="AA2141" s="338"/>
      <c r="AB2141" s="338"/>
      <c r="AC2141" s="338"/>
      <c r="AD2141" s="338"/>
    </row>
    <row r="2142" spans="1:30">
      <c r="A2142" s="338"/>
      <c r="B2142" s="338"/>
      <c r="D2142" s="338"/>
      <c r="E2142" s="338"/>
      <c r="H2142" s="338"/>
      <c r="I2142" s="338"/>
      <c r="J2142" s="338"/>
      <c r="K2142" s="338"/>
      <c r="L2142" s="338"/>
      <c r="M2142" s="338"/>
      <c r="N2142" s="338"/>
      <c r="Q2142" s="338"/>
      <c r="R2142" s="338"/>
      <c r="S2142" s="338"/>
      <c r="T2142" s="338"/>
      <c r="U2142" s="338"/>
      <c r="X2142" s="338"/>
      <c r="Y2142" s="338"/>
      <c r="Z2142" s="338"/>
      <c r="AA2142" s="338"/>
      <c r="AB2142" s="338"/>
      <c r="AC2142" s="338"/>
      <c r="AD2142" s="338"/>
    </row>
    <row r="2143" spans="1:30">
      <c r="A2143" s="338"/>
      <c r="B2143" s="338"/>
      <c r="D2143" s="338"/>
      <c r="E2143" s="338"/>
      <c r="H2143" s="338"/>
      <c r="I2143" s="338"/>
      <c r="J2143" s="338"/>
      <c r="K2143" s="338"/>
      <c r="L2143" s="338"/>
      <c r="M2143" s="338"/>
      <c r="N2143" s="338"/>
      <c r="Q2143" s="338"/>
      <c r="R2143" s="338"/>
      <c r="S2143" s="338"/>
      <c r="T2143" s="338"/>
      <c r="U2143" s="338"/>
      <c r="X2143" s="338"/>
      <c r="Y2143" s="338"/>
      <c r="Z2143" s="338"/>
      <c r="AA2143" s="338"/>
      <c r="AB2143" s="338"/>
      <c r="AC2143" s="338"/>
      <c r="AD2143" s="338"/>
    </row>
    <row r="2144" spans="1:30">
      <c r="A2144" s="338"/>
      <c r="B2144" s="338"/>
      <c r="D2144" s="338"/>
      <c r="E2144" s="338"/>
      <c r="H2144" s="338"/>
      <c r="I2144" s="338"/>
      <c r="J2144" s="338"/>
      <c r="K2144" s="338"/>
      <c r="L2144" s="338"/>
      <c r="M2144" s="338"/>
      <c r="N2144" s="338"/>
      <c r="Q2144" s="338"/>
      <c r="R2144" s="338"/>
      <c r="S2144" s="338"/>
      <c r="T2144" s="338"/>
      <c r="U2144" s="338"/>
      <c r="X2144" s="338"/>
      <c r="Y2144" s="338"/>
      <c r="Z2144" s="338"/>
      <c r="AA2144" s="338"/>
      <c r="AB2144" s="338"/>
      <c r="AC2144" s="338"/>
      <c r="AD2144" s="338"/>
    </row>
    <row r="2145" spans="1:30">
      <c r="A2145" s="338"/>
      <c r="B2145" s="338"/>
      <c r="D2145" s="338"/>
      <c r="E2145" s="338"/>
      <c r="H2145" s="338"/>
      <c r="I2145" s="338"/>
      <c r="J2145" s="338"/>
      <c r="K2145" s="338"/>
      <c r="L2145" s="338"/>
      <c r="M2145" s="338"/>
      <c r="N2145" s="338"/>
      <c r="Q2145" s="338"/>
      <c r="R2145" s="338"/>
      <c r="S2145" s="338"/>
      <c r="T2145" s="338"/>
      <c r="U2145" s="338"/>
      <c r="X2145" s="338"/>
      <c r="Y2145" s="338"/>
      <c r="Z2145" s="338"/>
      <c r="AA2145" s="338"/>
      <c r="AB2145" s="338"/>
      <c r="AC2145" s="338"/>
      <c r="AD2145" s="338"/>
    </row>
    <row r="2146" spans="1:30">
      <c r="A2146" s="338"/>
      <c r="B2146" s="338"/>
      <c r="D2146" s="338"/>
      <c r="E2146" s="338"/>
      <c r="H2146" s="338"/>
      <c r="I2146" s="338"/>
      <c r="J2146" s="338"/>
      <c r="K2146" s="338"/>
      <c r="L2146" s="338"/>
      <c r="M2146" s="338"/>
      <c r="N2146" s="338"/>
      <c r="Q2146" s="338"/>
      <c r="R2146" s="338"/>
      <c r="S2146" s="338"/>
      <c r="T2146" s="338"/>
      <c r="U2146" s="338"/>
      <c r="X2146" s="338"/>
      <c r="Y2146" s="338"/>
      <c r="Z2146" s="338"/>
      <c r="AA2146" s="338"/>
      <c r="AB2146" s="338"/>
      <c r="AC2146" s="338"/>
      <c r="AD2146" s="338"/>
    </row>
    <row r="2147" spans="1:30">
      <c r="A2147" s="338"/>
      <c r="B2147" s="338"/>
      <c r="D2147" s="338"/>
      <c r="E2147" s="338"/>
      <c r="H2147" s="338"/>
      <c r="I2147" s="338"/>
      <c r="J2147" s="338"/>
      <c r="K2147" s="338"/>
      <c r="L2147" s="338"/>
      <c r="M2147" s="338"/>
      <c r="N2147" s="338"/>
      <c r="Q2147" s="338"/>
      <c r="R2147" s="338"/>
      <c r="S2147" s="338"/>
      <c r="T2147" s="338"/>
      <c r="U2147" s="338"/>
      <c r="X2147" s="338"/>
      <c r="Y2147" s="338"/>
      <c r="Z2147" s="338"/>
      <c r="AA2147" s="338"/>
      <c r="AB2147" s="338"/>
      <c r="AC2147" s="338"/>
      <c r="AD2147" s="338"/>
    </row>
    <row r="2148" spans="1:30">
      <c r="A2148" s="338"/>
      <c r="B2148" s="338"/>
      <c r="D2148" s="338"/>
      <c r="E2148" s="338"/>
      <c r="H2148" s="338"/>
      <c r="I2148" s="338"/>
      <c r="J2148" s="338"/>
      <c r="K2148" s="338"/>
      <c r="L2148" s="338"/>
      <c r="M2148" s="338"/>
      <c r="N2148" s="338"/>
      <c r="Q2148" s="338"/>
      <c r="R2148" s="338"/>
      <c r="S2148" s="338"/>
      <c r="T2148" s="338"/>
      <c r="U2148" s="338"/>
      <c r="X2148" s="338"/>
      <c r="Y2148" s="338"/>
      <c r="Z2148" s="338"/>
      <c r="AA2148" s="338"/>
      <c r="AB2148" s="338"/>
      <c r="AC2148" s="338"/>
      <c r="AD2148" s="338"/>
    </row>
    <row r="2149" spans="1:30">
      <c r="A2149" s="338"/>
      <c r="B2149" s="338"/>
      <c r="D2149" s="338"/>
      <c r="E2149" s="338"/>
      <c r="H2149" s="338"/>
      <c r="I2149" s="338"/>
      <c r="J2149" s="338"/>
      <c r="K2149" s="338"/>
      <c r="L2149" s="338"/>
      <c r="M2149" s="338"/>
      <c r="N2149" s="338"/>
      <c r="Q2149" s="338"/>
      <c r="R2149" s="338"/>
      <c r="S2149" s="338"/>
      <c r="T2149" s="338"/>
      <c r="U2149" s="338"/>
      <c r="X2149" s="338"/>
      <c r="Y2149" s="338"/>
      <c r="Z2149" s="338"/>
      <c r="AA2149" s="338"/>
      <c r="AB2149" s="338"/>
      <c r="AC2149" s="338"/>
      <c r="AD2149" s="338"/>
    </row>
    <row r="2150" spans="1:30">
      <c r="A2150" s="338"/>
      <c r="B2150" s="338"/>
      <c r="D2150" s="338"/>
      <c r="E2150" s="338"/>
      <c r="H2150" s="338"/>
      <c r="I2150" s="338"/>
      <c r="J2150" s="338"/>
      <c r="K2150" s="338"/>
      <c r="L2150" s="338"/>
      <c r="M2150" s="338"/>
      <c r="N2150" s="338"/>
      <c r="Q2150" s="338"/>
      <c r="R2150" s="338"/>
      <c r="S2150" s="338"/>
      <c r="T2150" s="338"/>
      <c r="U2150" s="338"/>
      <c r="X2150" s="338"/>
      <c r="Y2150" s="338"/>
      <c r="Z2150" s="338"/>
      <c r="AA2150" s="338"/>
      <c r="AB2150" s="338"/>
      <c r="AC2150" s="338"/>
      <c r="AD2150" s="338"/>
    </row>
    <row r="2151" spans="1:30">
      <c r="A2151" s="338"/>
      <c r="B2151" s="338"/>
      <c r="D2151" s="338"/>
      <c r="E2151" s="338"/>
      <c r="H2151" s="338"/>
      <c r="I2151" s="338"/>
      <c r="J2151" s="338"/>
      <c r="K2151" s="338"/>
      <c r="L2151" s="338"/>
      <c r="M2151" s="338"/>
      <c r="N2151" s="338"/>
      <c r="Q2151" s="338"/>
      <c r="R2151" s="338"/>
      <c r="S2151" s="338"/>
      <c r="T2151" s="338"/>
      <c r="U2151" s="338"/>
      <c r="X2151" s="338"/>
      <c r="Y2151" s="338"/>
      <c r="Z2151" s="338"/>
      <c r="AA2151" s="338"/>
      <c r="AB2151" s="338"/>
      <c r="AC2151" s="338"/>
      <c r="AD2151" s="338"/>
    </row>
    <row r="2152" spans="1:30">
      <c r="A2152" s="338"/>
      <c r="B2152" s="338"/>
      <c r="D2152" s="338"/>
      <c r="E2152" s="338"/>
      <c r="H2152" s="338"/>
      <c r="I2152" s="338"/>
      <c r="J2152" s="338"/>
      <c r="K2152" s="338"/>
      <c r="L2152" s="338"/>
      <c r="M2152" s="338"/>
      <c r="N2152" s="338"/>
      <c r="Q2152" s="338"/>
      <c r="R2152" s="338"/>
      <c r="S2152" s="338"/>
      <c r="T2152" s="338"/>
      <c r="U2152" s="338"/>
      <c r="X2152" s="338"/>
      <c r="Y2152" s="338"/>
      <c r="Z2152" s="338"/>
      <c r="AA2152" s="338"/>
      <c r="AB2152" s="338"/>
      <c r="AC2152" s="338"/>
      <c r="AD2152" s="338"/>
    </row>
    <row r="2153" spans="1:30">
      <c r="A2153" s="338"/>
      <c r="B2153" s="338"/>
      <c r="D2153" s="338"/>
      <c r="E2153" s="338"/>
      <c r="H2153" s="338"/>
      <c r="I2153" s="338"/>
      <c r="J2153" s="338"/>
      <c r="K2153" s="338"/>
      <c r="L2153" s="338"/>
      <c r="M2153" s="338"/>
      <c r="N2153" s="338"/>
      <c r="Q2153" s="338"/>
      <c r="R2153" s="338"/>
      <c r="S2153" s="338"/>
      <c r="T2153" s="338"/>
      <c r="U2153" s="338"/>
      <c r="X2153" s="338"/>
      <c r="Y2153" s="338"/>
      <c r="Z2153" s="338"/>
      <c r="AA2153" s="338"/>
      <c r="AB2153" s="338"/>
      <c r="AC2153" s="338"/>
      <c r="AD2153" s="338"/>
    </row>
    <row r="2154" spans="1:30">
      <c r="A2154" s="338"/>
      <c r="B2154" s="338"/>
      <c r="D2154" s="338"/>
      <c r="E2154" s="338"/>
      <c r="H2154" s="338"/>
      <c r="I2154" s="338"/>
      <c r="J2154" s="338"/>
      <c r="K2154" s="338"/>
      <c r="L2154" s="338"/>
      <c r="M2154" s="338"/>
      <c r="N2154" s="338"/>
      <c r="Q2154" s="338"/>
      <c r="R2154" s="338"/>
      <c r="S2154" s="338"/>
      <c r="T2154" s="338"/>
      <c r="U2154" s="338"/>
      <c r="X2154" s="338"/>
      <c r="Y2154" s="338"/>
      <c r="Z2154" s="338"/>
      <c r="AA2154" s="338"/>
      <c r="AB2154" s="338"/>
      <c r="AC2154" s="338"/>
      <c r="AD2154" s="338"/>
    </row>
    <row r="2155" spans="1:30">
      <c r="A2155" s="338"/>
      <c r="B2155" s="338"/>
      <c r="D2155" s="338"/>
      <c r="E2155" s="338"/>
      <c r="H2155" s="338"/>
      <c r="I2155" s="338"/>
      <c r="J2155" s="338"/>
      <c r="K2155" s="338"/>
      <c r="L2155" s="338"/>
      <c r="M2155" s="338"/>
      <c r="N2155" s="338"/>
      <c r="Q2155" s="338"/>
      <c r="R2155" s="338"/>
      <c r="S2155" s="338"/>
      <c r="T2155" s="338"/>
      <c r="U2155" s="338"/>
      <c r="X2155" s="338"/>
      <c r="Y2155" s="338"/>
      <c r="Z2155" s="338"/>
      <c r="AA2155" s="338"/>
      <c r="AB2155" s="338"/>
      <c r="AC2155" s="338"/>
      <c r="AD2155" s="338"/>
    </row>
    <row r="2156" spans="1:30">
      <c r="A2156" s="338"/>
      <c r="B2156" s="338"/>
      <c r="D2156" s="338"/>
      <c r="E2156" s="338"/>
      <c r="H2156" s="338"/>
      <c r="I2156" s="338"/>
      <c r="J2156" s="338"/>
      <c r="K2156" s="338"/>
      <c r="L2156" s="338"/>
      <c r="M2156" s="338"/>
      <c r="N2156" s="338"/>
      <c r="Q2156" s="338"/>
      <c r="R2156" s="338"/>
      <c r="S2156" s="338"/>
      <c r="T2156" s="338"/>
      <c r="U2156" s="338"/>
      <c r="X2156" s="338"/>
      <c r="Y2156" s="338"/>
      <c r="Z2156" s="338"/>
      <c r="AA2156" s="338"/>
      <c r="AB2156" s="338"/>
      <c r="AC2156" s="338"/>
      <c r="AD2156" s="338"/>
    </row>
    <row r="2157" spans="1:30">
      <c r="A2157" s="338"/>
      <c r="B2157" s="338"/>
      <c r="D2157" s="338"/>
      <c r="E2157" s="338"/>
      <c r="H2157" s="338"/>
      <c r="I2157" s="338"/>
      <c r="J2157" s="338"/>
      <c r="K2157" s="338"/>
      <c r="L2157" s="338"/>
      <c r="M2157" s="338"/>
      <c r="N2157" s="338"/>
      <c r="Q2157" s="338"/>
      <c r="R2157" s="338"/>
      <c r="S2157" s="338"/>
      <c r="T2157" s="338"/>
      <c r="U2157" s="338"/>
      <c r="X2157" s="338"/>
      <c r="Y2157" s="338"/>
      <c r="Z2157" s="338"/>
      <c r="AA2157" s="338"/>
      <c r="AB2157" s="338"/>
      <c r="AC2157" s="338"/>
      <c r="AD2157" s="338"/>
    </row>
    <row r="2158" spans="1:30">
      <c r="A2158" s="338"/>
      <c r="B2158" s="338"/>
      <c r="D2158" s="338"/>
      <c r="E2158" s="338"/>
      <c r="H2158" s="338"/>
      <c r="I2158" s="338"/>
      <c r="J2158" s="338"/>
      <c r="K2158" s="338"/>
      <c r="L2158" s="338"/>
      <c r="M2158" s="338"/>
      <c r="N2158" s="338"/>
      <c r="Q2158" s="338"/>
      <c r="R2158" s="338"/>
      <c r="S2158" s="338"/>
      <c r="T2158" s="338"/>
      <c r="U2158" s="338"/>
      <c r="X2158" s="338"/>
      <c r="Y2158" s="338"/>
      <c r="Z2158" s="338"/>
      <c r="AA2158" s="338"/>
      <c r="AB2158" s="338"/>
      <c r="AC2158" s="338"/>
      <c r="AD2158" s="338"/>
    </row>
    <row r="2159" spans="1:30">
      <c r="A2159" s="338"/>
      <c r="B2159" s="338"/>
      <c r="D2159" s="338"/>
      <c r="E2159" s="338"/>
      <c r="H2159" s="338"/>
      <c r="I2159" s="338"/>
      <c r="J2159" s="338"/>
      <c r="K2159" s="338"/>
      <c r="L2159" s="338"/>
      <c r="M2159" s="338"/>
      <c r="N2159" s="338"/>
      <c r="Q2159" s="338"/>
      <c r="R2159" s="338"/>
      <c r="S2159" s="338"/>
      <c r="T2159" s="338"/>
      <c r="U2159" s="338"/>
      <c r="X2159" s="338"/>
      <c r="Y2159" s="338"/>
      <c r="Z2159" s="338"/>
      <c r="AA2159" s="338"/>
      <c r="AB2159" s="338"/>
      <c r="AC2159" s="338"/>
      <c r="AD2159" s="338"/>
    </row>
    <row r="2160" spans="1:30">
      <c r="A2160" s="338"/>
      <c r="B2160" s="338"/>
      <c r="D2160" s="338"/>
      <c r="E2160" s="338"/>
      <c r="H2160" s="338"/>
      <c r="I2160" s="338"/>
      <c r="J2160" s="338"/>
      <c r="K2160" s="338"/>
      <c r="L2160" s="338"/>
      <c r="M2160" s="338"/>
      <c r="N2160" s="338"/>
      <c r="Q2160" s="338"/>
      <c r="R2160" s="338"/>
      <c r="S2160" s="338"/>
      <c r="T2160" s="338"/>
      <c r="U2160" s="338"/>
      <c r="X2160" s="338"/>
      <c r="Y2160" s="338"/>
      <c r="Z2160" s="338"/>
      <c r="AA2160" s="338"/>
      <c r="AB2160" s="338"/>
      <c r="AC2160" s="338"/>
      <c r="AD2160" s="338"/>
    </row>
    <row r="2161" spans="1:30">
      <c r="A2161" s="338"/>
      <c r="B2161" s="338"/>
      <c r="D2161" s="338"/>
      <c r="E2161" s="338"/>
      <c r="H2161" s="338"/>
      <c r="I2161" s="338"/>
      <c r="J2161" s="338"/>
      <c r="K2161" s="338"/>
      <c r="L2161" s="338"/>
      <c r="M2161" s="338"/>
      <c r="N2161" s="338"/>
      <c r="Q2161" s="338"/>
      <c r="R2161" s="338"/>
      <c r="S2161" s="338"/>
      <c r="T2161" s="338"/>
      <c r="U2161" s="338"/>
      <c r="X2161" s="338"/>
      <c r="Y2161" s="338"/>
      <c r="Z2161" s="338"/>
      <c r="AA2161" s="338"/>
      <c r="AB2161" s="338"/>
      <c r="AC2161" s="338"/>
      <c r="AD2161" s="338"/>
    </row>
    <row r="2162" spans="1:30">
      <c r="A2162" s="338"/>
      <c r="B2162" s="338"/>
      <c r="D2162" s="338"/>
      <c r="E2162" s="338"/>
      <c r="H2162" s="338"/>
      <c r="I2162" s="338"/>
      <c r="J2162" s="338"/>
      <c r="K2162" s="338"/>
      <c r="L2162" s="338"/>
      <c r="M2162" s="338"/>
      <c r="N2162" s="338"/>
      <c r="Q2162" s="338"/>
      <c r="R2162" s="338"/>
      <c r="S2162" s="338"/>
      <c r="T2162" s="338"/>
      <c r="U2162" s="338"/>
      <c r="X2162" s="338"/>
      <c r="Y2162" s="338"/>
      <c r="Z2162" s="338"/>
      <c r="AA2162" s="338"/>
      <c r="AB2162" s="338"/>
      <c r="AC2162" s="338"/>
      <c r="AD2162" s="338"/>
    </row>
    <row r="2163" spans="1:30">
      <c r="A2163" s="338"/>
      <c r="B2163" s="338"/>
      <c r="D2163" s="338"/>
      <c r="E2163" s="338"/>
      <c r="H2163" s="338"/>
      <c r="I2163" s="338"/>
      <c r="J2163" s="338"/>
      <c r="K2163" s="338"/>
      <c r="L2163" s="338"/>
      <c r="M2163" s="338"/>
      <c r="N2163" s="338"/>
      <c r="Q2163" s="338"/>
      <c r="R2163" s="338"/>
      <c r="S2163" s="338"/>
      <c r="T2163" s="338"/>
      <c r="U2163" s="338"/>
      <c r="X2163" s="338"/>
      <c r="Y2163" s="338"/>
      <c r="Z2163" s="338"/>
      <c r="AA2163" s="338"/>
      <c r="AB2163" s="338"/>
      <c r="AC2163" s="338"/>
      <c r="AD2163" s="338"/>
    </row>
    <row r="2164" spans="1:30">
      <c r="A2164" s="338"/>
      <c r="B2164" s="338"/>
      <c r="D2164" s="338"/>
      <c r="E2164" s="338"/>
      <c r="H2164" s="338"/>
      <c r="I2164" s="338"/>
      <c r="J2164" s="338"/>
      <c r="K2164" s="338"/>
      <c r="L2164" s="338"/>
      <c r="M2164" s="338"/>
      <c r="N2164" s="338"/>
      <c r="Q2164" s="338"/>
      <c r="R2164" s="338"/>
      <c r="S2164" s="338"/>
      <c r="T2164" s="338"/>
      <c r="U2164" s="338"/>
      <c r="X2164" s="338"/>
      <c r="Y2164" s="338"/>
      <c r="Z2164" s="338"/>
      <c r="AA2164" s="338"/>
      <c r="AB2164" s="338"/>
      <c r="AC2164" s="338"/>
      <c r="AD2164" s="338"/>
    </row>
    <row r="2165" spans="1:30">
      <c r="A2165" s="338"/>
      <c r="B2165" s="338"/>
      <c r="D2165" s="338"/>
      <c r="E2165" s="338"/>
      <c r="H2165" s="338"/>
      <c r="I2165" s="338"/>
      <c r="J2165" s="338"/>
      <c r="K2165" s="338"/>
      <c r="L2165" s="338"/>
      <c r="M2165" s="338"/>
      <c r="N2165" s="338"/>
      <c r="Q2165" s="338"/>
      <c r="R2165" s="338"/>
      <c r="S2165" s="338"/>
      <c r="T2165" s="338"/>
      <c r="U2165" s="338"/>
      <c r="X2165" s="338"/>
      <c r="Y2165" s="338"/>
      <c r="Z2165" s="338"/>
      <c r="AA2165" s="338"/>
      <c r="AB2165" s="338"/>
      <c r="AC2165" s="338"/>
      <c r="AD2165" s="338"/>
    </row>
    <row r="2166" spans="1:30">
      <c r="A2166" s="338"/>
      <c r="B2166" s="338"/>
      <c r="D2166" s="338"/>
      <c r="E2166" s="338"/>
      <c r="H2166" s="338"/>
      <c r="I2166" s="338"/>
      <c r="J2166" s="338"/>
      <c r="K2166" s="338"/>
      <c r="L2166" s="338"/>
      <c r="M2166" s="338"/>
      <c r="N2166" s="338"/>
      <c r="Q2166" s="338"/>
      <c r="R2166" s="338"/>
      <c r="S2166" s="338"/>
      <c r="T2166" s="338"/>
      <c r="U2166" s="338"/>
      <c r="X2166" s="338"/>
      <c r="Y2166" s="338"/>
      <c r="Z2166" s="338"/>
      <c r="AA2166" s="338"/>
      <c r="AB2166" s="338"/>
      <c r="AC2166" s="338"/>
      <c r="AD2166" s="338"/>
    </row>
    <row r="2167" spans="1:30">
      <c r="A2167" s="338"/>
      <c r="B2167" s="338"/>
      <c r="D2167" s="338"/>
      <c r="E2167" s="338"/>
      <c r="H2167" s="338"/>
      <c r="I2167" s="338"/>
      <c r="J2167" s="338"/>
      <c r="K2167" s="338"/>
      <c r="L2167" s="338"/>
      <c r="M2167" s="338"/>
      <c r="N2167" s="338"/>
      <c r="Q2167" s="338"/>
      <c r="R2167" s="338"/>
      <c r="S2167" s="338"/>
      <c r="T2167" s="338"/>
      <c r="U2167" s="338"/>
      <c r="X2167" s="338"/>
      <c r="Y2167" s="338"/>
      <c r="Z2167" s="338"/>
      <c r="AA2167" s="338"/>
      <c r="AB2167" s="338"/>
      <c r="AC2167" s="338"/>
      <c r="AD2167" s="338"/>
    </row>
    <row r="2168" spans="1:30">
      <c r="A2168" s="338"/>
      <c r="B2168" s="338"/>
      <c r="D2168" s="338"/>
      <c r="E2168" s="338"/>
      <c r="H2168" s="338"/>
      <c r="I2168" s="338"/>
      <c r="J2168" s="338"/>
      <c r="K2168" s="338"/>
      <c r="L2168" s="338"/>
      <c r="M2168" s="338"/>
      <c r="N2168" s="338"/>
      <c r="Q2168" s="338"/>
      <c r="R2168" s="338"/>
      <c r="S2168" s="338"/>
      <c r="T2168" s="338"/>
      <c r="U2168" s="338"/>
      <c r="X2168" s="338"/>
      <c r="Y2168" s="338"/>
      <c r="Z2168" s="338"/>
      <c r="AA2168" s="338"/>
      <c r="AB2168" s="338"/>
      <c r="AC2168" s="338"/>
      <c r="AD2168" s="338"/>
    </row>
    <row r="2169" spans="1:30">
      <c r="A2169" s="338"/>
      <c r="B2169" s="338"/>
      <c r="D2169" s="338"/>
      <c r="E2169" s="338"/>
      <c r="H2169" s="338"/>
      <c r="I2169" s="338"/>
      <c r="J2169" s="338"/>
      <c r="K2169" s="338"/>
      <c r="L2169" s="338"/>
      <c r="M2169" s="338"/>
      <c r="N2169" s="338"/>
      <c r="Q2169" s="338"/>
      <c r="R2169" s="338"/>
      <c r="S2169" s="338"/>
      <c r="T2169" s="338"/>
      <c r="U2169" s="338"/>
      <c r="X2169" s="338"/>
      <c r="Y2169" s="338"/>
      <c r="Z2169" s="338"/>
      <c r="AA2169" s="338"/>
      <c r="AB2169" s="338"/>
      <c r="AC2169" s="338"/>
      <c r="AD2169" s="338"/>
    </row>
    <row r="2170" spans="1:30">
      <c r="A2170" s="338"/>
      <c r="B2170" s="338"/>
      <c r="D2170" s="338"/>
      <c r="E2170" s="338"/>
      <c r="H2170" s="338"/>
      <c r="I2170" s="338"/>
      <c r="J2170" s="338"/>
      <c r="K2170" s="338"/>
      <c r="L2170" s="338"/>
      <c r="M2170" s="338"/>
      <c r="N2170" s="338"/>
      <c r="Q2170" s="338"/>
      <c r="R2170" s="338"/>
      <c r="S2170" s="338"/>
      <c r="T2170" s="338"/>
      <c r="U2170" s="338"/>
      <c r="X2170" s="338"/>
      <c r="Y2170" s="338"/>
      <c r="Z2170" s="338"/>
      <c r="AA2170" s="338"/>
      <c r="AB2170" s="338"/>
      <c r="AC2170" s="338"/>
      <c r="AD2170" s="338"/>
    </row>
    <row r="2171" spans="1:30">
      <c r="A2171" s="338"/>
      <c r="B2171" s="338"/>
      <c r="D2171" s="338"/>
      <c r="E2171" s="338"/>
      <c r="H2171" s="338"/>
      <c r="I2171" s="338"/>
      <c r="J2171" s="338"/>
      <c r="K2171" s="338"/>
      <c r="L2171" s="338"/>
      <c r="M2171" s="338"/>
      <c r="N2171" s="338"/>
      <c r="Q2171" s="338"/>
      <c r="R2171" s="338"/>
      <c r="S2171" s="338"/>
      <c r="T2171" s="338"/>
      <c r="U2171" s="338"/>
      <c r="X2171" s="338"/>
      <c r="Y2171" s="338"/>
      <c r="Z2171" s="338"/>
      <c r="AA2171" s="338"/>
      <c r="AB2171" s="338"/>
      <c r="AC2171" s="338"/>
      <c r="AD2171" s="338"/>
    </row>
    <row r="2172" spans="1:30">
      <c r="A2172" s="338"/>
      <c r="B2172" s="338"/>
      <c r="D2172" s="338"/>
      <c r="E2172" s="338"/>
      <c r="H2172" s="338"/>
      <c r="I2172" s="338"/>
      <c r="J2172" s="338"/>
      <c r="K2172" s="338"/>
      <c r="L2172" s="338"/>
      <c r="M2172" s="338"/>
      <c r="N2172" s="338"/>
      <c r="Q2172" s="338"/>
      <c r="R2172" s="338"/>
      <c r="S2172" s="338"/>
      <c r="T2172" s="338"/>
      <c r="U2172" s="338"/>
      <c r="X2172" s="338"/>
      <c r="Y2172" s="338"/>
      <c r="Z2172" s="338"/>
      <c r="AA2172" s="338"/>
      <c r="AB2172" s="338"/>
      <c r="AC2172" s="338"/>
      <c r="AD2172" s="338"/>
    </row>
    <row r="2173" spans="1:30">
      <c r="A2173" s="338"/>
      <c r="B2173" s="338"/>
      <c r="D2173" s="338"/>
      <c r="E2173" s="338"/>
      <c r="H2173" s="338"/>
      <c r="I2173" s="338"/>
      <c r="J2173" s="338"/>
      <c r="K2173" s="338"/>
      <c r="L2173" s="338"/>
      <c r="M2173" s="338"/>
      <c r="N2173" s="338"/>
      <c r="Q2173" s="338"/>
      <c r="R2173" s="338"/>
      <c r="S2173" s="338"/>
      <c r="T2173" s="338"/>
      <c r="U2173" s="338"/>
      <c r="X2173" s="338"/>
      <c r="Y2173" s="338"/>
      <c r="Z2173" s="338"/>
      <c r="AA2173" s="338"/>
      <c r="AB2173" s="338"/>
      <c r="AC2173" s="338"/>
      <c r="AD2173" s="338"/>
    </row>
    <row r="2174" spans="1:30">
      <c r="A2174" s="338"/>
      <c r="B2174" s="338"/>
      <c r="D2174" s="338"/>
      <c r="E2174" s="338"/>
      <c r="H2174" s="338"/>
      <c r="I2174" s="338"/>
      <c r="J2174" s="338"/>
      <c r="K2174" s="338"/>
      <c r="L2174" s="338"/>
      <c r="M2174" s="338"/>
      <c r="N2174" s="338"/>
      <c r="Q2174" s="338"/>
      <c r="R2174" s="338"/>
      <c r="S2174" s="338"/>
      <c r="T2174" s="338"/>
      <c r="U2174" s="338"/>
      <c r="X2174" s="338"/>
      <c r="Y2174" s="338"/>
      <c r="Z2174" s="338"/>
      <c r="AA2174" s="338"/>
      <c r="AB2174" s="338"/>
      <c r="AC2174" s="338"/>
      <c r="AD2174" s="338"/>
    </row>
    <row r="2175" spans="1:30">
      <c r="A2175" s="338"/>
      <c r="B2175" s="338"/>
      <c r="D2175" s="338"/>
      <c r="E2175" s="338"/>
      <c r="H2175" s="338"/>
      <c r="I2175" s="338"/>
      <c r="J2175" s="338"/>
      <c r="K2175" s="338"/>
      <c r="L2175" s="338"/>
      <c r="M2175" s="338"/>
      <c r="N2175" s="338"/>
      <c r="Q2175" s="338"/>
      <c r="R2175" s="338"/>
      <c r="S2175" s="338"/>
      <c r="T2175" s="338"/>
      <c r="U2175" s="338"/>
      <c r="X2175" s="338"/>
      <c r="Y2175" s="338"/>
      <c r="Z2175" s="338"/>
      <c r="AA2175" s="338"/>
      <c r="AB2175" s="338"/>
      <c r="AC2175" s="338"/>
      <c r="AD2175" s="338"/>
    </row>
    <row r="2176" spans="1:30">
      <c r="A2176" s="338"/>
      <c r="B2176" s="338"/>
      <c r="D2176" s="338"/>
      <c r="E2176" s="338"/>
      <c r="H2176" s="338"/>
      <c r="I2176" s="338"/>
      <c r="J2176" s="338"/>
      <c r="K2176" s="338"/>
      <c r="L2176" s="338"/>
      <c r="M2176" s="338"/>
      <c r="N2176" s="338"/>
      <c r="Q2176" s="338"/>
      <c r="R2176" s="338"/>
      <c r="S2176" s="338"/>
      <c r="T2176" s="338"/>
      <c r="U2176" s="338"/>
      <c r="X2176" s="338"/>
      <c r="Y2176" s="338"/>
      <c r="Z2176" s="338"/>
      <c r="AA2176" s="338"/>
      <c r="AB2176" s="338"/>
      <c r="AC2176" s="338"/>
      <c r="AD2176" s="338"/>
    </row>
    <row r="2177" spans="1:30">
      <c r="A2177" s="338"/>
      <c r="B2177" s="338"/>
      <c r="D2177" s="338"/>
      <c r="E2177" s="338"/>
      <c r="H2177" s="338"/>
      <c r="I2177" s="338"/>
      <c r="J2177" s="338"/>
      <c r="K2177" s="338"/>
      <c r="L2177" s="338"/>
      <c r="M2177" s="338"/>
      <c r="N2177" s="338"/>
      <c r="Q2177" s="338"/>
      <c r="R2177" s="338"/>
      <c r="S2177" s="338"/>
      <c r="T2177" s="338"/>
      <c r="U2177" s="338"/>
      <c r="X2177" s="338"/>
      <c r="Y2177" s="338"/>
      <c r="Z2177" s="338"/>
      <c r="AA2177" s="338"/>
      <c r="AB2177" s="338"/>
      <c r="AC2177" s="338"/>
      <c r="AD2177" s="338"/>
    </row>
    <row r="2178" spans="1:30">
      <c r="A2178" s="338"/>
      <c r="B2178" s="338"/>
      <c r="D2178" s="338"/>
      <c r="E2178" s="338"/>
      <c r="H2178" s="338"/>
      <c r="I2178" s="338"/>
      <c r="J2178" s="338"/>
      <c r="K2178" s="338"/>
      <c r="L2178" s="338"/>
      <c r="M2178" s="338"/>
      <c r="N2178" s="338"/>
      <c r="Q2178" s="338"/>
      <c r="R2178" s="338"/>
      <c r="S2178" s="338"/>
      <c r="T2178" s="338"/>
      <c r="U2178" s="338"/>
      <c r="X2178" s="338"/>
      <c r="Y2178" s="338"/>
      <c r="Z2178" s="338"/>
      <c r="AA2178" s="338"/>
      <c r="AB2178" s="338"/>
      <c r="AC2178" s="338"/>
      <c r="AD2178" s="338"/>
    </row>
    <row r="2179" spans="1:30">
      <c r="A2179" s="338"/>
      <c r="B2179" s="338"/>
      <c r="D2179" s="338"/>
      <c r="E2179" s="338"/>
      <c r="H2179" s="338"/>
      <c r="I2179" s="338"/>
      <c r="J2179" s="338"/>
      <c r="K2179" s="338"/>
      <c r="L2179" s="338"/>
      <c r="M2179" s="338"/>
      <c r="N2179" s="338"/>
      <c r="Q2179" s="338"/>
      <c r="R2179" s="338"/>
      <c r="S2179" s="338"/>
      <c r="T2179" s="338"/>
      <c r="U2179" s="338"/>
      <c r="X2179" s="338"/>
      <c r="Y2179" s="338"/>
      <c r="Z2179" s="338"/>
      <c r="AA2179" s="338"/>
      <c r="AB2179" s="338"/>
      <c r="AC2179" s="338"/>
      <c r="AD2179" s="338"/>
    </row>
    <row r="2180" spans="1:30">
      <c r="A2180" s="338"/>
      <c r="B2180" s="338"/>
      <c r="D2180" s="338"/>
      <c r="E2180" s="338"/>
      <c r="H2180" s="338"/>
      <c r="I2180" s="338"/>
      <c r="J2180" s="338"/>
      <c r="K2180" s="338"/>
      <c r="L2180" s="338"/>
      <c r="M2180" s="338"/>
      <c r="N2180" s="338"/>
      <c r="Q2180" s="338"/>
      <c r="R2180" s="338"/>
      <c r="S2180" s="338"/>
      <c r="T2180" s="338"/>
      <c r="U2180" s="338"/>
      <c r="X2180" s="338"/>
      <c r="Y2180" s="338"/>
      <c r="Z2180" s="338"/>
      <c r="AA2180" s="338"/>
      <c r="AB2180" s="338"/>
      <c r="AC2180" s="338"/>
      <c r="AD2180" s="338"/>
    </row>
    <row r="2181" spans="1:30">
      <c r="A2181" s="338"/>
      <c r="B2181" s="338"/>
      <c r="D2181" s="338"/>
      <c r="E2181" s="338"/>
      <c r="H2181" s="338"/>
      <c r="I2181" s="338"/>
      <c r="J2181" s="338"/>
      <c r="K2181" s="338"/>
      <c r="L2181" s="338"/>
      <c r="M2181" s="338"/>
      <c r="N2181" s="338"/>
      <c r="Q2181" s="338"/>
      <c r="R2181" s="338"/>
      <c r="S2181" s="338"/>
      <c r="T2181" s="338"/>
      <c r="U2181" s="338"/>
      <c r="X2181" s="338"/>
      <c r="Y2181" s="338"/>
      <c r="Z2181" s="338"/>
      <c r="AA2181" s="338"/>
      <c r="AB2181" s="338"/>
      <c r="AC2181" s="338"/>
      <c r="AD2181" s="338"/>
    </row>
    <row r="2182" spans="1:30">
      <c r="A2182" s="338"/>
      <c r="B2182" s="338"/>
      <c r="D2182" s="338"/>
      <c r="E2182" s="338"/>
      <c r="H2182" s="338"/>
      <c r="I2182" s="338"/>
      <c r="J2182" s="338"/>
      <c r="K2182" s="338"/>
      <c r="L2182" s="338"/>
      <c r="M2182" s="338"/>
      <c r="N2182" s="338"/>
      <c r="Q2182" s="338"/>
      <c r="R2182" s="338"/>
      <c r="S2182" s="338"/>
      <c r="T2182" s="338"/>
      <c r="U2182" s="338"/>
      <c r="X2182" s="338"/>
      <c r="Y2182" s="338"/>
      <c r="Z2182" s="338"/>
      <c r="AA2182" s="338"/>
      <c r="AB2182" s="338"/>
      <c r="AC2182" s="338"/>
      <c r="AD2182" s="338"/>
    </row>
    <row r="2183" spans="1:30">
      <c r="A2183" s="338"/>
      <c r="B2183" s="338"/>
      <c r="D2183" s="338"/>
      <c r="E2183" s="338"/>
      <c r="H2183" s="338"/>
      <c r="I2183" s="338"/>
      <c r="J2183" s="338"/>
      <c r="K2183" s="338"/>
      <c r="L2183" s="338"/>
      <c r="M2183" s="338"/>
      <c r="N2183" s="338"/>
      <c r="Q2183" s="338"/>
      <c r="R2183" s="338"/>
      <c r="S2183" s="338"/>
      <c r="T2183" s="338"/>
      <c r="U2183" s="338"/>
      <c r="X2183" s="338"/>
      <c r="Y2183" s="338"/>
      <c r="Z2183" s="338"/>
      <c r="AA2183" s="338"/>
      <c r="AB2183" s="338"/>
      <c r="AC2183" s="338"/>
      <c r="AD2183" s="338"/>
    </row>
    <row r="2184" spans="1:30">
      <c r="A2184" s="338"/>
      <c r="B2184" s="338"/>
      <c r="D2184" s="338"/>
      <c r="E2184" s="338"/>
      <c r="H2184" s="338"/>
      <c r="I2184" s="338"/>
      <c r="J2184" s="338"/>
      <c r="K2184" s="338"/>
      <c r="L2184" s="338"/>
      <c r="M2184" s="338"/>
      <c r="N2184" s="338"/>
      <c r="Q2184" s="338"/>
      <c r="R2184" s="338"/>
      <c r="S2184" s="338"/>
      <c r="T2184" s="338"/>
      <c r="U2184" s="338"/>
      <c r="X2184" s="338"/>
      <c r="Y2184" s="338"/>
      <c r="Z2184" s="338"/>
      <c r="AA2184" s="338"/>
      <c r="AB2184" s="338"/>
      <c r="AC2184" s="338"/>
      <c r="AD2184" s="338"/>
    </row>
    <row r="2185" spans="1:30">
      <c r="A2185" s="338"/>
      <c r="B2185" s="338"/>
      <c r="D2185" s="338"/>
      <c r="E2185" s="338"/>
      <c r="H2185" s="338"/>
      <c r="I2185" s="338"/>
      <c r="J2185" s="338"/>
      <c r="K2185" s="338"/>
      <c r="L2185" s="338"/>
      <c r="M2185" s="338"/>
      <c r="N2185" s="338"/>
      <c r="Q2185" s="338"/>
      <c r="R2185" s="338"/>
      <c r="S2185" s="338"/>
      <c r="T2185" s="338"/>
      <c r="U2185" s="338"/>
      <c r="X2185" s="338"/>
      <c r="Y2185" s="338"/>
      <c r="Z2185" s="338"/>
      <c r="AA2185" s="338"/>
      <c r="AB2185" s="338"/>
      <c r="AC2185" s="338"/>
      <c r="AD2185" s="338"/>
    </row>
    <row r="2186" spans="1:30">
      <c r="A2186" s="338"/>
      <c r="B2186" s="338"/>
      <c r="D2186" s="338"/>
      <c r="E2186" s="338"/>
      <c r="H2186" s="338"/>
      <c r="I2186" s="338"/>
      <c r="J2186" s="338"/>
      <c r="K2186" s="338"/>
      <c r="L2186" s="338"/>
      <c r="M2186" s="338"/>
      <c r="N2186" s="338"/>
      <c r="Q2186" s="338"/>
      <c r="R2186" s="338"/>
      <c r="S2186" s="338"/>
      <c r="T2186" s="338"/>
      <c r="U2186" s="338"/>
      <c r="X2186" s="338"/>
      <c r="Y2186" s="338"/>
      <c r="Z2186" s="338"/>
      <c r="AA2186" s="338"/>
      <c r="AB2186" s="338"/>
      <c r="AC2186" s="338"/>
      <c r="AD2186" s="338"/>
    </row>
    <row r="2187" spans="1:30">
      <c r="A2187" s="338"/>
      <c r="B2187" s="338"/>
      <c r="D2187" s="338"/>
      <c r="E2187" s="338"/>
      <c r="H2187" s="338"/>
      <c r="I2187" s="338"/>
      <c r="J2187" s="338"/>
      <c r="K2187" s="338"/>
      <c r="L2187" s="338"/>
      <c r="M2187" s="338"/>
      <c r="N2187" s="338"/>
      <c r="Q2187" s="338"/>
      <c r="R2187" s="338"/>
      <c r="S2187" s="338"/>
      <c r="T2187" s="338"/>
      <c r="U2187" s="338"/>
      <c r="X2187" s="338"/>
      <c r="Y2187" s="338"/>
      <c r="Z2187" s="338"/>
      <c r="AA2187" s="338"/>
      <c r="AB2187" s="338"/>
      <c r="AC2187" s="338"/>
      <c r="AD2187" s="338"/>
    </row>
    <row r="2188" spans="1:30">
      <c r="A2188" s="338"/>
      <c r="B2188" s="338"/>
      <c r="D2188" s="338"/>
      <c r="E2188" s="338"/>
      <c r="H2188" s="338"/>
      <c r="I2188" s="338"/>
      <c r="J2188" s="338"/>
      <c r="K2188" s="338"/>
      <c r="L2188" s="338"/>
      <c r="M2188" s="338"/>
      <c r="N2188" s="338"/>
      <c r="Q2188" s="338"/>
      <c r="R2188" s="338"/>
      <c r="S2188" s="338"/>
      <c r="T2188" s="338"/>
      <c r="U2188" s="338"/>
      <c r="X2188" s="338"/>
      <c r="Y2188" s="338"/>
      <c r="Z2188" s="338"/>
      <c r="AA2188" s="338"/>
      <c r="AB2188" s="338"/>
      <c r="AC2188" s="338"/>
      <c r="AD2188" s="338"/>
    </row>
    <row r="2189" spans="1:30">
      <c r="A2189" s="338"/>
      <c r="B2189" s="338"/>
      <c r="D2189" s="338"/>
      <c r="E2189" s="338"/>
      <c r="H2189" s="338"/>
      <c r="I2189" s="338"/>
      <c r="J2189" s="338"/>
      <c r="K2189" s="338"/>
      <c r="L2189" s="338"/>
      <c r="M2189" s="338"/>
      <c r="N2189" s="338"/>
      <c r="Q2189" s="338"/>
      <c r="R2189" s="338"/>
      <c r="S2189" s="338"/>
      <c r="T2189" s="338"/>
      <c r="U2189" s="338"/>
      <c r="X2189" s="338"/>
      <c r="Y2189" s="338"/>
      <c r="Z2189" s="338"/>
      <c r="AA2189" s="338"/>
      <c r="AB2189" s="338"/>
      <c r="AC2189" s="338"/>
      <c r="AD2189" s="338"/>
    </row>
    <row r="2190" spans="1:30">
      <c r="A2190" s="338"/>
      <c r="B2190" s="338"/>
      <c r="D2190" s="338"/>
      <c r="E2190" s="338"/>
      <c r="H2190" s="338"/>
      <c r="I2190" s="338"/>
      <c r="J2190" s="338"/>
      <c r="K2190" s="338"/>
      <c r="L2190" s="338"/>
      <c r="M2190" s="338"/>
      <c r="N2190" s="338"/>
      <c r="Q2190" s="338"/>
      <c r="R2190" s="338"/>
      <c r="S2190" s="338"/>
      <c r="T2190" s="338"/>
      <c r="U2190" s="338"/>
      <c r="X2190" s="338"/>
      <c r="Y2190" s="338"/>
      <c r="Z2190" s="338"/>
      <c r="AA2190" s="338"/>
      <c r="AB2190" s="338"/>
      <c r="AC2190" s="338"/>
      <c r="AD2190" s="338"/>
    </row>
    <row r="2191" spans="1:30">
      <c r="A2191" s="338"/>
      <c r="B2191" s="338"/>
      <c r="D2191" s="338"/>
      <c r="E2191" s="338"/>
      <c r="H2191" s="338"/>
      <c r="I2191" s="338"/>
      <c r="J2191" s="338"/>
      <c r="K2191" s="338"/>
      <c r="L2191" s="338"/>
      <c r="M2191" s="338"/>
      <c r="N2191" s="338"/>
      <c r="Q2191" s="338"/>
      <c r="R2191" s="338"/>
      <c r="S2191" s="338"/>
      <c r="T2191" s="338"/>
      <c r="U2191" s="338"/>
      <c r="X2191" s="338"/>
      <c r="Y2191" s="338"/>
      <c r="Z2191" s="338"/>
      <c r="AA2191" s="338"/>
      <c r="AB2191" s="338"/>
      <c r="AC2191" s="338"/>
      <c r="AD2191" s="338"/>
    </row>
    <row r="2192" spans="1:30">
      <c r="A2192" s="338"/>
      <c r="B2192" s="338"/>
      <c r="D2192" s="338"/>
      <c r="E2192" s="338"/>
      <c r="H2192" s="338"/>
      <c r="I2192" s="338"/>
      <c r="J2192" s="338"/>
      <c r="K2192" s="338"/>
      <c r="L2192" s="338"/>
      <c r="M2192" s="338"/>
      <c r="N2192" s="338"/>
      <c r="Q2192" s="338"/>
      <c r="R2192" s="338"/>
      <c r="S2192" s="338"/>
      <c r="T2192" s="338"/>
      <c r="U2192" s="338"/>
      <c r="X2192" s="338"/>
      <c r="Y2192" s="338"/>
      <c r="Z2192" s="338"/>
      <c r="AA2192" s="338"/>
      <c r="AB2192" s="338"/>
      <c r="AC2192" s="338"/>
      <c r="AD2192" s="338"/>
    </row>
    <row r="2193" spans="1:30">
      <c r="A2193" s="338"/>
      <c r="B2193" s="338"/>
      <c r="D2193" s="338"/>
      <c r="E2193" s="338"/>
      <c r="H2193" s="338"/>
      <c r="I2193" s="338"/>
      <c r="J2193" s="338"/>
      <c r="K2193" s="338"/>
      <c r="L2193" s="338"/>
      <c r="M2193" s="338"/>
      <c r="N2193" s="338"/>
      <c r="Q2193" s="338"/>
      <c r="R2193" s="338"/>
      <c r="S2193" s="338"/>
      <c r="T2193" s="338"/>
      <c r="U2193" s="338"/>
      <c r="X2193" s="338"/>
      <c r="Y2193" s="338"/>
      <c r="Z2193" s="338"/>
      <c r="AA2193" s="338"/>
      <c r="AB2193" s="338"/>
      <c r="AC2193" s="338"/>
      <c r="AD2193" s="338"/>
    </row>
    <row r="2194" spans="1:30">
      <c r="A2194" s="338"/>
      <c r="B2194" s="338"/>
      <c r="D2194" s="338"/>
      <c r="E2194" s="338"/>
      <c r="H2194" s="338"/>
      <c r="I2194" s="338"/>
      <c r="J2194" s="338"/>
      <c r="K2194" s="338"/>
      <c r="L2194" s="338"/>
      <c r="M2194" s="338"/>
      <c r="N2194" s="338"/>
      <c r="Q2194" s="338"/>
      <c r="R2194" s="338"/>
      <c r="S2194" s="338"/>
      <c r="T2194" s="338"/>
      <c r="U2194" s="338"/>
      <c r="X2194" s="338"/>
      <c r="Y2194" s="338"/>
      <c r="Z2194" s="338"/>
      <c r="AA2194" s="338"/>
      <c r="AB2194" s="338"/>
      <c r="AC2194" s="338"/>
      <c r="AD2194" s="338"/>
    </row>
    <row r="2195" spans="1:30">
      <c r="A2195" s="338"/>
      <c r="B2195" s="338"/>
      <c r="D2195" s="338"/>
      <c r="E2195" s="338"/>
      <c r="H2195" s="338"/>
      <c r="I2195" s="338"/>
      <c r="J2195" s="338"/>
      <c r="K2195" s="338"/>
      <c r="L2195" s="338"/>
      <c r="M2195" s="338"/>
      <c r="N2195" s="338"/>
      <c r="Q2195" s="338"/>
      <c r="R2195" s="338"/>
      <c r="S2195" s="338"/>
      <c r="T2195" s="338"/>
      <c r="U2195" s="338"/>
      <c r="X2195" s="338"/>
      <c r="Y2195" s="338"/>
      <c r="Z2195" s="338"/>
      <c r="AA2195" s="338"/>
      <c r="AB2195" s="338"/>
      <c r="AC2195" s="338"/>
      <c r="AD2195" s="338"/>
    </row>
    <row r="2196" spans="1:30">
      <c r="A2196" s="338"/>
      <c r="B2196" s="338"/>
      <c r="D2196" s="338"/>
      <c r="E2196" s="338"/>
      <c r="H2196" s="338"/>
      <c r="I2196" s="338"/>
      <c r="J2196" s="338"/>
      <c r="K2196" s="338"/>
      <c r="L2196" s="338"/>
      <c r="M2196" s="338"/>
      <c r="N2196" s="338"/>
      <c r="Q2196" s="338"/>
      <c r="R2196" s="338"/>
      <c r="S2196" s="338"/>
      <c r="T2196" s="338"/>
      <c r="U2196" s="338"/>
      <c r="X2196" s="338"/>
      <c r="Y2196" s="338"/>
      <c r="Z2196" s="338"/>
      <c r="AA2196" s="338"/>
      <c r="AB2196" s="338"/>
      <c r="AC2196" s="338"/>
      <c r="AD2196" s="338"/>
    </row>
    <row r="2197" spans="1:30">
      <c r="A2197" s="338"/>
      <c r="B2197" s="338"/>
      <c r="D2197" s="338"/>
      <c r="E2197" s="338"/>
      <c r="H2197" s="338"/>
      <c r="I2197" s="338"/>
      <c r="J2197" s="338"/>
      <c r="K2197" s="338"/>
      <c r="L2197" s="338"/>
      <c r="M2197" s="338"/>
      <c r="N2197" s="338"/>
      <c r="Q2197" s="338"/>
      <c r="R2197" s="338"/>
      <c r="S2197" s="338"/>
      <c r="T2197" s="338"/>
      <c r="U2197" s="338"/>
      <c r="X2197" s="338"/>
      <c r="Y2197" s="338"/>
      <c r="Z2197" s="338"/>
      <c r="AA2197" s="338"/>
      <c r="AB2197" s="338"/>
      <c r="AC2197" s="338"/>
      <c r="AD2197" s="338"/>
    </row>
    <row r="2198" spans="1:30">
      <c r="A2198" s="338"/>
      <c r="B2198" s="338"/>
      <c r="D2198" s="338"/>
      <c r="E2198" s="338"/>
      <c r="H2198" s="338"/>
      <c r="I2198" s="338"/>
      <c r="J2198" s="338"/>
      <c r="K2198" s="338"/>
      <c r="L2198" s="338"/>
      <c r="M2198" s="338"/>
      <c r="N2198" s="338"/>
      <c r="Q2198" s="338"/>
      <c r="R2198" s="338"/>
      <c r="S2198" s="338"/>
      <c r="T2198" s="338"/>
      <c r="U2198" s="338"/>
      <c r="X2198" s="338"/>
      <c r="Y2198" s="338"/>
      <c r="Z2198" s="338"/>
      <c r="AA2198" s="338"/>
      <c r="AB2198" s="338"/>
      <c r="AC2198" s="338"/>
      <c r="AD2198" s="338"/>
    </row>
    <row r="2199" spans="1:30">
      <c r="A2199" s="338"/>
      <c r="B2199" s="338"/>
      <c r="D2199" s="338"/>
      <c r="E2199" s="338"/>
      <c r="H2199" s="338"/>
      <c r="I2199" s="338"/>
      <c r="J2199" s="338"/>
      <c r="K2199" s="338"/>
      <c r="L2199" s="338"/>
      <c r="M2199" s="338"/>
      <c r="N2199" s="338"/>
      <c r="Q2199" s="338"/>
      <c r="R2199" s="338"/>
      <c r="S2199" s="338"/>
      <c r="T2199" s="338"/>
      <c r="U2199" s="338"/>
      <c r="X2199" s="338"/>
      <c r="Y2199" s="338"/>
      <c r="Z2199" s="338"/>
      <c r="AA2199" s="338"/>
      <c r="AB2199" s="338"/>
      <c r="AC2199" s="338"/>
      <c r="AD2199" s="338"/>
    </row>
    <row r="2200" spans="1:30">
      <c r="A2200" s="338"/>
      <c r="B2200" s="338"/>
      <c r="D2200" s="338"/>
      <c r="E2200" s="338"/>
      <c r="H2200" s="338"/>
      <c r="I2200" s="338"/>
      <c r="J2200" s="338"/>
      <c r="K2200" s="338"/>
      <c r="L2200" s="338"/>
      <c r="M2200" s="338"/>
      <c r="N2200" s="338"/>
      <c r="Q2200" s="338"/>
      <c r="R2200" s="338"/>
      <c r="S2200" s="338"/>
      <c r="T2200" s="338"/>
      <c r="U2200" s="338"/>
      <c r="X2200" s="338"/>
      <c r="Y2200" s="338"/>
      <c r="Z2200" s="338"/>
      <c r="AA2200" s="338"/>
      <c r="AB2200" s="338"/>
      <c r="AC2200" s="338"/>
      <c r="AD2200" s="338"/>
    </row>
    <row r="2201" spans="1:30">
      <c r="A2201" s="338"/>
      <c r="B2201" s="338"/>
      <c r="D2201" s="338"/>
      <c r="E2201" s="338"/>
      <c r="H2201" s="338"/>
      <c r="I2201" s="338"/>
      <c r="J2201" s="338"/>
      <c r="K2201" s="338"/>
      <c r="L2201" s="338"/>
      <c r="M2201" s="338"/>
      <c r="N2201" s="338"/>
      <c r="Q2201" s="338"/>
      <c r="R2201" s="338"/>
      <c r="S2201" s="338"/>
      <c r="T2201" s="338"/>
      <c r="U2201" s="338"/>
      <c r="X2201" s="338"/>
      <c r="Y2201" s="338"/>
      <c r="Z2201" s="338"/>
      <c r="AA2201" s="338"/>
      <c r="AB2201" s="338"/>
      <c r="AC2201" s="338"/>
      <c r="AD2201" s="338"/>
    </row>
    <row r="2202" spans="1:30">
      <c r="A2202" s="338"/>
      <c r="B2202" s="338"/>
      <c r="D2202" s="338"/>
      <c r="E2202" s="338"/>
      <c r="H2202" s="338"/>
      <c r="I2202" s="338"/>
      <c r="J2202" s="338"/>
      <c r="K2202" s="338"/>
      <c r="L2202" s="338"/>
      <c r="M2202" s="338"/>
      <c r="N2202" s="338"/>
      <c r="Q2202" s="338"/>
      <c r="R2202" s="338"/>
      <c r="S2202" s="338"/>
      <c r="T2202" s="338"/>
      <c r="U2202" s="338"/>
      <c r="X2202" s="338"/>
      <c r="Y2202" s="338"/>
      <c r="Z2202" s="338"/>
      <c r="AA2202" s="338"/>
      <c r="AB2202" s="338"/>
      <c r="AC2202" s="338"/>
      <c r="AD2202" s="338"/>
    </row>
    <row r="2203" spans="1:30">
      <c r="A2203" s="338"/>
      <c r="B2203" s="338"/>
      <c r="D2203" s="338"/>
      <c r="E2203" s="338"/>
      <c r="H2203" s="338"/>
      <c r="I2203" s="338"/>
      <c r="J2203" s="338"/>
      <c r="K2203" s="338"/>
      <c r="L2203" s="338"/>
      <c r="M2203" s="338"/>
      <c r="N2203" s="338"/>
      <c r="Q2203" s="338"/>
      <c r="R2203" s="338"/>
      <c r="S2203" s="338"/>
      <c r="T2203" s="338"/>
      <c r="U2203" s="338"/>
      <c r="X2203" s="338"/>
      <c r="Y2203" s="338"/>
      <c r="Z2203" s="338"/>
      <c r="AA2203" s="338"/>
      <c r="AB2203" s="338"/>
      <c r="AC2203" s="338"/>
      <c r="AD2203" s="338"/>
    </row>
    <row r="2204" spans="1:30">
      <c r="A2204" s="338"/>
      <c r="B2204" s="338"/>
      <c r="D2204" s="338"/>
      <c r="E2204" s="338"/>
      <c r="H2204" s="338"/>
      <c r="I2204" s="338"/>
      <c r="J2204" s="338"/>
      <c r="K2204" s="338"/>
      <c r="L2204" s="338"/>
      <c r="M2204" s="338"/>
      <c r="N2204" s="338"/>
      <c r="Q2204" s="338"/>
      <c r="R2204" s="338"/>
      <c r="S2204" s="338"/>
      <c r="T2204" s="338"/>
      <c r="U2204" s="338"/>
      <c r="X2204" s="338"/>
      <c r="Y2204" s="338"/>
      <c r="Z2204" s="338"/>
      <c r="AA2204" s="338"/>
      <c r="AB2204" s="338"/>
      <c r="AC2204" s="338"/>
      <c r="AD2204" s="338"/>
    </row>
    <row r="2205" spans="1:30">
      <c r="A2205" s="338"/>
      <c r="B2205" s="338"/>
      <c r="D2205" s="338"/>
      <c r="E2205" s="338"/>
      <c r="H2205" s="338"/>
      <c r="I2205" s="338"/>
      <c r="J2205" s="338"/>
      <c r="K2205" s="338"/>
      <c r="L2205" s="338"/>
      <c r="M2205" s="338"/>
      <c r="N2205" s="338"/>
      <c r="Q2205" s="338"/>
      <c r="R2205" s="338"/>
      <c r="S2205" s="338"/>
      <c r="T2205" s="338"/>
      <c r="U2205" s="338"/>
      <c r="X2205" s="338"/>
      <c r="Y2205" s="338"/>
      <c r="Z2205" s="338"/>
      <c r="AA2205" s="338"/>
      <c r="AB2205" s="338"/>
      <c r="AC2205" s="338"/>
      <c r="AD2205" s="338"/>
    </row>
    <row r="2206" spans="1:30">
      <c r="A2206" s="338"/>
      <c r="B2206" s="338"/>
      <c r="D2206" s="338"/>
      <c r="E2206" s="338"/>
      <c r="H2206" s="338"/>
      <c r="I2206" s="338"/>
      <c r="J2206" s="338"/>
      <c r="K2206" s="338"/>
      <c r="L2206" s="338"/>
      <c r="M2206" s="338"/>
      <c r="N2206" s="338"/>
      <c r="Q2206" s="338"/>
      <c r="R2206" s="338"/>
      <c r="S2206" s="338"/>
      <c r="T2206" s="338"/>
      <c r="U2206" s="338"/>
      <c r="X2206" s="338"/>
      <c r="Y2206" s="338"/>
      <c r="Z2206" s="338"/>
      <c r="AA2206" s="338"/>
      <c r="AB2206" s="338"/>
      <c r="AC2206" s="338"/>
      <c r="AD2206" s="338"/>
    </row>
    <row r="2207" spans="1:30">
      <c r="A2207" s="338"/>
      <c r="B2207" s="338"/>
      <c r="D2207" s="338"/>
      <c r="E2207" s="338"/>
      <c r="H2207" s="338"/>
      <c r="I2207" s="338"/>
      <c r="J2207" s="338"/>
      <c r="K2207" s="338"/>
      <c r="L2207" s="338"/>
      <c r="M2207" s="338"/>
      <c r="N2207" s="338"/>
      <c r="Q2207" s="338"/>
      <c r="R2207" s="338"/>
      <c r="S2207" s="338"/>
      <c r="T2207" s="338"/>
      <c r="U2207" s="338"/>
      <c r="X2207" s="338"/>
      <c r="Y2207" s="338"/>
      <c r="Z2207" s="338"/>
      <c r="AA2207" s="338"/>
      <c r="AB2207" s="338"/>
      <c r="AC2207" s="338"/>
      <c r="AD2207" s="338"/>
    </row>
    <row r="2208" spans="1:30">
      <c r="A2208" s="338"/>
      <c r="B2208" s="338"/>
      <c r="D2208" s="338"/>
      <c r="E2208" s="338"/>
      <c r="H2208" s="338"/>
      <c r="I2208" s="338"/>
      <c r="J2208" s="338"/>
      <c r="K2208" s="338"/>
      <c r="L2208" s="338"/>
      <c r="M2208" s="338"/>
      <c r="N2208" s="338"/>
      <c r="Q2208" s="338"/>
      <c r="R2208" s="338"/>
      <c r="S2208" s="338"/>
      <c r="T2208" s="338"/>
      <c r="U2208" s="338"/>
      <c r="X2208" s="338"/>
      <c r="Y2208" s="338"/>
      <c r="Z2208" s="338"/>
      <c r="AA2208" s="338"/>
      <c r="AB2208" s="338"/>
      <c r="AC2208" s="338"/>
      <c r="AD2208" s="338"/>
    </row>
    <row r="2209" spans="1:30">
      <c r="A2209" s="338"/>
      <c r="B2209" s="338"/>
      <c r="D2209" s="338"/>
      <c r="E2209" s="338"/>
      <c r="H2209" s="338"/>
      <c r="I2209" s="338"/>
      <c r="J2209" s="338"/>
      <c r="K2209" s="338"/>
      <c r="L2209" s="338"/>
      <c r="M2209" s="338"/>
      <c r="N2209" s="338"/>
      <c r="Q2209" s="338"/>
      <c r="R2209" s="338"/>
      <c r="S2209" s="338"/>
      <c r="T2209" s="338"/>
      <c r="U2209" s="338"/>
      <c r="X2209" s="338"/>
      <c r="Y2209" s="338"/>
      <c r="Z2209" s="338"/>
      <c r="AA2209" s="338"/>
      <c r="AB2209" s="338"/>
      <c r="AC2209" s="338"/>
      <c r="AD2209" s="338"/>
    </row>
    <row r="2210" spans="1:30">
      <c r="A2210" s="338"/>
      <c r="B2210" s="338"/>
      <c r="D2210" s="338"/>
      <c r="E2210" s="338"/>
      <c r="H2210" s="338"/>
      <c r="I2210" s="338"/>
      <c r="J2210" s="338"/>
      <c r="K2210" s="338"/>
      <c r="L2210" s="338"/>
      <c r="M2210" s="338"/>
      <c r="N2210" s="338"/>
      <c r="Q2210" s="338"/>
      <c r="R2210" s="338"/>
      <c r="S2210" s="338"/>
      <c r="T2210" s="338"/>
      <c r="U2210" s="338"/>
      <c r="X2210" s="338"/>
      <c r="Y2210" s="338"/>
      <c r="Z2210" s="338"/>
      <c r="AA2210" s="338"/>
      <c r="AB2210" s="338"/>
      <c r="AC2210" s="338"/>
      <c r="AD2210" s="338"/>
    </row>
    <row r="2211" spans="1:30">
      <c r="A2211" s="338"/>
      <c r="B2211" s="338"/>
      <c r="D2211" s="338"/>
      <c r="E2211" s="338"/>
      <c r="H2211" s="338"/>
      <c r="I2211" s="338"/>
      <c r="J2211" s="338"/>
      <c r="K2211" s="338"/>
      <c r="L2211" s="338"/>
      <c r="M2211" s="338"/>
      <c r="N2211" s="338"/>
      <c r="Q2211" s="338"/>
      <c r="R2211" s="338"/>
      <c r="S2211" s="338"/>
      <c r="T2211" s="338"/>
      <c r="U2211" s="338"/>
      <c r="X2211" s="338"/>
      <c r="Y2211" s="338"/>
      <c r="Z2211" s="338"/>
      <c r="AA2211" s="338"/>
      <c r="AB2211" s="338"/>
      <c r="AC2211" s="338"/>
      <c r="AD2211" s="338"/>
    </row>
    <row r="2212" spans="1:30">
      <c r="A2212" s="338"/>
      <c r="B2212" s="338"/>
      <c r="D2212" s="338"/>
      <c r="E2212" s="338"/>
      <c r="H2212" s="338"/>
      <c r="I2212" s="338"/>
      <c r="J2212" s="338"/>
      <c r="K2212" s="338"/>
      <c r="L2212" s="338"/>
      <c r="M2212" s="338"/>
      <c r="N2212" s="338"/>
      <c r="Q2212" s="338"/>
      <c r="R2212" s="338"/>
      <c r="S2212" s="338"/>
      <c r="T2212" s="338"/>
      <c r="U2212" s="338"/>
      <c r="X2212" s="338"/>
      <c r="Y2212" s="338"/>
      <c r="Z2212" s="338"/>
      <c r="AA2212" s="338"/>
      <c r="AB2212" s="338"/>
      <c r="AC2212" s="338"/>
      <c r="AD2212" s="338"/>
    </row>
    <row r="2213" spans="1:30">
      <c r="A2213" s="338"/>
      <c r="B2213" s="338"/>
      <c r="D2213" s="338"/>
      <c r="E2213" s="338"/>
      <c r="H2213" s="338"/>
      <c r="I2213" s="338"/>
      <c r="J2213" s="338"/>
      <c r="K2213" s="338"/>
      <c r="L2213" s="338"/>
      <c r="M2213" s="338"/>
      <c r="N2213" s="338"/>
      <c r="Q2213" s="338"/>
      <c r="R2213" s="338"/>
      <c r="S2213" s="338"/>
      <c r="T2213" s="338"/>
      <c r="U2213" s="338"/>
      <c r="X2213" s="338"/>
      <c r="Y2213" s="338"/>
      <c r="Z2213" s="338"/>
      <c r="AA2213" s="338"/>
      <c r="AB2213" s="338"/>
      <c r="AC2213" s="338"/>
      <c r="AD2213" s="338"/>
    </row>
    <row r="2214" spans="1:30">
      <c r="A2214" s="338"/>
      <c r="B2214" s="338"/>
      <c r="D2214" s="338"/>
      <c r="E2214" s="338"/>
      <c r="H2214" s="338"/>
      <c r="I2214" s="338"/>
      <c r="J2214" s="338"/>
      <c r="K2214" s="338"/>
      <c r="L2214" s="338"/>
      <c r="M2214" s="338"/>
      <c r="N2214" s="338"/>
      <c r="Q2214" s="338"/>
      <c r="R2214" s="338"/>
      <c r="S2214" s="338"/>
      <c r="T2214" s="338"/>
      <c r="U2214" s="338"/>
      <c r="X2214" s="338"/>
      <c r="Y2214" s="338"/>
      <c r="Z2214" s="338"/>
      <c r="AA2214" s="338"/>
      <c r="AB2214" s="338"/>
      <c r="AC2214" s="338"/>
      <c r="AD2214" s="338"/>
    </row>
    <row r="2215" spans="1:30">
      <c r="A2215" s="338"/>
      <c r="B2215" s="338"/>
      <c r="D2215" s="338"/>
      <c r="E2215" s="338"/>
      <c r="H2215" s="338"/>
      <c r="I2215" s="338"/>
      <c r="J2215" s="338"/>
      <c r="K2215" s="338"/>
      <c r="L2215" s="338"/>
      <c r="M2215" s="338"/>
      <c r="N2215" s="338"/>
      <c r="Q2215" s="338"/>
      <c r="R2215" s="338"/>
      <c r="S2215" s="338"/>
      <c r="T2215" s="338"/>
      <c r="U2215" s="338"/>
      <c r="X2215" s="338"/>
      <c r="Y2215" s="338"/>
      <c r="Z2215" s="338"/>
      <c r="AA2215" s="338"/>
      <c r="AB2215" s="338"/>
      <c r="AC2215" s="338"/>
      <c r="AD2215" s="338"/>
    </row>
    <row r="2216" spans="1:30">
      <c r="A2216" s="338"/>
      <c r="B2216" s="338"/>
      <c r="D2216" s="338"/>
      <c r="E2216" s="338"/>
      <c r="H2216" s="338"/>
      <c r="I2216" s="338"/>
      <c r="J2216" s="338"/>
      <c r="K2216" s="338"/>
      <c r="L2216" s="338"/>
      <c r="M2216" s="338"/>
      <c r="N2216" s="338"/>
      <c r="Q2216" s="338"/>
      <c r="R2216" s="338"/>
      <c r="S2216" s="338"/>
      <c r="T2216" s="338"/>
      <c r="U2216" s="338"/>
      <c r="X2216" s="338"/>
      <c r="Y2216" s="338"/>
      <c r="Z2216" s="338"/>
      <c r="AA2216" s="338"/>
      <c r="AB2216" s="338"/>
      <c r="AC2216" s="338"/>
      <c r="AD2216" s="338"/>
    </row>
    <row r="2217" spans="1:30">
      <c r="A2217" s="338"/>
      <c r="B2217" s="338"/>
      <c r="D2217" s="338"/>
      <c r="E2217" s="338"/>
      <c r="H2217" s="338"/>
      <c r="I2217" s="338"/>
      <c r="J2217" s="338"/>
      <c r="K2217" s="338"/>
      <c r="L2217" s="338"/>
      <c r="M2217" s="338"/>
      <c r="N2217" s="338"/>
      <c r="Q2217" s="338"/>
      <c r="R2217" s="338"/>
      <c r="S2217" s="338"/>
      <c r="T2217" s="338"/>
      <c r="U2217" s="338"/>
      <c r="X2217" s="338"/>
      <c r="Y2217" s="338"/>
      <c r="Z2217" s="338"/>
      <c r="AA2217" s="338"/>
      <c r="AB2217" s="338"/>
      <c r="AC2217" s="338"/>
      <c r="AD2217" s="338"/>
    </row>
    <row r="2218" spans="1:30">
      <c r="A2218" s="338"/>
      <c r="B2218" s="338"/>
      <c r="D2218" s="338"/>
      <c r="E2218" s="338"/>
      <c r="H2218" s="338"/>
      <c r="I2218" s="338"/>
      <c r="J2218" s="338"/>
      <c r="K2218" s="338"/>
      <c r="L2218" s="338"/>
      <c r="M2218" s="338"/>
      <c r="N2218" s="338"/>
      <c r="Q2218" s="338"/>
      <c r="R2218" s="338"/>
      <c r="S2218" s="338"/>
      <c r="T2218" s="338"/>
      <c r="U2218" s="338"/>
      <c r="X2218" s="338"/>
      <c r="Y2218" s="338"/>
      <c r="Z2218" s="338"/>
      <c r="AA2218" s="338"/>
      <c r="AB2218" s="338"/>
      <c r="AC2218" s="338"/>
      <c r="AD2218" s="338"/>
    </row>
    <row r="2219" spans="1:30">
      <c r="A2219" s="338"/>
      <c r="B2219" s="338"/>
      <c r="D2219" s="338"/>
      <c r="E2219" s="338"/>
      <c r="H2219" s="338"/>
      <c r="I2219" s="338"/>
      <c r="J2219" s="338"/>
      <c r="K2219" s="338"/>
      <c r="L2219" s="338"/>
      <c r="M2219" s="338"/>
      <c r="N2219" s="338"/>
      <c r="Q2219" s="338"/>
      <c r="R2219" s="338"/>
      <c r="S2219" s="338"/>
      <c r="T2219" s="338"/>
      <c r="U2219" s="338"/>
      <c r="X2219" s="338"/>
      <c r="Y2219" s="338"/>
      <c r="Z2219" s="338"/>
      <c r="AA2219" s="338"/>
      <c r="AB2219" s="338"/>
      <c r="AC2219" s="338"/>
      <c r="AD2219" s="338"/>
    </row>
    <row r="2220" spans="1:30">
      <c r="A2220" s="338"/>
      <c r="B2220" s="338"/>
      <c r="D2220" s="338"/>
      <c r="E2220" s="338"/>
      <c r="H2220" s="338"/>
      <c r="I2220" s="338"/>
      <c r="J2220" s="338"/>
      <c r="K2220" s="338"/>
      <c r="L2220" s="338"/>
      <c r="M2220" s="338"/>
      <c r="N2220" s="338"/>
      <c r="Q2220" s="338"/>
      <c r="R2220" s="338"/>
      <c r="S2220" s="338"/>
      <c r="T2220" s="338"/>
      <c r="U2220" s="338"/>
      <c r="X2220" s="338"/>
      <c r="Y2220" s="338"/>
      <c r="Z2220" s="338"/>
      <c r="AA2220" s="338"/>
      <c r="AB2220" s="338"/>
      <c r="AC2220" s="338"/>
      <c r="AD2220" s="338"/>
    </row>
    <row r="2221" spans="1:30">
      <c r="A2221" s="338"/>
      <c r="B2221" s="338"/>
      <c r="D2221" s="338"/>
      <c r="E2221" s="338"/>
      <c r="H2221" s="338"/>
      <c r="I2221" s="338"/>
      <c r="J2221" s="338"/>
      <c r="K2221" s="338"/>
      <c r="L2221" s="338"/>
      <c r="M2221" s="338"/>
      <c r="N2221" s="338"/>
      <c r="Q2221" s="338"/>
      <c r="R2221" s="338"/>
      <c r="S2221" s="338"/>
      <c r="T2221" s="338"/>
      <c r="U2221" s="338"/>
      <c r="X2221" s="338"/>
      <c r="Y2221" s="338"/>
      <c r="Z2221" s="338"/>
      <c r="AA2221" s="338"/>
      <c r="AB2221" s="338"/>
      <c r="AC2221" s="338"/>
      <c r="AD2221" s="338"/>
    </row>
    <row r="2222" spans="1:30">
      <c r="A2222" s="338"/>
      <c r="B2222" s="338"/>
      <c r="D2222" s="338"/>
      <c r="E2222" s="338"/>
      <c r="H2222" s="338"/>
      <c r="I2222" s="338"/>
      <c r="J2222" s="338"/>
      <c r="K2222" s="338"/>
      <c r="L2222" s="338"/>
      <c r="M2222" s="338"/>
      <c r="N2222" s="338"/>
      <c r="Q2222" s="338"/>
      <c r="R2222" s="338"/>
      <c r="S2222" s="338"/>
      <c r="T2222" s="338"/>
      <c r="U2222" s="338"/>
      <c r="X2222" s="338"/>
      <c r="Y2222" s="338"/>
      <c r="Z2222" s="338"/>
      <c r="AA2222" s="338"/>
      <c r="AB2222" s="338"/>
      <c r="AC2222" s="338"/>
      <c r="AD2222" s="338"/>
    </row>
    <row r="2223" spans="1:30">
      <c r="A2223" s="338"/>
      <c r="B2223" s="338"/>
      <c r="D2223" s="338"/>
      <c r="E2223" s="338"/>
      <c r="H2223" s="338"/>
      <c r="I2223" s="338"/>
      <c r="J2223" s="338"/>
      <c r="K2223" s="338"/>
      <c r="L2223" s="338"/>
      <c r="M2223" s="338"/>
      <c r="N2223" s="338"/>
      <c r="Q2223" s="338"/>
      <c r="R2223" s="338"/>
      <c r="S2223" s="338"/>
      <c r="T2223" s="338"/>
      <c r="U2223" s="338"/>
      <c r="X2223" s="338"/>
      <c r="Y2223" s="338"/>
      <c r="Z2223" s="338"/>
      <c r="AA2223" s="338"/>
      <c r="AB2223" s="338"/>
      <c r="AC2223" s="338"/>
      <c r="AD2223" s="338"/>
    </row>
    <row r="2224" spans="1:30">
      <c r="A2224" s="338"/>
      <c r="B2224" s="338"/>
      <c r="D2224" s="338"/>
      <c r="E2224" s="338"/>
      <c r="H2224" s="338"/>
      <c r="I2224" s="338"/>
      <c r="J2224" s="338"/>
      <c r="K2224" s="338"/>
      <c r="L2224" s="338"/>
      <c r="M2224" s="338"/>
      <c r="N2224" s="338"/>
      <c r="Q2224" s="338"/>
      <c r="R2224" s="338"/>
      <c r="S2224" s="338"/>
      <c r="T2224" s="338"/>
      <c r="U2224" s="338"/>
      <c r="X2224" s="338"/>
      <c r="Y2224" s="338"/>
      <c r="Z2224" s="338"/>
      <c r="AA2224" s="338"/>
      <c r="AB2224" s="338"/>
      <c r="AC2224" s="338"/>
      <c r="AD2224" s="338"/>
    </row>
    <row r="2225" spans="1:30">
      <c r="A2225" s="338"/>
      <c r="B2225" s="338"/>
      <c r="D2225" s="338"/>
      <c r="E2225" s="338"/>
      <c r="H2225" s="338"/>
      <c r="I2225" s="338"/>
      <c r="J2225" s="338"/>
      <c r="K2225" s="338"/>
      <c r="L2225" s="338"/>
      <c r="M2225" s="338"/>
      <c r="N2225" s="338"/>
      <c r="Q2225" s="338"/>
      <c r="R2225" s="338"/>
      <c r="S2225" s="338"/>
      <c r="T2225" s="338"/>
      <c r="U2225" s="338"/>
      <c r="X2225" s="338"/>
      <c r="Y2225" s="338"/>
      <c r="Z2225" s="338"/>
      <c r="AA2225" s="338"/>
      <c r="AB2225" s="338"/>
      <c r="AC2225" s="338"/>
      <c r="AD2225" s="338"/>
    </row>
    <row r="2226" spans="1:30">
      <c r="A2226" s="338"/>
      <c r="B2226" s="338"/>
      <c r="D2226" s="338"/>
      <c r="E2226" s="338"/>
      <c r="H2226" s="338"/>
      <c r="I2226" s="338"/>
      <c r="J2226" s="338"/>
      <c r="K2226" s="338"/>
      <c r="L2226" s="338"/>
      <c r="M2226" s="338"/>
      <c r="N2226" s="338"/>
      <c r="Q2226" s="338"/>
      <c r="R2226" s="338"/>
      <c r="S2226" s="338"/>
      <c r="T2226" s="338"/>
      <c r="U2226" s="338"/>
      <c r="X2226" s="338"/>
      <c r="Y2226" s="338"/>
      <c r="Z2226" s="338"/>
      <c r="AA2226" s="338"/>
      <c r="AB2226" s="338"/>
      <c r="AC2226" s="338"/>
      <c r="AD2226" s="338"/>
    </row>
    <row r="2227" spans="1:30">
      <c r="A2227" s="338"/>
      <c r="B2227" s="338"/>
      <c r="D2227" s="338"/>
      <c r="E2227" s="338"/>
      <c r="H2227" s="338"/>
      <c r="I2227" s="338"/>
      <c r="J2227" s="338"/>
      <c r="K2227" s="338"/>
      <c r="L2227" s="338"/>
      <c r="M2227" s="338"/>
      <c r="N2227" s="338"/>
      <c r="Q2227" s="338"/>
      <c r="R2227" s="338"/>
      <c r="S2227" s="338"/>
      <c r="T2227" s="338"/>
      <c r="U2227" s="338"/>
      <c r="X2227" s="338"/>
      <c r="Y2227" s="338"/>
      <c r="Z2227" s="338"/>
      <c r="AA2227" s="338"/>
      <c r="AB2227" s="338"/>
      <c r="AC2227" s="338"/>
      <c r="AD2227" s="338"/>
    </row>
    <row r="2228" spans="1:30">
      <c r="A2228" s="338"/>
      <c r="B2228" s="338"/>
      <c r="D2228" s="338"/>
      <c r="E2228" s="338"/>
      <c r="H2228" s="338"/>
      <c r="I2228" s="338"/>
      <c r="J2228" s="338"/>
      <c r="K2228" s="338"/>
      <c r="L2228" s="338"/>
      <c r="M2228" s="338"/>
      <c r="N2228" s="338"/>
      <c r="Q2228" s="338"/>
      <c r="R2228" s="338"/>
      <c r="S2228" s="338"/>
      <c r="T2228" s="338"/>
      <c r="U2228" s="338"/>
      <c r="X2228" s="338"/>
      <c r="Y2228" s="338"/>
      <c r="Z2228" s="338"/>
      <c r="AA2228" s="338"/>
      <c r="AB2228" s="338"/>
      <c r="AC2228" s="338"/>
      <c r="AD2228" s="338"/>
    </row>
    <row r="2229" spans="1:30">
      <c r="A2229" s="338"/>
      <c r="B2229" s="338"/>
      <c r="D2229" s="338"/>
      <c r="E2229" s="338"/>
      <c r="H2229" s="338"/>
      <c r="I2229" s="338"/>
      <c r="J2229" s="338"/>
      <c r="K2229" s="338"/>
      <c r="L2229" s="338"/>
      <c r="M2229" s="338"/>
      <c r="N2229" s="338"/>
      <c r="Q2229" s="338"/>
      <c r="R2229" s="338"/>
      <c r="S2229" s="338"/>
      <c r="T2229" s="338"/>
      <c r="U2229" s="338"/>
      <c r="X2229" s="338"/>
      <c r="Y2229" s="338"/>
      <c r="Z2229" s="338"/>
      <c r="AA2229" s="338"/>
      <c r="AB2229" s="338"/>
      <c r="AC2229" s="338"/>
      <c r="AD2229" s="338"/>
    </row>
    <row r="2230" spans="1:30">
      <c r="A2230" s="338"/>
      <c r="B2230" s="338"/>
      <c r="D2230" s="338"/>
      <c r="E2230" s="338"/>
      <c r="H2230" s="338"/>
      <c r="I2230" s="338"/>
      <c r="J2230" s="338"/>
      <c r="K2230" s="338"/>
      <c r="L2230" s="338"/>
      <c r="M2230" s="338"/>
      <c r="N2230" s="338"/>
      <c r="Q2230" s="338"/>
      <c r="R2230" s="338"/>
      <c r="S2230" s="338"/>
      <c r="T2230" s="338"/>
      <c r="U2230" s="338"/>
      <c r="X2230" s="338"/>
      <c r="Y2230" s="338"/>
      <c r="Z2230" s="338"/>
      <c r="AA2230" s="338"/>
      <c r="AB2230" s="338"/>
      <c r="AC2230" s="338"/>
      <c r="AD2230" s="338"/>
    </row>
    <row r="2231" spans="1:30">
      <c r="A2231" s="338"/>
      <c r="B2231" s="338"/>
      <c r="D2231" s="338"/>
      <c r="E2231" s="338"/>
      <c r="H2231" s="338"/>
      <c r="I2231" s="338"/>
      <c r="J2231" s="338"/>
      <c r="K2231" s="338"/>
      <c r="L2231" s="338"/>
      <c r="M2231" s="338"/>
      <c r="N2231" s="338"/>
      <c r="Q2231" s="338"/>
      <c r="R2231" s="338"/>
      <c r="S2231" s="338"/>
      <c r="T2231" s="338"/>
      <c r="U2231" s="338"/>
      <c r="X2231" s="338"/>
      <c r="Y2231" s="338"/>
      <c r="Z2231" s="338"/>
      <c r="AA2231" s="338"/>
      <c r="AB2231" s="338"/>
      <c r="AC2231" s="338"/>
      <c r="AD2231" s="338"/>
    </row>
    <row r="2232" spans="1:30">
      <c r="A2232" s="338"/>
      <c r="B2232" s="338"/>
      <c r="D2232" s="338"/>
      <c r="E2232" s="338"/>
      <c r="H2232" s="338"/>
      <c r="I2232" s="338"/>
      <c r="J2232" s="338"/>
      <c r="K2232" s="338"/>
      <c r="L2232" s="338"/>
      <c r="M2232" s="338"/>
      <c r="N2232" s="338"/>
      <c r="Q2232" s="338"/>
      <c r="R2232" s="338"/>
      <c r="S2232" s="338"/>
      <c r="T2232" s="338"/>
      <c r="U2232" s="338"/>
      <c r="X2232" s="338"/>
      <c r="Y2232" s="338"/>
      <c r="Z2232" s="338"/>
      <c r="AA2232" s="338"/>
      <c r="AB2232" s="338"/>
      <c r="AC2232" s="338"/>
      <c r="AD2232" s="338"/>
    </row>
    <row r="2233" spans="1:30">
      <c r="A2233" s="338"/>
      <c r="B2233" s="338"/>
      <c r="D2233" s="338"/>
      <c r="E2233" s="338"/>
      <c r="H2233" s="338"/>
      <c r="I2233" s="338"/>
      <c r="J2233" s="338"/>
      <c r="K2233" s="338"/>
      <c r="L2233" s="338"/>
      <c r="M2233" s="338"/>
      <c r="N2233" s="338"/>
      <c r="Q2233" s="338"/>
      <c r="R2233" s="338"/>
      <c r="S2233" s="338"/>
      <c r="T2233" s="338"/>
      <c r="U2233" s="338"/>
      <c r="X2233" s="338"/>
      <c r="Y2233" s="338"/>
      <c r="Z2233" s="338"/>
      <c r="AA2233" s="338"/>
      <c r="AB2233" s="338"/>
      <c r="AC2233" s="338"/>
      <c r="AD2233" s="338"/>
    </row>
    <row r="2234" spans="1:30">
      <c r="A2234" s="338"/>
      <c r="B2234" s="338"/>
      <c r="D2234" s="338"/>
      <c r="E2234" s="338"/>
      <c r="H2234" s="338"/>
      <c r="I2234" s="338"/>
      <c r="J2234" s="338"/>
      <c r="K2234" s="338"/>
      <c r="L2234" s="338"/>
      <c r="M2234" s="338"/>
      <c r="N2234" s="338"/>
      <c r="Q2234" s="338"/>
      <c r="R2234" s="338"/>
      <c r="S2234" s="338"/>
      <c r="T2234" s="338"/>
      <c r="U2234" s="338"/>
      <c r="X2234" s="338"/>
      <c r="Y2234" s="338"/>
      <c r="Z2234" s="338"/>
      <c r="AA2234" s="338"/>
      <c r="AB2234" s="338"/>
      <c r="AC2234" s="338"/>
      <c r="AD2234" s="338"/>
    </row>
    <row r="2235" spans="1:30">
      <c r="A2235" s="338"/>
      <c r="B2235" s="338"/>
      <c r="D2235" s="338"/>
      <c r="E2235" s="338"/>
      <c r="H2235" s="338"/>
      <c r="I2235" s="338"/>
      <c r="J2235" s="338"/>
      <c r="K2235" s="338"/>
      <c r="L2235" s="338"/>
      <c r="M2235" s="338"/>
      <c r="N2235" s="338"/>
      <c r="Q2235" s="338"/>
      <c r="R2235" s="338"/>
      <c r="S2235" s="338"/>
      <c r="T2235" s="338"/>
      <c r="U2235" s="338"/>
      <c r="X2235" s="338"/>
      <c r="Y2235" s="338"/>
      <c r="Z2235" s="338"/>
      <c r="AA2235" s="338"/>
      <c r="AB2235" s="338"/>
      <c r="AC2235" s="338"/>
      <c r="AD2235" s="338"/>
    </row>
    <row r="2236" spans="1:30">
      <c r="A2236" s="338"/>
      <c r="B2236" s="338"/>
      <c r="D2236" s="338"/>
      <c r="E2236" s="338"/>
      <c r="H2236" s="338"/>
      <c r="I2236" s="338"/>
      <c r="J2236" s="338"/>
      <c r="K2236" s="338"/>
      <c r="L2236" s="338"/>
      <c r="M2236" s="338"/>
      <c r="N2236" s="338"/>
      <c r="Q2236" s="338"/>
      <c r="R2236" s="338"/>
      <c r="S2236" s="338"/>
      <c r="T2236" s="338"/>
      <c r="U2236" s="338"/>
      <c r="X2236" s="338"/>
      <c r="Y2236" s="338"/>
      <c r="Z2236" s="338"/>
      <c r="AA2236" s="338"/>
      <c r="AB2236" s="338"/>
      <c r="AC2236" s="338"/>
      <c r="AD2236" s="338"/>
    </row>
    <row r="2237" spans="1:30">
      <c r="A2237" s="338"/>
      <c r="B2237" s="338"/>
      <c r="D2237" s="338"/>
      <c r="E2237" s="338"/>
      <c r="H2237" s="338"/>
      <c r="I2237" s="338"/>
      <c r="J2237" s="338"/>
      <c r="K2237" s="338"/>
      <c r="L2237" s="338"/>
      <c r="M2237" s="338"/>
      <c r="N2237" s="338"/>
      <c r="Q2237" s="338"/>
      <c r="R2237" s="338"/>
      <c r="S2237" s="338"/>
      <c r="T2237" s="338"/>
      <c r="U2237" s="338"/>
      <c r="X2237" s="338"/>
      <c r="Y2237" s="338"/>
      <c r="Z2237" s="338"/>
      <c r="AA2237" s="338"/>
      <c r="AB2237" s="338"/>
      <c r="AC2237" s="338"/>
      <c r="AD2237" s="338"/>
    </row>
    <row r="2238" spans="1:30">
      <c r="A2238" s="338"/>
      <c r="B2238" s="338"/>
      <c r="D2238" s="338"/>
      <c r="E2238" s="338"/>
      <c r="H2238" s="338"/>
      <c r="I2238" s="338"/>
      <c r="J2238" s="338"/>
      <c r="K2238" s="338"/>
      <c r="L2238" s="338"/>
      <c r="M2238" s="338"/>
      <c r="N2238" s="338"/>
      <c r="Q2238" s="338"/>
      <c r="R2238" s="338"/>
      <c r="S2238" s="338"/>
      <c r="T2238" s="338"/>
      <c r="U2238" s="338"/>
      <c r="X2238" s="338"/>
      <c r="Y2238" s="338"/>
      <c r="Z2238" s="338"/>
      <c r="AA2238" s="338"/>
      <c r="AB2238" s="338"/>
      <c r="AC2238" s="338"/>
      <c r="AD2238" s="338"/>
    </row>
    <row r="2239" spans="1:30">
      <c r="A2239" s="338"/>
      <c r="B2239" s="338"/>
      <c r="D2239" s="338"/>
      <c r="E2239" s="338"/>
      <c r="H2239" s="338"/>
      <c r="I2239" s="338"/>
      <c r="J2239" s="338"/>
      <c r="K2239" s="338"/>
      <c r="L2239" s="338"/>
      <c r="M2239" s="338"/>
      <c r="N2239" s="338"/>
      <c r="Q2239" s="338"/>
      <c r="R2239" s="338"/>
      <c r="S2239" s="338"/>
      <c r="T2239" s="338"/>
      <c r="U2239" s="338"/>
      <c r="X2239" s="338"/>
      <c r="Y2239" s="338"/>
      <c r="Z2239" s="338"/>
      <c r="AA2239" s="338"/>
      <c r="AB2239" s="338"/>
      <c r="AC2239" s="338"/>
      <c r="AD2239" s="338"/>
    </row>
    <row r="2240" spans="1:30">
      <c r="A2240" s="338"/>
      <c r="B2240" s="338"/>
      <c r="D2240" s="338"/>
      <c r="E2240" s="338"/>
      <c r="H2240" s="338"/>
      <c r="I2240" s="338"/>
      <c r="J2240" s="338"/>
      <c r="K2240" s="338"/>
      <c r="L2240" s="338"/>
      <c r="M2240" s="338"/>
      <c r="N2240" s="338"/>
      <c r="Q2240" s="338"/>
      <c r="R2240" s="338"/>
      <c r="S2240" s="338"/>
      <c r="T2240" s="338"/>
      <c r="U2240" s="338"/>
      <c r="X2240" s="338"/>
      <c r="Y2240" s="338"/>
      <c r="Z2240" s="338"/>
      <c r="AA2240" s="338"/>
      <c r="AB2240" s="338"/>
      <c r="AC2240" s="338"/>
      <c r="AD2240" s="338"/>
    </row>
    <row r="2241" spans="1:30">
      <c r="A2241" s="338"/>
      <c r="B2241" s="338"/>
      <c r="D2241" s="338"/>
      <c r="E2241" s="338"/>
      <c r="H2241" s="338"/>
      <c r="I2241" s="338"/>
      <c r="J2241" s="338"/>
      <c r="K2241" s="338"/>
      <c r="L2241" s="338"/>
      <c r="M2241" s="338"/>
      <c r="N2241" s="338"/>
      <c r="Q2241" s="338"/>
      <c r="R2241" s="338"/>
      <c r="S2241" s="338"/>
      <c r="T2241" s="338"/>
      <c r="U2241" s="338"/>
      <c r="X2241" s="338"/>
      <c r="Y2241" s="338"/>
      <c r="Z2241" s="338"/>
      <c r="AA2241" s="338"/>
      <c r="AB2241" s="338"/>
      <c r="AC2241" s="338"/>
      <c r="AD2241" s="338"/>
    </row>
    <row r="2242" spans="1:30">
      <c r="A2242" s="338"/>
      <c r="B2242" s="338"/>
      <c r="D2242" s="338"/>
      <c r="E2242" s="338"/>
      <c r="H2242" s="338"/>
      <c r="I2242" s="338"/>
      <c r="J2242" s="338"/>
      <c r="K2242" s="338"/>
      <c r="L2242" s="338"/>
      <c r="M2242" s="338"/>
      <c r="N2242" s="338"/>
      <c r="Q2242" s="338"/>
      <c r="R2242" s="338"/>
      <c r="S2242" s="338"/>
      <c r="T2242" s="338"/>
      <c r="U2242" s="338"/>
      <c r="X2242" s="338"/>
      <c r="Y2242" s="338"/>
      <c r="Z2242" s="338"/>
      <c r="AA2242" s="338"/>
      <c r="AB2242" s="338"/>
      <c r="AC2242" s="338"/>
      <c r="AD2242" s="338"/>
    </row>
    <row r="2243" spans="1:30">
      <c r="A2243" s="338"/>
      <c r="B2243" s="338"/>
      <c r="D2243" s="338"/>
      <c r="E2243" s="338"/>
      <c r="H2243" s="338"/>
      <c r="I2243" s="338"/>
      <c r="J2243" s="338"/>
      <c r="K2243" s="338"/>
      <c r="L2243" s="338"/>
      <c r="M2243" s="338"/>
      <c r="N2243" s="338"/>
      <c r="Q2243" s="338"/>
      <c r="R2243" s="338"/>
      <c r="S2243" s="338"/>
      <c r="T2243" s="338"/>
      <c r="U2243" s="338"/>
      <c r="X2243" s="338"/>
      <c r="Y2243" s="338"/>
      <c r="Z2243" s="338"/>
      <c r="AA2243" s="338"/>
      <c r="AB2243" s="338"/>
      <c r="AC2243" s="338"/>
      <c r="AD2243" s="338"/>
    </row>
    <row r="2244" spans="1:30">
      <c r="A2244" s="338"/>
      <c r="B2244" s="338"/>
      <c r="D2244" s="338"/>
      <c r="E2244" s="338"/>
      <c r="H2244" s="338"/>
      <c r="I2244" s="338"/>
      <c r="J2244" s="338"/>
      <c r="K2244" s="338"/>
      <c r="L2244" s="338"/>
      <c r="M2244" s="338"/>
      <c r="N2244" s="338"/>
      <c r="Q2244" s="338"/>
      <c r="R2244" s="338"/>
      <c r="S2244" s="338"/>
      <c r="T2244" s="338"/>
      <c r="U2244" s="338"/>
      <c r="X2244" s="338"/>
      <c r="Y2244" s="338"/>
      <c r="Z2244" s="338"/>
      <c r="AA2244" s="338"/>
      <c r="AB2244" s="338"/>
      <c r="AC2244" s="338"/>
      <c r="AD2244" s="338"/>
    </row>
    <row r="2245" spans="1:30">
      <c r="A2245" s="338"/>
      <c r="B2245" s="338"/>
      <c r="D2245" s="338"/>
      <c r="E2245" s="338"/>
      <c r="H2245" s="338"/>
      <c r="I2245" s="338"/>
      <c r="J2245" s="338"/>
      <c r="K2245" s="338"/>
      <c r="L2245" s="338"/>
      <c r="M2245" s="338"/>
      <c r="N2245" s="338"/>
      <c r="Q2245" s="338"/>
      <c r="R2245" s="338"/>
      <c r="S2245" s="338"/>
      <c r="T2245" s="338"/>
      <c r="U2245" s="338"/>
      <c r="X2245" s="338"/>
      <c r="Y2245" s="338"/>
      <c r="Z2245" s="338"/>
      <c r="AA2245" s="338"/>
      <c r="AB2245" s="338"/>
      <c r="AC2245" s="338"/>
      <c r="AD2245" s="338"/>
    </row>
    <row r="2246" spans="1:30">
      <c r="A2246" s="338"/>
      <c r="B2246" s="338"/>
      <c r="D2246" s="338"/>
      <c r="E2246" s="338"/>
      <c r="H2246" s="338"/>
      <c r="I2246" s="338"/>
      <c r="J2246" s="338"/>
      <c r="K2246" s="338"/>
      <c r="L2246" s="338"/>
      <c r="M2246" s="338"/>
      <c r="N2246" s="338"/>
      <c r="Q2246" s="338"/>
      <c r="R2246" s="338"/>
      <c r="S2246" s="338"/>
      <c r="T2246" s="338"/>
      <c r="U2246" s="338"/>
      <c r="X2246" s="338"/>
      <c r="Y2246" s="338"/>
      <c r="Z2246" s="338"/>
      <c r="AA2246" s="338"/>
      <c r="AB2246" s="338"/>
      <c r="AC2246" s="338"/>
      <c r="AD2246" s="338"/>
    </row>
    <row r="2247" spans="1:30">
      <c r="A2247" s="338"/>
      <c r="B2247" s="338"/>
      <c r="D2247" s="338"/>
      <c r="E2247" s="338"/>
      <c r="H2247" s="338"/>
      <c r="I2247" s="338"/>
      <c r="J2247" s="338"/>
      <c r="K2247" s="338"/>
      <c r="L2247" s="338"/>
      <c r="M2247" s="338"/>
      <c r="N2247" s="338"/>
      <c r="Q2247" s="338"/>
      <c r="R2247" s="338"/>
      <c r="S2247" s="338"/>
      <c r="T2247" s="338"/>
      <c r="U2247" s="338"/>
      <c r="X2247" s="338"/>
      <c r="Y2247" s="338"/>
      <c r="Z2247" s="338"/>
      <c r="AA2247" s="338"/>
      <c r="AB2247" s="338"/>
      <c r="AC2247" s="338"/>
      <c r="AD2247" s="338"/>
    </row>
    <row r="2248" spans="1:30">
      <c r="A2248" s="338"/>
      <c r="B2248" s="338"/>
      <c r="D2248" s="338"/>
      <c r="E2248" s="338"/>
      <c r="H2248" s="338"/>
      <c r="I2248" s="338"/>
      <c r="J2248" s="338"/>
      <c r="K2248" s="338"/>
      <c r="L2248" s="338"/>
      <c r="M2248" s="338"/>
      <c r="N2248" s="338"/>
      <c r="Q2248" s="338"/>
      <c r="R2248" s="338"/>
      <c r="S2248" s="338"/>
      <c r="T2248" s="338"/>
      <c r="U2248" s="338"/>
      <c r="X2248" s="338"/>
      <c r="Y2248" s="338"/>
      <c r="Z2248" s="338"/>
      <c r="AA2248" s="338"/>
      <c r="AB2248" s="338"/>
      <c r="AC2248" s="338"/>
      <c r="AD2248" s="338"/>
    </row>
    <row r="2249" spans="1:30">
      <c r="A2249" s="338"/>
      <c r="B2249" s="338"/>
      <c r="D2249" s="338"/>
      <c r="E2249" s="338"/>
      <c r="H2249" s="338"/>
      <c r="I2249" s="338"/>
      <c r="J2249" s="338"/>
      <c r="K2249" s="338"/>
      <c r="L2249" s="338"/>
      <c r="M2249" s="338"/>
      <c r="N2249" s="338"/>
      <c r="Q2249" s="338"/>
      <c r="R2249" s="338"/>
      <c r="S2249" s="338"/>
      <c r="T2249" s="338"/>
      <c r="U2249" s="338"/>
      <c r="X2249" s="338"/>
      <c r="Y2249" s="338"/>
      <c r="Z2249" s="338"/>
      <c r="AA2249" s="338"/>
      <c r="AB2249" s="338"/>
      <c r="AC2249" s="338"/>
      <c r="AD2249" s="338"/>
    </row>
    <row r="2250" spans="1:30">
      <c r="A2250" s="338"/>
      <c r="B2250" s="338"/>
      <c r="D2250" s="338"/>
      <c r="E2250" s="338"/>
      <c r="H2250" s="338"/>
      <c r="I2250" s="338"/>
      <c r="J2250" s="338"/>
      <c r="K2250" s="338"/>
      <c r="L2250" s="338"/>
      <c r="M2250" s="338"/>
      <c r="N2250" s="338"/>
      <c r="Q2250" s="338"/>
      <c r="R2250" s="338"/>
      <c r="S2250" s="338"/>
      <c r="T2250" s="338"/>
      <c r="U2250" s="338"/>
      <c r="X2250" s="338"/>
      <c r="Y2250" s="338"/>
      <c r="Z2250" s="338"/>
      <c r="AA2250" s="338"/>
      <c r="AB2250" s="338"/>
      <c r="AC2250" s="338"/>
      <c r="AD2250" s="338"/>
    </row>
    <row r="2251" spans="1:30">
      <c r="A2251" s="338"/>
      <c r="B2251" s="338"/>
      <c r="D2251" s="338"/>
      <c r="E2251" s="338"/>
      <c r="H2251" s="338"/>
      <c r="I2251" s="338"/>
      <c r="J2251" s="338"/>
      <c r="K2251" s="338"/>
      <c r="L2251" s="338"/>
      <c r="M2251" s="338"/>
      <c r="N2251" s="338"/>
      <c r="Q2251" s="338"/>
      <c r="R2251" s="338"/>
      <c r="S2251" s="338"/>
      <c r="T2251" s="338"/>
      <c r="U2251" s="338"/>
      <c r="X2251" s="338"/>
      <c r="Y2251" s="338"/>
      <c r="Z2251" s="338"/>
      <c r="AA2251" s="338"/>
      <c r="AB2251" s="338"/>
      <c r="AC2251" s="338"/>
      <c r="AD2251" s="338"/>
    </row>
    <row r="2252" spans="1:30">
      <c r="A2252" s="338"/>
      <c r="B2252" s="338"/>
      <c r="D2252" s="338"/>
      <c r="E2252" s="338"/>
      <c r="H2252" s="338"/>
      <c r="I2252" s="338"/>
      <c r="J2252" s="338"/>
      <c r="K2252" s="338"/>
      <c r="L2252" s="338"/>
      <c r="M2252" s="338"/>
      <c r="N2252" s="338"/>
      <c r="Q2252" s="338"/>
      <c r="R2252" s="338"/>
      <c r="S2252" s="338"/>
      <c r="T2252" s="338"/>
      <c r="U2252" s="338"/>
      <c r="X2252" s="338"/>
      <c r="Y2252" s="338"/>
      <c r="Z2252" s="338"/>
      <c r="AA2252" s="338"/>
      <c r="AB2252" s="338"/>
      <c r="AC2252" s="338"/>
      <c r="AD2252" s="338"/>
    </row>
    <row r="2253" spans="1:30">
      <c r="A2253" s="338"/>
      <c r="B2253" s="338"/>
      <c r="D2253" s="338"/>
      <c r="E2253" s="338"/>
      <c r="H2253" s="338"/>
      <c r="I2253" s="338"/>
      <c r="J2253" s="338"/>
      <c r="K2253" s="338"/>
      <c r="L2253" s="338"/>
      <c r="M2253" s="338"/>
      <c r="N2253" s="338"/>
      <c r="Q2253" s="338"/>
      <c r="R2253" s="338"/>
      <c r="S2253" s="338"/>
      <c r="T2253" s="338"/>
      <c r="U2253" s="338"/>
      <c r="X2253" s="338"/>
      <c r="Y2253" s="338"/>
      <c r="Z2253" s="338"/>
      <c r="AA2253" s="338"/>
      <c r="AB2253" s="338"/>
      <c r="AC2253" s="338"/>
      <c r="AD2253" s="338"/>
    </row>
    <row r="2254" spans="1:30">
      <c r="A2254" s="338"/>
      <c r="B2254" s="338"/>
      <c r="D2254" s="338"/>
      <c r="E2254" s="338"/>
      <c r="H2254" s="338"/>
      <c r="I2254" s="338"/>
      <c r="J2254" s="338"/>
      <c r="K2254" s="338"/>
      <c r="L2254" s="338"/>
      <c r="M2254" s="338"/>
      <c r="N2254" s="338"/>
      <c r="Q2254" s="338"/>
      <c r="R2254" s="338"/>
      <c r="S2254" s="338"/>
      <c r="T2254" s="338"/>
      <c r="U2254" s="338"/>
      <c r="X2254" s="338"/>
      <c r="Y2254" s="338"/>
      <c r="Z2254" s="338"/>
      <c r="AA2254" s="338"/>
      <c r="AB2254" s="338"/>
      <c r="AC2254" s="338"/>
      <c r="AD2254" s="338"/>
    </row>
    <row r="2255" spans="1:30">
      <c r="A2255" s="338"/>
      <c r="B2255" s="338"/>
      <c r="D2255" s="338"/>
      <c r="E2255" s="338"/>
      <c r="H2255" s="338"/>
      <c r="I2255" s="338"/>
      <c r="J2255" s="338"/>
      <c r="K2255" s="338"/>
      <c r="L2255" s="338"/>
      <c r="M2255" s="338"/>
      <c r="N2255" s="338"/>
      <c r="Q2255" s="338"/>
      <c r="R2255" s="338"/>
      <c r="S2255" s="338"/>
      <c r="T2255" s="338"/>
      <c r="U2255" s="338"/>
      <c r="X2255" s="338"/>
      <c r="Y2255" s="338"/>
      <c r="Z2255" s="338"/>
      <c r="AA2255" s="338"/>
      <c r="AB2255" s="338"/>
      <c r="AC2255" s="338"/>
      <c r="AD2255" s="338"/>
    </row>
    <row r="2256" spans="1:30">
      <c r="A2256" s="338"/>
      <c r="B2256" s="338"/>
      <c r="D2256" s="338"/>
      <c r="E2256" s="338"/>
      <c r="H2256" s="338"/>
      <c r="I2256" s="338"/>
      <c r="J2256" s="338"/>
      <c r="K2256" s="338"/>
      <c r="L2256" s="338"/>
      <c r="M2256" s="338"/>
      <c r="N2256" s="338"/>
      <c r="Q2256" s="338"/>
      <c r="R2256" s="338"/>
      <c r="S2256" s="338"/>
      <c r="T2256" s="338"/>
      <c r="U2256" s="338"/>
      <c r="X2256" s="338"/>
      <c r="Y2256" s="338"/>
      <c r="Z2256" s="338"/>
      <c r="AA2256" s="338"/>
      <c r="AB2256" s="338"/>
      <c r="AC2256" s="338"/>
      <c r="AD2256" s="338"/>
    </row>
    <row r="2257" spans="1:30">
      <c r="A2257" s="338"/>
      <c r="B2257" s="338"/>
      <c r="D2257" s="338"/>
      <c r="E2257" s="338"/>
      <c r="H2257" s="338"/>
      <c r="I2257" s="338"/>
      <c r="J2257" s="338"/>
      <c r="K2257" s="338"/>
      <c r="L2257" s="338"/>
      <c r="M2257" s="338"/>
      <c r="N2257" s="338"/>
      <c r="Q2257" s="338"/>
      <c r="R2257" s="338"/>
      <c r="S2257" s="338"/>
      <c r="T2257" s="338"/>
      <c r="U2257" s="338"/>
      <c r="X2257" s="338"/>
      <c r="Y2257" s="338"/>
      <c r="Z2257" s="338"/>
      <c r="AA2257" s="338"/>
      <c r="AB2257" s="338"/>
      <c r="AC2257" s="338"/>
      <c r="AD2257" s="338"/>
    </row>
    <row r="2258" spans="1:30">
      <c r="A2258" s="338"/>
      <c r="B2258" s="338"/>
      <c r="D2258" s="338"/>
      <c r="E2258" s="338"/>
      <c r="H2258" s="338"/>
      <c r="I2258" s="338"/>
      <c r="J2258" s="338"/>
      <c r="K2258" s="338"/>
      <c r="L2258" s="338"/>
      <c r="M2258" s="338"/>
      <c r="N2258" s="338"/>
      <c r="Q2258" s="338"/>
      <c r="R2258" s="338"/>
      <c r="S2258" s="338"/>
      <c r="T2258" s="338"/>
      <c r="U2258" s="338"/>
      <c r="X2258" s="338"/>
      <c r="Y2258" s="338"/>
      <c r="Z2258" s="338"/>
      <c r="AA2258" s="338"/>
      <c r="AB2258" s="338"/>
      <c r="AC2258" s="338"/>
      <c r="AD2258" s="338"/>
    </row>
    <row r="2259" spans="1:30">
      <c r="A2259" s="338"/>
      <c r="B2259" s="338"/>
      <c r="D2259" s="338"/>
      <c r="E2259" s="338"/>
      <c r="H2259" s="338"/>
      <c r="I2259" s="338"/>
      <c r="J2259" s="338"/>
      <c r="K2259" s="338"/>
      <c r="L2259" s="338"/>
      <c r="M2259" s="338"/>
      <c r="N2259" s="338"/>
      <c r="Q2259" s="338"/>
      <c r="R2259" s="338"/>
      <c r="S2259" s="338"/>
      <c r="T2259" s="338"/>
      <c r="U2259" s="338"/>
      <c r="X2259" s="338"/>
      <c r="Y2259" s="338"/>
      <c r="Z2259" s="338"/>
      <c r="AA2259" s="338"/>
      <c r="AB2259" s="338"/>
      <c r="AC2259" s="338"/>
      <c r="AD2259" s="338"/>
    </row>
    <row r="2260" spans="1:30">
      <c r="A2260" s="338"/>
      <c r="B2260" s="338"/>
      <c r="D2260" s="338"/>
      <c r="E2260" s="338"/>
      <c r="H2260" s="338"/>
      <c r="I2260" s="338"/>
      <c r="J2260" s="338"/>
      <c r="K2260" s="338"/>
      <c r="L2260" s="338"/>
      <c r="M2260" s="338"/>
      <c r="N2260" s="338"/>
      <c r="Q2260" s="338"/>
      <c r="R2260" s="338"/>
      <c r="S2260" s="338"/>
      <c r="T2260" s="338"/>
      <c r="U2260" s="338"/>
      <c r="X2260" s="338"/>
      <c r="Y2260" s="338"/>
      <c r="Z2260" s="338"/>
      <c r="AA2260" s="338"/>
      <c r="AB2260" s="338"/>
      <c r="AC2260" s="338"/>
      <c r="AD2260" s="338"/>
    </row>
    <row r="2261" spans="1:30">
      <c r="A2261" s="338"/>
      <c r="B2261" s="338"/>
      <c r="D2261" s="338"/>
      <c r="E2261" s="338"/>
      <c r="H2261" s="338"/>
      <c r="I2261" s="338"/>
      <c r="J2261" s="338"/>
      <c r="K2261" s="338"/>
      <c r="L2261" s="338"/>
      <c r="M2261" s="338"/>
      <c r="N2261" s="338"/>
      <c r="Q2261" s="338"/>
      <c r="R2261" s="338"/>
      <c r="S2261" s="338"/>
      <c r="T2261" s="338"/>
      <c r="U2261" s="338"/>
      <c r="X2261" s="338"/>
      <c r="Y2261" s="338"/>
      <c r="Z2261" s="338"/>
      <c r="AA2261" s="338"/>
      <c r="AB2261" s="338"/>
      <c r="AC2261" s="338"/>
      <c r="AD2261" s="338"/>
    </row>
    <row r="2262" spans="1:30">
      <c r="A2262" s="338"/>
      <c r="B2262" s="338"/>
      <c r="D2262" s="338"/>
      <c r="E2262" s="338"/>
      <c r="H2262" s="338"/>
      <c r="I2262" s="338"/>
      <c r="J2262" s="338"/>
      <c r="K2262" s="338"/>
      <c r="L2262" s="338"/>
      <c r="M2262" s="338"/>
      <c r="N2262" s="338"/>
      <c r="Q2262" s="338"/>
      <c r="R2262" s="338"/>
      <c r="S2262" s="338"/>
      <c r="T2262" s="338"/>
      <c r="U2262" s="338"/>
      <c r="X2262" s="338"/>
      <c r="Y2262" s="338"/>
      <c r="Z2262" s="338"/>
      <c r="AA2262" s="338"/>
      <c r="AB2262" s="338"/>
      <c r="AC2262" s="338"/>
      <c r="AD2262" s="338"/>
    </row>
    <row r="2263" spans="1:30">
      <c r="A2263" s="338"/>
      <c r="B2263" s="338"/>
      <c r="D2263" s="338"/>
      <c r="E2263" s="338"/>
      <c r="H2263" s="338"/>
      <c r="I2263" s="338"/>
      <c r="J2263" s="338"/>
      <c r="K2263" s="338"/>
      <c r="L2263" s="338"/>
      <c r="M2263" s="338"/>
      <c r="N2263" s="338"/>
      <c r="Q2263" s="338"/>
      <c r="R2263" s="338"/>
      <c r="S2263" s="338"/>
      <c r="T2263" s="338"/>
      <c r="U2263" s="338"/>
      <c r="X2263" s="338"/>
      <c r="Y2263" s="338"/>
      <c r="Z2263" s="338"/>
      <c r="AA2263" s="338"/>
      <c r="AB2263" s="338"/>
      <c r="AC2263" s="338"/>
      <c r="AD2263" s="338"/>
    </row>
    <row r="2264" spans="1:30">
      <c r="A2264" s="338"/>
      <c r="B2264" s="338"/>
      <c r="D2264" s="338"/>
      <c r="E2264" s="338"/>
      <c r="H2264" s="338"/>
      <c r="I2264" s="338"/>
      <c r="J2264" s="338"/>
      <c r="K2264" s="338"/>
      <c r="L2264" s="338"/>
      <c r="M2264" s="338"/>
      <c r="N2264" s="338"/>
      <c r="Q2264" s="338"/>
      <c r="R2264" s="338"/>
      <c r="S2264" s="338"/>
      <c r="T2264" s="338"/>
      <c r="U2264" s="338"/>
      <c r="X2264" s="338"/>
      <c r="Y2264" s="338"/>
      <c r="Z2264" s="338"/>
      <c r="AA2264" s="338"/>
      <c r="AB2264" s="338"/>
      <c r="AC2264" s="338"/>
      <c r="AD2264" s="338"/>
    </row>
    <row r="2265" spans="1:30">
      <c r="A2265" s="338"/>
      <c r="B2265" s="338"/>
      <c r="D2265" s="338"/>
      <c r="E2265" s="338"/>
      <c r="H2265" s="338"/>
      <c r="I2265" s="338"/>
      <c r="J2265" s="338"/>
      <c r="K2265" s="338"/>
      <c r="L2265" s="338"/>
      <c r="M2265" s="338"/>
      <c r="N2265" s="338"/>
      <c r="Q2265" s="338"/>
      <c r="R2265" s="338"/>
      <c r="S2265" s="338"/>
      <c r="T2265" s="338"/>
      <c r="U2265" s="338"/>
      <c r="X2265" s="338"/>
      <c r="Y2265" s="338"/>
      <c r="Z2265" s="338"/>
      <c r="AA2265" s="338"/>
      <c r="AB2265" s="338"/>
      <c r="AC2265" s="338"/>
      <c r="AD2265" s="338"/>
    </row>
    <row r="2266" spans="1:30">
      <c r="A2266" s="338"/>
      <c r="B2266" s="338"/>
      <c r="D2266" s="338"/>
      <c r="E2266" s="338"/>
      <c r="H2266" s="338"/>
      <c r="I2266" s="338"/>
      <c r="J2266" s="338"/>
      <c r="K2266" s="338"/>
      <c r="L2266" s="338"/>
      <c r="M2266" s="338"/>
      <c r="N2266" s="338"/>
      <c r="Q2266" s="338"/>
      <c r="R2266" s="338"/>
      <c r="S2266" s="338"/>
      <c r="T2266" s="338"/>
      <c r="U2266" s="338"/>
      <c r="X2266" s="338"/>
      <c r="Y2266" s="338"/>
      <c r="Z2266" s="338"/>
      <c r="AA2266" s="338"/>
      <c r="AB2266" s="338"/>
      <c r="AC2266" s="338"/>
      <c r="AD2266" s="338"/>
    </row>
    <row r="2267" spans="1:30">
      <c r="A2267" s="338"/>
      <c r="B2267" s="338"/>
      <c r="D2267" s="338"/>
      <c r="E2267" s="338"/>
      <c r="H2267" s="338"/>
      <c r="I2267" s="338"/>
      <c r="J2267" s="338"/>
      <c r="K2267" s="338"/>
      <c r="L2267" s="338"/>
      <c r="M2267" s="338"/>
      <c r="N2267" s="338"/>
      <c r="Q2267" s="338"/>
      <c r="R2267" s="338"/>
      <c r="S2267" s="338"/>
      <c r="T2267" s="338"/>
      <c r="U2267" s="338"/>
      <c r="X2267" s="338"/>
      <c r="Y2267" s="338"/>
      <c r="Z2267" s="338"/>
      <c r="AA2267" s="338"/>
      <c r="AB2267" s="338"/>
      <c r="AC2267" s="338"/>
      <c r="AD2267" s="338"/>
    </row>
    <row r="2268" spans="1:30">
      <c r="A2268" s="338"/>
      <c r="B2268" s="338"/>
      <c r="D2268" s="338"/>
      <c r="E2268" s="338"/>
      <c r="H2268" s="338"/>
      <c r="I2268" s="338"/>
      <c r="J2268" s="338"/>
      <c r="K2268" s="338"/>
      <c r="L2268" s="338"/>
      <c r="M2268" s="338"/>
      <c r="N2268" s="338"/>
      <c r="Q2268" s="338"/>
      <c r="R2268" s="338"/>
      <c r="S2268" s="338"/>
      <c r="T2268" s="338"/>
      <c r="U2268" s="338"/>
      <c r="X2268" s="338"/>
      <c r="Y2268" s="338"/>
      <c r="Z2268" s="338"/>
      <c r="AA2268" s="338"/>
      <c r="AB2268" s="338"/>
      <c r="AC2268" s="338"/>
      <c r="AD2268" s="338"/>
    </row>
    <row r="2269" spans="1:30">
      <c r="A2269" s="338"/>
      <c r="B2269" s="338"/>
      <c r="D2269" s="338"/>
      <c r="E2269" s="338"/>
      <c r="H2269" s="338"/>
      <c r="I2269" s="338"/>
      <c r="J2269" s="338"/>
      <c r="K2269" s="338"/>
      <c r="L2269" s="338"/>
      <c r="M2269" s="338"/>
      <c r="N2269" s="338"/>
      <c r="Q2269" s="338"/>
      <c r="R2269" s="338"/>
      <c r="S2269" s="338"/>
      <c r="T2269" s="338"/>
      <c r="U2269" s="338"/>
      <c r="X2269" s="338"/>
      <c r="Y2269" s="338"/>
      <c r="Z2269" s="338"/>
      <c r="AA2269" s="338"/>
      <c r="AB2269" s="338"/>
      <c r="AC2269" s="338"/>
      <c r="AD2269" s="338"/>
    </row>
    <row r="2270" spans="1:30">
      <c r="A2270" s="338"/>
      <c r="B2270" s="338"/>
      <c r="D2270" s="338"/>
      <c r="E2270" s="338"/>
      <c r="H2270" s="338"/>
      <c r="I2270" s="338"/>
      <c r="J2270" s="338"/>
      <c r="K2270" s="338"/>
      <c r="L2270" s="338"/>
      <c r="M2270" s="338"/>
      <c r="N2270" s="338"/>
      <c r="Q2270" s="338"/>
      <c r="R2270" s="338"/>
      <c r="S2270" s="338"/>
      <c r="T2270" s="338"/>
      <c r="U2270" s="338"/>
      <c r="X2270" s="338"/>
      <c r="Y2270" s="338"/>
      <c r="Z2270" s="338"/>
      <c r="AA2270" s="338"/>
      <c r="AB2270" s="338"/>
      <c r="AC2270" s="338"/>
      <c r="AD2270" s="338"/>
    </row>
    <row r="2271" spans="1:30">
      <c r="A2271" s="338"/>
      <c r="B2271" s="338"/>
      <c r="D2271" s="338"/>
      <c r="E2271" s="338"/>
      <c r="H2271" s="338"/>
      <c r="I2271" s="338"/>
      <c r="J2271" s="338"/>
      <c r="K2271" s="338"/>
      <c r="L2271" s="338"/>
      <c r="M2271" s="338"/>
      <c r="N2271" s="338"/>
      <c r="Q2271" s="338"/>
      <c r="R2271" s="338"/>
      <c r="S2271" s="338"/>
      <c r="T2271" s="338"/>
      <c r="U2271" s="338"/>
      <c r="X2271" s="338"/>
      <c r="Y2271" s="338"/>
      <c r="Z2271" s="338"/>
      <c r="AA2271" s="338"/>
      <c r="AB2271" s="338"/>
      <c r="AC2271" s="338"/>
      <c r="AD2271" s="338"/>
    </row>
    <row r="2272" spans="1:30">
      <c r="A2272" s="338"/>
      <c r="B2272" s="338"/>
      <c r="D2272" s="338"/>
      <c r="E2272" s="338"/>
      <c r="H2272" s="338"/>
      <c r="I2272" s="338"/>
      <c r="J2272" s="338"/>
      <c r="K2272" s="338"/>
      <c r="L2272" s="338"/>
      <c r="M2272" s="338"/>
      <c r="N2272" s="338"/>
      <c r="Q2272" s="338"/>
      <c r="R2272" s="338"/>
      <c r="S2272" s="338"/>
      <c r="T2272" s="338"/>
      <c r="U2272" s="338"/>
      <c r="X2272" s="338"/>
      <c r="Y2272" s="338"/>
      <c r="Z2272" s="338"/>
      <c r="AA2272" s="338"/>
      <c r="AB2272" s="338"/>
      <c r="AC2272" s="338"/>
      <c r="AD2272" s="338"/>
    </row>
    <row r="2273" spans="1:30">
      <c r="A2273" s="338"/>
      <c r="B2273" s="338"/>
      <c r="D2273" s="338"/>
      <c r="E2273" s="338"/>
      <c r="H2273" s="338"/>
      <c r="I2273" s="338"/>
      <c r="J2273" s="338"/>
      <c r="K2273" s="338"/>
      <c r="L2273" s="338"/>
      <c r="M2273" s="338"/>
      <c r="N2273" s="338"/>
      <c r="Q2273" s="338"/>
      <c r="R2273" s="338"/>
      <c r="S2273" s="338"/>
      <c r="T2273" s="338"/>
      <c r="U2273" s="338"/>
      <c r="X2273" s="338"/>
      <c r="Y2273" s="338"/>
      <c r="Z2273" s="338"/>
      <c r="AA2273" s="338"/>
      <c r="AB2273" s="338"/>
      <c r="AC2273" s="338"/>
      <c r="AD2273" s="338"/>
    </row>
    <row r="2274" spans="1:30">
      <c r="A2274" s="338"/>
      <c r="B2274" s="338"/>
      <c r="D2274" s="338"/>
      <c r="E2274" s="338"/>
      <c r="H2274" s="338"/>
      <c r="I2274" s="338"/>
      <c r="J2274" s="338"/>
      <c r="K2274" s="338"/>
      <c r="L2274" s="338"/>
      <c r="M2274" s="338"/>
      <c r="N2274" s="338"/>
      <c r="Q2274" s="338"/>
      <c r="R2274" s="338"/>
      <c r="S2274" s="338"/>
      <c r="T2274" s="338"/>
      <c r="U2274" s="338"/>
      <c r="X2274" s="338"/>
      <c r="Y2274" s="338"/>
      <c r="Z2274" s="338"/>
      <c r="AA2274" s="338"/>
      <c r="AB2274" s="338"/>
      <c r="AC2274" s="338"/>
      <c r="AD2274" s="338"/>
    </row>
    <row r="2275" spans="1:30">
      <c r="A2275" s="338"/>
      <c r="B2275" s="338"/>
      <c r="D2275" s="338"/>
      <c r="E2275" s="338"/>
      <c r="H2275" s="338"/>
      <c r="I2275" s="338"/>
      <c r="J2275" s="338"/>
      <c r="K2275" s="338"/>
      <c r="L2275" s="338"/>
      <c r="M2275" s="338"/>
      <c r="N2275" s="338"/>
      <c r="Q2275" s="338"/>
      <c r="R2275" s="338"/>
      <c r="S2275" s="338"/>
      <c r="T2275" s="338"/>
      <c r="U2275" s="338"/>
      <c r="X2275" s="338"/>
      <c r="Y2275" s="338"/>
      <c r="Z2275" s="338"/>
      <c r="AA2275" s="338"/>
      <c r="AB2275" s="338"/>
      <c r="AC2275" s="338"/>
      <c r="AD2275" s="338"/>
    </row>
    <row r="2276" spans="1:30">
      <c r="A2276" s="338"/>
      <c r="B2276" s="338"/>
      <c r="D2276" s="338"/>
      <c r="E2276" s="338"/>
      <c r="H2276" s="338"/>
      <c r="I2276" s="338"/>
      <c r="J2276" s="338"/>
      <c r="K2276" s="338"/>
      <c r="L2276" s="338"/>
      <c r="M2276" s="338"/>
      <c r="N2276" s="338"/>
      <c r="Q2276" s="338"/>
      <c r="R2276" s="338"/>
      <c r="S2276" s="338"/>
      <c r="T2276" s="338"/>
      <c r="U2276" s="338"/>
      <c r="X2276" s="338"/>
      <c r="Y2276" s="338"/>
      <c r="Z2276" s="338"/>
      <c r="AA2276" s="338"/>
      <c r="AB2276" s="338"/>
      <c r="AC2276" s="338"/>
      <c r="AD2276" s="338"/>
    </row>
    <row r="2277" spans="1:30">
      <c r="A2277" s="338"/>
      <c r="B2277" s="338"/>
      <c r="D2277" s="338"/>
      <c r="E2277" s="338"/>
      <c r="H2277" s="338"/>
      <c r="I2277" s="338"/>
      <c r="J2277" s="338"/>
      <c r="K2277" s="338"/>
      <c r="L2277" s="338"/>
      <c r="M2277" s="338"/>
      <c r="N2277" s="338"/>
      <c r="Q2277" s="338"/>
      <c r="R2277" s="338"/>
      <c r="S2277" s="338"/>
      <c r="T2277" s="338"/>
      <c r="U2277" s="338"/>
      <c r="X2277" s="338"/>
      <c r="Y2277" s="338"/>
      <c r="Z2277" s="338"/>
      <c r="AA2277" s="338"/>
      <c r="AB2277" s="338"/>
      <c r="AC2277" s="338"/>
      <c r="AD2277" s="338"/>
    </row>
    <row r="2278" spans="1:30">
      <c r="A2278" s="338"/>
      <c r="B2278" s="338"/>
      <c r="D2278" s="338"/>
      <c r="E2278" s="338"/>
      <c r="H2278" s="338"/>
      <c r="I2278" s="338"/>
      <c r="J2278" s="338"/>
      <c r="K2278" s="338"/>
      <c r="L2278" s="338"/>
      <c r="M2278" s="338"/>
      <c r="N2278" s="338"/>
      <c r="Q2278" s="338"/>
      <c r="R2278" s="338"/>
      <c r="S2278" s="338"/>
      <c r="T2278" s="338"/>
      <c r="U2278" s="338"/>
      <c r="X2278" s="338"/>
      <c r="Y2278" s="338"/>
      <c r="Z2278" s="338"/>
      <c r="AA2278" s="338"/>
      <c r="AB2278" s="338"/>
      <c r="AC2278" s="338"/>
      <c r="AD2278" s="338"/>
    </row>
    <row r="2279" spans="1:30">
      <c r="A2279" s="338"/>
      <c r="B2279" s="338"/>
      <c r="D2279" s="338"/>
      <c r="E2279" s="338"/>
      <c r="H2279" s="338"/>
      <c r="I2279" s="338"/>
      <c r="J2279" s="338"/>
      <c r="K2279" s="338"/>
      <c r="L2279" s="338"/>
      <c r="M2279" s="338"/>
      <c r="N2279" s="338"/>
      <c r="Q2279" s="338"/>
      <c r="R2279" s="338"/>
      <c r="S2279" s="338"/>
      <c r="T2279" s="338"/>
      <c r="U2279" s="338"/>
      <c r="X2279" s="338"/>
      <c r="Y2279" s="338"/>
      <c r="Z2279" s="338"/>
      <c r="AA2279" s="338"/>
      <c r="AB2279" s="338"/>
      <c r="AC2279" s="338"/>
      <c r="AD2279" s="338"/>
    </row>
    <row r="2280" spans="1:30">
      <c r="A2280" s="338"/>
      <c r="B2280" s="338"/>
      <c r="D2280" s="338"/>
      <c r="E2280" s="338"/>
      <c r="H2280" s="338"/>
      <c r="I2280" s="338"/>
      <c r="J2280" s="338"/>
      <c r="K2280" s="338"/>
      <c r="L2280" s="338"/>
      <c r="M2280" s="338"/>
      <c r="N2280" s="338"/>
      <c r="Q2280" s="338"/>
      <c r="R2280" s="338"/>
      <c r="S2280" s="338"/>
      <c r="T2280" s="338"/>
      <c r="U2280" s="338"/>
      <c r="X2280" s="338"/>
      <c r="Y2280" s="338"/>
      <c r="Z2280" s="338"/>
      <c r="AA2280" s="338"/>
      <c r="AB2280" s="338"/>
      <c r="AC2280" s="338"/>
      <c r="AD2280" s="338"/>
    </row>
    <row r="2281" spans="1:30">
      <c r="A2281" s="338"/>
      <c r="B2281" s="338"/>
      <c r="D2281" s="338"/>
      <c r="E2281" s="338"/>
      <c r="H2281" s="338"/>
      <c r="I2281" s="338"/>
      <c r="J2281" s="338"/>
      <c r="K2281" s="338"/>
      <c r="L2281" s="338"/>
      <c r="M2281" s="338"/>
      <c r="N2281" s="338"/>
      <c r="Q2281" s="338"/>
      <c r="R2281" s="338"/>
      <c r="S2281" s="338"/>
      <c r="T2281" s="338"/>
      <c r="U2281" s="338"/>
      <c r="X2281" s="338"/>
      <c r="Y2281" s="338"/>
      <c r="Z2281" s="338"/>
      <c r="AA2281" s="338"/>
      <c r="AB2281" s="338"/>
      <c r="AC2281" s="338"/>
      <c r="AD2281" s="338"/>
    </row>
    <row r="2282" spans="1:30">
      <c r="A2282" s="338"/>
      <c r="B2282" s="338"/>
      <c r="D2282" s="338"/>
      <c r="E2282" s="338"/>
      <c r="H2282" s="338"/>
      <c r="I2282" s="338"/>
      <c r="J2282" s="338"/>
      <c r="K2282" s="338"/>
      <c r="L2282" s="338"/>
      <c r="M2282" s="338"/>
      <c r="N2282" s="338"/>
      <c r="Q2282" s="338"/>
      <c r="R2282" s="338"/>
      <c r="S2282" s="338"/>
      <c r="T2282" s="338"/>
      <c r="U2282" s="338"/>
      <c r="X2282" s="338"/>
      <c r="Y2282" s="338"/>
      <c r="Z2282" s="338"/>
      <c r="AA2282" s="338"/>
      <c r="AB2282" s="338"/>
      <c r="AC2282" s="338"/>
      <c r="AD2282" s="338"/>
    </row>
    <row r="2283" spans="1:30">
      <c r="A2283" s="338"/>
      <c r="B2283" s="338"/>
      <c r="D2283" s="338"/>
      <c r="E2283" s="338"/>
      <c r="H2283" s="338"/>
      <c r="I2283" s="338"/>
      <c r="J2283" s="338"/>
      <c r="K2283" s="338"/>
      <c r="L2283" s="338"/>
      <c r="M2283" s="338"/>
      <c r="N2283" s="338"/>
      <c r="Q2283" s="338"/>
      <c r="R2283" s="338"/>
      <c r="S2283" s="338"/>
      <c r="T2283" s="338"/>
      <c r="U2283" s="338"/>
      <c r="X2283" s="338"/>
      <c r="Y2283" s="338"/>
      <c r="Z2283" s="338"/>
      <c r="AA2283" s="338"/>
      <c r="AB2283" s="338"/>
      <c r="AC2283" s="338"/>
      <c r="AD2283" s="338"/>
    </row>
    <row r="2284" spans="1:30">
      <c r="A2284" s="338"/>
      <c r="B2284" s="338"/>
      <c r="D2284" s="338"/>
      <c r="E2284" s="338"/>
      <c r="H2284" s="338"/>
      <c r="I2284" s="338"/>
      <c r="J2284" s="338"/>
      <c r="K2284" s="338"/>
      <c r="L2284" s="338"/>
      <c r="M2284" s="338"/>
      <c r="N2284" s="338"/>
      <c r="Q2284" s="338"/>
      <c r="R2284" s="338"/>
      <c r="S2284" s="338"/>
      <c r="T2284" s="338"/>
      <c r="U2284" s="338"/>
      <c r="X2284" s="338"/>
      <c r="Y2284" s="338"/>
      <c r="Z2284" s="338"/>
      <c r="AA2284" s="338"/>
      <c r="AB2284" s="338"/>
      <c r="AC2284" s="338"/>
      <c r="AD2284" s="338"/>
    </row>
    <row r="2285" spans="1:30">
      <c r="A2285" s="338"/>
      <c r="B2285" s="338"/>
      <c r="D2285" s="338"/>
      <c r="E2285" s="338"/>
      <c r="H2285" s="338"/>
      <c r="I2285" s="338"/>
      <c r="J2285" s="338"/>
      <c r="K2285" s="338"/>
      <c r="L2285" s="338"/>
      <c r="M2285" s="338"/>
      <c r="N2285" s="338"/>
      <c r="Q2285" s="338"/>
      <c r="R2285" s="338"/>
      <c r="S2285" s="338"/>
      <c r="T2285" s="338"/>
      <c r="U2285" s="338"/>
      <c r="X2285" s="338"/>
      <c r="Y2285" s="338"/>
      <c r="Z2285" s="338"/>
      <c r="AA2285" s="338"/>
      <c r="AB2285" s="338"/>
      <c r="AC2285" s="338"/>
      <c r="AD2285" s="338"/>
    </row>
    <row r="2286" spans="1:30">
      <c r="A2286" s="338"/>
      <c r="B2286" s="338"/>
      <c r="D2286" s="338"/>
      <c r="E2286" s="338"/>
      <c r="H2286" s="338"/>
      <c r="I2286" s="338"/>
      <c r="J2286" s="338"/>
      <c r="K2286" s="338"/>
      <c r="L2286" s="338"/>
      <c r="M2286" s="338"/>
      <c r="N2286" s="338"/>
      <c r="Q2286" s="338"/>
      <c r="R2286" s="338"/>
      <c r="S2286" s="338"/>
      <c r="T2286" s="338"/>
      <c r="U2286" s="338"/>
      <c r="X2286" s="338"/>
      <c r="Y2286" s="338"/>
      <c r="Z2286" s="338"/>
      <c r="AA2286" s="338"/>
      <c r="AB2286" s="338"/>
      <c r="AC2286" s="338"/>
      <c r="AD2286" s="338"/>
    </row>
    <row r="2287" spans="1:30">
      <c r="A2287" s="338"/>
      <c r="B2287" s="338"/>
      <c r="D2287" s="338"/>
      <c r="E2287" s="338"/>
      <c r="H2287" s="338"/>
      <c r="I2287" s="338"/>
      <c r="J2287" s="338"/>
      <c r="K2287" s="338"/>
      <c r="L2287" s="338"/>
      <c r="M2287" s="338"/>
      <c r="N2287" s="338"/>
      <c r="Q2287" s="338"/>
      <c r="R2287" s="338"/>
      <c r="S2287" s="338"/>
      <c r="T2287" s="338"/>
      <c r="U2287" s="338"/>
      <c r="X2287" s="338"/>
      <c r="Y2287" s="338"/>
      <c r="Z2287" s="338"/>
      <c r="AA2287" s="338"/>
      <c r="AB2287" s="338"/>
      <c r="AC2287" s="338"/>
      <c r="AD2287" s="338"/>
    </row>
    <row r="2288" spans="1:30">
      <c r="A2288" s="338"/>
      <c r="B2288" s="338"/>
      <c r="D2288" s="338"/>
      <c r="E2288" s="338"/>
      <c r="H2288" s="338"/>
      <c r="I2288" s="338"/>
      <c r="J2288" s="338"/>
      <c r="K2288" s="338"/>
      <c r="L2288" s="338"/>
      <c r="M2288" s="338"/>
      <c r="N2288" s="338"/>
      <c r="Q2288" s="338"/>
      <c r="R2288" s="338"/>
      <c r="S2288" s="338"/>
      <c r="T2288" s="338"/>
      <c r="U2288" s="338"/>
      <c r="X2288" s="338"/>
      <c r="Y2288" s="338"/>
      <c r="Z2288" s="338"/>
      <c r="AA2288" s="338"/>
      <c r="AB2288" s="338"/>
      <c r="AC2288" s="338"/>
      <c r="AD2288" s="338"/>
    </row>
    <row r="2289" spans="1:30">
      <c r="A2289" s="338"/>
      <c r="B2289" s="338"/>
      <c r="D2289" s="338"/>
      <c r="E2289" s="338"/>
      <c r="H2289" s="338"/>
      <c r="I2289" s="338"/>
      <c r="J2289" s="338"/>
      <c r="K2289" s="338"/>
      <c r="L2289" s="338"/>
      <c r="M2289" s="338"/>
      <c r="N2289" s="338"/>
      <c r="Q2289" s="338"/>
      <c r="R2289" s="338"/>
      <c r="S2289" s="338"/>
      <c r="T2289" s="338"/>
      <c r="U2289" s="338"/>
      <c r="X2289" s="338"/>
      <c r="Y2289" s="338"/>
      <c r="Z2289" s="338"/>
      <c r="AA2289" s="338"/>
      <c r="AB2289" s="338"/>
      <c r="AC2289" s="338"/>
      <c r="AD2289" s="338"/>
    </row>
    <row r="2290" spans="1:30">
      <c r="A2290" s="338"/>
      <c r="B2290" s="338"/>
      <c r="D2290" s="338"/>
      <c r="E2290" s="338"/>
      <c r="H2290" s="338"/>
      <c r="I2290" s="338"/>
      <c r="J2290" s="338"/>
      <c r="K2290" s="338"/>
      <c r="L2290" s="338"/>
      <c r="M2290" s="338"/>
      <c r="N2290" s="338"/>
      <c r="Q2290" s="338"/>
      <c r="R2290" s="338"/>
      <c r="S2290" s="338"/>
      <c r="T2290" s="338"/>
      <c r="U2290" s="338"/>
      <c r="X2290" s="338"/>
      <c r="Y2290" s="338"/>
      <c r="Z2290" s="338"/>
      <c r="AA2290" s="338"/>
      <c r="AB2290" s="338"/>
      <c r="AC2290" s="338"/>
      <c r="AD2290" s="338"/>
    </row>
    <row r="2291" spans="1:30">
      <c r="A2291" s="338"/>
      <c r="B2291" s="338"/>
      <c r="D2291" s="338"/>
      <c r="E2291" s="338"/>
      <c r="H2291" s="338"/>
      <c r="I2291" s="338"/>
      <c r="J2291" s="338"/>
      <c r="K2291" s="338"/>
      <c r="L2291" s="338"/>
      <c r="M2291" s="338"/>
      <c r="N2291" s="338"/>
      <c r="Q2291" s="338"/>
      <c r="R2291" s="338"/>
      <c r="S2291" s="338"/>
      <c r="T2291" s="338"/>
      <c r="U2291" s="338"/>
      <c r="X2291" s="338"/>
      <c r="Y2291" s="338"/>
      <c r="Z2291" s="338"/>
      <c r="AA2291" s="338"/>
      <c r="AB2291" s="338"/>
      <c r="AC2291" s="338"/>
      <c r="AD2291" s="338"/>
    </row>
    <row r="2292" spans="1:30">
      <c r="A2292" s="338"/>
      <c r="B2292" s="338"/>
      <c r="D2292" s="338"/>
      <c r="E2292" s="338"/>
      <c r="H2292" s="338"/>
      <c r="I2292" s="338"/>
      <c r="J2292" s="338"/>
      <c r="K2292" s="338"/>
      <c r="L2292" s="338"/>
      <c r="M2292" s="338"/>
      <c r="N2292" s="338"/>
      <c r="Q2292" s="338"/>
      <c r="R2292" s="338"/>
      <c r="S2292" s="338"/>
      <c r="T2292" s="338"/>
      <c r="U2292" s="338"/>
      <c r="X2292" s="338"/>
      <c r="Y2292" s="338"/>
      <c r="Z2292" s="338"/>
      <c r="AA2292" s="338"/>
      <c r="AB2292" s="338"/>
      <c r="AC2292" s="338"/>
      <c r="AD2292" s="338"/>
    </row>
    <row r="2293" spans="1:30">
      <c r="A2293" s="338"/>
      <c r="B2293" s="338"/>
      <c r="D2293" s="338"/>
      <c r="E2293" s="338"/>
      <c r="H2293" s="338"/>
      <c r="I2293" s="338"/>
      <c r="J2293" s="338"/>
      <c r="K2293" s="338"/>
      <c r="L2293" s="338"/>
      <c r="M2293" s="338"/>
      <c r="N2293" s="338"/>
      <c r="Q2293" s="338"/>
      <c r="R2293" s="338"/>
      <c r="S2293" s="338"/>
      <c r="T2293" s="338"/>
      <c r="U2293" s="338"/>
      <c r="X2293" s="338"/>
      <c r="Y2293" s="338"/>
      <c r="Z2293" s="338"/>
      <c r="AA2293" s="338"/>
      <c r="AB2293" s="338"/>
      <c r="AC2293" s="338"/>
      <c r="AD2293" s="338"/>
    </row>
    <row r="2294" spans="1:30">
      <c r="A2294" s="338"/>
      <c r="B2294" s="338"/>
      <c r="D2294" s="338"/>
      <c r="E2294" s="338"/>
      <c r="H2294" s="338"/>
      <c r="I2294" s="338"/>
      <c r="J2294" s="338"/>
      <c r="K2294" s="338"/>
      <c r="L2294" s="338"/>
      <c r="M2294" s="338"/>
      <c r="N2294" s="338"/>
      <c r="Q2294" s="338"/>
      <c r="R2294" s="338"/>
      <c r="S2294" s="338"/>
      <c r="T2294" s="338"/>
      <c r="U2294" s="338"/>
      <c r="X2294" s="338"/>
      <c r="Y2294" s="338"/>
      <c r="Z2294" s="338"/>
      <c r="AA2294" s="338"/>
      <c r="AB2294" s="338"/>
      <c r="AC2294" s="338"/>
      <c r="AD2294" s="338"/>
    </row>
    <row r="2295" spans="1:30">
      <c r="A2295" s="338"/>
      <c r="B2295" s="338"/>
      <c r="D2295" s="338"/>
      <c r="E2295" s="338"/>
      <c r="H2295" s="338"/>
      <c r="I2295" s="338"/>
      <c r="J2295" s="338"/>
      <c r="K2295" s="338"/>
      <c r="L2295" s="338"/>
      <c r="M2295" s="338"/>
      <c r="N2295" s="338"/>
      <c r="Q2295" s="338"/>
      <c r="R2295" s="338"/>
      <c r="S2295" s="338"/>
      <c r="T2295" s="338"/>
      <c r="U2295" s="338"/>
      <c r="X2295" s="338"/>
      <c r="Y2295" s="338"/>
      <c r="Z2295" s="338"/>
      <c r="AA2295" s="338"/>
      <c r="AB2295" s="338"/>
      <c r="AC2295" s="338"/>
      <c r="AD2295" s="338"/>
    </row>
    <row r="2296" spans="1:30">
      <c r="A2296" s="338"/>
      <c r="B2296" s="338"/>
      <c r="D2296" s="338"/>
      <c r="E2296" s="338"/>
      <c r="H2296" s="338"/>
      <c r="I2296" s="338"/>
      <c r="J2296" s="338"/>
      <c r="K2296" s="338"/>
      <c r="L2296" s="338"/>
      <c r="M2296" s="338"/>
      <c r="N2296" s="338"/>
      <c r="Q2296" s="338"/>
      <c r="R2296" s="338"/>
      <c r="S2296" s="338"/>
      <c r="T2296" s="338"/>
      <c r="U2296" s="338"/>
      <c r="X2296" s="338"/>
      <c r="Y2296" s="338"/>
      <c r="Z2296" s="338"/>
      <c r="AA2296" s="338"/>
      <c r="AB2296" s="338"/>
      <c r="AC2296" s="338"/>
      <c r="AD2296" s="338"/>
    </row>
    <row r="2297" spans="1:30">
      <c r="A2297" s="338"/>
      <c r="B2297" s="338"/>
      <c r="D2297" s="338"/>
      <c r="E2297" s="338"/>
      <c r="H2297" s="338"/>
      <c r="I2297" s="338"/>
      <c r="J2297" s="338"/>
      <c r="K2297" s="338"/>
      <c r="L2297" s="338"/>
      <c r="M2297" s="338"/>
      <c r="N2297" s="338"/>
      <c r="Q2297" s="338"/>
      <c r="R2297" s="338"/>
      <c r="S2297" s="338"/>
      <c r="T2297" s="338"/>
      <c r="U2297" s="338"/>
      <c r="X2297" s="338"/>
      <c r="Y2297" s="338"/>
      <c r="Z2297" s="338"/>
      <c r="AA2297" s="338"/>
      <c r="AB2297" s="338"/>
      <c r="AC2297" s="338"/>
      <c r="AD2297" s="338"/>
    </row>
    <row r="2298" spans="1:30">
      <c r="A2298" s="338"/>
      <c r="B2298" s="338"/>
      <c r="D2298" s="338"/>
      <c r="E2298" s="338"/>
      <c r="H2298" s="338"/>
      <c r="I2298" s="338"/>
      <c r="J2298" s="338"/>
      <c r="K2298" s="338"/>
      <c r="L2298" s="338"/>
      <c r="M2298" s="338"/>
      <c r="N2298" s="338"/>
      <c r="Q2298" s="338"/>
      <c r="R2298" s="338"/>
      <c r="S2298" s="338"/>
      <c r="T2298" s="338"/>
      <c r="U2298" s="338"/>
      <c r="X2298" s="338"/>
      <c r="Y2298" s="338"/>
      <c r="Z2298" s="338"/>
      <c r="AA2298" s="338"/>
      <c r="AB2298" s="338"/>
      <c r="AC2298" s="338"/>
      <c r="AD2298" s="338"/>
    </row>
    <row r="2299" spans="1:30">
      <c r="A2299" s="338"/>
      <c r="B2299" s="338"/>
      <c r="D2299" s="338"/>
      <c r="E2299" s="338"/>
      <c r="H2299" s="338"/>
      <c r="I2299" s="338"/>
      <c r="J2299" s="338"/>
      <c r="K2299" s="338"/>
      <c r="L2299" s="338"/>
      <c r="M2299" s="338"/>
      <c r="N2299" s="338"/>
      <c r="Q2299" s="338"/>
      <c r="R2299" s="338"/>
      <c r="S2299" s="338"/>
      <c r="T2299" s="338"/>
      <c r="U2299" s="338"/>
      <c r="X2299" s="338"/>
      <c r="Y2299" s="338"/>
      <c r="Z2299" s="338"/>
      <c r="AA2299" s="338"/>
      <c r="AB2299" s="338"/>
      <c r="AC2299" s="338"/>
      <c r="AD2299" s="338"/>
    </row>
    <row r="2300" spans="1:30">
      <c r="A2300" s="338"/>
      <c r="B2300" s="338"/>
      <c r="D2300" s="338"/>
      <c r="E2300" s="338"/>
      <c r="H2300" s="338"/>
      <c r="I2300" s="338"/>
      <c r="J2300" s="338"/>
      <c r="K2300" s="338"/>
      <c r="L2300" s="338"/>
      <c r="M2300" s="338"/>
      <c r="N2300" s="338"/>
      <c r="Q2300" s="338"/>
      <c r="R2300" s="338"/>
      <c r="S2300" s="338"/>
      <c r="T2300" s="338"/>
      <c r="U2300" s="338"/>
      <c r="X2300" s="338"/>
      <c r="Y2300" s="338"/>
      <c r="Z2300" s="338"/>
      <c r="AA2300" s="338"/>
      <c r="AB2300" s="338"/>
      <c r="AC2300" s="338"/>
      <c r="AD2300" s="338"/>
    </row>
    <row r="2301" spans="1:30">
      <c r="A2301" s="338"/>
      <c r="B2301" s="338"/>
      <c r="D2301" s="338"/>
      <c r="E2301" s="338"/>
      <c r="H2301" s="338"/>
      <c r="I2301" s="338"/>
      <c r="J2301" s="338"/>
      <c r="K2301" s="338"/>
      <c r="L2301" s="338"/>
      <c r="M2301" s="338"/>
      <c r="N2301" s="338"/>
      <c r="Q2301" s="338"/>
      <c r="R2301" s="338"/>
      <c r="S2301" s="338"/>
      <c r="T2301" s="338"/>
      <c r="U2301" s="338"/>
      <c r="X2301" s="338"/>
      <c r="Y2301" s="338"/>
      <c r="Z2301" s="338"/>
      <c r="AA2301" s="338"/>
      <c r="AB2301" s="338"/>
      <c r="AC2301" s="338"/>
      <c r="AD2301" s="338"/>
    </row>
    <row r="2302" spans="1:30">
      <c r="A2302" s="338"/>
      <c r="B2302" s="338"/>
      <c r="D2302" s="338"/>
      <c r="E2302" s="338"/>
      <c r="H2302" s="338"/>
      <c r="I2302" s="338"/>
      <c r="J2302" s="338"/>
      <c r="K2302" s="338"/>
      <c r="L2302" s="338"/>
      <c r="M2302" s="338"/>
      <c r="N2302" s="338"/>
      <c r="Q2302" s="338"/>
      <c r="R2302" s="338"/>
      <c r="S2302" s="338"/>
      <c r="T2302" s="338"/>
      <c r="U2302" s="338"/>
      <c r="X2302" s="338"/>
      <c r="Y2302" s="338"/>
      <c r="Z2302" s="338"/>
      <c r="AA2302" s="338"/>
      <c r="AB2302" s="338"/>
      <c r="AC2302" s="338"/>
      <c r="AD2302" s="338"/>
    </row>
    <row r="2303" spans="1:30">
      <c r="A2303" s="338"/>
      <c r="B2303" s="338"/>
      <c r="D2303" s="338"/>
      <c r="E2303" s="338"/>
      <c r="H2303" s="338"/>
      <c r="I2303" s="338"/>
      <c r="J2303" s="338"/>
      <c r="K2303" s="338"/>
      <c r="L2303" s="338"/>
      <c r="M2303" s="338"/>
      <c r="N2303" s="338"/>
      <c r="Q2303" s="338"/>
      <c r="R2303" s="338"/>
      <c r="S2303" s="338"/>
      <c r="T2303" s="338"/>
      <c r="U2303" s="338"/>
      <c r="X2303" s="338"/>
      <c r="Y2303" s="338"/>
      <c r="Z2303" s="338"/>
      <c r="AA2303" s="338"/>
      <c r="AB2303" s="338"/>
      <c r="AC2303" s="338"/>
      <c r="AD2303" s="338"/>
    </row>
    <row r="2304" spans="1:30">
      <c r="A2304" s="338"/>
      <c r="B2304" s="338"/>
      <c r="D2304" s="338"/>
      <c r="E2304" s="338"/>
      <c r="H2304" s="338"/>
      <c r="I2304" s="338"/>
      <c r="J2304" s="338"/>
      <c r="K2304" s="338"/>
      <c r="L2304" s="338"/>
      <c r="M2304" s="338"/>
      <c r="N2304" s="338"/>
      <c r="Q2304" s="338"/>
      <c r="R2304" s="338"/>
      <c r="S2304" s="338"/>
      <c r="T2304" s="338"/>
      <c r="U2304" s="338"/>
      <c r="X2304" s="338"/>
      <c r="Y2304" s="338"/>
      <c r="Z2304" s="338"/>
      <c r="AA2304" s="338"/>
      <c r="AB2304" s="338"/>
      <c r="AC2304" s="338"/>
      <c r="AD2304" s="338"/>
    </row>
    <row r="2305" spans="1:30">
      <c r="A2305" s="338"/>
      <c r="B2305" s="338"/>
      <c r="D2305" s="338"/>
      <c r="E2305" s="338"/>
      <c r="H2305" s="338"/>
      <c r="I2305" s="338"/>
      <c r="J2305" s="338"/>
      <c r="K2305" s="338"/>
      <c r="L2305" s="338"/>
      <c r="M2305" s="338"/>
      <c r="N2305" s="338"/>
      <c r="Q2305" s="338"/>
      <c r="R2305" s="338"/>
      <c r="S2305" s="338"/>
      <c r="T2305" s="338"/>
      <c r="U2305" s="338"/>
      <c r="X2305" s="338"/>
      <c r="Y2305" s="338"/>
      <c r="Z2305" s="338"/>
      <c r="AA2305" s="338"/>
      <c r="AB2305" s="338"/>
      <c r="AC2305" s="338"/>
      <c r="AD2305" s="338"/>
    </row>
    <row r="2306" spans="1:30">
      <c r="A2306" s="338"/>
      <c r="B2306" s="338"/>
      <c r="D2306" s="338"/>
      <c r="E2306" s="338"/>
      <c r="H2306" s="338"/>
      <c r="I2306" s="338"/>
      <c r="J2306" s="338"/>
      <c r="K2306" s="338"/>
      <c r="L2306" s="338"/>
      <c r="M2306" s="338"/>
      <c r="N2306" s="338"/>
      <c r="Q2306" s="338"/>
      <c r="R2306" s="338"/>
      <c r="S2306" s="338"/>
      <c r="T2306" s="338"/>
      <c r="U2306" s="338"/>
      <c r="X2306" s="338"/>
      <c r="Y2306" s="338"/>
      <c r="Z2306" s="338"/>
      <c r="AA2306" s="338"/>
      <c r="AB2306" s="338"/>
      <c r="AC2306" s="338"/>
      <c r="AD2306" s="338"/>
    </row>
    <row r="2307" spans="1:30">
      <c r="A2307" s="338"/>
      <c r="B2307" s="338"/>
      <c r="D2307" s="338"/>
      <c r="E2307" s="338"/>
      <c r="H2307" s="338"/>
      <c r="I2307" s="338"/>
      <c r="J2307" s="338"/>
      <c r="K2307" s="338"/>
      <c r="L2307" s="338"/>
      <c r="M2307" s="338"/>
      <c r="N2307" s="338"/>
      <c r="Q2307" s="338"/>
      <c r="R2307" s="338"/>
      <c r="S2307" s="338"/>
      <c r="T2307" s="338"/>
      <c r="U2307" s="338"/>
      <c r="X2307" s="338"/>
      <c r="Y2307" s="338"/>
      <c r="Z2307" s="338"/>
      <c r="AA2307" s="338"/>
      <c r="AB2307" s="338"/>
      <c r="AC2307" s="338"/>
      <c r="AD2307" s="338"/>
    </row>
    <row r="2308" spans="1:30">
      <c r="A2308" s="338"/>
      <c r="B2308" s="338"/>
      <c r="D2308" s="338"/>
      <c r="E2308" s="338"/>
      <c r="H2308" s="338"/>
      <c r="I2308" s="338"/>
      <c r="J2308" s="338"/>
      <c r="K2308" s="338"/>
      <c r="L2308" s="338"/>
      <c r="M2308" s="338"/>
      <c r="N2308" s="338"/>
      <c r="Q2308" s="338"/>
      <c r="R2308" s="338"/>
      <c r="S2308" s="338"/>
      <c r="T2308" s="338"/>
      <c r="U2308" s="338"/>
      <c r="X2308" s="338"/>
      <c r="Y2308" s="338"/>
      <c r="Z2308" s="338"/>
      <c r="AA2308" s="338"/>
      <c r="AB2308" s="338"/>
      <c r="AC2308" s="338"/>
      <c r="AD2308" s="338"/>
    </row>
    <row r="2309" spans="1:30">
      <c r="A2309" s="338"/>
      <c r="B2309" s="338"/>
      <c r="D2309" s="338"/>
      <c r="E2309" s="338"/>
      <c r="H2309" s="338"/>
      <c r="I2309" s="338"/>
      <c r="J2309" s="338"/>
      <c r="K2309" s="338"/>
      <c r="L2309" s="338"/>
      <c r="M2309" s="338"/>
      <c r="N2309" s="338"/>
      <c r="Q2309" s="338"/>
      <c r="R2309" s="338"/>
      <c r="S2309" s="338"/>
      <c r="T2309" s="338"/>
      <c r="U2309" s="338"/>
      <c r="X2309" s="338"/>
      <c r="Y2309" s="338"/>
      <c r="Z2309" s="338"/>
      <c r="AA2309" s="338"/>
      <c r="AB2309" s="338"/>
      <c r="AC2309" s="338"/>
      <c r="AD2309" s="338"/>
    </row>
    <row r="2310" spans="1:30">
      <c r="A2310" s="338"/>
      <c r="B2310" s="338"/>
      <c r="D2310" s="338"/>
      <c r="E2310" s="338"/>
      <c r="H2310" s="338"/>
      <c r="I2310" s="338"/>
      <c r="J2310" s="338"/>
      <c r="K2310" s="338"/>
      <c r="L2310" s="338"/>
      <c r="M2310" s="338"/>
      <c r="N2310" s="338"/>
      <c r="Q2310" s="338"/>
      <c r="R2310" s="338"/>
      <c r="S2310" s="338"/>
      <c r="T2310" s="338"/>
      <c r="U2310" s="338"/>
      <c r="X2310" s="338"/>
      <c r="Y2310" s="338"/>
      <c r="Z2310" s="338"/>
      <c r="AA2310" s="338"/>
      <c r="AB2310" s="338"/>
      <c r="AC2310" s="338"/>
      <c r="AD2310" s="338"/>
    </row>
    <row r="2311" spans="1:30">
      <c r="A2311" s="338"/>
      <c r="B2311" s="338"/>
      <c r="D2311" s="338"/>
      <c r="E2311" s="338"/>
      <c r="H2311" s="338"/>
      <c r="I2311" s="338"/>
      <c r="J2311" s="338"/>
      <c r="K2311" s="338"/>
      <c r="L2311" s="338"/>
      <c r="M2311" s="338"/>
      <c r="N2311" s="338"/>
      <c r="Q2311" s="338"/>
      <c r="R2311" s="338"/>
      <c r="S2311" s="338"/>
      <c r="T2311" s="338"/>
      <c r="U2311" s="338"/>
      <c r="X2311" s="338"/>
      <c r="Y2311" s="338"/>
      <c r="Z2311" s="338"/>
      <c r="AA2311" s="338"/>
      <c r="AB2311" s="338"/>
      <c r="AC2311" s="338"/>
      <c r="AD2311" s="338"/>
    </row>
    <row r="2312" spans="1:30">
      <c r="A2312" s="338"/>
      <c r="B2312" s="338"/>
      <c r="D2312" s="338"/>
      <c r="E2312" s="338"/>
      <c r="H2312" s="338"/>
      <c r="I2312" s="338"/>
      <c r="J2312" s="338"/>
      <c r="K2312" s="338"/>
      <c r="L2312" s="338"/>
      <c r="M2312" s="338"/>
      <c r="N2312" s="338"/>
      <c r="Q2312" s="338"/>
      <c r="R2312" s="338"/>
      <c r="S2312" s="338"/>
      <c r="T2312" s="338"/>
      <c r="U2312" s="338"/>
      <c r="X2312" s="338"/>
      <c r="Y2312" s="338"/>
      <c r="Z2312" s="338"/>
      <c r="AA2312" s="338"/>
      <c r="AB2312" s="338"/>
      <c r="AC2312" s="338"/>
      <c r="AD2312" s="338"/>
    </row>
    <row r="2313" spans="1:30">
      <c r="A2313" s="338"/>
      <c r="B2313" s="338"/>
      <c r="D2313" s="338"/>
      <c r="E2313" s="338"/>
      <c r="H2313" s="338"/>
      <c r="I2313" s="338"/>
      <c r="J2313" s="338"/>
      <c r="K2313" s="338"/>
      <c r="L2313" s="338"/>
      <c r="M2313" s="338"/>
      <c r="N2313" s="338"/>
      <c r="Q2313" s="338"/>
      <c r="R2313" s="338"/>
      <c r="S2313" s="338"/>
      <c r="T2313" s="338"/>
      <c r="U2313" s="338"/>
      <c r="X2313" s="338"/>
      <c r="Y2313" s="338"/>
      <c r="Z2313" s="338"/>
      <c r="AA2313" s="338"/>
      <c r="AB2313" s="338"/>
      <c r="AC2313" s="338"/>
      <c r="AD2313" s="338"/>
    </row>
    <row r="2314" spans="1:30">
      <c r="A2314" s="338"/>
      <c r="B2314" s="338"/>
      <c r="D2314" s="338"/>
      <c r="E2314" s="338"/>
      <c r="H2314" s="338"/>
      <c r="I2314" s="338"/>
      <c r="J2314" s="338"/>
      <c r="K2314" s="338"/>
      <c r="L2314" s="338"/>
      <c r="M2314" s="338"/>
      <c r="N2314" s="338"/>
      <c r="Q2314" s="338"/>
      <c r="R2314" s="338"/>
      <c r="S2314" s="338"/>
      <c r="T2314" s="338"/>
      <c r="U2314" s="338"/>
      <c r="X2314" s="338"/>
      <c r="Y2314" s="338"/>
      <c r="Z2314" s="338"/>
      <c r="AA2314" s="338"/>
      <c r="AB2314" s="338"/>
      <c r="AC2314" s="338"/>
      <c r="AD2314" s="338"/>
    </row>
    <row r="2315" spans="1:30">
      <c r="A2315" s="338"/>
      <c r="B2315" s="338"/>
      <c r="D2315" s="338"/>
      <c r="E2315" s="338"/>
      <c r="H2315" s="338"/>
      <c r="I2315" s="338"/>
      <c r="J2315" s="338"/>
      <c r="K2315" s="338"/>
      <c r="L2315" s="338"/>
      <c r="M2315" s="338"/>
      <c r="N2315" s="338"/>
      <c r="Q2315" s="338"/>
      <c r="R2315" s="338"/>
      <c r="S2315" s="338"/>
      <c r="T2315" s="338"/>
      <c r="U2315" s="338"/>
      <c r="X2315" s="338"/>
      <c r="Y2315" s="338"/>
      <c r="Z2315" s="338"/>
      <c r="AA2315" s="338"/>
      <c r="AB2315" s="338"/>
      <c r="AC2315" s="338"/>
      <c r="AD2315" s="338"/>
    </row>
    <row r="2316" spans="1:30">
      <c r="A2316" s="338"/>
      <c r="B2316" s="338"/>
      <c r="D2316" s="338"/>
      <c r="E2316" s="338"/>
      <c r="H2316" s="338"/>
      <c r="I2316" s="338"/>
      <c r="J2316" s="338"/>
      <c r="K2316" s="338"/>
      <c r="L2316" s="338"/>
      <c r="M2316" s="338"/>
      <c r="N2316" s="338"/>
      <c r="Q2316" s="338"/>
      <c r="R2316" s="338"/>
      <c r="S2316" s="338"/>
      <c r="T2316" s="338"/>
      <c r="U2316" s="338"/>
      <c r="X2316" s="338"/>
      <c r="Y2316" s="338"/>
      <c r="Z2316" s="338"/>
      <c r="AA2316" s="338"/>
      <c r="AB2316" s="338"/>
      <c r="AC2316" s="338"/>
      <c r="AD2316" s="338"/>
    </row>
    <row r="2317" spans="1:30">
      <c r="A2317" s="338"/>
      <c r="B2317" s="338"/>
      <c r="D2317" s="338"/>
      <c r="E2317" s="338"/>
      <c r="H2317" s="338"/>
      <c r="I2317" s="338"/>
      <c r="J2317" s="338"/>
      <c r="K2317" s="338"/>
      <c r="L2317" s="338"/>
      <c r="M2317" s="338"/>
      <c r="N2317" s="338"/>
      <c r="Q2317" s="338"/>
      <c r="R2317" s="338"/>
      <c r="S2317" s="338"/>
      <c r="T2317" s="338"/>
      <c r="U2317" s="338"/>
      <c r="X2317" s="338"/>
      <c r="Y2317" s="338"/>
      <c r="Z2317" s="338"/>
      <c r="AA2317" s="338"/>
      <c r="AB2317" s="338"/>
      <c r="AC2317" s="338"/>
      <c r="AD2317" s="338"/>
    </row>
    <row r="2318" spans="1:30">
      <c r="A2318" s="338"/>
      <c r="B2318" s="338"/>
      <c r="D2318" s="338"/>
      <c r="E2318" s="338"/>
      <c r="H2318" s="338"/>
      <c r="I2318" s="338"/>
      <c r="J2318" s="338"/>
      <c r="K2318" s="338"/>
      <c r="L2318" s="338"/>
      <c r="M2318" s="338"/>
      <c r="N2318" s="338"/>
      <c r="Q2318" s="338"/>
      <c r="R2318" s="338"/>
      <c r="S2318" s="338"/>
      <c r="T2318" s="338"/>
      <c r="U2318" s="338"/>
      <c r="X2318" s="338"/>
      <c r="Y2318" s="338"/>
      <c r="Z2318" s="338"/>
      <c r="AA2318" s="338"/>
      <c r="AB2318" s="338"/>
      <c r="AC2318" s="338"/>
      <c r="AD2318" s="338"/>
    </row>
    <row r="2319" spans="1:30">
      <c r="A2319" s="338"/>
      <c r="B2319" s="338"/>
      <c r="D2319" s="338"/>
      <c r="E2319" s="338"/>
      <c r="H2319" s="338"/>
      <c r="I2319" s="338"/>
      <c r="J2319" s="338"/>
      <c r="K2319" s="338"/>
      <c r="L2319" s="338"/>
      <c r="M2319" s="338"/>
      <c r="N2319" s="338"/>
      <c r="Q2319" s="338"/>
      <c r="R2319" s="338"/>
      <c r="S2319" s="338"/>
      <c r="T2319" s="338"/>
      <c r="U2319" s="338"/>
      <c r="X2319" s="338"/>
      <c r="Y2319" s="338"/>
      <c r="Z2319" s="338"/>
      <c r="AA2319" s="338"/>
      <c r="AB2319" s="338"/>
      <c r="AC2319" s="338"/>
      <c r="AD2319" s="338"/>
    </row>
    <row r="2320" spans="1:30">
      <c r="A2320" s="338"/>
      <c r="B2320" s="338"/>
      <c r="D2320" s="338"/>
      <c r="E2320" s="338"/>
      <c r="H2320" s="338"/>
      <c r="I2320" s="338"/>
      <c r="J2320" s="338"/>
      <c r="K2320" s="338"/>
      <c r="L2320" s="338"/>
      <c r="M2320" s="338"/>
      <c r="N2320" s="338"/>
      <c r="Q2320" s="338"/>
      <c r="R2320" s="338"/>
      <c r="S2320" s="338"/>
      <c r="T2320" s="338"/>
      <c r="U2320" s="338"/>
      <c r="X2320" s="338"/>
      <c r="Y2320" s="338"/>
      <c r="Z2320" s="338"/>
      <c r="AA2320" s="338"/>
      <c r="AB2320" s="338"/>
      <c r="AC2320" s="338"/>
      <c r="AD2320" s="338"/>
    </row>
    <row r="2321" spans="1:30">
      <c r="A2321" s="338"/>
      <c r="B2321" s="338"/>
      <c r="D2321" s="338"/>
      <c r="E2321" s="338"/>
      <c r="H2321" s="338"/>
      <c r="I2321" s="338"/>
      <c r="J2321" s="338"/>
      <c r="K2321" s="338"/>
      <c r="L2321" s="338"/>
      <c r="M2321" s="338"/>
      <c r="N2321" s="338"/>
      <c r="Q2321" s="338"/>
      <c r="R2321" s="338"/>
      <c r="S2321" s="338"/>
      <c r="T2321" s="338"/>
      <c r="U2321" s="338"/>
      <c r="X2321" s="338"/>
      <c r="Y2321" s="338"/>
      <c r="Z2321" s="338"/>
      <c r="AA2321" s="338"/>
      <c r="AB2321" s="338"/>
      <c r="AC2321" s="338"/>
      <c r="AD2321" s="338"/>
    </row>
    <row r="2322" spans="1:30">
      <c r="A2322" s="338"/>
      <c r="B2322" s="338"/>
      <c r="D2322" s="338"/>
      <c r="E2322" s="338"/>
      <c r="H2322" s="338"/>
      <c r="I2322" s="338"/>
      <c r="J2322" s="338"/>
      <c r="K2322" s="338"/>
      <c r="L2322" s="338"/>
      <c r="M2322" s="338"/>
      <c r="N2322" s="338"/>
      <c r="Q2322" s="338"/>
      <c r="R2322" s="338"/>
      <c r="S2322" s="338"/>
      <c r="T2322" s="338"/>
      <c r="U2322" s="338"/>
      <c r="X2322" s="338"/>
      <c r="Y2322" s="338"/>
      <c r="Z2322" s="338"/>
      <c r="AA2322" s="338"/>
      <c r="AB2322" s="338"/>
      <c r="AC2322" s="338"/>
      <c r="AD2322" s="338"/>
    </row>
    <row r="2323" spans="1:30">
      <c r="A2323" s="338"/>
      <c r="B2323" s="338"/>
      <c r="D2323" s="338"/>
      <c r="E2323" s="338"/>
      <c r="H2323" s="338"/>
      <c r="I2323" s="338"/>
      <c r="J2323" s="338"/>
      <c r="K2323" s="338"/>
      <c r="L2323" s="338"/>
      <c r="M2323" s="338"/>
      <c r="N2323" s="338"/>
      <c r="Q2323" s="338"/>
      <c r="R2323" s="338"/>
      <c r="S2323" s="338"/>
      <c r="T2323" s="338"/>
      <c r="U2323" s="338"/>
      <c r="X2323" s="338"/>
      <c r="Y2323" s="338"/>
      <c r="Z2323" s="338"/>
      <c r="AA2323" s="338"/>
      <c r="AB2323" s="338"/>
      <c r="AC2323" s="338"/>
      <c r="AD2323" s="338"/>
    </row>
    <row r="2324" spans="1:30">
      <c r="A2324" s="338"/>
      <c r="B2324" s="338"/>
      <c r="D2324" s="338"/>
      <c r="E2324" s="338"/>
      <c r="H2324" s="338"/>
      <c r="I2324" s="338"/>
      <c r="J2324" s="338"/>
      <c r="K2324" s="338"/>
      <c r="L2324" s="338"/>
      <c r="M2324" s="338"/>
      <c r="N2324" s="338"/>
      <c r="Q2324" s="338"/>
      <c r="R2324" s="338"/>
      <c r="S2324" s="338"/>
      <c r="T2324" s="338"/>
      <c r="U2324" s="338"/>
      <c r="X2324" s="338"/>
      <c r="Y2324" s="338"/>
      <c r="Z2324" s="338"/>
      <c r="AA2324" s="338"/>
      <c r="AB2324" s="338"/>
      <c r="AC2324" s="338"/>
      <c r="AD2324" s="338"/>
    </row>
    <row r="2325" spans="1:30">
      <c r="A2325" s="338"/>
      <c r="B2325" s="338"/>
      <c r="D2325" s="338"/>
      <c r="E2325" s="338"/>
      <c r="H2325" s="338"/>
      <c r="I2325" s="338"/>
      <c r="J2325" s="338"/>
      <c r="K2325" s="338"/>
      <c r="L2325" s="338"/>
      <c r="M2325" s="338"/>
      <c r="N2325" s="338"/>
      <c r="Q2325" s="338"/>
      <c r="R2325" s="338"/>
      <c r="S2325" s="338"/>
      <c r="T2325" s="338"/>
      <c r="U2325" s="338"/>
      <c r="X2325" s="338"/>
      <c r="Y2325" s="338"/>
      <c r="Z2325" s="338"/>
      <c r="AA2325" s="338"/>
      <c r="AB2325" s="338"/>
      <c r="AC2325" s="338"/>
      <c r="AD2325" s="338"/>
    </row>
    <row r="2326" spans="1:30">
      <c r="A2326" s="338"/>
      <c r="B2326" s="338"/>
      <c r="D2326" s="338"/>
      <c r="E2326" s="338"/>
      <c r="H2326" s="338"/>
      <c r="I2326" s="338"/>
      <c r="J2326" s="338"/>
      <c r="K2326" s="338"/>
      <c r="L2326" s="338"/>
      <c r="M2326" s="338"/>
      <c r="N2326" s="338"/>
      <c r="Q2326" s="338"/>
      <c r="R2326" s="338"/>
      <c r="S2326" s="338"/>
      <c r="T2326" s="338"/>
      <c r="U2326" s="338"/>
      <c r="X2326" s="338"/>
      <c r="Y2326" s="338"/>
      <c r="Z2326" s="338"/>
      <c r="AA2326" s="338"/>
      <c r="AB2326" s="338"/>
      <c r="AC2326" s="338"/>
      <c r="AD2326" s="338"/>
    </row>
    <row r="2327" spans="1:30">
      <c r="A2327" s="338"/>
      <c r="B2327" s="338"/>
      <c r="D2327" s="338"/>
      <c r="E2327" s="338"/>
      <c r="H2327" s="338"/>
      <c r="I2327" s="338"/>
      <c r="J2327" s="338"/>
      <c r="K2327" s="338"/>
      <c r="L2327" s="338"/>
      <c r="M2327" s="338"/>
      <c r="N2327" s="338"/>
      <c r="Q2327" s="338"/>
      <c r="R2327" s="338"/>
      <c r="S2327" s="338"/>
      <c r="T2327" s="338"/>
      <c r="U2327" s="338"/>
      <c r="X2327" s="338"/>
      <c r="Y2327" s="338"/>
      <c r="Z2327" s="338"/>
      <c r="AA2327" s="338"/>
      <c r="AB2327" s="338"/>
      <c r="AC2327" s="338"/>
      <c r="AD2327" s="338"/>
    </row>
    <row r="2328" spans="1:30">
      <c r="A2328" s="338"/>
      <c r="B2328" s="338"/>
      <c r="D2328" s="338"/>
      <c r="E2328" s="338"/>
      <c r="H2328" s="338"/>
      <c r="I2328" s="338"/>
      <c r="J2328" s="338"/>
      <c r="K2328" s="338"/>
      <c r="L2328" s="338"/>
      <c r="M2328" s="338"/>
      <c r="N2328" s="338"/>
      <c r="Q2328" s="338"/>
      <c r="R2328" s="338"/>
      <c r="S2328" s="338"/>
      <c r="T2328" s="338"/>
      <c r="U2328" s="338"/>
      <c r="X2328" s="338"/>
      <c r="Y2328" s="338"/>
      <c r="Z2328" s="338"/>
      <c r="AA2328" s="338"/>
      <c r="AB2328" s="338"/>
      <c r="AC2328" s="338"/>
      <c r="AD2328" s="338"/>
    </row>
    <row r="2329" spans="1:30">
      <c r="A2329" s="338"/>
      <c r="B2329" s="338"/>
      <c r="D2329" s="338"/>
      <c r="E2329" s="338"/>
      <c r="H2329" s="338"/>
      <c r="I2329" s="338"/>
      <c r="J2329" s="338"/>
      <c r="K2329" s="338"/>
      <c r="L2329" s="338"/>
      <c r="M2329" s="338"/>
      <c r="N2329" s="338"/>
      <c r="Q2329" s="338"/>
      <c r="R2329" s="338"/>
      <c r="S2329" s="338"/>
      <c r="T2329" s="338"/>
      <c r="U2329" s="338"/>
      <c r="X2329" s="338"/>
      <c r="Y2329" s="338"/>
      <c r="Z2329" s="338"/>
      <c r="AA2329" s="338"/>
      <c r="AB2329" s="338"/>
      <c r="AC2329" s="338"/>
      <c r="AD2329" s="338"/>
    </row>
    <row r="2330" spans="1:30">
      <c r="A2330" s="338"/>
      <c r="B2330" s="338"/>
      <c r="D2330" s="338"/>
      <c r="E2330" s="338"/>
      <c r="H2330" s="338"/>
      <c r="I2330" s="338"/>
      <c r="J2330" s="338"/>
      <c r="K2330" s="338"/>
      <c r="L2330" s="338"/>
      <c r="M2330" s="338"/>
      <c r="N2330" s="338"/>
      <c r="Q2330" s="338"/>
      <c r="R2330" s="338"/>
      <c r="S2330" s="338"/>
      <c r="T2330" s="338"/>
      <c r="U2330" s="338"/>
      <c r="X2330" s="338"/>
      <c r="Y2330" s="338"/>
      <c r="Z2330" s="338"/>
      <c r="AA2330" s="338"/>
      <c r="AB2330" s="338"/>
      <c r="AC2330" s="338"/>
      <c r="AD2330" s="338"/>
    </row>
    <row r="2331" spans="1:30">
      <c r="A2331" s="338"/>
      <c r="B2331" s="338"/>
      <c r="D2331" s="338"/>
      <c r="E2331" s="338"/>
      <c r="H2331" s="338"/>
      <c r="I2331" s="338"/>
      <c r="J2331" s="338"/>
      <c r="K2331" s="338"/>
      <c r="L2331" s="338"/>
      <c r="M2331" s="338"/>
      <c r="N2331" s="338"/>
      <c r="Q2331" s="338"/>
      <c r="R2331" s="338"/>
      <c r="S2331" s="338"/>
      <c r="T2331" s="338"/>
      <c r="U2331" s="338"/>
      <c r="X2331" s="338"/>
      <c r="Y2331" s="338"/>
      <c r="Z2331" s="338"/>
      <c r="AA2331" s="338"/>
      <c r="AB2331" s="338"/>
      <c r="AC2331" s="338"/>
      <c r="AD2331" s="338"/>
    </row>
    <row r="2332" spans="1:30">
      <c r="A2332" s="338"/>
      <c r="B2332" s="338"/>
      <c r="D2332" s="338"/>
      <c r="E2332" s="338"/>
      <c r="H2332" s="338"/>
      <c r="I2332" s="338"/>
      <c r="J2332" s="338"/>
      <c r="K2332" s="338"/>
      <c r="L2332" s="338"/>
      <c r="M2332" s="338"/>
      <c r="N2332" s="338"/>
      <c r="Q2332" s="338"/>
      <c r="R2332" s="338"/>
      <c r="S2332" s="338"/>
      <c r="T2332" s="338"/>
      <c r="U2332" s="338"/>
      <c r="X2332" s="338"/>
      <c r="Y2332" s="338"/>
      <c r="Z2332" s="338"/>
      <c r="AA2332" s="338"/>
      <c r="AB2332" s="338"/>
      <c r="AC2332" s="338"/>
      <c r="AD2332" s="338"/>
    </row>
    <row r="2333" spans="1:30">
      <c r="A2333" s="338"/>
      <c r="B2333" s="338"/>
      <c r="D2333" s="338"/>
      <c r="E2333" s="338"/>
      <c r="H2333" s="338"/>
      <c r="I2333" s="338"/>
      <c r="J2333" s="338"/>
      <c r="K2333" s="338"/>
      <c r="L2333" s="338"/>
      <c r="M2333" s="338"/>
      <c r="N2333" s="338"/>
      <c r="Q2333" s="338"/>
      <c r="R2333" s="338"/>
      <c r="S2333" s="338"/>
      <c r="T2333" s="338"/>
      <c r="U2333" s="338"/>
      <c r="X2333" s="338"/>
      <c r="Y2333" s="338"/>
      <c r="Z2333" s="338"/>
      <c r="AA2333" s="338"/>
      <c r="AB2333" s="338"/>
      <c r="AC2333" s="338"/>
      <c r="AD2333" s="338"/>
    </row>
    <row r="2334" spans="1:30">
      <c r="A2334" s="338"/>
      <c r="B2334" s="338"/>
      <c r="D2334" s="338"/>
      <c r="E2334" s="338"/>
      <c r="H2334" s="338"/>
      <c r="I2334" s="338"/>
      <c r="J2334" s="338"/>
      <c r="K2334" s="338"/>
      <c r="L2334" s="338"/>
      <c r="M2334" s="338"/>
      <c r="N2334" s="338"/>
      <c r="Q2334" s="338"/>
      <c r="R2334" s="338"/>
      <c r="S2334" s="338"/>
      <c r="T2334" s="338"/>
      <c r="U2334" s="338"/>
      <c r="X2334" s="338"/>
      <c r="Y2334" s="338"/>
      <c r="Z2334" s="338"/>
      <c r="AA2334" s="338"/>
      <c r="AB2334" s="338"/>
      <c r="AC2334" s="338"/>
      <c r="AD2334" s="338"/>
    </row>
    <row r="2335" spans="1:30">
      <c r="A2335" s="338"/>
      <c r="B2335" s="338"/>
      <c r="D2335" s="338"/>
      <c r="E2335" s="338"/>
      <c r="H2335" s="338"/>
      <c r="I2335" s="338"/>
      <c r="J2335" s="338"/>
      <c r="K2335" s="338"/>
      <c r="L2335" s="338"/>
      <c r="M2335" s="338"/>
      <c r="N2335" s="338"/>
      <c r="Q2335" s="338"/>
      <c r="R2335" s="338"/>
      <c r="S2335" s="338"/>
      <c r="T2335" s="338"/>
      <c r="U2335" s="338"/>
      <c r="X2335" s="338"/>
      <c r="Y2335" s="338"/>
      <c r="Z2335" s="338"/>
      <c r="AA2335" s="338"/>
      <c r="AB2335" s="338"/>
      <c r="AC2335" s="338"/>
      <c r="AD2335" s="338"/>
    </row>
    <row r="2336" spans="1:30">
      <c r="A2336" s="338"/>
      <c r="B2336" s="338"/>
      <c r="D2336" s="338"/>
      <c r="E2336" s="338"/>
      <c r="H2336" s="338"/>
      <c r="I2336" s="338"/>
      <c r="J2336" s="338"/>
      <c r="K2336" s="338"/>
      <c r="L2336" s="338"/>
      <c r="M2336" s="338"/>
      <c r="N2336" s="338"/>
      <c r="Q2336" s="338"/>
      <c r="R2336" s="338"/>
      <c r="S2336" s="338"/>
      <c r="T2336" s="338"/>
      <c r="U2336" s="338"/>
      <c r="X2336" s="338"/>
      <c r="Y2336" s="338"/>
      <c r="Z2336" s="338"/>
      <c r="AA2336" s="338"/>
      <c r="AB2336" s="338"/>
      <c r="AC2336" s="338"/>
      <c r="AD2336" s="338"/>
    </row>
    <row r="2337" spans="1:30">
      <c r="A2337" s="338"/>
      <c r="B2337" s="338"/>
      <c r="D2337" s="338"/>
      <c r="E2337" s="338"/>
      <c r="H2337" s="338"/>
      <c r="I2337" s="338"/>
      <c r="J2337" s="338"/>
      <c r="K2337" s="338"/>
      <c r="L2337" s="338"/>
      <c r="M2337" s="338"/>
      <c r="N2337" s="338"/>
      <c r="Q2337" s="338"/>
      <c r="R2337" s="338"/>
      <c r="S2337" s="338"/>
      <c r="T2337" s="338"/>
      <c r="U2337" s="338"/>
      <c r="X2337" s="338"/>
      <c r="Y2337" s="338"/>
      <c r="Z2337" s="338"/>
      <c r="AA2337" s="338"/>
      <c r="AB2337" s="338"/>
      <c r="AC2337" s="338"/>
      <c r="AD2337" s="338"/>
    </row>
    <row r="2338" spans="1:30">
      <c r="A2338" s="338"/>
      <c r="B2338" s="338"/>
      <c r="D2338" s="338"/>
      <c r="E2338" s="338"/>
      <c r="H2338" s="338"/>
      <c r="I2338" s="338"/>
      <c r="J2338" s="338"/>
      <c r="K2338" s="338"/>
      <c r="L2338" s="338"/>
      <c r="M2338" s="338"/>
      <c r="N2338" s="338"/>
      <c r="Q2338" s="338"/>
      <c r="R2338" s="338"/>
      <c r="S2338" s="338"/>
      <c r="T2338" s="338"/>
      <c r="U2338" s="338"/>
      <c r="X2338" s="338"/>
      <c r="Y2338" s="338"/>
      <c r="Z2338" s="338"/>
      <c r="AA2338" s="338"/>
      <c r="AB2338" s="338"/>
      <c r="AC2338" s="338"/>
      <c r="AD2338" s="338"/>
    </row>
    <row r="2339" spans="1:30">
      <c r="A2339" s="338"/>
      <c r="B2339" s="338"/>
      <c r="D2339" s="338"/>
      <c r="E2339" s="338"/>
      <c r="H2339" s="338"/>
      <c r="I2339" s="338"/>
      <c r="J2339" s="338"/>
      <c r="K2339" s="338"/>
      <c r="L2339" s="338"/>
      <c r="M2339" s="338"/>
      <c r="N2339" s="338"/>
      <c r="Q2339" s="338"/>
      <c r="R2339" s="338"/>
      <c r="S2339" s="338"/>
      <c r="T2339" s="338"/>
      <c r="U2339" s="338"/>
      <c r="X2339" s="338"/>
      <c r="Y2339" s="338"/>
      <c r="Z2339" s="338"/>
      <c r="AA2339" s="338"/>
      <c r="AB2339" s="338"/>
      <c r="AC2339" s="338"/>
      <c r="AD2339" s="338"/>
    </row>
    <row r="2340" spans="1:30">
      <c r="A2340" s="338"/>
      <c r="B2340" s="338"/>
      <c r="D2340" s="338"/>
      <c r="E2340" s="338"/>
      <c r="H2340" s="338"/>
      <c r="I2340" s="338"/>
      <c r="J2340" s="338"/>
      <c r="K2340" s="338"/>
      <c r="L2340" s="338"/>
      <c r="M2340" s="338"/>
      <c r="N2340" s="338"/>
      <c r="Q2340" s="338"/>
      <c r="R2340" s="338"/>
      <c r="S2340" s="338"/>
      <c r="T2340" s="338"/>
      <c r="U2340" s="338"/>
      <c r="X2340" s="338"/>
      <c r="Y2340" s="338"/>
      <c r="Z2340" s="338"/>
      <c r="AA2340" s="338"/>
      <c r="AB2340" s="338"/>
      <c r="AC2340" s="338"/>
      <c r="AD2340" s="338"/>
    </row>
    <row r="2341" spans="1:30">
      <c r="A2341" s="338"/>
      <c r="B2341" s="338"/>
      <c r="D2341" s="338"/>
      <c r="E2341" s="338"/>
      <c r="H2341" s="338"/>
      <c r="I2341" s="338"/>
      <c r="J2341" s="338"/>
      <c r="K2341" s="338"/>
      <c r="L2341" s="338"/>
      <c r="M2341" s="338"/>
      <c r="N2341" s="338"/>
      <c r="Q2341" s="338"/>
      <c r="R2341" s="338"/>
      <c r="S2341" s="338"/>
      <c r="T2341" s="338"/>
      <c r="U2341" s="338"/>
      <c r="X2341" s="338"/>
      <c r="Y2341" s="338"/>
      <c r="Z2341" s="338"/>
      <c r="AA2341" s="338"/>
      <c r="AB2341" s="338"/>
      <c r="AC2341" s="338"/>
      <c r="AD2341" s="338"/>
    </row>
    <row r="2342" spans="1:30">
      <c r="A2342" s="338"/>
      <c r="B2342" s="338"/>
      <c r="D2342" s="338"/>
      <c r="E2342" s="338"/>
      <c r="H2342" s="338"/>
      <c r="I2342" s="338"/>
      <c r="J2342" s="338"/>
      <c r="K2342" s="338"/>
      <c r="L2342" s="338"/>
      <c r="M2342" s="338"/>
      <c r="N2342" s="338"/>
      <c r="Q2342" s="338"/>
      <c r="R2342" s="338"/>
      <c r="S2342" s="338"/>
      <c r="T2342" s="338"/>
      <c r="U2342" s="338"/>
      <c r="X2342" s="338"/>
      <c r="Y2342" s="338"/>
      <c r="Z2342" s="338"/>
      <c r="AA2342" s="338"/>
      <c r="AB2342" s="338"/>
      <c r="AC2342" s="338"/>
      <c r="AD2342" s="338"/>
    </row>
    <row r="2343" spans="1:30">
      <c r="A2343" s="338"/>
      <c r="B2343" s="338"/>
      <c r="D2343" s="338"/>
      <c r="E2343" s="338"/>
      <c r="H2343" s="338"/>
      <c r="I2343" s="338"/>
      <c r="J2343" s="338"/>
      <c r="K2343" s="338"/>
      <c r="L2343" s="338"/>
      <c r="M2343" s="338"/>
      <c r="N2343" s="338"/>
      <c r="Q2343" s="338"/>
      <c r="R2343" s="338"/>
      <c r="S2343" s="338"/>
      <c r="T2343" s="338"/>
      <c r="U2343" s="338"/>
      <c r="X2343" s="338"/>
      <c r="Y2343" s="338"/>
      <c r="Z2343" s="338"/>
      <c r="AA2343" s="338"/>
      <c r="AB2343" s="338"/>
      <c r="AC2343" s="338"/>
      <c r="AD2343" s="338"/>
    </row>
    <row r="2344" spans="1:30">
      <c r="A2344" s="338"/>
      <c r="B2344" s="338"/>
      <c r="D2344" s="338"/>
      <c r="E2344" s="338"/>
      <c r="H2344" s="338"/>
      <c r="I2344" s="338"/>
      <c r="J2344" s="338"/>
      <c r="K2344" s="338"/>
      <c r="L2344" s="338"/>
      <c r="M2344" s="338"/>
      <c r="N2344" s="338"/>
      <c r="Q2344" s="338"/>
      <c r="R2344" s="338"/>
      <c r="S2344" s="338"/>
      <c r="T2344" s="338"/>
      <c r="U2344" s="338"/>
      <c r="X2344" s="338"/>
      <c r="Y2344" s="338"/>
      <c r="Z2344" s="338"/>
      <c r="AA2344" s="338"/>
      <c r="AB2344" s="338"/>
      <c r="AC2344" s="338"/>
      <c r="AD2344" s="338"/>
    </row>
    <row r="2345" spans="1:30">
      <c r="A2345" s="338"/>
      <c r="B2345" s="338"/>
      <c r="D2345" s="338"/>
      <c r="E2345" s="338"/>
      <c r="H2345" s="338"/>
      <c r="I2345" s="338"/>
      <c r="J2345" s="338"/>
      <c r="K2345" s="338"/>
      <c r="L2345" s="338"/>
      <c r="M2345" s="338"/>
      <c r="N2345" s="338"/>
      <c r="Q2345" s="338"/>
      <c r="R2345" s="338"/>
      <c r="S2345" s="338"/>
      <c r="T2345" s="338"/>
      <c r="U2345" s="338"/>
      <c r="X2345" s="338"/>
      <c r="Y2345" s="338"/>
      <c r="Z2345" s="338"/>
      <c r="AA2345" s="338"/>
      <c r="AB2345" s="338"/>
      <c r="AC2345" s="338"/>
      <c r="AD2345" s="338"/>
    </row>
    <row r="2346" spans="1:30">
      <c r="A2346" s="338"/>
      <c r="B2346" s="338"/>
      <c r="D2346" s="338"/>
      <c r="E2346" s="338"/>
      <c r="H2346" s="338"/>
      <c r="I2346" s="338"/>
      <c r="J2346" s="338"/>
      <c r="K2346" s="338"/>
      <c r="L2346" s="338"/>
      <c r="M2346" s="338"/>
      <c r="N2346" s="338"/>
      <c r="Q2346" s="338"/>
      <c r="R2346" s="338"/>
      <c r="S2346" s="338"/>
      <c r="T2346" s="338"/>
      <c r="U2346" s="338"/>
      <c r="X2346" s="338"/>
      <c r="Y2346" s="338"/>
      <c r="Z2346" s="338"/>
      <c r="AA2346" s="338"/>
      <c r="AB2346" s="338"/>
      <c r="AC2346" s="338"/>
      <c r="AD2346" s="338"/>
    </row>
    <row r="2347" spans="1:30">
      <c r="A2347" s="338"/>
      <c r="B2347" s="338"/>
      <c r="D2347" s="338"/>
      <c r="E2347" s="338"/>
      <c r="H2347" s="338"/>
      <c r="I2347" s="338"/>
      <c r="J2347" s="338"/>
      <c r="K2347" s="338"/>
      <c r="L2347" s="338"/>
      <c r="M2347" s="338"/>
      <c r="N2347" s="338"/>
      <c r="Q2347" s="338"/>
      <c r="R2347" s="338"/>
      <c r="S2347" s="338"/>
      <c r="T2347" s="338"/>
      <c r="U2347" s="338"/>
      <c r="X2347" s="338"/>
      <c r="Y2347" s="338"/>
      <c r="Z2347" s="338"/>
      <c r="AA2347" s="338"/>
      <c r="AB2347" s="338"/>
      <c r="AC2347" s="338"/>
      <c r="AD2347" s="338"/>
    </row>
    <row r="2348" spans="1:30">
      <c r="A2348" s="338"/>
      <c r="B2348" s="338"/>
      <c r="D2348" s="338"/>
      <c r="E2348" s="338"/>
      <c r="H2348" s="338"/>
      <c r="I2348" s="338"/>
      <c r="J2348" s="338"/>
      <c r="K2348" s="338"/>
      <c r="L2348" s="338"/>
      <c r="M2348" s="338"/>
      <c r="N2348" s="338"/>
      <c r="Q2348" s="338"/>
      <c r="R2348" s="338"/>
      <c r="S2348" s="338"/>
      <c r="T2348" s="338"/>
      <c r="U2348" s="338"/>
      <c r="X2348" s="338"/>
      <c r="Y2348" s="338"/>
      <c r="Z2348" s="338"/>
      <c r="AA2348" s="338"/>
      <c r="AB2348" s="338"/>
      <c r="AC2348" s="338"/>
      <c r="AD2348" s="338"/>
    </row>
    <row r="2349" spans="1:30">
      <c r="A2349" s="338"/>
      <c r="B2349" s="338"/>
      <c r="D2349" s="338"/>
      <c r="E2349" s="338"/>
      <c r="H2349" s="338"/>
      <c r="I2349" s="338"/>
      <c r="J2349" s="338"/>
      <c r="K2349" s="338"/>
      <c r="L2349" s="338"/>
      <c r="M2349" s="338"/>
      <c r="N2349" s="338"/>
      <c r="Q2349" s="338"/>
      <c r="R2349" s="338"/>
      <c r="S2349" s="338"/>
      <c r="T2349" s="338"/>
      <c r="U2349" s="338"/>
      <c r="X2349" s="338"/>
      <c r="Y2349" s="338"/>
      <c r="Z2349" s="338"/>
      <c r="AA2349" s="338"/>
      <c r="AB2349" s="338"/>
      <c r="AC2349" s="338"/>
      <c r="AD2349" s="338"/>
    </row>
    <row r="2350" spans="1:30">
      <c r="A2350" s="338"/>
      <c r="B2350" s="338"/>
      <c r="D2350" s="338"/>
      <c r="E2350" s="338"/>
      <c r="H2350" s="338"/>
      <c r="I2350" s="338"/>
      <c r="J2350" s="338"/>
      <c r="K2350" s="338"/>
      <c r="L2350" s="338"/>
      <c r="M2350" s="338"/>
      <c r="N2350" s="338"/>
      <c r="Q2350" s="338"/>
      <c r="R2350" s="338"/>
      <c r="S2350" s="338"/>
      <c r="T2350" s="338"/>
      <c r="U2350" s="338"/>
      <c r="X2350" s="338"/>
      <c r="Y2350" s="338"/>
      <c r="Z2350" s="338"/>
      <c r="AA2350" s="338"/>
      <c r="AB2350" s="338"/>
      <c r="AC2350" s="338"/>
      <c r="AD2350" s="338"/>
    </row>
    <row r="2351" spans="1:30">
      <c r="A2351" s="338"/>
      <c r="B2351" s="338"/>
      <c r="D2351" s="338"/>
      <c r="E2351" s="338"/>
      <c r="H2351" s="338"/>
      <c r="I2351" s="338"/>
      <c r="J2351" s="338"/>
      <c r="K2351" s="338"/>
      <c r="L2351" s="338"/>
      <c r="M2351" s="338"/>
      <c r="N2351" s="338"/>
      <c r="Q2351" s="338"/>
      <c r="R2351" s="338"/>
      <c r="S2351" s="338"/>
      <c r="T2351" s="338"/>
      <c r="U2351" s="338"/>
      <c r="X2351" s="338"/>
      <c r="Y2351" s="338"/>
      <c r="Z2351" s="338"/>
      <c r="AA2351" s="338"/>
      <c r="AB2351" s="338"/>
      <c r="AC2351" s="338"/>
      <c r="AD2351" s="338"/>
    </row>
    <row r="2352" spans="1:30">
      <c r="A2352" s="338"/>
      <c r="B2352" s="338"/>
      <c r="D2352" s="338"/>
      <c r="E2352" s="338"/>
      <c r="H2352" s="338"/>
      <c r="I2352" s="338"/>
      <c r="J2352" s="338"/>
      <c r="K2352" s="338"/>
      <c r="L2352" s="338"/>
      <c r="M2352" s="338"/>
      <c r="N2352" s="338"/>
      <c r="Q2352" s="338"/>
      <c r="R2352" s="338"/>
      <c r="S2352" s="338"/>
      <c r="T2352" s="338"/>
      <c r="U2352" s="338"/>
      <c r="X2352" s="338"/>
      <c r="Y2352" s="338"/>
      <c r="Z2352" s="338"/>
      <c r="AA2352" s="338"/>
      <c r="AB2352" s="338"/>
      <c r="AC2352" s="338"/>
      <c r="AD2352" s="338"/>
    </row>
    <row r="2353" spans="1:30">
      <c r="A2353" s="338"/>
      <c r="B2353" s="338"/>
      <c r="D2353" s="338"/>
      <c r="E2353" s="338"/>
      <c r="H2353" s="338"/>
      <c r="I2353" s="338"/>
      <c r="J2353" s="338"/>
      <c r="K2353" s="338"/>
      <c r="L2353" s="338"/>
      <c r="M2353" s="338"/>
      <c r="N2353" s="338"/>
      <c r="Q2353" s="338"/>
      <c r="R2353" s="338"/>
      <c r="S2353" s="338"/>
      <c r="T2353" s="338"/>
      <c r="U2353" s="338"/>
      <c r="X2353" s="338"/>
      <c r="Y2353" s="338"/>
      <c r="Z2353" s="338"/>
      <c r="AA2353" s="338"/>
      <c r="AB2353" s="338"/>
      <c r="AC2353" s="338"/>
      <c r="AD2353" s="338"/>
    </row>
    <row r="2354" spans="1:30">
      <c r="A2354" s="338"/>
      <c r="B2354" s="338"/>
      <c r="D2354" s="338"/>
      <c r="E2354" s="338"/>
      <c r="H2354" s="338"/>
      <c r="I2354" s="338"/>
      <c r="J2354" s="338"/>
      <c r="K2354" s="338"/>
      <c r="L2354" s="338"/>
      <c r="M2354" s="338"/>
      <c r="N2354" s="338"/>
      <c r="Q2354" s="338"/>
      <c r="R2354" s="338"/>
      <c r="S2354" s="338"/>
      <c r="T2354" s="338"/>
      <c r="U2354" s="338"/>
      <c r="X2354" s="338"/>
      <c r="Y2354" s="338"/>
      <c r="Z2354" s="338"/>
      <c r="AA2354" s="338"/>
      <c r="AB2354" s="338"/>
      <c r="AC2354" s="338"/>
      <c r="AD2354" s="338"/>
    </row>
    <row r="2355" spans="1:30">
      <c r="A2355" s="338"/>
      <c r="B2355" s="338"/>
      <c r="D2355" s="338"/>
      <c r="E2355" s="338"/>
      <c r="H2355" s="338"/>
      <c r="I2355" s="338"/>
      <c r="J2355" s="338"/>
      <c r="K2355" s="338"/>
      <c r="L2355" s="338"/>
      <c r="M2355" s="338"/>
      <c r="N2355" s="338"/>
      <c r="Q2355" s="338"/>
      <c r="R2355" s="338"/>
      <c r="S2355" s="338"/>
      <c r="T2355" s="338"/>
      <c r="U2355" s="338"/>
      <c r="X2355" s="338"/>
      <c r="Y2355" s="338"/>
      <c r="Z2355" s="338"/>
      <c r="AA2355" s="338"/>
      <c r="AB2355" s="338"/>
      <c r="AC2355" s="338"/>
      <c r="AD2355" s="338"/>
    </row>
    <row r="2356" spans="1:30">
      <c r="A2356" s="338"/>
      <c r="B2356" s="338"/>
      <c r="D2356" s="338"/>
      <c r="E2356" s="338"/>
      <c r="H2356" s="338"/>
      <c r="I2356" s="338"/>
      <c r="J2356" s="338"/>
      <c r="K2356" s="338"/>
      <c r="L2356" s="338"/>
      <c r="M2356" s="338"/>
      <c r="N2356" s="338"/>
      <c r="Q2356" s="338"/>
      <c r="R2356" s="338"/>
      <c r="S2356" s="338"/>
      <c r="T2356" s="338"/>
      <c r="U2356" s="338"/>
      <c r="X2356" s="338"/>
      <c r="Y2356" s="338"/>
      <c r="Z2356" s="338"/>
      <c r="AA2356" s="338"/>
      <c r="AB2356" s="338"/>
      <c r="AC2356" s="338"/>
      <c r="AD2356" s="338"/>
    </row>
    <row r="2357" spans="1:30">
      <c r="A2357" s="338"/>
      <c r="B2357" s="338"/>
      <c r="D2357" s="338"/>
      <c r="E2357" s="338"/>
      <c r="H2357" s="338"/>
      <c r="I2357" s="338"/>
      <c r="J2357" s="338"/>
      <c r="K2357" s="338"/>
      <c r="L2357" s="338"/>
      <c r="M2357" s="338"/>
      <c r="N2357" s="338"/>
      <c r="Q2357" s="338"/>
      <c r="R2357" s="338"/>
      <c r="S2357" s="338"/>
      <c r="T2357" s="338"/>
      <c r="U2357" s="338"/>
      <c r="X2357" s="338"/>
      <c r="Y2357" s="338"/>
      <c r="Z2357" s="338"/>
      <c r="AA2357" s="338"/>
      <c r="AB2357" s="338"/>
      <c r="AC2357" s="338"/>
      <c r="AD2357" s="338"/>
    </row>
    <row r="2358" spans="1:30">
      <c r="A2358" s="338"/>
      <c r="B2358" s="338"/>
      <c r="D2358" s="338"/>
      <c r="E2358" s="338"/>
      <c r="H2358" s="338"/>
      <c r="I2358" s="338"/>
      <c r="J2358" s="338"/>
      <c r="K2358" s="338"/>
      <c r="L2358" s="338"/>
      <c r="M2358" s="338"/>
      <c r="N2358" s="338"/>
      <c r="Q2358" s="338"/>
      <c r="R2358" s="338"/>
      <c r="S2358" s="338"/>
      <c r="T2358" s="338"/>
      <c r="U2358" s="338"/>
      <c r="X2358" s="338"/>
      <c r="Y2358" s="338"/>
      <c r="Z2358" s="338"/>
      <c r="AA2358" s="338"/>
      <c r="AB2358" s="338"/>
      <c r="AC2358" s="338"/>
      <c r="AD2358" s="338"/>
    </row>
    <row r="2359" spans="1:30">
      <c r="A2359" s="338"/>
      <c r="B2359" s="338"/>
      <c r="D2359" s="338"/>
      <c r="E2359" s="338"/>
      <c r="H2359" s="338"/>
      <c r="I2359" s="338"/>
      <c r="J2359" s="338"/>
      <c r="K2359" s="338"/>
      <c r="L2359" s="338"/>
      <c r="M2359" s="338"/>
      <c r="N2359" s="338"/>
      <c r="Q2359" s="338"/>
      <c r="R2359" s="338"/>
      <c r="S2359" s="338"/>
      <c r="T2359" s="338"/>
      <c r="U2359" s="338"/>
      <c r="X2359" s="338"/>
      <c r="Y2359" s="338"/>
      <c r="Z2359" s="338"/>
      <c r="AA2359" s="338"/>
      <c r="AB2359" s="338"/>
      <c r="AC2359" s="338"/>
      <c r="AD2359" s="338"/>
    </row>
    <row r="2360" spans="1:30">
      <c r="A2360" s="338"/>
      <c r="B2360" s="338"/>
      <c r="D2360" s="338"/>
      <c r="E2360" s="338"/>
      <c r="H2360" s="338"/>
      <c r="I2360" s="338"/>
      <c r="J2360" s="338"/>
      <c r="K2360" s="338"/>
      <c r="L2360" s="338"/>
      <c r="M2360" s="338"/>
      <c r="N2360" s="338"/>
      <c r="Q2360" s="338"/>
      <c r="R2360" s="338"/>
      <c r="S2360" s="338"/>
      <c r="T2360" s="338"/>
      <c r="U2360" s="338"/>
      <c r="X2360" s="338"/>
      <c r="Y2360" s="338"/>
      <c r="Z2360" s="338"/>
      <c r="AA2360" s="338"/>
      <c r="AB2360" s="338"/>
      <c r="AC2360" s="338"/>
      <c r="AD2360" s="338"/>
    </row>
    <row r="2361" spans="1:30">
      <c r="A2361" s="338"/>
      <c r="B2361" s="338"/>
      <c r="D2361" s="338"/>
      <c r="E2361" s="338"/>
      <c r="H2361" s="338"/>
      <c r="I2361" s="338"/>
      <c r="J2361" s="338"/>
      <c r="K2361" s="338"/>
      <c r="L2361" s="338"/>
      <c r="M2361" s="338"/>
      <c r="N2361" s="338"/>
      <c r="Q2361" s="338"/>
      <c r="R2361" s="338"/>
      <c r="S2361" s="338"/>
      <c r="T2361" s="338"/>
      <c r="U2361" s="338"/>
      <c r="X2361" s="338"/>
      <c r="Y2361" s="338"/>
      <c r="Z2361" s="338"/>
      <c r="AA2361" s="338"/>
      <c r="AB2361" s="338"/>
      <c r="AC2361" s="338"/>
      <c r="AD2361" s="338"/>
    </row>
    <row r="2362" spans="1:30">
      <c r="A2362" s="338"/>
      <c r="B2362" s="338"/>
      <c r="D2362" s="338"/>
      <c r="E2362" s="338"/>
      <c r="H2362" s="338"/>
      <c r="I2362" s="338"/>
      <c r="J2362" s="338"/>
      <c r="K2362" s="338"/>
      <c r="L2362" s="338"/>
      <c r="M2362" s="338"/>
      <c r="N2362" s="338"/>
      <c r="Q2362" s="338"/>
      <c r="R2362" s="338"/>
      <c r="S2362" s="338"/>
      <c r="T2362" s="338"/>
      <c r="U2362" s="338"/>
      <c r="X2362" s="338"/>
      <c r="Y2362" s="338"/>
      <c r="Z2362" s="338"/>
      <c r="AA2362" s="338"/>
      <c r="AB2362" s="338"/>
      <c r="AC2362" s="338"/>
      <c r="AD2362" s="338"/>
    </row>
    <row r="2363" spans="1:30">
      <c r="A2363" s="338"/>
      <c r="B2363" s="338"/>
      <c r="D2363" s="338"/>
      <c r="E2363" s="338"/>
      <c r="H2363" s="338"/>
      <c r="I2363" s="338"/>
      <c r="J2363" s="338"/>
      <c r="K2363" s="338"/>
      <c r="L2363" s="338"/>
      <c r="M2363" s="338"/>
      <c r="N2363" s="338"/>
      <c r="Q2363" s="338"/>
      <c r="R2363" s="338"/>
      <c r="S2363" s="338"/>
      <c r="T2363" s="338"/>
      <c r="U2363" s="338"/>
      <c r="X2363" s="338"/>
      <c r="Y2363" s="338"/>
      <c r="Z2363" s="338"/>
      <c r="AA2363" s="338"/>
      <c r="AB2363" s="338"/>
      <c r="AC2363" s="338"/>
      <c r="AD2363" s="338"/>
    </row>
    <row r="2364" spans="1:30">
      <c r="A2364" s="338"/>
      <c r="B2364" s="338"/>
      <c r="D2364" s="338"/>
      <c r="E2364" s="338"/>
      <c r="H2364" s="338"/>
      <c r="I2364" s="338"/>
      <c r="J2364" s="338"/>
      <c r="K2364" s="338"/>
      <c r="L2364" s="338"/>
      <c r="M2364" s="338"/>
      <c r="N2364" s="338"/>
      <c r="Q2364" s="338"/>
      <c r="R2364" s="338"/>
      <c r="S2364" s="338"/>
      <c r="T2364" s="338"/>
      <c r="U2364" s="338"/>
      <c r="X2364" s="338"/>
      <c r="Y2364" s="338"/>
      <c r="Z2364" s="338"/>
      <c r="AA2364" s="338"/>
      <c r="AB2364" s="338"/>
      <c r="AC2364" s="338"/>
      <c r="AD2364" s="338"/>
    </row>
    <row r="2365" spans="1:30">
      <c r="A2365" s="338"/>
      <c r="B2365" s="338"/>
      <c r="D2365" s="338"/>
      <c r="E2365" s="338"/>
      <c r="H2365" s="338"/>
      <c r="I2365" s="338"/>
      <c r="J2365" s="338"/>
      <c r="K2365" s="338"/>
      <c r="L2365" s="338"/>
      <c r="M2365" s="338"/>
      <c r="N2365" s="338"/>
      <c r="Q2365" s="338"/>
      <c r="R2365" s="338"/>
      <c r="S2365" s="338"/>
      <c r="T2365" s="338"/>
      <c r="U2365" s="338"/>
      <c r="X2365" s="338"/>
      <c r="Y2365" s="338"/>
      <c r="Z2365" s="338"/>
      <c r="AA2365" s="338"/>
      <c r="AB2365" s="338"/>
      <c r="AC2365" s="338"/>
      <c r="AD2365" s="338"/>
    </row>
    <row r="2366" spans="1:30">
      <c r="A2366" s="338"/>
      <c r="B2366" s="338"/>
      <c r="D2366" s="338"/>
      <c r="E2366" s="338"/>
      <c r="H2366" s="338"/>
      <c r="I2366" s="338"/>
      <c r="J2366" s="338"/>
      <c r="K2366" s="338"/>
      <c r="L2366" s="338"/>
      <c r="M2366" s="338"/>
      <c r="N2366" s="338"/>
      <c r="Q2366" s="338"/>
      <c r="R2366" s="338"/>
      <c r="S2366" s="338"/>
      <c r="T2366" s="338"/>
      <c r="U2366" s="338"/>
      <c r="X2366" s="338"/>
      <c r="Y2366" s="338"/>
      <c r="Z2366" s="338"/>
      <c r="AA2366" s="338"/>
      <c r="AB2366" s="338"/>
      <c r="AC2366" s="338"/>
      <c r="AD2366" s="338"/>
    </row>
    <row r="2367" spans="1:30">
      <c r="A2367" s="338"/>
      <c r="B2367" s="338"/>
      <c r="D2367" s="338"/>
      <c r="E2367" s="338"/>
      <c r="H2367" s="338"/>
      <c r="I2367" s="338"/>
      <c r="J2367" s="338"/>
      <c r="K2367" s="338"/>
      <c r="L2367" s="338"/>
      <c r="M2367" s="338"/>
      <c r="N2367" s="338"/>
      <c r="Q2367" s="338"/>
      <c r="R2367" s="338"/>
      <c r="S2367" s="338"/>
      <c r="T2367" s="338"/>
      <c r="U2367" s="338"/>
      <c r="X2367" s="338"/>
      <c r="Y2367" s="338"/>
      <c r="Z2367" s="338"/>
      <c r="AA2367" s="338"/>
      <c r="AB2367" s="338"/>
      <c r="AC2367" s="338"/>
      <c r="AD2367" s="338"/>
    </row>
    <row r="2368" spans="1:30">
      <c r="A2368" s="338"/>
      <c r="B2368" s="338"/>
      <c r="D2368" s="338"/>
      <c r="E2368" s="338"/>
      <c r="H2368" s="338"/>
      <c r="I2368" s="338"/>
      <c r="J2368" s="338"/>
      <c r="K2368" s="338"/>
      <c r="L2368" s="338"/>
      <c r="M2368" s="338"/>
      <c r="N2368" s="338"/>
      <c r="Q2368" s="338"/>
      <c r="R2368" s="338"/>
      <c r="S2368" s="338"/>
      <c r="T2368" s="338"/>
      <c r="U2368" s="338"/>
      <c r="X2368" s="338"/>
      <c r="Y2368" s="338"/>
      <c r="Z2368" s="338"/>
      <c r="AA2368" s="338"/>
      <c r="AB2368" s="338"/>
      <c r="AC2368" s="338"/>
      <c r="AD2368" s="338"/>
    </row>
    <row r="2369" spans="1:30">
      <c r="A2369" s="338"/>
      <c r="B2369" s="338"/>
      <c r="D2369" s="338"/>
      <c r="E2369" s="338"/>
      <c r="H2369" s="338"/>
      <c r="I2369" s="338"/>
      <c r="J2369" s="338"/>
      <c r="K2369" s="338"/>
      <c r="L2369" s="338"/>
      <c r="M2369" s="338"/>
      <c r="N2369" s="338"/>
      <c r="Q2369" s="338"/>
      <c r="R2369" s="338"/>
      <c r="S2369" s="338"/>
      <c r="T2369" s="338"/>
      <c r="U2369" s="338"/>
      <c r="X2369" s="338"/>
      <c r="Y2369" s="338"/>
      <c r="Z2369" s="338"/>
      <c r="AA2369" s="338"/>
      <c r="AB2369" s="338"/>
      <c r="AC2369" s="338"/>
      <c r="AD2369" s="338"/>
    </row>
    <row r="2370" spans="1:30">
      <c r="A2370" s="338"/>
      <c r="B2370" s="338"/>
      <c r="D2370" s="338"/>
      <c r="E2370" s="338"/>
      <c r="H2370" s="338"/>
      <c r="I2370" s="338"/>
      <c r="J2370" s="338"/>
      <c r="K2370" s="338"/>
      <c r="L2370" s="338"/>
      <c r="M2370" s="338"/>
      <c r="N2370" s="338"/>
      <c r="Q2370" s="338"/>
      <c r="R2370" s="338"/>
      <c r="S2370" s="338"/>
      <c r="T2370" s="338"/>
      <c r="U2370" s="338"/>
      <c r="X2370" s="338"/>
      <c r="Y2370" s="338"/>
      <c r="Z2370" s="338"/>
      <c r="AA2370" s="338"/>
      <c r="AB2370" s="338"/>
      <c r="AC2370" s="338"/>
      <c r="AD2370" s="338"/>
    </row>
    <row r="2371" spans="1:30">
      <c r="A2371" s="338"/>
      <c r="B2371" s="338"/>
      <c r="D2371" s="338"/>
      <c r="E2371" s="338"/>
      <c r="H2371" s="338"/>
      <c r="I2371" s="338"/>
      <c r="J2371" s="338"/>
      <c r="K2371" s="338"/>
      <c r="L2371" s="338"/>
      <c r="M2371" s="338"/>
      <c r="N2371" s="338"/>
      <c r="Q2371" s="338"/>
      <c r="R2371" s="338"/>
      <c r="S2371" s="338"/>
      <c r="T2371" s="338"/>
      <c r="U2371" s="338"/>
      <c r="X2371" s="338"/>
      <c r="Y2371" s="338"/>
      <c r="Z2371" s="338"/>
      <c r="AA2371" s="338"/>
      <c r="AB2371" s="338"/>
      <c r="AC2371" s="338"/>
      <c r="AD2371" s="338"/>
    </row>
    <row r="2372" spans="1:30">
      <c r="A2372" s="338"/>
      <c r="B2372" s="338"/>
      <c r="D2372" s="338"/>
      <c r="E2372" s="338"/>
      <c r="H2372" s="338"/>
      <c r="I2372" s="338"/>
      <c r="J2372" s="338"/>
      <c r="K2372" s="338"/>
      <c r="L2372" s="338"/>
      <c r="M2372" s="338"/>
      <c r="N2372" s="338"/>
      <c r="Q2372" s="338"/>
      <c r="R2372" s="338"/>
      <c r="S2372" s="338"/>
      <c r="T2372" s="338"/>
      <c r="U2372" s="338"/>
      <c r="X2372" s="338"/>
      <c r="Y2372" s="338"/>
      <c r="Z2372" s="338"/>
      <c r="AA2372" s="338"/>
      <c r="AB2372" s="338"/>
      <c r="AC2372" s="338"/>
      <c r="AD2372" s="338"/>
    </row>
    <row r="2373" spans="1:30">
      <c r="A2373" s="338"/>
      <c r="B2373" s="338"/>
      <c r="D2373" s="338"/>
      <c r="E2373" s="338"/>
      <c r="H2373" s="338"/>
      <c r="I2373" s="338"/>
      <c r="J2373" s="338"/>
      <c r="K2373" s="338"/>
      <c r="L2373" s="338"/>
      <c r="M2373" s="338"/>
      <c r="N2373" s="338"/>
      <c r="Q2373" s="338"/>
      <c r="R2373" s="338"/>
      <c r="S2373" s="338"/>
      <c r="T2373" s="338"/>
      <c r="U2373" s="338"/>
      <c r="X2373" s="338"/>
      <c r="Y2373" s="338"/>
      <c r="Z2373" s="338"/>
      <c r="AA2373" s="338"/>
      <c r="AB2373" s="338"/>
      <c r="AC2373" s="338"/>
      <c r="AD2373" s="338"/>
    </row>
    <row r="2374" spans="1:30">
      <c r="A2374" s="338"/>
      <c r="B2374" s="338"/>
      <c r="D2374" s="338"/>
      <c r="E2374" s="338"/>
      <c r="H2374" s="338"/>
      <c r="I2374" s="338"/>
      <c r="J2374" s="338"/>
      <c r="K2374" s="338"/>
      <c r="L2374" s="338"/>
      <c r="M2374" s="338"/>
      <c r="N2374" s="338"/>
      <c r="Q2374" s="338"/>
      <c r="R2374" s="338"/>
      <c r="S2374" s="338"/>
      <c r="T2374" s="338"/>
      <c r="U2374" s="338"/>
      <c r="X2374" s="338"/>
      <c r="Y2374" s="338"/>
      <c r="Z2374" s="338"/>
      <c r="AA2374" s="338"/>
      <c r="AB2374" s="338"/>
      <c r="AC2374" s="338"/>
      <c r="AD2374" s="338"/>
    </row>
    <row r="2375" spans="1:30">
      <c r="A2375" s="338"/>
      <c r="B2375" s="338"/>
      <c r="D2375" s="338"/>
      <c r="E2375" s="338"/>
      <c r="H2375" s="338"/>
      <c r="I2375" s="338"/>
      <c r="J2375" s="338"/>
      <c r="K2375" s="338"/>
      <c r="L2375" s="338"/>
      <c r="M2375" s="338"/>
      <c r="N2375" s="338"/>
      <c r="Q2375" s="338"/>
      <c r="R2375" s="338"/>
      <c r="S2375" s="338"/>
      <c r="T2375" s="338"/>
      <c r="U2375" s="338"/>
      <c r="X2375" s="338"/>
      <c r="Y2375" s="338"/>
      <c r="Z2375" s="338"/>
      <c r="AA2375" s="338"/>
      <c r="AB2375" s="338"/>
      <c r="AC2375" s="338"/>
      <c r="AD2375" s="338"/>
    </row>
    <row r="2376" spans="1:30">
      <c r="A2376" s="338"/>
      <c r="B2376" s="338"/>
      <c r="D2376" s="338"/>
      <c r="E2376" s="338"/>
      <c r="H2376" s="338"/>
      <c r="I2376" s="338"/>
      <c r="J2376" s="338"/>
      <c r="K2376" s="338"/>
      <c r="L2376" s="338"/>
      <c r="M2376" s="338"/>
      <c r="N2376" s="338"/>
      <c r="Q2376" s="338"/>
      <c r="R2376" s="338"/>
      <c r="S2376" s="338"/>
      <c r="T2376" s="338"/>
      <c r="U2376" s="338"/>
      <c r="X2376" s="338"/>
      <c r="Y2376" s="338"/>
      <c r="Z2376" s="338"/>
      <c r="AA2376" s="338"/>
      <c r="AB2376" s="338"/>
      <c r="AC2376" s="338"/>
      <c r="AD2376" s="338"/>
    </row>
    <row r="2377" spans="1:30">
      <c r="A2377" s="338"/>
      <c r="B2377" s="338"/>
      <c r="D2377" s="338"/>
      <c r="E2377" s="338"/>
      <c r="H2377" s="338"/>
      <c r="I2377" s="338"/>
      <c r="J2377" s="338"/>
      <c r="K2377" s="338"/>
      <c r="L2377" s="338"/>
      <c r="M2377" s="338"/>
      <c r="N2377" s="338"/>
      <c r="Q2377" s="338"/>
      <c r="R2377" s="338"/>
      <c r="S2377" s="338"/>
      <c r="T2377" s="338"/>
      <c r="U2377" s="338"/>
      <c r="X2377" s="338"/>
      <c r="Y2377" s="338"/>
      <c r="Z2377" s="338"/>
      <c r="AA2377" s="338"/>
      <c r="AB2377" s="338"/>
      <c r="AC2377" s="338"/>
      <c r="AD2377" s="338"/>
    </row>
    <row r="2378" spans="1:30">
      <c r="A2378" s="338"/>
      <c r="B2378" s="338"/>
      <c r="D2378" s="338"/>
      <c r="E2378" s="338"/>
      <c r="H2378" s="338"/>
      <c r="I2378" s="338"/>
      <c r="J2378" s="338"/>
      <c r="K2378" s="338"/>
      <c r="L2378" s="338"/>
      <c r="M2378" s="338"/>
      <c r="N2378" s="338"/>
      <c r="Q2378" s="338"/>
      <c r="R2378" s="338"/>
      <c r="S2378" s="338"/>
      <c r="T2378" s="338"/>
      <c r="U2378" s="338"/>
      <c r="X2378" s="338"/>
      <c r="Y2378" s="338"/>
      <c r="Z2378" s="338"/>
      <c r="AA2378" s="338"/>
      <c r="AB2378" s="338"/>
      <c r="AC2378" s="338"/>
      <c r="AD2378" s="338"/>
    </row>
    <row r="2379" spans="1:30">
      <c r="A2379" s="338"/>
      <c r="B2379" s="338"/>
      <c r="D2379" s="338"/>
      <c r="E2379" s="338"/>
      <c r="H2379" s="338"/>
      <c r="I2379" s="338"/>
      <c r="J2379" s="338"/>
      <c r="K2379" s="338"/>
      <c r="L2379" s="338"/>
      <c r="M2379" s="338"/>
      <c r="N2379" s="338"/>
      <c r="Q2379" s="338"/>
      <c r="R2379" s="338"/>
      <c r="S2379" s="338"/>
      <c r="T2379" s="338"/>
      <c r="U2379" s="338"/>
      <c r="X2379" s="338"/>
      <c r="Y2379" s="338"/>
      <c r="Z2379" s="338"/>
      <c r="AA2379" s="338"/>
      <c r="AB2379" s="338"/>
      <c r="AC2379" s="338"/>
      <c r="AD2379" s="338"/>
    </row>
    <row r="2380" spans="1:30">
      <c r="A2380" s="338"/>
      <c r="B2380" s="338"/>
      <c r="D2380" s="338"/>
      <c r="E2380" s="338"/>
      <c r="H2380" s="338"/>
      <c r="I2380" s="338"/>
      <c r="J2380" s="338"/>
      <c r="K2380" s="338"/>
      <c r="L2380" s="338"/>
      <c r="M2380" s="338"/>
      <c r="N2380" s="338"/>
      <c r="Q2380" s="338"/>
      <c r="R2380" s="338"/>
      <c r="S2380" s="338"/>
      <c r="T2380" s="338"/>
      <c r="U2380" s="338"/>
      <c r="X2380" s="338"/>
      <c r="Y2380" s="338"/>
      <c r="Z2380" s="338"/>
      <c r="AA2380" s="338"/>
      <c r="AB2380" s="338"/>
      <c r="AC2380" s="338"/>
      <c r="AD2380" s="338"/>
    </row>
    <row r="2381" spans="1:30">
      <c r="A2381" s="338"/>
      <c r="B2381" s="338"/>
      <c r="D2381" s="338"/>
      <c r="E2381" s="338"/>
      <c r="H2381" s="338"/>
      <c r="I2381" s="338"/>
      <c r="J2381" s="338"/>
      <c r="K2381" s="338"/>
      <c r="L2381" s="338"/>
      <c r="M2381" s="338"/>
      <c r="N2381" s="338"/>
      <c r="Q2381" s="338"/>
      <c r="R2381" s="338"/>
      <c r="S2381" s="338"/>
      <c r="T2381" s="338"/>
      <c r="U2381" s="338"/>
      <c r="X2381" s="338"/>
      <c r="Y2381" s="338"/>
      <c r="Z2381" s="338"/>
      <c r="AA2381" s="338"/>
      <c r="AB2381" s="338"/>
      <c r="AC2381" s="338"/>
      <c r="AD2381" s="338"/>
    </row>
    <row r="2382" spans="1:30">
      <c r="A2382" s="338"/>
      <c r="B2382" s="338"/>
      <c r="D2382" s="338"/>
      <c r="E2382" s="338"/>
      <c r="H2382" s="338"/>
      <c r="I2382" s="338"/>
      <c r="J2382" s="338"/>
      <c r="K2382" s="338"/>
      <c r="L2382" s="338"/>
      <c r="M2382" s="338"/>
      <c r="N2382" s="338"/>
      <c r="Q2382" s="338"/>
      <c r="R2382" s="338"/>
      <c r="S2382" s="338"/>
      <c r="T2382" s="338"/>
      <c r="U2382" s="338"/>
      <c r="X2382" s="338"/>
      <c r="Y2382" s="338"/>
      <c r="Z2382" s="338"/>
      <c r="AA2382" s="338"/>
      <c r="AB2382" s="338"/>
      <c r="AC2382" s="338"/>
      <c r="AD2382" s="338"/>
    </row>
    <row r="2383" spans="1:30">
      <c r="A2383" s="338"/>
      <c r="B2383" s="338"/>
      <c r="D2383" s="338"/>
      <c r="E2383" s="338"/>
      <c r="H2383" s="338"/>
      <c r="I2383" s="338"/>
      <c r="J2383" s="338"/>
      <c r="K2383" s="338"/>
      <c r="L2383" s="338"/>
      <c r="M2383" s="338"/>
      <c r="N2383" s="338"/>
      <c r="Q2383" s="338"/>
      <c r="R2383" s="338"/>
      <c r="S2383" s="338"/>
      <c r="T2383" s="338"/>
      <c r="U2383" s="338"/>
      <c r="X2383" s="338"/>
      <c r="Y2383" s="338"/>
      <c r="Z2383" s="338"/>
      <c r="AA2383" s="338"/>
      <c r="AB2383" s="338"/>
      <c r="AC2383" s="338"/>
      <c r="AD2383" s="338"/>
    </row>
    <row r="2384" spans="1:30">
      <c r="A2384" s="338"/>
      <c r="B2384" s="338"/>
      <c r="D2384" s="338"/>
      <c r="E2384" s="338"/>
      <c r="H2384" s="338"/>
      <c r="I2384" s="338"/>
      <c r="J2384" s="338"/>
      <c r="K2384" s="338"/>
      <c r="L2384" s="338"/>
      <c r="M2384" s="338"/>
      <c r="N2384" s="338"/>
      <c r="Q2384" s="338"/>
      <c r="R2384" s="338"/>
      <c r="S2384" s="338"/>
      <c r="T2384" s="338"/>
      <c r="U2384" s="338"/>
      <c r="X2384" s="338"/>
      <c r="Y2384" s="338"/>
      <c r="Z2384" s="338"/>
      <c r="AA2384" s="338"/>
      <c r="AB2384" s="338"/>
      <c r="AC2384" s="338"/>
      <c r="AD2384" s="338"/>
    </row>
    <row r="2385" spans="1:30">
      <c r="A2385" s="338"/>
      <c r="B2385" s="338"/>
      <c r="D2385" s="338"/>
      <c r="E2385" s="338"/>
      <c r="H2385" s="338"/>
      <c r="I2385" s="338"/>
      <c r="J2385" s="338"/>
      <c r="K2385" s="338"/>
      <c r="L2385" s="338"/>
      <c r="M2385" s="338"/>
      <c r="N2385" s="338"/>
      <c r="Q2385" s="338"/>
      <c r="R2385" s="338"/>
      <c r="S2385" s="338"/>
      <c r="T2385" s="338"/>
      <c r="U2385" s="338"/>
      <c r="X2385" s="338"/>
      <c r="Y2385" s="338"/>
      <c r="Z2385" s="338"/>
      <c r="AA2385" s="338"/>
      <c r="AB2385" s="338"/>
      <c r="AC2385" s="338"/>
      <c r="AD2385" s="338"/>
    </row>
    <row r="2386" spans="1:30">
      <c r="A2386" s="338"/>
      <c r="B2386" s="338"/>
      <c r="D2386" s="338"/>
      <c r="E2386" s="338"/>
      <c r="H2386" s="338"/>
      <c r="I2386" s="338"/>
      <c r="J2386" s="338"/>
      <c r="K2386" s="338"/>
      <c r="L2386" s="338"/>
      <c r="M2386" s="338"/>
      <c r="N2386" s="338"/>
      <c r="Q2386" s="338"/>
      <c r="R2386" s="338"/>
      <c r="S2386" s="338"/>
      <c r="T2386" s="338"/>
      <c r="U2386" s="338"/>
      <c r="X2386" s="338"/>
      <c r="Y2386" s="338"/>
      <c r="Z2386" s="338"/>
      <c r="AA2386" s="338"/>
      <c r="AB2386" s="338"/>
      <c r="AC2386" s="338"/>
      <c r="AD2386" s="338"/>
    </row>
    <row r="2387" spans="1:30">
      <c r="A2387" s="338"/>
      <c r="B2387" s="338"/>
      <c r="D2387" s="338"/>
      <c r="E2387" s="338"/>
      <c r="H2387" s="338"/>
      <c r="I2387" s="338"/>
      <c r="J2387" s="338"/>
      <c r="K2387" s="338"/>
      <c r="L2387" s="338"/>
      <c r="M2387" s="338"/>
      <c r="N2387" s="338"/>
      <c r="Q2387" s="338"/>
      <c r="R2387" s="338"/>
      <c r="S2387" s="338"/>
      <c r="T2387" s="338"/>
      <c r="U2387" s="338"/>
      <c r="X2387" s="338"/>
      <c r="Y2387" s="338"/>
      <c r="Z2387" s="338"/>
      <c r="AA2387" s="338"/>
      <c r="AB2387" s="338"/>
      <c r="AC2387" s="338"/>
      <c r="AD2387" s="338"/>
    </row>
    <row r="2388" spans="1:30">
      <c r="A2388" s="338"/>
      <c r="B2388" s="338"/>
      <c r="D2388" s="338"/>
      <c r="E2388" s="338"/>
      <c r="H2388" s="338"/>
      <c r="I2388" s="338"/>
      <c r="J2388" s="338"/>
      <c r="K2388" s="338"/>
      <c r="L2388" s="338"/>
      <c r="M2388" s="338"/>
      <c r="N2388" s="338"/>
      <c r="Q2388" s="338"/>
      <c r="R2388" s="338"/>
      <c r="S2388" s="338"/>
      <c r="T2388" s="338"/>
      <c r="U2388" s="338"/>
      <c r="X2388" s="338"/>
      <c r="Y2388" s="338"/>
      <c r="Z2388" s="338"/>
      <c r="AA2388" s="338"/>
      <c r="AB2388" s="338"/>
      <c r="AC2388" s="338"/>
      <c r="AD2388" s="338"/>
    </row>
    <row r="2389" spans="1:30">
      <c r="A2389" s="338"/>
      <c r="B2389" s="338"/>
      <c r="D2389" s="338"/>
      <c r="E2389" s="338"/>
      <c r="H2389" s="338"/>
      <c r="I2389" s="338"/>
      <c r="J2389" s="338"/>
      <c r="K2389" s="338"/>
      <c r="L2389" s="338"/>
      <c r="M2389" s="338"/>
      <c r="N2389" s="338"/>
      <c r="Q2389" s="338"/>
      <c r="R2389" s="338"/>
      <c r="S2389" s="338"/>
      <c r="T2389" s="338"/>
      <c r="U2389" s="338"/>
      <c r="X2389" s="338"/>
      <c r="Y2389" s="338"/>
      <c r="Z2389" s="338"/>
      <c r="AA2389" s="338"/>
      <c r="AB2389" s="338"/>
      <c r="AC2389" s="338"/>
      <c r="AD2389" s="338"/>
    </row>
    <row r="2390" spans="1:30">
      <c r="A2390" s="338"/>
      <c r="B2390" s="338"/>
      <c r="D2390" s="338"/>
      <c r="E2390" s="338"/>
      <c r="H2390" s="338"/>
      <c r="I2390" s="338"/>
      <c r="J2390" s="338"/>
      <c r="K2390" s="338"/>
      <c r="L2390" s="338"/>
      <c r="M2390" s="338"/>
      <c r="N2390" s="338"/>
      <c r="Q2390" s="338"/>
      <c r="R2390" s="338"/>
      <c r="S2390" s="338"/>
      <c r="T2390" s="338"/>
      <c r="U2390" s="338"/>
      <c r="X2390" s="338"/>
      <c r="Y2390" s="338"/>
      <c r="Z2390" s="338"/>
      <c r="AA2390" s="338"/>
      <c r="AB2390" s="338"/>
      <c r="AC2390" s="338"/>
      <c r="AD2390" s="338"/>
    </row>
    <row r="2391" spans="1:30">
      <c r="A2391" s="338"/>
      <c r="B2391" s="338"/>
      <c r="D2391" s="338"/>
      <c r="E2391" s="338"/>
      <c r="H2391" s="338"/>
      <c r="I2391" s="338"/>
      <c r="J2391" s="338"/>
      <c r="K2391" s="338"/>
      <c r="L2391" s="338"/>
      <c r="M2391" s="338"/>
      <c r="N2391" s="338"/>
      <c r="Q2391" s="338"/>
      <c r="R2391" s="338"/>
      <c r="S2391" s="338"/>
      <c r="T2391" s="338"/>
      <c r="U2391" s="338"/>
      <c r="X2391" s="338"/>
      <c r="Y2391" s="338"/>
      <c r="Z2391" s="338"/>
      <c r="AA2391" s="338"/>
      <c r="AB2391" s="338"/>
      <c r="AC2391" s="338"/>
      <c r="AD2391" s="338"/>
    </row>
    <row r="2392" spans="1:30">
      <c r="A2392" s="338"/>
      <c r="B2392" s="338"/>
      <c r="D2392" s="338"/>
      <c r="E2392" s="338"/>
      <c r="H2392" s="338"/>
      <c r="I2392" s="338"/>
      <c r="J2392" s="338"/>
      <c r="K2392" s="338"/>
      <c r="L2392" s="338"/>
      <c r="M2392" s="338"/>
      <c r="N2392" s="338"/>
      <c r="Q2392" s="338"/>
      <c r="R2392" s="338"/>
      <c r="S2392" s="338"/>
      <c r="T2392" s="338"/>
      <c r="U2392" s="338"/>
      <c r="X2392" s="338"/>
      <c r="Y2392" s="338"/>
      <c r="Z2392" s="338"/>
      <c r="AA2392" s="338"/>
      <c r="AB2392" s="338"/>
      <c r="AC2392" s="338"/>
      <c r="AD2392" s="338"/>
    </row>
    <row r="2393" spans="1:30">
      <c r="A2393" s="338"/>
      <c r="B2393" s="338"/>
      <c r="D2393" s="338"/>
      <c r="E2393" s="338"/>
      <c r="H2393" s="338"/>
      <c r="I2393" s="338"/>
      <c r="J2393" s="338"/>
      <c r="K2393" s="338"/>
      <c r="L2393" s="338"/>
      <c r="M2393" s="338"/>
      <c r="N2393" s="338"/>
      <c r="Q2393" s="338"/>
      <c r="R2393" s="338"/>
      <c r="S2393" s="338"/>
      <c r="T2393" s="338"/>
      <c r="U2393" s="338"/>
      <c r="X2393" s="338"/>
      <c r="Y2393" s="338"/>
      <c r="Z2393" s="338"/>
      <c r="AA2393" s="338"/>
      <c r="AB2393" s="338"/>
      <c r="AC2393" s="338"/>
      <c r="AD2393" s="338"/>
    </row>
    <row r="2394" spans="1:30">
      <c r="A2394" s="338"/>
      <c r="B2394" s="338"/>
      <c r="D2394" s="338"/>
      <c r="E2394" s="338"/>
      <c r="H2394" s="338"/>
      <c r="I2394" s="338"/>
      <c r="J2394" s="338"/>
      <c r="K2394" s="338"/>
      <c r="L2394" s="338"/>
      <c r="M2394" s="338"/>
      <c r="N2394" s="338"/>
      <c r="Q2394" s="338"/>
      <c r="R2394" s="338"/>
      <c r="S2394" s="338"/>
      <c r="T2394" s="338"/>
      <c r="U2394" s="338"/>
      <c r="X2394" s="338"/>
      <c r="Y2394" s="338"/>
      <c r="Z2394" s="338"/>
      <c r="AA2394" s="338"/>
      <c r="AB2394" s="338"/>
      <c r="AC2394" s="338"/>
      <c r="AD2394" s="338"/>
    </row>
    <row r="2395" spans="1:30">
      <c r="A2395" s="338"/>
      <c r="B2395" s="338"/>
      <c r="D2395" s="338"/>
      <c r="E2395" s="338"/>
      <c r="H2395" s="338"/>
      <c r="I2395" s="338"/>
      <c r="J2395" s="338"/>
      <c r="K2395" s="338"/>
      <c r="L2395" s="338"/>
      <c r="M2395" s="338"/>
      <c r="N2395" s="338"/>
      <c r="Q2395" s="338"/>
      <c r="R2395" s="338"/>
      <c r="S2395" s="338"/>
      <c r="T2395" s="338"/>
      <c r="U2395" s="338"/>
      <c r="X2395" s="338"/>
      <c r="Y2395" s="338"/>
      <c r="Z2395" s="338"/>
      <c r="AA2395" s="338"/>
      <c r="AB2395" s="338"/>
      <c r="AC2395" s="338"/>
      <c r="AD2395" s="338"/>
    </row>
    <row r="2396" spans="1:30">
      <c r="A2396" s="338"/>
      <c r="B2396" s="338"/>
      <c r="D2396" s="338"/>
      <c r="E2396" s="338"/>
      <c r="H2396" s="338"/>
      <c r="I2396" s="338"/>
      <c r="J2396" s="338"/>
      <c r="K2396" s="338"/>
      <c r="L2396" s="338"/>
      <c r="M2396" s="338"/>
      <c r="N2396" s="338"/>
      <c r="Q2396" s="338"/>
      <c r="R2396" s="338"/>
      <c r="S2396" s="338"/>
      <c r="T2396" s="338"/>
      <c r="U2396" s="338"/>
      <c r="X2396" s="338"/>
      <c r="Y2396" s="338"/>
      <c r="Z2396" s="338"/>
      <c r="AA2396" s="338"/>
      <c r="AB2396" s="338"/>
      <c r="AC2396" s="338"/>
      <c r="AD2396" s="338"/>
    </row>
    <row r="2397" spans="1:30">
      <c r="A2397" s="338"/>
      <c r="B2397" s="338"/>
      <c r="D2397" s="338"/>
      <c r="E2397" s="338"/>
      <c r="H2397" s="338"/>
      <c r="I2397" s="338"/>
      <c r="J2397" s="338"/>
      <c r="K2397" s="338"/>
      <c r="L2397" s="338"/>
      <c r="M2397" s="338"/>
      <c r="N2397" s="338"/>
      <c r="Q2397" s="338"/>
      <c r="R2397" s="338"/>
      <c r="S2397" s="338"/>
      <c r="T2397" s="338"/>
      <c r="U2397" s="338"/>
      <c r="X2397" s="338"/>
      <c r="Y2397" s="338"/>
      <c r="Z2397" s="338"/>
      <c r="AA2397" s="338"/>
      <c r="AB2397" s="338"/>
      <c r="AC2397" s="338"/>
      <c r="AD2397" s="338"/>
    </row>
    <row r="2398" spans="1:30">
      <c r="A2398" s="338"/>
      <c r="B2398" s="338"/>
      <c r="D2398" s="338"/>
      <c r="E2398" s="338"/>
      <c r="H2398" s="338"/>
      <c r="I2398" s="338"/>
      <c r="J2398" s="338"/>
      <c r="K2398" s="338"/>
      <c r="L2398" s="338"/>
      <c r="M2398" s="338"/>
      <c r="N2398" s="338"/>
      <c r="Q2398" s="338"/>
      <c r="R2398" s="338"/>
      <c r="S2398" s="338"/>
      <c r="T2398" s="338"/>
      <c r="U2398" s="338"/>
      <c r="X2398" s="338"/>
      <c r="Y2398" s="338"/>
      <c r="Z2398" s="338"/>
      <c r="AA2398" s="338"/>
      <c r="AB2398" s="338"/>
      <c r="AC2398" s="338"/>
      <c r="AD2398" s="338"/>
    </row>
    <row r="2399" spans="1:30">
      <c r="A2399" s="338"/>
      <c r="B2399" s="338"/>
      <c r="D2399" s="338"/>
      <c r="E2399" s="338"/>
      <c r="H2399" s="338"/>
      <c r="I2399" s="338"/>
      <c r="J2399" s="338"/>
      <c r="K2399" s="338"/>
      <c r="L2399" s="338"/>
      <c r="M2399" s="338"/>
      <c r="N2399" s="338"/>
      <c r="Q2399" s="338"/>
      <c r="R2399" s="338"/>
      <c r="S2399" s="338"/>
      <c r="T2399" s="338"/>
      <c r="U2399" s="338"/>
      <c r="X2399" s="338"/>
      <c r="Y2399" s="338"/>
      <c r="Z2399" s="338"/>
      <c r="AA2399" s="338"/>
      <c r="AB2399" s="338"/>
      <c r="AC2399" s="338"/>
      <c r="AD2399" s="338"/>
    </row>
    <row r="2400" spans="1:30">
      <c r="A2400" s="338"/>
      <c r="B2400" s="338"/>
      <c r="D2400" s="338"/>
      <c r="E2400" s="338"/>
      <c r="H2400" s="338"/>
      <c r="I2400" s="338"/>
      <c r="J2400" s="338"/>
      <c r="K2400" s="338"/>
      <c r="L2400" s="338"/>
      <c r="M2400" s="338"/>
      <c r="N2400" s="338"/>
      <c r="Q2400" s="338"/>
      <c r="R2400" s="338"/>
      <c r="S2400" s="338"/>
      <c r="T2400" s="338"/>
      <c r="U2400" s="338"/>
      <c r="X2400" s="338"/>
      <c r="Y2400" s="338"/>
      <c r="Z2400" s="338"/>
      <c r="AA2400" s="338"/>
      <c r="AB2400" s="338"/>
      <c r="AC2400" s="338"/>
      <c r="AD2400" s="338"/>
    </row>
    <row r="2401" spans="1:30">
      <c r="A2401" s="338"/>
      <c r="B2401" s="338"/>
      <c r="D2401" s="338"/>
      <c r="E2401" s="338"/>
      <c r="H2401" s="338"/>
      <c r="I2401" s="338"/>
      <c r="J2401" s="338"/>
      <c r="K2401" s="338"/>
      <c r="L2401" s="338"/>
      <c r="M2401" s="338"/>
      <c r="N2401" s="338"/>
      <c r="Q2401" s="338"/>
      <c r="R2401" s="338"/>
      <c r="S2401" s="338"/>
      <c r="T2401" s="338"/>
      <c r="U2401" s="338"/>
      <c r="X2401" s="338"/>
      <c r="Y2401" s="338"/>
      <c r="Z2401" s="338"/>
      <c r="AA2401" s="338"/>
      <c r="AB2401" s="338"/>
      <c r="AC2401" s="338"/>
      <c r="AD2401" s="338"/>
    </row>
    <row r="2402" spans="1:30">
      <c r="A2402" s="338"/>
      <c r="B2402" s="338"/>
      <c r="D2402" s="338"/>
      <c r="E2402" s="338"/>
      <c r="H2402" s="338"/>
      <c r="I2402" s="338"/>
      <c r="J2402" s="338"/>
      <c r="K2402" s="338"/>
      <c r="L2402" s="338"/>
      <c r="M2402" s="338"/>
      <c r="N2402" s="338"/>
      <c r="Q2402" s="338"/>
      <c r="R2402" s="338"/>
      <c r="S2402" s="338"/>
      <c r="T2402" s="338"/>
      <c r="U2402" s="338"/>
      <c r="X2402" s="338"/>
      <c r="Y2402" s="338"/>
      <c r="Z2402" s="338"/>
      <c r="AA2402" s="338"/>
      <c r="AB2402" s="338"/>
      <c r="AC2402" s="338"/>
      <c r="AD2402" s="338"/>
    </row>
    <row r="2403" spans="1:30">
      <c r="A2403" s="338"/>
      <c r="B2403" s="338"/>
      <c r="D2403" s="338"/>
      <c r="E2403" s="338"/>
      <c r="H2403" s="338"/>
      <c r="I2403" s="338"/>
      <c r="J2403" s="338"/>
      <c r="K2403" s="338"/>
      <c r="L2403" s="338"/>
      <c r="M2403" s="338"/>
      <c r="N2403" s="338"/>
      <c r="Q2403" s="338"/>
      <c r="R2403" s="338"/>
      <c r="S2403" s="338"/>
      <c r="T2403" s="338"/>
      <c r="U2403" s="338"/>
      <c r="X2403" s="338"/>
      <c r="Y2403" s="338"/>
      <c r="Z2403" s="338"/>
      <c r="AA2403" s="338"/>
      <c r="AB2403" s="338"/>
      <c r="AC2403" s="338"/>
      <c r="AD2403" s="338"/>
    </row>
    <row r="2404" spans="1:30">
      <c r="A2404" s="338"/>
      <c r="B2404" s="338"/>
      <c r="D2404" s="338"/>
      <c r="E2404" s="338"/>
      <c r="H2404" s="338"/>
      <c r="I2404" s="338"/>
      <c r="J2404" s="338"/>
      <c r="K2404" s="338"/>
      <c r="L2404" s="338"/>
      <c r="M2404" s="338"/>
      <c r="N2404" s="338"/>
      <c r="Q2404" s="338"/>
      <c r="R2404" s="338"/>
      <c r="S2404" s="338"/>
      <c r="T2404" s="338"/>
      <c r="U2404" s="338"/>
      <c r="X2404" s="338"/>
      <c r="Y2404" s="338"/>
      <c r="Z2404" s="338"/>
      <c r="AA2404" s="338"/>
      <c r="AB2404" s="338"/>
      <c r="AC2404" s="338"/>
      <c r="AD2404" s="338"/>
    </row>
    <row r="2405" spans="1:30">
      <c r="A2405" s="338"/>
      <c r="B2405" s="338"/>
      <c r="D2405" s="338"/>
      <c r="E2405" s="338"/>
      <c r="H2405" s="338"/>
      <c r="I2405" s="338"/>
      <c r="J2405" s="338"/>
      <c r="K2405" s="338"/>
      <c r="L2405" s="338"/>
      <c r="M2405" s="338"/>
      <c r="N2405" s="338"/>
      <c r="Q2405" s="338"/>
      <c r="R2405" s="338"/>
      <c r="S2405" s="338"/>
      <c r="T2405" s="338"/>
      <c r="U2405" s="338"/>
      <c r="X2405" s="338"/>
      <c r="Y2405" s="338"/>
      <c r="Z2405" s="338"/>
      <c r="AA2405" s="338"/>
      <c r="AB2405" s="338"/>
      <c r="AC2405" s="338"/>
      <c r="AD2405" s="338"/>
    </row>
    <row r="2406" spans="1:30">
      <c r="A2406" s="338"/>
      <c r="B2406" s="338"/>
      <c r="D2406" s="338"/>
      <c r="E2406" s="338"/>
      <c r="H2406" s="338"/>
      <c r="I2406" s="338"/>
      <c r="J2406" s="338"/>
      <c r="K2406" s="338"/>
      <c r="L2406" s="338"/>
      <c r="M2406" s="338"/>
      <c r="N2406" s="338"/>
      <c r="Q2406" s="338"/>
      <c r="R2406" s="338"/>
      <c r="S2406" s="338"/>
      <c r="T2406" s="338"/>
      <c r="U2406" s="338"/>
      <c r="X2406" s="338"/>
      <c r="Y2406" s="338"/>
      <c r="Z2406" s="338"/>
      <c r="AA2406" s="338"/>
      <c r="AB2406" s="338"/>
      <c r="AC2406" s="338"/>
      <c r="AD2406" s="338"/>
    </row>
    <row r="2407" spans="1:30">
      <c r="A2407" s="338"/>
      <c r="B2407" s="338"/>
      <c r="D2407" s="338"/>
      <c r="E2407" s="338"/>
      <c r="H2407" s="338"/>
      <c r="I2407" s="338"/>
      <c r="J2407" s="338"/>
      <c r="K2407" s="338"/>
      <c r="L2407" s="338"/>
      <c r="M2407" s="338"/>
      <c r="N2407" s="338"/>
      <c r="Q2407" s="338"/>
      <c r="R2407" s="338"/>
      <c r="S2407" s="338"/>
      <c r="T2407" s="338"/>
      <c r="U2407" s="338"/>
      <c r="X2407" s="338"/>
      <c r="Y2407" s="338"/>
      <c r="Z2407" s="338"/>
      <c r="AA2407" s="338"/>
      <c r="AB2407" s="338"/>
      <c r="AC2407" s="338"/>
      <c r="AD2407" s="338"/>
    </row>
    <row r="2408" spans="1:30">
      <c r="A2408" s="338"/>
      <c r="B2408" s="338"/>
      <c r="D2408" s="338"/>
      <c r="E2408" s="338"/>
      <c r="H2408" s="338"/>
      <c r="I2408" s="338"/>
      <c r="J2408" s="338"/>
      <c r="K2408" s="338"/>
      <c r="L2408" s="338"/>
      <c r="M2408" s="338"/>
      <c r="N2408" s="338"/>
      <c r="Q2408" s="338"/>
      <c r="R2408" s="338"/>
      <c r="S2408" s="338"/>
      <c r="T2408" s="338"/>
      <c r="U2408" s="338"/>
      <c r="X2408" s="338"/>
      <c r="Y2408" s="338"/>
      <c r="Z2408" s="338"/>
      <c r="AA2408" s="338"/>
      <c r="AB2408" s="338"/>
      <c r="AC2408" s="338"/>
      <c r="AD2408" s="338"/>
    </row>
    <row r="2409" spans="1:30">
      <c r="A2409" s="338"/>
      <c r="B2409" s="338"/>
      <c r="D2409" s="338"/>
      <c r="E2409" s="338"/>
      <c r="H2409" s="338"/>
      <c r="I2409" s="338"/>
      <c r="J2409" s="338"/>
      <c r="K2409" s="338"/>
      <c r="L2409" s="338"/>
      <c r="M2409" s="338"/>
      <c r="N2409" s="338"/>
      <c r="Q2409" s="338"/>
      <c r="R2409" s="338"/>
      <c r="S2409" s="338"/>
      <c r="T2409" s="338"/>
      <c r="U2409" s="338"/>
      <c r="X2409" s="338"/>
      <c r="Y2409" s="338"/>
      <c r="Z2409" s="338"/>
      <c r="AA2409" s="338"/>
      <c r="AB2409" s="338"/>
      <c r="AC2409" s="338"/>
      <c r="AD2409" s="338"/>
    </row>
    <row r="2410" spans="1:30">
      <c r="A2410" s="338"/>
      <c r="B2410" s="338"/>
      <c r="D2410" s="338"/>
      <c r="E2410" s="338"/>
      <c r="H2410" s="338"/>
      <c r="I2410" s="338"/>
      <c r="J2410" s="338"/>
      <c r="K2410" s="338"/>
      <c r="L2410" s="338"/>
      <c r="M2410" s="338"/>
      <c r="N2410" s="338"/>
      <c r="Q2410" s="338"/>
      <c r="R2410" s="338"/>
      <c r="S2410" s="338"/>
      <c r="T2410" s="338"/>
      <c r="U2410" s="338"/>
      <c r="X2410" s="338"/>
      <c r="Y2410" s="338"/>
      <c r="Z2410" s="338"/>
      <c r="AA2410" s="338"/>
      <c r="AB2410" s="338"/>
      <c r="AC2410" s="338"/>
      <c r="AD2410" s="338"/>
    </row>
    <row r="2411" spans="1:30">
      <c r="A2411" s="338"/>
      <c r="B2411" s="338"/>
      <c r="D2411" s="338"/>
      <c r="E2411" s="338"/>
      <c r="H2411" s="338"/>
      <c r="I2411" s="338"/>
      <c r="J2411" s="338"/>
      <c r="K2411" s="338"/>
      <c r="L2411" s="338"/>
      <c r="M2411" s="338"/>
      <c r="N2411" s="338"/>
      <c r="Q2411" s="338"/>
      <c r="R2411" s="338"/>
      <c r="S2411" s="338"/>
      <c r="T2411" s="338"/>
      <c r="U2411" s="338"/>
      <c r="X2411" s="338"/>
      <c r="Y2411" s="338"/>
      <c r="Z2411" s="338"/>
      <c r="AA2411" s="338"/>
      <c r="AB2411" s="338"/>
      <c r="AC2411" s="338"/>
      <c r="AD2411" s="338"/>
    </row>
    <row r="2412" spans="1:30">
      <c r="A2412" s="338"/>
      <c r="B2412" s="338"/>
      <c r="D2412" s="338"/>
      <c r="E2412" s="338"/>
      <c r="H2412" s="338"/>
      <c r="I2412" s="338"/>
      <c r="J2412" s="338"/>
      <c r="K2412" s="338"/>
      <c r="L2412" s="338"/>
      <c r="M2412" s="338"/>
      <c r="N2412" s="338"/>
      <c r="Q2412" s="338"/>
      <c r="R2412" s="338"/>
      <c r="S2412" s="338"/>
      <c r="T2412" s="338"/>
      <c r="U2412" s="338"/>
      <c r="X2412" s="338"/>
      <c r="Y2412" s="338"/>
      <c r="Z2412" s="338"/>
      <c r="AA2412" s="338"/>
      <c r="AB2412" s="338"/>
      <c r="AC2412" s="338"/>
      <c r="AD2412" s="338"/>
    </row>
    <row r="2413" spans="1:30">
      <c r="A2413" s="338"/>
      <c r="B2413" s="338"/>
      <c r="D2413" s="338"/>
      <c r="E2413" s="338"/>
      <c r="H2413" s="338"/>
      <c r="I2413" s="338"/>
      <c r="J2413" s="338"/>
      <c r="K2413" s="338"/>
      <c r="L2413" s="338"/>
      <c r="M2413" s="338"/>
      <c r="N2413" s="338"/>
      <c r="Q2413" s="338"/>
      <c r="R2413" s="338"/>
      <c r="S2413" s="338"/>
      <c r="T2413" s="338"/>
      <c r="U2413" s="338"/>
      <c r="X2413" s="338"/>
      <c r="Y2413" s="338"/>
      <c r="Z2413" s="338"/>
      <c r="AA2413" s="338"/>
      <c r="AB2413" s="338"/>
      <c r="AC2413" s="338"/>
      <c r="AD2413" s="338"/>
    </row>
    <row r="2414" spans="1:30">
      <c r="A2414" s="338"/>
      <c r="B2414" s="338"/>
      <c r="D2414" s="338"/>
      <c r="E2414" s="338"/>
      <c r="H2414" s="338"/>
      <c r="I2414" s="338"/>
      <c r="J2414" s="338"/>
      <c r="K2414" s="338"/>
      <c r="L2414" s="338"/>
      <c r="M2414" s="338"/>
      <c r="N2414" s="338"/>
      <c r="Q2414" s="338"/>
      <c r="R2414" s="338"/>
      <c r="S2414" s="338"/>
      <c r="T2414" s="338"/>
      <c r="U2414" s="338"/>
      <c r="X2414" s="338"/>
      <c r="Y2414" s="338"/>
      <c r="Z2414" s="338"/>
      <c r="AA2414" s="338"/>
      <c r="AB2414" s="338"/>
      <c r="AC2414" s="338"/>
      <c r="AD2414" s="338"/>
    </row>
    <row r="2415" spans="1:30">
      <c r="A2415" s="338"/>
      <c r="B2415" s="338"/>
      <c r="D2415" s="338"/>
      <c r="E2415" s="338"/>
      <c r="H2415" s="338"/>
      <c r="I2415" s="338"/>
      <c r="J2415" s="338"/>
      <c r="K2415" s="338"/>
      <c r="L2415" s="338"/>
      <c r="M2415" s="338"/>
      <c r="N2415" s="338"/>
      <c r="Q2415" s="338"/>
      <c r="R2415" s="338"/>
      <c r="S2415" s="338"/>
      <c r="T2415" s="338"/>
      <c r="U2415" s="338"/>
      <c r="X2415" s="338"/>
      <c r="Y2415" s="338"/>
      <c r="Z2415" s="338"/>
      <c r="AA2415" s="338"/>
      <c r="AB2415" s="338"/>
      <c r="AC2415" s="338"/>
      <c r="AD2415" s="338"/>
    </row>
    <row r="2416" spans="1:30">
      <c r="A2416" s="338"/>
      <c r="B2416" s="338"/>
      <c r="D2416" s="338"/>
      <c r="E2416" s="338"/>
      <c r="H2416" s="338"/>
      <c r="I2416" s="338"/>
      <c r="J2416" s="338"/>
      <c r="K2416" s="338"/>
      <c r="L2416" s="338"/>
      <c r="M2416" s="338"/>
      <c r="N2416" s="338"/>
      <c r="Q2416" s="338"/>
      <c r="R2416" s="338"/>
      <c r="S2416" s="338"/>
      <c r="T2416" s="338"/>
      <c r="U2416" s="338"/>
      <c r="X2416" s="338"/>
      <c r="Y2416" s="338"/>
      <c r="Z2416" s="338"/>
      <c r="AA2416" s="338"/>
      <c r="AB2416" s="338"/>
      <c r="AC2416" s="338"/>
      <c r="AD2416" s="338"/>
    </row>
    <row r="2417" spans="1:30">
      <c r="A2417" s="338"/>
      <c r="B2417" s="338"/>
      <c r="D2417" s="338"/>
      <c r="E2417" s="338"/>
      <c r="H2417" s="338"/>
      <c r="I2417" s="338"/>
      <c r="J2417" s="338"/>
      <c r="K2417" s="338"/>
      <c r="L2417" s="338"/>
      <c r="M2417" s="338"/>
      <c r="N2417" s="338"/>
      <c r="Q2417" s="338"/>
      <c r="R2417" s="338"/>
      <c r="S2417" s="338"/>
      <c r="T2417" s="338"/>
      <c r="U2417" s="338"/>
      <c r="X2417" s="338"/>
      <c r="Y2417" s="338"/>
      <c r="Z2417" s="338"/>
      <c r="AA2417" s="338"/>
      <c r="AB2417" s="338"/>
      <c r="AC2417" s="338"/>
      <c r="AD2417" s="338"/>
    </row>
    <row r="2418" spans="1:30">
      <c r="A2418" s="338"/>
      <c r="B2418" s="338"/>
      <c r="D2418" s="338"/>
      <c r="E2418" s="338"/>
      <c r="H2418" s="338"/>
      <c r="I2418" s="338"/>
      <c r="J2418" s="338"/>
      <c r="K2418" s="338"/>
      <c r="L2418" s="338"/>
      <c r="M2418" s="338"/>
      <c r="N2418" s="338"/>
      <c r="Q2418" s="338"/>
      <c r="R2418" s="338"/>
      <c r="S2418" s="338"/>
      <c r="T2418" s="338"/>
      <c r="U2418" s="338"/>
      <c r="X2418" s="338"/>
      <c r="Y2418" s="338"/>
      <c r="Z2418" s="338"/>
      <c r="AA2418" s="338"/>
      <c r="AB2418" s="338"/>
      <c r="AC2418" s="338"/>
      <c r="AD2418" s="338"/>
    </row>
    <row r="2419" spans="1:30">
      <c r="A2419" s="338"/>
      <c r="B2419" s="338"/>
      <c r="D2419" s="338"/>
      <c r="E2419" s="338"/>
      <c r="H2419" s="338"/>
      <c r="I2419" s="338"/>
      <c r="J2419" s="338"/>
      <c r="K2419" s="338"/>
      <c r="L2419" s="338"/>
      <c r="M2419" s="338"/>
      <c r="N2419" s="338"/>
      <c r="Q2419" s="338"/>
      <c r="R2419" s="338"/>
      <c r="S2419" s="338"/>
      <c r="T2419" s="338"/>
      <c r="U2419" s="338"/>
      <c r="X2419" s="338"/>
      <c r="Y2419" s="338"/>
      <c r="Z2419" s="338"/>
      <c r="AA2419" s="338"/>
      <c r="AB2419" s="338"/>
      <c r="AC2419" s="338"/>
      <c r="AD2419" s="338"/>
    </row>
    <row r="2420" spans="1:30">
      <c r="A2420" s="338"/>
      <c r="B2420" s="338"/>
      <c r="D2420" s="338"/>
      <c r="E2420" s="338"/>
      <c r="H2420" s="338"/>
      <c r="I2420" s="338"/>
      <c r="J2420" s="338"/>
      <c r="K2420" s="338"/>
      <c r="L2420" s="338"/>
      <c r="M2420" s="338"/>
      <c r="N2420" s="338"/>
      <c r="Q2420" s="338"/>
      <c r="R2420" s="338"/>
      <c r="S2420" s="338"/>
      <c r="T2420" s="338"/>
      <c r="U2420" s="338"/>
      <c r="X2420" s="338"/>
      <c r="Y2420" s="338"/>
      <c r="Z2420" s="338"/>
      <c r="AA2420" s="338"/>
      <c r="AB2420" s="338"/>
      <c r="AC2420" s="338"/>
      <c r="AD2420" s="338"/>
    </row>
    <row r="2421" spans="1:30">
      <c r="A2421" s="338"/>
      <c r="B2421" s="338"/>
      <c r="D2421" s="338"/>
      <c r="E2421" s="338"/>
      <c r="H2421" s="338"/>
      <c r="I2421" s="338"/>
      <c r="J2421" s="338"/>
      <c r="K2421" s="338"/>
      <c r="L2421" s="338"/>
      <c r="M2421" s="338"/>
      <c r="N2421" s="338"/>
      <c r="Q2421" s="338"/>
      <c r="R2421" s="338"/>
      <c r="S2421" s="338"/>
      <c r="T2421" s="338"/>
      <c r="U2421" s="338"/>
      <c r="X2421" s="338"/>
      <c r="Y2421" s="338"/>
      <c r="Z2421" s="338"/>
      <c r="AA2421" s="338"/>
      <c r="AB2421" s="338"/>
      <c r="AC2421" s="338"/>
      <c r="AD2421" s="338"/>
    </row>
    <row r="2422" spans="1:30">
      <c r="A2422" s="338"/>
      <c r="B2422" s="338"/>
      <c r="D2422" s="338"/>
      <c r="E2422" s="338"/>
      <c r="H2422" s="338"/>
      <c r="I2422" s="338"/>
      <c r="J2422" s="338"/>
      <c r="K2422" s="338"/>
      <c r="L2422" s="338"/>
      <c r="M2422" s="338"/>
      <c r="N2422" s="338"/>
      <c r="Q2422" s="338"/>
      <c r="R2422" s="338"/>
      <c r="S2422" s="338"/>
      <c r="T2422" s="338"/>
      <c r="U2422" s="338"/>
      <c r="X2422" s="338"/>
      <c r="Y2422" s="338"/>
      <c r="Z2422" s="338"/>
      <c r="AA2422" s="338"/>
      <c r="AB2422" s="338"/>
      <c r="AC2422" s="338"/>
      <c r="AD2422" s="338"/>
    </row>
    <row r="2423" spans="1:30">
      <c r="A2423" s="338"/>
      <c r="B2423" s="338"/>
      <c r="D2423" s="338"/>
      <c r="E2423" s="338"/>
      <c r="H2423" s="338"/>
      <c r="I2423" s="338"/>
      <c r="J2423" s="338"/>
      <c r="K2423" s="338"/>
      <c r="L2423" s="338"/>
      <c r="M2423" s="338"/>
      <c r="N2423" s="338"/>
      <c r="Q2423" s="338"/>
      <c r="R2423" s="338"/>
      <c r="S2423" s="338"/>
      <c r="T2423" s="338"/>
      <c r="U2423" s="338"/>
      <c r="X2423" s="338"/>
      <c r="Y2423" s="338"/>
      <c r="Z2423" s="338"/>
      <c r="AA2423" s="338"/>
      <c r="AB2423" s="338"/>
      <c r="AC2423" s="338"/>
      <c r="AD2423" s="338"/>
    </row>
    <row r="2424" spans="1:30">
      <c r="A2424" s="338"/>
      <c r="B2424" s="338"/>
      <c r="D2424" s="338"/>
      <c r="E2424" s="338"/>
      <c r="H2424" s="338"/>
      <c r="I2424" s="338"/>
      <c r="J2424" s="338"/>
      <c r="K2424" s="338"/>
      <c r="L2424" s="338"/>
      <c r="M2424" s="338"/>
      <c r="N2424" s="338"/>
      <c r="Q2424" s="338"/>
      <c r="R2424" s="338"/>
      <c r="S2424" s="338"/>
      <c r="T2424" s="338"/>
      <c r="U2424" s="338"/>
      <c r="X2424" s="338"/>
      <c r="Y2424" s="338"/>
      <c r="Z2424" s="338"/>
      <c r="AA2424" s="338"/>
      <c r="AB2424" s="338"/>
      <c r="AC2424" s="338"/>
      <c r="AD2424" s="338"/>
    </row>
    <row r="2425" spans="1:30">
      <c r="A2425" s="338"/>
      <c r="B2425" s="338"/>
      <c r="D2425" s="338"/>
      <c r="E2425" s="338"/>
      <c r="H2425" s="338"/>
      <c r="I2425" s="338"/>
      <c r="J2425" s="338"/>
      <c r="K2425" s="338"/>
      <c r="L2425" s="338"/>
      <c r="M2425" s="338"/>
      <c r="N2425" s="338"/>
      <c r="Q2425" s="338"/>
      <c r="R2425" s="338"/>
      <c r="S2425" s="338"/>
      <c r="T2425" s="338"/>
      <c r="U2425" s="338"/>
      <c r="X2425" s="338"/>
      <c r="Y2425" s="338"/>
      <c r="Z2425" s="338"/>
      <c r="AA2425" s="338"/>
      <c r="AB2425" s="338"/>
      <c r="AC2425" s="338"/>
      <c r="AD2425" s="338"/>
    </row>
    <row r="2426" spans="1:30">
      <c r="A2426" s="338"/>
      <c r="B2426" s="338"/>
      <c r="D2426" s="338"/>
      <c r="E2426" s="338"/>
      <c r="H2426" s="338"/>
      <c r="I2426" s="338"/>
      <c r="J2426" s="338"/>
      <c r="K2426" s="338"/>
      <c r="L2426" s="338"/>
      <c r="M2426" s="338"/>
      <c r="N2426" s="338"/>
      <c r="Q2426" s="338"/>
      <c r="R2426" s="338"/>
      <c r="S2426" s="338"/>
      <c r="T2426" s="338"/>
      <c r="U2426" s="338"/>
      <c r="X2426" s="338"/>
      <c r="Y2426" s="338"/>
      <c r="Z2426" s="338"/>
      <c r="AA2426" s="338"/>
      <c r="AB2426" s="338"/>
      <c r="AC2426" s="338"/>
      <c r="AD2426" s="338"/>
    </row>
    <row r="2427" spans="1:30">
      <c r="A2427" s="338"/>
      <c r="B2427" s="338"/>
      <c r="D2427" s="338"/>
      <c r="E2427" s="338"/>
      <c r="H2427" s="338"/>
      <c r="I2427" s="338"/>
      <c r="J2427" s="338"/>
      <c r="K2427" s="338"/>
      <c r="L2427" s="338"/>
      <c r="M2427" s="338"/>
      <c r="N2427" s="338"/>
      <c r="Q2427" s="338"/>
      <c r="R2427" s="338"/>
      <c r="S2427" s="338"/>
      <c r="T2427" s="338"/>
      <c r="U2427" s="338"/>
      <c r="X2427" s="338"/>
      <c r="Y2427" s="338"/>
      <c r="Z2427" s="338"/>
      <c r="AA2427" s="338"/>
      <c r="AB2427" s="338"/>
      <c r="AC2427" s="338"/>
      <c r="AD2427" s="338"/>
    </row>
    <row r="2428" spans="1:30">
      <c r="A2428" s="338"/>
      <c r="B2428" s="338"/>
      <c r="D2428" s="338"/>
      <c r="E2428" s="338"/>
      <c r="H2428" s="338"/>
      <c r="I2428" s="338"/>
      <c r="J2428" s="338"/>
      <c r="K2428" s="338"/>
      <c r="L2428" s="338"/>
      <c r="M2428" s="338"/>
      <c r="N2428" s="338"/>
      <c r="Q2428" s="338"/>
      <c r="R2428" s="338"/>
      <c r="S2428" s="338"/>
      <c r="T2428" s="338"/>
      <c r="U2428" s="338"/>
      <c r="X2428" s="338"/>
      <c r="Y2428" s="338"/>
      <c r="Z2428" s="338"/>
      <c r="AA2428" s="338"/>
      <c r="AB2428" s="338"/>
      <c r="AC2428" s="338"/>
      <c r="AD2428" s="338"/>
    </row>
    <row r="2429" spans="1:30">
      <c r="A2429" s="338"/>
      <c r="B2429" s="338"/>
      <c r="D2429" s="338"/>
      <c r="E2429" s="338"/>
      <c r="H2429" s="338"/>
      <c r="I2429" s="338"/>
      <c r="J2429" s="338"/>
      <c r="K2429" s="338"/>
      <c r="L2429" s="338"/>
      <c r="M2429" s="338"/>
      <c r="N2429" s="338"/>
      <c r="Q2429" s="338"/>
      <c r="R2429" s="338"/>
      <c r="S2429" s="338"/>
      <c r="T2429" s="338"/>
      <c r="U2429" s="338"/>
      <c r="X2429" s="338"/>
      <c r="Y2429" s="338"/>
      <c r="Z2429" s="338"/>
      <c r="AA2429" s="338"/>
      <c r="AB2429" s="338"/>
      <c r="AC2429" s="338"/>
      <c r="AD2429" s="338"/>
    </row>
    <row r="2430" spans="1:30">
      <c r="A2430" s="338"/>
      <c r="B2430" s="338"/>
      <c r="D2430" s="338"/>
      <c r="E2430" s="338"/>
      <c r="H2430" s="338"/>
      <c r="I2430" s="338"/>
      <c r="J2430" s="338"/>
      <c r="K2430" s="338"/>
      <c r="L2430" s="338"/>
      <c r="M2430" s="338"/>
      <c r="N2430" s="338"/>
      <c r="Q2430" s="338"/>
      <c r="R2430" s="338"/>
      <c r="S2430" s="338"/>
      <c r="T2430" s="338"/>
      <c r="U2430" s="338"/>
      <c r="X2430" s="338"/>
      <c r="Y2430" s="338"/>
      <c r="Z2430" s="338"/>
      <c r="AA2430" s="338"/>
      <c r="AB2430" s="338"/>
      <c r="AC2430" s="338"/>
      <c r="AD2430" s="338"/>
    </row>
    <row r="2431" spans="1:30">
      <c r="A2431" s="338"/>
      <c r="B2431" s="338"/>
      <c r="D2431" s="338"/>
      <c r="E2431" s="338"/>
      <c r="H2431" s="338"/>
      <c r="I2431" s="338"/>
      <c r="J2431" s="338"/>
      <c r="K2431" s="338"/>
      <c r="L2431" s="338"/>
      <c r="M2431" s="338"/>
      <c r="N2431" s="338"/>
      <c r="Q2431" s="338"/>
      <c r="R2431" s="338"/>
      <c r="S2431" s="338"/>
      <c r="T2431" s="338"/>
      <c r="U2431" s="338"/>
      <c r="X2431" s="338"/>
      <c r="Y2431" s="338"/>
      <c r="Z2431" s="338"/>
      <c r="AA2431" s="338"/>
      <c r="AB2431" s="338"/>
      <c r="AC2431" s="338"/>
      <c r="AD2431" s="338"/>
    </row>
    <row r="2432" spans="1:30">
      <c r="A2432" s="338"/>
      <c r="B2432" s="338"/>
      <c r="D2432" s="338"/>
      <c r="E2432" s="338"/>
      <c r="H2432" s="338"/>
      <c r="I2432" s="338"/>
      <c r="J2432" s="338"/>
      <c r="K2432" s="338"/>
      <c r="L2432" s="338"/>
      <c r="M2432" s="338"/>
      <c r="N2432" s="338"/>
      <c r="Q2432" s="338"/>
      <c r="R2432" s="338"/>
      <c r="S2432" s="338"/>
      <c r="T2432" s="338"/>
      <c r="U2432" s="338"/>
      <c r="X2432" s="338"/>
      <c r="Y2432" s="338"/>
      <c r="Z2432" s="338"/>
      <c r="AA2432" s="338"/>
      <c r="AB2432" s="338"/>
      <c r="AC2432" s="338"/>
      <c r="AD2432" s="338"/>
    </row>
    <row r="2433" spans="1:30">
      <c r="A2433" s="338"/>
      <c r="B2433" s="338"/>
      <c r="D2433" s="338"/>
      <c r="E2433" s="338"/>
      <c r="H2433" s="338"/>
      <c r="I2433" s="338"/>
      <c r="J2433" s="338"/>
      <c r="K2433" s="338"/>
      <c r="L2433" s="338"/>
      <c r="M2433" s="338"/>
      <c r="N2433" s="338"/>
      <c r="Q2433" s="338"/>
      <c r="R2433" s="338"/>
      <c r="S2433" s="338"/>
      <c r="T2433" s="338"/>
      <c r="U2433" s="338"/>
      <c r="X2433" s="338"/>
      <c r="Y2433" s="338"/>
      <c r="Z2433" s="338"/>
      <c r="AA2433" s="338"/>
      <c r="AB2433" s="338"/>
      <c r="AC2433" s="338"/>
      <c r="AD2433" s="338"/>
    </row>
    <row r="2434" spans="1:30">
      <c r="A2434" s="338"/>
      <c r="B2434" s="338"/>
      <c r="D2434" s="338"/>
      <c r="E2434" s="338"/>
      <c r="H2434" s="338"/>
      <c r="I2434" s="338"/>
      <c r="J2434" s="338"/>
      <c r="K2434" s="338"/>
      <c r="L2434" s="338"/>
      <c r="M2434" s="338"/>
      <c r="N2434" s="338"/>
      <c r="Q2434" s="338"/>
      <c r="R2434" s="338"/>
      <c r="S2434" s="338"/>
      <c r="T2434" s="338"/>
      <c r="U2434" s="338"/>
      <c r="X2434" s="338"/>
      <c r="Y2434" s="338"/>
      <c r="Z2434" s="338"/>
      <c r="AA2434" s="338"/>
      <c r="AB2434" s="338"/>
      <c r="AC2434" s="338"/>
      <c r="AD2434" s="338"/>
    </row>
    <row r="2435" spans="1:30">
      <c r="A2435" s="338"/>
      <c r="B2435" s="338"/>
      <c r="D2435" s="338"/>
      <c r="E2435" s="338"/>
      <c r="H2435" s="338"/>
      <c r="I2435" s="338"/>
      <c r="J2435" s="338"/>
      <c r="K2435" s="338"/>
      <c r="L2435" s="338"/>
      <c r="M2435" s="338"/>
      <c r="N2435" s="338"/>
      <c r="Q2435" s="338"/>
      <c r="R2435" s="338"/>
      <c r="S2435" s="338"/>
      <c r="T2435" s="338"/>
      <c r="U2435" s="338"/>
      <c r="X2435" s="338"/>
      <c r="Y2435" s="338"/>
      <c r="Z2435" s="338"/>
      <c r="AA2435" s="338"/>
      <c r="AB2435" s="338"/>
      <c r="AC2435" s="338"/>
      <c r="AD2435" s="338"/>
    </row>
    <row r="2436" spans="1:30">
      <c r="A2436" s="338"/>
      <c r="B2436" s="338"/>
      <c r="D2436" s="338"/>
      <c r="E2436" s="338"/>
      <c r="H2436" s="338"/>
      <c r="I2436" s="338"/>
      <c r="J2436" s="338"/>
      <c r="K2436" s="338"/>
      <c r="L2436" s="338"/>
      <c r="M2436" s="338"/>
      <c r="N2436" s="338"/>
      <c r="Q2436" s="338"/>
      <c r="R2436" s="338"/>
      <c r="S2436" s="338"/>
      <c r="T2436" s="338"/>
      <c r="U2436" s="338"/>
      <c r="X2436" s="338"/>
      <c r="Y2436" s="338"/>
      <c r="Z2436" s="338"/>
      <c r="AA2436" s="338"/>
      <c r="AB2436" s="338"/>
      <c r="AC2436" s="338"/>
      <c r="AD2436" s="338"/>
    </row>
    <row r="2437" spans="1:30">
      <c r="A2437" s="338"/>
      <c r="B2437" s="338"/>
      <c r="D2437" s="338"/>
      <c r="E2437" s="338"/>
      <c r="H2437" s="338"/>
      <c r="I2437" s="338"/>
      <c r="J2437" s="338"/>
      <c r="K2437" s="338"/>
      <c r="L2437" s="338"/>
      <c r="M2437" s="338"/>
      <c r="N2437" s="338"/>
      <c r="Q2437" s="338"/>
      <c r="R2437" s="338"/>
      <c r="S2437" s="338"/>
      <c r="T2437" s="338"/>
      <c r="U2437" s="338"/>
      <c r="X2437" s="338"/>
      <c r="Y2437" s="338"/>
      <c r="Z2437" s="338"/>
      <c r="AA2437" s="338"/>
      <c r="AB2437" s="338"/>
      <c r="AC2437" s="338"/>
      <c r="AD2437" s="338"/>
    </row>
    <row r="2438" spans="1:30">
      <c r="A2438" s="338"/>
      <c r="B2438" s="338"/>
      <c r="D2438" s="338"/>
      <c r="E2438" s="338"/>
      <c r="H2438" s="338"/>
      <c r="I2438" s="338"/>
      <c r="J2438" s="338"/>
      <c r="K2438" s="338"/>
      <c r="L2438" s="338"/>
      <c r="M2438" s="338"/>
      <c r="N2438" s="338"/>
      <c r="Q2438" s="338"/>
      <c r="R2438" s="338"/>
      <c r="S2438" s="338"/>
      <c r="T2438" s="338"/>
      <c r="U2438" s="338"/>
      <c r="X2438" s="338"/>
      <c r="Y2438" s="338"/>
      <c r="Z2438" s="338"/>
      <c r="AA2438" s="338"/>
      <c r="AB2438" s="338"/>
      <c r="AC2438" s="338"/>
      <c r="AD2438" s="338"/>
    </row>
    <row r="2439" spans="1:30">
      <c r="A2439" s="338"/>
      <c r="B2439" s="338"/>
      <c r="D2439" s="338"/>
      <c r="E2439" s="338"/>
      <c r="H2439" s="338"/>
      <c r="I2439" s="338"/>
      <c r="J2439" s="338"/>
      <c r="K2439" s="338"/>
      <c r="L2439" s="338"/>
      <c r="M2439" s="338"/>
      <c r="N2439" s="338"/>
      <c r="Q2439" s="338"/>
      <c r="R2439" s="338"/>
      <c r="S2439" s="338"/>
      <c r="T2439" s="338"/>
      <c r="U2439" s="338"/>
      <c r="X2439" s="338"/>
      <c r="Y2439" s="338"/>
      <c r="Z2439" s="338"/>
      <c r="AA2439" s="338"/>
      <c r="AB2439" s="338"/>
      <c r="AC2439" s="338"/>
      <c r="AD2439" s="338"/>
    </row>
    <row r="2440" spans="1:30">
      <c r="A2440" s="338"/>
      <c r="B2440" s="338"/>
      <c r="D2440" s="338"/>
      <c r="E2440" s="338"/>
      <c r="H2440" s="338"/>
      <c r="I2440" s="338"/>
      <c r="J2440" s="338"/>
      <c r="K2440" s="338"/>
      <c r="L2440" s="338"/>
      <c r="M2440" s="338"/>
      <c r="N2440" s="338"/>
      <c r="Q2440" s="338"/>
      <c r="R2440" s="338"/>
      <c r="S2440" s="338"/>
      <c r="T2440" s="338"/>
      <c r="U2440" s="338"/>
      <c r="X2440" s="338"/>
      <c r="Y2440" s="338"/>
      <c r="Z2440" s="338"/>
      <c r="AA2440" s="338"/>
      <c r="AB2440" s="338"/>
      <c r="AC2440" s="338"/>
      <c r="AD2440" s="338"/>
    </row>
    <row r="2441" spans="1:30">
      <c r="A2441" s="338"/>
      <c r="B2441" s="338"/>
      <c r="D2441" s="338"/>
      <c r="E2441" s="338"/>
      <c r="H2441" s="338"/>
      <c r="I2441" s="338"/>
      <c r="J2441" s="338"/>
      <c r="K2441" s="338"/>
      <c r="L2441" s="338"/>
      <c r="M2441" s="338"/>
      <c r="N2441" s="338"/>
      <c r="Q2441" s="338"/>
      <c r="R2441" s="338"/>
      <c r="S2441" s="338"/>
      <c r="T2441" s="338"/>
      <c r="U2441" s="338"/>
      <c r="X2441" s="338"/>
      <c r="Y2441" s="338"/>
      <c r="Z2441" s="338"/>
      <c r="AA2441" s="338"/>
      <c r="AB2441" s="338"/>
      <c r="AC2441" s="338"/>
      <c r="AD2441" s="338"/>
    </row>
    <row r="2442" spans="1:30">
      <c r="A2442" s="338"/>
      <c r="B2442" s="338"/>
      <c r="D2442" s="338"/>
      <c r="E2442" s="338"/>
      <c r="H2442" s="338"/>
      <c r="I2442" s="338"/>
      <c r="J2442" s="338"/>
      <c r="K2442" s="338"/>
      <c r="L2442" s="338"/>
      <c r="M2442" s="338"/>
      <c r="N2442" s="338"/>
      <c r="Q2442" s="338"/>
      <c r="R2442" s="338"/>
      <c r="S2442" s="338"/>
      <c r="T2442" s="338"/>
      <c r="U2442" s="338"/>
      <c r="X2442" s="338"/>
      <c r="Y2442" s="338"/>
      <c r="Z2442" s="338"/>
      <c r="AA2442" s="338"/>
      <c r="AB2442" s="338"/>
      <c r="AC2442" s="338"/>
      <c r="AD2442" s="338"/>
    </row>
    <row r="2443" spans="1:30">
      <c r="A2443" s="338"/>
      <c r="B2443" s="338"/>
      <c r="D2443" s="338"/>
      <c r="E2443" s="338"/>
      <c r="H2443" s="338"/>
      <c r="I2443" s="338"/>
      <c r="J2443" s="338"/>
      <c r="K2443" s="338"/>
      <c r="L2443" s="338"/>
      <c r="M2443" s="338"/>
      <c r="N2443" s="338"/>
      <c r="Q2443" s="338"/>
      <c r="R2443" s="338"/>
      <c r="S2443" s="338"/>
      <c r="T2443" s="338"/>
      <c r="U2443" s="338"/>
      <c r="X2443" s="338"/>
      <c r="Y2443" s="338"/>
      <c r="Z2443" s="338"/>
      <c r="AA2443" s="338"/>
      <c r="AB2443" s="338"/>
      <c r="AC2443" s="338"/>
      <c r="AD2443" s="338"/>
    </row>
    <row r="2444" spans="1:30">
      <c r="A2444" s="338"/>
      <c r="B2444" s="338"/>
      <c r="D2444" s="338"/>
      <c r="E2444" s="338"/>
      <c r="H2444" s="338"/>
      <c r="I2444" s="338"/>
      <c r="J2444" s="338"/>
      <c r="K2444" s="338"/>
      <c r="L2444" s="338"/>
      <c r="M2444" s="338"/>
      <c r="N2444" s="338"/>
      <c r="Q2444" s="338"/>
      <c r="R2444" s="338"/>
      <c r="S2444" s="338"/>
      <c r="T2444" s="338"/>
      <c r="U2444" s="338"/>
      <c r="X2444" s="338"/>
      <c r="Y2444" s="338"/>
      <c r="Z2444" s="338"/>
      <c r="AA2444" s="338"/>
      <c r="AB2444" s="338"/>
      <c r="AC2444" s="338"/>
      <c r="AD2444" s="338"/>
    </row>
    <row r="2445" spans="1:30">
      <c r="A2445" s="338"/>
      <c r="B2445" s="338"/>
      <c r="D2445" s="338"/>
      <c r="E2445" s="338"/>
      <c r="H2445" s="338"/>
      <c r="I2445" s="338"/>
      <c r="J2445" s="338"/>
      <c r="K2445" s="338"/>
      <c r="L2445" s="338"/>
      <c r="M2445" s="338"/>
      <c r="N2445" s="338"/>
      <c r="Q2445" s="338"/>
      <c r="R2445" s="338"/>
      <c r="S2445" s="338"/>
      <c r="T2445" s="338"/>
      <c r="U2445" s="338"/>
      <c r="X2445" s="338"/>
      <c r="Y2445" s="338"/>
      <c r="Z2445" s="338"/>
      <c r="AA2445" s="338"/>
      <c r="AB2445" s="338"/>
      <c r="AC2445" s="338"/>
      <c r="AD2445" s="338"/>
    </row>
    <row r="2446" spans="1:30">
      <c r="A2446" s="338"/>
      <c r="B2446" s="338"/>
      <c r="D2446" s="338"/>
      <c r="E2446" s="338"/>
      <c r="H2446" s="338"/>
      <c r="I2446" s="338"/>
      <c r="J2446" s="338"/>
      <c r="K2446" s="338"/>
      <c r="L2446" s="338"/>
      <c r="M2446" s="338"/>
      <c r="N2446" s="338"/>
      <c r="Q2446" s="338"/>
      <c r="R2446" s="338"/>
      <c r="S2446" s="338"/>
      <c r="T2446" s="338"/>
      <c r="U2446" s="338"/>
      <c r="X2446" s="338"/>
      <c r="Y2446" s="338"/>
      <c r="Z2446" s="338"/>
      <c r="AA2446" s="338"/>
      <c r="AB2446" s="338"/>
      <c r="AC2446" s="338"/>
      <c r="AD2446" s="338"/>
    </row>
    <row r="2447" spans="1:30">
      <c r="A2447" s="338"/>
      <c r="B2447" s="338"/>
      <c r="D2447" s="338"/>
      <c r="E2447" s="338"/>
      <c r="H2447" s="338"/>
      <c r="I2447" s="338"/>
      <c r="J2447" s="338"/>
      <c r="K2447" s="338"/>
      <c r="L2447" s="338"/>
      <c r="M2447" s="338"/>
      <c r="N2447" s="338"/>
      <c r="Q2447" s="338"/>
      <c r="R2447" s="338"/>
      <c r="S2447" s="338"/>
      <c r="T2447" s="338"/>
      <c r="U2447" s="338"/>
      <c r="X2447" s="338"/>
      <c r="Y2447" s="338"/>
      <c r="Z2447" s="338"/>
      <c r="AA2447" s="338"/>
      <c r="AB2447" s="338"/>
      <c r="AC2447" s="338"/>
      <c r="AD2447" s="338"/>
    </row>
    <row r="2448" spans="1:30">
      <c r="A2448" s="338"/>
      <c r="B2448" s="338"/>
      <c r="D2448" s="338"/>
      <c r="E2448" s="338"/>
      <c r="H2448" s="338"/>
      <c r="I2448" s="338"/>
      <c r="J2448" s="338"/>
      <c r="K2448" s="338"/>
      <c r="L2448" s="338"/>
      <c r="M2448" s="338"/>
      <c r="N2448" s="338"/>
      <c r="Q2448" s="338"/>
      <c r="R2448" s="338"/>
      <c r="S2448" s="338"/>
      <c r="T2448" s="338"/>
      <c r="U2448" s="338"/>
      <c r="X2448" s="338"/>
      <c r="Y2448" s="338"/>
      <c r="Z2448" s="338"/>
      <c r="AA2448" s="338"/>
      <c r="AB2448" s="338"/>
      <c r="AC2448" s="338"/>
      <c r="AD2448" s="338"/>
    </row>
    <row r="2449" spans="1:30">
      <c r="A2449" s="338"/>
      <c r="B2449" s="338"/>
      <c r="D2449" s="338"/>
      <c r="E2449" s="338"/>
      <c r="H2449" s="338"/>
      <c r="I2449" s="338"/>
      <c r="J2449" s="338"/>
      <c r="K2449" s="338"/>
      <c r="L2449" s="338"/>
      <c r="M2449" s="338"/>
      <c r="N2449" s="338"/>
      <c r="Q2449" s="338"/>
      <c r="R2449" s="338"/>
      <c r="S2449" s="338"/>
      <c r="T2449" s="338"/>
      <c r="U2449" s="338"/>
      <c r="X2449" s="338"/>
      <c r="Y2449" s="338"/>
      <c r="Z2449" s="338"/>
      <c r="AA2449" s="338"/>
      <c r="AB2449" s="338"/>
      <c r="AC2449" s="338"/>
      <c r="AD2449" s="338"/>
    </row>
    <row r="2450" spans="1:30">
      <c r="A2450" s="338"/>
      <c r="B2450" s="338"/>
      <c r="D2450" s="338"/>
      <c r="E2450" s="338"/>
      <c r="H2450" s="338"/>
      <c r="I2450" s="338"/>
      <c r="J2450" s="338"/>
      <c r="K2450" s="338"/>
      <c r="L2450" s="338"/>
      <c r="M2450" s="338"/>
      <c r="N2450" s="338"/>
      <c r="Q2450" s="338"/>
      <c r="R2450" s="338"/>
      <c r="S2450" s="338"/>
      <c r="T2450" s="338"/>
      <c r="U2450" s="338"/>
      <c r="X2450" s="338"/>
      <c r="Y2450" s="338"/>
      <c r="Z2450" s="338"/>
      <c r="AA2450" s="338"/>
      <c r="AB2450" s="338"/>
      <c r="AC2450" s="338"/>
      <c r="AD2450" s="338"/>
    </row>
    <row r="2451" spans="1:30">
      <c r="A2451" s="338"/>
      <c r="B2451" s="338"/>
      <c r="D2451" s="338"/>
      <c r="E2451" s="338"/>
      <c r="H2451" s="338"/>
      <c r="I2451" s="338"/>
      <c r="J2451" s="338"/>
      <c r="K2451" s="338"/>
      <c r="L2451" s="338"/>
      <c r="M2451" s="338"/>
      <c r="N2451" s="338"/>
      <c r="Q2451" s="338"/>
      <c r="R2451" s="338"/>
      <c r="S2451" s="338"/>
      <c r="T2451" s="338"/>
      <c r="U2451" s="338"/>
      <c r="X2451" s="338"/>
      <c r="Y2451" s="338"/>
      <c r="Z2451" s="338"/>
      <c r="AA2451" s="338"/>
      <c r="AB2451" s="338"/>
      <c r="AC2451" s="338"/>
      <c r="AD2451" s="338"/>
    </row>
    <row r="2452" spans="1:30">
      <c r="A2452" s="338"/>
      <c r="B2452" s="338"/>
      <c r="D2452" s="338"/>
      <c r="E2452" s="338"/>
      <c r="H2452" s="338"/>
      <c r="I2452" s="338"/>
      <c r="J2452" s="338"/>
      <c r="K2452" s="338"/>
      <c r="L2452" s="338"/>
      <c r="M2452" s="338"/>
      <c r="N2452" s="338"/>
      <c r="Q2452" s="338"/>
      <c r="R2452" s="338"/>
      <c r="S2452" s="338"/>
      <c r="T2452" s="338"/>
      <c r="U2452" s="338"/>
      <c r="X2452" s="338"/>
      <c r="Y2452" s="338"/>
      <c r="Z2452" s="338"/>
      <c r="AA2452" s="338"/>
      <c r="AB2452" s="338"/>
      <c r="AC2452" s="338"/>
      <c r="AD2452" s="338"/>
    </row>
    <row r="2453" spans="1:30">
      <c r="A2453" s="338"/>
      <c r="B2453" s="338"/>
      <c r="D2453" s="338"/>
      <c r="E2453" s="338"/>
      <c r="H2453" s="338"/>
      <c r="I2453" s="338"/>
      <c r="J2453" s="338"/>
      <c r="K2453" s="338"/>
      <c r="L2453" s="338"/>
      <c r="M2453" s="338"/>
      <c r="N2453" s="338"/>
      <c r="Q2453" s="338"/>
      <c r="R2453" s="338"/>
      <c r="S2453" s="338"/>
      <c r="T2453" s="338"/>
      <c r="U2453" s="338"/>
      <c r="X2453" s="338"/>
      <c r="Y2453" s="338"/>
      <c r="Z2453" s="338"/>
      <c r="AA2453" s="338"/>
      <c r="AB2453" s="338"/>
      <c r="AC2453" s="338"/>
      <c r="AD2453" s="338"/>
    </row>
    <row r="2454" spans="1:30">
      <c r="A2454" s="338"/>
      <c r="B2454" s="338"/>
      <c r="D2454" s="338"/>
      <c r="E2454" s="338"/>
      <c r="H2454" s="338"/>
      <c r="I2454" s="338"/>
      <c r="J2454" s="338"/>
      <c r="K2454" s="338"/>
      <c r="L2454" s="338"/>
      <c r="M2454" s="338"/>
      <c r="N2454" s="338"/>
      <c r="Q2454" s="338"/>
      <c r="R2454" s="338"/>
      <c r="S2454" s="338"/>
      <c r="T2454" s="338"/>
      <c r="U2454" s="338"/>
      <c r="X2454" s="338"/>
      <c r="Y2454" s="338"/>
      <c r="Z2454" s="338"/>
      <c r="AA2454" s="338"/>
      <c r="AB2454" s="338"/>
      <c r="AC2454" s="338"/>
      <c r="AD2454" s="338"/>
    </row>
    <row r="2455" spans="1:30">
      <c r="A2455" s="338"/>
      <c r="B2455" s="338"/>
      <c r="D2455" s="338"/>
      <c r="E2455" s="338"/>
      <c r="H2455" s="338"/>
      <c r="I2455" s="338"/>
      <c r="J2455" s="338"/>
      <c r="K2455" s="338"/>
      <c r="L2455" s="338"/>
      <c r="M2455" s="338"/>
      <c r="N2455" s="338"/>
      <c r="Q2455" s="338"/>
      <c r="R2455" s="338"/>
      <c r="S2455" s="338"/>
      <c r="T2455" s="338"/>
      <c r="U2455" s="338"/>
      <c r="X2455" s="338"/>
      <c r="Y2455" s="338"/>
      <c r="Z2455" s="338"/>
      <c r="AA2455" s="338"/>
      <c r="AB2455" s="338"/>
      <c r="AC2455" s="338"/>
      <c r="AD2455" s="338"/>
    </row>
    <row r="2456" spans="1:30">
      <c r="A2456" s="338"/>
      <c r="B2456" s="338"/>
      <c r="D2456" s="338"/>
      <c r="E2456" s="338"/>
      <c r="H2456" s="338"/>
      <c r="I2456" s="338"/>
      <c r="J2456" s="338"/>
      <c r="K2456" s="338"/>
      <c r="L2456" s="338"/>
      <c r="M2456" s="338"/>
      <c r="N2456" s="338"/>
      <c r="Q2456" s="338"/>
      <c r="R2456" s="338"/>
      <c r="S2456" s="338"/>
      <c r="T2456" s="338"/>
      <c r="U2456" s="338"/>
      <c r="X2456" s="338"/>
      <c r="Y2456" s="338"/>
      <c r="Z2456" s="338"/>
      <c r="AA2456" s="338"/>
      <c r="AB2456" s="338"/>
      <c r="AC2456" s="338"/>
      <c r="AD2456" s="338"/>
    </row>
    <row r="2457" spans="1:30">
      <c r="A2457" s="338"/>
      <c r="B2457" s="338"/>
      <c r="D2457" s="338"/>
      <c r="E2457" s="338"/>
      <c r="H2457" s="338"/>
      <c r="I2457" s="338"/>
      <c r="J2457" s="338"/>
      <c r="K2457" s="338"/>
      <c r="L2457" s="338"/>
      <c r="M2457" s="338"/>
      <c r="N2457" s="338"/>
      <c r="Q2457" s="338"/>
      <c r="R2457" s="338"/>
      <c r="S2457" s="338"/>
      <c r="T2457" s="338"/>
      <c r="U2457" s="338"/>
      <c r="X2457" s="338"/>
      <c r="Y2457" s="338"/>
      <c r="Z2457" s="338"/>
      <c r="AA2457" s="338"/>
      <c r="AB2457" s="338"/>
      <c r="AC2457" s="338"/>
      <c r="AD2457" s="338"/>
    </row>
    <row r="2458" spans="1:30">
      <c r="A2458" s="338"/>
      <c r="B2458" s="338"/>
      <c r="D2458" s="338"/>
      <c r="E2458" s="338"/>
      <c r="H2458" s="338"/>
      <c r="I2458" s="338"/>
      <c r="J2458" s="338"/>
      <c r="K2458" s="338"/>
      <c r="L2458" s="338"/>
      <c r="M2458" s="338"/>
      <c r="N2458" s="338"/>
      <c r="Q2458" s="338"/>
      <c r="R2458" s="338"/>
      <c r="S2458" s="338"/>
      <c r="T2458" s="338"/>
      <c r="U2458" s="338"/>
      <c r="X2458" s="338"/>
      <c r="Y2458" s="338"/>
      <c r="Z2458" s="338"/>
      <c r="AA2458" s="338"/>
      <c r="AB2458" s="338"/>
      <c r="AC2458" s="338"/>
      <c r="AD2458" s="338"/>
    </row>
    <row r="2459" spans="1:30">
      <c r="A2459" s="338"/>
      <c r="B2459" s="338"/>
      <c r="D2459" s="338"/>
      <c r="E2459" s="338"/>
      <c r="H2459" s="338"/>
      <c r="I2459" s="338"/>
      <c r="J2459" s="338"/>
      <c r="K2459" s="338"/>
      <c r="L2459" s="338"/>
      <c r="M2459" s="338"/>
      <c r="N2459" s="338"/>
      <c r="Q2459" s="338"/>
      <c r="R2459" s="338"/>
      <c r="S2459" s="338"/>
      <c r="T2459" s="338"/>
      <c r="U2459" s="338"/>
      <c r="X2459" s="338"/>
      <c r="Y2459" s="338"/>
      <c r="Z2459" s="338"/>
      <c r="AA2459" s="338"/>
      <c r="AB2459" s="338"/>
      <c r="AC2459" s="338"/>
      <c r="AD2459" s="338"/>
    </row>
    <row r="2460" spans="1:30">
      <c r="A2460" s="338"/>
      <c r="B2460" s="338"/>
      <c r="D2460" s="338"/>
      <c r="E2460" s="338"/>
      <c r="H2460" s="338"/>
      <c r="I2460" s="338"/>
      <c r="J2460" s="338"/>
      <c r="K2460" s="338"/>
      <c r="L2460" s="338"/>
      <c r="M2460" s="338"/>
      <c r="N2460" s="338"/>
      <c r="Q2460" s="338"/>
      <c r="R2460" s="338"/>
      <c r="S2460" s="338"/>
      <c r="T2460" s="338"/>
      <c r="U2460" s="338"/>
      <c r="X2460" s="338"/>
      <c r="Y2460" s="338"/>
      <c r="Z2460" s="338"/>
      <c r="AA2460" s="338"/>
      <c r="AB2460" s="338"/>
      <c r="AC2460" s="338"/>
      <c r="AD2460" s="338"/>
    </row>
    <row r="2461" spans="1:30">
      <c r="A2461" s="338"/>
      <c r="B2461" s="338"/>
      <c r="D2461" s="338"/>
      <c r="E2461" s="338"/>
      <c r="H2461" s="338"/>
      <c r="I2461" s="338"/>
      <c r="J2461" s="338"/>
      <c r="K2461" s="338"/>
      <c r="L2461" s="338"/>
      <c r="M2461" s="338"/>
      <c r="N2461" s="338"/>
      <c r="Q2461" s="338"/>
      <c r="R2461" s="338"/>
      <c r="S2461" s="338"/>
      <c r="T2461" s="338"/>
      <c r="U2461" s="338"/>
      <c r="X2461" s="338"/>
      <c r="Y2461" s="338"/>
      <c r="Z2461" s="338"/>
      <c r="AA2461" s="338"/>
      <c r="AB2461" s="338"/>
      <c r="AC2461" s="338"/>
      <c r="AD2461" s="338"/>
    </row>
    <row r="2462" spans="1:30">
      <c r="A2462" s="338"/>
      <c r="B2462" s="338"/>
      <c r="D2462" s="338"/>
      <c r="E2462" s="338"/>
      <c r="H2462" s="338"/>
      <c r="I2462" s="338"/>
      <c r="J2462" s="338"/>
      <c r="K2462" s="338"/>
      <c r="L2462" s="338"/>
      <c r="M2462" s="338"/>
      <c r="N2462" s="338"/>
      <c r="Q2462" s="338"/>
      <c r="R2462" s="338"/>
      <c r="S2462" s="338"/>
      <c r="T2462" s="338"/>
      <c r="U2462" s="338"/>
      <c r="X2462" s="338"/>
      <c r="Y2462" s="338"/>
      <c r="Z2462" s="338"/>
      <c r="AA2462" s="338"/>
      <c r="AB2462" s="338"/>
      <c r="AC2462" s="338"/>
      <c r="AD2462" s="338"/>
    </row>
    <row r="2463" spans="1:30">
      <c r="A2463" s="338"/>
      <c r="B2463" s="338"/>
      <c r="D2463" s="338"/>
      <c r="E2463" s="338"/>
      <c r="H2463" s="338"/>
      <c r="I2463" s="338"/>
      <c r="J2463" s="338"/>
      <c r="K2463" s="338"/>
      <c r="L2463" s="338"/>
      <c r="M2463" s="338"/>
      <c r="N2463" s="338"/>
      <c r="Q2463" s="338"/>
      <c r="R2463" s="338"/>
      <c r="S2463" s="338"/>
      <c r="T2463" s="338"/>
      <c r="U2463" s="338"/>
      <c r="X2463" s="338"/>
      <c r="Y2463" s="338"/>
      <c r="Z2463" s="338"/>
      <c r="AA2463" s="338"/>
      <c r="AB2463" s="338"/>
      <c r="AC2463" s="338"/>
      <c r="AD2463" s="338"/>
    </row>
    <row r="2464" spans="1:30">
      <c r="A2464" s="338"/>
      <c r="B2464" s="338"/>
      <c r="D2464" s="338"/>
      <c r="E2464" s="338"/>
      <c r="H2464" s="338"/>
      <c r="I2464" s="338"/>
      <c r="J2464" s="338"/>
      <c r="K2464" s="338"/>
      <c r="L2464" s="338"/>
      <c r="M2464" s="338"/>
      <c r="N2464" s="338"/>
      <c r="Q2464" s="338"/>
      <c r="R2464" s="338"/>
      <c r="S2464" s="338"/>
      <c r="T2464" s="338"/>
      <c r="U2464" s="338"/>
      <c r="X2464" s="338"/>
      <c r="Y2464" s="338"/>
      <c r="Z2464" s="338"/>
      <c r="AA2464" s="338"/>
      <c r="AB2464" s="338"/>
      <c r="AC2464" s="338"/>
      <c r="AD2464" s="338"/>
    </row>
    <row r="2465" spans="1:30">
      <c r="A2465" s="338"/>
      <c r="B2465" s="338"/>
      <c r="D2465" s="338"/>
      <c r="E2465" s="338"/>
      <c r="H2465" s="338"/>
      <c r="I2465" s="338"/>
      <c r="J2465" s="338"/>
      <c r="K2465" s="338"/>
      <c r="L2465" s="338"/>
      <c r="M2465" s="338"/>
      <c r="N2465" s="338"/>
      <c r="Q2465" s="338"/>
      <c r="R2465" s="338"/>
      <c r="S2465" s="338"/>
      <c r="T2465" s="338"/>
      <c r="U2465" s="338"/>
      <c r="X2465" s="338"/>
      <c r="Y2465" s="338"/>
      <c r="Z2465" s="338"/>
      <c r="AA2465" s="338"/>
      <c r="AB2465" s="338"/>
      <c r="AC2465" s="338"/>
      <c r="AD2465" s="338"/>
    </row>
    <row r="2466" spans="1:30">
      <c r="A2466" s="338"/>
      <c r="B2466" s="338"/>
      <c r="D2466" s="338"/>
      <c r="E2466" s="338"/>
      <c r="H2466" s="338"/>
      <c r="I2466" s="338"/>
      <c r="J2466" s="338"/>
      <c r="K2466" s="338"/>
      <c r="L2466" s="338"/>
      <c r="M2466" s="338"/>
      <c r="N2466" s="338"/>
      <c r="Q2466" s="338"/>
      <c r="R2466" s="338"/>
      <c r="S2466" s="338"/>
      <c r="T2466" s="338"/>
      <c r="U2466" s="338"/>
      <c r="X2466" s="338"/>
      <c r="Y2466" s="338"/>
      <c r="Z2466" s="338"/>
      <c r="AA2466" s="338"/>
      <c r="AB2466" s="338"/>
      <c r="AC2466" s="338"/>
      <c r="AD2466" s="338"/>
    </row>
    <row r="2467" spans="1:30">
      <c r="A2467" s="338"/>
      <c r="B2467" s="338"/>
      <c r="D2467" s="338"/>
      <c r="E2467" s="338"/>
      <c r="H2467" s="338"/>
      <c r="I2467" s="338"/>
      <c r="J2467" s="338"/>
      <c r="K2467" s="338"/>
      <c r="L2467" s="338"/>
      <c r="M2467" s="338"/>
      <c r="N2467" s="338"/>
      <c r="Q2467" s="338"/>
      <c r="R2467" s="338"/>
      <c r="S2467" s="338"/>
      <c r="T2467" s="338"/>
      <c r="U2467" s="338"/>
      <c r="X2467" s="338"/>
      <c r="Y2467" s="338"/>
      <c r="Z2467" s="338"/>
      <c r="AA2467" s="338"/>
      <c r="AB2467" s="338"/>
      <c r="AC2467" s="338"/>
      <c r="AD2467" s="338"/>
    </row>
    <row r="2468" spans="1:30">
      <c r="A2468" s="338"/>
      <c r="B2468" s="338"/>
      <c r="D2468" s="338"/>
      <c r="E2468" s="338"/>
      <c r="H2468" s="338"/>
      <c r="I2468" s="338"/>
      <c r="J2468" s="338"/>
      <c r="K2468" s="338"/>
      <c r="L2468" s="338"/>
      <c r="M2468" s="338"/>
      <c r="N2468" s="338"/>
      <c r="Q2468" s="338"/>
      <c r="R2468" s="338"/>
      <c r="S2468" s="338"/>
      <c r="T2468" s="338"/>
      <c r="U2468" s="338"/>
      <c r="X2468" s="338"/>
      <c r="Y2468" s="338"/>
      <c r="Z2468" s="338"/>
      <c r="AA2468" s="338"/>
      <c r="AB2468" s="338"/>
      <c r="AC2468" s="338"/>
      <c r="AD2468" s="338"/>
    </row>
    <row r="2469" spans="1:30">
      <c r="A2469" s="338"/>
      <c r="B2469" s="338"/>
      <c r="D2469" s="338"/>
      <c r="E2469" s="338"/>
      <c r="H2469" s="338"/>
      <c r="I2469" s="338"/>
      <c r="J2469" s="338"/>
      <c r="K2469" s="338"/>
      <c r="L2469" s="338"/>
      <c r="M2469" s="338"/>
      <c r="N2469" s="338"/>
      <c r="Q2469" s="338"/>
      <c r="R2469" s="338"/>
      <c r="S2469" s="338"/>
      <c r="T2469" s="338"/>
      <c r="U2469" s="338"/>
      <c r="X2469" s="338"/>
      <c r="Y2469" s="338"/>
      <c r="Z2469" s="338"/>
      <c r="AA2469" s="338"/>
      <c r="AB2469" s="338"/>
      <c r="AC2469" s="338"/>
      <c r="AD2469" s="338"/>
    </row>
    <row r="2470" spans="1:30">
      <c r="A2470" s="338"/>
      <c r="B2470" s="338"/>
      <c r="D2470" s="338"/>
      <c r="E2470" s="338"/>
      <c r="H2470" s="338"/>
      <c r="I2470" s="338"/>
      <c r="J2470" s="338"/>
      <c r="K2470" s="338"/>
      <c r="L2470" s="338"/>
      <c r="M2470" s="338"/>
      <c r="N2470" s="338"/>
      <c r="Q2470" s="338"/>
      <c r="R2470" s="338"/>
      <c r="S2470" s="338"/>
      <c r="T2470" s="338"/>
      <c r="U2470" s="338"/>
      <c r="X2470" s="338"/>
      <c r="Y2470" s="338"/>
      <c r="Z2470" s="338"/>
      <c r="AA2470" s="338"/>
      <c r="AB2470" s="338"/>
      <c r="AC2470" s="338"/>
      <c r="AD2470" s="338"/>
    </row>
    <row r="2471" spans="1:30">
      <c r="A2471" s="338"/>
      <c r="B2471" s="338"/>
      <c r="D2471" s="338"/>
      <c r="E2471" s="338"/>
      <c r="H2471" s="338"/>
      <c r="I2471" s="338"/>
      <c r="J2471" s="338"/>
      <c r="K2471" s="338"/>
      <c r="L2471" s="338"/>
      <c r="M2471" s="338"/>
      <c r="N2471" s="338"/>
      <c r="Q2471" s="338"/>
      <c r="R2471" s="338"/>
      <c r="S2471" s="338"/>
      <c r="T2471" s="338"/>
      <c r="U2471" s="338"/>
      <c r="X2471" s="338"/>
      <c r="Y2471" s="338"/>
      <c r="Z2471" s="338"/>
      <c r="AA2471" s="338"/>
      <c r="AB2471" s="338"/>
      <c r="AC2471" s="338"/>
      <c r="AD2471" s="338"/>
    </row>
    <row r="2472" spans="1:30">
      <c r="A2472" s="338"/>
      <c r="B2472" s="338"/>
      <c r="D2472" s="338"/>
      <c r="E2472" s="338"/>
      <c r="H2472" s="338"/>
      <c r="I2472" s="338"/>
      <c r="J2472" s="338"/>
      <c r="K2472" s="338"/>
      <c r="L2472" s="338"/>
      <c r="M2472" s="338"/>
      <c r="N2472" s="338"/>
      <c r="Q2472" s="338"/>
      <c r="R2472" s="338"/>
      <c r="S2472" s="338"/>
      <c r="T2472" s="338"/>
      <c r="U2472" s="338"/>
      <c r="X2472" s="338"/>
      <c r="Y2472" s="338"/>
      <c r="Z2472" s="338"/>
      <c r="AA2472" s="338"/>
      <c r="AB2472" s="338"/>
      <c r="AC2472" s="338"/>
      <c r="AD2472" s="338"/>
    </row>
    <row r="2473" spans="1:30">
      <c r="A2473" s="338"/>
      <c r="B2473" s="338"/>
      <c r="D2473" s="338"/>
      <c r="E2473" s="338"/>
      <c r="H2473" s="338"/>
      <c r="I2473" s="338"/>
      <c r="J2473" s="338"/>
      <c r="K2473" s="338"/>
      <c r="L2473" s="338"/>
      <c r="M2473" s="338"/>
      <c r="N2473" s="338"/>
      <c r="Q2473" s="338"/>
      <c r="R2473" s="338"/>
      <c r="S2473" s="338"/>
      <c r="T2473" s="338"/>
      <c r="U2473" s="338"/>
      <c r="X2473" s="338"/>
      <c r="Y2473" s="338"/>
      <c r="Z2473" s="338"/>
      <c r="AA2473" s="338"/>
      <c r="AB2473" s="338"/>
      <c r="AC2473" s="338"/>
      <c r="AD2473" s="338"/>
    </row>
    <row r="2474" spans="1:30">
      <c r="A2474" s="338"/>
      <c r="B2474" s="338"/>
      <c r="D2474" s="338"/>
      <c r="E2474" s="338"/>
      <c r="H2474" s="338"/>
      <c r="I2474" s="338"/>
      <c r="J2474" s="338"/>
      <c r="K2474" s="338"/>
      <c r="L2474" s="338"/>
      <c r="M2474" s="338"/>
      <c r="N2474" s="338"/>
      <c r="Q2474" s="338"/>
      <c r="R2474" s="338"/>
      <c r="S2474" s="338"/>
      <c r="T2474" s="338"/>
      <c r="U2474" s="338"/>
      <c r="X2474" s="338"/>
      <c r="Y2474" s="338"/>
      <c r="Z2474" s="338"/>
      <c r="AA2474" s="338"/>
      <c r="AB2474" s="338"/>
      <c r="AC2474" s="338"/>
      <c r="AD2474" s="338"/>
    </row>
    <row r="2475" spans="1:30">
      <c r="A2475" s="338"/>
      <c r="B2475" s="338"/>
      <c r="D2475" s="338"/>
      <c r="E2475" s="338"/>
      <c r="H2475" s="338"/>
      <c r="I2475" s="338"/>
      <c r="J2475" s="338"/>
      <c r="K2475" s="338"/>
      <c r="L2475" s="338"/>
      <c r="M2475" s="338"/>
      <c r="N2475" s="338"/>
      <c r="Q2475" s="338"/>
      <c r="R2475" s="338"/>
      <c r="S2475" s="338"/>
      <c r="T2475" s="338"/>
      <c r="U2475" s="338"/>
      <c r="X2475" s="338"/>
      <c r="Y2475" s="338"/>
      <c r="Z2475" s="338"/>
      <c r="AA2475" s="338"/>
      <c r="AB2475" s="338"/>
      <c r="AC2475" s="338"/>
      <c r="AD2475" s="338"/>
    </row>
    <row r="2476" spans="1:30">
      <c r="A2476" s="338"/>
      <c r="B2476" s="338"/>
      <c r="D2476" s="338"/>
      <c r="E2476" s="338"/>
      <c r="H2476" s="338"/>
      <c r="I2476" s="338"/>
      <c r="J2476" s="338"/>
      <c r="K2476" s="338"/>
      <c r="L2476" s="338"/>
      <c r="M2476" s="338"/>
      <c r="N2476" s="338"/>
      <c r="Q2476" s="338"/>
      <c r="R2476" s="338"/>
      <c r="S2476" s="338"/>
      <c r="T2476" s="338"/>
      <c r="U2476" s="338"/>
      <c r="X2476" s="338"/>
      <c r="Y2476" s="338"/>
      <c r="Z2476" s="338"/>
      <c r="AA2476" s="338"/>
      <c r="AB2476" s="338"/>
      <c r="AC2476" s="338"/>
      <c r="AD2476" s="338"/>
    </row>
    <row r="2477" spans="1:30">
      <c r="A2477" s="338"/>
      <c r="B2477" s="338"/>
      <c r="D2477" s="338"/>
      <c r="E2477" s="338"/>
      <c r="H2477" s="338"/>
      <c r="I2477" s="338"/>
      <c r="J2477" s="338"/>
      <c r="K2477" s="338"/>
      <c r="L2477" s="338"/>
      <c r="M2477" s="338"/>
      <c r="N2477" s="338"/>
      <c r="Q2477" s="338"/>
      <c r="R2477" s="338"/>
      <c r="S2477" s="338"/>
      <c r="T2477" s="338"/>
      <c r="U2477" s="338"/>
      <c r="X2477" s="338"/>
      <c r="Y2477" s="338"/>
      <c r="Z2477" s="338"/>
      <c r="AA2477" s="338"/>
      <c r="AB2477" s="338"/>
      <c r="AC2477" s="338"/>
      <c r="AD2477" s="338"/>
    </row>
    <row r="2478" spans="1:30">
      <c r="A2478" s="338"/>
      <c r="B2478" s="338"/>
      <c r="D2478" s="338"/>
      <c r="E2478" s="338"/>
      <c r="H2478" s="338"/>
      <c r="I2478" s="338"/>
      <c r="J2478" s="338"/>
      <c r="K2478" s="338"/>
      <c r="L2478" s="338"/>
      <c r="M2478" s="338"/>
      <c r="N2478" s="338"/>
      <c r="Q2478" s="338"/>
      <c r="R2478" s="338"/>
      <c r="S2478" s="338"/>
      <c r="T2478" s="338"/>
      <c r="U2478" s="338"/>
      <c r="X2478" s="338"/>
      <c r="Y2478" s="338"/>
      <c r="Z2478" s="338"/>
      <c r="AA2478" s="338"/>
      <c r="AB2478" s="338"/>
      <c r="AC2478" s="338"/>
      <c r="AD2478" s="338"/>
    </row>
    <row r="2479" spans="1:30">
      <c r="A2479" s="338"/>
      <c r="B2479" s="338"/>
      <c r="D2479" s="338"/>
      <c r="E2479" s="338"/>
      <c r="H2479" s="338"/>
      <c r="I2479" s="338"/>
      <c r="J2479" s="338"/>
      <c r="K2479" s="338"/>
      <c r="L2479" s="338"/>
      <c r="M2479" s="338"/>
      <c r="N2479" s="338"/>
      <c r="Q2479" s="338"/>
      <c r="R2479" s="338"/>
      <c r="S2479" s="338"/>
      <c r="T2479" s="338"/>
      <c r="U2479" s="338"/>
      <c r="X2479" s="338"/>
      <c r="Y2479" s="338"/>
      <c r="Z2479" s="338"/>
      <c r="AA2479" s="338"/>
      <c r="AB2479" s="338"/>
      <c r="AC2479" s="338"/>
      <c r="AD2479" s="338"/>
    </row>
    <row r="2480" spans="1:30">
      <c r="A2480" s="338"/>
      <c r="B2480" s="338"/>
      <c r="D2480" s="338"/>
      <c r="E2480" s="338"/>
      <c r="H2480" s="338"/>
      <c r="I2480" s="338"/>
      <c r="J2480" s="338"/>
      <c r="K2480" s="338"/>
      <c r="L2480" s="338"/>
      <c r="M2480" s="338"/>
      <c r="N2480" s="338"/>
      <c r="Q2480" s="338"/>
      <c r="R2480" s="338"/>
      <c r="S2480" s="338"/>
      <c r="T2480" s="338"/>
      <c r="U2480" s="338"/>
      <c r="X2480" s="338"/>
      <c r="Y2480" s="338"/>
      <c r="Z2480" s="338"/>
      <c r="AA2480" s="338"/>
      <c r="AB2480" s="338"/>
      <c r="AC2480" s="338"/>
      <c r="AD2480" s="338"/>
    </row>
    <row r="2481" spans="1:30">
      <c r="A2481" s="338"/>
      <c r="B2481" s="338"/>
      <c r="D2481" s="338"/>
      <c r="E2481" s="338"/>
      <c r="H2481" s="338"/>
      <c r="I2481" s="338"/>
      <c r="J2481" s="338"/>
      <c r="K2481" s="338"/>
      <c r="L2481" s="338"/>
      <c r="M2481" s="338"/>
      <c r="N2481" s="338"/>
      <c r="Q2481" s="338"/>
      <c r="R2481" s="338"/>
      <c r="S2481" s="338"/>
      <c r="T2481" s="338"/>
      <c r="U2481" s="338"/>
      <c r="X2481" s="338"/>
      <c r="Y2481" s="338"/>
      <c r="Z2481" s="338"/>
      <c r="AA2481" s="338"/>
      <c r="AB2481" s="338"/>
      <c r="AC2481" s="338"/>
      <c r="AD2481" s="338"/>
    </row>
    <row r="2482" spans="1:30">
      <c r="A2482" s="338"/>
      <c r="B2482" s="338"/>
      <c r="D2482" s="338"/>
      <c r="E2482" s="338"/>
      <c r="H2482" s="338"/>
      <c r="I2482" s="338"/>
      <c r="J2482" s="338"/>
      <c r="K2482" s="338"/>
      <c r="L2482" s="338"/>
      <c r="M2482" s="338"/>
      <c r="N2482" s="338"/>
      <c r="Q2482" s="338"/>
      <c r="R2482" s="338"/>
      <c r="S2482" s="338"/>
      <c r="T2482" s="338"/>
      <c r="U2482" s="338"/>
      <c r="X2482" s="338"/>
      <c r="Y2482" s="338"/>
      <c r="Z2482" s="338"/>
      <c r="AA2482" s="338"/>
      <c r="AB2482" s="338"/>
      <c r="AC2482" s="338"/>
      <c r="AD2482" s="338"/>
    </row>
    <row r="2483" spans="1:30">
      <c r="A2483" s="338"/>
      <c r="B2483" s="338"/>
      <c r="D2483" s="338"/>
      <c r="E2483" s="338"/>
      <c r="H2483" s="338"/>
      <c r="I2483" s="338"/>
      <c r="J2483" s="338"/>
      <c r="K2483" s="338"/>
      <c r="L2483" s="338"/>
      <c r="M2483" s="338"/>
      <c r="N2483" s="338"/>
      <c r="Q2483" s="338"/>
      <c r="R2483" s="338"/>
      <c r="S2483" s="338"/>
      <c r="T2483" s="338"/>
      <c r="U2483" s="338"/>
      <c r="X2483" s="338"/>
      <c r="Y2483" s="338"/>
      <c r="Z2483" s="338"/>
      <c r="AA2483" s="338"/>
      <c r="AB2483" s="338"/>
      <c r="AC2483" s="338"/>
      <c r="AD2483" s="338"/>
    </row>
    <row r="2484" spans="1:30">
      <c r="A2484" s="338"/>
      <c r="B2484" s="338"/>
      <c r="D2484" s="338"/>
      <c r="E2484" s="338"/>
      <c r="H2484" s="338"/>
      <c r="I2484" s="338"/>
      <c r="J2484" s="338"/>
      <c r="K2484" s="338"/>
      <c r="L2484" s="338"/>
      <c r="M2484" s="338"/>
      <c r="N2484" s="338"/>
      <c r="Q2484" s="338"/>
      <c r="R2484" s="338"/>
      <c r="S2484" s="338"/>
      <c r="T2484" s="338"/>
      <c r="U2484" s="338"/>
      <c r="X2484" s="338"/>
      <c r="Y2484" s="338"/>
      <c r="Z2484" s="338"/>
      <c r="AA2484" s="338"/>
      <c r="AB2484" s="338"/>
      <c r="AC2484" s="338"/>
      <c r="AD2484" s="338"/>
    </row>
    <row r="2485" spans="1:30">
      <c r="A2485" s="338"/>
      <c r="B2485" s="338"/>
      <c r="D2485" s="338"/>
      <c r="E2485" s="338"/>
      <c r="H2485" s="338"/>
      <c r="I2485" s="338"/>
      <c r="J2485" s="338"/>
      <c r="K2485" s="338"/>
      <c r="L2485" s="338"/>
      <c r="M2485" s="338"/>
      <c r="N2485" s="338"/>
      <c r="Q2485" s="338"/>
      <c r="R2485" s="338"/>
      <c r="S2485" s="338"/>
      <c r="T2485" s="338"/>
      <c r="U2485" s="338"/>
      <c r="X2485" s="338"/>
      <c r="Y2485" s="338"/>
      <c r="Z2485" s="338"/>
      <c r="AA2485" s="338"/>
      <c r="AB2485" s="338"/>
      <c r="AC2485" s="338"/>
      <c r="AD2485" s="338"/>
    </row>
    <row r="2486" spans="1:30">
      <c r="A2486" s="338"/>
      <c r="B2486" s="338"/>
      <c r="D2486" s="338"/>
      <c r="E2486" s="338"/>
      <c r="H2486" s="338"/>
      <c r="I2486" s="338"/>
      <c r="J2486" s="338"/>
      <c r="K2486" s="338"/>
      <c r="L2486" s="338"/>
      <c r="M2486" s="338"/>
      <c r="N2486" s="338"/>
      <c r="Q2486" s="338"/>
      <c r="R2486" s="338"/>
      <c r="S2486" s="338"/>
      <c r="T2486" s="338"/>
      <c r="U2486" s="338"/>
      <c r="X2486" s="338"/>
      <c r="Y2486" s="338"/>
      <c r="Z2486" s="338"/>
      <c r="AA2486" s="338"/>
      <c r="AB2486" s="338"/>
      <c r="AC2486" s="338"/>
      <c r="AD2486" s="338"/>
    </row>
    <row r="2487" spans="1:30">
      <c r="A2487" s="338"/>
      <c r="B2487" s="338"/>
      <c r="D2487" s="338"/>
      <c r="E2487" s="338"/>
      <c r="H2487" s="338"/>
      <c r="I2487" s="338"/>
      <c r="J2487" s="338"/>
      <c r="K2487" s="338"/>
      <c r="L2487" s="338"/>
      <c r="M2487" s="338"/>
      <c r="N2487" s="338"/>
      <c r="Q2487" s="338"/>
      <c r="R2487" s="338"/>
      <c r="S2487" s="338"/>
      <c r="T2487" s="338"/>
      <c r="U2487" s="338"/>
      <c r="X2487" s="338"/>
      <c r="Y2487" s="338"/>
      <c r="Z2487" s="338"/>
      <c r="AA2487" s="338"/>
      <c r="AB2487" s="338"/>
      <c r="AC2487" s="338"/>
      <c r="AD2487" s="338"/>
    </row>
    <row r="2488" spans="1:30">
      <c r="A2488" s="338"/>
      <c r="B2488" s="338"/>
      <c r="D2488" s="338"/>
      <c r="E2488" s="338"/>
      <c r="H2488" s="338"/>
      <c r="I2488" s="338"/>
      <c r="J2488" s="338"/>
      <c r="K2488" s="338"/>
      <c r="L2488" s="338"/>
      <c r="M2488" s="338"/>
      <c r="N2488" s="338"/>
      <c r="Q2488" s="338"/>
      <c r="R2488" s="338"/>
      <c r="S2488" s="338"/>
      <c r="T2488" s="338"/>
      <c r="U2488" s="338"/>
      <c r="X2488" s="338"/>
      <c r="Y2488" s="338"/>
      <c r="Z2488" s="338"/>
      <c r="AA2488" s="338"/>
      <c r="AB2488" s="338"/>
      <c r="AC2488" s="338"/>
      <c r="AD2488" s="338"/>
    </row>
    <row r="2489" spans="1:30">
      <c r="A2489" s="338"/>
      <c r="B2489" s="338"/>
      <c r="D2489" s="338"/>
      <c r="E2489" s="338"/>
      <c r="H2489" s="338"/>
      <c r="I2489" s="338"/>
      <c r="J2489" s="338"/>
      <c r="K2489" s="338"/>
      <c r="L2489" s="338"/>
      <c r="M2489" s="338"/>
      <c r="N2489" s="338"/>
      <c r="Q2489" s="338"/>
      <c r="R2489" s="338"/>
      <c r="S2489" s="338"/>
      <c r="T2489" s="338"/>
      <c r="U2489" s="338"/>
      <c r="X2489" s="338"/>
      <c r="Y2489" s="338"/>
      <c r="Z2489" s="338"/>
      <c r="AA2489" s="338"/>
      <c r="AB2489" s="338"/>
      <c r="AC2489" s="338"/>
      <c r="AD2489" s="338"/>
    </row>
    <row r="2490" spans="1:30">
      <c r="A2490" s="338"/>
      <c r="B2490" s="338"/>
      <c r="D2490" s="338"/>
      <c r="E2490" s="338"/>
      <c r="H2490" s="338"/>
      <c r="I2490" s="338"/>
      <c r="J2490" s="338"/>
      <c r="K2490" s="338"/>
      <c r="L2490" s="338"/>
      <c r="M2490" s="338"/>
      <c r="N2490" s="338"/>
      <c r="Q2490" s="338"/>
      <c r="R2490" s="338"/>
      <c r="S2490" s="338"/>
      <c r="T2490" s="338"/>
      <c r="U2490" s="338"/>
      <c r="X2490" s="338"/>
      <c r="Y2490" s="338"/>
      <c r="Z2490" s="338"/>
      <c r="AA2490" s="338"/>
      <c r="AB2490" s="338"/>
      <c r="AC2490" s="338"/>
      <c r="AD2490" s="338"/>
    </row>
    <row r="2491" spans="1:30">
      <c r="A2491" s="338"/>
      <c r="B2491" s="338"/>
      <c r="D2491" s="338"/>
      <c r="E2491" s="338"/>
      <c r="H2491" s="338"/>
      <c r="I2491" s="338"/>
      <c r="J2491" s="338"/>
      <c r="K2491" s="338"/>
      <c r="L2491" s="338"/>
      <c r="M2491" s="338"/>
      <c r="N2491" s="338"/>
      <c r="Q2491" s="338"/>
      <c r="R2491" s="338"/>
      <c r="S2491" s="338"/>
      <c r="T2491" s="338"/>
      <c r="U2491" s="338"/>
      <c r="X2491" s="338"/>
      <c r="Y2491" s="338"/>
      <c r="Z2491" s="338"/>
      <c r="AA2491" s="338"/>
      <c r="AB2491" s="338"/>
      <c r="AC2491" s="338"/>
      <c r="AD2491" s="338"/>
    </row>
    <row r="2492" spans="1:30">
      <c r="A2492" s="338"/>
      <c r="B2492" s="338"/>
      <c r="D2492" s="338"/>
      <c r="E2492" s="338"/>
      <c r="H2492" s="338"/>
      <c r="I2492" s="338"/>
      <c r="J2492" s="338"/>
      <c r="K2492" s="338"/>
      <c r="L2492" s="338"/>
      <c r="M2492" s="338"/>
      <c r="N2492" s="338"/>
      <c r="Q2492" s="338"/>
      <c r="R2492" s="338"/>
      <c r="S2492" s="338"/>
      <c r="T2492" s="338"/>
      <c r="U2492" s="338"/>
      <c r="X2492" s="338"/>
      <c r="Y2492" s="338"/>
      <c r="Z2492" s="338"/>
      <c r="AA2492" s="338"/>
      <c r="AB2492" s="338"/>
      <c r="AC2492" s="338"/>
      <c r="AD2492" s="338"/>
    </row>
    <row r="2493" spans="1:30">
      <c r="A2493" s="338"/>
      <c r="B2493" s="338"/>
      <c r="D2493" s="338"/>
      <c r="E2493" s="338"/>
      <c r="H2493" s="338"/>
      <c r="I2493" s="338"/>
      <c r="J2493" s="338"/>
      <c r="K2493" s="338"/>
      <c r="L2493" s="338"/>
      <c r="M2493" s="338"/>
      <c r="N2493" s="338"/>
      <c r="Q2493" s="338"/>
      <c r="R2493" s="338"/>
      <c r="S2493" s="338"/>
      <c r="T2493" s="338"/>
      <c r="U2493" s="338"/>
      <c r="X2493" s="338"/>
      <c r="Y2493" s="338"/>
      <c r="Z2493" s="338"/>
      <c r="AA2493" s="338"/>
      <c r="AB2493" s="338"/>
      <c r="AC2493" s="338"/>
      <c r="AD2493" s="338"/>
    </row>
    <row r="2494" spans="1:30">
      <c r="A2494" s="338"/>
      <c r="B2494" s="338"/>
      <c r="D2494" s="338"/>
      <c r="E2494" s="338"/>
      <c r="H2494" s="338"/>
      <c r="I2494" s="338"/>
      <c r="J2494" s="338"/>
      <c r="K2494" s="338"/>
      <c r="L2494" s="338"/>
      <c r="M2494" s="338"/>
      <c r="N2494" s="338"/>
      <c r="Q2494" s="338"/>
      <c r="R2494" s="338"/>
      <c r="S2494" s="338"/>
      <c r="T2494" s="338"/>
      <c r="U2494" s="338"/>
      <c r="X2494" s="338"/>
      <c r="Y2494" s="338"/>
      <c r="Z2494" s="338"/>
      <c r="AA2494" s="338"/>
      <c r="AB2494" s="338"/>
      <c r="AC2494" s="338"/>
      <c r="AD2494" s="338"/>
    </row>
    <row r="2495" spans="1:30">
      <c r="A2495" s="338"/>
      <c r="B2495" s="338"/>
      <c r="D2495" s="338"/>
      <c r="E2495" s="338"/>
      <c r="H2495" s="338"/>
      <c r="I2495" s="338"/>
      <c r="J2495" s="338"/>
      <c r="K2495" s="338"/>
      <c r="L2495" s="338"/>
      <c r="M2495" s="338"/>
      <c r="N2495" s="338"/>
      <c r="Q2495" s="338"/>
      <c r="R2495" s="338"/>
      <c r="S2495" s="338"/>
      <c r="T2495" s="338"/>
      <c r="U2495" s="338"/>
      <c r="X2495" s="338"/>
      <c r="Y2495" s="338"/>
      <c r="Z2495" s="338"/>
      <c r="AA2495" s="338"/>
      <c r="AB2495" s="338"/>
      <c r="AC2495" s="338"/>
      <c r="AD2495" s="338"/>
    </row>
    <row r="2496" spans="1:30">
      <c r="A2496" s="338"/>
      <c r="B2496" s="338"/>
      <c r="D2496" s="338"/>
      <c r="E2496" s="338"/>
      <c r="H2496" s="338"/>
      <c r="I2496" s="338"/>
      <c r="J2496" s="338"/>
      <c r="K2496" s="338"/>
      <c r="L2496" s="338"/>
      <c r="M2496" s="338"/>
      <c r="N2496" s="338"/>
      <c r="Q2496" s="338"/>
      <c r="R2496" s="338"/>
      <c r="S2496" s="338"/>
      <c r="T2496" s="338"/>
      <c r="U2496" s="338"/>
      <c r="X2496" s="338"/>
      <c r="Y2496" s="338"/>
      <c r="Z2496" s="338"/>
      <c r="AA2496" s="338"/>
      <c r="AB2496" s="338"/>
      <c r="AC2496" s="338"/>
      <c r="AD2496" s="338"/>
    </row>
    <row r="2497" spans="1:30">
      <c r="A2497" s="338"/>
      <c r="B2497" s="338"/>
      <c r="D2497" s="338"/>
      <c r="E2497" s="338"/>
      <c r="H2497" s="338"/>
      <c r="I2497" s="338"/>
      <c r="J2497" s="338"/>
      <c r="K2497" s="338"/>
      <c r="L2497" s="338"/>
      <c r="M2497" s="338"/>
      <c r="N2497" s="338"/>
      <c r="Q2497" s="338"/>
      <c r="R2497" s="338"/>
      <c r="S2497" s="338"/>
      <c r="T2497" s="338"/>
      <c r="U2497" s="338"/>
      <c r="X2497" s="338"/>
      <c r="Y2497" s="338"/>
      <c r="Z2497" s="338"/>
      <c r="AA2497" s="338"/>
      <c r="AB2497" s="338"/>
      <c r="AC2497" s="338"/>
      <c r="AD2497" s="338"/>
    </row>
    <row r="2498" spans="1:30">
      <c r="A2498" s="338"/>
      <c r="B2498" s="338"/>
      <c r="D2498" s="338"/>
      <c r="E2498" s="338"/>
      <c r="H2498" s="338"/>
      <c r="I2498" s="338"/>
      <c r="J2498" s="338"/>
      <c r="K2498" s="338"/>
      <c r="L2498" s="338"/>
      <c r="M2498" s="338"/>
      <c r="N2498" s="338"/>
      <c r="Q2498" s="338"/>
      <c r="R2498" s="338"/>
      <c r="S2498" s="338"/>
      <c r="T2498" s="338"/>
      <c r="U2498" s="338"/>
      <c r="X2498" s="338"/>
      <c r="Y2498" s="338"/>
      <c r="Z2498" s="338"/>
      <c r="AA2498" s="338"/>
      <c r="AB2498" s="338"/>
      <c r="AC2498" s="338"/>
      <c r="AD2498" s="338"/>
    </row>
    <row r="2499" spans="1:30">
      <c r="A2499" s="338"/>
      <c r="B2499" s="338"/>
      <c r="D2499" s="338"/>
      <c r="E2499" s="338"/>
      <c r="H2499" s="338"/>
      <c r="I2499" s="338"/>
      <c r="J2499" s="338"/>
      <c r="K2499" s="338"/>
      <c r="L2499" s="338"/>
      <c r="M2499" s="338"/>
      <c r="N2499" s="338"/>
      <c r="Q2499" s="338"/>
      <c r="R2499" s="338"/>
      <c r="S2499" s="338"/>
      <c r="T2499" s="338"/>
      <c r="U2499" s="338"/>
      <c r="X2499" s="338"/>
      <c r="Y2499" s="338"/>
      <c r="Z2499" s="338"/>
      <c r="AA2499" s="338"/>
      <c r="AB2499" s="338"/>
      <c r="AC2499" s="338"/>
      <c r="AD2499" s="338"/>
    </row>
    <row r="2500" spans="1:30">
      <c r="A2500" s="338"/>
      <c r="B2500" s="338"/>
      <c r="D2500" s="338"/>
      <c r="E2500" s="338"/>
      <c r="H2500" s="338"/>
      <c r="I2500" s="338"/>
      <c r="J2500" s="338"/>
      <c r="K2500" s="338"/>
      <c r="L2500" s="338"/>
      <c r="M2500" s="338"/>
      <c r="N2500" s="338"/>
      <c r="Q2500" s="338"/>
      <c r="R2500" s="338"/>
      <c r="S2500" s="338"/>
      <c r="T2500" s="338"/>
      <c r="U2500" s="338"/>
      <c r="X2500" s="338"/>
      <c r="Y2500" s="338"/>
      <c r="Z2500" s="338"/>
      <c r="AA2500" s="338"/>
      <c r="AB2500" s="338"/>
      <c r="AC2500" s="338"/>
      <c r="AD2500" s="338"/>
    </row>
    <row r="2501" spans="1:30">
      <c r="A2501" s="338"/>
      <c r="B2501" s="338"/>
      <c r="D2501" s="338"/>
      <c r="E2501" s="338"/>
      <c r="H2501" s="338"/>
      <c r="I2501" s="338"/>
      <c r="J2501" s="338"/>
      <c r="K2501" s="338"/>
      <c r="L2501" s="338"/>
      <c r="M2501" s="338"/>
      <c r="N2501" s="338"/>
      <c r="Q2501" s="338"/>
      <c r="R2501" s="338"/>
      <c r="S2501" s="338"/>
      <c r="T2501" s="338"/>
      <c r="U2501" s="338"/>
      <c r="X2501" s="338"/>
      <c r="Y2501" s="338"/>
      <c r="Z2501" s="338"/>
      <c r="AA2501" s="338"/>
      <c r="AB2501" s="338"/>
      <c r="AC2501" s="338"/>
      <c r="AD2501" s="338"/>
    </row>
    <row r="2502" spans="1:30">
      <c r="A2502" s="338"/>
      <c r="B2502" s="338"/>
      <c r="D2502" s="338"/>
      <c r="E2502" s="338"/>
      <c r="H2502" s="338"/>
      <c r="I2502" s="338"/>
      <c r="J2502" s="338"/>
      <c r="K2502" s="338"/>
      <c r="L2502" s="338"/>
      <c r="M2502" s="338"/>
      <c r="N2502" s="338"/>
      <c r="Q2502" s="338"/>
      <c r="R2502" s="338"/>
      <c r="S2502" s="338"/>
      <c r="T2502" s="338"/>
      <c r="U2502" s="338"/>
      <c r="X2502" s="338"/>
      <c r="Y2502" s="338"/>
      <c r="Z2502" s="338"/>
      <c r="AA2502" s="338"/>
      <c r="AB2502" s="338"/>
      <c r="AC2502" s="338"/>
      <c r="AD2502" s="338"/>
    </row>
    <row r="2503" spans="1:30">
      <c r="A2503" s="338"/>
      <c r="B2503" s="338"/>
      <c r="D2503" s="338"/>
      <c r="E2503" s="338"/>
      <c r="H2503" s="338"/>
      <c r="I2503" s="338"/>
      <c r="J2503" s="338"/>
      <c r="K2503" s="338"/>
      <c r="L2503" s="338"/>
      <c r="M2503" s="338"/>
      <c r="N2503" s="338"/>
      <c r="Q2503" s="338"/>
      <c r="R2503" s="338"/>
      <c r="S2503" s="338"/>
      <c r="T2503" s="338"/>
      <c r="U2503" s="338"/>
      <c r="X2503" s="338"/>
      <c r="Y2503" s="338"/>
      <c r="Z2503" s="338"/>
      <c r="AA2503" s="338"/>
      <c r="AB2503" s="338"/>
      <c r="AC2503" s="338"/>
      <c r="AD2503" s="338"/>
    </row>
    <row r="2504" spans="1:30">
      <c r="A2504" s="338"/>
      <c r="B2504" s="338"/>
      <c r="D2504" s="338"/>
      <c r="E2504" s="338"/>
      <c r="H2504" s="338"/>
      <c r="I2504" s="338"/>
      <c r="J2504" s="338"/>
      <c r="K2504" s="338"/>
      <c r="L2504" s="338"/>
      <c r="M2504" s="338"/>
      <c r="N2504" s="338"/>
      <c r="Q2504" s="338"/>
      <c r="R2504" s="338"/>
      <c r="S2504" s="338"/>
      <c r="T2504" s="338"/>
      <c r="U2504" s="338"/>
      <c r="X2504" s="338"/>
      <c r="Y2504" s="338"/>
      <c r="Z2504" s="338"/>
      <c r="AA2504" s="338"/>
      <c r="AB2504" s="338"/>
      <c r="AC2504" s="338"/>
      <c r="AD2504" s="338"/>
    </row>
    <row r="2505" spans="1:30">
      <c r="A2505" s="338"/>
      <c r="B2505" s="338"/>
      <c r="D2505" s="338"/>
      <c r="E2505" s="338"/>
      <c r="H2505" s="338"/>
      <c r="I2505" s="338"/>
      <c r="J2505" s="338"/>
      <c r="K2505" s="338"/>
      <c r="L2505" s="338"/>
      <c r="M2505" s="338"/>
      <c r="N2505" s="338"/>
      <c r="Q2505" s="338"/>
      <c r="R2505" s="338"/>
      <c r="S2505" s="338"/>
      <c r="T2505" s="338"/>
      <c r="U2505" s="338"/>
      <c r="X2505" s="338"/>
      <c r="Y2505" s="338"/>
      <c r="Z2505" s="338"/>
      <c r="AA2505" s="338"/>
      <c r="AB2505" s="338"/>
      <c r="AC2505" s="338"/>
      <c r="AD2505" s="338"/>
    </row>
    <row r="2506" spans="1:30">
      <c r="A2506" s="338"/>
      <c r="B2506" s="338"/>
      <c r="D2506" s="338"/>
      <c r="E2506" s="338"/>
      <c r="H2506" s="338"/>
      <c r="I2506" s="338"/>
      <c r="J2506" s="338"/>
      <c r="K2506" s="338"/>
      <c r="L2506" s="338"/>
      <c r="M2506" s="338"/>
      <c r="N2506" s="338"/>
      <c r="Q2506" s="338"/>
      <c r="R2506" s="338"/>
      <c r="S2506" s="338"/>
      <c r="T2506" s="338"/>
      <c r="U2506" s="338"/>
      <c r="X2506" s="338"/>
      <c r="Y2506" s="338"/>
      <c r="Z2506" s="338"/>
      <c r="AA2506" s="338"/>
      <c r="AB2506" s="338"/>
      <c r="AC2506" s="338"/>
      <c r="AD2506" s="338"/>
    </row>
    <row r="2507" spans="1:30">
      <c r="A2507" s="338"/>
      <c r="B2507" s="338"/>
      <c r="D2507" s="338"/>
      <c r="E2507" s="338"/>
      <c r="H2507" s="338"/>
      <c r="I2507" s="338"/>
      <c r="J2507" s="338"/>
      <c r="K2507" s="338"/>
      <c r="L2507" s="338"/>
      <c r="M2507" s="338"/>
      <c r="N2507" s="338"/>
      <c r="Q2507" s="338"/>
      <c r="R2507" s="338"/>
      <c r="S2507" s="338"/>
      <c r="T2507" s="338"/>
      <c r="U2507" s="338"/>
      <c r="X2507" s="338"/>
      <c r="Y2507" s="338"/>
      <c r="Z2507" s="338"/>
      <c r="AA2507" s="338"/>
      <c r="AB2507" s="338"/>
      <c r="AC2507" s="338"/>
      <c r="AD2507" s="338"/>
    </row>
    <row r="2508" spans="1:30">
      <c r="A2508" s="338"/>
      <c r="B2508" s="338"/>
      <c r="D2508" s="338"/>
      <c r="E2508" s="338"/>
      <c r="H2508" s="338"/>
      <c r="I2508" s="338"/>
      <c r="J2508" s="338"/>
      <c r="K2508" s="338"/>
      <c r="L2508" s="338"/>
      <c r="M2508" s="338"/>
      <c r="N2508" s="338"/>
      <c r="Q2508" s="338"/>
      <c r="R2508" s="338"/>
      <c r="S2508" s="338"/>
      <c r="T2508" s="338"/>
      <c r="U2508" s="338"/>
      <c r="X2508" s="338"/>
      <c r="Y2508" s="338"/>
      <c r="Z2508" s="338"/>
      <c r="AA2508" s="338"/>
      <c r="AB2508" s="338"/>
      <c r="AC2508" s="338"/>
      <c r="AD2508" s="338"/>
    </row>
    <row r="2509" spans="1:30">
      <c r="A2509" s="338"/>
      <c r="B2509" s="338"/>
      <c r="D2509" s="338"/>
      <c r="E2509" s="338"/>
      <c r="H2509" s="338"/>
      <c r="I2509" s="338"/>
      <c r="J2509" s="338"/>
      <c r="K2509" s="338"/>
      <c r="L2509" s="338"/>
      <c r="M2509" s="338"/>
      <c r="N2509" s="338"/>
      <c r="Q2509" s="338"/>
      <c r="R2509" s="338"/>
      <c r="S2509" s="338"/>
      <c r="T2509" s="338"/>
      <c r="U2509" s="338"/>
      <c r="X2509" s="338"/>
      <c r="Y2509" s="338"/>
      <c r="Z2509" s="338"/>
      <c r="AA2509" s="338"/>
      <c r="AB2509" s="338"/>
      <c r="AC2509" s="338"/>
      <c r="AD2509" s="338"/>
    </row>
    <row r="2510" spans="1:30">
      <c r="A2510" s="338"/>
      <c r="B2510" s="338"/>
      <c r="D2510" s="338"/>
      <c r="E2510" s="338"/>
      <c r="H2510" s="338"/>
      <c r="I2510" s="338"/>
      <c r="J2510" s="338"/>
      <c r="K2510" s="338"/>
      <c r="L2510" s="338"/>
      <c r="M2510" s="338"/>
      <c r="N2510" s="338"/>
      <c r="Q2510" s="338"/>
      <c r="R2510" s="338"/>
      <c r="S2510" s="338"/>
      <c r="T2510" s="338"/>
      <c r="U2510" s="338"/>
      <c r="X2510" s="338"/>
      <c r="Y2510" s="338"/>
      <c r="Z2510" s="338"/>
      <c r="AA2510" s="338"/>
      <c r="AB2510" s="338"/>
      <c r="AC2510" s="338"/>
      <c r="AD2510" s="338"/>
    </row>
    <row r="2511" spans="1:30">
      <c r="A2511" s="338"/>
      <c r="B2511" s="338"/>
      <c r="D2511" s="338"/>
      <c r="E2511" s="338"/>
      <c r="H2511" s="338"/>
      <c r="I2511" s="338"/>
      <c r="J2511" s="338"/>
      <c r="K2511" s="338"/>
      <c r="L2511" s="338"/>
      <c r="M2511" s="338"/>
      <c r="N2511" s="338"/>
      <c r="Q2511" s="338"/>
      <c r="R2511" s="338"/>
      <c r="S2511" s="338"/>
      <c r="T2511" s="338"/>
      <c r="U2511" s="338"/>
      <c r="X2511" s="338"/>
      <c r="Y2511" s="338"/>
      <c r="Z2511" s="338"/>
      <c r="AA2511" s="338"/>
      <c r="AB2511" s="338"/>
      <c r="AC2511" s="338"/>
      <c r="AD2511" s="338"/>
    </row>
    <row r="2512" spans="1:30">
      <c r="A2512" s="338"/>
      <c r="B2512" s="338"/>
      <c r="D2512" s="338"/>
      <c r="E2512" s="338"/>
      <c r="H2512" s="338"/>
      <c r="I2512" s="338"/>
      <c r="J2512" s="338"/>
      <c r="K2512" s="338"/>
      <c r="L2512" s="338"/>
      <c r="M2512" s="338"/>
      <c r="N2512" s="338"/>
      <c r="Q2512" s="338"/>
      <c r="R2512" s="338"/>
      <c r="S2512" s="338"/>
      <c r="T2512" s="338"/>
      <c r="U2512" s="338"/>
      <c r="X2512" s="338"/>
      <c r="Y2512" s="338"/>
      <c r="Z2512" s="338"/>
      <c r="AA2512" s="338"/>
      <c r="AB2512" s="338"/>
      <c r="AC2512" s="338"/>
      <c r="AD2512" s="338"/>
    </row>
    <row r="2513" spans="1:30">
      <c r="A2513" s="338"/>
      <c r="B2513" s="338"/>
      <c r="D2513" s="338"/>
      <c r="E2513" s="338"/>
      <c r="H2513" s="338"/>
      <c r="I2513" s="338"/>
      <c r="J2513" s="338"/>
      <c r="K2513" s="338"/>
      <c r="L2513" s="338"/>
      <c r="M2513" s="338"/>
      <c r="N2513" s="338"/>
      <c r="Q2513" s="338"/>
      <c r="R2513" s="338"/>
      <c r="S2513" s="338"/>
      <c r="T2513" s="338"/>
      <c r="U2513" s="338"/>
      <c r="X2513" s="338"/>
      <c r="Y2513" s="338"/>
      <c r="Z2513" s="338"/>
      <c r="AA2513" s="338"/>
      <c r="AB2513" s="338"/>
      <c r="AC2513" s="338"/>
      <c r="AD2513" s="338"/>
    </row>
    <row r="2514" spans="1:30">
      <c r="A2514" s="338"/>
      <c r="B2514" s="338"/>
      <c r="D2514" s="338"/>
      <c r="E2514" s="338"/>
      <c r="H2514" s="338"/>
      <c r="I2514" s="338"/>
      <c r="J2514" s="338"/>
      <c r="K2514" s="338"/>
      <c r="L2514" s="338"/>
      <c r="M2514" s="338"/>
      <c r="N2514" s="338"/>
      <c r="Q2514" s="338"/>
      <c r="R2514" s="338"/>
      <c r="S2514" s="338"/>
      <c r="T2514" s="338"/>
      <c r="U2514" s="338"/>
      <c r="X2514" s="338"/>
      <c r="Y2514" s="338"/>
      <c r="Z2514" s="338"/>
      <c r="AA2514" s="338"/>
      <c r="AB2514" s="338"/>
      <c r="AC2514" s="338"/>
      <c r="AD2514" s="338"/>
    </row>
    <row r="2515" spans="1:30">
      <c r="A2515" s="338"/>
      <c r="B2515" s="338"/>
      <c r="D2515" s="338"/>
      <c r="E2515" s="338"/>
      <c r="H2515" s="338"/>
      <c r="I2515" s="338"/>
      <c r="J2515" s="338"/>
      <c r="K2515" s="338"/>
      <c r="L2515" s="338"/>
      <c r="M2515" s="338"/>
      <c r="N2515" s="338"/>
      <c r="Q2515" s="338"/>
      <c r="R2515" s="338"/>
      <c r="S2515" s="338"/>
      <c r="T2515" s="338"/>
      <c r="U2515" s="338"/>
      <c r="X2515" s="338"/>
      <c r="Y2515" s="338"/>
      <c r="Z2515" s="338"/>
      <c r="AA2515" s="338"/>
      <c r="AB2515" s="338"/>
      <c r="AC2515" s="338"/>
      <c r="AD2515" s="338"/>
    </row>
    <row r="2516" spans="1:30">
      <c r="A2516" s="338"/>
      <c r="B2516" s="338"/>
      <c r="D2516" s="338"/>
      <c r="E2516" s="338"/>
      <c r="H2516" s="338"/>
      <c r="I2516" s="338"/>
      <c r="J2516" s="338"/>
      <c r="K2516" s="338"/>
      <c r="L2516" s="338"/>
      <c r="M2516" s="338"/>
      <c r="N2516" s="338"/>
      <c r="Q2516" s="338"/>
      <c r="R2516" s="338"/>
      <c r="S2516" s="338"/>
      <c r="T2516" s="338"/>
      <c r="U2516" s="338"/>
      <c r="X2516" s="338"/>
      <c r="Y2516" s="338"/>
      <c r="Z2516" s="338"/>
      <c r="AA2516" s="338"/>
      <c r="AB2516" s="338"/>
      <c r="AC2516" s="338"/>
      <c r="AD2516" s="338"/>
    </row>
    <row r="2517" spans="1:30">
      <c r="A2517" s="338"/>
      <c r="B2517" s="338"/>
      <c r="D2517" s="338"/>
      <c r="E2517" s="338"/>
      <c r="H2517" s="338"/>
      <c r="I2517" s="338"/>
      <c r="J2517" s="338"/>
      <c r="K2517" s="338"/>
      <c r="L2517" s="338"/>
      <c r="M2517" s="338"/>
      <c r="N2517" s="338"/>
      <c r="Q2517" s="338"/>
      <c r="R2517" s="338"/>
      <c r="S2517" s="338"/>
      <c r="T2517" s="338"/>
      <c r="U2517" s="338"/>
      <c r="X2517" s="338"/>
      <c r="Y2517" s="338"/>
      <c r="Z2517" s="338"/>
      <c r="AA2517" s="338"/>
      <c r="AB2517" s="338"/>
      <c r="AC2517" s="338"/>
      <c r="AD2517" s="338"/>
    </row>
    <row r="2518" spans="1:30">
      <c r="A2518" s="338"/>
      <c r="B2518" s="338"/>
      <c r="D2518" s="338"/>
      <c r="E2518" s="338"/>
      <c r="H2518" s="338"/>
      <c r="I2518" s="338"/>
      <c r="J2518" s="338"/>
      <c r="K2518" s="338"/>
      <c r="L2518" s="338"/>
      <c r="M2518" s="338"/>
      <c r="N2518" s="338"/>
      <c r="Q2518" s="338"/>
      <c r="R2518" s="338"/>
      <c r="S2518" s="338"/>
      <c r="T2518" s="338"/>
      <c r="U2518" s="338"/>
      <c r="X2518" s="338"/>
      <c r="Y2518" s="338"/>
      <c r="Z2518" s="338"/>
      <c r="AA2518" s="338"/>
      <c r="AB2518" s="338"/>
      <c r="AC2518" s="338"/>
      <c r="AD2518" s="338"/>
    </row>
    <row r="2519" spans="1:30">
      <c r="A2519" s="338"/>
      <c r="B2519" s="338"/>
      <c r="D2519" s="338"/>
      <c r="E2519" s="338"/>
      <c r="H2519" s="338"/>
      <c r="I2519" s="338"/>
      <c r="J2519" s="338"/>
      <c r="K2519" s="338"/>
      <c r="L2519" s="338"/>
      <c r="M2519" s="338"/>
      <c r="N2519" s="338"/>
      <c r="Q2519" s="338"/>
      <c r="R2519" s="338"/>
      <c r="S2519" s="338"/>
      <c r="T2519" s="338"/>
      <c r="U2519" s="338"/>
      <c r="X2519" s="338"/>
      <c r="Y2519" s="338"/>
      <c r="Z2519" s="338"/>
      <c r="AA2519" s="338"/>
      <c r="AB2519" s="338"/>
      <c r="AC2519" s="338"/>
      <c r="AD2519" s="338"/>
    </row>
    <row r="2520" spans="1:30">
      <c r="A2520" s="338"/>
      <c r="B2520" s="338"/>
      <c r="D2520" s="338"/>
      <c r="E2520" s="338"/>
      <c r="H2520" s="338"/>
      <c r="I2520" s="338"/>
      <c r="J2520" s="338"/>
      <c r="K2520" s="338"/>
      <c r="L2520" s="338"/>
      <c r="M2520" s="338"/>
      <c r="N2520" s="338"/>
      <c r="Q2520" s="338"/>
      <c r="R2520" s="338"/>
      <c r="S2520" s="338"/>
      <c r="T2520" s="338"/>
      <c r="U2520" s="338"/>
      <c r="X2520" s="338"/>
      <c r="Y2520" s="338"/>
      <c r="Z2520" s="338"/>
      <c r="AA2520" s="338"/>
      <c r="AB2520" s="338"/>
      <c r="AC2520" s="338"/>
      <c r="AD2520" s="338"/>
    </row>
    <row r="2521" spans="1:30">
      <c r="A2521" s="338"/>
      <c r="B2521" s="338"/>
      <c r="D2521" s="338"/>
      <c r="E2521" s="338"/>
      <c r="H2521" s="338"/>
      <c r="I2521" s="338"/>
      <c r="J2521" s="338"/>
      <c r="K2521" s="338"/>
      <c r="L2521" s="338"/>
      <c r="M2521" s="338"/>
      <c r="N2521" s="338"/>
      <c r="Q2521" s="338"/>
      <c r="R2521" s="338"/>
      <c r="S2521" s="338"/>
      <c r="T2521" s="338"/>
      <c r="U2521" s="338"/>
      <c r="X2521" s="338"/>
      <c r="Y2521" s="338"/>
      <c r="Z2521" s="338"/>
      <c r="AA2521" s="338"/>
      <c r="AB2521" s="338"/>
      <c r="AC2521" s="338"/>
      <c r="AD2521" s="338"/>
    </row>
    <row r="2522" spans="1:30">
      <c r="A2522" s="338"/>
      <c r="B2522" s="338"/>
      <c r="D2522" s="338"/>
      <c r="E2522" s="338"/>
      <c r="H2522" s="338"/>
      <c r="I2522" s="338"/>
      <c r="J2522" s="338"/>
      <c r="K2522" s="338"/>
      <c r="L2522" s="338"/>
      <c r="M2522" s="338"/>
      <c r="N2522" s="338"/>
      <c r="Q2522" s="338"/>
      <c r="R2522" s="338"/>
      <c r="S2522" s="338"/>
      <c r="T2522" s="338"/>
      <c r="U2522" s="338"/>
      <c r="X2522" s="338"/>
      <c r="Y2522" s="338"/>
      <c r="Z2522" s="338"/>
      <c r="AA2522" s="338"/>
      <c r="AB2522" s="338"/>
      <c r="AC2522" s="338"/>
      <c r="AD2522" s="338"/>
    </row>
    <row r="2523" spans="1:30">
      <c r="A2523" s="338"/>
      <c r="B2523" s="338"/>
      <c r="D2523" s="338"/>
      <c r="E2523" s="338"/>
      <c r="H2523" s="338"/>
      <c r="I2523" s="338"/>
      <c r="J2523" s="338"/>
      <c r="K2523" s="338"/>
      <c r="L2523" s="338"/>
      <c r="M2523" s="338"/>
      <c r="N2523" s="338"/>
      <c r="Q2523" s="338"/>
      <c r="R2523" s="338"/>
      <c r="S2523" s="338"/>
      <c r="T2523" s="338"/>
      <c r="U2523" s="338"/>
      <c r="X2523" s="338"/>
      <c r="Y2523" s="338"/>
      <c r="Z2523" s="338"/>
      <c r="AA2523" s="338"/>
      <c r="AB2523" s="338"/>
      <c r="AC2523" s="338"/>
      <c r="AD2523" s="338"/>
    </row>
    <row r="2524" spans="1:30">
      <c r="A2524" s="338"/>
      <c r="B2524" s="338"/>
      <c r="D2524" s="338"/>
      <c r="E2524" s="338"/>
      <c r="H2524" s="338"/>
      <c r="I2524" s="338"/>
      <c r="J2524" s="338"/>
      <c r="K2524" s="338"/>
      <c r="L2524" s="338"/>
      <c r="M2524" s="338"/>
      <c r="N2524" s="338"/>
      <c r="Q2524" s="338"/>
      <c r="R2524" s="338"/>
      <c r="S2524" s="338"/>
      <c r="T2524" s="338"/>
      <c r="U2524" s="338"/>
      <c r="X2524" s="338"/>
      <c r="Y2524" s="338"/>
      <c r="Z2524" s="338"/>
      <c r="AA2524" s="338"/>
      <c r="AB2524" s="338"/>
      <c r="AC2524" s="338"/>
      <c r="AD2524" s="338"/>
    </row>
    <row r="2525" spans="1:30">
      <c r="A2525" s="338"/>
      <c r="B2525" s="338"/>
      <c r="D2525" s="338"/>
      <c r="E2525" s="338"/>
      <c r="H2525" s="338"/>
      <c r="I2525" s="338"/>
      <c r="J2525" s="338"/>
      <c r="K2525" s="338"/>
      <c r="L2525" s="338"/>
      <c r="M2525" s="338"/>
      <c r="N2525" s="338"/>
      <c r="Q2525" s="338"/>
      <c r="R2525" s="338"/>
      <c r="S2525" s="338"/>
      <c r="T2525" s="338"/>
      <c r="U2525" s="338"/>
      <c r="X2525" s="338"/>
      <c r="Y2525" s="338"/>
      <c r="Z2525" s="338"/>
      <c r="AA2525" s="338"/>
      <c r="AB2525" s="338"/>
      <c r="AC2525" s="338"/>
      <c r="AD2525" s="338"/>
    </row>
    <row r="2526" spans="1:30">
      <c r="A2526" s="338"/>
      <c r="B2526" s="338"/>
      <c r="D2526" s="338"/>
      <c r="E2526" s="338"/>
      <c r="H2526" s="338"/>
      <c r="I2526" s="338"/>
      <c r="J2526" s="338"/>
      <c r="K2526" s="338"/>
      <c r="L2526" s="338"/>
      <c r="M2526" s="338"/>
      <c r="N2526" s="338"/>
      <c r="Q2526" s="338"/>
      <c r="R2526" s="338"/>
      <c r="S2526" s="338"/>
      <c r="T2526" s="338"/>
      <c r="U2526" s="338"/>
      <c r="X2526" s="338"/>
      <c r="Y2526" s="338"/>
      <c r="Z2526" s="338"/>
      <c r="AA2526" s="338"/>
      <c r="AB2526" s="338"/>
      <c r="AC2526" s="338"/>
      <c r="AD2526" s="338"/>
    </row>
    <row r="2527" spans="1:30">
      <c r="A2527" s="338"/>
      <c r="B2527" s="338"/>
      <c r="D2527" s="338"/>
      <c r="E2527" s="338"/>
      <c r="H2527" s="338"/>
      <c r="I2527" s="338"/>
      <c r="J2527" s="338"/>
      <c r="K2527" s="338"/>
      <c r="L2527" s="338"/>
      <c r="M2527" s="338"/>
      <c r="N2527" s="338"/>
      <c r="Q2527" s="338"/>
      <c r="R2527" s="338"/>
      <c r="S2527" s="338"/>
      <c r="T2527" s="338"/>
      <c r="U2527" s="338"/>
      <c r="X2527" s="338"/>
      <c r="Y2527" s="338"/>
      <c r="Z2527" s="338"/>
      <c r="AA2527" s="338"/>
      <c r="AB2527" s="338"/>
      <c r="AC2527" s="338"/>
      <c r="AD2527" s="338"/>
    </row>
    <row r="2528" spans="1:30">
      <c r="A2528" s="338"/>
      <c r="B2528" s="338"/>
      <c r="D2528" s="338"/>
      <c r="E2528" s="338"/>
      <c r="H2528" s="338"/>
      <c r="I2528" s="338"/>
      <c r="J2528" s="338"/>
      <c r="K2528" s="338"/>
      <c r="L2528" s="338"/>
      <c r="M2528" s="338"/>
      <c r="N2528" s="338"/>
      <c r="Q2528" s="338"/>
      <c r="R2528" s="338"/>
      <c r="S2528" s="338"/>
      <c r="T2528" s="338"/>
      <c r="U2528" s="338"/>
      <c r="X2528" s="338"/>
      <c r="Y2528" s="338"/>
      <c r="Z2528" s="338"/>
      <c r="AA2528" s="338"/>
      <c r="AB2528" s="338"/>
      <c r="AC2528" s="338"/>
      <c r="AD2528" s="338"/>
    </row>
    <row r="2529" spans="1:30">
      <c r="A2529" s="338"/>
      <c r="B2529" s="338"/>
      <c r="D2529" s="338"/>
      <c r="E2529" s="338"/>
      <c r="H2529" s="338"/>
      <c r="I2529" s="338"/>
      <c r="J2529" s="338"/>
      <c r="K2529" s="338"/>
      <c r="L2529" s="338"/>
      <c r="M2529" s="338"/>
      <c r="N2529" s="338"/>
      <c r="Q2529" s="338"/>
      <c r="R2529" s="338"/>
      <c r="S2529" s="338"/>
      <c r="T2529" s="338"/>
      <c r="U2529" s="338"/>
      <c r="X2529" s="338"/>
      <c r="Y2529" s="338"/>
      <c r="Z2529" s="338"/>
      <c r="AA2529" s="338"/>
      <c r="AB2529" s="338"/>
      <c r="AC2529" s="338"/>
      <c r="AD2529" s="338"/>
    </row>
    <row r="2530" spans="1:30">
      <c r="A2530" s="338"/>
      <c r="B2530" s="338"/>
      <c r="D2530" s="338"/>
      <c r="E2530" s="338"/>
      <c r="H2530" s="338"/>
      <c r="I2530" s="338"/>
      <c r="J2530" s="338"/>
      <c r="K2530" s="338"/>
      <c r="L2530" s="338"/>
      <c r="M2530" s="338"/>
      <c r="N2530" s="338"/>
      <c r="Q2530" s="338"/>
      <c r="R2530" s="338"/>
      <c r="S2530" s="338"/>
      <c r="T2530" s="338"/>
      <c r="U2530" s="338"/>
      <c r="X2530" s="338"/>
      <c r="Y2530" s="338"/>
      <c r="Z2530" s="338"/>
      <c r="AA2530" s="338"/>
      <c r="AB2530" s="338"/>
      <c r="AC2530" s="338"/>
      <c r="AD2530" s="338"/>
    </row>
    <row r="2531" spans="1:30">
      <c r="A2531" s="338"/>
      <c r="B2531" s="338"/>
      <c r="D2531" s="338"/>
      <c r="E2531" s="338"/>
      <c r="H2531" s="338"/>
      <c r="I2531" s="338"/>
      <c r="J2531" s="338"/>
      <c r="K2531" s="338"/>
      <c r="L2531" s="338"/>
      <c r="M2531" s="338"/>
      <c r="N2531" s="338"/>
      <c r="Q2531" s="338"/>
      <c r="R2531" s="338"/>
      <c r="S2531" s="338"/>
      <c r="T2531" s="338"/>
      <c r="U2531" s="338"/>
      <c r="X2531" s="338"/>
      <c r="Y2531" s="338"/>
      <c r="Z2531" s="338"/>
      <c r="AA2531" s="338"/>
      <c r="AB2531" s="338"/>
      <c r="AC2531" s="338"/>
      <c r="AD2531" s="338"/>
    </row>
    <row r="2532" spans="1:30">
      <c r="A2532" s="338"/>
      <c r="B2532" s="338"/>
      <c r="D2532" s="338"/>
      <c r="E2532" s="338"/>
      <c r="H2532" s="338"/>
      <c r="I2532" s="338"/>
      <c r="J2532" s="338"/>
      <c r="K2532" s="338"/>
      <c r="L2532" s="338"/>
      <c r="M2532" s="338"/>
      <c r="N2532" s="338"/>
      <c r="Q2532" s="338"/>
      <c r="R2532" s="338"/>
      <c r="S2532" s="338"/>
      <c r="T2532" s="338"/>
      <c r="U2532" s="338"/>
      <c r="X2532" s="338"/>
      <c r="Y2532" s="338"/>
      <c r="Z2532" s="338"/>
      <c r="AA2532" s="338"/>
      <c r="AB2532" s="338"/>
      <c r="AC2532" s="338"/>
      <c r="AD2532" s="338"/>
    </row>
    <row r="2533" spans="1:30">
      <c r="A2533" s="338"/>
      <c r="B2533" s="338"/>
      <c r="D2533" s="338"/>
      <c r="E2533" s="338"/>
      <c r="H2533" s="338"/>
      <c r="I2533" s="338"/>
      <c r="J2533" s="338"/>
      <c r="K2533" s="338"/>
      <c r="L2533" s="338"/>
      <c r="M2533" s="338"/>
      <c r="N2533" s="338"/>
      <c r="Q2533" s="338"/>
      <c r="R2533" s="338"/>
      <c r="S2533" s="338"/>
      <c r="T2533" s="338"/>
      <c r="U2533" s="338"/>
      <c r="X2533" s="338"/>
      <c r="Y2533" s="338"/>
      <c r="Z2533" s="338"/>
      <c r="AA2533" s="338"/>
      <c r="AB2533" s="338"/>
      <c r="AC2533" s="338"/>
      <c r="AD2533" s="338"/>
    </row>
    <row r="2534" spans="1:30">
      <c r="A2534" s="338"/>
      <c r="B2534" s="338"/>
      <c r="D2534" s="338"/>
      <c r="E2534" s="338"/>
      <c r="H2534" s="338"/>
      <c r="I2534" s="338"/>
      <c r="J2534" s="338"/>
      <c r="K2534" s="338"/>
      <c r="L2534" s="338"/>
      <c r="M2534" s="338"/>
      <c r="N2534" s="338"/>
      <c r="Q2534" s="338"/>
      <c r="R2534" s="338"/>
      <c r="S2534" s="338"/>
      <c r="T2534" s="338"/>
      <c r="U2534" s="338"/>
      <c r="X2534" s="338"/>
      <c r="Y2534" s="338"/>
      <c r="Z2534" s="338"/>
      <c r="AA2534" s="338"/>
      <c r="AB2534" s="338"/>
      <c r="AC2534" s="338"/>
      <c r="AD2534" s="338"/>
    </row>
    <row r="2535" spans="1:30">
      <c r="A2535" s="338"/>
      <c r="B2535" s="338"/>
      <c r="D2535" s="338"/>
      <c r="E2535" s="338"/>
      <c r="H2535" s="338"/>
      <c r="I2535" s="338"/>
      <c r="J2535" s="338"/>
      <c r="K2535" s="338"/>
      <c r="L2535" s="338"/>
      <c r="M2535" s="338"/>
      <c r="N2535" s="338"/>
      <c r="Q2535" s="338"/>
      <c r="R2535" s="338"/>
      <c r="S2535" s="338"/>
      <c r="T2535" s="338"/>
      <c r="U2535" s="338"/>
      <c r="X2535" s="338"/>
      <c r="Y2535" s="338"/>
      <c r="Z2535" s="338"/>
      <c r="AA2535" s="338"/>
      <c r="AB2535" s="338"/>
      <c r="AC2535" s="338"/>
      <c r="AD2535" s="338"/>
    </row>
    <row r="2536" spans="1:30">
      <c r="A2536" s="338"/>
      <c r="B2536" s="338"/>
      <c r="D2536" s="338"/>
      <c r="E2536" s="338"/>
      <c r="H2536" s="338"/>
      <c r="I2536" s="338"/>
      <c r="J2536" s="338"/>
      <c r="K2536" s="338"/>
      <c r="L2536" s="338"/>
      <c r="M2536" s="338"/>
      <c r="N2536" s="338"/>
      <c r="Q2536" s="338"/>
      <c r="R2536" s="338"/>
      <c r="S2536" s="338"/>
      <c r="T2536" s="338"/>
      <c r="U2536" s="338"/>
      <c r="X2536" s="338"/>
      <c r="Y2536" s="338"/>
      <c r="Z2536" s="338"/>
      <c r="AA2536" s="338"/>
      <c r="AB2536" s="338"/>
      <c r="AC2536" s="338"/>
      <c r="AD2536" s="338"/>
    </row>
    <row r="2537" spans="1:30">
      <c r="A2537" s="338"/>
      <c r="B2537" s="338"/>
      <c r="D2537" s="338"/>
      <c r="E2537" s="338"/>
      <c r="H2537" s="338"/>
      <c r="I2537" s="338"/>
      <c r="J2537" s="338"/>
      <c r="K2537" s="338"/>
      <c r="L2537" s="338"/>
      <c r="M2537" s="338"/>
      <c r="N2537" s="338"/>
      <c r="Q2537" s="338"/>
      <c r="R2537" s="338"/>
      <c r="S2537" s="338"/>
      <c r="T2537" s="338"/>
      <c r="U2537" s="338"/>
      <c r="X2537" s="338"/>
      <c r="Y2537" s="338"/>
      <c r="Z2537" s="338"/>
      <c r="AA2537" s="338"/>
      <c r="AB2537" s="338"/>
      <c r="AC2537" s="338"/>
      <c r="AD2537" s="338"/>
    </row>
    <row r="2538" spans="1:30">
      <c r="A2538" s="338"/>
      <c r="B2538" s="338"/>
      <c r="D2538" s="338"/>
      <c r="E2538" s="338"/>
      <c r="H2538" s="338"/>
      <c r="I2538" s="338"/>
      <c r="J2538" s="338"/>
      <c r="K2538" s="338"/>
      <c r="L2538" s="338"/>
      <c r="M2538" s="338"/>
      <c r="N2538" s="338"/>
      <c r="Q2538" s="338"/>
      <c r="R2538" s="338"/>
      <c r="S2538" s="338"/>
      <c r="T2538" s="338"/>
      <c r="U2538" s="338"/>
      <c r="X2538" s="338"/>
      <c r="Y2538" s="338"/>
      <c r="Z2538" s="338"/>
      <c r="AA2538" s="338"/>
      <c r="AB2538" s="338"/>
      <c r="AC2538" s="338"/>
      <c r="AD2538" s="338"/>
    </row>
    <row r="2539" spans="1:30">
      <c r="A2539" s="338"/>
      <c r="B2539" s="338"/>
      <c r="D2539" s="338"/>
      <c r="E2539" s="338"/>
      <c r="H2539" s="338"/>
      <c r="I2539" s="338"/>
      <c r="J2539" s="338"/>
      <c r="K2539" s="338"/>
      <c r="L2539" s="338"/>
      <c r="M2539" s="338"/>
      <c r="N2539" s="338"/>
      <c r="Q2539" s="338"/>
      <c r="R2539" s="338"/>
      <c r="S2539" s="338"/>
      <c r="T2539" s="338"/>
      <c r="U2539" s="338"/>
      <c r="X2539" s="338"/>
      <c r="Y2539" s="338"/>
      <c r="Z2539" s="338"/>
      <c r="AA2539" s="338"/>
      <c r="AB2539" s="338"/>
      <c r="AC2539" s="338"/>
      <c r="AD2539" s="338"/>
    </row>
    <row r="2540" spans="1:30">
      <c r="A2540" s="338"/>
      <c r="B2540" s="338"/>
      <c r="D2540" s="338"/>
      <c r="E2540" s="338"/>
      <c r="H2540" s="338"/>
      <c r="I2540" s="338"/>
      <c r="J2540" s="338"/>
      <c r="K2540" s="338"/>
      <c r="L2540" s="338"/>
      <c r="M2540" s="338"/>
      <c r="N2540" s="338"/>
      <c r="Q2540" s="338"/>
      <c r="R2540" s="338"/>
      <c r="S2540" s="338"/>
      <c r="T2540" s="338"/>
      <c r="U2540" s="338"/>
      <c r="X2540" s="338"/>
      <c r="Y2540" s="338"/>
      <c r="Z2540" s="338"/>
      <c r="AA2540" s="338"/>
      <c r="AB2540" s="338"/>
      <c r="AC2540" s="338"/>
      <c r="AD2540" s="338"/>
    </row>
    <row r="2541" spans="1:30">
      <c r="A2541" s="338"/>
      <c r="B2541" s="338"/>
      <c r="D2541" s="338"/>
      <c r="E2541" s="338"/>
      <c r="H2541" s="338"/>
      <c r="I2541" s="338"/>
      <c r="J2541" s="338"/>
      <c r="K2541" s="338"/>
      <c r="L2541" s="338"/>
      <c r="M2541" s="338"/>
      <c r="N2541" s="338"/>
      <c r="Q2541" s="338"/>
      <c r="R2541" s="338"/>
      <c r="S2541" s="338"/>
      <c r="T2541" s="338"/>
      <c r="U2541" s="338"/>
      <c r="X2541" s="338"/>
      <c r="Y2541" s="338"/>
      <c r="Z2541" s="338"/>
      <c r="AA2541" s="338"/>
      <c r="AB2541" s="338"/>
      <c r="AC2541" s="338"/>
      <c r="AD2541" s="338"/>
    </row>
    <row r="2542" spans="1:30">
      <c r="A2542" s="338"/>
      <c r="B2542" s="338"/>
      <c r="D2542" s="338"/>
      <c r="E2542" s="338"/>
      <c r="H2542" s="338"/>
      <c r="I2542" s="338"/>
      <c r="J2542" s="338"/>
      <c r="K2542" s="338"/>
      <c r="L2542" s="338"/>
      <c r="M2542" s="338"/>
      <c r="N2542" s="338"/>
      <c r="Q2542" s="338"/>
      <c r="R2542" s="338"/>
      <c r="S2542" s="338"/>
      <c r="T2542" s="338"/>
      <c r="U2542" s="338"/>
      <c r="X2542" s="338"/>
      <c r="Y2542" s="338"/>
      <c r="Z2542" s="338"/>
      <c r="AA2542" s="338"/>
      <c r="AB2542" s="338"/>
      <c r="AC2542" s="338"/>
      <c r="AD2542" s="338"/>
    </row>
    <row r="2543" spans="1:30">
      <c r="A2543" s="338"/>
      <c r="B2543" s="338"/>
      <c r="D2543" s="338"/>
      <c r="E2543" s="338"/>
      <c r="H2543" s="338"/>
      <c r="I2543" s="338"/>
      <c r="J2543" s="338"/>
      <c r="K2543" s="338"/>
      <c r="L2543" s="338"/>
      <c r="M2543" s="338"/>
      <c r="N2543" s="338"/>
      <c r="Q2543" s="338"/>
      <c r="R2543" s="338"/>
      <c r="S2543" s="338"/>
      <c r="T2543" s="338"/>
      <c r="U2543" s="338"/>
      <c r="X2543" s="338"/>
      <c r="Y2543" s="338"/>
      <c r="Z2543" s="338"/>
      <c r="AA2543" s="338"/>
      <c r="AB2543" s="338"/>
      <c r="AC2543" s="338"/>
      <c r="AD2543" s="338"/>
    </row>
    <row r="2544" spans="1:30">
      <c r="A2544" s="338"/>
      <c r="B2544" s="338"/>
      <c r="D2544" s="338"/>
      <c r="E2544" s="338"/>
      <c r="H2544" s="338"/>
      <c r="I2544" s="338"/>
      <c r="J2544" s="338"/>
      <c r="K2544" s="338"/>
      <c r="L2544" s="338"/>
      <c r="M2544" s="338"/>
      <c r="N2544" s="338"/>
      <c r="Q2544" s="338"/>
      <c r="R2544" s="338"/>
      <c r="S2544" s="338"/>
      <c r="T2544" s="338"/>
      <c r="U2544" s="338"/>
      <c r="X2544" s="338"/>
      <c r="Y2544" s="338"/>
      <c r="Z2544" s="338"/>
      <c r="AA2544" s="338"/>
      <c r="AB2544" s="338"/>
      <c r="AC2544" s="338"/>
      <c r="AD2544" s="338"/>
    </row>
    <row r="2545" spans="1:30">
      <c r="A2545" s="338"/>
      <c r="B2545" s="338"/>
      <c r="D2545" s="338"/>
      <c r="E2545" s="338"/>
      <c r="H2545" s="338"/>
      <c r="I2545" s="338"/>
      <c r="J2545" s="338"/>
      <c r="K2545" s="338"/>
      <c r="L2545" s="338"/>
      <c r="M2545" s="338"/>
      <c r="N2545" s="338"/>
      <c r="Q2545" s="338"/>
      <c r="R2545" s="338"/>
      <c r="S2545" s="338"/>
      <c r="T2545" s="338"/>
      <c r="U2545" s="338"/>
      <c r="X2545" s="338"/>
      <c r="Y2545" s="338"/>
      <c r="Z2545" s="338"/>
      <c r="AA2545" s="338"/>
      <c r="AB2545" s="338"/>
      <c r="AC2545" s="338"/>
      <c r="AD2545" s="338"/>
    </row>
    <row r="2546" spans="1:30">
      <c r="A2546" s="338"/>
      <c r="B2546" s="338"/>
      <c r="D2546" s="338"/>
      <c r="E2546" s="338"/>
      <c r="H2546" s="338"/>
      <c r="I2546" s="338"/>
      <c r="J2546" s="338"/>
      <c r="K2546" s="338"/>
      <c r="L2546" s="338"/>
      <c r="M2546" s="338"/>
      <c r="N2546" s="338"/>
      <c r="Q2546" s="338"/>
      <c r="R2546" s="338"/>
      <c r="S2546" s="338"/>
      <c r="T2546" s="338"/>
      <c r="U2546" s="338"/>
      <c r="X2546" s="338"/>
      <c r="Y2546" s="338"/>
      <c r="Z2546" s="338"/>
      <c r="AA2546" s="338"/>
      <c r="AB2546" s="338"/>
      <c r="AC2546" s="338"/>
      <c r="AD2546" s="338"/>
    </row>
    <row r="2547" spans="1:30">
      <c r="A2547" s="338"/>
      <c r="B2547" s="338"/>
      <c r="D2547" s="338"/>
      <c r="E2547" s="338"/>
      <c r="H2547" s="338"/>
      <c r="I2547" s="338"/>
      <c r="J2547" s="338"/>
      <c r="K2547" s="338"/>
      <c r="L2547" s="338"/>
      <c r="M2547" s="338"/>
      <c r="N2547" s="338"/>
      <c r="Q2547" s="338"/>
      <c r="R2547" s="338"/>
      <c r="S2547" s="338"/>
      <c r="T2547" s="338"/>
      <c r="U2547" s="338"/>
      <c r="X2547" s="338"/>
      <c r="Y2547" s="338"/>
      <c r="Z2547" s="338"/>
      <c r="AA2547" s="338"/>
      <c r="AB2547" s="338"/>
      <c r="AC2547" s="338"/>
      <c r="AD2547" s="338"/>
    </row>
    <row r="2548" spans="1:30">
      <c r="A2548" s="338"/>
      <c r="B2548" s="338"/>
      <c r="D2548" s="338"/>
      <c r="E2548" s="338"/>
      <c r="H2548" s="338"/>
      <c r="I2548" s="338"/>
      <c r="J2548" s="338"/>
      <c r="K2548" s="338"/>
      <c r="L2548" s="338"/>
      <c r="M2548" s="338"/>
      <c r="N2548" s="338"/>
      <c r="Q2548" s="338"/>
      <c r="R2548" s="338"/>
      <c r="S2548" s="338"/>
      <c r="T2548" s="338"/>
      <c r="U2548" s="338"/>
      <c r="X2548" s="338"/>
      <c r="Y2548" s="338"/>
      <c r="Z2548" s="338"/>
      <c r="AA2548" s="338"/>
      <c r="AB2548" s="338"/>
      <c r="AC2548" s="338"/>
      <c r="AD2548" s="338"/>
    </row>
    <row r="2549" spans="1:30">
      <c r="A2549" s="338"/>
      <c r="B2549" s="338"/>
      <c r="D2549" s="338"/>
      <c r="E2549" s="338"/>
      <c r="H2549" s="338"/>
      <c r="I2549" s="338"/>
      <c r="J2549" s="338"/>
      <c r="K2549" s="338"/>
      <c r="L2549" s="338"/>
      <c r="M2549" s="338"/>
      <c r="N2549" s="338"/>
      <c r="Q2549" s="338"/>
      <c r="R2549" s="338"/>
      <c r="S2549" s="338"/>
      <c r="T2549" s="338"/>
      <c r="U2549" s="338"/>
      <c r="X2549" s="338"/>
      <c r="Y2549" s="338"/>
      <c r="Z2549" s="338"/>
      <c r="AA2549" s="338"/>
      <c r="AB2549" s="338"/>
      <c r="AC2549" s="338"/>
      <c r="AD2549" s="338"/>
    </row>
    <row r="2550" spans="1:30">
      <c r="A2550" s="338"/>
      <c r="B2550" s="338"/>
      <c r="D2550" s="338"/>
      <c r="E2550" s="338"/>
      <c r="H2550" s="338"/>
      <c r="I2550" s="338"/>
      <c r="J2550" s="338"/>
      <c r="K2550" s="338"/>
      <c r="L2550" s="338"/>
      <c r="M2550" s="338"/>
      <c r="N2550" s="338"/>
      <c r="Q2550" s="338"/>
      <c r="R2550" s="338"/>
      <c r="S2550" s="338"/>
      <c r="T2550" s="338"/>
      <c r="U2550" s="338"/>
      <c r="X2550" s="338"/>
      <c r="Y2550" s="338"/>
      <c r="Z2550" s="338"/>
      <c r="AA2550" s="338"/>
      <c r="AB2550" s="338"/>
      <c r="AC2550" s="338"/>
      <c r="AD2550" s="338"/>
    </row>
    <row r="2551" spans="1:30">
      <c r="A2551" s="338"/>
      <c r="B2551" s="338"/>
      <c r="D2551" s="338"/>
      <c r="E2551" s="338"/>
      <c r="H2551" s="338"/>
      <c r="I2551" s="338"/>
      <c r="J2551" s="338"/>
      <c r="K2551" s="338"/>
      <c r="L2551" s="338"/>
      <c r="M2551" s="338"/>
      <c r="N2551" s="338"/>
      <c r="Q2551" s="338"/>
      <c r="R2551" s="338"/>
      <c r="S2551" s="338"/>
      <c r="T2551" s="338"/>
      <c r="U2551" s="338"/>
      <c r="X2551" s="338"/>
      <c r="Y2551" s="338"/>
      <c r="Z2551" s="338"/>
      <c r="AA2551" s="338"/>
      <c r="AB2551" s="338"/>
      <c r="AC2551" s="338"/>
      <c r="AD2551" s="338"/>
    </row>
    <row r="2552" spans="1:30">
      <c r="A2552" s="338"/>
      <c r="B2552" s="338"/>
      <c r="D2552" s="338"/>
      <c r="E2552" s="338"/>
      <c r="H2552" s="338"/>
      <c r="I2552" s="338"/>
      <c r="J2552" s="338"/>
      <c r="K2552" s="338"/>
      <c r="L2552" s="338"/>
      <c r="M2552" s="338"/>
      <c r="N2552" s="338"/>
      <c r="Q2552" s="338"/>
      <c r="R2552" s="338"/>
      <c r="S2552" s="338"/>
      <c r="T2552" s="338"/>
      <c r="U2552" s="338"/>
      <c r="X2552" s="338"/>
      <c r="Y2552" s="338"/>
      <c r="Z2552" s="338"/>
      <c r="AA2552" s="338"/>
      <c r="AB2552" s="338"/>
      <c r="AC2552" s="338"/>
      <c r="AD2552" s="338"/>
    </row>
    <row r="2553" spans="1:30">
      <c r="A2553" s="338"/>
      <c r="B2553" s="338"/>
      <c r="D2553" s="338"/>
      <c r="E2553" s="338"/>
      <c r="H2553" s="338"/>
      <c r="I2553" s="338"/>
      <c r="J2553" s="338"/>
      <c r="K2553" s="338"/>
      <c r="L2553" s="338"/>
      <c r="M2553" s="338"/>
      <c r="N2553" s="338"/>
      <c r="Q2553" s="338"/>
      <c r="R2553" s="338"/>
      <c r="S2553" s="338"/>
      <c r="T2553" s="338"/>
      <c r="U2553" s="338"/>
      <c r="X2553" s="338"/>
      <c r="Y2553" s="338"/>
      <c r="Z2553" s="338"/>
      <c r="AA2553" s="338"/>
      <c r="AB2553" s="338"/>
      <c r="AC2553" s="338"/>
      <c r="AD2553" s="338"/>
    </row>
    <row r="2554" spans="1:30">
      <c r="A2554" s="338"/>
      <c r="B2554" s="338"/>
      <c r="D2554" s="338"/>
      <c r="E2554" s="338"/>
      <c r="H2554" s="338"/>
      <c r="I2554" s="338"/>
      <c r="J2554" s="338"/>
      <c r="K2554" s="338"/>
      <c r="L2554" s="338"/>
      <c r="M2554" s="338"/>
      <c r="N2554" s="338"/>
      <c r="Q2554" s="338"/>
      <c r="R2554" s="338"/>
      <c r="S2554" s="338"/>
      <c r="T2554" s="338"/>
      <c r="U2554" s="338"/>
      <c r="X2554" s="338"/>
      <c r="Y2554" s="338"/>
      <c r="Z2554" s="338"/>
      <c r="AA2554" s="338"/>
      <c r="AB2554" s="338"/>
      <c r="AC2554" s="338"/>
      <c r="AD2554" s="338"/>
    </row>
    <row r="2555" spans="1:30">
      <c r="A2555" s="338"/>
      <c r="B2555" s="338"/>
      <c r="D2555" s="338"/>
      <c r="E2555" s="338"/>
      <c r="H2555" s="338"/>
      <c r="I2555" s="338"/>
      <c r="J2555" s="338"/>
      <c r="K2555" s="338"/>
      <c r="L2555" s="338"/>
      <c r="M2555" s="338"/>
      <c r="N2555" s="338"/>
      <c r="Q2555" s="338"/>
      <c r="R2555" s="338"/>
      <c r="S2555" s="338"/>
      <c r="T2555" s="338"/>
      <c r="U2555" s="338"/>
      <c r="X2555" s="338"/>
      <c r="Y2555" s="338"/>
      <c r="Z2555" s="338"/>
      <c r="AA2555" s="338"/>
      <c r="AB2555" s="338"/>
      <c r="AC2555" s="338"/>
      <c r="AD2555" s="338"/>
    </row>
    <row r="2556" spans="1:30">
      <c r="A2556" s="338"/>
      <c r="B2556" s="338"/>
      <c r="D2556" s="338"/>
      <c r="E2556" s="338"/>
      <c r="H2556" s="338"/>
      <c r="I2556" s="338"/>
      <c r="J2556" s="338"/>
      <c r="K2556" s="338"/>
      <c r="L2556" s="338"/>
      <c r="M2556" s="338"/>
      <c r="N2556" s="338"/>
      <c r="Q2556" s="338"/>
      <c r="R2556" s="338"/>
      <c r="S2556" s="338"/>
      <c r="T2556" s="338"/>
      <c r="U2556" s="338"/>
      <c r="X2556" s="338"/>
      <c r="Y2556" s="338"/>
      <c r="Z2556" s="338"/>
      <c r="AA2556" s="338"/>
      <c r="AB2556" s="338"/>
      <c r="AC2556" s="338"/>
      <c r="AD2556" s="338"/>
    </row>
    <row r="2557" spans="1:30">
      <c r="A2557" s="338"/>
      <c r="B2557" s="338"/>
      <c r="D2557" s="338"/>
      <c r="E2557" s="338"/>
      <c r="H2557" s="338"/>
      <c r="I2557" s="338"/>
      <c r="J2557" s="338"/>
      <c r="K2557" s="338"/>
      <c r="L2557" s="338"/>
      <c r="M2557" s="338"/>
      <c r="N2557" s="338"/>
      <c r="Q2557" s="338"/>
      <c r="R2557" s="338"/>
      <c r="S2557" s="338"/>
      <c r="T2557" s="338"/>
      <c r="U2557" s="338"/>
      <c r="X2557" s="338"/>
      <c r="Y2557" s="338"/>
      <c r="Z2557" s="338"/>
      <c r="AA2557" s="338"/>
      <c r="AB2557" s="338"/>
      <c r="AC2557" s="338"/>
      <c r="AD2557" s="338"/>
    </row>
    <row r="2558" spans="1:30">
      <c r="A2558" s="338"/>
      <c r="B2558" s="338"/>
      <c r="D2558" s="338"/>
      <c r="E2558" s="338"/>
      <c r="H2558" s="338"/>
      <c r="I2558" s="338"/>
      <c r="J2558" s="338"/>
      <c r="K2558" s="338"/>
      <c r="L2558" s="338"/>
      <c r="M2558" s="338"/>
      <c r="N2558" s="338"/>
      <c r="Q2558" s="338"/>
      <c r="R2558" s="338"/>
      <c r="S2558" s="338"/>
      <c r="T2558" s="338"/>
      <c r="U2558" s="338"/>
      <c r="X2558" s="338"/>
      <c r="Y2558" s="338"/>
      <c r="Z2558" s="338"/>
      <c r="AA2558" s="338"/>
      <c r="AB2558" s="338"/>
      <c r="AC2558" s="338"/>
      <c r="AD2558" s="338"/>
    </row>
    <row r="2559" spans="1:30">
      <c r="A2559" s="338"/>
      <c r="B2559" s="338"/>
      <c r="D2559" s="338"/>
      <c r="E2559" s="338"/>
      <c r="H2559" s="338"/>
      <c r="I2559" s="338"/>
      <c r="J2559" s="338"/>
      <c r="K2559" s="338"/>
      <c r="L2559" s="338"/>
      <c r="M2559" s="338"/>
      <c r="N2559" s="338"/>
      <c r="Q2559" s="338"/>
      <c r="R2559" s="338"/>
      <c r="S2559" s="338"/>
      <c r="T2559" s="338"/>
      <c r="U2559" s="338"/>
      <c r="X2559" s="338"/>
      <c r="Y2559" s="338"/>
      <c r="Z2559" s="338"/>
      <c r="AA2559" s="338"/>
      <c r="AB2559" s="338"/>
      <c r="AC2559" s="338"/>
      <c r="AD2559" s="338"/>
    </row>
    <row r="2560" spans="1:30">
      <c r="A2560" s="338"/>
      <c r="B2560" s="338"/>
      <c r="D2560" s="338"/>
      <c r="E2560" s="338"/>
      <c r="H2560" s="338"/>
      <c r="I2560" s="338"/>
      <c r="J2560" s="338"/>
      <c r="K2560" s="338"/>
      <c r="L2560" s="338"/>
      <c r="M2560" s="338"/>
      <c r="N2560" s="338"/>
      <c r="Q2560" s="338"/>
      <c r="R2560" s="338"/>
      <c r="S2560" s="338"/>
      <c r="T2560" s="338"/>
      <c r="U2560" s="338"/>
      <c r="X2560" s="338"/>
      <c r="Y2560" s="338"/>
      <c r="Z2560" s="338"/>
      <c r="AA2560" s="338"/>
      <c r="AB2560" s="338"/>
      <c r="AC2560" s="338"/>
      <c r="AD2560" s="338"/>
    </row>
    <row r="2561" spans="1:30">
      <c r="A2561" s="338"/>
      <c r="B2561" s="338"/>
      <c r="D2561" s="338"/>
      <c r="E2561" s="338"/>
      <c r="H2561" s="338"/>
      <c r="I2561" s="338"/>
      <c r="J2561" s="338"/>
      <c r="K2561" s="338"/>
      <c r="L2561" s="338"/>
      <c r="M2561" s="338"/>
      <c r="N2561" s="338"/>
      <c r="Q2561" s="338"/>
      <c r="R2561" s="338"/>
      <c r="S2561" s="338"/>
      <c r="T2561" s="338"/>
      <c r="U2561" s="338"/>
      <c r="X2561" s="338"/>
      <c r="Y2561" s="338"/>
      <c r="Z2561" s="338"/>
      <c r="AA2561" s="338"/>
      <c r="AB2561" s="338"/>
      <c r="AC2561" s="338"/>
      <c r="AD2561" s="338"/>
    </row>
    <row r="2562" spans="1:30">
      <c r="A2562" s="338"/>
      <c r="B2562" s="338"/>
      <c r="D2562" s="338"/>
      <c r="E2562" s="338"/>
      <c r="H2562" s="338"/>
      <c r="I2562" s="338"/>
      <c r="J2562" s="338"/>
      <c r="K2562" s="338"/>
      <c r="L2562" s="338"/>
      <c r="M2562" s="338"/>
      <c r="N2562" s="338"/>
      <c r="Q2562" s="338"/>
      <c r="R2562" s="338"/>
      <c r="S2562" s="338"/>
      <c r="T2562" s="338"/>
      <c r="U2562" s="338"/>
      <c r="X2562" s="338"/>
      <c r="Y2562" s="338"/>
      <c r="Z2562" s="338"/>
      <c r="AA2562" s="338"/>
      <c r="AB2562" s="338"/>
      <c r="AC2562" s="338"/>
      <c r="AD2562" s="338"/>
    </row>
    <row r="2563" spans="1:30">
      <c r="A2563" s="338"/>
      <c r="B2563" s="338"/>
      <c r="D2563" s="338"/>
      <c r="E2563" s="338"/>
      <c r="H2563" s="338"/>
      <c r="I2563" s="338"/>
      <c r="J2563" s="338"/>
      <c r="K2563" s="338"/>
      <c r="L2563" s="338"/>
      <c r="M2563" s="338"/>
      <c r="N2563" s="338"/>
      <c r="Q2563" s="338"/>
      <c r="R2563" s="338"/>
      <c r="S2563" s="338"/>
      <c r="T2563" s="338"/>
      <c r="U2563" s="338"/>
      <c r="X2563" s="338"/>
      <c r="Y2563" s="338"/>
      <c r="Z2563" s="338"/>
      <c r="AA2563" s="338"/>
      <c r="AB2563" s="338"/>
      <c r="AC2563" s="338"/>
      <c r="AD2563" s="338"/>
    </row>
    <row r="2564" spans="1:30">
      <c r="A2564" s="338"/>
      <c r="B2564" s="338"/>
      <c r="D2564" s="338"/>
      <c r="E2564" s="338"/>
      <c r="H2564" s="338"/>
      <c r="I2564" s="338"/>
      <c r="J2564" s="338"/>
      <c r="K2564" s="338"/>
      <c r="L2564" s="338"/>
      <c r="M2564" s="338"/>
      <c r="N2564" s="338"/>
      <c r="Q2564" s="338"/>
      <c r="R2564" s="338"/>
      <c r="S2564" s="338"/>
      <c r="T2564" s="338"/>
      <c r="U2564" s="338"/>
      <c r="X2564" s="338"/>
      <c r="Y2564" s="338"/>
      <c r="Z2564" s="338"/>
      <c r="AA2564" s="338"/>
      <c r="AB2564" s="338"/>
      <c r="AC2564" s="338"/>
      <c r="AD2564" s="338"/>
    </row>
    <row r="2565" spans="1:30">
      <c r="A2565" s="338"/>
      <c r="B2565" s="338"/>
      <c r="D2565" s="338"/>
      <c r="E2565" s="338"/>
      <c r="H2565" s="338"/>
      <c r="I2565" s="338"/>
      <c r="J2565" s="338"/>
      <c r="K2565" s="338"/>
      <c r="L2565" s="338"/>
      <c r="M2565" s="338"/>
      <c r="N2565" s="338"/>
      <c r="Q2565" s="338"/>
      <c r="R2565" s="338"/>
      <c r="S2565" s="338"/>
      <c r="T2565" s="338"/>
      <c r="U2565" s="338"/>
      <c r="X2565" s="338"/>
      <c r="Y2565" s="338"/>
      <c r="Z2565" s="338"/>
      <c r="AA2565" s="338"/>
      <c r="AB2565" s="338"/>
      <c r="AC2565" s="338"/>
      <c r="AD2565" s="338"/>
    </row>
    <row r="2566" spans="1:30">
      <c r="A2566" s="338"/>
      <c r="B2566" s="338"/>
      <c r="D2566" s="338"/>
      <c r="E2566" s="338"/>
      <c r="H2566" s="338"/>
      <c r="I2566" s="338"/>
      <c r="J2566" s="338"/>
      <c r="K2566" s="338"/>
      <c r="L2566" s="338"/>
      <c r="M2566" s="338"/>
      <c r="N2566" s="338"/>
      <c r="Q2566" s="338"/>
      <c r="R2566" s="338"/>
      <c r="S2566" s="338"/>
      <c r="T2566" s="338"/>
      <c r="U2566" s="338"/>
      <c r="X2566" s="338"/>
      <c r="Y2566" s="338"/>
      <c r="Z2566" s="338"/>
      <c r="AA2566" s="338"/>
      <c r="AB2566" s="338"/>
      <c r="AC2566" s="338"/>
      <c r="AD2566" s="338"/>
    </row>
    <row r="2567" spans="1:30">
      <c r="A2567" s="338"/>
      <c r="B2567" s="338"/>
      <c r="D2567" s="338"/>
      <c r="E2567" s="338"/>
      <c r="H2567" s="338"/>
      <c r="I2567" s="338"/>
      <c r="J2567" s="338"/>
      <c r="K2567" s="338"/>
      <c r="L2567" s="338"/>
      <c r="M2567" s="338"/>
      <c r="N2567" s="338"/>
      <c r="Q2567" s="338"/>
      <c r="R2567" s="338"/>
      <c r="S2567" s="338"/>
      <c r="T2567" s="338"/>
      <c r="U2567" s="338"/>
      <c r="X2567" s="338"/>
      <c r="Y2567" s="338"/>
      <c r="Z2567" s="338"/>
      <c r="AA2567" s="338"/>
      <c r="AB2567" s="338"/>
      <c r="AC2567" s="338"/>
      <c r="AD2567" s="338"/>
    </row>
    <row r="2568" spans="1:30">
      <c r="A2568" s="338"/>
      <c r="B2568" s="338"/>
      <c r="D2568" s="338"/>
      <c r="E2568" s="338"/>
      <c r="H2568" s="338"/>
      <c r="I2568" s="338"/>
      <c r="J2568" s="338"/>
      <c r="K2568" s="338"/>
      <c r="L2568" s="338"/>
      <c r="M2568" s="338"/>
      <c r="N2568" s="338"/>
      <c r="Q2568" s="338"/>
      <c r="R2568" s="338"/>
      <c r="S2568" s="338"/>
      <c r="T2568" s="338"/>
      <c r="U2568" s="338"/>
      <c r="X2568" s="338"/>
      <c r="Y2568" s="338"/>
      <c r="Z2568" s="338"/>
      <c r="AA2568" s="338"/>
      <c r="AB2568" s="338"/>
      <c r="AC2568" s="338"/>
      <c r="AD2568" s="338"/>
    </row>
    <row r="2569" spans="1:30">
      <c r="A2569" s="338"/>
      <c r="B2569" s="338"/>
      <c r="D2569" s="338"/>
      <c r="E2569" s="338"/>
      <c r="H2569" s="338"/>
      <c r="I2569" s="338"/>
      <c r="J2569" s="338"/>
      <c r="K2569" s="338"/>
      <c r="L2569" s="338"/>
      <c r="M2569" s="338"/>
      <c r="N2569" s="338"/>
      <c r="Q2569" s="338"/>
      <c r="R2569" s="338"/>
      <c r="S2569" s="338"/>
      <c r="T2569" s="338"/>
      <c r="U2569" s="338"/>
      <c r="X2569" s="338"/>
      <c r="Y2569" s="338"/>
      <c r="Z2569" s="338"/>
      <c r="AA2569" s="338"/>
      <c r="AB2569" s="338"/>
      <c r="AC2569" s="338"/>
      <c r="AD2569" s="338"/>
    </row>
    <row r="2570" spans="1:30">
      <c r="A2570" s="338"/>
      <c r="B2570" s="338"/>
      <c r="D2570" s="338"/>
      <c r="E2570" s="338"/>
      <c r="H2570" s="338"/>
      <c r="I2570" s="338"/>
      <c r="J2570" s="338"/>
      <c r="K2570" s="338"/>
      <c r="L2570" s="338"/>
      <c r="M2570" s="338"/>
      <c r="N2570" s="338"/>
      <c r="Q2570" s="338"/>
      <c r="R2570" s="338"/>
      <c r="S2570" s="338"/>
      <c r="T2570" s="338"/>
      <c r="U2570" s="338"/>
      <c r="X2570" s="338"/>
      <c r="Y2570" s="338"/>
      <c r="Z2570" s="338"/>
      <c r="AA2570" s="338"/>
      <c r="AB2570" s="338"/>
      <c r="AC2570" s="338"/>
      <c r="AD2570" s="338"/>
    </row>
    <row r="2571" spans="1:30">
      <c r="A2571" s="338"/>
      <c r="B2571" s="338"/>
      <c r="D2571" s="338"/>
      <c r="E2571" s="338"/>
      <c r="H2571" s="338"/>
      <c r="I2571" s="338"/>
      <c r="J2571" s="338"/>
      <c r="K2571" s="338"/>
      <c r="L2571" s="338"/>
      <c r="M2571" s="338"/>
      <c r="N2571" s="338"/>
      <c r="Q2571" s="338"/>
      <c r="R2571" s="338"/>
      <c r="S2571" s="338"/>
      <c r="T2571" s="338"/>
      <c r="U2571" s="338"/>
      <c r="X2571" s="338"/>
      <c r="Y2571" s="338"/>
      <c r="Z2571" s="338"/>
      <c r="AA2571" s="338"/>
      <c r="AB2571" s="338"/>
      <c r="AC2571" s="338"/>
      <c r="AD2571" s="338"/>
    </row>
    <row r="2572" spans="1:30">
      <c r="A2572" s="338"/>
      <c r="B2572" s="338"/>
      <c r="D2572" s="338"/>
      <c r="E2572" s="338"/>
      <c r="H2572" s="338"/>
      <c r="I2572" s="338"/>
      <c r="J2572" s="338"/>
      <c r="K2572" s="338"/>
      <c r="L2572" s="338"/>
      <c r="M2572" s="338"/>
      <c r="N2572" s="338"/>
      <c r="Q2572" s="338"/>
      <c r="R2572" s="338"/>
      <c r="S2572" s="338"/>
      <c r="T2572" s="338"/>
      <c r="U2572" s="338"/>
      <c r="X2572" s="338"/>
      <c r="Y2572" s="338"/>
      <c r="Z2572" s="338"/>
      <c r="AA2572" s="338"/>
      <c r="AB2572" s="338"/>
      <c r="AC2572" s="338"/>
      <c r="AD2572" s="338"/>
    </row>
    <row r="2573" spans="1:30">
      <c r="A2573" s="338"/>
      <c r="B2573" s="338"/>
      <c r="D2573" s="338"/>
      <c r="E2573" s="338"/>
      <c r="H2573" s="338"/>
      <c r="I2573" s="338"/>
      <c r="J2573" s="338"/>
      <c r="K2573" s="338"/>
      <c r="L2573" s="338"/>
      <c r="M2573" s="338"/>
      <c r="N2573" s="338"/>
      <c r="Q2573" s="338"/>
      <c r="R2573" s="338"/>
      <c r="S2573" s="338"/>
      <c r="T2573" s="338"/>
      <c r="U2573" s="338"/>
      <c r="X2573" s="338"/>
      <c r="Y2573" s="338"/>
      <c r="Z2573" s="338"/>
      <c r="AA2573" s="338"/>
      <c r="AB2573" s="338"/>
      <c r="AC2573" s="338"/>
      <c r="AD2573" s="338"/>
    </row>
    <row r="2574" spans="1:30">
      <c r="A2574" s="338"/>
      <c r="B2574" s="338"/>
      <c r="D2574" s="338"/>
      <c r="E2574" s="338"/>
      <c r="H2574" s="338"/>
      <c r="I2574" s="338"/>
      <c r="J2574" s="338"/>
      <c r="K2574" s="338"/>
      <c r="L2574" s="338"/>
      <c r="M2574" s="338"/>
      <c r="N2574" s="338"/>
      <c r="Q2574" s="338"/>
      <c r="R2574" s="338"/>
      <c r="S2574" s="338"/>
      <c r="T2574" s="338"/>
      <c r="U2574" s="338"/>
      <c r="X2574" s="338"/>
      <c r="Y2574" s="338"/>
      <c r="Z2574" s="338"/>
      <c r="AA2574" s="338"/>
      <c r="AB2574" s="338"/>
      <c r="AC2574" s="338"/>
      <c r="AD2574" s="338"/>
    </row>
    <row r="2575" spans="1:30">
      <c r="A2575" s="338"/>
      <c r="B2575" s="338"/>
      <c r="D2575" s="338"/>
      <c r="E2575" s="338"/>
      <c r="H2575" s="338"/>
      <c r="I2575" s="338"/>
      <c r="J2575" s="338"/>
      <c r="K2575" s="338"/>
      <c r="L2575" s="338"/>
      <c r="M2575" s="338"/>
      <c r="N2575" s="338"/>
      <c r="Q2575" s="338"/>
      <c r="R2575" s="338"/>
      <c r="S2575" s="338"/>
      <c r="T2575" s="338"/>
      <c r="U2575" s="338"/>
      <c r="X2575" s="338"/>
      <c r="Y2575" s="338"/>
      <c r="Z2575" s="338"/>
      <c r="AA2575" s="338"/>
      <c r="AB2575" s="338"/>
      <c r="AC2575" s="338"/>
      <c r="AD2575" s="338"/>
    </row>
    <row r="2576" spans="1:30">
      <c r="A2576" s="338"/>
      <c r="B2576" s="338"/>
      <c r="D2576" s="338"/>
      <c r="E2576" s="338"/>
      <c r="H2576" s="338"/>
      <c r="I2576" s="338"/>
      <c r="J2576" s="338"/>
      <c r="K2576" s="338"/>
      <c r="L2576" s="338"/>
      <c r="M2576" s="338"/>
      <c r="N2576" s="338"/>
      <c r="Q2576" s="338"/>
      <c r="R2576" s="338"/>
      <c r="S2576" s="338"/>
      <c r="T2576" s="338"/>
      <c r="U2576" s="338"/>
      <c r="X2576" s="338"/>
      <c r="Y2576" s="338"/>
      <c r="Z2576" s="338"/>
      <c r="AA2576" s="338"/>
      <c r="AB2576" s="338"/>
      <c r="AC2576" s="338"/>
      <c r="AD2576" s="338"/>
    </row>
    <row r="2577" spans="1:30">
      <c r="A2577" s="338"/>
      <c r="B2577" s="338"/>
      <c r="D2577" s="338"/>
      <c r="E2577" s="338"/>
      <c r="H2577" s="338"/>
      <c r="I2577" s="338"/>
      <c r="J2577" s="338"/>
      <c r="K2577" s="338"/>
      <c r="L2577" s="338"/>
      <c r="M2577" s="338"/>
      <c r="N2577" s="338"/>
      <c r="Q2577" s="338"/>
      <c r="R2577" s="338"/>
      <c r="S2577" s="338"/>
      <c r="T2577" s="338"/>
      <c r="U2577" s="338"/>
      <c r="X2577" s="338"/>
      <c r="Y2577" s="338"/>
      <c r="Z2577" s="338"/>
      <c r="AA2577" s="338"/>
      <c r="AB2577" s="338"/>
      <c r="AC2577" s="338"/>
      <c r="AD2577" s="338"/>
    </row>
    <row r="2578" spans="1:30">
      <c r="A2578" s="338"/>
      <c r="B2578" s="338"/>
      <c r="D2578" s="338"/>
      <c r="E2578" s="338"/>
      <c r="H2578" s="338"/>
      <c r="I2578" s="338"/>
      <c r="J2578" s="338"/>
      <c r="K2578" s="338"/>
      <c r="L2578" s="338"/>
      <c r="M2578" s="338"/>
      <c r="N2578" s="338"/>
      <c r="Q2578" s="338"/>
      <c r="R2578" s="338"/>
      <c r="S2578" s="338"/>
      <c r="T2578" s="338"/>
      <c r="U2578" s="338"/>
      <c r="X2578" s="338"/>
      <c r="Y2578" s="338"/>
      <c r="Z2578" s="338"/>
      <c r="AA2578" s="338"/>
      <c r="AB2578" s="338"/>
      <c r="AC2578" s="338"/>
      <c r="AD2578" s="338"/>
    </row>
    <row r="2579" spans="1:30">
      <c r="A2579" s="338"/>
      <c r="B2579" s="338"/>
      <c r="D2579" s="338"/>
      <c r="E2579" s="338"/>
      <c r="H2579" s="338"/>
      <c r="I2579" s="338"/>
      <c r="J2579" s="338"/>
      <c r="K2579" s="338"/>
      <c r="L2579" s="338"/>
      <c r="M2579" s="338"/>
      <c r="N2579" s="338"/>
      <c r="Q2579" s="338"/>
      <c r="R2579" s="338"/>
      <c r="S2579" s="338"/>
      <c r="T2579" s="338"/>
      <c r="U2579" s="338"/>
      <c r="X2579" s="338"/>
      <c r="Y2579" s="338"/>
      <c r="Z2579" s="338"/>
      <c r="AA2579" s="338"/>
      <c r="AB2579" s="338"/>
      <c r="AC2579" s="338"/>
      <c r="AD2579" s="338"/>
    </row>
    <row r="2580" spans="1:30">
      <c r="A2580" s="338"/>
      <c r="B2580" s="338"/>
      <c r="D2580" s="338"/>
      <c r="E2580" s="338"/>
      <c r="H2580" s="338"/>
      <c r="I2580" s="338"/>
      <c r="J2580" s="338"/>
      <c r="K2580" s="338"/>
      <c r="L2580" s="338"/>
      <c r="M2580" s="338"/>
      <c r="N2580" s="338"/>
      <c r="Q2580" s="338"/>
      <c r="R2580" s="338"/>
      <c r="S2580" s="338"/>
      <c r="T2580" s="338"/>
      <c r="U2580" s="338"/>
      <c r="X2580" s="338"/>
      <c r="Y2580" s="338"/>
      <c r="Z2580" s="338"/>
      <c r="AA2580" s="338"/>
      <c r="AB2580" s="338"/>
      <c r="AC2580" s="338"/>
      <c r="AD2580" s="338"/>
    </row>
    <row r="2581" spans="1:30">
      <c r="A2581" s="338"/>
      <c r="B2581" s="338"/>
      <c r="D2581" s="338"/>
      <c r="E2581" s="338"/>
      <c r="H2581" s="338"/>
      <c r="I2581" s="338"/>
      <c r="J2581" s="338"/>
      <c r="K2581" s="338"/>
      <c r="L2581" s="338"/>
      <c r="M2581" s="338"/>
      <c r="N2581" s="338"/>
      <c r="Q2581" s="338"/>
      <c r="R2581" s="338"/>
      <c r="S2581" s="338"/>
      <c r="T2581" s="338"/>
      <c r="U2581" s="338"/>
      <c r="X2581" s="338"/>
      <c r="Y2581" s="338"/>
      <c r="Z2581" s="338"/>
      <c r="AA2581" s="338"/>
      <c r="AB2581" s="338"/>
      <c r="AC2581" s="338"/>
      <c r="AD2581" s="338"/>
    </row>
    <row r="2582" spans="1:30">
      <c r="A2582" s="338"/>
      <c r="B2582" s="338"/>
      <c r="D2582" s="338"/>
      <c r="E2582" s="338"/>
      <c r="H2582" s="338"/>
      <c r="I2582" s="338"/>
      <c r="J2582" s="338"/>
      <c r="K2582" s="338"/>
      <c r="L2582" s="338"/>
      <c r="M2582" s="338"/>
      <c r="N2582" s="338"/>
      <c r="Q2582" s="338"/>
      <c r="R2582" s="338"/>
      <c r="S2582" s="338"/>
      <c r="T2582" s="338"/>
      <c r="U2582" s="338"/>
      <c r="X2582" s="338"/>
      <c r="Y2582" s="338"/>
      <c r="Z2582" s="338"/>
      <c r="AA2582" s="338"/>
      <c r="AB2582" s="338"/>
      <c r="AC2582" s="338"/>
      <c r="AD2582" s="338"/>
    </row>
    <row r="2583" spans="1:30">
      <c r="A2583" s="338"/>
      <c r="B2583" s="338"/>
      <c r="D2583" s="338"/>
      <c r="E2583" s="338"/>
      <c r="H2583" s="338"/>
      <c r="I2583" s="338"/>
      <c r="J2583" s="338"/>
      <c r="K2583" s="338"/>
      <c r="L2583" s="338"/>
      <c r="M2583" s="338"/>
      <c r="N2583" s="338"/>
      <c r="Q2583" s="338"/>
      <c r="R2583" s="338"/>
      <c r="S2583" s="338"/>
      <c r="T2583" s="338"/>
      <c r="U2583" s="338"/>
      <c r="X2583" s="338"/>
      <c r="Y2583" s="338"/>
      <c r="Z2583" s="338"/>
      <c r="AA2583" s="338"/>
      <c r="AB2583" s="338"/>
      <c r="AC2583" s="338"/>
      <c r="AD2583" s="338"/>
    </row>
    <row r="2584" spans="1:30">
      <c r="A2584" s="338"/>
      <c r="B2584" s="338"/>
      <c r="D2584" s="338"/>
      <c r="E2584" s="338"/>
      <c r="H2584" s="338"/>
      <c r="I2584" s="338"/>
      <c r="J2584" s="338"/>
      <c r="K2584" s="338"/>
      <c r="L2584" s="338"/>
      <c r="M2584" s="338"/>
      <c r="N2584" s="338"/>
      <c r="Q2584" s="338"/>
      <c r="R2584" s="338"/>
      <c r="S2584" s="338"/>
      <c r="T2584" s="338"/>
      <c r="U2584" s="338"/>
      <c r="X2584" s="338"/>
      <c r="Y2584" s="338"/>
      <c r="Z2584" s="338"/>
      <c r="AA2584" s="338"/>
      <c r="AB2584" s="338"/>
      <c r="AC2584" s="338"/>
      <c r="AD2584" s="338"/>
    </row>
    <row r="2585" spans="1:30">
      <c r="A2585" s="338"/>
      <c r="B2585" s="338"/>
      <c r="D2585" s="338"/>
      <c r="E2585" s="338"/>
      <c r="H2585" s="338"/>
      <c r="I2585" s="338"/>
      <c r="J2585" s="338"/>
      <c r="K2585" s="338"/>
      <c r="L2585" s="338"/>
      <c r="M2585" s="338"/>
      <c r="N2585" s="338"/>
      <c r="Q2585" s="338"/>
      <c r="R2585" s="338"/>
      <c r="S2585" s="338"/>
      <c r="T2585" s="338"/>
      <c r="U2585" s="338"/>
      <c r="X2585" s="338"/>
      <c r="Y2585" s="338"/>
      <c r="Z2585" s="338"/>
      <c r="AA2585" s="338"/>
      <c r="AB2585" s="338"/>
      <c r="AC2585" s="338"/>
      <c r="AD2585" s="338"/>
    </row>
    <row r="2586" spans="1:30">
      <c r="A2586" s="338"/>
      <c r="B2586" s="338"/>
      <c r="D2586" s="338"/>
      <c r="E2586" s="338"/>
      <c r="H2586" s="338"/>
      <c r="I2586" s="338"/>
      <c r="J2586" s="338"/>
      <c r="K2586" s="338"/>
      <c r="L2586" s="338"/>
      <c r="M2586" s="338"/>
      <c r="N2586" s="338"/>
      <c r="Q2586" s="338"/>
      <c r="R2586" s="338"/>
      <c r="S2586" s="338"/>
      <c r="T2586" s="338"/>
      <c r="U2586" s="338"/>
      <c r="X2586" s="338"/>
      <c r="Y2586" s="338"/>
      <c r="Z2586" s="338"/>
      <c r="AA2586" s="338"/>
      <c r="AB2586" s="338"/>
      <c r="AC2586" s="338"/>
      <c r="AD2586" s="338"/>
    </row>
    <row r="2587" spans="1:30">
      <c r="A2587" s="338"/>
      <c r="B2587" s="338"/>
      <c r="D2587" s="338"/>
      <c r="E2587" s="338"/>
      <c r="H2587" s="338"/>
      <c r="I2587" s="338"/>
      <c r="J2587" s="338"/>
      <c r="K2587" s="338"/>
      <c r="L2587" s="338"/>
      <c r="M2587" s="338"/>
      <c r="N2587" s="338"/>
      <c r="Q2587" s="338"/>
      <c r="R2587" s="338"/>
      <c r="S2587" s="338"/>
      <c r="T2587" s="338"/>
      <c r="U2587" s="338"/>
      <c r="X2587" s="338"/>
      <c r="Y2587" s="338"/>
      <c r="Z2587" s="338"/>
      <c r="AA2587" s="338"/>
      <c r="AB2587" s="338"/>
      <c r="AC2587" s="338"/>
      <c r="AD2587" s="338"/>
    </row>
    <row r="2588" spans="1:30">
      <c r="A2588" s="338"/>
      <c r="B2588" s="338"/>
      <c r="D2588" s="338"/>
      <c r="E2588" s="338"/>
      <c r="H2588" s="338"/>
      <c r="I2588" s="338"/>
      <c r="J2588" s="338"/>
      <c r="K2588" s="338"/>
      <c r="L2588" s="338"/>
      <c r="M2588" s="338"/>
      <c r="N2588" s="338"/>
      <c r="Q2588" s="338"/>
      <c r="R2588" s="338"/>
      <c r="S2588" s="338"/>
      <c r="T2588" s="338"/>
      <c r="U2588" s="338"/>
      <c r="X2588" s="338"/>
      <c r="Y2588" s="338"/>
      <c r="Z2588" s="338"/>
      <c r="AA2588" s="338"/>
      <c r="AB2588" s="338"/>
      <c r="AC2588" s="338"/>
      <c r="AD2588" s="338"/>
    </row>
    <row r="2589" spans="1:30">
      <c r="A2589" s="338"/>
      <c r="B2589" s="338"/>
      <c r="D2589" s="338"/>
      <c r="E2589" s="338"/>
      <c r="H2589" s="338"/>
      <c r="I2589" s="338"/>
      <c r="J2589" s="338"/>
      <c r="K2589" s="338"/>
      <c r="L2589" s="338"/>
      <c r="M2589" s="338"/>
      <c r="N2589" s="338"/>
      <c r="Q2589" s="338"/>
      <c r="R2589" s="338"/>
      <c r="S2589" s="338"/>
      <c r="T2589" s="338"/>
      <c r="U2589" s="338"/>
      <c r="X2589" s="338"/>
      <c r="Y2589" s="338"/>
      <c r="Z2589" s="338"/>
      <c r="AA2589" s="338"/>
      <c r="AB2589" s="338"/>
      <c r="AC2589" s="338"/>
      <c r="AD2589" s="338"/>
    </row>
    <row r="2590" spans="1:30">
      <c r="A2590" s="338"/>
      <c r="B2590" s="338"/>
      <c r="D2590" s="338"/>
      <c r="E2590" s="338"/>
      <c r="H2590" s="338"/>
      <c r="I2590" s="338"/>
      <c r="J2590" s="338"/>
      <c r="K2590" s="338"/>
      <c r="L2590" s="338"/>
      <c r="M2590" s="338"/>
      <c r="N2590" s="338"/>
      <c r="Q2590" s="338"/>
      <c r="R2590" s="338"/>
      <c r="S2590" s="338"/>
      <c r="T2590" s="338"/>
      <c r="U2590" s="338"/>
      <c r="X2590" s="338"/>
      <c r="Y2590" s="338"/>
      <c r="Z2590" s="338"/>
      <c r="AA2590" s="338"/>
      <c r="AB2590" s="338"/>
      <c r="AC2590" s="338"/>
      <c r="AD2590" s="338"/>
    </row>
    <row r="2591" spans="1:30">
      <c r="A2591" s="338"/>
      <c r="B2591" s="338"/>
      <c r="D2591" s="338"/>
      <c r="E2591" s="338"/>
      <c r="H2591" s="338"/>
      <c r="I2591" s="338"/>
      <c r="J2591" s="338"/>
      <c r="K2591" s="338"/>
      <c r="L2591" s="338"/>
      <c r="M2591" s="338"/>
      <c r="N2591" s="338"/>
      <c r="Q2591" s="338"/>
      <c r="R2591" s="338"/>
      <c r="S2591" s="338"/>
      <c r="T2591" s="338"/>
      <c r="U2591" s="338"/>
      <c r="X2591" s="338"/>
      <c r="Y2591" s="338"/>
      <c r="Z2591" s="338"/>
      <c r="AA2591" s="338"/>
      <c r="AB2591" s="338"/>
      <c r="AC2591" s="338"/>
      <c r="AD2591" s="338"/>
    </row>
    <row r="2592" spans="1:30">
      <c r="A2592" s="338"/>
      <c r="B2592" s="338"/>
      <c r="D2592" s="338"/>
      <c r="E2592" s="338"/>
      <c r="H2592" s="338"/>
      <c r="I2592" s="338"/>
      <c r="J2592" s="338"/>
      <c r="K2592" s="338"/>
      <c r="L2592" s="338"/>
      <c r="M2592" s="338"/>
      <c r="N2592" s="338"/>
      <c r="Q2592" s="338"/>
      <c r="R2592" s="338"/>
      <c r="S2592" s="338"/>
      <c r="T2592" s="338"/>
      <c r="U2592" s="338"/>
      <c r="X2592" s="338"/>
      <c r="Y2592" s="338"/>
      <c r="Z2592" s="338"/>
      <c r="AA2592" s="338"/>
      <c r="AB2592" s="338"/>
      <c r="AC2592" s="338"/>
      <c r="AD2592" s="338"/>
    </row>
    <row r="2593" spans="1:30">
      <c r="A2593" s="338"/>
      <c r="B2593" s="338"/>
      <c r="D2593" s="338"/>
      <c r="E2593" s="338"/>
      <c r="H2593" s="338"/>
      <c r="I2593" s="338"/>
      <c r="J2593" s="338"/>
      <c r="K2593" s="338"/>
      <c r="L2593" s="338"/>
      <c r="M2593" s="338"/>
      <c r="N2593" s="338"/>
      <c r="Q2593" s="338"/>
      <c r="R2593" s="338"/>
      <c r="S2593" s="338"/>
      <c r="T2593" s="338"/>
      <c r="U2593" s="338"/>
      <c r="X2593" s="338"/>
      <c r="Y2593" s="338"/>
      <c r="Z2593" s="338"/>
      <c r="AA2593" s="338"/>
      <c r="AB2593" s="338"/>
      <c r="AC2593" s="338"/>
      <c r="AD2593" s="338"/>
    </row>
    <row r="2594" spans="1:30">
      <c r="A2594" s="338"/>
      <c r="B2594" s="338"/>
      <c r="D2594" s="338"/>
      <c r="E2594" s="338"/>
      <c r="H2594" s="338"/>
      <c r="I2594" s="338"/>
      <c r="J2594" s="338"/>
      <c r="K2594" s="338"/>
      <c r="L2594" s="338"/>
      <c r="M2594" s="338"/>
      <c r="N2594" s="338"/>
      <c r="Q2594" s="338"/>
      <c r="R2594" s="338"/>
      <c r="S2594" s="338"/>
      <c r="T2594" s="338"/>
      <c r="U2594" s="338"/>
      <c r="X2594" s="338"/>
      <c r="Y2594" s="338"/>
      <c r="Z2594" s="338"/>
      <c r="AA2594" s="338"/>
      <c r="AB2594" s="338"/>
      <c r="AC2594" s="338"/>
      <c r="AD2594" s="338"/>
    </row>
    <row r="2595" spans="1:30">
      <c r="A2595" s="338"/>
      <c r="B2595" s="338"/>
      <c r="D2595" s="338"/>
      <c r="E2595" s="338"/>
      <c r="H2595" s="338"/>
      <c r="I2595" s="338"/>
      <c r="J2595" s="338"/>
      <c r="K2595" s="338"/>
      <c r="L2595" s="338"/>
      <c r="M2595" s="338"/>
      <c r="N2595" s="338"/>
      <c r="Q2595" s="338"/>
      <c r="R2595" s="338"/>
      <c r="S2595" s="338"/>
      <c r="T2595" s="338"/>
      <c r="U2595" s="338"/>
      <c r="X2595" s="338"/>
      <c r="Y2595" s="338"/>
      <c r="Z2595" s="338"/>
      <c r="AA2595" s="338"/>
      <c r="AB2595" s="338"/>
      <c r="AC2595" s="338"/>
      <c r="AD2595" s="338"/>
    </row>
    <row r="2596" spans="1:30">
      <c r="A2596" s="338"/>
      <c r="B2596" s="338"/>
      <c r="D2596" s="338"/>
      <c r="E2596" s="338"/>
      <c r="H2596" s="338"/>
      <c r="I2596" s="338"/>
      <c r="J2596" s="338"/>
      <c r="K2596" s="338"/>
      <c r="L2596" s="338"/>
      <c r="M2596" s="338"/>
      <c r="N2596" s="338"/>
      <c r="Q2596" s="338"/>
      <c r="R2596" s="338"/>
      <c r="S2596" s="338"/>
      <c r="T2596" s="338"/>
      <c r="U2596" s="338"/>
      <c r="X2596" s="338"/>
      <c r="Y2596" s="338"/>
      <c r="Z2596" s="338"/>
      <c r="AA2596" s="338"/>
      <c r="AB2596" s="338"/>
      <c r="AC2596" s="338"/>
      <c r="AD2596" s="338"/>
    </row>
    <row r="2597" spans="1:30">
      <c r="A2597" s="338"/>
      <c r="B2597" s="338"/>
      <c r="D2597" s="338"/>
      <c r="E2597" s="338"/>
      <c r="H2597" s="338"/>
      <c r="I2597" s="338"/>
      <c r="J2597" s="338"/>
      <c r="K2597" s="338"/>
      <c r="L2597" s="338"/>
      <c r="M2597" s="338"/>
      <c r="N2597" s="338"/>
      <c r="Q2597" s="338"/>
      <c r="R2597" s="338"/>
      <c r="S2597" s="338"/>
      <c r="T2597" s="338"/>
      <c r="U2597" s="338"/>
      <c r="X2597" s="338"/>
      <c r="Y2597" s="338"/>
      <c r="Z2597" s="338"/>
      <c r="AA2597" s="338"/>
      <c r="AB2597" s="338"/>
      <c r="AC2597" s="338"/>
      <c r="AD2597" s="338"/>
    </row>
    <row r="2598" spans="1:30">
      <c r="A2598" s="338"/>
      <c r="B2598" s="338"/>
      <c r="D2598" s="338"/>
      <c r="E2598" s="338"/>
      <c r="H2598" s="338"/>
      <c r="I2598" s="338"/>
      <c r="J2598" s="338"/>
      <c r="K2598" s="338"/>
      <c r="L2598" s="338"/>
      <c r="M2598" s="338"/>
      <c r="N2598" s="338"/>
      <c r="Q2598" s="338"/>
      <c r="R2598" s="338"/>
      <c r="S2598" s="338"/>
      <c r="T2598" s="338"/>
      <c r="U2598" s="338"/>
      <c r="X2598" s="338"/>
      <c r="Y2598" s="338"/>
      <c r="Z2598" s="338"/>
      <c r="AA2598" s="338"/>
      <c r="AB2598" s="338"/>
      <c r="AC2598" s="338"/>
      <c r="AD2598" s="338"/>
    </row>
    <row r="2599" spans="1:30">
      <c r="A2599" s="338"/>
      <c r="B2599" s="338"/>
      <c r="D2599" s="338"/>
      <c r="E2599" s="338"/>
      <c r="H2599" s="338"/>
      <c r="I2599" s="338"/>
      <c r="J2599" s="338"/>
      <c r="K2599" s="338"/>
      <c r="L2599" s="338"/>
      <c r="M2599" s="338"/>
      <c r="N2599" s="338"/>
      <c r="Q2599" s="338"/>
      <c r="R2599" s="338"/>
      <c r="S2599" s="338"/>
      <c r="T2599" s="338"/>
      <c r="U2599" s="338"/>
      <c r="X2599" s="338"/>
      <c r="Y2599" s="338"/>
      <c r="Z2599" s="338"/>
      <c r="AA2599" s="338"/>
      <c r="AB2599" s="338"/>
      <c r="AC2599" s="338"/>
      <c r="AD2599" s="338"/>
    </row>
    <row r="2600" spans="1:30">
      <c r="A2600" s="338"/>
      <c r="B2600" s="338"/>
      <c r="D2600" s="338"/>
      <c r="E2600" s="338"/>
      <c r="H2600" s="338"/>
      <c r="I2600" s="338"/>
      <c r="J2600" s="338"/>
      <c r="K2600" s="338"/>
      <c r="L2600" s="338"/>
      <c r="M2600" s="338"/>
      <c r="N2600" s="338"/>
      <c r="Q2600" s="338"/>
      <c r="R2600" s="338"/>
      <c r="S2600" s="338"/>
      <c r="T2600" s="338"/>
      <c r="U2600" s="338"/>
      <c r="X2600" s="338"/>
      <c r="Y2600" s="338"/>
      <c r="Z2600" s="338"/>
      <c r="AA2600" s="338"/>
      <c r="AB2600" s="338"/>
      <c r="AC2600" s="338"/>
      <c r="AD2600" s="338"/>
    </row>
    <row r="2601" spans="1:30">
      <c r="A2601" s="338"/>
      <c r="B2601" s="338"/>
      <c r="D2601" s="338"/>
      <c r="E2601" s="338"/>
      <c r="H2601" s="338"/>
      <c r="I2601" s="338"/>
      <c r="J2601" s="338"/>
      <c r="K2601" s="338"/>
      <c r="L2601" s="338"/>
      <c r="M2601" s="338"/>
      <c r="N2601" s="338"/>
      <c r="Q2601" s="338"/>
      <c r="R2601" s="338"/>
      <c r="S2601" s="338"/>
      <c r="T2601" s="338"/>
      <c r="U2601" s="338"/>
      <c r="X2601" s="338"/>
      <c r="Y2601" s="338"/>
      <c r="Z2601" s="338"/>
      <c r="AA2601" s="338"/>
      <c r="AB2601" s="338"/>
      <c r="AC2601" s="338"/>
      <c r="AD2601" s="338"/>
    </row>
    <row r="2602" spans="1:30">
      <c r="A2602" s="338"/>
      <c r="B2602" s="338"/>
      <c r="D2602" s="338"/>
      <c r="E2602" s="338"/>
      <c r="H2602" s="338"/>
      <c r="I2602" s="338"/>
      <c r="J2602" s="338"/>
      <c r="K2602" s="338"/>
      <c r="L2602" s="338"/>
      <c r="M2602" s="338"/>
      <c r="N2602" s="338"/>
      <c r="Q2602" s="338"/>
      <c r="R2602" s="338"/>
      <c r="S2602" s="338"/>
      <c r="T2602" s="338"/>
      <c r="U2602" s="338"/>
      <c r="X2602" s="338"/>
      <c r="Y2602" s="338"/>
      <c r="Z2602" s="338"/>
      <c r="AA2602" s="338"/>
      <c r="AB2602" s="338"/>
      <c r="AC2602" s="338"/>
      <c r="AD2602" s="338"/>
    </row>
    <row r="2603" spans="1:30">
      <c r="A2603" s="338"/>
      <c r="B2603" s="338"/>
      <c r="D2603" s="338"/>
      <c r="E2603" s="338"/>
      <c r="H2603" s="338"/>
      <c r="I2603" s="338"/>
      <c r="J2603" s="338"/>
      <c r="K2603" s="338"/>
      <c r="L2603" s="338"/>
      <c r="M2603" s="338"/>
      <c r="N2603" s="338"/>
      <c r="Q2603" s="338"/>
      <c r="R2603" s="338"/>
      <c r="S2603" s="338"/>
      <c r="T2603" s="338"/>
      <c r="U2603" s="338"/>
      <c r="X2603" s="338"/>
      <c r="Y2603" s="338"/>
      <c r="Z2603" s="338"/>
      <c r="AA2603" s="338"/>
      <c r="AB2603" s="338"/>
      <c r="AC2603" s="338"/>
      <c r="AD2603" s="338"/>
    </row>
    <row r="2604" spans="1:30">
      <c r="A2604" s="338"/>
      <c r="B2604" s="338"/>
      <c r="D2604" s="338"/>
      <c r="E2604" s="338"/>
      <c r="H2604" s="338"/>
      <c r="I2604" s="338"/>
      <c r="J2604" s="338"/>
      <c r="K2604" s="338"/>
      <c r="L2604" s="338"/>
      <c r="M2604" s="338"/>
      <c r="N2604" s="338"/>
      <c r="Q2604" s="338"/>
      <c r="R2604" s="338"/>
      <c r="S2604" s="338"/>
      <c r="T2604" s="338"/>
      <c r="U2604" s="338"/>
      <c r="X2604" s="338"/>
      <c r="Y2604" s="338"/>
      <c r="Z2604" s="338"/>
      <c r="AA2604" s="338"/>
      <c r="AB2604" s="338"/>
      <c r="AC2604" s="338"/>
      <c r="AD2604" s="338"/>
    </row>
    <row r="2605" spans="1:30">
      <c r="A2605" s="338"/>
      <c r="B2605" s="338"/>
      <c r="D2605" s="338"/>
      <c r="E2605" s="338"/>
      <c r="H2605" s="338"/>
      <c r="I2605" s="338"/>
      <c r="J2605" s="338"/>
      <c r="K2605" s="338"/>
      <c r="L2605" s="338"/>
      <c r="M2605" s="338"/>
      <c r="N2605" s="338"/>
      <c r="Q2605" s="338"/>
      <c r="R2605" s="338"/>
      <c r="S2605" s="338"/>
      <c r="T2605" s="338"/>
      <c r="U2605" s="338"/>
      <c r="X2605" s="338"/>
      <c r="Y2605" s="338"/>
      <c r="Z2605" s="338"/>
      <c r="AA2605" s="338"/>
      <c r="AB2605" s="338"/>
      <c r="AC2605" s="338"/>
      <c r="AD2605" s="338"/>
    </row>
    <row r="2606" spans="1:30">
      <c r="A2606" s="338"/>
      <c r="B2606" s="338"/>
      <c r="D2606" s="338"/>
      <c r="E2606" s="338"/>
      <c r="H2606" s="338"/>
      <c r="I2606" s="338"/>
      <c r="J2606" s="338"/>
      <c r="K2606" s="338"/>
      <c r="L2606" s="338"/>
      <c r="M2606" s="338"/>
      <c r="N2606" s="338"/>
      <c r="Q2606" s="338"/>
      <c r="R2606" s="338"/>
      <c r="S2606" s="338"/>
      <c r="T2606" s="338"/>
      <c r="U2606" s="338"/>
      <c r="X2606" s="338"/>
      <c r="Y2606" s="338"/>
      <c r="Z2606" s="338"/>
      <c r="AA2606" s="338"/>
      <c r="AB2606" s="338"/>
      <c r="AC2606" s="338"/>
      <c r="AD2606" s="338"/>
    </row>
    <row r="2607" spans="1:30">
      <c r="A2607" s="338"/>
      <c r="B2607" s="338"/>
      <c r="D2607" s="338"/>
      <c r="E2607" s="338"/>
      <c r="H2607" s="338"/>
      <c r="I2607" s="338"/>
      <c r="J2607" s="338"/>
      <c r="K2607" s="338"/>
      <c r="L2607" s="338"/>
      <c r="M2607" s="338"/>
      <c r="N2607" s="338"/>
      <c r="Q2607" s="338"/>
      <c r="R2607" s="338"/>
      <c r="S2607" s="338"/>
      <c r="T2607" s="338"/>
      <c r="U2607" s="338"/>
      <c r="X2607" s="338"/>
      <c r="Y2607" s="338"/>
      <c r="Z2607" s="338"/>
      <c r="AA2607" s="338"/>
      <c r="AB2607" s="338"/>
      <c r="AC2607" s="338"/>
      <c r="AD2607" s="338"/>
    </row>
    <row r="2608" spans="1:30">
      <c r="A2608" s="338"/>
      <c r="B2608" s="338"/>
      <c r="D2608" s="338"/>
      <c r="E2608" s="338"/>
      <c r="H2608" s="338"/>
      <c r="I2608" s="338"/>
      <c r="J2608" s="338"/>
      <c r="K2608" s="338"/>
      <c r="L2608" s="338"/>
      <c r="M2608" s="338"/>
      <c r="N2608" s="338"/>
      <c r="Q2608" s="338"/>
      <c r="R2608" s="338"/>
      <c r="S2608" s="338"/>
      <c r="T2608" s="338"/>
      <c r="U2608" s="338"/>
      <c r="X2608" s="338"/>
      <c r="Y2608" s="338"/>
      <c r="Z2608" s="338"/>
      <c r="AA2608" s="338"/>
      <c r="AB2608" s="338"/>
      <c r="AC2608" s="338"/>
      <c r="AD2608" s="338"/>
    </row>
    <row r="2609" spans="1:30">
      <c r="A2609" s="338"/>
      <c r="B2609" s="338"/>
      <c r="D2609" s="338"/>
      <c r="E2609" s="338"/>
      <c r="H2609" s="338"/>
      <c r="I2609" s="338"/>
      <c r="J2609" s="338"/>
      <c r="K2609" s="338"/>
      <c r="L2609" s="338"/>
      <c r="M2609" s="338"/>
      <c r="N2609" s="338"/>
      <c r="Q2609" s="338"/>
      <c r="R2609" s="338"/>
      <c r="S2609" s="338"/>
      <c r="T2609" s="338"/>
      <c r="U2609" s="338"/>
      <c r="X2609" s="338"/>
      <c r="Y2609" s="338"/>
      <c r="Z2609" s="338"/>
      <c r="AA2609" s="338"/>
      <c r="AB2609" s="338"/>
      <c r="AC2609" s="338"/>
      <c r="AD2609" s="338"/>
    </row>
    <row r="2610" spans="1:30">
      <c r="A2610" s="338"/>
      <c r="B2610" s="338"/>
      <c r="D2610" s="338"/>
      <c r="E2610" s="338"/>
      <c r="H2610" s="338"/>
      <c r="I2610" s="338"/>
      <c r="J2610" s="338"/>
      <c r="K2610" s="338"/>
      <c r="L2610" s="338"/>
      <c r="M2610" s="338"/>
      <c r="N2610" s="338"/>
      <c r="Q2610" s="338"/>
      <c r="R2610" s="338"/>
      <c r="S2610" s="338"/>
      <c r="T2610" s="338"/>
      <c r="U2610" s="338"/>
      <c r="X2610" s="338"/>
      <c r="Y2610" s="338"/>
      <c r="Z2610" s="338"/>
      <c r="AA2610" s="338"/>
      <c r="AB2610" s="338"/>
      <c r="AC2610" s="338"/>
      <c r="AD2610" s="338"/>
    </row>
    <row r="2611" spans="1:30">
      <c r="A2611" s="338"/>
      <c r="B2611" s="338"/>
      <c r="D2611" s="338"/>
      <c r="E2611" s="338"/>
      <c r="H2611" s="338"/>
      <c r="I2611" s="338"/>
      <c r="J2611" s="338"/>
      <c r="K2611" s="338"/>
      <c r="L2611" s="338"/>
      <c r="M2611" s="338"/>
      <c r="N2611" s="338"/>
      <c r="Q2611" s="338"/>
      <c r="R2611" s="338"/>
      <c r="S2611" s="338"/>
      <c r="T2611" s="338"/>
      <c r="U2611" s="338"/>
      <c r="X2611" s="338"/>
      <c r="Y2611" s="338"/>
      <c r="Z2611" s="338"/>
      <c r="AA2611" s="338"/>
      <c r="AB2611" s="338"/>
      <c r="AC2611" s="338"/>
      <c r="AD2611" s="338"/>
    </row>
    <row r="2612" spans="1:30">
      <c r="A2612" s="338"/>
      <c r="B2612" s="338"/>
      <c r="D2612" s="338"/>
      <c r="E2612" s="338"/>
      <c r="H2612" s="338"/>
      <c r="I2612" s="338"/>
      <c r="J2612" s="338"/>
      <c r="K2612" s="338"/>
      <c r="L2612" s="338"/>
      <c r="M2612" s="338"/>
      <c r="N2612" s="338"/>
      <c r="Q2612" s="338"/>
      <c r="R2612" s="338"/>
      <c r="S2612" s="338"/>
      <c r="T2612" s="338"/>
      <c r="U2612" s="338"/>
      <c r="X2612" s="338"/>
      <c r="Y2612" s="338"/>
      <c r="Z2612" s="338"/>
      <c r="AA2612" s="338"/>
      <c r="AB2612" s="338"/>
      <c r="AC2612" s="338"/>
      <c r="AD2612" s="338"/>
    </row>
    <row r="2613" spans="1:30">
      <c r="A2613" s="338"/>
      <c r="B2613" s="338"/>
      <c r="D2613" s="338"/>
      <c r="E2613" s="338"/>
      <c r="H2613" s="338"/>
      <c r="I2613" s="338"/>
      <c r="J2613" s="338"/>
      <c r="K2613" s="338"/>
      <c r="L2613" s="338"/>
      <c r="M2613" s="338"/>
      <c r="N2613" s="338"/>
      <c r="Q2613" s="338"/>
      <c r="R2613" s="338"/>
      <c r="S2613" s="338"/>
      <c r="T2613" s="338"/>
      <c r="U2613" s="338"/>
      <c r="X2613" s="338"/>
      <c r="Y2613" s="338"/>
      <c r="Z2613" s="338"/>
      <c r="AA2613" s="338"/>
      <c r="AB2613" s="338"/>
      <c r="AC2613" s="338"/>
      <c r="AD2613" s="338"/>
    </row>
    <row r="2614" spans="1:30">
      <c r="A2614" s="338"/>
      <c r="B2614" s="338"/>
      <c r="D2614" s="338"/>
      <c r="E2614" s="338"/>
      <c r="H2614" s="338"/>
      <c r="I2614" s="338"/>
      <c r="J2614" s="338"/>
      <c r="K2614" s="338"/>
      <c r="L2614" s="338"/>
      <c r="M2614" s="338"/>
      <c r="N2614" s="338"/>
      <c r="Q2614" s="338"/>
      <c r="R2614" s="338"/>
      <c r="S2614" s="338"/>
      <c r="T2614" s="338"/>
      <c r="U2614" s="338"/>
      <c r="X2614" s="338"/>
      <c r="Y2614" s="338"/>
      <c r="Z2614" s="338"/>
      <c r="AA2614" s="338"/>
      <c r="AB2614" s="338"/>
      <c r="AC2614" s="338"/>
      <c r="AD2614" s="338"/>
    </row>
    <row r="2615" spans="1:30">
      <c r="A2615" s="338"/>
      <c r="B2615" s="338"/>
      <c r="D2615" s="338"/>
      <c r="E2615" s="338"/>
      <c r="H2615" s="338"/>
      <c r="I2615" s="338"/>
      <c r="J2615" s="338"/>
      <c r="K2615" s="338"/>
      <c r="L2615" s="338"/>
      <c r="M2615" s="338"/>
      <c r="N2615" s="338"/>
      <c r="Q2615" s="338"/>
      <c r="R2615" s="338"/>
      <c r="S2615" s="338"/>
      <c r="T2615" s="338"/>
      <c r="U2615" s="338"/>
      <c r="X2615" s="338"/>
      <c r="Y2615" s="338"/>
      <c r="Z2615" s="338"/>
      <c r="AA2615" s="338"/>
      <c r="AB2615" s="338"/>
      <c r="AC2615" s="338"/>
      <c r="AD2615" s="338"/>
    </row>
    <row r="2616" spans="1:30">
      <c r="A2616" s="338"/>
      <c r="B2616" s="338"/>
      <c r="D2616" s="338"/>
      <c r="E2616" s="338"/>
      <c r="H2616" s="338"/>
      <c r="I2616" s="338"/>
      <c r="J2616" s="338"/>
      <c r="K2616" s="338"/>
      <c r="L2616" s="338"/>
      <c r="M2616" s="338"/>
      <c r="N2616" s="338"/>
      <c r="Q2616" s="338"/>
      <c r="R2616" s="338"/>
      <c r="S2616" s="338"/>
      <c r="T2616" s="338"/>
      <c r="U2616" s="338"/>
      <c r="X2616" s="338"/>
      <c r="Y2616" s="338"/>
      <c r="Z2616" s="338"/>
      <c r="AA2616" s="338"/>
      <c r="AB2616" s="338"/>
      <c r="AC2616" s="338"/>
      <c r="AD2616" s="338"/>
    </row>
    <row r="2617" spans="1:30">
      <c r="A2617" s="338"/>
      <c r="B2617" s="338"/>
      <c r="D2617" s="338"/>
      <c r="E2617" s="338"/>
      <c r="H2617" s="338"/>
      <c r="I2617" s="338"/>
      <c r="J2617" s="338"/>
      <c r="K2617" s="338"/>
      <c r="L2617" s="338"/>
      <c r="M2617" s="338"/>
      <c r="N2617" s="338"/>
      <c r="Q2617" s="338"/>
      <c r="R2617" s="338"/>
      <c r="S2617" s="338"/>
      <c r="T2617" s="338"/>
      <c r="U2617" s="338"/>
      <c r="X2617" s="338"/>
      <c r="Y2617" s="338"/>
      <c r="Z2617" s="338"/>
      <c r="AA2617" s="338"/>
      <c r="AB2617" s="338"/>
      <c r="AC2617" s="338"/>
      <c r="AD2617" s="338"/>
    </row>
    <row r="2618" spans="1:30">
      <c r="A2618" s="338"/>
      <c r="B2618" s="338"/>
      <c r="D2618" s="338"/>
      <c r="E2618" s="338"/>
      <c r="H2618" s="338"/>
      <c r="I2618" s="338"/>
      <c r="J2618" s="338"/>
      <c r="K2618" s="338"/>
      <c r="L2618" s="338"/>
      <c r="M2618" s="338"/>
      <c r="N2618" s="338"/>
      <c r="Q2618" s="338"/>
      <c r="R2618" s="338"/>
      <c r="S2618" s="338"/>
      <c r="T2618" s="338"/>
      <c r="U2618" s="338"/>
      <c r="X2618" s="338"/>
      <c r="Y2618" s="338"/>
      <c r="Z2618" s="338"/>
      <c r="AA2618" s="338"/>
      <c r="AB2618" s="338"/>
      <c r="AC2618" s="338"/>
      <c r="AD2618" s="338"/>
    </row>
    <row r="2619" spans="1:30">
      <c r="A2619" s="338"/>
      <c r="B2619" s="338"/>
      <c r="D2619" s="338"/>
      <c r="E2619" s="338"/>
      <c r="H2619" s="338"/>
      <c r="I2619" s="338"/>
      <c r="J2619" s="338"/>
      <c r="K2619" s="338"/>
      <c r="L2619" s="338"/>
      <c r="M2619" s="338"/>
      <c r="N2619" s="338"/>
      <c r="Q2619" s="338"/>
      <c r="R2619" s="338"/>
      <c r="S2619" s="338"/>
      <c r="T2619" s="338"/>
      <c r="U2619" s="338"/>
      <c r="X2619" s="338"/>
      <c r="Y2619" s="338"/>
      <c r="Z2619" s="338"/>
      <c r="AA2619" s="338"/>
      <c r="AB2619" s="338"/>
      <c r="AC2619" s="338"/>
      <c r="AD2619" s="338"/>
    </row>
    <row r="2620" spans="1:30">
      <c r="A2620" s="338"/>
      <c r="B2620" s="338"/>
      <c r="D2620" s="338"/>
      <c r="E2620" s="338"/>
      <c r="H2620" s="338"/>
      <c r="I2620" s="338"/>
      <c r="J2620" s="338"/>
      <c r="K2620" s="338"/>
      <c r="L2620" s="338"/>
      <c r="M2620" s="338"/>
      <c r="N2620" s="338"/>
      <c r="Q2620" s="338"/>
      <c r="R2620" s="338"/>
      <c r="S2620" s="338"/>
      <c r="T2620" s="338"/>
      <c r="U2620" s="338"/>
      <c r="X2620" s="338"/>
      <c r="Y2620" s="338"/>
      <c r="Z2620" s="338"/>
      <c r="AA2620" s="338"/>
      <c r="AB2620" s="338"/>
      <c r="AC2620" s="338"/>
      <c r="AD2620" s="338"/>
    </row>
    <row r="2621" spans="1:30">
      <c r="A2621" s="338"/>
      <c r="B2621" s="338"/>
      <c r="D2621" s="338"/>
      <c r="E2621" s="338"/>
      <c r="H2621" s="338"/>
      <c r="I2621" s="338"/>
      <c r="J2621" s="338"/>
      <c r="K2621" s="338"/>
      <c r="L2621" s="338"/>
      <c r="M2621" s="338"/>
      <c r="N2621" s="338"/>
      <c r="Q2621" s="338"/>
      <c r="R2621" s="338"/>
      <c r="S2621" s="338"/>
      <c r="T2621" s="338"/>
      <c r="U2621" s="338"/>
      <c r="X2621" s="338"/>
      <c r="Y2621" s="338"/>
      <c r="Z2621" s="338"/>
      <c r="AA2621" s="338"/>
      <c r="AB2621" s="338"/>
      <c r="AC2621" s="338"/>
      <c r="AD2621" s="338"/>
    </row>
    <row r="2622" spans="1:30">
      <c r="A2622" s="338"/>
      <c r="B2622" s="338"/>
      <c r="D2622" s="338"/>
      <c r="E2622" s="338"/>
      <c r="H2622" s="338"/>
      <c r="I2622" s="338"/>
      <c r="J2622" s="338"/>
      <c r="K2622" s="338"/>
      <c r="L2622" s="338"/>
      <c r="M2622" s="338"/>
      <c r="N2622" s="338"/>
      <c r="Q2622" s="338"/>
      <c r="R2622" s="338"/>
      <c r="S2622" s="338"/>
      <c r="T2622" s="338"/>
      <c r="U2622" s="338"/>
      <c r="X2622" s="338"/>
      <c r="Y2622" s="338"/>
      <c r="Z2622" s="338"/>
      <c r="AA2622" s="338"/>
      <c r="AB2622" s="338"/>
      <c r="AC2622" s="338"/>
      <c r="AD2622" s="338"/>
    </row>
    <row r="2623" spans="1:30">
      <c r="A2623" s="338"/>
      <c r="B2623" s="338"/>
      <c r="D2623" s="338"/>
      <c r="E2623" s="338"/>
      <c r="H2623" s="338"/>
      <c r="I2623" s="338"/>
      <c r="J2623" s="338"/>
      <c r="K2623" s="338"/>
      <c r="L2623" s="338"/>
      <c r="M2623" s="338"/>
      <c r="N2623" s="338"/>
      <c r="Q2623" s="338"/>
      <c r="R2623" s="338"/>
      <c r="S2623" s="338"/>
      <c r="T2623" s="338"/>
      <c r="U2623" s="338"/>
      <c r="X2623" s="338"/>
      <c r="Y2623" s="338"/>
      <c r="Z2623" s="338"/>
      <c r="AA2623" s="338"/>
      <c r="AB2623" s="338"/>
      <c r="AC2623" s="338"/>
      <c r="AD2623" s="338"/>
    </row>
    <row r="2624" spans="1:30">
      <c r="A2624" s="338"/>
      <c r="B2624" s="338"/>
      <c r="D2624" s="338"/>
      <c r="E2624" s="338"/>
      <c r="H2624" s="338"/>
      <c r="I2624" s="338"/>
      <c r="J2624" s="338"/>
      <c r="K2624" s="338"/>
      <c r="L2624" s="338"/>
      <c r="M2624" s="338"/>
      <c r="N2624" s="338"/>
      <c r="Q2624" s="338"/>
      <c r="R2624" s="338"/>
      <c r="S2624" s="338"/>
      <c r="T2624" s="338"/>
      <c r="U2624" s="338"/>
      <c r="X2624" s="338"/>
      <c r="Y2624" s="338"/>
      <c r="Z2624" s="338"/>
      <c r="AA2624" s="338"/>
      <c r="AB2624" s="338"/>
      <c r="AC2624" s="338"/>
      <c r="AD2624" s="338"/>
    </row>
    <row r="2625" spans="1:30">
      <c r="A2625" s="338"/>
      <c r="B2625" s="338"/>
      <c r="D2625" s="338"/>
      <c r="E2625" s="338"/>
      <c r="H2625" s="338"/>
      <c r="I2625" s="338"/>
      <c r="J2625" s="338"/>
      <c r="K2625" s="338"/>
      <c r="L2625" s="338"/>
      <c r="M2625" s="338"/>
      <c r="N2625" s="338"/>
      <c r="Q2625" s="338"/>
      <c r="R2625" s="338"/>
      <c r="S2625" s="338"/>
      <c r="T2625" s="338"/>
      <c r="U2625" s="338"/>
      <c r="X2625" s="338"/>
      <c r="Y2625" s="338"/>
      <c r="Z2625" s="338"/>
      <c r="AA2625" s="338"/>
      <c r="AB2625" s="338"/>
      <c r="AC2625" s="338"/>
      <c r="AD2625" s="338"/>
    </row>
    <row r="2626" spans="1:30">
      <c r="A2626" s="338"/>
      <c r="B2626" s="338"/>
      <c r="D2626" s="338"/>
      <c r="E2626" s="338"/>
      <c r="H2626" s="338"/>
      <c r="I2626" s="338"/>
      <c r="J2626" s="338"/>
      <c r="K2626" s="338"/>
      <c r="L2626" s="338"/>
      <c r="M2626" s="338"/>
      <c r="N2626" s="338"/>
      <c r="Q2626" s="338"/>
      <c r="R2626" s="338"/>
      <c r="S2626" s="338"/>
      <c r="T2626" s="338"/>
      <c r="U2626" s="338"/>
      <c r="X2626" s="338"/>
      <c r="Y2626" s="338"/>
      <c r="Z2626" s="338"/>
      <c r="AA2626" s="338"/>
      <c r="AB2626" s="338"/>
      <c r="AC2626" s="338"/>
      <c r="AD2626" s="338"/>
    </row>
    <row r="2627" spans="1:30">
      <c r="A2627" s="338"/>
      <c r="B2627" s="338"/>
      <c r="D2627" s="338"/>
      <c r="E2627" s="338"/>
      <c r="H2627" s="338"/>
      <c r="I2627" s="338"/>
      <c r="J2627" s="338"/>
      <c r="K2627" s="338"/>
      <c r="L2627" s="338"/>
      <c r="M2627" s="338"/>
      <c r="N2627" s="338"/>
      <c r="Q2627" s="338"/>
      <c r="R2627" s="338"/>
      <c r="S2627" s="338"/>
      <c r="T2627" s="338"/>
      <c r="U2627" s="338"/>
      <c r="X2627" s="338"/>
      <c r="Y2627" s="338"/>
      <c r="Z2627" s="338"/>
      <c r="AA2627" s="338"/>
      <c r="AB2627" s="338"/>
      <c r="AC2627" s="338"/>
      <c r="AD2627" s="338"/>
    </row>
    <row r="2628" spans="1:30">
      <c r="A2628" s="338"/>
      <c r="B2628" s="338"/>
      <c r="D2628" s="338"/>
      <c r="E2628" s="338"/>
      <c r="H2628" s="338"/>
      <c r="I2628" s="338"/>
      <c r="J2628" s="338"/>
      <c r="K2628" s="338"/>
      <c r="L2628" s="338"/>
      <c r="M2628" s="338"/>
      <c r="N2628" s="338"/>
      <c r="Q2628" s="338"/>
      <c r="R2628" s="338"/>
      <c r="S2628" s="338"/>
      <c r="T2628" s="338"/>
      <c r="U2628" s="338"/>
      <c r="X2628" s="338"/>
      <c r="Y2628" s="338"/>
      <c r="Z2628" s="338"/>
      <c r="AA2628" s="338"/>
      <c r="AB2628" s="338"/>
      <c r="AC2628" s="338"/>
      <c r="AD2628" s="338"/>
    </row>
    <row r="2629" spans="1:30">
      <c r="A2629" s="338"/>
      <c r="B2629" s="338"/>
      <c r="D2629" s="338"/>
      <c r="E2629" s="338"/>
      <c r="H2629" s="338"/>
      <c r="I2629" s="338"/>
      <c r="J2629" s="338"/>
      <c r="K2629" s="338"/>
      <c r="L2629" s="338"/>
      <c r="M2629" s="338"/>
      <c r="N2629" s="338"/>
      <c r="Q2629" s="338"/>
      <c r="R2629" s="338"/>
      <c r="S2629" s="338"/>
      <c r="T2629" s="338"/>
      <c r="U2629" s="338"/>
      <c r="X2629" s="338"/>
      <c r="Y2629" s="338"/>
      <c r="Z2629" s="338"/>
      <c r="AA2629" s="338"/>
      <c r="AB2629" s="338"/>
      <c r="AC2629" s="338"/>
      <c r="AD2629" s="338"/>
    </row>
    <row r="2630" spans="1:30">
      <c r="A2630" s="338"/>
      <c r="B2630" s="338"/>
      <c r="D2630" s="338"/>
      <c r="E2630" s="338"/>
      <c r="H2630" s="338"/>
      <c r="I2630" s="338"/>
      <c r="J2630" s="338"/>
      <c r="K2630" s="338"/>
      <c r="L2630" s="338"/>
      <c r="M2630" s="338"/>
      <c r="N2630" s="338"/>
      <c r="Q2630" s="338"/>
      <c r="R2630" s="338"/>
      <c r="S2630" s="338"/>
      <c r="T2630" s="338"/>
      <c r="U2630" s="338"/>
      <c r="X2630" s="338"/>
      <c r="Y2630" s="338"/>
      <c r="Z2630" s="338"/>
      <c r="AA2630" s="338"/>
      <c r="AB2630" s="338"/>
      <c r="AC2630" s="338"/>
      <c r="AD2630" s="338"/>
    </row>
    <row r="2631" spans="1:30">
      <c r="A2631" s="338"/>
      <c r="B2631" s="338"/>
      <c r="D2631" s="338"/>
      <c r="E2631" s="338"/>
      <c r="H2631" s="338"/>
      <c r="I2631" s="338"/>
      <c r="J2631" s="338"/>
      <c r="K2631" s="338"/>
      <c r="L2631" s="338"/>
      <c r="M2631" s="338"/>
      <c r="N2631" s="338"/>
      <c r="Q2631" s="338"/>
      <c r="R2631" s="338"/>
      <c r="S2631" s="338"/>
      <c r="T2631" s="338"/>
      <c r="U2631" s="338"/>
      <c r="X2631" s="338"/>
      <c r="Y2631" s="338"/>
      <c r="Z2631" s="338"/>
      <c r="AA2631" s="338"/>
      <c r="AB2631" s="338"/>
      <c r="AC2631" s="338"/>
      <c r="AD2631" s="338"/>
    </row>
    <row r="2632" spans="1:30">
      <c r="A2632" s="338"/>
      <c r="B2632" s="338"/>
      <c r="D2632" s="338"/>
      <c r="E2632" s="338"/>
      <c r="H2632" s="338"/>
      <c r="I2632" s="338"/>
      <c r="J2632" s="338"/>
      <c r="K2632" s="338"/>
      <c r="L2632" s="338"/>
      <c r="M2632" s="338"/>
      <c r="N2632" s="338"/>
      <c r="Q2632" s="338"/>
      <c r="R2632" s="338"/>
      <c r="S2632" s="338"/>
      <c r="T2632" s="338"/>
      <c r="U2632" s="338"/>
      <c r="X2632" s="338"/>
      <c r="Y2632" s="338"/>
      <c r="Z2632" s="338"/>
      <c r="AA2632" s="338"/>
      <c r="AB2632" s="338"/>
      <c r="AC2632" s="338"/>
      <c r="AD2632" s="338"/>
    </row>
    <row r="2633" spans="1:30">
      <c r="A2633" s="338"/>
      <c r="B2633" s="338"/>
      <c r="D2633" s="338"/>
      <c r="E2633" s="338"/>
      <c r="H2633" s="338"/>
      <c r="I2633" s="338"/>
      <c r="J2633" s="338"/>
      <c r="K2633" s="338"/>
      <c r="L2633" s="338"/>
      <c r="M2633" s="338"/>
      <c r="N2633" s="338"/>
      <c r="Q2633" s="338"/>
      <c r="R2633" s="338"/>
      <c r="S2633" s="338"/>
      <c r="T2633" s="338"/>
      <c r="U2633" s="338"/>
      <c r="X2633" s="338"/>
      <c r="Y2633" s="338"/>
      <c r="Z2633" s="338"/>
      <c r="AA2633" s="338"/>
      <c r="AB2633" s="338"/>
      <c r="AC2633" s="338"/>
      <c r="AD2633" s="338"/>
    </row>
    <row r="2634" spans="1:30">
      <c r="A2634" s="338"/>
      <c r="B2634" s="338"/>
      <c r="D2634" s="338"/>
      <c r="E2634" s="338"/>
      <c r="H2634" s="338"/>
      <c r="I2634" s="338"/>
      <c r="J2634" s="338"/>
      <c r="K2634" s="338"/>
      <c r="L2634" s="338"/>
      <c r="M2634" s="338"/>
      <c r="N2634" s="338"/>
      <c r="Q2634" s="338"/>
      <c r="R2634" s="338"/>
      <c r="S2634" s="338"/>
      <c r="T2634" s="338"/>
      <c r="U2634" s="338"/>
      <c r="X2634" s="338"/>
      <c r="Y2634" s="338"/>
      <c r="Z2634" s="338"/>
      <c r="AA2634" s="338"/>
      <c r="AB2634" s="338"/>
      <c r="AC2634" s="338"/>
      <c r="AD2634" s="338"/>
    </row>
    <row r="2635" spans="1:30">
      <c r="A2635" s="338"/>
      <c r="B2635" s="338"/>
      <c r="D2635" s="338"/>
      <c r="E2635" s="338"/>
      <c r="H2635" s="338"/>
      <c r="I2635" s="338"/>
      <c r="J2635" s="338"/>
      <c r="K2635" s="338"/>
      <c r="L2635" s="338"/>
      <c r="M2635" s="338"/>
      <c r="N2635" s="338"/>
      <c r="Q2635" s="338"/>
      <c r="R2635" s="338"/>
      <c r="S2635" s="338"/>
      <c r="T2635" s="338"/>
      <c r="U2635" s="338"/>
      <c r="X2635" s="338"/>
      <c r="Y2635" s="338"/>
      <c r="Z2635" s="338"/>
      <c r="AA2635" s="338"/>
      <c r="AB2635" s="338"/>
      <c r="AC2635" s="338"/>
      <c r="AD2635" s="338"/>
    </row>
    <row r="2636" spans="1:30">
      <c r="A2636" s="338"/>
      <c r="B2636" s="338"/>
      <c r="D2636" s="338"/>
      <c r="E2636" s="338"/>
      <c r="H2636" s="338"/>
      <c r="I2636" s="338"/>
      <c r="J2636" s="338"/>
      <c r="K2636" s="338"/>
      <c r="L2636" s="338"/>
      <c r="M2636" s="338"/>
      <c r="N2636" s="338"/>
      <c r="Q2636" s="338"/>
      <c r="R2636" s="338"/>
      <c r="S2636" s="338"/>
      <c r="T2636" s="338"/>
      <c r="U2636" s="338"/>
      <c r="X2636" s="338"/>
      <c r="Y2636" s="338"/>
      <c r="Z2636" s="338"/>
      <c r="AA2636" s="338"/>
      <c r="AB2636" s="338"/>
      <c r="AC2636" s="338"/>
      <c r="AD2636" s="338"/>
    </row>
    <row r="2637" spans="1:30">
      <c r="A2637" s="338"/>
      <c r="B2637" s="338"/>
      <c r="D2637" s="338"/>
      <c r="E2637" s="338"/>
      <c r="H2637" s="338"/>
      <c r="I2637" s="338"/>
      <c r="J2637" s="338"/>
      <c r="K2637" s="338"/>
      <c r="L2637" s="338"/>
      <c r="M2637" s="338"/>
      <c r="N2637" s="338"/>
      <c r="Q2637" s="338"/>
      <c r="R2637" s="338"/>
      <c r="S2637" s="338"/>
      <c r="T2637" s="338"/>
      <c r="U2637" s="338"/>
      <c r="X2637" s="338"/>
      <c r="Y2637" s="338"/>
      <c r="Z2637" s="338"/>
      <c r="AA2637" s="338"/>
      <c r="AB2637" s="338"/>
      <c r="AC2637" s="338"/>
      <c r="AD2637" s="338"/>
    </row>
    <row r="2638" spans="1:30">
      <c r="A2638"/>
      <c r="B2638"/>
      <c r="C2638"/>
      <c r="D2638"/>
      <c r="E2638"/>
      <c r="F2638"/>
      <c r="G2638"/>
      <c r="H2638"/>
      <c r="I2638"/>
      <c r="J2638"/>
      <c r="K2638"/>
      <c r="L2638"/>
      <c r="M2638"/>
      <c r="N2638"/>
      <c r="O2638"/>
      <c r="P2638"/>
      <c r="Q2638"/>
      <c r="R2638"/>
      <c r="S2638"/>
      <c r="T2638"/>
      <c r="U2638"/>
      <c r="V2638"/>
      <c r="W2638"/>
      <c r="X2638"/>
      <c r="Y2638"/>
      <c r="Z2638"/>
      <c r="AA2638"/>
      <c r="AB2638"/>
      <c r="AC2638"/>
      <c r="AD2638"/>
    </row>
    <row r="2639" spans="1:30">
      <c r="A2639"/>
      <c r="B2639"/>
      <c r="C2639"/>
      <c r="D2639"/>
      <c r="E2639"/>
      <c r="F2639"/>
      <c r="G2639"/>
      <c r="H2639"/>
      <c r="I2639"/>
      <c r="J2639"/>
      <c r="K2639"/>
      <c r="L2639"/>
      <c r="M2639"/>
      <c r="N2639"/>
      <c r="O2639"/>
      <c r="P2639"/>
      <c r="Q2639"/>
      <c r="R2639"/>
      <c r="S2639"/>
      <c r="T2639"/>
      <c r="U2639"/>
      <c r="V2639"/>
      <c r="W2639"/>
      <c r="X2639"/>
      <c r="Y2639"/>
      <c r="Z2639"/>
      <c r="AA2639"/>
      <c r="AB2639"/>
      <c r="AC2639"/>
      <c r="AD2639"/>
    </row>
    <row r="2640" spans="1:30">
      <c r="A2640"/>
      <c r="B2640"/>
      <c r="C2640"/>
      <c r="D2640"/>
      <c r="E2640"/>
      <c r="F2640"/>
      <c r="G2640"/>
      <c r="H2640"/>
      <c r="I2640"/>
      <c r="J2640"/>
      <c r="K2640"/>
      <c r="L2640"/>
      <c r="M2640"/>
      <c r="N2640"/>
      <c r="O2640"/>
      <c r="P2640"/>
      <c r="Q2640"/>
      <c r="R2640"/>
      <c r="S2640"/>
      <c r="T2640"/>
      <c r="U2640"/>
      <c r="V2640"/>
      <c r="W2640"/>
      <c r="X2640"/>
      <c r="Y2640"/>
      <c r="Z2640"/>
      <c r="AA2640"/>
      <c r="AB2640"/>
      <c r="AC2640"/>
      <c r="AD2640"/>
    </row>
    <row r="2641" spans="1:30">
      <c r="A2641"/>
      <c r="B2641"/>
      <c r="C2641"/>
      <c r="D2641"/>
      <c r="E2641"/>
      <c r="F2641"/>
      <c r="G2641"/>
      <c r="H2641"/>
      <c r="I2641"/>
      <c r="J2641"/>
      <c r="K2641"/>
      <c r="L2641"/>
      <c r="M2641"/>
      <c r="N2641"/>
      <c r="O2641"/>
      <c r="P2641"/>
      <c r="Q2641"/>
      <c r="R2641"/>
      <c r="S2641"/>
      <c r="T2641"/>
      <c r="U2641"/>
      <c r="V2641"/>
      <c r="W2641"/>
      <c r="X2641"/>
      <c r="Y2641"/>
      <c r="Z2641"/>
      <c r="AA2641"/>
      <c r="AB2641"/>
      <c r="AC2641"/>
      <c r="AD2641"/>
    </row>
    <row r="2642" spans="1:30">
      <c r="A2642"/>
      <c r="B2642"/>
      <c r="C2642"/>
      <c r="D2642"/>
      <c r="E2642"/>
      <c r="F2642"/>
      <c r="G2642"/>
      <c r="H2642"/>
      <c r="I2642"/>
      <c r="J2642"/>
      <c r="K2642"/>
      <c r="L2642"/>
      <c r="M2642"/>
      <c r="N2642"/>
      <c r="O2642"/>
      <c r="P2642"/>
      <c r="Q2642"/>
      <c r="R2642"/>
      <c r="S2642"/>
      <c r="T2642"/>
      <c r="U2642"/>
      <c r="V2642"/>
      <c r="W2642"/>
      <c r="X2642"/>
      <c r="Y2642"/>
      <c r="Z2642"/>
      <c r="AA2642"/>
      <c r="AB2642"/>
      <c r="AC2642"/>
      <c r="AD2642"/>
    </row>
    <row r="2643" spans="1:30">
      <c r="A2643"/>
      <c r="B2643"/>
      <c r="C2643"/>
      <c r="D2643"/>
      <c r="E2643"/>
      <c r="F2643"/>
      <c r="G2643"/>
      <c r="H2643"/>
      <c r="I2643"/>
      <c r="J2643"/>
      <c r="K2643"/>
      <c r="L2643"/>
      <c r="M2643"/>
      <c r="N2643"/>
      <c r="O2643"/>
      <c r="P2643"/>
      <c r="Q2643"/>
      <c r="R2643"/>
      <c r="S2643"/>
      <c r="T2643"/>
      <c r="U2643"/>
      <c r="V2643"/>
      <c r="W2643"/>
      <c r="X2643"/>
      <c r="Y2643"/>
      <c r="Z2643"/>
      <c r="AA2643"/>
      <c r="AB2643"/>
      <c r="AC2643"/>
      <c r="AD2643"/>
    </row>
    <row r="2644" spans="1:30">
      <c r="A2644"/>
      <c r="B2644"/>
      <c r="C2644"/>
      <c r="D2644"/>
      <c r="E2644"/>
      <c r="F2644"/>
      <c r="G2644"/>
      <c r="H2644"/>
      <c r="I2644"/>
      <c r="J2644"/>
      <c r="K2644"/>
      <c r="L2644"/>
      <c r="M2644"/>
      <c r="N2644"/>
      <c r="O2644"/>
      <c r="P2644"/>
      <c r="Q2644"/>
      <c r="R2644"/>
      <c r="S2644"/>
      <c r="T2644"/>
      <c r="U2644"/>
      <c r="V2644"/>
      <c r="W2644"/>
      <c r="X2644"/>
      <c r="Y2644"/>
      <c r="Z2644"/>
      <c r="AA2644"/>
      <c r="AB2644"/>
      <c r="AC2644"/>
      <c r="AD2644"/>
    </row>
    <row r="2645" spans="1:30">
      <c r="A2645"/>
      <c r="B2645"/>
      <c r="C2645"/>
      <c r="D2645"/>
      <c r="E2645"/>
      <c r="F2645"/>
      <c r="G2645"/>
      <c r="H2645"/>
      <c r="I2645"/>
      <c r="J2645"/>
      <c r="K2645"/>
      <c r="L2645"/>
      <c r="M2645"/>
      <c r="N2645"/>
      <c r="O2645"/>
      <c r="P2645"/>
      <c r="Q2645"/>
      <c r="R2645"/>
      <c r="S2645"/>
      <c r="T2645"/>
      <c r="U2645"/>
      <c r="V2645"/>
      <c r="W2645"/>
      <c r="X2645"/>
      <c r="Y2645"/>
      <c r="Z2645"/>
      <c r="AA2645"/>
      <c r="AB2645"/>
      <c r="AC2645"/>
      <c r="AD2645"/>
    </row>
    <row r="2646" spans="1:30">
      <c r="A2646"/>
      <c r="B2646"/>
      <c r="C2646"/>
      <c r="D2646"/>
      <c r="E2646"/>
      <c r="F2646"/>
      <c r="G2646"/>
      <c r="H2646"/>
      <c r="I2646"/>
      <c r="J2646"/>
      <c r="K2646"/>
      <c r="L2646"/>
      <c r="M2646"/>
      <c r="N2646"/>
      <c r="O2646"/>
      <c r="P2646"/>
      <c r="Q2646"/>
      <c r="R2646"/>
      <c r="S2646"/>
      <c r="T2646"/>
      <c r="U2646"/>
      <c r="V2646"/>
      <c r="W2646"/>
      <c r="X2646"/>
      <c r="Y2646"/>
      <c r="Z2646"/>
      <c r="AA2646"/>
      <c r="AB2646"/>
      <c r="AC2646"/>
      <c r="AD2646"/>
    </row>
    <row r="2647" spans="1:30">
      <c r="A2647"/>
      <c r="B2647"/>
      <c r="C2647"/>
      <c r="D2647"/>
      <c r="E2647"/>
      <c r="F2647"/>
      <c r="G2647"/>
      <c r="H2647"/>
      <c r="I2647"/>
      <c r="J2647"/>
      <c r="K2647"/>
      <c r="L2647"/>
      <c r="M2647"/>
      <c r="N2647"/>
      <c r="O2647"/>
      <c r="P2647"/>
      <c r="Q2647"/>
      <c r="R2647"/>
      <c r="S2647"/>
      <c r="T2647"/>
      <c r="U2647"/>
      <c r="V2647"/>
      <c r="W2647"/>
      <c r="X2647"/>
      <c r="Y2647"/>
      <c r="Z2647"/>
      <c r="AA2647"/>
      <c r="AB2647"/>
      <c r="AC2647"/>
      <c r="AD2647"/>
    </row>
    <row r="2648" spans="1:30">
      <c r="A2648"/>
      <c r="B2648"/>
      <c r="C2648"/>
      <c r="D2648"/>
      <c r="E2648"/>
      <c r="F2648"/>
      <c r="G2648"/>
      <c r="H2648"/>
      <c r="I2648"/>
      <c r="J2648"/>
      <c r="K2648"/>
      <c r="L2648"/>
      <c r="M2648"/>
      <c r="N2648"/>
      <c r="O2648"/>
      <c r="P2648"/>
      <c r="Q2648"/>
      <c r="R2648"/>
      <c r="S2648"/>
      <c r="T2648"/>
      <c r="U2648"/>
      <c r="V2648"/>
      <c r="W2648"/>
      <c r="X2648"/>
      <c r="Y2648"/>
      <c r="Z2648"/>
      <c r="AA2648"/>
      <c r="AB2648"/>
      <c r="AC2648"/>
      <c r="AD2648"/>
    </row>
    <row r="2649" spans="1:30">
      <c r="A2649"/>
      <c r="B2649"/>
      <c r="C2649"/>
      <c r="D2649"/>
      <c r="E2649"/>
      <c r="F2649"/>
      <c r="G2649"/>
      <c r="H2649"/>
      <c r="I2649"/>
      <c r="J2649"/>
      <c r="K2649"/>
      <c r="L2649"/>
      <c r="M2649"/>
      <c r="N2649"/>
      <c r="O2649"/>
      <c r="P2649"/>
      <c r="Q2649"/>
      <c r="R2649"/>
      <c r="S2649"/>
      <c r="T2649"/>
      <c r="U2649"/>
      <c r="V2649"/>
      <c r="W2649"/>
      <c r="X2649"/>
      <c r="Y2649"/>
      <c r="Z2649"/>
      <c r="AA2649"/>
      <c r="AB2649"/>
      <c r="AC2649"/>
      <c r="AD2649"/>
    </row>
    <row r="2650" spans="1:30">
      <c r="A2650"/>
      <c r="B2650"/>
      <c r="C2650"/>
      <c r="D2650"/>
      <c r="E2650"/>
      <c r="F2650"/>
      <c r="G2650"/>
      <c r="H2650"/>
      <c r="I2650"/>
      <c r="J2650"/>
      <c r="K2650"/>
      <c r="L2650"/>
      <c r="M2650"/>
      <c r="N2650"/>
      <c r="O2650"/>
      <c r="P2650"/>
      <c r="Q2650"/>
      <c r="R2650"/>
      <c r="S2650"/>
      <c r="T2650"/>
      <c r="U2650"/>
      <c r="V2650"/>
      <c r="W2650"/>
      <c r="X2650"/>
      <c r="Y2650"/>
      <c r="Z2650"/>
      <c r="AA2650"/>
      <c r="AB2650"/>
      <c r="AC2650"/>
      <c r="AD2650"/>
    </row>
    <row r="2651" spans="1:30">
      <c r="A2651"/>
      <c r="B2651"/>
      <c r="C2651"/>
      <c r="D2651"/>
      <c r="E2651"/>
      <c r="F2651"/>
      <c r="G2651"/>
      <c r="H2651"/>
      <c r="I2651"/>
      <c r="J2651"/>
      <c r="K2651"/>
      <c r="L2651"/>
      <c r="M2651"/>
      <c r="N2651"/>
      <c r="O2651"/>
      <c r="P2651"/>
      <c r="Q2651"/>
      <c r="R2651"/>
      <c r="S2651"/>
      <c r="T2651"/>
      <c r="U2651"/>
      <c r="V2651"/>
      <c r="W2651"/>
      <c r="X2651"/>
      <c r="Y2651"/>
      <c r="Z2651"/>
      <c r="AA2651"/>
      <c r="AB2651"/>
      <c r="AC2651"/>
      <c r="AD2651"/>
    </row>
    <row r="2652" spans="1:30">
      <c r="A2652"/>
      <c r="B2652"/>
      <c r="C2652"/>
      <c r="D2652"/>
      <c r="E2652"/>
      <c r="F2652"/>
      <c r="G2652"/>
      <c r="H2652"/>
      <c r="I2652"/>
      <c r="J2652"/>
      <c r="K2652"/>
      <c r="L2652"/>
      <c r="M2652"/>
      <c r="N2652"/>
      <c r="O2652"/>
      <c r="P2652"/>
      <c r="Q2652"/>
      <c r="R2652"/>
      <c r="S2652"/>
      <c r="T2652"/>
      <c r="U2652"/>
      <c r="V2652"/>
      <c r="W2652"/>
      <c r="X2652"/>
      <c r="Y2652"/>
      <c r="Z2652"/>
      <c r="AA2652"/>
      <c r="AB2652"/>
      <c r="AC2652"/>
      <c r="AD2652"/>
    </row>
    <row r="2653" spans="1:30">
      <c r="A2653"/>
      <c r="B2653"/>
      <c r="C2653"/>
      <c r="D2653"/>
      <c r="E2653"/>
      <c r="F2653"/>
      <c r="G2653"/>
      <c r="H2653"/>
      <c r="I2653"/>
      <c r="J2653"/>
      <c r="K2653"/>
      <c r="L2653"/>
      <c r="M2653"/>
      <c r="N2653"/>
      <c r="O2653"/>
      <c r="P2653"/>
      <c r="Q2653"/>
      <c r="R2653"/>
      <c r="S2653"/>
      <c r="T2653"/>
      <c r="U2653"/>
      <c r="V2653"/>
      <c r="W2653"/>
      <c r="X2653"/>
      <c r="Y2653"/>
      <c r="Z2653"/>
      <c r="AA2653"/>
      <c r="AB2653"/>
      <c r="AC2653"/>
      <c r="AD2653"/>
    </row>
    <row r="2654" spans="1:30">
      <c r="A2654"/>
      <c r="B2654"/>
      <c r="C2654"/>
      <c r="D2654"/>
      <c r="E2654"/>
      <c r="F2654"/>
      <c r="G2654"/>
      <c r="H2654"/>
      <c r="I2654"/>
      <c r="J2654"/>
      <c r="K2654"/>
      <c r="L2654"/>
      <c r="M2654"/>
      <c r="N2654"/>
      <c r="O2654"/>
      <c r="P2654"/>
      <c r="Q2654"/>
      <c r="R2654"/>
      <c r="S2654"/>
      <c r="T2654"/>
      <c r="U2654"/>
      <c r="V2654"/>
      <c r="W2654"/>
      <c r="X2654"/>
      <c r="Y2654"/>
      <c r="Z2654"/>
      <c r="AA2654"/>
      <c r="AB2654"/>
      <c r="AC2654"/>
      <c r="AD2654"/>
    </row>
    <row r="2655" spans="1:30">
      <c r="A2655"/>
      <c r="B2655"/>
      <c r="C2655"/>
      <c r="D2655"/>
      <c r="E2655"/>
      <c r="F2655"/>
      <c r="G2655"/>
      <c r="H2655"/>
      <c r="I2655"/>
      <c r="J2655"/>
      <c r="K2655"/>
      <c r="L2655"/>
      <c r="M2655"/>
      <c r="N2655"/>
      <c r="O2655"/>
      <c r="P2655"/>
      <c r="Q2655"/>
      <c r="R2655"/>
      <c r="S2655"/>
      <c r="T2655"/>
      <c r="U2655"/>
      <c r="V2655"/>
      <c r="W2655"/>
      <c r="X2655"/>
      <c r="Y2655"/>
      <c r="Z2655"/>
      <c r="AA2655"/>
      <c r="AB2655"/>
      <c r="AC2655"/>
      <c r="AD2655"/>
    </row>
    <row r="2656" spans="1:30">
      <c r="A2656"/>
      <c r="B2656"/>
      <c r="C2656"/>
      <c r="D2656"/>
      <c r="E2656"/>
      <c r="F2656"/>
      <c r="G2656"/>
      <c r="H2656"/>
      <c r="I2656"/>
      <c r="J2656"/>
      <c r="K2656"/>
      <c r="L2656"/>
      <c r="M2656"/>
      <c r="N2656"/>
      <c r="O2656"/>
      <c r="P2656"/>
      <c r="Q2656"/>
      <c r="R2656"/>
      <c r="S2656"/>
      <c r="T2656"/>
      <c r="U2656"/>
      <c r="V2656"/>
      <c r="W2656"/>
      <c r="X2656"/>
      <c r="Y2656"/>
      <c r="Z2656"/>
      <c r="AA2656"/>
      <c r="AB2656"/>
      <c r="AC2656"/>
      <c r="AD2656"/>
    </row>
    <row r="2657" spans="1:30">
      <c r="A2657"/>
      <c r="B2657"/>
      <c r="C2657"/>
      <c r="D2657"/>
      <c r="E2657"/>
      <c r="F2657"/>
      <c r="G2657"/>
      <c r="H2657"/>
      <c r="I2657"/>
      <c r="J2657"/>
      <c r="K2657"/>
      <c r="L2657"/>
      <c r="M2657"/>
      <c r="N2657"/>
      <c r="O2657"/>
      <c r="P2657"/>
      <c r="Q2657"/>
      <c r="R2657"/>
      <c r="S2657"/>
      <c r="T2657"/>
      <c r="U2657"/>
      <c r="V2657"/>
      <c r="W2657"/>
      <c r="X2657"/>
      <c r="Y2657"/>
      <c r="Z2657"/>
      <c r="AA2657"/>
      <c r="AB2657"/>
      <c r="AC2657"/>
      <c r="AD2657"/>
    </row>
    <row r="2658" spans="1:30">
      <c r="A2658"/>
      <c r="B2658"/>
      <c r="C2658"/>
      <c r="D2658"/>
      <c r="E2658"/>
      <c r="F2658"/>
      <c r="G2658"/>
      <c r="H2658"/>
      <c r="I2658"/>
      <c r="J2658"/>
      <c r="K2658"/>
      <c r="L2658"/>
      <c r="M2658"/>
      <c r="N2658"/>
      <c r="O2658"/>
      <c r="P2658"/>
      <c r="Q2658"/>
      <c r="R2658"/>
      <c r="S2658"/>
      <c r="T2658"/>
      <c r="U2658"/>
      <c r="V2658"/>
      <c r="W2658"/>
      <c r="X2658"/>
      <c r="Y2658"/>
      <c r="Z2658"/>
      <c r="AA2658"/>
      <c r="AB2658"/>
      <c r="AC2658"/>
      <c r="AD2658"/>
    </row>
    <row r="2659" spans="1:30">
      <c r="A2659"/>
      <c r="B2659"/>
      <c r="C2659"/>
      <c r="D2659"/>
      <c r="E2659"/>
      <c r="F2659"/>
      <c r="G2659"/>
      <c r="H2659"/>
      <c r="I2659"/>
      <c r="J2659"/>
      <c r="K2659"/>
      <c r="L2659"/>
      <c r="M2659"/>
      <c r="N2659"/>
      <c r="O2659"/>
      <c r="P2659"/>
      <c r="Q2659"/>
      <c r="R2659"/>
      <c r="S2659"/>
      <c r="T2659"/>
      <c r="U2659"/>
      <c r="V2659"/>
      <c r="W2659"/>
      <c r="X2659"/>
      <c r="Y2659"/>
      <c r="Z2659"/>
      <c r="AA2659"/>
      <c r="AB2659"/>
      <c r="AC2659"/>
      <c r="AD2659"/>
    </row>
    <row r="2660" spans="1:30">
      <c r="A2660"/>
      <c r="B2660"/>
      <c r="C2660"/>
      <c r="D2660"/>
      <c r="E2660"/>
      <c r="F2660"/>
      <c r="G2660"/>
      <c r="H2660"/>
      <c r="I2660"/>
      <c r="J2660"/>
      <c r="K2660"/>
      <c r="L2660"/>
      <c r="M2660"/>
      <c r="N2660"/>
      <c r="O2660"/>
      <c r="P2660"/>
      <c r="Q2660"/>
      <c r="R2660"/>
      <c r="S2660"/>
      <c r="T2660"/>
      <c r="U2660"/>
      <c r="V2660"/>
      <c r="W2660"/>
      <c r="X2660"/>
      <c r="Y2660"/>
      <c r="Z2660"/>
      <c r="AA2660"/>
      <c r="AB2660"/>
      <c r="AC2660"/>
      <c r="AD2660"/>
    </row>
    <row r="2661" spans="1:30">
      <c r="A2661"/>
      <c r="B2661"/>
      <c r="C2661"/>
      <c r="D2661"/>
      <c r="E2661"/>
      <c r="F2661"/>
      <c r="G2661"/>
      <c r="H2661"/>
      <c r="I2661"/>
      <c r="J2661"/>
      <c r="K2661"/>
      <c r="L2661"/>
      <c r="M2661"/>
      <c r="N2661"/>
      <c r="O2661"/>
      <c r="P2661"/>
      <c r="Q2661"/>
      <c r="R2661"/>
      <c r="S2661"/>
      <c r="T2661"/>
      <c r="U2661"/>
      <c r="V2661"/>
      <c r="W2661"/>
      <c r="X2661"/>
      <c r="Y2661"/>
      <c r="Z2661"/>
      <c r="AA2661"/>
      <c r="AB2661"/>
      <c r="AC2661"/>
      <c r="AD2661"/>
    </row>
    <row r="2662" spans="1:30">
      <c r="A2662"/>
      <c r="B2662"/>
      <c r="C2662"/>
      <c r="D2662"/>
      <c r="E2662"/>
      <c r="F2662"/>
      <c r="G2662"/>
      <c r="H2662"/>
      <c r="I2662"/>
      <c r="J2662"/>
      <c r="K2662"/>
      <c r="L2662"/>
      <c r="M2662"/>
      <c r="N2662"/>
      <c r="O2662"/>
      <c r="P2662"/>
      <c r="Q2662"/>
      <c r="R2662"/>
      <c r="S2662"/>
      <c r="T2662"/>
      <c r="U2662"/>
      <c r="V2662"/>
      <c r="W2662"/>
      <c r="X2662"/>
      <c r="Y2662"/>
      <c r="Z2662"/>
      <c r="AA2662"/>
      <c r="AB2662"/>
      <c r="AC2662"/>
      <c r="AD2662"/>
    </row>
    <row r="2663" spans="1:30">
      <c r="A2663"/>
      <c r="B2663"/>
      <c r="C2663"/>
      <c r="D2663"/>
      <c r="E2663"/>
      <c r="F2663"/>
      <c r="G2663"/>
      <c r="H2663"/>
      <c r="I2663"/>
      <c r="J2663"/>
      <c r="K2663"/>
      <c r="L2663"/>
      <c r="M2663"/>
      <c r="N2663"/>
      <c r="O2663"/>
      <c r="P2663"/>
      <c r="Q2663"/>
      <c r="R2663"/>
      <c r="S2663"/>
      <c r="T2663"/>
      <c r="U2663"/>
      <c r="V2663"/>
      <c r="W2663"/>
      <c r="X2663"/>
      <c r="Y2663"/>
      <c r="Z2663"/>
      <c r="AA2663"/>
      <c r="AB2663"/>
      <c r="AC2663"/>
      <c r="AD2663"/>
    </row>
    <row r="2664" spans="1:30">
      <c r="A2664"/>
      <c r="B2664"/>
      <c r="C2664"/>
      <c r="D2664"/>
      <c r="E2664"/>
      <c r="F2664"/>
      <c r="G2664"/>
      <c r="H2664"/>
      <c r="I2664"/>
      <c r="J2664"/>
      <c r="K2664"/>
      <c r="L2664"/>
      <c r="M2664"/>
      <c r="N2664"/>
      <c r="O2664"/>
      <c r="P2664"/>
      <c r="Q2664"/>
      <c r="R2664"/>
      <c r="S2664"/>
      <c r="T2664"/>
      <c r="U2664"/>
      <c r="V2664"/>
      <c r="W2664"/>
      <c r="X2664"/>
      <c r="Y2664"/>
      <c r="Z2664"/>
      <c r="AA2664"/>
      <c r="AB2664"/>
      <c r="AC2664"/>
      <c r="AD2664"/>
    </row>
    <row r="2665" spans="1:30">
      <c r="A2665"/>
      <c r="B2665"/>
      <c r="C2665"/>
      <c r="D2665"/>
      <c r="E2665"/>
      <c r="F2665"/>
      <c r="G2665"/>
      <c r="H2665"/>
      <c r="I2665"/>
      <c r="J2665"/>
      <c r="K2665"/>
      <c r="L2665"/>
      <c r="M2665"/>
      <c r="N2665"/>
      <c r="O2665"/>
      <c r="P2665"/>
      <c r="Q2665"/>
      <c r="R2665"/>
      <c r="S2665"/>
      <c r="T2665"/>
      <c r="U2665"/>
      <c r="V2665"/>
      <c r="W2665"/>
      <c r="X2665"/>
      <c r="Y2665"/>
      <c r="Z2665"/>
      <c r="AA2665"/>
      <c r="AB2665"/>
      <c r="AC2665"/>
      <c r="AD2665"/>
    </row>
    <row r="2666" spans="1:30">
      <c r="A2666"/>
      <c r="B2666"/>
      <c r="C2666"/>
      <c r="D2666"/>
      <c r="E2666"/>
      <c r="F2666"/>
      <c r="G2666"/>
      <c r="H2666"/>
      <c r="I2666"/>
      <c r="J2666"/>
      <c r="K2666"/>
      <c r="L2666"/>
      <c r="M2666"/>
      <c r="N2666"/>
      <c r="O2666"/>
      <c r="P2666"/>
      <c r="Q2666"/>
      <c r="R2666"/>
      <c r="S2666"/>
      <c r="T2666"/>
      <c r="U2666"/>
      <c r="V2666"/>
      <c r="W2666"/>
      <c r="X2666"/>
      <c r="Y2666"/>
      <c r="Z2666"/>
      <c r="AA2666"/>
      <c r="AB2666"/>
      <c r="AC2666"/>
      <c r="AD2666"/>
    </row>
    <row r="2667" spans="1:30">
      <c r="A2667"/>
      <c r="B2667"/>
      <c r="C2667"/>
      <c r="D2667"/>
      <c r="E2667"/>
      <c r="F2667"/>
      <c r="G2667"/>
      <c r="H2667"/>
      <c r="I2667"/>
      <c r="J2667"/>
      <c r="K2667"/>
      <c r="L2667"/>
      <c r="M2667"/>
      <c r="N2667"/>
      <c r="O2667"/>
      <c r="P2667"/>
      <c r="Q2667"/>
      <c r="R2667"/>
      <c r="S2667"/>
      <c r="T2667"/>
      <c r="U2667"/>
      <c r="V2667"/>
      <c r="W2667"/>
      <c r="X2667"/>
      <c r="Y2667"/>
      <c r="Z2667"/>
      <c r="AA2667"/>
      <c r="AB2667"/>
      <c r="AC2667"/>
      <c r="AD2667"/>
    </row>
    <row r="2668" spans="1:30">
      <c r="A2668"/>
      <c r="B2668"/>
      <c r="C2668"/>
      <c r="D2668"/>
      <c r="E2668"/>
      <c r="F2668"/>
      <c r="G2668"/>
      <c r="H2668"/>
      <c r="I2668"/>
      <c r="J2668"/>
      <c r="K2668"/>
      <c r="L2668"/>
      <c r="M2668"/>
      <c r="N2668"/>
      <c r="O2668"/>
      <c r="P2668"/>
      <c r="Q2668"/>
      <c r="R2668"/>
      <c r="S2668"/>
      <c r="T2668"/>
      <c r="U2668"/>
      <c r="V2668"/>
      <c r="W2668"/>
      <c r="X2668"/>
      <c r="Y2668"/>
      <c r="Z2668"/>
      <c r="AA2668"/>
      <c r="AB2668"/>
      <c r="AC2668"/>
      <c r="AD2668"/>
    </row>
    <row r="2669" spans="1:30">
      <c r="A2669"/>
      <c r="B2669"/>
      <c r="C2669"/>
      <c r="D2669"/>
      <c r="E2669"/>
      <c r="F2669"/>
      <c r="G2669"/>
      <c r="H2669"/>
      <c r="I2669"/>
      <c r="J2669"/>
      <c r="K2669"/>
      <c r="L2669"/>
      <c r="M2669"/>
      <c r="N2669"/>
      <c r="O2669"/>
      <c r="P2669"/>
      <c r="Q2669"/>
      <c r="R2669"/>
      <c r="S2669"/>
      <c r="T2669"/>
      <c r="U2669"/>
      <c r="V2669"/>
      <c r="W2669"/>
      <c r="X2669"/>
      <c r="Y2669"/>
      <c r="Z2669"/>
      <c r="AA2669"/>
      <c r="AB2669"/>
      <c r="AC2669"/>
      <c r="AD2669"/>
    </row>
    <row r="2670" spans="1:30">
      <c r="A2670"/>
      <c r="B2670"/>
      <c r="C2670"/>
      <c r="D2670"/>
      <c r="E2670"/>
      <c r="F2670"/>
      <c r="G2670"/>
      <c r="H2670"/>
      <c r="I2670"/>
      <c r="J2670"/>
      <c r="K2670"/>
      <c r="L2670"/>
      <c r="M2670"/>
      <c r="N2670"/>
      <c r="O2670"/>
      <c r="P2670"/>
      <c r="Q2670"/>
      <c r="R2670"/>
      <c r="S2670"/>
      <c r="T2670"/>
      <c r="U2670"/>
      <c r="V2670"/>
      <c r="W2670"/>
      <c r="X2670"/>
      <c r="Y2670"/>
      <c r="Z2670"/>
      <c r="AA2670"/>
      <c r="AB2670"/>
      <c r="AC2670"/>
      <c r="AD2670"/>
    </row>
    <row r="2671" spans="1:30">
      <c r="A2671"/>
      <c r="B2671"/>
      <c r="C2671"/>
      <c r="D2671"/>
      <c r="E2671"/>
      <c r="F2671"/>
      <c r="G2671"/>
      <c r="H2671"/>
      <c r="I2671"/>
      <c r="J2671"/>
      <c r="K2671"/>
      <c r="L2671"/>
      <c r="M2671"/>
      <c r="N2671"/>
      <c r="O2671"/>
      <c r="P2671"/>
      <c r="Q2671"/>
      <c r="R2671"/>
      <c r="S2671"/>
      <c r="T2671"/>
      <c r="U2671"/>
      <c r="V2671"/>
      <c r="W2671"/>
      <c r="X2671"/>
      <c r="Y2671"/>
      <c r="Z2671"/>
      <c r="AA2671"/>
      <c r="AB2671"/>
      <c r="AC2671"/>
      <c r="AD2671"/>
    </row>
    <row r="2672" spans="1:30">
      <c r="A2672"/>
      <c r="B2672"/>
      <c r="C2672"/>
      <c r="D2672"/>
      <c r="E2672"/>
      <c r="F2672"/>
      <c r="G2672"/>
      <c r="H2672"/>
      <c r="I2672"/>
      <c r="J2672"/>
      <c r="K2672"/>
      <c r="L2672"/>
      <c r="M2672"/>
      <c r="N2672"/>
      <c r="O2672"/>
      <c r="P2672"/>
      <c r="Q2672"/>
      <c r="R2672"/>
      <c r="S2672"/>
      <c r="T2672"/>
      <c r="U2672"/>
      <c r="V2672"/>
      <c r="W2672"/>
      <c r="X2672"/>
      <c r="Y2672"/>
      <c r="Z2672"/>
      <c r="AA2672"/>
      <c r="AB2672"/>
      <c r="AC2672"/>
      <c r="AD2672"/>
    </row>
    <row r="2673" spans="1:30">
      <c r="A2673"/>
      <c r="B2673"/>
      <c r="C2673"/>
      <c r="D2673"/>
      <c r="E2673"/>
      <c r="F2673"/>
      <c r="G2673"/>
      <c r="H2673"/>
      <c r="I2673"/>
      <c r="J2673"/>
      <c r="K2673"/>
      <c r="L2673"/>
      <c r="M2673"/>
      <c r="N2673"/>
      <c r="O2673"/>
      <c r="P2673"/>
      <c r="Q2673"/>
      <c r="R2673"/>
      <c r="S2673"/>
      <c r="T2673"/>
      <c r="U2673"/>
      <c r="V2673"/>
      <c r="W2673"/>
      <c r="X2673"/>
      <c r="Y2673"/>
      <c r="Z2673"/>
      <c r="AA2673"/>
      <c r="AB2673"/>
      <c r="AC2673"/>
      <c r="AD2673"/>
    </row>
    <row r="2674" spans="1:30">
      <c r="A2674"/>
      <c r="B2674"/>
      <c r="C2674"/>
      <c r="D2674"/>
      <c r="E2674"/>
      <c r="F2674"/>
      <c r="G2674"/>
      <c r="H2674"/>
      <c r="I2674"/>
      <c r="J2674"/>
      <c r="K2674"/>
      <c r="L2674"/>
      <c r="M2674"/>
      <c r="N2674"/>
      <c r="O2674"/>
      <c r="P2674"/>
      <c r="Q2674"/>
      <c r="R2674"/>
      <c r="S2674"/>
      <c r="T2674"/>
      <c r="U2674"/>
      <c r="V2674"/>
      <c r="W2674"/>
      <c r="X2674"/>
      <c r="Y2674"/>
      <c r="Z2674"/>
      <c r="AA2674"/>
      <c r="AB2674"/>
      <c r="AC2674"/>
      <c r="AD2674"/>
    </row>
    <row r="2675" spans="1:30">
      <c r="A2675"/>
      <c r="B2675"/>
      <c r="C2675"/>
      <c r="D2675"/>
      <c r="E2675"/>
      <c r="F2675"/>
      <c r="G2675"/>
      <c r="H2675"/>
      <c r="I2675"/>
      <c r="J2675"/>
      <c r="K2675"/>
      <c r="L2675"/>
      <c r="M2675"/>
      <c r="N2675"/>
      <c r="O2675"/>
      <c r="P2675"/>
      <c r="Q2675"/>
      <c r="R2675"/>
      <c r="S2675"/>
      <c r="T2675"/>
      <c r="U2675"/>
      <c r="V2675"/>
      <c r="W2675"/>
      <c r="X2675"/>
      <c r="Y2675"/>
      <c r="Z2675"/>
      <c r="AA2675"/>
      <c r="AB2675"/>
      <c r="AC2675"/>
      <c r="AD2675"/>
    </row>
    <row r="2676" spans="1:30">
      <c r="A2676"/>
      <c r="B2676"/>
      <c r="C2676"/>
      <c r="D2676"/>
      <c r="E2676"/>
      <c r="F2676"/>
      <c r="G2676"/>
      <c r="H2676"/>
      <c r="I2676"/>
      <c r="J2676"/>
      <c r="K2676"/>
      <c r="L2676"/>
      <c r="M2676"/>
      <c r="N2676"/>
      <c r="O2676"/>
      <c r="P2676"/>
      <c r="Q2676"/>
      <c r="R2676"/>
      <c r="S2676"/>
      <c r="T2676"/>
      <c r="U2676"/>
      <c r="V2676"/>
      <c r="W2676"/>
      <c r="X2676"/>
      <c r="Y2676"/>
      <c r="Z2676"/>
      <c r="AA2676"/>
      <c r="AB2676"/>
      <c r="AC2676"/>
      <c r="AD2676"/>
    </row>
    <row r="2677" spans="1:30">
      <c r="A2677"/>
      <c r="B2677"/>
      <c r="C2677"/>
      <c r="D2677"/>
      <c r="E2677"/>
      <c r="F2677"/>
      <c r="G2677"/>
      <c r="H2677"/>
      <c r="I2677"/>
      <c r="J2677"/>
      <c r="K2677"/>
      <c r="L2677"/>
      <c r="M2677"/>
      <c r="N2677"/>
      <c r="O2677"/>
      <c r="P2677"/>
      <c r="Q2677"/>
      <c r="R2677"/>
      <c r="S2677"/>
      <c r="T2677"/>
      <c r="U2677"/>
      <c r="V2677"/>
      <c r="W2677"/>
      <c r="X2677"/>
      <c r="Y2677"/>
      <c r="Z2677"/>
      <c r="AA2677"/>
      <c r="AB2677"/>
      <c r="AC2677"/>
      <c r="AD2677"/>
    </row>
    <row r="2678" spans="1:30">
      <c r="A2678"/>
      <c r="B2678"/>
      <c r="C2678"/>
      <c r="D2678"/>
      <c r="E2678"/>
      <c r="F2678"/>
      <c r="G2678"/>
      <c r="H2678"/>
      <c r="I2678"/>
      <c r="J2678"/>
      <c r="K2678"/>
      <c r="L2678"/>
      <c r="M2678"/>
      <c r="N2678"/>
      <c r="O2678"/>
      <c r="P2678"/>
      <c r="Q2678"/>
      <c r="R2678"/>
      <c r="S2678"/>
      <c r="T2678"/>
      <c r="U2678"/>
      <c r="V2678"/>
      <c r="W2678"/>
      <c r="X2678"/>
      <c r="Y2678"/>
      <c r="Z2678"/>
      <c r="AA2678"/>
      <c r="AB2678"/>
      <c r="AC2678"/>
      <c r="AD2678"/>
    </row>
    <row r="2679" spans="1:30">
      <c r="A2679"/>
      <c r="B2679"/>
      <c r="C2679"/>
      <c r="D2679"/>
      <c r="E2679"/>
      <c r="F2679"/>
      <c r="G2679"/>
      <c r="H2679"/>
      <c r="I2679"/>
      <c r="J2679"/>
      <c r="K2679"/>
      <c r="L2679"/>
      <c r="M2679"/>
      <c r="N2679"/>
      <c r="O2679"/>
      <c r="P2679"/>
      <c r="Q2679"/>
      <c r="R2679"/>
      <c r="S2679"/>
      <c r="T2679"/>
      <c r="U2679"/>
      <c r="V2679"/>
      <c r="W2679"/>
      <c r="X2679"/>
      <c r="Y2679"/>
      <c r="Z2679"/>
      <c r="AA2679"/>
      <c r="AB2679"/>
      <c r="AC2679"/>
      <c r="AD2679"/>
    </row>
    <row r="2680" spans="1:30">
      <c r="A2680"/>
      <c r="B2680"/>
      <c r="C2680"/>
      <c r="D2680"/>
      <c r="E2680"/>
      <c r="F2680"/>
      <c r="G2680"/>
      <c r="H2680"/>
      <c r="I2680"/>
      <c r="J2680"/>
      <c r="K2680"/>
      <c r="L2680"/>
      <c r="M2680"/>
      <c r="N2680"/>
      <c r="O2680"/>
      <c r="P2680"/>
      <c r="Q2680"/>
      <c r="R2680"/>
      <c r="S2680"/>
      <c r="T2680"/>
      <c r="U2680"/>
      <c r="V2680"/>
      <c r="W2680"/>
      <c r="X2680"/>
      <c r="Y2680"/>
      <c r="Z2680"/>
      <c r="AA2680"/>
      <c r="AB2680"/>
      <c r="AC2680"/>
      <c r="AD2680"/>
    </row>
    <row r="2681" spans="1:30">
      <c r="A2681"/>
      <c r="B2681"/>
      <c r="C2681"/>
      <c r="D2681"/>
      <c r="E2681"/>
      <c r="F2681"/>
      <c r="G2681"/>
      <c r="H2681"/>
      <c r="I2681"/>
      <c r="J2681"/>
      <c r="K2681"/>
      <c r="L2681"/>
      <c r="M2681"/>
      <c r="N2681"/>
      <c r="O2681"/>
      <c r="P2681"/>
      <c r="Q2681"/>
      <c r="R2681"/>
      <c r="S2681"/>
      <c r="T2681"/>
      <c r="U2681"/>
      <c r="V2681"/>
      <c r="W2681"/>
      <c r="X2681"/>
      <c r="Y2681"/>
      <c r="Z2681"/>
      <c r="AA2681"/>
      <c r="AB2681"/>
      <c r="AC2681"/>
      <c r="AD2681"/>
    </row>
    <row r="2682" spans="1:30">
      <c r="A2682"/>
      <c r="B2682"/>
      <c r="C2682"/>
      <c r="D2682"/>
      <c r="E2682"/>
      <c r="F2682"/>
      <c r="G2682"/>
      <c r="H2682"/>
      <c r="I2682"/>
      <c r="J2682"/>
      <c r="K2682"/>
      <c r="L2682"/>
      <c r="M2682"/>
      <c r="N2682"/>
      <c r="O2682"/>
      <c r="P2682"/>
      <c r="Q2682"/>
      <c r="R2682"/>
      <c r="S2682"/>
      <c r="T2682"/>
      <c r="U2682"/>
      <c r="V2682"/>
      <c r="W2682"/>
      <c r="X2682"/>
      <c r="Y2682"/>
      <c r="Z2682"/>
      <c r="AA2682"/>
      <c r="AB2682"/>
      <c r="AC2682"/>
      <c r="AD2682"/>
    </row>
    <row r="2683" spans="1:30">
      <c r="A2683"/>
      <c r="B2683"/>
      <c r="C2683"/>
      <c r="D2683"/>
      <c r="E2683"/>
      <c r="F2683"/>
      <c r="G2683"/>
      <c r="H2683"/>
      <c r="I2683"/>
      <c r="J2683"/>
      <c r="K2683"/>
      <c r="L2683"/>
      <c r="M2683"/>
      <c r="N2683"/>
      <c r="O2683"/>
      <c r="P2683"/>
      <c r="Q2683"/>
      <c r="R2683"/>
      <c r="S2683"/>
      <c r="T2683"/>
      <c r="U2683"/>
      <c r="V2683"/>
      <c r="W2683"/>
      <c r="X2683"/>
      <c r="Y2683"/>
      <c r="Z2683"/>
      <c r="AA2683"/>
      <c r="AB2683"/>
      <c r="AC2683"/>
      <c r="AD2683"/>
    </row>
    <row r="2684" spans="1:30">
      <c r="A2684"/>
      <c r="B2684"/>
      <c r="C2684"/>
      <c r="D2684"/>
      <c r="E2684"/>
      <c r="F2684"/>
      <c r="G2684"/>
      <c r="H2684"/>
      <c r="I2684"/>
      <c r="J2684"/>
      <c r="K2684"/>
      <c r="L2684"/>
      <c r="M2684"/>
      <c r="N2684"/>
      <c r="O2684"/>
      <c r="P2684"/>
      <c r="Q2684"/>
      <c r="R2684"/>
      <c r="S2684"/>
      <c r="T2684"/>
      <c r="U2684"/>
      <c r="V2684"/>
      <c r="W2684"/>
      <c r="X2684"/>
      <c r="Y2684"/>
      <c r="Z2684"/>
      <c r="AA2684"/>
      <c r="AB2684"/>
      <c r="AC2684"/>
      <c r="AD2684"/>
    </row>
    <row r="2685" spans="1:30">
      <c r="A2685"/>
      <c r="B2685"/>
      <c r="C2685"/>
      <c r="D2685"/>
      <c r="E2685"/>
      <c r="F2685"/>
      <c r="G2685"/>
      <c r="H2685"/>
      <c r="I2685"/>
      <c r="J2685"/>
      <c r="K2685"/>
      <c r="L2685"/>
      <c r="M2685"/>
      <c r="N2685"/>
      <c r="O2685"/>
      <c r="P2685"/>
      <c r="Q2685"/>
      <c r="R2685"/>
      <c r="S2685"/>
      <c r="T2685"/>
      <c r="U2685"/>
      <c r="V2685"/>
      <c r="W2685"/>
      <c r="X2685"/>
      <c r="Y2685"/>
      <c r="Z2685"/>
      <c r="AA2685"/>
      <c r="AB2685"/>
      <c r="AC2685"/>
      <c r="AD2685"/>
    </row>
    <row r="2686" spans="1:30">
      <c r="A2686"/>
      <c r="B2686"/>
      <c r="C2686"/>
      <c r="D2686"/>
      <c r="E2686"/>
      <c r="F2686"/>
      <c r="G2686"/>
      <c r="H2686"/>
      <c r="I2686"/>
      <c r="J2686"/>
      <c r="K2686"/>
      <c r="L2686"/>
      <c r="M2686"/>
      <c r="N2686"/>
      <c r="O2686"/>
      <c r="P2686"/>
      <c r="Q2686"/>
      <c r="R2686"/>
      <c r="S2686"/>
      <c r="T2686"/>
      <c r="U2686"/>
      <c r="V2686"/>
      <c r="W2686"/>
      <c r="X2686"/>
      <c r="Y2686"/>
      <c r="Z2686"/>
      <c r="AA2686"/>
      <c r="AB2686"/>
      <c r="AC2686"/>
      <c r="AD2686"/>
    </row>
    <row r="2687" spans="1:30">
      <c r="A2687"/>
      <c r="B2687"/>
      <c r="C2687"/>
      <c r="D2687"/>
      <c r="E2687"/>
      <c r="F2687"/>
      <c r="G2687"/>
      <c r="H2687"/>
      <c r="I2687"/>
      <c r="J2687"/>
      <c r="K2687"/>
      <c r="L2687"/>
      <c r="M2687"/>
      <c r="N2687"/>
      <c r="O2687"/>
      <c r="P2687"/>
      <c r="Q2687"/>
      <c r="R2687"/>
      <c r="S2687"/>
      <c r="T2687"/>
      <c r="U2687"/>
      <c r="V2687"/>
      <c r="W2687"/>
      <c r="X2687"/>
      <c r="Y2687"/>
      <c r="Z2687"/>
      <c r="AA2687"/>
      <c r="AB2687"/>
      <c r="AC2687"/>
      <c r="AD2687"/>
    </row>
    <row r="2688" spans="1:30">
      <c r="A2688"/>
      <c r="B2688"/>
      <c r="C2688"/>
      <c r="D2688"/>
      <c r="E2688"/>
      <c r="F2688"/>
      <c r="G2688"/>
      <c r="H2688"/>
      <c r="I2688"/>
      <c r="J2688"/>
      <c r="K2688"/>
      <c r="L2688"/>
      <c r="M2688"/>
      <c r="N2688"/>
      <c r="O2688"/>
      <c r="P2688"/>
      <c r="Q2688"/>
      <c r="R2688"/>
      <c r="S2688"/>
      <c r="T2688"/>
      <c r="U2688"/>
      <c r="V2688"/>
      <c r="W2688"/>
      <c r="X2688"/>
      <c r="Y2688"/>
      <c r="Z2688"/>
      <c r="AA2688"/>
      <c r="AB2688"/>
      <c r="AC2688"/>
      <c r="AD2688"/>
    </row>
    <row r="2689" spans="1:30">
      <c r="A2689"/>
      <c r="B2689"/>
      <c r="C2689"/>
      <c r="D2689"/>
      <c r="E2689"/>
      <c r="F2689"/>
      <c r="G2689"/>
      <c r="H2689"/>
      <c r="I2689"/>
      <c r="J2689"/>
      <c r="K2689"/>
      <c r="L2689"/>
      <c r="M2689"/>
      <c r="N2689"/>
      <c r="O2689"/>
      <c r="P2689"/>
      <c r="Q2689"/>
      <c r="R2689"/>
      <c r="S2689"/>
      <c r="T2689"/>
      <c r="U2689"/>
      <c r="V2689"/>
      <c r="W2689"/>
      <c r="X2689"/>
      <c r="Y2689"/>
      <c r="Z2689"/>
      <c r="AA2689"/>
      <c r="AB2689"/>
      <c r="AC2689"/>
      <c r="AD2689"/>
    </row>
    <row r="2690" spans="1:30">
      <c r="A2690"/>
      <c r="B2690"/>
      <c r="C2690"/>
      <c r="D2690"/>
      <c r="E2690"/>
      <c r="F2690"/>
      <c r="G2690"/>
      <c r="H2690"/>
      <c r="I2690"/>
      <c r="J2690"/>
      <c r="K2690"/>
      <c r="L2690"/>
      <c r="M2690"/>
      <c r="N2690"/>
      <c r="O2690"/>
      <c r="P2690"/>
      <c r="Q2690"/>
      <c r="R2690"/>
      <c r="S2690"/>
      <c r="T2690"/>
      <c r="U2690"/>
      <c r="V2690"/>
      <c r="W2690"/>
      <c r="X2690"/>
      <c r="Y2690"/>
      <c r="Z2690"/>
      <c r="AA2690"/>
      <c r="AB2690"/>
      <c r="AC2690"/>
      <c r="AD2690"/>
    </row>
    <row r="2691" spans="1:30">
      <c r="A2691"/>
      <c r="B2691"/>
      <c r="C2691"/>
      <c r="D2691"/>
      <c r="E2691"/>
      <c r="F2691"/>
      <c r="G2691"/>
      <c r="H2691"/>
      <c r="I2691"/>
      <c r="J2691"/>
      <c r="K2691"/>
      <c r="L2691"/>
      <c r="M2691"/>
      <c r="N2691"/>
      <c r="O2691"/>
      <c r="P2691"/>
      <c r="Q2691"/>
      <c r="R2691"/>
      <c r="S2691"/>
      <c r="T2691"/>
      <c r="U2691"/>
      <c r="V2691"/>
      <c r="W2691"/>
      <c r="X2691"/>
      <c r="Y2691"/>
      <c r="Z2691"/>
      <c r="AA2691"/>
      <c r="AB2691"/>
      <c r="AC2691"/>
      <c r="AD2691"/>
    </row>
    <row r="2692" spans="1:30">
      <c r="A2692"/>
      <c r="B2692"/>
      <c r="C2692"/>
      <c r="D2692"/>
      <c r="E2692"/>
      <c r="F2692"/>
      <c r="G2692"/>
      <c r="H2692"/>
      <c r="I2692"/>
      <c r="J2692"/>
      <c r="K2692"/>
      <c r="L2692"/>
      <c r="M2692"/>
      <c r="N2692"/>
      <c r="O2692"/>
      <c r="P2692"/>
      <c r="Q2692"/>
      <c r="R2692"/>
      <c r="S2692"/>
      <c r="T2692"/>
      <c r="U2692"/>
      <c r="V2692"/>
      <c r="W2692"/>
      <c r="X2692"/>
      <c r="Y2692"/>
      <c r="Z2692"/>
      <c r="AA2692"/>
      <c r="AB2692"/>
      <c r="AC2692"/>
      <c r="AD2692"/>
    </row>
    <row r="2693" spans="1:30">
      <c r="A2693"/>
      <c r="B2693"/>
      <c r="C2693"/>
      <c r="D2693"/>
      <c r="E2693"/>
      <c r="F2693"/>
      <c r="G2693"/>
      <c r="H2693"/>
      <c r="I2693"/>
      <c r="J2693"/>
      <c r="K2693"/>
      <c r="L2693"/>
      <c r="M2693"/>
      <c r="N2693"/>
      <c r="O2693"/>
      <c r="P2693"/>
      <c r="Q2693"/>
      <c r="R2693"/>
      <c r="S2693"/>
      <c r="T2693"/>
      <c r="U2693"/>
      <c r="V2693"/>
      <c r="W2693"/>
      <c r="X2693"/>
      <c r="Y2693"/>
      <c r="Z2693"/>
      <c r="AA2693"/>
      <c r="AB2693"/>
      <c r="AC2693"/>
      <c r="AD2693"/>
    </row>
  </sheetData>
  <dataConsolidate/>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D4FF0-3E02-410E-AC56-192199749029}">
  <sheetPr codeName="Sheet6">
    <tabColor theme="1" tint="0.499984740745262"/>
  </sheetPr>
  <dimension ref="A1:AP167"/>
  <sheetViews>
    <sheetView topLeftCell="A22" workbookViewId="0">
      <selection activeCell="E88" sqref="E88"/>
    </sheetView>
  </sheetViews>
  <sheetFormatPr baseColWidth="10" defaultColWidth="8.83203125" defaultRowHeight="13"/>
  <cols>
    <col min="1" max="1" width="37.1640625" bestFit="1" customWidth="1"/>
    <col min="2" max="2" width="20.83203125" bestFit="1" customWidth="1"/>
  </cols>
  <sheetData>
    <row r="1" spans="1:2">
      <c r="A1" t="s">
        <v>29</v>
      </c>
      <c r="B1" t="s">
        <v>8915</v>
      </c>
    </row>
    <row r="2" spans="1:2">
      <c r="A2" t="s">
        <v>839</v>
      </c>
      <c r="B2" t="s">
        <v>9566</v>
      </c>
    </row>
    <row r="3" spans="1:2">
      <c r="A3" t="s">
        <v>841</v>
      </c>
      <c r="B3" t="s">
        <v>9187</v>
      </c>
    </row>
    <row r="4" spans="1:2">
      <c r="A4" t="s">
        <v>8932</v>
      </c>
      <c r="B4" t="s">
        <v>9124</v>
      </c>
    </row>
    <row r="5" spans="1:2">
      <c r="A5" t="s">
        <v>8933</v>
      </c>
      <c r="B5" t="s">
        <v>9567</v>
      </c>
    </row>
    <row r="6" spans="1:2">
      <c r="A6" t="s">
        <v>852</v>
      </c>
      <c r="B6" t="s">
        <v>8916</v>
      </c>
    </row>
    <row r="7" spans="1:2">
      <c r="A7" t="s">
        <v>862</v>
      </c>
      <c r="B7" t="s">
        <v>8916</v>
      </c>
    </row>
    <row r="8" spans="1:2">
      <c r="A8" t="s">
        <v>871</v>
      </c>
      <c r="B8" t="s">
        <v>8917</v>
      </c>
    </row>
    <row r="9" spans="1:2">
      <c r="A9" t="s">
        <v>891</v>
      </c>
      <c r="B9" t="s">
        <v>8916</v>
      </c>
    </row>
    <row r="10" spans="1:2">
      <c r="A10" t="s">
        <v>1015</v>
      </c>
      <c r="B10" t="s">
        <v>8991</v>
      </c>
    </row>
    <row r="11" spans="1:2">
      <c r="A11" t="s">
        <v>8697</v>
      </c>
      <c r="B11" t="s">
        <v>8918</v>
      </c>
    </row>
    <row r="12" spans="1:2">
      <c r="A12" t="s">
        <v>8698</v>
      </c>
      <c r="B12" t="s">
        <v>8919</v>
      </c>
    </row>
    <row r="13" spans="1:2">
      <c r="A13" t="s">
        <v>1016</v>
      </c>
      <c r="B13" t="s">
        <v>8917</v>
      </c>
    </row>
    <row r="14" spans="1:2">
      <c r="A14" t="s">
        <v>8702</v>
      </c>
      <c r="B14" t="s">
        <v>8917</v>
      </c>
    </row>
    <row r="15" spans="1:2">
      <c r="A15" t="s">
        <v>1094</v>
      </c>
      <c r="B15" t="s">
        <v>8917</v>
      </c>
    </row>
    <row r="16" spans="1:2">
      <c r="A16" t="s">
        <v>1112</v>
      </c>
      <c r="B16" t="s">
        <v>8917</v>
      </c>
    </row>
    <row r="17" spans="1:2">
      <c r="A17" t="s">
        <v>8041</v>
      </c>
      <c r="B17" t="s">
        <v>8920</v>
      </c>
    </row>
    <row r="18" spans="1:2">
      <c r="A18" t="s">
        <v>1143</v>
      </c>
      <c r="B18" t="s">
        <v>8916</v>
      </c>
    </row>
    <row r="19" spans="1:2">
      <c r="A19" t="s">
        <v>1155</v>
      </c>
      <c r="B19" t="s">
        <v>8916</v>
      </c>
    </row>
    <row r="20" spans="1:2">
      <c r="A20" t="s">
        <v>1157</v>
      </c>
      <c r="B20" t="s">
        <v>8916</v>
      </c>
    </row>
    <row r="21" spans="1:2">
      <c r="A21" t="s">
        <v>1159</v>
      </c>
      <c r="B21" t="s">
        <v>8916</v>
      </c>
    </row>
    <row r="22" spans="1:2">
      <c r="A22" t="s">
        <v>1162</v>
      </c>
      <c r="B22" t="s">
        <v>8917</v>
      </c>
    </row>
    <row r="23" spans="1:2">
      <c r="A23" t="s">
        <v>1181</v>
      </c>
      <c r="B23" t="s">
        <v>8917</v>
      </c>
    </row>
    <row r="24" spans="1:2">
      <c r="A24" t="s">
        <v>1197</v>
      </c>
      <c r="B24" t="s">
        <v>8917</v>
      </c>
    </row>
    <row r="25" spans="1:2">
      <c r="A25" t="s">
        <v>1214</v>
      </c>
      <c r="B25" t="s">
        <v>8917</v>
      </c>
    </row>
    <row r="26" spans="1:2">
      <c r="A26" t="s">
        <v>1218</v>
      </c>
      <c r="B26" t="s">
        <v>8917</v>
      </c>
    </row>
    <row r="27" spans="1:2">
      <c r="A27" t="s">
        <v>1222</v>
      </c>
      <c r="B27" t="s">
        <v>8917</v>
      </c>
    </row>
    <row r="28" spans="1:2">
      <c r="A28" t="s">
        <v>1230</v>
      </c>
      <c r="B28" t="s">
        <v>8917</v>
      </c>
    </row>
    <row r="29" spans="1:2">
      <c r="A29" t="s">
        <v>8420</v>
      </c>
      <c r="B29" t="s">
        <v>8011</v>
      </c>
    </row>
    <row r="30" spans="1:2">
      <c r="A30" t="s">
        <v>8434</v>
      </c>
      <c r="B30" t="s">
        <v>8921</v>
      </c>
    </row>
    <row r="31" spans="1:2">
      <c r="A31" t="s">
        <v>8436</v>
      </c>
      <c r="B31" t="s">
        <v>8922</v>
      </c>
    </row>
    <row r="32" spans="1:2">
      <c r="A32" t="s">
        <v>1276</v>
      </c>
      <c r="B32" t="s">
        <v>8917</v>
      </c>
    </row>
    <row r="33" spans="1:2">
      <c r="A33" t="s">
        <v>1280</v>
      </c>
      <c r="B33" t="s">
        <v>8917</v>
      </c>
    </row>
    <row r="34" spans="1:2">
      <c r="A34" t="s">
        <v>1281</v>
      </c>
      <c r="B34" t="s">
        <v>8917</v>
      </c>
    </row>
    <row r="35" spans="1:2">
      <c r="A35" t="s">
        <v>1282</v>
      </c>
      <c r="B35" t="s">
        <v>8917</v>
      </c>
    </row>
    <row r="36" spans="1:2">
      <c r="A36" t="s">
        <v>1283</v>
      </c>
      <c r="B36" t="s">
        <v>8917</v>
      </c>
    </row>
    <row r="37" spans="1:2">
      <c r="A37" t="s">
        <v>9191</v>
      </c>
      <c r="B37" t="s">
        <v>8917</v>
      </c>
    </row>
    <row r="38" spans="1:2">
      <c r="A38" t="s">
        <v>1284</v>
      </c>
      <c r="B38" t="s">
        <v>9123</v>
      </c>
    </row>
    <row r="39" spans="1:2">
      <c r="A39" t="s">
        <v>1285</v>
      </c>
      <c r="B39" t="s">
        <v>8916</v>
      </c>
    </row>
    <row r="40" spans="1:2">
      <c r="A40" t="s">
        <v>1148</v>
      </c>
      <c r="B40" t="s">
        <v>8916</v>
      </c>
    </row>
    <row r="41" spans="1:2">
      <c r="A41" t="s">
        <v>1309</v>
      </c>
      <c r="B41" t="s">
        <v>8916</v>
      </c>
    </row>
    <row r="42" spans="1:2">
      <c r="A42" t="s">
        <v>1357</v>
      </c>
      <c r="B42" t="s">
        <v>8916</v>
      </c>
    </row>
    <row r="43" spans="1:2">
      <c r="A43" t="s">
        <v>1359</v>
      </c>
      <c r="B43" t="s">
        <v>8916</v>
      </c>
    </row>
    <row r="44" spans="1:2">
      <c r="A44" t="s">
        <v>1361</v>
      </c>
      <c r="B44" t="s">
        <v>8916</v>
      </c>
    </row>
    <row r="45" spans="1:2">
      <c r="A45" t="s">
        <v>1363</v>
      </c>
      <c r="B45" t="s">
        <v>8916</v>
      </c>
    </row>
    <row r="46" spans="1:2">
      <c r="A46" t="s">
        <v>1371</v>
      </c>
      <c r="B46" t="s">
        <v>8916</v>
      </c>
    </row>
    <row r="47" spans="1:2">
      <c r="A47" t="s">
        <v>1376</v>
      </c>
      <c r="B47" t="s">
        <v>8038</v>
      </c>
    </row>
    <row r="48" spans="1:2">
      <c r="A48" t="s">
        <v>8836</v>
      </c>
      <c r="B48" t="b">
        <v>0</v>
      </c>
    </row>
    <row r="49" spans="1:2">
      <c r="A49" t="s">
        <v>1378</v>
      </c>
      <c r="B49" t="s">
        <v>8916</v>
      </c>
    </row>
    <row r="50" spans="1:2">
      <c r="A50" t="s">
        <v>1380</v>
      </c>
      <c r="B50" t="s">
        <v>8917</v>
      </c>
    </row>
    <row r="51" spans="1:2">
      <c r="A51" t="s">
        <v>1399</v>
      </c>
      <c r="B51" t="s">
        <v>8916</v>
      </c>
    </row>
    <row r="52" spans="1:2">
      <c r="A52" t="s">
        <v>1401</v>
      </c>
      <c r="B52" t="s">
        <v>8917</v>
      </c>
    </row>
    <row r="53" spans="1:2">
      <c r="A53" t="s">
        <v>1407</v>
      </c>
      <c r="B53" t="s">
        <v>8917</v>
      </c>
    </row>
    <row r="54" spans="1:2">
      <c r="A54" t="s">
        <v>1432</v>
      </c>
      <c r="B54" t="s">
        <v>8917</v>
      </c>
    </row>
    <row r="55" spans="1:2">
      <c r="A55" t="s">
        <v>1449</v>
      </c>
      <c r="B55" t="s">
        <v>8917</v>
      </c>
    </row>
    <row r="56" spans="1:2">
      <c r="A56" t="s">
        <v>1463</v>
      </c>
      <c r="B56" t="s">
        <v>9085</v>
      </c>
    </row>
    <row r="57" spans="1:2">
      <c r="A57" t="s">
        <v>1465</v>
      </c>
      <c r="B57" t="s">
        <v>8917</v>
      </c>
    </row>
    <row r="58" spans="1:2">
      <c r="A58" t="s">
        <v>8492</v>
      </c>
      <c r="B58" t="s">
        <v>8923</v>
      </c>
    </row>
    <row r="59" spans="1:2">
      <c r="A59" t="s">
        <v>8519</v>
      </c>
      <c r="B59" t="s">
        <v>5819</v>
      </c>
    </row>
    <row r="60" spans="1:2">
      <c r="A60" t="s">
        <v>4220</v>
      </c>
      <c r="B60" t="s">
        <v>8917</v>
      </c>
    </row>
    <row r="61" spans="1:2">
      <c r="A61" t="s">
        <v>8837</v>
      </c>
      <c r="B61" t="s">
        <v>8917</v>
      </c>
    </row>
    <row r="62" spans="1:2">
      <c r="A62" t="s">
        <v>8518</v>
      </c>
      <c r="B62" t="s">
        <v>353</v>
      </c>
    </row>
    <row r="63" spans="1:2">
      <c r="A63" t="s">
        <v>8546</v>
      </c>
      <c r="B63" t="s">
        <v>8563</v>
      </c>
    </row>
    <row r="64" spans="1:2">
      <c r="A64" t="s">
        <v>8547</v>
      </c>
      <c r="B64" t="s">
        <v>8924</v>
      </c>
    </row>
    <row r="65" spans="1:2">
      <c r="A65" t="s">
        <v>8548</v>
      </c>
      <c r="B65" t="s">
        <v>5819</v>
      </c>
    </row>
    <row r="66" spans="1:2">
      <c r="A66" t="s">
        <v>8549</v>
      </c>
      <c r="B66" t="s">
        <v>8925</v>
      </c>
    </row>
    <row r="67" spans="1:2">
      <c r="A67" t="s">
        <v>8550</v>
      </c>
      <c r="B67" t="s">
        <v>8537</v>
      </c>
    </row>
    <row r="68" spans="1:2">
      <c r="A68" t="s">
        <v>8551</v>
      </c>
      <c r="B68" t="s">
        <v>239</v>
      </c>
    </row>
    <row r="69" spans="1:2">
      <c r="A69" t="s">
        <v>8552</v>
      </c>
      <c r="B69" t="s">
        <v>8926</v>
      </c>
    </row>
    <row r="70" spans="1:2">
      <c r="A70" t="s">
        <v>8561</v>
      </c>
      <c r="B70" t="s">
        <v>8927</v>
      </c>
    </row>
    <row r="71" spans="1:2">
      <c r="A71" t="s">
        <v>8562</v>
      </c>
      <c r="B71" t="s">
        <v>8928</v>
      </c>
    </row>
    <row r="72" spans="1:2">
      <c r="A72" t="s">
        <v>8566</v>
      </c>
      <c r="B72" t="s">
        <v>8929</v>
      </c>
    </row>
    <row r="73" spans="1:2">
      <c r="A73" t="s">
        <v>8567</v>
      </c>
      <c r="B73" t="s">
        <v>8930</v>
      </c>
    </row>
    <row r="74" spans="1:2">
      <c r="A74" t="s">
        <v>4329</v>
      </c>
      <c r="B74" t="s">
        <v>8957</v>
      </c>
    </row>
    <row r="75" spans="1:2">
      <c r="A75" t="s">
        <v>4330</v>
      </c>
      <c r="B75" t="s">
        <v>8916</v>
      </c>
    </row>
    <row r="76" spans="1:2">
      <c r="A76" t="s">
        <v>4339</v>
      </c>
      <c r="B76" t="s">
        <v>8916</v>
      </c>
    </row>
    <row r="77" spans="1:2">
      <c r="A77" t="s">
        <v>4345</v>
      </c>
      <c r="B77" t="s">
        <v>8916</v>
      </c>
    </row>
    <row r="78" spans="1:2">
      <c r="A78" t="s">
        <v>8163</v>
      </c>
      <c r="B78" t="s">
        <v>8931</v>
      </c>
    </row>
    <row r="79" spans="1:2">
      <c r="A79" t="s">
        <v>8170</v>
      </c>
      <c r="B79" t="s">
        <v>8916</v>
      </c>
    </row>
    <row r="80" spans="1:2">
      <c r="A80" t="s">
        <v>8190</v>
      </c>
      <c r="B80" t="s">
        <v>8916</v>
      </c>
    </row>
    <row r="81" spans="1:2">
      <c r="A81" t="s">
        <v>8213</v>
      </c>
      <c r="B81" t="s">
        <v>8917</v>
      </c>
    </row>
    <row r="82" spans="1:2">
      <c r="A82" t="s">
        <v>8234</v>
      </c>
      <c r="B82" t="s">
        <v>8916</v>
      </c>
    </row>
    <row r="83" spans="1:2">
      <c r="A83" t="s">
        <v>4349</v>
      </c>
      <c r="B83" t="s">
        <v>4350</v>
      </c>
    </row>
    <row r="84" spans="1:2">
      <c r="A84" t="s">
        <v>4351</v>
      </c>
      <c r="B84" t="s">
        <v>8917</v>
      </c>
    </row>
    <row r="85" spans="1:2">
      <c r="A85" t="s">
        <v>4382</v>
      </c>
      <c r="B85" t="s">
        <v>8917</v>
      </c>
    </row>
    <row r="86" spans="1:2">
      <c r="A86" t="s">
        <v>4406</v>
      </c>
      <c r="B86" t="s">
        <v>8917</v>
      </c>
    </row>
    <row r="87" spans="1:2">
      <c r="A87" t="s">
        <v>4408</v>
      </c>
      <c r="B87" t="s">
        <v>8917</v>
      </c>
    </row>
    <row r="88" spans="1:2">
      <c r="A88" t="s">
        <v>4411</v>
      </c>
      <c r="B88" t="b">
        <v>0</v>
      </c>
    </row>
    <row r="89" spans="1:2">
      <c r="A89" t="s">
        <v>4413</v>
      </c>
      <c r="B89" t="b">
        <v>0</v>
      </c>
    </row>
    <row r="90" spans="1:2">
      <c r="A90" t="s">
        <v>4414</v>
      </c>
      <c r="B90" t="s">
        <v>8917</v>
      </c>
    </row>
    <row r="91" spans="1:2">
      <c r="A91" t="s">
        <v>4441</v>
      </c>
      <c r="B91" t="s">
        <v>8917</v>
      </c>
    </row>
    <row r="92" spans="1:2">
      <c r="A92" t="s">
        <v>4460</v>
      </c>
      <c r="B92" t="s">
        <v>8917</v>
      </c>
    </row>
    <row r="93" spans="1:2">
      <c r="A93" t="s">
        <v>4478</v>
      </c>
      <c r="B93" t="s">
        <v>8917</v>
      </c>
    </row>
    <row r="94" spans="1:2">
      <c r="A94" t="s">
        <v>4648</v>
      </c>
      <c r="B94" t="s">
        <v>8917</v>
      </c>
    </row>
    <row r="95" spans="1:2">
      <c r="A95" t="s">
        <v>4659</v>
      </c>
      <c r="B95" t="s">
        <v>8917</v>
      </c>
    </row>
    <row r="120" spans="40:42">
      <c r="AN120">
        <v>443980.55675444897</v>
      </c>
      <c r="AP120" t="b">
        <v>0</v>
      </c>
    </row>
    <row r="126" spans="40:42">
      <c r="AN126">
        <v>0</v>
      </c>
      <c r="AP126" t="b">
        <v>0</v>
      </c>
    </row>
    <row r="131" spans="40:42">
      <c r="AN131">
        <v>0</v>
      </c>
      <c r="AO131">
        <v>0</v>
      </c>
      <c r="AP131" t="b">
        <v>0</v>
      </c>
    </row>
    <row r="132" spans="40:42">
      <c r="AN132">
        <v>644615.19387628301</v>
      </c>
      <c r="AP132" t="b">
        <v>0</v>
      </c>
    </row>
    <row r="138" spans="40:42">
      <c r="AN138">
        <v>0</v>
      </c>
      <c r="AP138" t="b">
        <v>1</v>
      </c>
    </row>
    <row r="139" spans="40:42">
      <c r="AN139">
        <v>0</v>
      </c>
      <c r="AP139" t="b">
        <v>1</v>
      </c>
    </row>
    <row r="140" spans="40:42">
      <c r="AN140">
        <v>1460796.3339322901</v>
      </c>
      <c r="AP140" t="b">
        <v>0</v>
      </c>
    </row>
    <row r="149" spans="40:42">
      <c r="AN149">
        <v>0</v>
      </c>
      <c r="AP149" t="b">
        <v>0</v>
      </c>
    </row>
    <row r="150" spans="40:42">
      <c r="AN150">
        <v>1565874.4767638801</v>
      </c>
      <c r="AP150" t="b">
        <v>0</v>
      </c>
    </row>
    <row r="151" spans="40:42">
      <c r="AN151">
        <v>0</v>
      </c>
      <c r="AP151" t="b">
        <v>1</v>
      </c>
    </row>
    <row r="167" spans="40:42">
      <c r="AN167">
        <v>325980.63140174898</v>
      </c>
      <c r="AP167" t="b">
        <v>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FAAFFC8-B326-4D8E-B569-44A721A937C0}">
  <ds:schemaRefs>
    <ds:schemaRef ds:uri="http://schemas.microsoft.com/DataMashup"/>
  </ds:schemaRefs>
</ds:datastoreItem>
</file>

<file path=customXml/itemProps2.xml><?xml version="1.0" encoding="utf-8"?>
<ds:datastoreItem xmlns:ds="http://schemas.openxmlformats.org/officeDocument/2006/customXml" ds:itemID="{D99CA78C-6AEF-420F-BC09-9BE1EEFF30E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2ADFD42B-66C7-4979-9886-0894FC98325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342FCA23-E51B-45F7-AEFD-C919E5276A2F}">
  <ds:schemaRefs>
    <ds:schemaRef ds:uri="http://schemas.microsoft.com/sharepoint/v3/contenttype/forms"/>
  </ds:schemaRefs>
</ds:datastoreItem>
</file>

<file path=docMetadata/LabelInfo.xml><?xml version="1.0" encoding="utf-8"?>
<clbl:labelList xmlns:clbl="http://schemas.microsoft.com/office/2020/mipLabelMetadata">
  <clbl:label id="{185dc3c9-de02-4be0-bd93-16902d125348}" enabled="1" method="Privileged" siteId="{1f4f7eda-6e51-425e-a0f9-4c2fcef58a52}"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386</vt:i4>
      </vt:variant>
    </vt:vector>
  </HeadingPairs>
  <TitlesOfParts>
    <vt:vector size="411" baseType="lpstr">
      <vt:lpstr>Base Income</vt:lpstr>
      <vt:lpstr>Salary Credits</vt:lpstr>
      <vt:lpstr>Multi Entity</vt:lpstr>
      <vt:lpstr>Securities</vt:lpstr>
      <vt:lpstr>Exp Breakdown</vt:lpstr>
      <vt:lpstr>Menu</vt:lpstr>
      <vt:lpstr>SoP 1</vt:lpstr>
      <vt:lpstr>SoP 2</vt:lpstr>
      <vt:lpstr>SoP 3</vt:lpstr>
      <vt:lpstr>SoP 4</vt:lpstr>
      <vt:lpstr>Internal Ref</vt:lpstr>
      <vt:lpstr>Configurable Items</vt:lpstr>
      <vt:lpstr>LMI Qualifier</vt:lpstr>
      <vt:lpstr>Fee Calculator</vt:lpstr>
      <vt:lpstr>Repayment</vt:lpstr>
      <vt:lpstr>Bridging Loan Calculator</vt:lpstr>
      <vt:lpstr>BRIDGING_PDF</vt:lpstr>
      <vt:lpstr>Lock Rate Calculator</vt:lpstr>
      <vt:lpstr>Construction Loan Calculator</vt:lpstr>
      <vt:lpstr>CNST_PDF</vt:lpstr>
      <vt:lpstr>Security Swap Calculator</vt:lpstr>
      <vt:lpstr>SWAP_PDF</vt:lpstr>
      <vt:lpstr>TAX TABLE</vt:lpstr>
      <vt:lpstr>eAdmin File</vt:lpstr>
      <vt:lpstr>reference-data</vt:lpstr>
      <vt:lpstr>A_BP_BP</vt:lpstr>
      <vt:lpstr>A_BP_INV</vt:lpstr>
      <vt:lpstr>A_BP_Label</vt:lpstr>
      <vt:lpstr>A_BP_Rate</vt:lpstr>
      <vt:lpstr>A_BP_Term</vt:lpstr>
      <vt:lpstr>A_BP_UMI</vt:lpstr>
      <vt:lpstr>'Bridging Loan Calculator'!AI_AS</vt:lpstr>
      <vt:lpstr>AI_Cus_Res</vt:lpstr>
      <vt:lpstr>'Bridging Loan Calculator'!AI_Period</vt:lpstr>
      <vt:lpstr>AI_Residual</vt:lpstr>
      <vt:lpstr>AI_ResidualMinMax</vt:lpstr>
      <vt:lpstr>AI_Retain</vt:lpstr>
      <vt:lpstr>'Bridging Loan Calculator'!AI_RetainAmount</vt:lpstr>
      <vt:lpstr>AI_RetainFunds</vt:lpstr>
      <vt:lpstr>AI_RetainMinMax</vt:lpstr>
      <vt:lpstr>'Bridging Loan Calculator'!AI_Structure</vt:lpstr>
      <vt:lpstr>ANZ_SENSITIVITY_FLOOR</vt:lpstr>
      <vt:lpstr>ANZ_SENSITIVITY_RATE</vt:lpstr>
      <vt:lpstr>'Bridging Loan Calculator'!AS_Available</vt:lpstr>
      <vt:lpstr>'Bridging Loan Calculator'!AS_LastRow</vt:lpstr>
      <vt:lpstr>'Bridging Loan Calculator'!AS_MaxLVR</vt:lpstr>
      <vt:lpstr>'Bridging Loan Calculator'!AS_Number</vt:lpstr>
      <vt:lpstr>'Bridging Loan Calculator'!AS_NumberSecurity</vt:lpstr>
      <vt:lpstr>'Bridging Loan Calculator'!AS_StartRow</vt:lpstr>
      <vt:lpstr>'Bridging Loan Calculator'!AS_Title</vt:lpstr>
      <vt:lpstr>'Bridging Loan Calculator'!AS_TotalLoans</vt:lpstr>
      <vt:lpstr>'Bridging Loan Calculator'!AS_TotalSecurity</vt:lpstr>
      <vt:lpstr>B_BP_BP</vt:lpstr>
      <vt:lpstr>B_BP_INV</vt:lpstr>
      <vt:lpstr>B_BP_Label</vt:lpstr>
      <vt:lpstr>B_BP_Rate</vt:lpstr>
      <vt:lpstr>B_BP_Term</vt:lpstr>
      <vt:lpstr>B_BP_UMI</vt:lpstr>
      <vt:lpstr>'Bridging Loan Calculator'!B_Current_loan</vt:lpstr>
      <vt:lpstr>'Bridging Loan Calculator'!B_Loan_Amount</vt:lpstr>
      <vt:lpstr>BAS_ACCOM</vt:lpstr>
      <vt:lpstr>BAS_AGRI</vt:lpstr>
      <vt:lpstr>BAS_COMMUNICATIONS</vt:lpstr>
      <vt:lpstr>BAS_CONSTRUCT</vt:lpstr>
      <vt:lpstr>BAS_CULTURAL</vt:lpstr>
      <vt:lpstr>BAS_EDUCATION</vt:lpstr>
      <vt:lpstr>BAS_FINANCE</vt:lpstr>
      <vt:lpstr>BAS_GOVERNMENT</vt:lpstr>
      <vt:lpstr>BAS_HEALTH</vt:lpstr>
      <vt:lpstr>BAS_INDUSTRIES</vt:lpstr>
      <vt:lpstr>BAS_MANU_EQUIPMENT</vt:lpstr>
      <vt:lpstr>BAS_MANU_FOOD</vt:lpstr>
      <vt:lpstr>BAS_MANU_METAL</vt:lpstr>
      <vt:lpstr>BAS_MANU_MINERAL</vt:lpstr>
      <vt:lpstr>BAS_MANU_OTHER</vt:lpstr>
      <vt:lpstr>BAS_MANU_PETROCHEM</vt:lpstr>
      <vt:lpstr>BAS_MANU_PRINTING</vt:lpstr>
      <vt:lpstr>BAS_MANU_TEXTILES</vt:lpstr>
      <vt:lpstr>BAS_MANU_WOOD</vt:lpstr>
      <vt:lpstr>BAS_MINING</vt:lpstr>
      <vt:lpstr>BAS_NA</vt:lpstr>
      <vt:lpstr>BAS_PERSONAL</vt:lpstr>
      <vt:lpstr>BAS_PROPERTY</vt:lpstr>
      <vt:lpstr>BAS_RETAIL</vt:lpstr>
      <vt:lpstr>BAS_TRANSPORT</vt:lpstr>
      <vt:lpstr>BAS_UTILITIES</vt:lpstr>
      <vt:lpstr>BAS_WHOLESALE</vt:lpstr>
      <vt:lpstr>BMI_INDEX_RATE</vt:lpstr>
      <vt:lpstr>BONUS_SENSITIVITY_MULTIPLIER</vt:lpstr>
      <vt:lpstr>BUS_LOAN</vt:lpstr>
      <vt:lpstr>BUS_SEC</vt:lpstr>
      <vt:lpstr>BUS_UNSEC</vt:lpstr>
      <vt:lpstr>BusList</vt:lpstr>
      <vt:lpstr>C_BP_BP</vt:lpstr>
      <vt:lpstr>C_BP_INV</vt:lpstr>
      <vt:lpstr>C_BP_Label</vt:lpstr>
      <vt:lpstr>C_BP_Rate</vt:lpstr>
      <vt:lpstr>C_BP_Term</vt:lpstr>
      <vt:lpstr>C_BP_UMI</vt:lpstr>
      <vt:lpstr>CAPPED_OTHER_LIABILITIES_TERM</vt:lpstr>
      <vt:lpstr>CAPPED_PL_LIABILITIES_TERM</vt:lpstr>
      <vt:lpstr>CCPL_CALC_VERSION</vt:lpstr>
      <vt:lpstr>CCPL_Liabilities</vt:lpstr>
      <vt:lpstr>CCPL_SPOUSAL_BUFFER_SWITCH</vt:lpstr>
      <vt:lpstr>CEL</vt:lpstr>
      <vt:lpstr>CL1_LMI</vt:lpstr>
      <vt:lpstr>CL1_vAddBorrow</vt:lpstr>
      <vt:lpstr>CL1_vContract</vt:lpstr>
      <vt:lpstr>CL1_vCustCont</vt:lpstr>
      <vt:lpstr>CL2_DRW</vt:lpstr>
      <vt:lpstr>CL2_LBAL1</vt:lpstr>
      <vt:lpstr>CL2_LBAL2</vt:lpstr>
      <vt:lpstr>CL2_LBAL3</vt:lpstr>
      <vt:lpstr>CL2_LBAL4</vt:lpstr>
      <vt:lpstr>CL2_LBAL5</vt:lpstr>
      <vt:lpstr>CL2_LBAL6</vt:lpstr>
      <vt:lpstr>CL2_PP1</vt:lpstr>
      <vt:lpstr>CL2_PP2</vt:lpstr>
      <vt:lpstr>CL2_PP3</vt:lpstr>
      <vt:lpstr>CL2_PP4</vt:lpstr>
      <vt:lpstr>CL2_PP5</vt:lpstr>
      <vt:lpstr>CL2_PP6</vt:lpstr>
      <vt:lpstr>COMMISSION_SENSITIVITY_MULTIPLIER</vt:lpstr>
      <vt:lpstr>'Bridging Loan Calculator'!CP_Address</vt:lpstr>
      <vt:lpstr>'Bridging Loan Calculator'!CP_COS</vt:lpstr>
      <vt:lpstr>'Bridging Loan Calculator'!CP_NetProceeds</vt:lpstr>
      <vt:lpstr>'Bridging Loan Calculator'!CP_Property_Type</vt:lpstr>
      <vt:lpstr>'Bridging Loan Calculator'!CP_Sale_Cost</vt:lpstr>
      <vt:lpstr>'Bridging Loan Calculator'!CP_Sale_Price</vt:lpstr>
      <vt:lpstr>'Bridging Loan Calculator'!CP_T_SalePrice</vt:lpstr>
      <vt:lpstr>CRE</vt:lpstr>
      <vt:lpstr>Credit_1</vt:lpstr>
      <vt:lpstr>Credit_10</vt:lpstr>
      <vt:lpstr>Credit_11</vt:lpstr>
      <vt:lpstr>Credit_12</vt:lpstr>
      <vt:lpstr>Credit_13</vt:lpstr>
      <vt:lpstr>Credit_14</vt:lpstr>
      <vt:lpstr>Credit_15</vt:lpstr>
      <vt:lpstr>Credit_16</vt:lpstr>
      <vt:lpstr>Credit_17</vt:lpstr>
      <vt:lpstr>Credit_18</vt:lpstr>
      <vt:lpstr>Credit_19</vt:lpstr>
      <vt:lpstr>Credit_2</vt:lpstr>
      <vt:lpstr>Credit_20</vt:lpstr>
      <vt:lpstr>Credit_21</vt:lpstr>
      <vt:lpstr>Credit_22</vt:lpstr>
      <vt:lpstr>Credit_23</vt:lpstr>
      <vt:lpstr>Credit_24</vt:lpstr>
      <vt:lpstr>Credit_25</vt:lpstr>
      <vt:lpstr>Credit_3</vt:lpstr>
      <vt:lpstr>Credit_4</vt:lpstr>
      <vt:lpstr>Credit_5</vt:lpstr>
      <vt:lpstr>Credit_6</vt:lpstr>
      <vt:lpstr>Credit_7</vt:lpstr>
      <vt:lpstr>Credit_8</vt:lpstr>
      <vt:lpstr>Credit_9</vt:lpstr>
      <vt:lpstr>CREDITCARD_EXPENSE_MULTIPLIER</vt:lpstr>
      <vt:lpstr>'Bridging Loan Calculator'!CS_Number</vt:lpstr>
      <vt:lpstr>D_BP_BP</vt:lpstr>
      <vt:lpstr>D_BP_INV</vt:lpstr>
      <vt:lpstr>D_BP_Label</vt:lpstr>
      <vt:lpstr>D_BP_Rate</vt:lpstr>
      <vt:lpstr>D_BP_Term</vt:lpstr>
      <vt:lpstr>D_BP_UMI</vt:lpstr>
      <vt:lpstr>DEFAULT_DIVIDEND_YIELD</vt:lpstr>
      <vt:lpstr>DEFAULT_INTEREST_YIELD</vt:lpstr>
      <vt:lpstr>DEFAULT_MAX_BORROW_TERM</vt:lpstr>
      <vt:lpstr>DEFAULT_MORTGAGE_LINE_OF_CREDIT_TERM</vt:lpstr>
      <vt:lpstr>DEFAULT_MORTGAGE_LOAN_TERM</vt:lpstr>
      <vt:lpstr>DEFAULT_OTHER_LIABILITIES_TERM</vt:lpstr>
      <vt:lpstr>DIVIDEND_SENSITIVITY_MULTIPLIER</vt:lpstr>
      <vt:lpstr>DIVIDENDS_TAX_MULTIPLIER</vt:lpstr>
      <vt:lpstr>Dollar_Value</vt:lpstr>
      <vt:lpstr>DTI_1</vt:lpstr>
      <vt:lpstr>DTI_2</vt:lpstr>
      <vt:lpstr>DTI_3</vt:lpstr>
      <vt:lpstr>DTI_4</vt:lpstr>
      <vt:lpstr>DTI_TO_USE</vt:lpstr>
      <vt:lpstr>'Bridging Loan Calculator'!Dwelling</vt:lpstr>
      <vt:lpstr>ERMR_MULTIPLIER</vt:lpstr>
      <vt:lpstr>ESTIMATED_CONVEYANCING_COSTS</vt:lpstr>
      <vt:lpstr>EXPENSE_MULTIPLIER_HOME_LOANS</vt:lpstr>
      <vt:lpstr>EXPENSE_MULTIPLIER_OTHER_LOANS</vt:lpstr>
      <vt:lpstr>EXPENSE_MULTIPLIER_OTHER_LOANS_PL</vt:lpstr>
      <vt:lpstr>FC_APT</vt:lpstr>
      <vt:lpstr>FC_CapLMI</vt:lpstr>
      <vt:lpstr>FC_FHB</vt:lpstr>
      <vt:lpstr>FC_FHB_Income</vt:lpstr>
      <vt:lpstr>FC_Foreign</vt:lpstr>
      <vt:lpstr>FC_LockRate</vt:lpstr>
      <vt:lpstr>Fixed</vt:lpstr>
      <vt:lpstr>FXT</vt:lpstr>
      <vt:lpstr>GEARING_COMM_RENT_SENSITISATION_VALUE</vt:lpstr>
      <vt:lpstr>GEARING_RENT_SENSITISATION_VALUE</vt:lpstr>
      <vt:lpstr>Government</vt:lpstr>
      <vt:lpstr>GUARANTEE_ADMINISTRATION_FEE</vt:lpstr>
      <vt:lpstr>HEM_COMM_RENT_SENSITISATION_VALUE</vt:lpstr>
      <vt:lpstr>HEM_RENT_SENSITISATION_VALUE</vt:lpstr>
      <vt:lpstr>HL_GT80_RATE</vt:lpstr>
      <vt:lpstr>HL_INDEX_RATE</vt:lpstr>
      <vt:lpstr>HousingDefault</vt:lpstr>
      <vt:lpstr>INTEREST_SENSITIVITY_MULTIPLIER</vt:lpstr>
      <vt:lpstr>INTEREST_TAX_MULTIPLIER</vt:lpstr>
      <vt:lpstr>INV</vt:lpstr>
      <vt:lpstr>INVFIO1</vt:lpstr>
      <vt:lpstr>INVFIO10</vt:lpstr>
      <vt:lpstr>INVFIO2</vt:lpstr>
      <vt:lpstr>INVFIO3</vt:lpstr>
      <vt:lpstr>INVFIO4</vt:lpstr>
      <vt:lpstr>INVFIO5</vt:lpstr>
      <vt:lpstr>INVFIO7</vt:lpstr>
      <vt:lpstr>INVFPI</vt:lpstr>
      <vt:lpstr>INVFPI1</vt:lpstr>
      <vt:lpstr>INVFPI10</vt:lpstr>
      <vt:lpstr>INVFPI2</vt:lpstr>
      <vt:lpstr>INVFPI3</vt:lpstr>
      <vt:lpstr>INVFPI4</vt:lpstr>
      <vt:lpstr>INVFPI5</vt:lpstr>
      <vt:lpstr>INVFPI7</vt:lpstr>
      <vt:lpstr>INVList</vt:lpstr>
      <vt:lpstr>INVVIO1</vt:lpstr>
      <vt:lpstr>INVVIO10</vt:lpstr>
      <vt:lpstr>INVVIO2</vt:lpstr>
      <vt:lpstr>INVVIO3</vt:lpstr>
      <vt:lpstr>INVVIO4</vt:lpstr>
      <vt:lpstr>INVVIO5</vt:lpstr>
      <vt:lpstr>INVVIO7</vt:lpstr>
      <vt:lpstr>INVVPI</vt:lpstr>
      <vt:lpstr>Irregular_Types</vt:lpstr>
      <vt:lpstr>LblCredit_1</vt:lpstr>
      <vt:lpstr>LblCredit_10</vt:lpstr>
      <vt:lpstr>LblCredit_11</vt:lpstr>
      <vt:lpstr>LblCredit_12</vt:lpstr>
      <vt:lpstr>LblCredit_13</vt:lpstr>
      <vt:lpstr>LblCredit_14</vt:lpstr>
      <vt:lpstr>LblCredit_15</vt:lpstr>
      <vt:lpstr>LblCredit_16</vt:lpstr>
      <vt:lpstr>LblCredit_17</vt:lpstr>
      <vt:lpstr>LblCredit_18</vt:lpstr>
      <vt:lpstr>LblCredit_19</vt:lpstr>
      <vt:lpstr>LblCredit_2</vt:lpstr>
      <vt:lpstr>LblCredit_20</vt:lpstr>
      <vt:lpstr>LblCredit_21</vt:lpstr>
      <vt:lpstr>LblCredit_22</vt:lpstr>
      <vt:lpstr>LblCredit_23</vt:lpstr>
      <vt:lpstr>LblCredit_24</vt:lpstr>
      <vt:lpstr>LblCredit_25</vt:lpstr>
      <vt:lpstr>LblCredit_3</vt:lpstr>
      <vt:lpstr>LblCredit_4</vt:lpstr>
      <vt:lpstr>LblCredit_5</vt:lpstr>
      <vt:lpstr>LblCredit_6</vt:lpstr>
      <vt:lpstr>LblCredit_7</vt:lpstr>
      <vt:lpstr>LblCredit_8</vt:lpstr>
      <vt:lpstr>LblCredit_9</vt:lpstr>
      <vt:lpstr>Liabilities_List</vt:lpstr>
      <vt:lpstr>LMI_ExistingLend</vt:lpstr>
      <vt:lpstr>LMI_MASTER_TCL_LIMIT</vt:lpstr>
      <vt:lpstr>LMI_MODIFIER_MAX</vt:lpstr>
      <vt:lpstr>LMI_MODIFIER_MIN</vt:lpstr>
      <vt:lpstr>LMI_ONAPP_TCL_LIMIT</vt:lpstr>
      <vt:lpstr>LMI_PMT_RATE</vt:lpstr>
      <vt:lpstr>lmiStampDutyRate</vt:lpstr>
      <vt:lpstr>LMR</vt:lpstr>
      <vt:lpstr>LND</vt:lpstr>
      <vt:lpstr>LOAN_APPROVAL_FEE</vt:lpstr>
      <vt:lpstr>LOCK_RATE_FEE</vt:lpstr>
      <vt:lpstr>LoDoc_Evidence</vt:lpstr>
      <vt:lpstr>'Bridging Loan Calculator'!LS_Number</vt:lpstr>
      <vt:lpstr>LVR</vt:lpstr>
      <vt:lpstr>LVR_GUAR_APP</vt:lpstr>
      <vt:lpstr>LVR_GUAR_GUAR</vt:lpstr>
      <vt:lpstr>LVR_GUAR_SEC</vt:lpstr>
      <vt:lpstr>mandatorySuperannuationContributions</vt:lpstr>
      <vt:lpstr>'Bridging Loan Calculator'!Max_Bridging</vt:lpstr>
      <vt:lpstr>MAX_CC</vt:lpstr>
      <vt:lpstr>MAX_PL</vt:lpstr>
      <vt:lpstr>'Bridging Loan Calculator'!MAX_Residual</vt:lpstr>
      <vt:lpstr>MDF</vt:lpstr>
      <vt:lpstr>MINIMUM_LMI_PREMIUM</vt:lpstr>
      <vt:lpstr>ML_CALC_VERSION</vt:lpstr>
      <vt:lpstr>'Bridging Loan Calculator'!NP_Address</vt:lpstr>
      <vt:lpstr>'Bridging Loan Calculator'!NP_Investment</vt:lpstr>
      <vt:lpstr>'Bridging Loan Calculator'!NP_LandPrice</vt:lpstr>
      <vt:lpstr>'Bridging Loan Calculator'!NP_MaxLVR</vt:lpstr>
      <vt:lpstr>'Bridging Loan Calculator'!NP_Property_Type</vt:lpstr>
      <vt:lpstr>'Bridging Loan Calculator'!NP_Purchase_Costs</vt:lpstr>
      <vt:lpstr>'Bridging Loan Calculator'!NP_Purchase_Price</vt:lpstr>
      <vt:lpstr>'Bridging Loan Calculator'!NP_State</vt:lpstr>
      <vt:lpstr>'Bridging Loan Calculator'!NP_T_LandPrice</vt:lpstr>
      <vt:lpstr>'Bridging Loan Calculator'!NP_T_Price</vt:lpstr>
      <vt:lpstr>NUMBER_SOPs</vt:lpstr>
      <vt:lpstr>OFI_LIST</vt:lpstr>
      <vt:lpstr>OFI_SENSITIVITY_RATE</vt:lpstr>
      <vt:lpstr>OOFIO1</vt:lpstr>
      <vt:lpstr>OOFIO2</vt:lpstr>
      <vt:lpstr>OOFIO3</vt:lpstr>
      <vt:lpstr>OOFIO4</vt:lpstr>
      <vt:lpstr>OOFIO5</vt:lpstr>
      <vt:lpstr>OOFPI</vt:lpstr>
      <vt:lpstr>OOFPI1</vt:lpstr>
      <vt:lpstr>OOFPI2</vt:lpstr>
      <vt:lpstr>OOFPI3</vt:lpstr>
      <vt:lpstr>OOFPI4</vt:lpstr>
      <vt:lpstr>OOFPI5</vt:lpstr>
      <vt:lpstr>OOList</vt:lpstr>
      <vt:lpstr>OOVIO1</vt:lpstr>
      <vt:lpstr>OOVIO2</vt:lpstr>
      <vt:lpstr>OOVIO3</vt:lpstr>
      <vt:lpstr>OOVIO4</vt:lpstr>
      <vt:lpstr>OOVIO5</vt:lpstr>
      <vt:lpstr>OOVPI</vt:lpstr>
      <vt:lpstr>Other</vt:lpstr>
      <vt:lpstr>OTHER_INCOME_SENSITIVITY_MULTIPLIER</vt:lpstr>
      <vt:lpstr>OTHER_INCOMES</vt:lpstr>
      <vt:lpstr>Overseas</vt:lpstr>
      <vt:lpstr>OVERTIME_SENSITIVITY_MULTIPLIER</vt:lpstr>
      <vt:lpstr>P_A3</vt:lpstr>
      <vt:lpstr>P_Bool1</vt:lpstr>
      <vt:lpstr>P_Bool2</vt:lpstr>
      <vt:lpstr>P_Q2</vt:lpstr>
      <vt:lpstr>P_Q3</vt:lpstr>
      <vt:lpstr>PAYG_Types</vt:lpstr>
      <vt:lpstr>PAYGAdd</vt:lpstr>
      <vt:lpstr>'Bridging Loan Calculator'!Peak_Debt</vt:lpstr>
      <vt:lpstr>PER</vt:lpstr>
      <vt:lpstr>Percent_Value</vt:lpstr>
      <vt:lpstr>PL_FIX_ONLINE_SENSITIVITY_RATE</vt:lpstr>
      <vt:lpstr>PL_Fix_Rates</vt:lpstr>
      <vt:lpstr>PL_FIX_SENSITIVITY_RATE</vt:lpstr>
      <vt:lpstr>PL_INDEX_RATE</vt:lpstr>
      <vt:lpstr>PL_OTHER_INCOME_SENSITIVITY_MULTIPLIER</vt:lpstr>
      <vt:lpstr>PL_VAR_ONLINE_SENSITIVITY_RATE</vt:lpstr>
      <vt:lpstr>PL_Var_Rates</vt:lpstr>
      <vt:lpstr>PL_VAR_SENSITIVITY_RATE</vt:lpstr>
      <vt:lpstr>POST2360</vt:lpstr>
      <vt:lpstr>POST4671</vt:lpstr>
      <vt:lpstr>POST4702</vt:lpstr>
      <vt:lpstr>PP_Add_Funds</vt:lpstr>
      <vt:lpstr>PP_Borrow_Funds</vt:lpstr>
      <vt:lpstr>PP_CC1</vt:lpstr>
      <vt:lpstr>PP_CC2</vt:lpstr>
      <vt:lpstr>PP_CC3</vt:lpstr>
      <vt:lpstr>PP_CC4</vt:lpstr>
      <vt:lpstr>PP_CC5</vt:lpstr>
      <vt:lpstr>PP_CC6</vt:lpstr>
      <vt:lpstr>PP_D1</vt:lpstr>
      <vt:lpstr>PP_D2</vt:lpstr>
      <vt:lpstr>PP_D3</vt:lpstr>
      <vt:lpstr>PP_D4</vt:lpstr>
      <vt:lpstr>PP_D5</vt:lpstr>
      <vt:lpstr>PP_D6</vt:lpstr>
      <vt:lpstr>PP_FB1</vt:lpstr>
      <vt:lpstr>PP_FB2</vt:lpstr>
      <vt:lpstr>PP_FB3</vt:lpstr>
      <vt:lpstr>PP_FB4</vt:lpstr>
      <vt:lpstr>PP_FB5</vt:lpstr>
      <vt:lpstr>PP_FB6</vt:lpstr>
      <vt:lpstr>PP_P1</vt:lpstr>
      <vt:lpstr>PP_P2</vt:lpstr>
      <vt:lpstr>PP_P3</vt:lpstr>
      <vt:lpstr>PP_P4</vt:lpstr>
      <vt:lpstr>PP_P5</vt:lpstr>
      <vt:lpstr>PP_P6</vt:lpstr>
      <vt:lpstr>PRICING_REASONS</vt:lpstr>
      <vt:lpstr>'Bridging Loan Calculator'!Print_Area</vt:lpstr>
      <vt:lpstr>BRIDGING_PDF!Print_Area</vt:lpstr>
      <vt:lpstr>CNST_PDF!Print_Area</vt:lpstr>
      <vt:lpstr>'Construction Loan Calculator'!Print_Area</vt:lpstr>
      <vt:lpstr>'LMI Qualifier'!Print_Area</vt:lpstr>
      <vt:lpstr>'Security Swap Calculator'!Print_Area</vt:lpstr>
      <vt:lpstr>'SoP 1'!Print_Area</vt:lpstr>
      <vt:lpstr>'SoP 2'!Print_Area</vt:lpstr>
      <vt:lpstr>'SoP 3'!Print_Area</vt:lpstr>
      <vt:lpstr>'SoP 4'!Print_Area</vt:lpstr>
      <vt:lpstr>SWAP_PDF!Print_Area</vt:lpstr>
      <vt:lpstr>PropertyTypeValues</vt:lpstr>
      <vt:lpstr>PURPOSES</vt:lpstr>
      <vt:lpstr>'Bridging Loan Calculator'!R_Current_loan</vt:lpstr>
      <vt:lpstr>'Bridging Loan Calculator'!R_Loan_Amount</vt:lpstr>
      <vt:lpstr>RENTAL_SENSITIVITY_MULTIPLIER</vt:lpstr>
      <vt:lpstr>RENTAL_SENSITIVITY_MULTIPLIER_CCARDS</vt:lpstr>
      <vt:lpstr>RENTAL_SENSITIVITY_MULTIPLIER_OLD</vt:lpstr>
      <vt:lpstr>RENTAL_YIELD_CAP</vt:lpstr>
      <vt:lpstr>RESI_INVESTMENT_EXPENSE_SENSITIVITY_MULTIPLIER</vt:lpstr>
      <vt:lpstr>RI_INDEX_RATE</vt:lpstr>
      <vt:lpstr>RIL_GT80_RATE</vt:lpstr>
      <vt:lpstr>RIL_INDEX_RATE</vt:lpstr>
      <vt:lpstr>ROM</vt:lpstr>
      <vt:lpstr>RTP</vt:lpstr>
      <vt:lpstr>S1_DTI</vt:lpstr>
      <vt:lpstr>SAL_CREDIT_OPTIONS</vt:lpstr>
      <vt:lpstr>SE_SHADING_THRESHOLD</vt:lpstr>
      <vt:lpstr>SEAdd</vt:lpstr>
      <vt:lpstr>SoP1_PropList</vt:lpstr>
      <vt:lpstr>SP_UNDER80</vt:lpstr>
      <vt:lpstr>SPI_UNDER80</vt:lpstr>
      <vt:lpstr>'Security Swap Calculator'!SS_CC_Prch_Costs</vt:lpstr>
      <vt:lpstr>'Security Swap Calculator'!SS_CC_Prch_Price</vt:lpstr>
      <vt:lpstr>'Security Swap Calculator'!SS_CC_Sale_Costs</vt:lpstr>
      <vt:lpstr>'Security Swap Calculator'!SS_CC_Sale_Price</vt:lpstr>
      <vt:lpstr>'Security Swap Calculator'!SS_CUR_LVR</vt:lpstr>
      <vt:lpstr>'Security Swap Calculator'!SS_LD_Loan_Amount</vt:lpstr>
      <vt:lpstr>'Security Swap Calculator'!SS_NEW_LVR</vt:lpstr>
      <vt:lpstr>SuperAnnuities</vt:lpstr>
      <vt:lpstr>Tax_Status</vt:lpstr>
      <vt:lpstr>'Bridging Loan Calculator'!Total_Bridging_Component</vt:lpstr>
      <vt:lpstr>TOTAL_DTI</vt:lpstr>
      <vt:lpstr>'Bridging Loan Calculator'!TotalResidual</vt:lpstr>
      <vt:lpstr>TSF</vt:lpstr>
      <vt:lpstr>USABLE_EQUITY_LVR</vt:lpstr>
      <vt:lpstr>Variable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Woods, David</dc:creator>
  <cp:lastModifiedBy>Microsoft Office User</cp:lastModifiedBy>
  <cp:lastPrinted>2024-07-23T14:45:34Z</cp:lastPrinted>
  <dcterms:created xsi:type="dcterms:W3CDTF">2021-12-19T23:23:16Z</dcterms:created>
  <dcterms:modified xsi:type="dcterms:W3CDTF">2025-06-03T07:01:13Z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85dc3c9-de02-4be0-bd93-16902d125348_Enabled">
    <vt:lpwstr>true</vt:lpwstr>
  </property>
  <property fmtid="{D5CDD505-2E9C-101B-9397-08002B2CF9AE}" pid="3" name="MSIP_Label_185dc3c9-de02-4be0-bd93-16902d125348_SetDate">
    <vt:lpwstr>2022-07-14T00:24:23Z</vt:lpwstr>
  </property>
  <property fmtid="{D5CDD505-2E9C-101B-9397-08002B2CF9AE}" pid="4" name="MSIP_Label_185dc3c9-de02-4be0-bd93-16902d125348_Method">
    <vt:lpwstr>Privileged</vt:lpwstr>
  </property>
  <property fmtid="{D5CDD505-2E9C-101B-9397-08002B2CF9AE}" pid="5" name="MSIP_Label_185dc3c9-de02-4be0-bd93-16902d125348_Name">
    <vt:lpwstr>Internal</vt:lpwstr>
  </property>
  <property fmtid="{D5CDD505-2E9C-101B-9397-08002B2CF9AE}" pid="6" name="MSIP_Label_185dc3c9-de02-4be0-bd93-16902d125348_SiteId">
    <vt:lpwstr>1f4f7eda-6e51-425e-a0f9-4c2fcef58a52</vt:lpwstr>
  </property>
  <property fmtid="{D5CDD505-2E9C-101B-9397-08002B2CF9AE}" pid="7" name="MSIP_Label_185dc3c9-de02-4be0-bd93-16902d125348_ActionId">
    <vt:lpwstr>6079c8a7-aa98-4406-b1e1-48a66873cc45</vt:lpwstr>
  </property>
  <property fmtid="{D5CDD505-2E9C-101B-9397-08002B2CF9AE}" pid="8" name="MSIP_Label_185dc3c9-de02-4be0-bd93-16902d125348_ContentBits">
    <vt:lpwstr>0</vt:lpwstr>
  </property>
</Properties>
</file>